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tables/table1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codeName="ThisWorkbook" defaultThemeVersion="124226"/>
  <mc:AlternateContent xmlns:mc="http://schemas.openxmlformats.org/markup-compatibility/2006">
    <mc:Choice Requires="x15">
      <x15ac:absPath xmlns:x15ac="http://schemas.microsoft.com/office/spreadsheetml/2010/11/ac" url="C:\Users\Mauricio\Dropbox\Projeto Mestrado\NodeXL\6- Co-Hashtags\"/>
    </mc:Choice>
  </mc:AlternateContent>
  <xr:revisionPtr revIDLastSave="0" documentId="8_{C31D11AB-EB6E-4AC9-95ED-3F0375CB8AC7}" xr6:coauthVersionLast="47" xr6:coauthVersionMax="47" xr10:uidLastSave="{00000000-0000-0000-0000-000000000000}"/>
  <bookViews>
    <workbookView xWindow="-120" yWindow="-120" windowWidth="24240" windowHeight="13020" activeTab="5"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 name="Export Options" sheetId="8" r:id="rId8"/>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O3" i="3" l="1"/>
  <c r="BO4" i="3"/>
  <c r="BO5" i="3"/>
  <c r="BO6" i="3"/>
  <c r="BO7" i="3"/>
  <c r="BO8" i="3"/>
  <c r="BO9" i="3"/>
  <c r="BO10" i="3"/>
  <c r="BO11" i="3"/>
  <c r="BO12" i="3"/>
  <c r="BO13" i="3"/>
  <c r="BO14" i="3"/>
  <c r="BO15" i="3"/>
  <c r="BO16" i="3"/>
  <c r="BO17" i="3"/>
  <c r="BO18" i="3"/>
  <c r="BO19" i="3"/>
  <c r="BO20" i="3"/>
  <c r="BO21" i="3"/>
  <c r="BO22" i="3"/>
  <c r="BO23" i="3"/>
  <c r="BO24" i="3"/>
  <c r="BO25" i="3"/>
  <c r="BO26" i="3"/>
  <c r="BO27" i="3"/>
  <c r="BO28" i="3"/>
  <c r="BO29" i="3"/>
  <c r="BO30" i="3"/>
  <c r="BO31" i="3"/>
  <c r="BO32" i="3"/>
  <c r="BO33" i="3"/>
  <c r="BO34" i="3"/>
  <c r="BO35"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BH3" i="3"/>
  <c r="BH4" i="3"/>
  <c r="BH5" i="3"/>
  <c r="BH7" i="3"/>
  <c r="BH8" i="3"/>
  <c r="BH9" i="3"/>
  <c r="BH10" i="3"/>
  <c r="BH11" i="3"/>
  <c r="BH12" i="3"/>
  <c r="BH13" i="3"/>
  <c r="BH15" i="3"/>
  <c r="BH16" i="3"/>
  <c r="BH17" i="3"/>
  <c r="BH18" i="3"/>
  <c r="BH19" i="3"/>
  <c r="BH20" i="3"/>
  <c r="BH21" i="3"/>
  <c r="BH22" i="3"/>
  <c r="BH23" i="3"/>
  <c r="BH24" i="3"/>
  <c r="BH25" i="3"/>
  <c r="BH26" i="3"/>
  <c r="BH27" i="3"/>
  <c r="BH28" i="3"/>
  <c r="BH29" i="3"/>
  <c r="BH30" i="3"/>
  <c r="BH32" i="3"/>
  <c r="BH33" i="3"/>
  <c r="BH34" i="3"/>
  <c r="BH35" i="3"/>
  <c r="BH36" i="3"/>
  <c r="BH37" i="3"/>
  <c r="BH39" i="3"/>
  <c r="BH40" i="3"/>
  <c r="BH41" i="3"/>
  <c r="BH42" i="3"/>
  <c r="BH43" i="3"/>
  <c r="BH45" i="3"/>
  <c r="BH46" i="3"/>
  <c r="BH47" i="3"/>
  <c r="BH48" i="3"/>
  <c r="BH52" i="3"/>
  <c r="BH53" i="3"/>
  <c r="BH54" i="3"/>
  <c r="BH56" i="3"/>
  <c r="BH57" i="3"/>
  <c r="BH58" i="3"/>
  <c r="BH59" i="3"/>
  <c r="BH60" i="3"/>
  <c r="BH61" i="3"/>
  <c r="BH62" i="3"/>
  <c r="BH63" i="3"/>
  <c r="BH64" i="3"/>
  <c r="BH65" i="3"/>
  <c r="BH66" i="3"/>
  <c r="BH67" i="3"/>
  <c r="BH68" i="3"/>
  <c r="BH69" i="3"/>
  <c r="BH70" i="3"/>
  <c r="BH72" i="3"/>
  <c r="BH73" i="3"/>
  <c r="BH74" i="3"/>
  <c r="BH76" i="3"/>
  <c r="BH77" i="3"/>
  <c r="BH78" i="3"/>
  <c r="BH79" i="3"/>
  <c r="BH80" i="3"/>
  <c r="BH82" i="3"/>
  <c r="BH83" i="3"/>
  <c r="BH85" i="3"/>
  <c r="BH86" i="3"/>
  <c r="BH87" i="3"/>
  <c r="BH88" i="3"/>
  <c r="BH89" i="3"/>
  <c r="BH90" i="3"/>
  <c r="BH91" i="3"/>
  <c r="BH92" i="3"/>
  <c r="BH93" i="3"/>
  <c r="BH95" i="3"/>
  <c r="BH96" i="3"/>
  <c r="BH97" i="3"/>
  <c r="BH98" i="3"/>
  <c r="BH99" i="3"/>
  <c r="BH100" i="3"/>
  <c r="BH101" i="3"/>
  <c r="BH102" i="3"/>
  <c r="BH103" i="3"/>
  <c r="BH104" i="3"/>
  <c r="BH105" i="3"/>
  <c r="BH107" i="3"/>
  <c r="BH108" i="3"/>
  <c r="BH109" i="3"/>
  <c r="BH110" i="3"/>
  <c r="BH111" i="3"/>
  <c r="BH112" i="3"/>
  <c r="BH113" i="3"/>
  <c r="BH114" i="3"/>
  <c r="BH115" i="3"/>
  <c r="BH116" i="3"/>
  <c r="BH117" i="3"/>
  <c r="BH119" i="3"/>
  <c r="BH120" i="3"/>
  <c r="BH122" i="3"/>
  <c r="BH123" i="3"/>
  <c r="BH124" i="3"/>
  <c r="BH125" i="3"/>
  <c r="BH126" i="3"/>
  <c r="BH127" i="3"/>
  <c r="BH128" i="3"/>
  <c r="BH129" i="3"/>
  <c r="BH131" i="3"/>
  <c r="BH133" i="3"/>
  <c r="BH134" i="3"/>
  <c r="BH136" i="3"/>
  <c r="BH139" i="3"/>
  <c r="BH141" i="3"/>
  <c r="BH142" i="3"/>
  <c r="BH143" i="3"/>
  <c r="BH144" i="3"/>
  <c r="BH145" i="3"/>
  <c r="BH146" i="3"/>
  <c r="BH147" i="3"/>
  <c r="BH148" i="3"/>
  <c r="BH149" i="3"/>
  <c r="BH150" i="3"/>
  <c r="BH151" i="3"/>
  <c r="BH152" i="3"/>
  <c r="BH154" i="3"/>
  <c r="BH155" i="3"/>
  <c r="BH156" i="3"/>
  <c r="BH157" i="3"/>
  <c r="BH158" i="3"/>
  <c r="BH159" i="3"/>
  <c r="BH162" i="3"/>
  <c r="BH163" i="3"/>
  <c r="BH164" i="3"/>
  <c r="BH165" i="3"/>
  <c r="BH166" i="3"/>
  <c r="BH167" i="3"/>
  <c r="BH169" i="3"/>
  <c r="BH170" i="3"/>
  <c r="BH171" i="3"/>
  <c r="BH172" i="3"/>
  <c r="BH173" i="3"/>
  <c r="BH174" i="3"/>
  <c r="BH176" i="3"/>
  <c r="BH177" i="3"/>
  <c r="BH178" i="3"/>
  <c r="BH179" i="3"/>
  <c r="BH181" i="3"/>
  <c r="BH182" i="3"/>
  <c r="BH183" i="3"/>
  <c r="BH184" i="3"/>
  <c r="BH185" i="3"/>
  <c r="BH186" i="3"/>
  <c r="BH188" i="3"/>
  <c r="BH189" i="3"/>
  <c r="BH190" i="3"/>
  <c r="BH191" i="3"/>
  <c r="BH192" i="3"/>
  <c r="BH193" i="3"/>
  <c r="BH194" i="3"/>
  <c r="BH196" i="3"/>
  <c r="BH197" i="3"/>
  <c r="BH198" i="3"/>
  <c r="BH199" i="3"/>
  <c r="BH200" i="3"/>
  <c r="BH202" i="3"/>
  <c r="BH203" i="3"/>
  <c r="BH204" i="3"/>
  <c r="BH207" i="3"/>
  <c r="BH208" i="3"/>
  <c r="BH209" i="3"/>
  <c r="BH210" i="3"/>
  <c r="BH212" i="3"/>
  <c r="BH213" i="3"/>
  <c r="BH215" i="3"/>
  <c r="BH216" i="3"/>
  <c r="BH217" i="3"/>
  <c r="BH218" i="3"/>
  <c r="BH219" i="3"/>
  <c r="BH220" i="3"/>
  <c r="BH221" i="3"/>
  <c r="BH222" i="3"/>
  <c r="BH223" i="3"/>
  <c r="BH224" i="3"/>
  <c r="BH225" i="3"/>
  <c r="BH227" i="3"/>
  <c r="BH228" i="3"/>
  <c r="BH229" i="3"/>
  <c r="BH230" i="3"/>
  <c r="BH231" i="3"/>
  <c r="BH232" i="3"/>
  <c r="BH234" i="3"/>
  <c r="BH235" i="3"/>
  <c r="BH236" i="3"/>
  <c r="BH238" i="3"/>
  <c r="BH240" i="3"/>
  <c r="BH242" i="3"/>
  <c r="BH243" i="3"/>
  <c r="BH244" i="3"/>
  <c r="BH246" i="3"/>
  <c r="BH247" i="3"/>
  <c r="BH249" i="3"/>
  <c r="BH251" i="3"/>
  <c r="BH253" i="3"/>
  <c r="BH255" i="3"/>
  <c r="BH256" i="3"/>
  <c r="BH257" i="3"/>
  <c r="BH258" i="3"/>
  <c r="BH259" i="3"/>
  <c r="BH260" i="3"/>
  <c r="BH261" i="3"/>
  <c r="BH262" i="3"/>
  <c r="BH263" i="3"/>
  <c r="BH264" i="3"/>
  <c r="BH266" i="3"/>
  <c r="BH267" i="3"/>
  <c r="BH268" i="3"/>
  <c r="BH269" i="3"/>
  <c r="BH270" i="3"/>
  <c r="BH271" i="3"/>
  <c r="BH272" i="3"/>
  <c r="BH273" i="3"/>
  <c r="BH274" i="3"/>
  <c r="BH275" i="3"/>
  <c r="BH276" i="3"/>
  <c r="BH277" i="3"/>
  <c r="BH279" i="3"/>
  <c r="BH280" i="3"/>
  <c r="BH281" i="3"/>
  <c r="BH283" i="3"/>
  <c r="BH285" i="3"/>
  <c r="BH286" i="3"/>
  <c r="BH287" i="3"/>
  <c r="BH288" i="3"/>
  <c r="BH289" i="3"/>
  <c r="BH290" i="3"/>
  <c r="BH291" i="3"/>
  <c r="BH293" i="3"/>
  <c r="BH294" i="3"/>
  <c r="BH295" i="3"/>
  <c r="BH296" i="3"/>
  <c r="BH297" i="3"/>
  <c r="BH298" i="3"/>
  <c r="BH299" i="3"/>
  <c r="BH300" i="3"/>
  <c r="BH301" i="3"/>
  <c r="BH302" i="3"/>
  <c r="BH305" i="3"/>
  <c r="BH306" i="3"/>
  <c r="BH307" i="3"/>
  <c r="BH308" i="3"/>
  <c r="BH309" i="3"/>
  <c r="BH310" i="3"/>
  <c r="BH312" i="3"/>
  <c r="BH313" i="3"/>
  <c r="BH314" i="3"/>
  <c r="BH315" i="3"/>
  <c r="BH316" i="3"/>
  <c r="BH317" i="3"/>
  <c r="BH318" i="3"/>
  <c r="BH319" i="3"/>
  <c r="BH320" i="3"/>
  <c r="BH321" i="3"/>
  <c r="BH322" i="3"/>
  <c r="BH323" i="3"/>
  <c r="BH324" i="3"/>
  <c r="BH325" i="3"/>
  <c r="BH326" i="3"/>
  <c r="BH327" i="3"/>
  <c r="BH328" i="3"/>
  <c r="BH329" i="3"/>
  <c r="BH330" i="3"/>
  <c r="BH331" i="3"/>
  <c r="BH332" i="3"/>
  <c r="BH333" i="3"/>
  <c r="BH334" i="3"/>
  <c r="BH335" i="3"/>
  <c r="BH336" i="3"/>
  <c r="BH337" i="3"/>
  <c r="BH338" i="3"/>
  <c r="BH339" i="3"/>
  <c r="BH340" i="3"/>
  <c r="BH342" i="3"/>
  <c r="BH344" i="3"/>
  <c r="BH345" i="3"/>
  <c r="BH346" i="3"/>
  <c r="BH347" i="3"/>
  <c r="BH349" i="3"/>
  <c r="BH350" i="3"/>
  <c r="BH352" i="3"/>
  <c r="BH353" i="3"/>
  <c r="BH355" i="3"/>
  <c r="BH356" i="3"/>
  <c r="BH357" i="3"/>
  <c r="BH359" i="3"/>
  <c r="BH360" i="3"/>
  <c r="BH362" i="3"/>
  <c r="BH363" i="3"/>
  <c r="BH364" i="3"/>
  <c r="BH365" i="3"/>
  <c r="BH366" i="3"/>
  <c r="BH367" i="3"/>
  <c r="BH368" i="3"/>
  <c r="BH369" i="3"/>
  <c r="BH371" i="3"/>
  <c r="BH373" i="3"/>
  <c r="BH375" i="3"/>
  <c r="BH376" i="3"/>
  <c r="BH377" i="3"/>
  <c r="BH378" i="3"/>
  <c r="BH379" i="3"/>
  <c r="BH381" i="3"/>
  <c r="BH382" i="3"/>
  <c r="BH383" i="3"/>
  <c r="BH384" i="3"/>
  <c r="BH385" i="3"/>
  <c r="BH386" i="3"/>
  <c r="BH387" i="3"/>
  <c r="BH389" i="3"/>
  <c r="BH391" i="3"/>
  <c r="BH392" i="3"/>
  <c r="BH393" i="3"/>
  <c r="BH394" i="3"/>
  <c r="BH395" i="3"/>
  <c r="BH396" i="3"/>
  <c r="BH397" i="3"/>
  <c r="BH398" i="3"/>
  <c r="BH399" i="3"/>
  <c r="BH401" i="3"/>
  <c r="BH403" i="3"/>
  <c r="BH404" i="3"/>
  <c r="BH405" i="3"/>
  <c r="BH406" i="3"/>
  <c r="BH407" i="3"/>
  <c r="BH408" i="3"/>
  <c r="BH409" i="3"/>
  <c r="BH411" i="3"/>
  <c r="BH412" i="3"/>
  <c r="BH413" i="3"/>
  <c r="BH414" i="3"/>
  <c r="BH415" i="3"/>
  <c r="BH416" i="3"/>
  <c r="BH417" i="3"/>
  <c r="BH418" i="3"/>
  <c r="BH419" i="3"/>
  <c r="BH421" i="3"/>
  <c r="BH422" i="3"/>
  <c r="BH423" i="3"/>
  <c r="BH425" i="3"/>
  <c r="BH426" i="3"/>
  <c r="BH427" i="3"/>
  <c r="BH428" i="3"/>
  <c r="BH429" i="3"/>
  <c r="BH430" i="3"/>
  <c r="BH431" i="3"/>
  <c r="BH432" i="3"/>
  <c r="BH434" i="3"/>
  <c r="BH435" i="3"/>
  <c r="BH436" i="3"/>
  <c r="BH437" i="3"/>
  <c r="BH438" i="3"/>
  <c r="BH439" i="3"/>
  <c r="BH440" i="3"/>
  <c r="BH442" i="3"/>
  <c r="BH444" i="3"/>
  <c r="BH445" i="3"/>
  <c r="BH446" i="3"/>
  <c r="BH447" i="3"/>
  <c r="BH448" i="3"/>
  <c r="BH449" i="3"/>
  <c r="BH450" i="3"/>
  <c r="BH451" i="3"/>
  <c r="BH452" i="3"/>
  <c r="BH453" i="3"/>
  <c r="BH454" i="3"/>
  <c r="BH455" i="3"/>
  <c r="BH456" i="3"/>
  <c r="BH457" i="3"/>
  <c r="BH458" i="3"/>
  <c r="BH459" i="3"/>
  <c r="BH461" i="3"/>
  <c r="BH463" i="3"/>
  <c r="BH464" i="3"/>
  <c r="BH465" i="3"/>
  <c r="BH466" i="3"/>
  <c r="BH467" i="3"/>
  <c r="BH468" i="3"/>
  <c r="BH469" i="3"/>
  <c r="BH470" i="3"/>
  <c r="BH471" i="3"/>
  <c r="BH472" i="3"/>
  <c r="BH473" i="3"/>
  <c r="BH474" i="3"/>
  <c r="BH475" i="3"/>
  <c r="BH476" i="3"/>
  <c r="BH477" i="3"/>
  <c r="BH478" i="3"/>
  <c r="BH479" i="3"/>
  <c r="BH480" i="3"/>
  <c r="BH481" i="3"/>
  <c r="BH483" i="3"/>
  <c r="BH484" i="3"/>
  <c r="BH485" i="3"/>
  <c r="BH486" i="3"/>
  <c r="BH487" i="3"/>
  <c r="BH488" i="3"/>
  <c r="BH489" i="3"/>
  <c r="BH490" i="3"/>
  <c r="BH491" i="3"/>
  <c r="BH492" i="3"/>
  <c r="BH493" i="3"/>
  <c r="BH494" i="3"/>
  <c r="BH495" i="3"/>
  <c r="BH496" i="3"/>
  <c r="BH497" i="3"/>
  <c r="BH498" i="3"/>
  <c r="BH499" i="3"/>
  <c r="BH500" i="3"/>
  <c r="BH502" i="3"/>
  <c r="BH503" i="3"/>
  <c r="BH504" i="3"/>
  <c r="BH506" i="3"/>
  <c r="BH507" i="3"/>
  <c r="BH508" i="3"/>
  <c r="BH509" i="3"/>
  <c r="BH510" i="3"/>
  <c r="BH511" i="3"/>
  <c r="BH512" i="3"/>
  <c r="BH513" i="3"/>
  <c r="BH514" i="3"/>
  <c r="BH515" i="3"/>
  <c r="BH516" i="3"/>
  <c r="BH517" i="3"/>
  <c r="BH518" i="3"/>
  <c r="BH519" i="3"/>
  <c r="BH520" i="3"/>
  <c r="BH521" i="3"/>
  <c r="BH522" i="3"/>
  <c r="BH523" i="3"/>
  <c r="BH524" i="3"/>
  <c r="BH525" i="3"/>
  <c r="BH526" i="3"/>
  <c r="BH527" i="3"/>
  <c r="BH528" i="3"/>
  <c r="BH529" i="3"/>
  <c r="BH530" i="3"/>
  <c r="BH531" i="3"/>
  <c r="BH532" i="3"/>
  <c r="BH533" i="3"/>
  <c r="BH534" i="3"/>
  <c r="BH535" i="3"/>
  <c r="BH536" i="3"/>
  <c r="BH537" i="3"/>
  <c r="BH538" i="3"/>
  <c r="BH539" i="3"/>
  <c r="BH540" i="3"/>
  <c r="BH541" i="3"/>
  <c r="BH542" i="3"/>
  <c r="BH543" i="3"/>
  <c r="BH545" i="3"/>
  <c r="BH546" i="3"/>
  <c r="BH547" i="3"/>
  <c r="BH548" i="3"/>
  <c r="BH551" i="3"/>
  <c r="BH552" i="3"/>
  <c r="BH553" i="3"/>
  <c r="BH554" i="3"/>
  <c r="BH555" i="3"/>
  <c r="BH557" i="3"/>
  <c r="BH558" i="3"/>
  <c r="BH559" i="3"/>
  <c r="BH560" i="3"/>
  <c r="BH561" i="3"/>
  <c r="BH562" i="3"/>
  <c r="BH563" i="3"/>
  <c r="BH564" i="3"/>
  <c r="BH565" i="3"/>
  <c r="BH566" i="3"/>
  <c r="BH567" i="3"/>
  <c r="BH569" i="3"/>
  <c r="BH570" i="3"/>
  <c r="BH571" i="3"/>
  <c r="BH573" i="3"/>
  <c r="BH574" i="3"/>
  <c r="BH576" i="3"/>
  <c r="BH577" i="3"/>
  <c r="BH578" i="3"/>
  <c r="BH579" i="3"/>
  <c r="BH580" i="3"/>
  <c r="BH581" i="3"/>
  <c r="BH582" i="3"/>
  <c r="BH583" i="3"/>
  <c r="BH584" i="3"/>
  <c r="BH585" i="3"/>
  <c r="BH586" i="3"/>
  <c r="BH587" i="3"/>
  <c r="BH588" i="3"/>
  <c r="BH589" i="3"/>
  <c r="BH590" i="3"/>
  <c r="BH591" i="3"/>
  <c r="BH593" i="3"/>
  <c r="BH594" i="3"/>
  <c r="BH595" i="3"/>
  <c r="BH596" i="3"/>
  <c r="BH597" i="3"/>
  <c r="BH599" i="3"/>
  <c r="BH600" i="3"/>
  <c r="BH601" i="3"/>
  <c r="BH603" i="3"/>
  <c r="BH604" i="3"/>
  <c r="BH605" i="3"/>
  <c r="BH606" i="3"/>
  <c r="BH607" i="3"/>
  <c r="BH608" i="3"/>
  <c r="BH609" i="3"/>
  <c r="BH610" i="3"/>
  <c r="BH611" i="3"/>
  <c r="BH612" i="3"/>
  <c r="BH613" i="3"/>
  <c r="BH614" i="3"/>
  <c r="BH615" i="3"/>
  <c r="BH617" i="3"/>
  <c r="BH618" i="3"/>
  <c r="BH619" i="3"/>
  <c r="BH620" i="3"/>
  <c r="BH621" i="3"/>
  <c r="BH622" i="3"/>
  <c r="BH623" i="3"/>
  <c r="BH624" i="3"/>
  <c r="BH625" i="3"/>
  <c r="BH626" i="3"/>
  <c r="BH627" i="3"/>
  <c r="BH628" i="3"/>
  <c r="BH630" i="3"/>
  <c r="BH632" i="3"/>
  <c r="BH633" i="3"/>
  <c r="BH635" i="3"/>
  <c r="BH636" i="3"/>
  <c r="BH637" i="3"/>
  <c r="BH638" i="3"/>
  <c r="BH639" i="3"/>
  <c r="BH640" i="3"/>
  <c r="BH641" i="3"/>
  <c r="BH643" i="3"/>
  <c r="BH644" i="3"/>
  <c r="BH645" i="3"/>
  <c r="BH647" i="3"/>
  <c r="BH648" i="3"/>
  <c r="BH649" i="3"/>
  <c r="BH650" i="3"/>
  <c r="BH651" i="3"/>
  <c r="BH652" i="3"/>
  <c r="BH653" i="3"/>
  <c r="BH654" i="3"/>
  <c r="BH655" i="3"/>
  <c r="BH656" i="3"/>
  <c r="BH657" i="3"/>
  <c r="BH658" i="3"/>
  <c r="BH660" i="3"/>
  <c r="BH661" i="3"/>
  <c r="BH662" i="3"/>
  <c r="BH663" i="3"/>
  <c r="BH664" i="3"/>
  <c r="BH666" i="3"/>
  <c r="BH667" i="3"/>
  <c r="BH668" i="3"/>
  <c r="BH669" i="3"/>
  <c r="BH671" i="3"/>
  <c r="BH672" i="3"/>
  <c r="BH674" i="3"/>
  <c r="BH675" i="3"/>
  <c r="AW3" i="3"/>
  <c r="AW4" i="3"/>
  <c r="AW7" i="3"/>
  <c r="AW9" i="3"/>
  <c r="AW12" i="3"/>
  <c r="AW13" i="3"/>
  <c r="AW15" i="3"/>
  <c r="AW16" i="3"/>
  <c r="AW17" i="3"/>
  <c r="AW18" i="3"/>
  <c r="AW20" i="3"/>
  <c r="AW21" i="3"/>
  <c r="AW23" i="3"/>
  <c r="AW24" i="3"/>
  <c r="AW26" i="3"/>
  <c r="AW27" i="3"/>
  <c r="AW28" i="3"/>
  <c r="AW29" i="3"/>
  <c r="AW31" i="3"/>
  <c r="AW34" i="3"/>
  <c r="AW35" i="3"/>
  <c r="AW36" i="3"/>
  <c r="AW37" i="3"/>
  <c r="AW40" i="3"/>
  <c r="AW41" i="3"/>
  <c r="AW42" i="3"/>
  <c r="AW45" i="3"/>
  <c r="AW46" i="3"/>
  <c r="AW47" i="3"/>
  <c r="AW48" i="3"/>
  <c r="AW49" i="3"/>
  <c r="AW50" i="3"/>
  <c r="AW52" i="3"/>
  <c r="AW53" i="3"/>
  <c r="AW54" i="3"/>
  <c r="AW56" i="3"/>
  <c r="AW59" i="3"/>
  <c r="AW60" i="3"/>
  <c r="AW62" i="3"/>
  <c r="AW63" i="3"/>
  <c r="AW65" i="3"/>
  <c r="AW66" i="3"/>
  <c r="AW67" i="3"/>
  <c r="AW68" i="3"/>
  <c r="AW70" i="3"/>
  <c r="AW72" i="3"/>
  <c r="AW73" i="3"/>
  <c r="AW77" i="3"/>
  <c r="AW79" i="3"/>
  <c r="AW82" i="3"/>
  <c r="AW83" i="3"/>
  <c r="AW85" i="3"/>
  <c r="AW86" i="3"/>
  <c r="AW88" i="3"/>
  <c r="AW91" i="3"/>
  <c r="AW92" i="3"/>
  <c r="AW93" i="3"/>
  <c r="AW96" i="3"/>
  <c r="AW97" i="3"/>
  <c r="AW98" i="3"/>
  <c r="AW99" i="3"/>
  <c r="AW100" i="3"/>
  <c r="AW101" i="3"/>
  <c r="AW102" i="3"/>
  <c r="AW103" i="3"/>
  <c r="AW109" i="3"/>
  <c r="AW110" i="3"/>
  <c r="AW111" i="3"/>
  <c r="AW112" i="3"/>
  <c r="AW113" i="3"/>
  <c r="AW114" i="3"/>
  <c r="AW116" i="3"/>
  <c r="AW119" i="3"/>
  <c r="AW120" i="3"/>
  <c r="AW122" i="3"/>
  <c r="AW123" i="3"/>
  <c r="AW124" i="3"/>
  <c r="AW125" i="3"/>
  <c r="AW127" i="3"/>
  <c r="AW132" i="3"/>
  <c r="AW133" i="3"/>
  <c r="AW134" i="3"/>
  <c r="AW138" i="3"/>
  <c r="AW141" i="3"/>
  <c r="AW144" i="3"/>
  <c r="AW145" i="3"/>
  <c r="AW146" i="3"/>
  <c r="AW147" i="3"/>
  <c r="AW148" i="3"/>
  <c r="AW149" i="3"/>
  <c r="AW151" i="3"/>
  <c r="AW152" i="3"/>
  <c r="AW154" i="3"/>
  <c r="AW155" i="3"/>
  <c r="AW156" i="3"/>
  <c r="AW157" i="3"/>
  <c r="AW158" i="3"/>
  <c r="AW160" i="3"/>
  <c r="AW162" i="3"/>
  <c r="AW163" i="3"/>
  <c r="AW164" i="3"/>
  <c r="AW166" i="3"/>
  <c r="AW169" i="3"/>
  <c r="AW171" i="3"/>
  <c r="AW172" i="3"/>
  <c r="AW173" i="3"/>
  <c r="AW175" i="3"/>
  <c r="AW179" i="3"/>
  <c r="AW181" i="3"/>
  <c r="AW182" i="3"/>
  <c r="AW183" i="3"/>
  <c r="AW185" i="3"/>
  <c r="AW186" i="3"/>
  <c r="AW189" i="3"/>
  <c r="AW191" i="3"/>
  <c r="AW192" i="3"/>
  <c r="AW193" i="3"/>
  <c r="AW196" i="3"/>
  <c r="AW198" i="3"/>
  <c r="AW199" i="3"/>
  <c r="AW200" i="3"/>
  <c r="AW202" i="3"/>
  <c r="AW203" i="3"/>
  <c r="AW204" i="3"/>
  <c r="AW207" i="3"/>
  <c r="AW208" i="3"/>
  <c r="AW210" i="3"/>
  <c r="AW212" i="3"/>
  <c r="AW213" i="3"/>
  <c r="AW215" i="3"/>
  <c r="AW217" i="3"/>
  <c r="AW219" i="3"/>
  <c r="AW220" i="3"/>
  <c r="AW221" i="3"/>
  <c r="AW222" i="3"/>
  <c r="AW224" i="3"/>
  <c r="AW225" i="3"/>
  <c r="AW227" i="3"/>
  <c r="AW228" i="3"/>
  <c r="AW229" i="3"/>
  <c r="AW230" i="3"/>
  <c r="AW231" i="3"/>
  <c r="AW232" i="3"/>
  <c r="AW234" i="3"/>
  <c r="AW235" i="3"/>
  <c r="AW236" i="3"/>
  <c r="AW237" i="3"/>
  <c r="AW238" i="3"/>
  <c r="AW240" i="3"/>
  <c r="AW242" i="3"/>
  <c r="AW243" i="3"/>
  <c r="AW244" i="3"/>
  <c r="AW246" i="3"/>
  <c r="AW247" i="3"/>
  <c r="AW249" i="3"/>
  <c r="AW250" i="3"/>
  <c r="AW255" i="3"/>
  <c r="AW256" i="3"/>
  <c r="AW260" i="3"/>
  <c r="AW261" i="3"/>
  <c r="AW262" i="3"/>
  <c r="AW264" i="3"/>
  <c r="AW266" i="3"/>
  <c r="AW267" i="3"/>
  <c r="AW268" i="3"/>
  <c r="AW270" i="3"/>
  <c r="AW272" i="3"/>
  <c r="AW274" i="3"/>
  <c r="AW275" i="3"/>
  <c r="AW276" i="3"/>
  <c r="AW277" i="3"/>
  <c r="AW283" i="3"/>
  <c r="AW285" i="3"/>
  <c r="AW286" i="3"/>
  <c r="AW287" i="3"/>
  <c r="AW288" i="3"/>
  <c r="AW290" i="3"/>
  <c r="AW291" i="3"/>
  <c r="AW294" i="3"/>
  <c r="AW295" i="3"/>
  <c r="AW296" i="3"/>
  <c r="AW298" i="3"/>
  <c r="AW299" i="3"/>
  <c r="AW301" i="3"/>
  <c r="AW302" i="3"/>
  <c r="AW304" i="3"/>
  <c r="AW306" i="3"/>
  <c r="AW308" i="3"/>
  <c r="AW309" i="3"/>
  <c r="AW310" i="3"/>
  <c r="AW311" i="3"/>
  <c r="AW312" i="3"/>
  <c r="AW313" i="3"/>
  <c r="AW314" i="3"/>
  <c r="AW317" i="3"/>
  <c r="AW320" i="3"/>
  <c r="AW322" i="3"/>
  <c r="AW323" i="3"/>
  <c r="AW325" i="3"/>
  <c r="AW327" i="3"/>
  <c r="AW328" i="3"/>
  <c r="AW330" i="3"/>
  <c r="AW331" i="3"/>
  <c r="AW332" i="3"/>
  <c r="AW334" i="3"/>
  <c r="AW335" i="3"/>
  <c r="AW336" i="3"/>
  <c r="AW337" i="3"/>
  <c r="AW338" i="3"/>
  <c r="AW339" i="3"/>
  <c r="AW340" i="3"/>
  <c r="AW341" i="3"/>
  <c r="AW342" i="3"/>
  <c r="AW343" i="3"/>
  <c r="AW346" i="3"/>
  <c r="AW347" i="3"/>
  <c r="AW352" i="3"/>
  <c r="AW353" i="3"/>
  <c r="AW355" i="3"/>
  <c r="AW356" i="3"/>
  <c r="AW357" i="3"/>
  <c r="AW359" i="3"/>
  <c r="AW360" i="3"/>
  <c r="AW362" i="3"/>
  <c r="AW363" i="3"/>
  <c r="AW365" i="3"/>
  <c r="AW367" i="3"/>
  <c r="AW369" i="3"/>
  <c r="AW370" i="3"/>
  <c r="AW372" i="3"/>
  <c r="AW374" i="3"/>
  <c r="AW375" i="3"/>
  <c r="AW376" i="3"/>
  <c r="AW377" i="3"/>
  <c r="AW379" i="3"/>
  <c r="AW381" i="3"/>
  <c r="AW382" i="3"/>
  <c r="AW388" i="3"/>
  <c r="AW391" i="3"/>
  <c r="AW393" i="3"/>
  <c r="AW395" i="3"/>
  <c r="AW397" i="3"/>
  <c r="AW398" i="3"/>
  <c r="AW399" i="3"/>
  <c r="AW400" i="3"/>
  <c r="AW402" i="3"/>
  <c r="AW404" i="3"/>
  <c r="AW405" i="3"/>
  <c r="AW411" i="3"/>
  <c r="AW412" i="3"/>
  <c r="AW413" i="3"/>
  <c r="AW414" i="3"/>
  <c r="AW415" i="3"/>
  <c r="AW417" i="3"/>
  <c r="AW418" i="3"/>
  <c r="AW419" i="3"/>
  <c r="AW422" i="3"/>
  <c r="AW426" i="3"/>
  <c r="AW427" i="3"/>
  <c r="AW428" i="3"/>
  <c r="AW429" i="3"/>
  <c r="AW430" i="3"/>
  <c r="AW434" i="3"/>
  <c r="AW435" i="3"/>
  <c r="AW436" i="3"/>
  <c r="AW439" i="3"/>
  <c r="AW444" i="3"/>
  <c r="AW445" i="3"/>
  <c r="AW446" i="3"/>
  <c r="AW447" i="3"/>
  <c r="AW448" i="3"/>
  <c r="AW449" i="3"/>
  <c r="AW450" i="3"/>
  <c r="AW451" i="3"/>
  <c r="AW452" i="3"/>
  <c r="AW454" i="3"/>
  <c r="AW456" i="3"/>
  <c r="AW458" i="3"/>
  <c r="AW459" i="3"/>
  <c r="AW461" i="3"/>
  <c r="AW465" i="3"/>
  <c r="AW466" i="3"/>
  <c r="AW470" i="3"/>
  <c r="AW471" i="3"/>
  <c r="AW472" i="3"/>
  <c r="AW473" i="3"/>
  <c r="AW474" i="3"/>
  <c r="AW476" i="3"/>
  <c r="AW478" i="3"/>
  <c r="AW479" i="3"/>
  <c r="AW480" i="3"/>
  <c r="AW482" i="3"/>
  <c r="AW483" i="3"/>
  <c r="AW484" i="3"/>
  <c r="AW485" i="3"/>
  <c r="AW486" i="3"/>
  <c r="AW487" i="3"/>
  <c r="AW488" i="3"/>
  <c r="AW489" i="3"/>
  <c r="AW490" i="3"/>
  <c r="AW491" i="3"/>
  <c r="AW492" i="3"/>
  <c r="AW493" i="3"/>
  <c r="AW494" i="3"/>
  <c r="AW495" i="3"/>
  <c r="AW496" i="3"/>
  <c r="AW497" i="3"/>
  <c r="AW498" i="3"/>
  <c r="AW499" i="3"/>
  <c r="AW500" i="3"/>
  <c r="AW502" i="3"/>
  <c r="AW503" i="3"/>
  <c r="AW504" i="3"/>
  <c r="AW505" i="3"/>
  <c r="AW506" i="3"/>
  <c r="AW508" i="3"/>
  <c r="AW509" i="3"/>
  <c r="AW510" i="3"/>
  <c r="AW511" i="3"/>
  <c r="AW512" i="3"/>
  <c r="AW513" i="3"/>
  <c r="AW514" i="3"/>
  <c r="AW517" i="3"/>
  <c r="AW518" i="3"/>
  <c r="AW519" i="3"/>
  <c r="AW520" i="3"/>
  <c r="AW522" i="3"/>
  <c r="AW523" i="3"/>
  <c r="AW525" i="3"/>
  <c r="AW526" i="3"/>
  <c r="AW527" i="3"/>
  <c r="AW528" i="3"/>
  <c r="AW529" i="3"/>
  <c r="AW531" i="3"/>
  <c r="AW532" i="3"/>
  <c r="AW533" i="3"/>
  <c r="AW536" i="3"/>
  <c r="AW537" i="3"/>
  <c r="AW538" i="3"/>
  <c r="AW540" i="3"/>
  <c r="AW541" i="3"/>
  <c r="AW542" i="3"/>
  <c r="AW543" i="3"/>
  <c r="AW545" i="3"/>
  <c r="AW546" i="3"/>
  <c r="AW548" i="3"/>
  <c r="AW549" i="3"/>
  <c r="AW551" i="3"/>
  <c r="AW552" i="3"/>
  <c r="AW555" i="3"/>
  <c r="AW558" i="3"/>
  <c r="AW560" i="3"/>
  <c r="AW565" i="3"/>
  <c r="AW566" i="3"/>
  <c r="AW567" i="3"/>
  <c r="AW569" i="3"/>
  <c r="AW571" i="3"/>
  <c r="AW574" i="3"/>
  <c r="AW576" i="3"/>
  <c r="AW579" i="3"/>
  <c r="AW581" i="3"/>
  <c r="AW582" i="3"/>
  <c r="AW583" i="3"/>
  <c r="AW584" i="3"/>
  <c r="AW587" i="3"/>
  <c r="AW588" i="3"/>
  <c r="AW590" i="3"/>
  <c r="AW594" i="3"/>
  <c r="AW595" i="3"/>
  <c r="AW596" i="3"/>
  <c r="AW597" i="3"/>
  <c r="AW601" i="3"/>
  <c r="AW603" i="3"/>
  <c r="AW604" i="3"/>
  <c r="AW605" i="3"/>
  <c r="AW607" i="3"/>
  <c r="AW609" i="3"/>
  <c r="AW610" i="3"/>
  <c r="AW612" i="3"/>
  <c r="AW614" i="3"/>
  <c r="AW615" i="3"/>
  <c r="AW618" i="3"/>
  <c r="AW619" i="3"/>
  <c r="AW620" i="3"/>
  <c r="AW621" i="3"/>
  <c r="AW622" i="3"/>
  <c r="AW623" i="3"/>
  <c r="AW624" i="3"/>
  <c r="AW625" i="3"/>
  <c r="AW626" i="3"/>
  <c r="AW630" i="3"/>
  <c r="AW631" i="3"/>
  <c r="AW633" i="3"/>
  <c r="AW635" i="3"/>
  <c r="AW636" i="3"/>
  <c r="AW638" i="3"/>
  <c r="AW639" i="3"/>
  <c r="AW641" i="3"/>
  <c r="AW644" i="3"/>
  <c r="AW645" i="3"/>
  <c r="AW646" i="3"/>
  <c r="AW647" i="3"/>
  <c r="AW648" i="3"/>
  <c r="AW649" i="3"/>
  <c r="AW650" i="3"/>
  <c r="AW651" i="3"/>
  <c r="AW652" i="3"/>
  <c r="AW653" i="3"/>
  <c r="AW654" i="3"/>
  <c r="AW657" i="3"/>
  <c r="AW660" i="3"/>
  <c r="AW664" i="3"/>
  <c r="AW666" i="3"/>
  <c r="AW667" i="3"/>
  <c r="AW668" i="3"/>
  <c r="AW669" i="3"/>
  <c r="AW671" i="3"/>
  <c r="AW673" i="3"/>
  <c r="AT45" i="3"/>
  <c r="AT62" i="3"/>
  <c r="AT87" i="3"/>
  <c r="AT109" i="3"/>
  <c r="AT112" i="3"/>
  <c r="AT116" i="3"/>
  <c r="AT123" i="3"/>
  <c r="AT130" i="3"/>
  <c r="AT139" i="3"/>
  <c r="AT163" i="3"/>
  <c r="AT175" i="3"/>
  <c r="AT190" i="3"/>
  <c r="AT210" i="3"/>
  <c r="AT232" i="3"/>
  <c r="AT257" i="3"/>
  <c r="AT276" i="3"/>
  <c r="AT277" i="3"/>
  <c r="AT283" i="3"/>
  <c r="AT295" i="3"/>
  <c r="AT296" i="3"/>
  <c r="AT315" i="3"/>
  <c r="AT318" i="3"/>
  <c r="AT321" i="3"/>
  <c r="AT322" i="3"/>
  <c r="AT341" i="3"/>
  <c r="AT364" i="3"/>
  <c r="AT367" i="3"/>
  <c r="AT372" i="3"/>
  <c r="AT397" i="3"/>
  <c r="AT399" i="3"/>
  <c r="AT415" i="3"/>
  <c r="AT431" i="3"/>
  <c r="AT433" i="3"/>
  <c r="AT446" i="3"/>
  <c r="AT450" i="3"/>
  <c r="AT478" i="3"/>
  <c r="AT481" i="3"/>
  <c r="AT484" i="3"/>
  <c r="AT500" i="3"/>
  <c r="AT516" i="3"/>
  <c r="AT545" i="3"/>
  <c r="AT574" i="3"/>
  <c r="AT596" i="3"/>
  <c r="AT605" i="3"/>
  <c r="AT607" i="3"/>
  <c r="AT610" i="3"/>
  <c r="AT657" i="3"/>
  <c r="AT664" i="3"/>
  <c r="AT673" i="3"/>
  <c r="AS45" i="3"/>
  <c r="AS62" i="3"/>
  <c r="AS87" i="3"/>
  <c r="AS109" i="3"/>
  <c r="AS112" i="3"/>
  <c r="AS116" i="3"/>
  <c r="AS123" i="3"/>
  <c r="AS130" i="3"/>
  <c r="AS139" i="3"/>
  <c r="AS163" i="3"/>
  <c r="AS175" i="3"/>
  <c r="AS190" i="3"/>
  <c r="AS210" i="3"/>
  <c r="AS232" i="3"/>
  <c r="AS257" i="3"/>
  <c r="AS276" i="3"/>
  <c r="AS277" i="3"/>
  <c r="AS283" i="3"/>
  <c r="AS295" i="3"/>
  <c r="AS296" i="3"/>
  <c r="AS315" i="3"/>
  <c r="AS318" i="3"/>
  <c r="AS321" i="3"/>
  <c r="AS322" i="3"/>
  <c r="AS341" i="3"/>
  <c r="AS364" i="3"/>
  <c r="AS367" i="3"/>
  <c r="AS372" i="3"/>
  <c r="AS397" i="3"/>
  <c r="AS399" i="3"/>
  <c r="AS415" i="3"/>
  <c r="AS431" i="3"/>
  <c r="AS433" i="3"/>
  <c r="AS446" i="3"/>
  <c r="AS450" i="3"/>
  <c r="AS478" i="3"/>
  <c r="AS481" i="3"/>
  <c r="AS484" i="3"/>
  <c r="AS500" i="3"/>
  <c r="AS516" i="3"/>
  <c r="AS545" i="3"/>
  <c r="AS574" i="3"/>
  <c r="AS596" i="3"/>
  <c r="AS605" i="3"/>
  <c r="AS607" i="3"/>
  <c r="AS610" i="3"/>
  <c r="AS657" i="3"/>
  <c r="AS664" i="3"/>
  <c r="AS673" i="3"/>
  <c r="AQ3" i="3"/>
  <c r="AQ4" i="3"/>
  <c r="AQ7" i="3"/>
  <c r="AQ9" i="3"/>
  <c r="AQ12" i="3"/>
  <c r="AQ13" i="3"/>
  <c r="AQ15" i="3"/>
  <c r="AQ16" i="3"/>
  <c r="AQ17" i="3"/>
  <c r="AQ18" i="3"/>
  <c r="AQ20" i="3"/>
  <c r="AQ21" i="3"/>
  <c r="AQ23" i="3"/>
  <c r="AQ24" i="3"/>
  <c r="AQ26" i="3"/>
  <c r="AQ27" i="3"/>
  <c r="AQ28" i="3"/>
  <c r="AQ29" i="3"/>
  <c r="AQ31" i="3"/>
  <c r="AQ34" i="3"/>
  <c r="AQ35" i="3"/>
  <c r="AQ36" i="3"/>
  <c r="AQ37" i="3"/>
  <c r="AQ40" i="3"/>
  <c r="AQ41" i="3"/>
  <c r="AQ42" i="3"/>
  <c r="AQ45" i="3"/>
  <c r="AQ46" i="3"/>
  <c r="AQ47" i="3"/>
  <c r="AQ48" i="3"/>
  <c r="AQ49" i="3"/>
  <c r="AQ50" i="3"/>
  <c r="AQ52" i="3"/>
  <c r="AQ53" i="3"/>
  <c r="AQ54" i="3"/>
  <c r="AQ56" i="3"/>
  <c r="AQ59" i="3"/>
  <c r="AQ60" i="3"/>
  <c r="AQ62" i="3"/>
  <c r="AQ63" i="3"/>
  <c r="AQ65" i="3"/>
  <c r="AQ66" i="3"/>
  <c r="AQ67" i="3"/>
  <c r="AQ68" i="3"/>
  <c r="AQ70" i="3"/>
  <c r="AQ72" i="3"/>
  <c r="AQ73" i="3"/>
  <c r="AQ77" i="3"/>
  <c r="AQ79" i="3"/>
  <c r="AQ82" i="3"/>
  <c r="AQ83" i="3"/>
  <c r="AQ85" i="3"/>
  <c r="AQ86" i="3"/>
  <c r="AQ88" i="3"/>
  <c r="AQ91" i="3"/>
  <c r="AQ92" i="3"/>
  <c r="AQ93" i="3"/>
  <c r="AQ96" i="3"/>
  <c r="AQ97" i="3"/>
  <c r="AQ98" i="3"/>
  <c r="AQ99" i="3"/>
  <c r="AQ100" i="3"/>
  <c r="AQ101" i="3"/>
  <c r="AQ102" i="3"/>
  <c r="AQ103" i="3"/>
  <c r="AQ109" i="3"/>
  <c r="AQ110" i="3"/>
  <c r="AQ111" i="3"/>
  <c r="AQ112" i="3"/>
  <c r="AQ113" i="3"/>
  <c r="AQ114" i="3"/>
  <c r="AQ116" i="3"/>
  <c r="AQ119" i="3"/>
  <c r="AQ120" i="3"/>
  <c r="AQ122" i="3"/>
  <c r="AQ123" i="3"/>
  <c r="AQ124" i="3"/>
  <c r="AQ125" i="3"/>
  <c r="AQ127" i="3"/>
  <c r="AQ132" i="3"/>
  <c r="AQ133" i="3"/>
  <c r="AQ134" i="3"/>
  <c r="AQ138" i="3"/>
  <c r="AQ141" i="3"/>
  <c r="AQ144" i="3"/>
  <c r="AQ145" i="3"/>
  <c r="AQ146" i="3"/>
  <c r="AQ147" i="3"/>
  <c r="AQ148" i="3"/>
  <c r="AQ149" i="3"/>
  <c r="AQ151" i="3"/>
  <c r="AQ152" i="3"/>
  <c r="AQ154" i="3"/>
  <c r="AQ155" i="3"/>
  <c r="AQ156" i="3"/>
  <c r="AQ157" i="3"/>
  <c r="AQ158" i="3"/>
  <c r="AQ160" i="3"/>
  <c r="AQ162" i="3"/>
  <c r="AQ163" i="3"/>
  <c r="AQ164" i="3"/>
  <c r="AQ166" i="3"/>
  <c r="AQ169" i="3"/>
  <c r="AQ171" i="3"/>
  <c r="AQ172" i="3"/>
  <c r="AQ173" i="3"/>
  <c r="AQ175" i="3"/>
  <c r="AQ179" i="3"/>
  <c r="AQ181" i="3"/>
  <c r="AQ182" i="3"/>
  <c r="AQ183" i="3"/>
  <c r="AQ185" i="3"/>
  <c r="AQ186" i="3"/>
  <c r="AQ189" i="3"/>
  <c r="AQ191" i="3"/>
  <c r="AQ192" i="3"/>
  <c r="AQ193" i="3"/>
  <c r="AQ196" i="3"/>
  <c r="AQ198" i="3"/>
  <c r="AQ199" i="3"/>
  <c r="AQ200" i="3"/>
  <c r="AQ202" i="3"/>
  <c r="AQ203" i="3"/>
  <c r="AQ204" i="3"/>
  <c r="AQ207" i="3"/>
  <c r="AQ208" i="3"/>
  <c r="AQ210" i="3"/>
  <c r="AQ212" i="3"/>
  <c r="AQ213" i="3"/>
  <c r="AQ215" i="3"/>
  <c r="AQ217" i="3"/>
  <c r="AQ219" i="3"/>
  <c r="AQ220" i="3"/>
  <c r="AQ221" i="3"/>
  <c r="AQ222" i="3"/>
  <c r="AQ224" i="3"/>
  <c r="AQ225" i="3"/>
  <c r="AQ227" i="3"/>
  <c r="AQ228" i="3"/>
  <c r="AQ229" i="3"/>
  <c r="AQ230" i="3"/>
  <c r="AQ231" i="3"/>
  <c r="AQ232" i="3"/>
  <c r="AQ234" i="3"/>
  <c r="AQ235" i="3"/>
  <c r="AQ236" i="3"/>
  <c r="AQ237" i="3"/>
  <c r="AQ238" i="3"/>
  <c r="AQ240" i="3"/>
  <c r="AQ242" i="3"/>
  <c r="AQ243" i="3"/>
  <c r="AQ244" i="3"/>
  <c r="AQ246" i="3"/>
  <c r="AQ247" i="3"/>
  <c r="AQ249" i="3"/>
  <c r="AQ250" i="3"/>
  <c r="AQ255" i="3"/>
  <c r="AQ256" i="3"/>
  <c r="AQ260" i="3"/>
  <c r="AQ261" i="3"/>
  <c r="AQ262" i="3"/>
  <c r="AQ264" i="3"/>
  <c r="AQ266" i="3"/>
  <c r="AQ267" i="3"/>
  <c r="AQ268" i="3"/>
  <c r="AQ270" i="3"/>
  <c r="AQ272" i="3"/>
  <c r="AQ274" i="3"/>
  <c r="AQ275" i="3"/>
  <c r="AQ276" i="3"/>
  <c r="AQ277" i="3"/>
  <c r="AQ283" i="3"/>
  <c r="AQ285" i="3"/>
  <c r="AQ286" i="3"/>
  <c r="AQ287" i="3"/>
  <c r="AQ288" i="3"/>
  <c r="AQ290" i="3"/>
  <c r="AQ291" i="3"/>
  <c r="AQ294" i="3"/>
  <c r="AQ295" i="3"/>
  <c r="AQ296" i="3"/>
  <c r="AQ298" i="3"/>
  <c r="AQ299" i="3"/>
  <c r="AQ301" i="3"/>
  <c r="AQ302" i="3"/>
  <c r="AQ304" i="3"/>
  <c r="AQ306" i="3"/>
  <c r="AQ308" i="3"/>
  <c r="AQ309" i="3"/>
  <c r="AQ310" i="3"/>
  <c r="AQ311" i="3"/>
  <c r="AQ312" i="3"/>
  <c r="AQ313" i="3"/>
  <c r="AQ314" i="3"/>
  <c r="AQ317" i="3"/>
  <c r="AQ320" i="3"/>
  <c r="AQ322" i="3"/>
  <c r="AQ323" i="3"/>
  <c r="AQ325" i="3"/>
  <c r="AQ327" i="3"/>
  <c r="AQ328" i="3"/>
  <c r="AQ330" i="3"/>
  <c r="AQ331" i="3"/>
  <c r="AQ332" i="3"/>
  <c r="AQ334" i="3"/>
  <c r="AQ335" i="3"/>
  <c r="AQ336" i="3"/>
  <c r="AQ337" i="3"/>
  <c r="AQ338" i="3"/>
  <c r="AQ339" i="3"/>
  <c r="AQ340" i="3"/>
  <c r="AQ341" i="3"/>
  <c r="AQ342" i="3"/>
  <c r="AQ343" i="3"/>
  <c r="AQ346" i="3"/>
  <c r="AQ347" i="3"/>
  <c r="AQ352" i="3"/>
  <c r="AQ353" i="3"/>
  <c r="AQ355" i="3"/>
  <c r="AQ356" i="3"/>
  <c r="AQ357" i="3"/>
  <c r="AQ359" i="3"/>
  <c r="AQ360" i="3"/>
  <c r="AQ362" i="3"/>
  <c r="AQ363" i="3"/>
  <c r="AQ365" i="3"/>
  <c r="AQ367" i="3"/>
  <c r="AQ369" i="3"/>
  <c r="AQ370" i="3"/>
  <c r="AQ372" i="3"/>
  <c r="AQ374" i="3"/>
  <c r="AQ375" i="3"/>
  <c r="AQ376" i="3"/>
  <c r="AQ377" i="3"/>
  <c r="AQ379" i="3"/>
  <c r="AQ381" i="3"/>
  <c r="AQ382" i="3"/>
  <c r="AQ388" i="3"/>
  <c r="AQ391" i="3"/>
  <c r="AQ393" i="3"/>
  <c r="AQ395" i="3"/>
  <c r="AQ397" i="3"/>
  <c r="AQ398" i="3"/>
  <c r="AQ399" i="3"/>
  <c r="AQ400" i="3"/>
  <c r="AQ402" i="3"/>
  <c r="AQ404" i="3"/>
  <c r="AQ405" i="3"/>
  <c r="AQ411" i="3"/>
  <c r="AQ412" i="3"/>
  <c r="AQ413" i="3"/>
  <c r="AQ414" i="3"/>
  <c r="AQ415" i="3"/>
  <c r="AQ417" i="3"/>
  <c r="AQ418" i="3"/>
  <c r="AQ419" i="3"/>
  <c r="AQ422" i="3"/>
  <c r="AQ426" i="3"/>
  <c r="AQ427" i="3"/>
  <c r="AQ428" i="3"/>
  <c r="AQ429" i="3"/>
  <c r="AQ430" i="3"/>
  <c r="AQ434" i="3"/>
  <c r="AQ435" i="3"/>
  <c r="AQ436" i="3"/>
  <c r="AQ439" i="3"/>
  <c r="AQ444" i="3"/>
  <c r="AQ445" i="3"/>
  <c r="AQ446" i="3"/>
  <c r="AQ447" i="3"/>
  <c r="AQ448" i="3"/>
  <c r="AQ449" i="3"/>
  <c r="AQ450" i="3"/>
  <c r="AQ451" i="3"/>
  <c r="AQ452" i="3"/>
  <c r="AQ454" i="3"/>
  <c r="AQ456" i="3"/>
  <c r="AQ458" i="3"/>
  <c r="AQ459" i="3"/>
  <c r="AQ461" i="3"/>
  <c r="AQ465" i="3"/>
  <c r="AQ466" i="3"/>
  <c r="AQ470" i="3"/>
  <c r="AQ471" i="3"/>
  <c r="AQ472" i="3"/>
  <c r="AQ473" i="3"/>
  <c r="AQ474" i="3"/>
  <c r="AQ476" i="3"/>
  <c r="AQ478" i="3"/>
  <c r="AQ479" i="3"/>
  <c r="AQ480" i="3"/>
  <c r="AQ482" i="3"/>
  <c r="AQ483" i="3"/>
  <c r="AQ484" i="3"/>
  <c r="AQ485" i="3"/>
  <c r="AQ486" i="3"/>
  <c r="AQ487" i="3"/>
  <c r="AQ488" i="3"/>
  <c r="AQ489" i="3"/>
  <c r="AQ490" i="3"/>
  <c r="AQ491" i="3"/>
  <c r="AQ492" i="3"/>
  <c r="AQ493" i="3"/>
  <c r="AQ494" i="3"/>
  <c r="AQ495" i="3"/>
  <c r="AQ496" i="3"/>
  <c r="AQ497" i="3"/>
  <c r="AQ498" i="3"/>
  <c r="AQ499" i="3"/>
  <c r="AQ500" i="3"/>
  <c r="AQ502" i="3"/>
  <c r="AQ503" i="3"/>
  <c r="AQ504" i="3"/>
  <c r="AQ505" i="3"/>
  <c r="AQ506" i="3"/>
  <c r="AQ508" i="3"/>
  <c r="AQ509" i="3"/>
  <c r="AQ510" i="3"/>
  <c r="AQ511" i="3"/>
  <c r="AQ512" i="3"/>
  <c r="AQ513" i="3"/>
  <c r="AQ514" i="3"/>
  <c r="AQ517" i="3"/>
  <c r="AQ518" i="3"/>
  <c r="AQ519" i="3"/>
  <c r="AQ520" i="3"/>
  <c r="AQ522" i="3"/>
  <c r="AQ523" i="3"/>
  <c r="AQ525" i="3"/>
  <c r="AQ526" i="3"/>
  <c r="AQ527" i="3"/>
  <c r="AQ528" i="3"/>
  <c r="AQ529" i="3"/>
  <c r="AQ531" i="3"/>
  <c r="AQ532" i="3"/>
  <c r="AQ533" i="3"/>
  <c r="AQ536" i="3"/>
  <c r="AQ537" i="3"/>
  <c r="AQ538" i="3"/>
  <c r="AQ540" i="3"/>
  <c r="AQ541" i="3"/>
  <c r="AQ542" i="3"/>
  <c r="AQ543" i="3"/>
  <c r="AQ545" i="3"/>
  <c r="AQ546" i="3"/>
  <c r="AQ548" i="3"/>
  <c r="AQ549" i="3"/>
  <c r="AQ551" i="3"/>
  <c r="AQ552" i="3"/>
  <c r="AQ555" i="3"/>
  <c r="AQ558" i="3"/>
  <c r="AQ560" i="3"/>
  <c r="AQ565" i="3"/>
  <c r="AQ566" i="3"/>
  <c r="AQ567" i="3"/>
  <c r="AQ569" i="3"/>
  <c r="AQ571" i="3"/>
  <c r="AQ574" i="3"/>
  <c r="AQ576" i="3"/>
  <c r="AQ579" i="3"/>
  <c r="AQ581" i="3"/>
  <c r="AQ582" i="3"/>
  <c r="AQ583" i="3"/>
  <c r="AQ584" i="3"/>
  <c r="AQ587" i="3"/>
  <c r="AQ588" i="3"/>
  <c r="AQ590" i="3"/>
  <c r="AQ594" i="3"/>
  <c r="AQ595" i="3"/>
  <c r="AQ596" i="3"/>
  <c r="AQ597" i="3"/>
  <c r="AQ601" i="3"/>
  <c r="AQ603" i="3"/>
  <c r="AQ604" i="3"/>
  <c r="AQ605" i="3"/>
  <c r="AQ607" i="3"/>
  <c r="AQ609" i="3"/>
  <c r="AQ610" i="3"/>
  <c r="AQ612" i="3"/>
  <c r="AQ614" i="3"/>
  <c r="AQ615" i="3"/>
  <c r="AQ618" i="3"/>
  <c r="AQ619" i="3"/>
  <c r="AQ620" i="3"/>
  <c r="AQ621" i="3"/>
  <c r="AQ622" i="3"/>
  <c r="AQ623" i="3"/>
  <c r="AQ624" i="3"/>
  <c r="AQ625" i="3"/>
  <c r="AQ626" i="3"/>
  <c r="AQ630" i="3"/>
  <c r="AQ631" i="3"/>
  <c r="AQ633" i="3"/>
  <c r="AQ635" i="3"/>
  <c r="AQ636" i="3"/>
  <c r="AQ638" i="3"/>
  <c r="AQ639" i="3"/>
  <c r="AQ641" i="3"/>
  <c r="AQ644" i="3"/>
  <c r="AQ645" i="3"/>
  <c r="AQ646" i="3"/>
  <c r="AQ647" i="3"/>
  <c r="AQ648" i="3"/>
  <c r="AQ649" i="3"/>
  <c r="AQ650" i="3"/>
  <c r="AQ651" i="3"/>
  <c r="AQ652" i="3"/>
  <c r="AQ653" i="3"/>
  <c r="AQ654" i="3"/>
  <c r="AQ657" i="3"/>
  <c r="AQ660" i="3"/>
  <c r="AQ664" i="3"/>
  <c r="AQ666" i="3"/>
  <c r="AQ667" i="3"/>
  <c r="AQ668" i="3"/>
  <c r="AQ669" i="3"/>
  <c r="AQ671" i="3"/>
  <c r="AQ673" i="3"/>
  <c r="AP3" i="3"/>
  <c r="AP4" i="3"/>
  <c r="AP7" i="3"/>
  <c r="AP9" i="3"/>
  <c r="AP12" i="3"/>
  <c r="AP13" i="3"/>
  <c r="AP15" i="3"/>
  <c r="AP16" i="3"/>
  <c r="AP17" i="3"/>
  <c r="AP18" i="3"/>
  <c r="AP20" i="3"/>
  <c r="AP21" i="3"/>
  <c r="AP23" i="3"/>
  <c r="AP24" i="3"/>
  <c r="AP26" i="3"/>
  <c r="AP27" i="3"/>
  <c r="AP28" i="3"/>
  <c r="AP29" i="3"/>
  <c r="AP31" i="3"/>
  <c r="AP34" i="3"/>
  <c r="AP35" i="3"/>
  <c r="AP36" i="3"/>
  <c r="AP37" i="3"/>
  <c r="AP40" i="3"/>
  <c r="AP41" i="3"/>
  <c r="AP42" i="3"/>
  <c r="AP45" i="3"/>
  <c r="AP46" i="3"/>
  <c r="AP47" i="3"/>
  <c r="AP48" i="3"/>
  <c r="AP49" i="3"/>
  <c r="AP50" i="3"/>
  <c r="AP52" i="3"/>
  <c r="AP53" i="3"/>
  <c r="AP54" i="3"/>
  <c r="AP56" i="3"/>
  <c r="AP59" i="3"/>
  <c r="AP60" i="3"/>
  <c r="AP62" i="3"/>
  <c r="AP63" i="3"/>
  <c r="AP65" i="3"/>
  <c r="AP66" i="3"/>
  <c r="AP67" i="3"/>
  <c r="AP68" i="3"/>
  <c r="AP70" i="3"/>
  <c r="AP72" i="3"/>
  <c r="AP73" i="3"/>
  <c r="AP77" i="3"/>
  <c r="AP79" i="3"/>
  <c r="AP82" i="3"/>
  <c r="AP83" i="3"/>
  <c r="AP85" i="3"/>
  <c r="AP86" i="3"/>
  <c r="AP88" i="3"/>
  <c r="AP91" i="3"/>
  <c r="AP92" i="3"/>
  <c r="AP93" i="3"/>
  <c r="AP96" i="3"/>
  <c r="AP97" i="3"/>
  <c r="AP98" i="3"/>
  <c r="AP99" i="3"/>
  <c r="AP100" i="3"/>
  <c r="AP101" i="3"/>
  <c r="AP102" i="3"/>
  <c r="AP103" i="3"/>
  <c r="AP109" i="3"/>
  <c r="AP110" i="3"/>
  <c r="AP111" i="3"/>
  <c r="AP112" i="3"/>
  <c r="AP113" i="3"/>
  <c r="AP114" i="3"/>
  <c r="AP116" i="3"/>
  <c r="AP119" i="3"/>
  <c r="AP120" i="3"/>
  <c r="AP122" i="3"/>
  <c r="AP123" i="3"/>
  <c r="AP124" i="3"/>
  <c r="AP125" i="3"/>
  <c r="AP127" i="3"/>
  <c r="AP132" i="3"/>
  <c r="AP133" i="3"/>
  <c r="AP134" i="3"/>
  <c r="AP138" i="3"/>
  <c r="AP141" i="3"/>
  <c r="AP144" i="3"/>
  <c r="AP145" i="3"/>
  <c r="AP146" i="3"/>
  <c r="AP147" i="3"/>
  <c r="AP148" i="3"/>
  <c r="AP149" i="3"/>
  <c r="AP151" i="3"/>
  <c r="AP152" i="3"/>
  <c r="AP154" i="3"/>
  <c r="AP155" i="3"/>
  <c r="AP156" i="3"/>
  <c r="AP157" i="3"/>
  <c r="AP158" i="3"/>
  <c r="AP160" i="3"/>
  <c r="AP162" i="3"/>
  <c r="AP163" i="3"/>
  <c r="AP164" i="3"/>
  <c r="AP166" i="3"/>
  <c r="AP169" i="3"/>
  <c r="AP171" i="3"/>
  <c r="AP172" i="3"/>
  <c r="AP173" i="3"/>
  <c r="AP175" i="3"/>
  <c r="AP179" i="3"/>
  <c r="AP181" i="3"/>
  <c r="AP182" i="3"/>
  <c r="AP183" i="3"/>
  <c r="AP185" i="3"/>
  <c r="AP186" i="3"/>
  <c r="AP189" i="3"/>
  <c r="AP191" i="3"/>
  <c r="AP192" i="3"/>
  <c r="AP193" i="3"/>
  <c r="AP196" i="3"/>
  <c r="AP198" i="3"/>
  <c r="AP199" i="3"/>
  <c r="AP200" i="3"/>
  <c r="AP202" i="3"/>
  <c r="AP203" i="3"/>
  <c r="AP204" i="3"/>
  <c r="AP207" i="3"/>
  <c r="AP208" i="3"/>
  <c r="AP210" i="3"/>
  <c r="AP212" i="3"/>
  <c r="AP213" i="3"/>
  <c r="AP215" i="3"/>
  <c r="AP217" i="3"/>
  <c r="AP219" i="3"/>
  <c r="AP220" i="3"/>
  <c r="AP221" i="3"/>
  <c r="AP222" i="3"/>
  <c r="AP224" i="3"/>
  <c r="AP225" i="3"/>
  <c r="AP227" i="3"/>
  <c r="AP228" i="3"/>
  <c r="AP229" i="3"/>
  <c r="AP230" i="3"/>
  <c r="AP231" i="3"/>
  <c r="AP232" i="3"/>
  <c r="AP234" i="3"/>
  <c r="AP235" i="3"/>
  <c r="AP236" i="3"/>
  <c r="AP237" i="3"/>
  <c r="AP238" i="3"/>
  <c r="AP240" i="3"/>
  <c r="AP242" i="3"/>
  <c r="AP243" i="3"/>
  <c r="AP244" i="3"/>
  <c r="AP246" i="3"/>
  <c r="AP247" i="3"/>
  <c r="AP249" i="3"/>
  <c r="AP250" i="3"/>
  <c r="AP255" i="3"/>
  <c r="AP256" i="3"/>
  <c r="AP260" i="3"/>
  <c r="AP261" i="3"/>
  <c r="AP262" i="3"/>
  <c r="AP264" i="3"/>
  <c r="AP266" i="3"/>
  <c r="AP267" i="3"/>
  <c r="AP268" i="3"/>
  <c r="AP270" i="3"/>
  <c r="AP272" i="3"/>
  <c r="AP274" i="3"/>
  <c r="AP275" i="3"/>
  <c r="AP276" i="3"/>
  <c r="AP277" i="3"/>
  <c r="AP283" i="3"/>
  <c r="AP285" i="3"/>
  <c r="AP286" i="3"/>
  <c r="AP287" i="3"/>
  <c r="AP288" i="3"/>
  <c r="AP290" i="3"/>
  <c r="AP291" i="3"/>
  <c r="AP294" i="3"/>
  <c r="AP295" i="3"/>
  <c r="AP296" i="3"/>
  <c r="AP298" i="3"/>
  <c r="AP299" i="3"/>
  <c r="AP301" i="3"/>
  <c r="AP302" i="3"/>
  <c r="AP304" i="3"/>
  <c r="AP306" i="3"/>
  <c r="AP308" i="3"/>
  <c r="AP309" i="3"/>
  <c r="AP310" i="3"/>
  <c r="AP311" i="3"/>
  <c r="AP312" i="3"/>
  <c r="AP313" i="3"/>
  <c r="AP314" i="3"/>
  <c r="AP317" i="3"/>
  <c r="AP320" i="3"/>
  <c r="AP322" i="3"/>
  <c r="AP323" i="3"/>
  <c r="AP325" i="3"/>
  <c r="AP327" i="3"/>
  <c r="AP328" i="3"/>
  <c r="AP330" i="3"/>
  <c r="AP331" i="3"/>
  <c r="AP332" i="3"/>
  <c r="AP334" i="3"/>
  <c r="AP335" i="3"/>
  <c r="AP336" i="3"/>
  <c r="AP337" i="3"/>
  <c r="AP338" i="3"/>
  <c r="AP339" i="3"/>
  <c r="AP340" i="3"/>
  <c r="AP341" i="3"/>
  <c r="AP342" i="3"/>
  <c r="AP343" i="3"/>
  <c r="AP346" i="3"/>
  <c r="AP347" i="3"/>
  <c r="AP352" i="3"/>
  <c r="AP353" i="3"/>
  <c r="AP355" i="3"/>
  <c r="AP356" i="3"/>
  <c r="AP357" i="3"/>
  <c r="AP359" i="3"/>
  <c r="AP360" i="3"/>
  <c r="AP362" i="3"/>
  <c r="AP363" i="3"/>
  <c r="AP365" i="3"/>
  <c r="AP367" i="3"/>
  <c r="AP369" i="3"/>
  <c r="AP370" i="3"/>
  <c r="AP372" i="3"/>
  <c r="AP374" i="3"/>
  <c r="AP375" i="3"/>
  <c r="AP376" i="3"/>
  <c r="AP377" i="3"/>
  <c r="AP379" i="3"/>
  <c r="AP381" i="3"/>
  <c r="AP382" i="3"/>
  <c r="AP388" i="3"/>
  <c r="AP391" i="3"/>
  <c r="AP393" i="3"/>
  <c r="AP395" i="3"/>
  <c r="AP397" i="3"/>
  <c r="AP398" i="3"/>
  <c r="AP399" i="3"/>
  <c r="AP400" i="3"/>
  <c r="AP402" i="3"/>
  <c r="AP404" i="3"/>
  <c r="AP405" i="3"/>
  <c r="AP411" i="3"/>
  <c r="AP412" i="3"/>
  <c r="AP413" i="3"/>
  <c r="AP414" i="3"/>
  <c r="AP415" i="3"/>
  <c r="AP417" i="3"/>
  <c r="AP418" i="3"/>
  <c r="AP419" i="3"/>
  <c r="AP422" i="3"/>
  <c r="AP426" i="3"/>
  <c r="AP427" i="3"/>
  <c r="AP428" i="3"/>
  <c r="AP429" i="3"/>
  <c r="AP430" i="3"/>
  <c r="AP434" i="3"/>
  <c r="AP435" i="3"/>
  <c r="AP436" i="3"/>
  <c r="AP439" i="3"/>
  <c r="AP444" i="3"/>
  <c r="AP445" i="3"/>
  <c r="AP446" i="3"/>
  <c r="AP447" i="3"/>
  <c r="AP448" i="3"/>
  <c r="AP449" i="3"/>
  <c r="AP450" i="3"/>
  <c r="AP451" i="3"/>
  <c r="AP452" i="3"/>
  <c r="AP454" i="3"/>
  <c r="AP456" i="3"/>
  <c r="AP458" i="3"/>
  <c r="AP459" i="3"/>
  <c r="AP461" i="3"/>
  <c r="AP465" i="3"/>
  <c r="AP466" i="3"/>
  <c r="AP470" i="3"/>
  <c r="AP471" i="3"/>
  <c r="AP472" i="3"/>
  <c r="AP473" i="3"/>
  <c r="AP474" i="3"/>
  <c r="AP476" i="3"/>
  <c r="AP478" i="3"/>
  <c r="AP479" i="3"/>
  <c r="AP480" i="3"/>
  <c r="AP482" i="3"/>
  <c r="AP483" i="3"/>
  <c r="AP484" i="3"/>
  <c r="AP485" i="3"/>
  <c r="AP486" i="3"/>
  <c r="AP487" i="3"/>
  <c r="AP488" i="3"/>
  <c r="AP489" i="3"/>
  <c r="AP490" i="3"/>
  <c r="AP491" i="3"/>
  <c r="AP492" i="3"/>
  <c r="AP493" i="3"/>
  <c r="AP494" i="3"/>
  <c r="AP495" i="3"/>
  <c r="AP496" i="3"/>
  <c r="AP497" i="3"/>
  <c r="AP498" i="3"/>
  <c r="AP499" i="3"/>
  <c r="AP500" i="3"/>
  <c r="AP502" i="3"/>
  <c r="AP503" i="3"/>
  <c r="AP504" i="3"/>
  <c r="AP505" i="3"/>
  <c r="AP506" i="3"/>
  <c r="AP508" i="3"/>
  <c r="AP509" i="3"/>
  <c r="AP510" i="3"/>
  <c r="AP511" i="3"/>
  <c r="AP512" i="3"/>
  <c r="AP513" i="3"/>
  <c r="AP514" i="3"/>
  <c r="AP517" i="3"/>
  <c r="AP518" i="3"/>
  <c r="AP519" i="3"/>
  <c r="AP520" i="3"/>
  <c r="AP522" i="3"/>
  <c r="AP523" i="3"/>
  <c r="AP525" i="3"/>
  <c r="AP526" i="3"/>
  <c r="AP527" i="3"/>
  <c r="AP528" i="3"/>
  <c r="AP529" i="3"/>
  <c r="AP531" i="3"/>
  <c r="AP532" i="3"/>
  <c r="AP533" i="3"/>
  <c r="AP536" i="3"/>
  <c r="AP537" i="3"/>
  <c r="AP538" i="3"/>
  <c r="AP540" i="3"/>
  <c r="AP541" i="3"/>
  <c r="AP542" i="3"/>
  <c r="AP543" i="3"/>
  <c r="AP545" i="3"/>
  <c r="AP546" i="3"/>
  <c r="AP548" i="3"/>
  <c r="AP549" i="3"/>
  <c r="AP551" i="3"/>
  <c r="AP552" i="3"/>
  <c r="AP555" i="3"/>
  <c r="AP558" i="3"/>
  <c r="AP560" i="3"/>
  <c r="AP565" i="3"/>
  <c r="AP566" i="3"/>
  <c r="AP567" i="3"/>
  <c r="AP569" i="3"/>
  <c r="AP571" i="3"/>
  <c r="AP574" i="3"/>
  <c r="AP576" i="3"/>
  <c r="AP579" i="3"/>
  <c r="AP581" i="3"/>
  <c r="AP582" i="3"/>
  <c r="AP583" i="3"/>
  <c r="AP584" i="3"/>
  <c r="AP587" i="3"/>
  <c r="AP588" i="3"/>
  <c r="AP590" i="3"/>
  <c r="AP594" i="3"/>
  <c r="AP595" i="3"/>
  <c r="AP596" i="3"/>
  <c r="AP597" i="3"/>
  <c r="AP601" i="3"/>
  <c r="AP603" i="3"/>
  <c r="AP604" i="3"/>
  <c r="AP605" i="3"/>
  <c r="AP607" i="3"/>
  <c r="AP609" i="3"/>
  <c r="AP610" i="3"/>
  <c r="AP612" i="3"/>
  <c r="AP614" i="3"/>
  <c r="AP615" i="3"/>
  <c r="AP618" i="3"/>
  <c r="AP619" i="3"/>
  <c r="AP620" i="3"/>
  <c r="AP621" i="3"/>
  <c r="AP622" i="3"/>
  <c r="AP623" i="3"/>
  <c r="AP624" i="3"/>
  <c r="AP625" i="3"/>
  <c r="AP626" i="3"/>
  <c r="AP630" i="3"/>
  <c r="AP631" i="3"/>
  <c r="AP633" i="3"/>
  <c r="AP635" i="3"/>
  <c r="AP636" i="3"/>
  <c r="AP638" i="3"/>
  <c r="AP639" i="3"/>
  <c r="AP641" i="3"/>
  <c r="AP644" i="3"/>
  <c r="AP645" i="3"/>
  <c r="AP646" i="3"/>
  <c r="AP647" i="3"/>
  <c r="AP648" i="3"/>
  <c r="AP649" i="3"/>
  <c r="AP650" i="3"/>
  <c r="AP651" i="3"/>
  <c r="AP652" i="3"/>
  <c r="AP653" i="3"/>
  <c r="AP654" i="3"/>
  <c r="AP657" i="3"/>
  <c r="AP660" i="3"/>
  <c r="AP664" i="3"/>
  <c r="AP666" i="3"/>
  <c r="AP667" i="3"/>
  <c r="AP668" i="3"/>
  <c r="AP669" i="3"/>
  <c r="AP671" i="3"/>
  <c r="AP673" i="3"/>
  <c r="AO87" i="3"/>
  <c r="AO109" i="3"/>
  <c r="AO372" i="3"/>
  <c r="AO431" i="3"/>
  <c r="AO433" i="3"/>
  <c r="AO673" i="3"/>
  <c r="AN112" i="3"/>
  <c r="AV3" i="1"/>
  <c r="AV4"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8"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3" i="1"/>
  <c r="AV424" i="1"/>
  <c r="AV425" i="1"/>
  <c r="AV426" i="1"/>
  <c r="AV427" i="1"/>
  <c r="AV428" i="1"/>
  <c r="AV429" i="1"/>
  <c r="AV430" i="1"/>
  <c r="AV431" i="1"/>
  <c r="AV432" i="1"/>
  <c r="AV433" i="1"/>
  <c r="AV434" i="1"/>
  <c r="AV435" i="1"/>
  <c r="AV436" i="1"/>
  <c r="AV437" i="1"/>
  <c r="AV438" i="1"/>
  <c r="AV439" i="1"/>
  <c r="AV440" i="1"/>
  <c r="AV441" i="1"/>
  <c r="AV442" i="1"/>
  <c r="AV443" i="1"/>
  <c r="AV444" i="1"/>
  <c r="AV445" i="1"/>
  <c r="AV446" i="1"/>
  <c r="AV447" i="1"/>
  <c r="AV448" i="1"/>
  <c r="AV449" i="1"/>
  <c r="AV450" i="1"/>
  <c r="AV451" i="1"/>
  <c r="AV452" i="1"/>
  <c r="AV453" i="1"/>
  <c r="AV454" i="1"/>
  <c r="AV455" i="1"/>
  <c r="AV456" i="1"/>
  <c r="AV457" i="1"/>
  <c r="AV458" i="1"/>
  <c r="AV459" i="1"/>
  <c r="AV460" i="1"/>
  <c r="AV461" i="1"/>
  <c r="AV462" i="1"/>
  <c r="AV463" i="1"/>
  <c r="AV464" i="1"/>
  <c r="AV465" i="1"/>
  <c r="AV466" i="1"/>
  <c r="AV467" i="1"/>
  <c r="AV468" i="1"/>
  <c r="AV469" i="1"/>
  <c r="AV470" i="1"/>
  <c r="AV471" i="1"/>
  <c r="AV472" i="1"/>
  <c r="AV473" i="1"/>
  <c r="AV474" i="1"/>
  <c r="AV475" i="1"/>
  <c r="AV476" i="1"/>
  <c r="AV477" i="1"/>
  <c r="AV478" i="1"/>
  <c r="AV479" i="1"/>
  <c r="AV480" i="1"/>
  <c r="AV481" i="1"/>
  <c r="AV482" i="1"/>
  <c r="AV483" i="1"/>
  <c r="AV484" i="1"/>
  <c r="AV485" i="1"/>
  <c r="AV486" i="1"/>
  <c r="AV487" i="1"/>
  <c r="AV488" i="1"/>
  <c r="AV489" i="1"/>
  <c r="AV490" i="1"/>
  <c r="AV491" i="1"/>
  <c r="AV492" i="1"/>
  <c r="AV493" i="1"/>
  <c r="AV494" i="1"/>
  <c r="AV495" i="1"/>
  <c r="AV496" i="1"/>
  <c r="AV497" i="1"/>
  <c r="AV498" i="1"/>
  <c r="AV499" i="1"/>
  <c r="AV500" i="1"/>
  <c r="AV501" i="1"/>
  <c r="AV502" i="1"/>
  <c r="AV503" i="1"/>
  <c r="AV504" i="1"/>
  <c r="AV505" i="1"/>
  <c r="AV506" i="1"/>
  <c r="AV507" i="1"/>
  <c r="AV508" i="1"/>
  <c r="AV509" i="1"/>
  <c r="AV510" i="1"/>
  <c r="AV511" i="1"/>
  <c r="AV512" i="1"/>
  <c r="AV513" i="1"/>
  <c r="AV514" i="1"/>
  <c r="AV515" i="1"/>
  <c r="AV516" i="1"/>
  <c r="AV517" i="1"/>
  <c r="AV518" i="1"/>
  <c r="AV519" i="1"/>
  <c r="AV520" i="1"/>
  <c r="AV521" i="1"/>
  <c r="AV522" i="1"/>
  <c r="AV523" i="1"/>
  <c r="AV524" i="1"/>
  <c r="AV525" i="1"/>
  <c r="AV526" i="1"/>
  <c r="AV527" i="1"/>
  <c r="AV528" i="1"/>
  <c r="AV529" i="1"/>
  <c r="AV530" i="1"/>
  <c r="AV531" i="1"/>
  <c r="AV532" i="1"/>
  <c r="AV533" i="1"/>
  <c r="AV534" i="1"/>
  <c r="AV535" i="1"/>
  <c r="AV536" i="1"/>
  <c r="AV537" i="1"/>
  <c r="AV538" i="1"/>
  <c r="AV539" i="1"/>
  <c r="AV540" i="1"/>
  <c r="AV541" i="1"/>
  <c r="AV542" i="1"/>
  <c r="AV543" i="1"/>
  <c r="AV544" i="1"/>
  <c r="AV545" i="1"/>
  <c r="AV546" i="1"/>
  <c r="AV547" i="1"/>
  <c r="AV548" i="1"/>
  <c r="AV549" i="1"/>
  <c r="AV550" i="1"/>
  <c r="AV551" i="1"/>
  <c r="AV552" i="1"/>
  <c r="AV553" i="1"/>
  <c r="AV554" i="1"/>
  <c r="AV555" i="1"/>
  <c r="AV556" i="1"/>
  <c r="AV557" i="1"/>
  <c r="AV558" i="1"/>
  <c r="AV559" i="1"/>
  <c r="AV560" i="1"/>
  <c r="AV561" i="1"/>
  <c r="AV562" i="1"/>
  <c r="AV563" i="1"/>
  <c r="AV564" i="1"/>
  <c r="AV565" i="1"/>
  <c r="AV566" i="1"/>
  <c r="AV567" i="1"/>
  <c r="AV568" i="1"/>
  <c r="AV569" i="1"/>
  <c r="AV570" i="1"/>
  <c r="AV571" i="1"/>
  <c r="AV572" i="1"/>
  <c r="AV573" i="1"/>
  <c r="AV574" i="1"/>
  <c r="AV575" i="1"/>
  <c r="AV576"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V605" i="1"/>
  <c r="AV606" i="1"/>
  <c r="AV607" i="1"/>
  <c r="AV608" i="1"/>
  <c r="AV609" i="1"/>
  <c r="AV610" i="1"/>
  <c r="AV611" i="1"/>
  <c r="AV612" i="1"/>
  <c r="AV613" i="1"/>
  <c r="AV614" i="1"/>
  <c r="AV615" i="1"/>
  <c r="AV616" i="1"/>
  <c r="AV617" i="1"/>
  <c r="AV618" i="1"/>
  <c r="AV619" i="1"/>
  <c r="AV620" i="1"/>
  <c r="AV621" i="1"/>
  <c r="AV622" i="1"/>
  <c r="AV623" i="1"/>
  <c r="AV624" i="1"/>
  <c r="AV625" i="1"/>
  <c r="AV626" i="1"/>
  <c r="AV627" i="1"/>
  <c r="AV628" i="1"/>
  <c r="AV629" i="1"/>
  <c r="AV630" i="1"/>
  <c r="AV631" i="1"/>
  <c r="AV632" i="1"/>
  <c r="AV633" i="1"/>
  <c r="AV634" i="1"/>
  <c r="AV635" i="1"/>
  <c r="AV636" i="1"/>
  <c r="AV637" i="1"/>
  <c r="AV638" i="1"/>
  <c r="AV639" i="1"/>
  <c r="AV640" i="1"/>
  <c r="AV641" i="1"/>
  <c r="AV642" i="1"/>
  <c r="AV643" i="1"/>
  <c r="AV644" i="1"/>
  <c r="AV645" i="1"/>
  <c r="AV646" i="1"/>
  <c r="AV647" i="1"/>
  <c r="AV648" i="1"/>
  <c r="AV649" i="1"/>
  <c r="AV650" i="1"/>
  <c r="AV651" i="1"/>
  <c r="AV652" i="1"/>
  <c r="AV653" i="1"/>
  <c r="AV654" i="1"/>
  <c r="AV655" i="1"/>
  <c r="AV656" i="1"/>
  <c r="AV657" i="1"/>
  <c r="AV658" i="1"/>
  <c r="AV659" i="1"/>
  <c r="AV660" i="1"/>
  <c r="AV661" i="1"/>
  <c r="AV662" i="1"/>
  <c r="AV663" i="1"/>
  <c r="AV664" i="1"/>
  <c r="AV665" i="1"/>
  <c r="AV666" i="1"/>
  <c r="AV667" i="1"/>
  <c r="AV668" i="1"/>
  <c r="AV669" i="1"/>
  <c r="AV670" i="1"/>
  <c r="AV671" i="1"/>
  <c r="AV672" i="1"/>
  <c r="AV673" i="1"/>
  <c r="AV674" i="1"/>
  <c r="AV675" i="1"/>
  <c r="AV676" i="1"/>
  <c r="AV677" i="1"/>
  <c r="AV678" i="1"/>
  <c r="AV679" i="1"/>
  <c r="AV680" i="1"/>
  <c r="AV681" i="1"/>
  <c r="AV682" i="1"/>
  <c r="AV683" i="1"/>
  <c r="AV684" i="1"/>
  <c r="AV685" i="1"/>
  <c r="AV686" i="1"/>
  <c r="AV687" i="1"/>
  <c r="AV688" i="1"/>
  <c r="AV689" i="1"/>
  <c r="AV690" i="1"/>
  <c r="AV691" i="1"/>
  <c r="AV692" i="1"/>
  <c r="AV693" i="1"/>
  <c r="AV694" i="1"/>
  <c r="AV695" i="1"/>
  <c r="AV696" i="1"/>
  <c r="AV697" i="1"/>
  <c r="AV698" i="1"/>
  <c r="AV699" i="1"/>
  <c r="AV700" i="1"/>
  <c r="AV701" i="1"/>
  <c r="AV702" i="1"/>
  <c r="AV703" i="1"/>
  <c r="AV704" i="1"/>
  <c r="AV705" i="1"/>
  <c r="AV706" i="1"/>
  <c r="AV707" i="1"/>
  <c r="AV708" i="1"/>
  <c r="AV709" i="1"/>
  <c r="AV710" i="1"/>
  <c r="AV711" i="1"/>
  <c r="AV712" i="1"/>
  <c r="AV713" i="1"/>
  <c r="AV714" i="1"/>
  <c r="AV715" i="1"/>
  <c r="AV716" i="1"/>
  <c r="AV717" i="1"/>
  <c r="AV718" i="1"/>
  <c r="AV719" i="1"/>
  <c r="AV720" i="1"/>
  <c r="AV721" i="1"/>
  <c r="AV722" i="1"/>
  <c r="AV723" i="1"/>
  <c r="AV724" i="1"/>
  <c r="AV725" i="1"/>
  <c r="AV726" i="1"/>
  <c r="AV727" i="1"/>
  <c r="AV728" i="1"/>
  <c r="AV729" i="1"/>
  <c r="AV730" i="1"/>
  <c r="AV731" i="1"/>
  <c r="AV732" i="1"/>
  <c r="AV733" i="1"/>
  <c r="AV734" i="1"/>
  <c r="AV735" i="1"/>
  <c r="AV736" i="1"/>
  <c r="AV737" i="1"/>
  <c r="AV738" i="1"/>
  <c r="AV739" i="1"/>
  <c r="AV740" i="1"/>
  <c r="AV741" i="1"/>
  <c r="AV742" i="1"/>
  <c r="AV743" i="1"/>
  <c r="AV744" i="1"/>
  <c r="AV745" i="1"/>
  <c r="AV746" i="1"/>
  <c r="AV747" i="1"/>
  <c r="AV748" i="1"/>
  <c r="AV749" i="1"/>
  <c r="AV750" i="1"/>
  <c r="AV751" i="1"/>
  <c r="AV752" i="1"/>
  <c r="AV753" i="1"/>
  <c r="AV754" i="1"/>
  <c r="AV755" i="1"/>
  <c r="AV756" i="1"/>
  <c r="AV757" i="1"/>
  <c r="AV758" i="1"/>
  <c r="AV759" i="1"/>
  <c r="AV760" i="1"/>
  <c r="AV761" i="1"/>
  <c r="AV762" i="1"/>
  <c r="AV763" i="1"/>
  <c r="AV764" i="1"/>
  <c r="AV765" i="1"/>
  <c r="AV766" i="1"/>
  <c r="AV767"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V794" i="1"/>
  <c r="AV795" i="1"/>
  <c r="AV796" i="1"/>
  <c r="AV797" i="1"/>
  <c r="AV798" i="1"/>
  <c r="AV799" i="1"/>
  <c r="AV800" i="1"/>
  <c r="AV801" i="1"/>
  <c r="AV802" i="1"/>
  <c r="AV803" i="1"/>
  <c r="AV804" i="1"/>
  <c r="AV805" i="1"/>
  <c r="AV806" i="1"/>
  <c r="AV807" i="1"/>
  <c r="AV808" i="1"/>
  <c r="AV809" i="1"/>
  <c r="AV810" i="1"/>
  <c r="AV811" i="1"/>
  <c r="AV812" i="1"/>
  <c r="AV813" i="1"/>
  <c r="AV814" i="1"/>
  <c r="AV815" i="1"/>
  <c r="AV816" i="1"/>
  <c r="AV817" i="1"/>
  <c r="AV818" i="1"/>
  <c r="AV819" i="1"/>
  <c r="AV820" i="1"/>
  <c r="AV821" i="1"/>
  <c r="AV822" i="1"/>
  <c r="AV823" i="1"/>
  <c r="AV824" i="1"/>
  <c r="AV825" i="1"/>
  <c r="AV826" i="1"/>
  <c r="AV827" i="1"/>
  <c r="AV828" i="1"/>
  <c r="AV829" i="1"/>
  <c r="AV830" i="1"/>
  <c r="AV831" i="1"/>
  <c r="AV832" i="1"/>
  <c r="AV833" i="1"/>
  <c r="AV834" i="1"/>
  <c r="AV835" i="1"/>
  <c r="AV836" i="1"/>
  <c r="AV837" i="1"/>
  <c r="AV838" i="1"/>
  <c r="AV839" i="1"/>
  <c r="AV840" i="1"/>
  <c r="AV841" i="1"/>
  <c r="AV842" i="1"/>
  <c r="AV843" i="1"/>
  <c r="AV844" i="1"/>
  <c r="AV845" i="1"/>
  <c r="AV846" i="1"/>
  <c r="AV847" i="1"/>
  <c r="AV848" i="1"/>
  <c r="AV849" i="1"/>
  <c r="AV850" i="1"/>
  <c r="AV851" i="1"/>
  <c r="AV852" i="1"/>
  <c r="AV853" i="1"/>
  <c r="AV854" i="1"/>
  <c r="AV855" i="1"/>
  <c r="AV856" i="1"/>
  <c r="AV857" i="1"/>
  <c r="AV858" i="1"/>
  <c r="AV859" i="1"/>
  <c r="AV860" i="1"/>
  <c r="AV861" i="1"/>
  <c r="AV862" i="1"/>
  <c r="AV863" i="1"/>
  <c r="AV864" i="1"/>
  <c r="AV865" i="1"/>
  <c r="AV866" i="1"/>
  <c r="AV867" i="1"/>
  <c r="AV868" i="1"/>
  <c r="AV869" i="1"/>
  <c r="AV870" i="1"/>
  <c r="AV871" i="1"/>
  <c r="AV872" i="1"/>
  <c r="AV873" i="1"/>
  <c r="AV874" i="1"/>
  <c r="AV875" i="1"/>
  <c r="AV876" i="1"/>
  <c r="AV877" i="1"/>
  <c r="AV878" i="1"/>
  <c r="AV879" i="1"/>
  <c r="AV880" i="1"/>
  <c r="AV881" i="1"/>
  <c r="AV882" i="1"/>
  <c r="AV883" i="1"/>
  <c r="AV884" i="1"/>
  <c r="AV885" i="1"/>
  <c r="AV886" i="1"/>
  <c r="AV887" i="1"/>
  <c r="AV888" i="1"/>
  <c r="AV889" i="1"/>
  <c r="AV890" i="1"/>
  <c r="AV891" i="1"/>
  <c r="AV892" i="1"/>
  <c r="AV893" i="1"/>
  <c r="AV894" i="1"/>
  <c r="AV895" i="1"/>
  <c r="AV896" i="1"/>
  <c r="AV897" i="1"/>
  <c r="AV898" i="1"/>
  <c r="AV899" i="1"/>
  <c r="AV900" i="1"/>
  <c r="AV901" i="1"/>
  <c r="AV902" i="1"/>
  <c r="AV903" i="1"/>
  <c r="AV904" i="1"/>
  <c r="AV905" i="1"/>
  <c r="AV906" i="1"/>
  <c r="AV907" i="1"/>
  <c r="AV908" i="1"/>
  <c r="AV909" i="1"/>
  <c r="AV910" i="1"/>
  <c r="AV911" i="1"/>
  <c r="AV912" i="1"/>
  <c r="AV913" i="1"/>
  <c r="AV914" i="1"/>
  <c r="AV915" i="1"/>
  <c r="AV916" i="1"/>
  <c r="AV917" i="1"/>
  <c r="AV918" i="1"/>
  <c r="AV919" i="1"/>
  <c r="AV920" i="1"/>
  <c r="AV921" i="1"/>
  <c r="AV922" i="1"/>
  <c r="AV923" i="1"/>
  <c r="AV924" i="1"/>
  <c r="AV925" i="1"/>
  <c r="AV926" i="1"/>
  <c r="AV927" i="1"/>
  <c r="AV928" i="1"/>
  <c r="AV929" i="1"/>
  <c r="AV930" i="1"/>
  <c r="AV931" i="1"/>
  <c r="AV932" i="1"/>
  <c r="AV933" i="1"/>
  <c r="AV934" i="1"/>
  <c r="AV935" i="1"/>
  <c r="AV936" i="1"/>
  <c r="AV937" i="1"/>
  <c r="AV938" i="1"/>
  <c r="AV939" i="1"/>
  <c r="AV940" i="1"/>
  <c r="AV941" i="1"/>
  <c r="AV942" i="1"/>
  <c r="AV943" i="1"/>
  <c r="AV944" i="1"/>
  <c r="AV945" i="1"/>
  <c r="AV946" i="1"/>
  <c r="AV947" i="1"/>
  <c r="AV948" i="1"/>
  <c r="AV949" i="1"/>
  <c r="AV950" i="1"/>
  <c r="AV951" i="1"/>
  <c r="AV952" i="1"/>
  <c r="AV953" i="1"/>
  <c r="AV954" i="1"/>
  <c r="AV955" i="1"/>
  <c r="AV956" i="1"/>
  <c r="AV957" i="1"/>
  <c r="AV958" i="1"/>
  <c r="AV959" i="1"/>
  <c r="AV960" i="1"/>
  <c r="AV961" i="1"/>
  <c r="AV962" i="1"/>
  <c r="AV963" i="1"/>
  <c r="AV964" i="1"/>
  <c r="AV965" i="1"/>
  <c r="AV966" i="1"/>
  <c r="AV967" i="1"/>
  <c r="AV968" i="1"/>
  <c r="AV969" i="1"/>
  <c r="AV970" i="1"/>
  <c r="AV971" i="1"/>
  <c r="AV972" i="1"/>
  <c r="AV973" i="1"/>
  <c r="AV974" i="1"/>
  <c r="AV975" i="1"/>
  <c r="AV976" i="1"/>
  <c r="AV977" i="1"/>
  <c r="AV978" i="1"/>
  <c r="AV979" i="1"/>
  <c r="AV980" i="1"/>
  <c r="AV981" i="1"/>
  <c r="AV982" i="1"/>
  <c r="AV983" i="1"/>
  <c r="AV984" i="1"/>
  <c r="AV985" i="1"/>
  <c r="AV986" i="1"/>
  <c r="AV987" i="1"/>
  <c r="AV988" i="1"/>
  <c r="AV989" i="1"/>
  <c r="AV990" i="1"/>
  <c r="AV991" i="1"/>
  <c r="AV992" i="1"/>
  <c r="AV993" i="1"/>
  <c r="AV994" i="1"/>
  <c r="AV995" i="1"/>
  <c r="AV996" i="1"/>
  <c r="AV997" i="1"/>
  <c r="AV998" i="1"/>
  <c r="AV999" i="1"/>
  <c r="AV1000" i="1"/>
  <c r="AV1001" i="1"/>
  <c r="AV1002" i="1"/>
  <c r="AV1003" i="1"/>
  <c r="AV1004" i="1"/>
  <c r="AV1005" i="1"/>
  <c r="AV1006" i="1"/>
  <c r="AV1007" i="1"/>
  <c r="AV1008" i="1"/>
  <c r="AV1009" i="1"/>
  <c r="AV1010" i="1"/>
  <c r="AV1011" i="1"/>
  <c r="AV1012" i="1"/>
  <c r="AV1013" i="1"/>
  <c r="AV1014" i="1"/>
  <c r="AV1015" i="1"/>
  <c r="AV1016" i="1"/>
  <c r="AV1017" i="1"/>
  <c r="AV1018" i="1"/>
  <c r="AV1019" i="1"/>
  <c r="AV1020" i="1"/>
  <c r="AV1021" i="1"/>
  <c r="AV1022" i="1"/>
  <c r="AV1023" i="1"/>
  <c r="AV1024" i="1"/>
  <c r="AV1025" i="1"/>
  <c r="AV1026" i="1"/>
  <c r="AV1027" i="1"/>
  <c r="AV1028" i="1"/>
  <c r="AV1029" i="1"/>
  <c r="AV1030" i="1"/>
  <c r="AV1031" i="1"/>
  <c r="AV1032" i="1"/>
  <c r="AV1033" i="1"/>
  <c r="AV1034" i="1"/>
  <c r="AV1035" i="1"/>
  <c r="AV1036" i="1"/>
  <c r="AV1037" i="1"/>
  <c r="AV1038" i="1"/>
  <c r="AV1039" i="1"/>
  <c r="AV1040" i="1"/>
  <c r="AV1041" i="1"/>
  <c r="AV1042" i="1"/>
  <c r="AV1043" i="1"/>
  <c r="AV1044" i="1"/>
  <c r="AV1045" i="1"/>
  <c r="AV1046" i="1"/>
  <c r="AV1047" i="1"/>
  <c r="AV1048" i="1"/>
  <c r="AV1049" i="1"/>
  <c r="AV1050" i="1"/>
  <c r="AV1051" i="1"/>
  <c r="AV1052" i="1"/>
  <c r="AV1053" i="1"/>
  <c r="AV1054" i="1"/>
  <c r="AV1055" i="1"/>
  <c r="AV1056" i="1"/>
  <c r="AV1057" i="1"/>
  <c r="AV1058" i="1"/>
  <c r="AV1059" i="1"/>
  <c r="AV1060" i="1"/>
  <c r="AV1061" i="1"/>
  <c r="AV1062" i="1"/>
  <c r="AV1063" i="1"/>
  <c r="AV1064" i="1"/>
  <c r="AV1065" i="1"/>
  <c r="AV1066" i="1"/>
  <c r="AV1067" i="1"/>
  <c r="AV1068" i="1"/>
  <c r="AV1069" i="1"/>
  <c r="AV1070" i="1"/>
  <c r="AV1071" i="1"/>
  <c r="AV1072" i="1"/>
  <c r="AV1073" i="1"/>
  <c r="AV1074" i="1"/>
  <c r="AV1075" i="1"/>
  <c r="AV1076" i="1"/>
  <c r="AV1077" i="1"/>
  <c r="AV1078" i="1"/>
  <c r="AV1079" i="1"/>
  <c r="AV1080" i="1"/>
  <c r="AV1081" i="1"/>
  <c r="AV1082" i="1"/>
  <c r="AV1083" i="1"/>
  <c r="AV1084" i="1"/>
  <c r="AV1085" i="1"/>
  <c r="AV1086" i="1"/>
  <c r="AV1087" i="1"/>
  <c r="AV1088" i="1"/>
  <c r="AV1089" i="1"/>
  <c r="AV1090" i="1"/>
  <c r="AV1091" i="1"/>
  <c r="AV1092" i="1"/>
  <c r="AV1093" i="1"/>
  <c r="AV1094" i="1"/>
  <c r="AV1095" i="1"/>
  <c r="AV1096" i="1"/>
  <c r="AV1097" i="1"/>
  <c r="AV1098" i="1"/>
  <c r="AV1099" i="1"/>
  <c r="AV1100" i="1"/>
  <c r="AV1101" i="1"/>
  <c r="AV1102" i="1"/>
  <c r="AV1103" i="1"/>
  <c r="AV1104" i="1"/>
  <c r="AV1105" i="1"/>
  <c r="AV1106" i="1"/>
  <c r="AV1107" i="1"/>
  <c r="AV1108" i="1"/>
  <c r="AV1109" i="1"/>
  <c r="AV1110" i="1"/>
  <c r="AV1111" i="1"/>
  <c r="AV1112" i="1"/>
  <c r="AV1113" i="1"/>
  <c r="AV1114" i="1"/>
  <c r="AV1115" i="1"/>
  <c r="AV1116" i="1"/>
  <c r="AV1117" i="1"/>
  <c r="AV1118" i="1"/>
  <c r="AV1119" i="1"/>
  <c r="AV1120" i="1"/>
  <c r="AV1121" i="1"/>
  <c r="AV1122" i="1"/>
  <c r="AV1123" i="1"/>
  <c r="AV1124" i="1"/>
  <c r="AV1125" i="1"/>
  <c r="AV1126" i="1"/>
  <c r="AV1127" i="1"/>
  <c r="AV1128" i="1"/>
  <c r="AV1129" i="1"/>
  <c r="AV1130" i="1"/>
  <c r="AV1131" i="1"/>
  <c r="AV1132" i="1"/>
  <c r="AV1133" i="1"/>
  <c r="AV1134" i="1"/>
  <c r="AV1135" i="1"/>
  <c r="AV1136" i="1"/>
  <c r="AV1137" i="1"/>
  <c r="AV1138" i="1"/>
  <c r="AV1139" i="1"/>
  <c r="AV1140" i="1"/>
  <c r="AV1141" i="1"/>
  <c r="AV1142" i="1"/>
  <c r="AV1143" i="1"/>
  <c r="AV1144" i="1"/>
  <c r="AV1145" i="1"/>
  <c r="AV1146" i="1"/>
  <c r="AV1147" i="1"/>
  <c r="AV1148" i="1"/>
  <c r="AV1149" i="1"/>
  <c r="AV1150" i="1"/>
  <c r="AV1151" i="1"/>
  <c r="AV1152" i="1"/>
  <c r="AV1153" i="1"/>
  <c r="AV1154" i="1"/>
  <c r="AV1155" i="1"/>
  <c r="AV1156" i="1"/>
  <c r="AV1157" i="1"/>
  <c r="AV1158" i="1"/>
  <c r="AV1159" i="1"/>
  <c r="AV1160" i="1"/>
  <c r="AV1161" i="1"/>
  <c r="AV1162" i="1"/>
  <c r="AV1163" i="1"/>
  <c r="AV1164" i="1"/>
  <c r="AV1165" i="1"/>
  <c r="AV1166" i="1"/>
  <c r="AV1167" i="1"/>
  <c r="AV1168" i="1"/>
  <c r="AV1169" i="1"/>
  <c r="AV1170" i="1"/>
  <c r="AV1171" i="1"/>
  <c r="AV1172" i="1"/>
  <c r="AV1173" i="1"/>
  <c r="AV1174" i="1"/>
  <c r="AV1175" i="1"/>
  <c r="AV1176" i="1"/>
  <c r="AV1177" i="1"/>
  <c r="AV1178" i="1"/>
  <c r="AV1179" i="1"/>
  <c r="AV1180" i="1"/>
  <c r="AV1181" i="1"/>
  <c r="AV1182" i="1"/>
  <c r="AV1183" i="1"/>
  <c r="AV1184" i="1"/>
  <c r="AV1185" i="1"/>
  <c r="AV1186" i="1"/>
  <c r="AV1187" i="1"/>
  <c r="AV1188" i="1"/>
  <c r="AV1189" i="1"/>
  <c r="AV1190" i="1"/>
  <c r="AV1191" i="1"/>
  <c r="AV1192" i="1"/>
  <c r="AV1193" i="1"/>
  <c r="AV1194" i="1"/>
  <c r="AV1195" i="1"/>
  <c r="AV1196" i="1"/>
  <c r="AV1197" i="1"/>
  <c r="AV1198" i="1"/>
  <c r="AV1199" i="1"/>
  <c r="AV1200" i="1"/>
  <c r="AV1201" i="1"/>
  <c r="AV1202" i="1"/>
  <c r="AV1203" i="1"/>
  <c r="AV1204" i="1"/>
  <c r="AV1205" i="1"/>
  <c r="AV1206" i="1"/>
  <c r="AV1207" i="1"/>
  <c r="AV1208" i="1"/>
  <c r="AV1209" i="1"/>
  <c r="AV1210" i="1"/>
  <c r="AV1211" i="1"/>
  <c r="AV1212" i="1"/>
  <c r="AV1213" i="1"/>
  <c r="AV1214" i="1"/>
  <c r="AV1215" i="1"/>
  <c r="AV1216" i="1"/>
  <c r="AV1217" i="1"/>
  <c r="AV1218" i="1"/>
  <c r="AV1219" i="1"/>
  <c r="AV1220" i="1"/>
  <c r="AV1221" i="1"/>
  <c r="AV1222" i="1"/>
  <c r="AV1223" i="1"/>
  <c r="AV1224" i="1"/>
  <c r="AV1225" i="1"/>
  <c r="AV1226" i="1"/>
  <c r="AV1227" i="1"/>
  <c r="AV1228" i="1"/>
  <c r="AV1229" i="1"/>
  <c r="AV1230" i="1"/>
  <c r="AV1231" i="1"/>
  <c r="AV1232" i="1"/>
  <c r="AV1233" i="1"/>
  <c r="AV1234" i="1"/>
  <c r="AV1235" i="1"/>
  <c r="AV1236" i="1"/>
  <c r="AV1237" i="1"/>
  <c r="AV1238" i="1"/>
  <c r="AV1239" i="1"/>
  <c r="AV1240" i="1"/>
  <c r="AV1241" i="1"/>
  <c r="AV1242" i="1"/>
  <c r="AV1243" i="1"/>
  <c r="AV1244" i="1"/>
  <c r="AV1245" i="1"/>
  <c r="AV1246" i="1"/>
  <c r="AV1247" i="1"/>
  <c r="AV1248" i="1"/>
  <c r="AV1249" i="1"/>
  <c r="AV1250" i="1"/>
  <c r="AV1251" i="1"/>
  <c r="AV1252" i="1"/>
  <c r="AV1253" i="1"/>
  <c r="AV1254" i="1"/>
  <c r="AV1255" i="1"/>
  <c r="AV1256" i="1"/>
  <c r="AV1257" i="1"/>
  <c r="AV1258" i="1"/>
  <c r="AV1259" i="1"/>
  <c r="AV1260" i="1"/>
  <c r="AV1261" i="1"/>
  <c r="AV1262" i="1"/>
  <c r="AV1263" i="1"/>
  <c r="AV1264" i="1"/>
  <c r="AV1265" i="1"/>
  <c r="AV1266" i="1"/>
  <c r="AV1267" i="1"/>
  <c r="AV1268" i="1"/>
  <c r="AV1269" i="1"/>
  <c r="AV1270" i="1"/>
  <c r="AV1271" i="1"/>
  <c r="AV1272" i="1"/>
  <c r="AV1273" i="1"/>
  <c r="AV1274" i="1"/>
  <c r="AV1275" i="1"/>
  <c r="AV1276" i="1"/>
  <c r="AV1277" i="1"/>
  <c r="AV1278" i="1"/>
  <c r="AV1279" i="1"/>
  <c r="AV1280" i="1"/>
  <c r="AV1281" i="1"/>
  <c r="AV1282" i="1"/>
  <c r="AV1283" i="1"/>
  <c r="AV1284" i="1"/>
  <c r="AV1285" i="1"/>
  <c r="AV1286" i="1"/>
  <c r="AV1287" i="1"/>
  <c r="AV1288" i="1"/>
  <c r="AV1289" i="1"/>
  <c r="AV1290" i="1"/>
  <c r="AV1291" i="1"/>
  <c r="AV1292" i="1"/>
  <c r="AV1293" i="1"/>
  <c r="AV1294" i="1"/>
  <c r="AV1295" i="1"/>
  <c r="AV1296" i="1"/>
  <c r="AV1297" i="1"/>
  <c r="AV1298" i="1"/>
  <c r="AV1299" i="1"/>
  <c r="AV1300" i="1"/>
  <c r="AV1301" i="1"/>
  <c r="AV1302" i="1"/>
  <c r="AV1303" i="1"/>
  <c r="AV1304" i="1"/>
  <c r="AV1305" i="1"/>
  <c r="AV1306" i="1"/>
  <c r="AV1307" i="1"/>
  <c r="AV1308" i="1"/>
  <c r="AV1309" i="1"/>
  <c r="AV1310" i="1"/>
  <c r="AV1311" i="1"/>
  <c r="AV1312" i="1"/>
  <c r="AV1313" i="1"/>
  <c r="AV1314" i="1"/>
  <c r="AV1315" i="1"/>
  <c r="AV1316" i="1"/>
  <c r="AV1317" i="1"/>
  <c r="AV1318" i="1"/>
  <c r="AV1319" i="1"/>
  <c r="AV1320" i="1"/>
  <c r="AV1321" i="1"/>
  <c r="AV1322" i="1"/>
  <c r="AV1323" i="1"/>
  <c r="AV1324" i="1"/>
  <c r="AV1325" i="1"/>
  <c r="AV1326" i="1"/>
  <c r="AV1327" i="1"/>
  <c r="AV1328" i="1"/>
  <c r="AV1329" i="1"/>
  <c r="AV1330" i="1"/>
  <c r="AV1331" i="1"/>
  <c r="AV1332" i="1"/>
  <c r="AV1333" i="1"/>
  <c r="AV1334" i="1"/>
  <c r="AV1335" i="1"/>
  <c r="AV1336" i="1"/>
  <c r="AV1337" i="1"/>
  <c r="AV1338" i="1"/>
  <c r="AV1339" i="1"/>
  <c r="AV1340" i="1"/>
  <c r="AV1341" i="1"/>
  <c r="AV1342" i="1"/>
  <c r="AV1343" i="1"/>
  <c r="AV1344" i="1"/>
  <c r="AV1345" i="1"/>
  <c r="AV1346" i="1"/>
  <c r="AV1347" i="1"/>
  <c r="AV1348" i="1"/>
  <c r="AV1349" i="1"/>
  <c r="AV1350" i="1"/>
  <c r="AV1351" i="1"/>
  <c r="AV1352" i="1"/>
  <c r="AV1353" i="1"/>
  <c r="AV1354" i="1"/>
  <c r="AV1355" i="1"/>
  <c r="AV1356" i="1"/>
  <c r="AV1357" i="1"/>
  <c r="AV1358" i="1"/>
  <c r="AV1359" i="1"/>
  <c r="AV1360" i="1"/>
  <c r="AV1361" i="1"/>
  <c r="AV1362" i="1"/>
  <c r="AV1363" i="1"/>
  <c r="AV1364" i="1"/>
  <c r="AV1365" i="1"/>
  <c r="AV1366" i="1"/>
  <c r="AV1367" i="1"/>
  <c r="AV1368" i="1"/>
  <c r="AV1369" i="1"/>
  <c r="AV1370" i="1"/>
  <c r="AV1371" i="1"/>
  <c r="AV1372" i="1"/>
  <c r="AV1373" i="1"/>
  <c r="AV1374" i="1"/>
  <c r="AV1375" i="1"/>
  <c r="AV1376" i="1"/>
  <c r="AV1377" i="1"/>
  <c r="AV1378" i="1"/>
  <c r="AV1379" i="1"/>
  <c r="AV1380" i="1"/>
  <c r="AV1381" i="1"/>
  <c r="AV1382" i="1"/>
  <c r="AV1383" i="1"/>
  <c r="AV1384" i="1"/>
  <c r="AV1385" i="1"/>
  <c r="AV1386" i="1"/>
  <c r="AV1387" i="1"/>
  <c r="AV1388" i="1"/>
  <c r="AV1389" i="1"/>
  <c r="AV1390" i="1"/>
  <c r="AV1391" i="1"/>
  <c r="AV1392" i="1"/>
  <c r="AV1393" i="1"/>
  <c r="AV1394" i="1"/>
  <c r="AV1395" i="1"/>
  <c r="AV1396" i="1"/>
  <c r="AV1397" i="1"/>
  <c r="AV1398" i="1"/>
  <c r="AV1399" i="1"/>
  <c r="AV1400" i="1"/>
  <c r="AV1401" i="1"/>
  <c r="AV1402" i="1"/>
  <c r="AV1403" i="1"/>
  <c r="AV1404" i="1"/>
  <c r="AV1405" i="1"/>
  <c r="AV1406" i="1"/>
  <c r="AV1407" i="1"/>
  <c r="AV1408" i="1"/>
  <c r="AV1409" i="1"/>
  <c r="AV1410" i="1"/>
  <c r="AV1411" i="1"/>
  <c r="AV1412" i="1"/>
  <c r="AV1413" i="1"/>
  <c r="AV1414" i="1"/>
  <c r="AV1415" i="1"/>
  <c r="AV1416" i="1"/>
  <c r="AV1417" i="1"/>
  <c r="AV1418" i="1"/>
  <c r="AV1419" i="1"/>
  <c r="AV1420" i="1"/>
  <c r="AV1421" i="1"/>
  <c r="AV1422" i="1"/>
  <c r="AV1423" i="1"/>
  <c r="AV1424" i="1"/>
  <c r="AV1425" i="1"/>
  <c r="AV1426" i="1"/>
  <c r="AV1427" i="1"/>
  <c r="AV1428" i="1"/>
  <c r="AV1429" i="1"/>
  <c r="AV1430" i="1"/>
  <c r="AV1431" i="1"/>
  <c r="AV1432" i="1"/>
  <c r="AV1433" i="1"/>
  <c r="AV1434" i="1"/>
  <c r="AV1435" i="1"/>
  <c r="AV1436" i="1"/>
  <c r="AV1437" i="1"/>
  <c r="AV1438" i="1"/>
  <c r="AV1439" i="1"/>
  <c r="AV1440" i="1"/>
  <c r="AV1441" i="1"/>
  <c r="AV1442" i="1"/>
  <c r="AV1443" i="1"/>
  <c r="AV1444" i="1"/>
  <c r="AV1445" i="1"/>
  <c r="AV1446" i="1"/>
  <c r="AV1447" i="1"/>
  <c r="AV1448" i="1"/>
  <c r="AV1449" i="1"/>
  <c r="AV1450" i="1"/>
  <c r="AV1451" i="1"/>
  <c r="AV1452" i="1"/>
  <c r="AV1453" i="1"/>
  <c r="AV1454" i="1"/>
  <c r="AV1455" i="1"/>
  <c r="AV1456" i="1"/>
  <c r="AV1457" i="1"/>
  <c r="AV1458" i="1"/>
  <c r="AV1459" i="1"/>
  <c r="AV1460" i="1"/>
  <c r="AV1461" i="1"/>
  <c r="AV1462" i="1"/>
  <c r="AV1463" i="1"/>
  <c r="AV1464" i="1"/>
  <c r="AV1465" i="1"/>
  <c r="AV1466" i="1"/>
  <c r="AV1467" i="1"/>
  <c r="AV1468" i="1"/>
  <c r="AV1469" i="1"/>
  <c r="AV1470" i="1"/>
  <c r="AV1471" i="1"/>
  <c r="AV1472" i="1"/>
  <c r="AV1473" i="1"/>
  <c r="AV1474" i="1"/>
  <c r="AV1475" i="1"/>
  <c r="AV1476" i="1"/>
  <c r="AV1477" i="1"/>
  <c r="AV1478" i="1"/>
  <c r="AV1479" i="1"/>
  <c r="AV1480" i="1"/>
  <c r="AV1481" i="1"/>
  <c r="AV1482" i="1"/>
  <c r="AV1483" i="1"/>
  <c r="AV1484" i="1"/>
  <c r="AV1485" i="1"/>
  <c r="AV1486" i="1"/>
  <c r="AV1487" i="1"/>
  <c r="AV1488" i="1"/>
  <c r="AV1489" i="1"/>
  <c r="AV1490" i="1"/>
  <c r="AV1491" i="1"/>
  <c r="AV1492" i="1"/>
  <c r="AV1493" i="1"/>
  <c r="AV1494" i="1"/>
  <c r="AV1495" i="1"/>
  <c r="AV1496" i="1"/>
  <c r="AV1497" i="1"/>
  <c r="AV1498" i="1"/>
  <c r="AV1499" i="1"/>
  <c r="AV1500" i="1"/>
  <c r="AV1501" i="1"/>
  <c r="AV1502" i="1"/>
  <c r="AV1503" i="1"/>
  <c r="AV1504" i="1"/>
  <c r="AV1505" i="1"/>
  <c r="AV1506" i="1"/>
  <c r="AV1507" i="1"/>
  <c r="AV1508" i="1"/>
  <c r="AV1509" i="1"/>
  <c r="AV1510" i="1"/>
  <c r="AV1511" i="1"/>
  <c r="AV1512" i="1"/>
  <c r="AV1513" i="1"/>
  <c r="AV1514" i="1"/>
  <c r="AV1515" i="1"/>
  <c r="AV1516" i="1"/>
  <c r="AV1517" i="1"/>
  <c r="AV1518" i="1"/>
  <c r="AV1519" i="1"/>
  <c r="AV1520" i="1"/>
  <c r="AV1521" i="1"/>
  <c r="AV1522" i="1"/>
  <c r="AV1523" i="1"/>
  <c r="AV1524" i="1"/>
  <c r="AV1525" i="1"/>
  <c r="AV1526" i="1"/>
  <c r="AV1527" i="1"/>
  <c r="AV1528" i="1"/>
  <c r="AV1529" i="1"/>
  <c r="AV1530" i="1"/>
  <c r="AV1531" i="1"/>
  <c r="AV1532" i="1"/>
  <c r="AV1533" i="1"/>
  <c r="AV1534" i="1"/>
  <c r="AV1535" i="1"/>
  <c r="AV1536" i="1"/>
  <c r="AV1537" i="1"/>
  <c r="AV1538" i="1"/>
  <c r="AV1539" i="1"/>
  <c r="AV1540" i="1"/>
  <c r="AV1541" i="1"/>
  <c r="AV1542" i="1"/>
  <c r="AV1543" i="1"/>
  <c r="AV1544" i="1"/>
  <c r="AV1545" i="1"/>
  <c r="AV1546" i="1"/>
  <c r="AV1547" i="1"/>
  <c r="AV1548" i="1"/>
  <c r="AV1549" i="1"/>
  <c r="AV1550" i="1"/>
  <c r="AV1551" i="1"/>
  <c r="AV1552" i="1"/>
  <c r="AV1553" i="1"/>
  <c r="AV1554" i="1"/>
  <c r="AV1555" i="1"/>
  <c r="AV1556" i="1"/>
  <c r="AV1557" i="1"/>
  <c r="AV1558" i="1"/>
  <c r="AV1559" i="1"/>
  <c r="AV1560" i="1"/>
  <c r="AV1561" i="1"/>
  <c r="AV1562" i="1"/>
  <c r="AV1563" i="1"/>
  <c r="AV1564" i="1"/>
  <c r="AV1565" i="1"/>
  <c r="AV1566" i="1"/>
  <c r="AV1567" i="1"/>
  <c r="AV1568" i="1"/>
  <c r="AV1569" i="1"/>
  <c r="AV1570" i="1"/>
  <c r="AV1571" i="1"/>
  <c r="AV1572" i="1"/>
  <c r="AV1573" i="1"/>
  <c r="AV1574" i="1"/>
  <c r="AV1575" i="1"/>
  <c r="AV1576" i="1"/>
  <c r="AV1577" i="1"/>
  <c r="AV1578" i="1"/>
  <c r="AV1579" i="1"/>
  <c r="AV1580" i="1"/>
  <c r="AV1581" i="1"/>
  <c r="AV1582" i="1"/>
  <c r="AV1583" i="1"/>
  <c r="AV1584" i="1"/>
  <c r="AV1585" i="1"/>
  <c r="AV1586" i="1"/>
  <c r="AV1587" i="1"/>
  <c r="AV1588" i="1"/>
  <c r="AV1589" i="1"/>
  <c r="AV1590" i="1"/>
  <c r="AV1591" i="1"/>
  <c r="AV1592" i="1"/>
  <c r="AV1593" i="1"/>
  <c r="AV1594" i="1"/>
  <c r="AV1595" i="1"/>
  <c r="AV1596" i="1"/>
  <c r="AV1597" i="1"/>
  <c r="AV1598" i="1"/>
  <c r="AV1599" i="1"/>
  <c r="AV1600" i="1"/>
  <c r="AV1601" i="1"/>
  <c r="AV1602" i="1"/>
  <c r="AV1603" i="1"/>
  <c r="AV1604" i="1"/>
  <c r="AV1605" i="1"/>
  <c r="AV1606" i="1"/>
  <c r="AV1607" i="1"/>
  <c r="AV1608" i="1"/>
  <c r="AV1609" i="1"/>
  <c r="AV1610" i="1"/>
  <c r="AV1611" i="1"/>
  <c r="AV1612" i="1"/>
  <c r="AV1613" i="1"/>
  <c r="AV1614" i="1"/>
  <c r="AV1615" i="1"/>
  <c r="AV1616" i="1"/>
  <c r="AV1617" i="1"/>
  <c r="AV1618" i="1"/>
  <c r="AV1619" i="1"/>
  <c r="AV1620" i="1"/>
  <c r="AV1621" i="1"/>
  <c r="AV1622" i="1"/>
  <c r="AV1623" i="1"/>
  <c r="AV1624" i="1"/>
  <c r="AV1625" i="1"/>
  <c r="AV1626" i="1"/>
  <c r="AV1627" i="1"/>
  <c r="AV1628" i="1"/>
  <c r="AV1629" i="1"/>
  <c r="AV1630" i="1"/>
  <c r="AV1631" i="1"/>
  <c r="AV1632" i="1"/>
  <c r="AV1633" i="1"/>
  <c r="AV1634" i="1"/>
  <c r="AV1635" i="1"/>
  <c r="AV1636" i="1"/>
  <c r="AV1637" i="1"/>
  <c r="AV1638" i="1"/>
  <c r="AV1639" i="1"/>
  <c r="AV1640" i="1"/>
  <c r="AV1641" i="1"/>
  <c r="AV1642" i="1"/>
  <c r="AV1643" i="1"/>
  <c r="AV1644" i="1"/>
  <c r="AV1645" i="1"/>
  <c r="AV1646" i="1"/>
  <c r="AV1647" i="1"/>
  <c r="AV1648" i="1"/>
  <c r="AV1649" i="1"/>
  <c r="AV1650" i="1"/>
  <c r="AV1651" i="1"/>
  <c r="AV1652" i="1"/>
  <c r="AV1653" i="1"/>
  <c r="AV1654" i="1"/>
  <c r="AV1655" i="1"/>
  <c r="AV1656" i="1"/>
  <c r="AV1657" i="1"/>
  <c r="AV1658" i="1"/>
  <c r="AV1659" i="1"/>
  <c r="AV1660" i="1"/>
  <c r="AV1661" i="1"/>
  <c r="AV1662" i="1"/>
  <c r="AV1663" i="1"/>
  <c r="AV1664" i="1"/>
  <c r="AV1665" i="1"/>
  <c r="AV1666" i="1"/>
  <c r="AV1667" i="1"/>
  <c r="AV1668" i="1"/>
  <c r="AV1669" i="1"/>
  <c r="AV1670" i="1"/>
  <c r="AV1671" i="1"/>
  <c r="AV1672" i="1"/>
  <c r="AV1673" i="1"/>
  <c r="AV1674" i="1"/>
  <c r="AV1675" i="1"/>
  <c r="AV1676" i="1"/>
  <c r="AV1677" i="1"/>
  <c r="AV1678" i="1"/>
  <c r="AV1679" i="1"/>
  <c r="AV1680" i="1"/>
  <c r="AV1681" i="1"/>
  <c r="AV1682" i="1"/>
  <c r="AV1683" i="1"/>
  <c r="AV1684" i="1"/>
  <c r="AV1685" i="1"/>
  <c r="AV1686" i="1"/>
  <c r="AV1687" i="1"/>
  <c r="AV1688" i="1"/>
  <c r="AV1689" i="1"/>
  <c r="AV1690" i="1"/>
  <c r="AV1691" i="1"/>
  <c r="AV1692" i="1"/>
  <c r="AV1693" i="1"/>
  <c r="AV1694" i="1"/>
  <c r="AV1695" i="1"/>
  <c r="AV1696" i="1"/>
  <c r="AV1697" i="1"/>
  <c r="AV1698" i="1"/>
  <c r="AV1699" i="1"/>
  <c r="AV1700" i="1"/>
  <c r="AV1701" i="1"/>
  <c r="AV1702" i="1"/>
  <c r="AV1703" i="1"/>
  <c r="AV1704" i="1"/>
  <c r="AV1705" i="1"/>
  <c r="AV1706" i="1"/>
  <c r="AV1707" i="1"/>
  <c r="AV1708" i="1"/>
  <c r="AV1709" i="1"/>
  <c r="AV1710" i="1"/>
  <c r="AV1711" i="1"/>
  <c r="AV1712" i="1"/>
  <c r="AV1713" i="1"/>
  <c r="AV1714" i="1"/>
  <c r="AV1715" i="1"/>
  <c r="AV1716" i="1"/>
  <c r="AV1717" i="1"/>
  <c r="AV1718" i="1"/>
  <c r="AV1719" i="1"/>
  <c r="AV1720" i="1"/>
  <c r="AV1721" i="1"/>
  <c r="AV1722" i="1"/>
  <c r="AV1723" i="1"/>
  <c r="AV1724" i="1"/>
  <c r="AV1725" i="1"/>
  <c r="AV1726" i="1"/>
  <c r="AV1727" i="1"/>
  <c r="AV1728" i="1"/>
  <c r="AV1729" i="1"/>
  <c r="AV1730" i="1"/>
  <c r="AV1731" i="1"/>
  <c r="AV1732" i="1"/>
  <c r="AV1733" i="1"/>
  <c r="AV1734" i="1"/>
  <c r="AV1735" i="1"/>
  <c r="AV1736" i="1"/>
  <c r="AV1737" i="1"/>
  <c r="AV1738" i="1"/>
  <c r="AV1739" i="1"/>
  <c r="AV1740" i="1"/>
  <c r="AV1741" i="1"/>
  <c r="AV1742" i="1"/>
  <c r="AV1743" i="1"/>
  <c r="AV1744" i="1"/>
  <c r="AV1745" i="1"/>
  <c r="AV1746" i="1"/>
  <c r="AV1747" i="1"/>
  <c r="AV1748" i="1"/>
  <c r="AV1749" i="1"/>
  <c r="AV1750" i="1"/>
  <c r="AV1751" i="1"/>
  <c r="AV1752" i="1"/>
  <c r="AV1753" i="1"/>
  <c r="AV1754" i="1"/>
  <c r="AV1755" i="1"/>
  <c r="AV1756" i="1"/>
  <c r="AV1757" i="1"/>
  <c r="AV1758" i="1"/>
  <c r="AV1759" i="1"/>
  <c r="AV1760" i="1"/>
  <c r="AV1761" i="1"/>
  <c r="AV1762" i="1"/>
  <c r="AV1763" i="1"/>
  <c r="AV1764" i="1"/>
  <c r="AV1765" i="1"/>
  <c r="AV1766" i="1"/>
  <c r="AV1767" i="1"/>
  <c r="AV1768" i="1"/>
  <c r="AV1769" i="1"/>
  <c r="AV1770" i="1"/>
  <c r="AV1771" i="1"/>
  <c r="AV1772" i="1"/>
  <c r="AV1773" i="1"/>
  <c r="AV1774" i="1"/>
  <c r="AV1775" i="1"/>
  <c r="AV1776" i="1"/>
  <c r="AV1777" i="1"/>
  <c r="AV1778" i="1"/>
  <c r="AV1779" i="1"/>
  <c r="AV1780" i="1"/>
  <c r="AV1781" i="1"/>
  <c r="AV1782" i="1"/>
  <c r="AV1783" i="1"/>
  <c r="AV1784" i="1"/>
  <c r="AV1785" i="1"/>
  <c r="AV1786" i="1"/>
  <c r="AV1787" i="1"/>
  <c r="AV1788" i="1"/>
  <c r="AV1789" i="1"/>
  <c r="AV1790" i="1"/>
  <c r="AV1791" i="1"/>
  <c r="AV1792" i="1"/>
  <c r="AV1793" i="1"/>
  <c r="AV1794" i="1"/>
  <c r="AV1795" i="1"/>
  <c r="AV1796" i="1"/>
  <c r="AV1797" i="1"/>
  <c r="AV1798" i="1"/>
  <c r="AV1799" i="1"/>
  <c r="AV1800" i="1"/>
  <c r="AV1801" i="1"/>
  <c r="AV1802" i="1"/>
  <c r="AV1803" i="1"/>
  <c r="AV1804" i="1"/>
  <c r="AV1805" i="1"/>
  <c r="AV1806" i="1"/>
  <c r="AV1807" i="1"/>
  <c r="AV1808" i="1"/>
  <c r="AV1809" i="1"/>
  <c r="AV1810" i="1"/>
  <c r="AV1811" i="1"/>
  <c r="AV1812" i="1"/>
  <c r="AV1813" i="1"/>
  <c r="AV1814" i="1"/>
  <c r="AV1815" i="1"/>
  <c r="AV1816" i="1"/>
  <c r="AV1817" i="1"/>
  <c r="AV1818" i="1"/>
  <c r="AV1819" i="1"/>
  <c r="AV1820" i="1"/>
  <c r="AV1821" i="1"/>
  <c r="AV1822" i="1"/>
  <c r="AV1823" i="1"/>
  <c r="AV1824" i="1"/>
  <c r="AV1825" i="1"/>
  <c r="AV1826" i="1"/>
  <c r="AV1827" i="1"/>
  <c r="AV1828" i="1"/>
  <c r="AV1829" i="1"/>
  <c r="AV1830" i="1"/>
  <c r="AV1831" i="1"/>
  <c r="AV1832" i="1"/>
  <c r="AV1833" i="1"/>
  <c r="AV1834" i="1"/>
  <c r="AV1835" i="1"/>
  <c r="AV1836" i="1"/>
  <c r="AV1837" i="1"/>
  <c r="AV1838" i="1"/>
  <c r="AV1839" i="1"/>
  <c r="AV1840" i="1"/>
  <c r="AV1841" i="1"/>
  <c r="AV1842" i="1"/>
  <c r="AV1843" i="1"/>
  <c r="AV1844" i="1"/>
  <c r="AV1845" i="1"/>
  <c r="AV1846" i="1"/>
  <c r="AV1847" i="1"/>
  <c r="AV1848" i="1"/>
  <c r="AV1849" i="1"/>
  <c r="AV1850" i="1"/>
  <c r="AV1851" i="1"/>
  <c r="AV1852" i="1"/>
  <c r="AV1853" i="1"/>
  <c r="AV1854" i="1"/>
  <c r="AV1855" i="1"/>
  <c r="AV1856" i="1"/>
  <c r="AV1857" i="1"/>
  <c r="AV1858" i="1"/>
  <c r="AV1859" i="1"/>
  <c r="AV1860" i="1"/>
  <c r="AV1861" i="1"/>
  <c r="AV1862" i="1"/>
  <c r="AV1863" i="1"/>
  <c r="AV1864" i="1"/>
  <c r="AV1865" i="1"/>
  <c r="AV1866" i="1"/>
  <c r="AV1867" i="1"/>
  <c r="AV1868" i="1"/>
  <c r="AV1869" i="1"/>
  <c r="AV1870" i="1"/>
  <c r="AV1871" i="1"/>
  <c r="AV1872" i="1"/>
  <c r="AV1873" i="1"/>
  <c r="AV1874" i="1"/>
  <c r="AV1875" i="1"/>
  <c r="AV1876" i="1"/>
  <c r="AV1877" i="1"/>
  <c r="AV1878" i="1"/>
  <c r="AV1879" i="1"/>
  <c r="AV1880" i="1"/>
  <c r="AV1881" i="1"/>
  <c r="AV1882" i="1"/>
  <c r="AV1883" i="1"/>
  <c r="AV1884" i="1"/>
  <c r="AV1885" i="1"/>
  <c r="AV1886" i="1"/>
  <c r="AV1887" i="1"/>
  <c r="AV1888" i="1"/>
  <c r="AV1889" i="1"/>
  <c r="AV1890" i="1"/>
  <c r="AV1891" i="1"/>
  <c r="AV1892" i="1"/>
  <c r="AV1893" i="1"/>
  <c r="AV1894" i="1"/>
  <c r="AV1895" i="1"/>
  <c r="AV1896" i="1"/>
  <c r="AV1897" i="1"/>
  <c r="AV1898" i="1"/>
  <c r="AV1899" i="1"/>
  <c r="AV1900" i="1"/>
  <c r="AV1901" i="1"/>
  <c r="AV1902" i="1"/>
  <c r="AV1903" i="1"/>
  <c r="AV1904" i="1"/>
  <c r="AV1905" i="1"/>
  <c r="AV1906" i="1"/>
  <c r="AV1907" i="1"/>
  <c r="AV1908" i="1"/>
  <c r="AV1909" i="1"/>
  <c r="AV1910" i="1"/>
  <c r="AV1911" i="1"/>
  <c r="AV1912" i="1"/>
  <c r="AV1913" i="1"/>
  <c r="AV1914" i="1"/>
  <c r="AV1915" i="1"/>
  <c r="AV1916" i="1"/>
  <c r="AV1917" i="1"/>
  <c r="AV1918" i="1"/>
  <c r="AV1919" i="1"/>
  <c r="AV1920" i="1"/>
  <c r="AV1921" i="1"/>
  <c r="AV1922" i="1"/>
  <c r="AV1923" i="1"/>
  <c r="AV1924" i="1"/>
  <c r="AV1925" i="1"/>
  <c r="AV1926" i="1"/>
  <c r="AV1927" i="1"/>
  <c r="AV1928" i="1"/>
  <c r="AV1929" i="1"/>
  <c r="AV1930" i="1"/>
  <c r="AV1931" i="1"/>
  <c r="AV1932" i="1"/>
  <c r="AV1933" i="1"/>
  <c r="AV1934" i="1"/>
  <c r="AV1935" i="1"/>
  <c r="AV1936" i="1"/>
  <c r="AV1937" i="1"/>
  <c r="AV1938" i="1"/>
  <c r="AV1939" i="1"/>
  <c r="AV1940" i="1"/>
  <c r="AV1941" i="1"/>
  <c r="AV1942" i="1"/>
  <c r="AV1943" i="1"/>
  <c r="AV1944" i="1"/>
  <c r="AV1945" i="1"/>
  <c r="AV1946" i="1"/>
  <c r="AV1947" i="1"/>
  <c r="AV1948" i="1"/>
  <c r="AV1949" i="1"/>
  <c r="AV1950" i="1"/>
  <c r="AV1951" i="1"/>
  <c r="AV1952" i="1"/>
  <c r="AV1953" i="1"/>
  <c r="AV1954" i="1"/>
  <c r="AV1955" i="1"/>
  <c r="AV1956" i="1"/>
  <c r="AV1957" i="1"/>
  <c r="AV1958" i="1"/>
  <c r="AV1959" i="1"/>
  <c r="AV1960" i="1"/>
  <c r="AV1961" i="1"/>
  <c r="AV1962" i="1"/>
  <c r="AV1963" i="1"/>
  <c r="AV1964" i="1"/>
  <c r="AV1965" i="1"/>
  <c r="AV1966" i="1"/>
  <c r="AV1967" i="1"/>
  <c r="AV1968" i="1"/>
  <c r="AV1969" i="1"/>
  <c r="AV1970" i="1"/>
  <c r="AV1971" i="1"/>
  <c r="AV1972" i="1"/>
  <c r="AV1973" i="1"/>
  <c r="AV1974" i="1"/>
  <c r="AV1975" i="1"/>
  <c r="AV1976" i="1"/>
  <c r="AV1977" i="1"/>
  <c r="AV1978" i="1"/>
  <c r="AV1979" i="1"/>
  <c r="AV1980" i="1"/>
  <c r="AV1981" i="1"/>
  <c r="AV1982" i="1"/>
  <c r="AV1983" i="1"/>
  <c r="AV1984" i="1"/>
  <c r="AV1985" i="1"/>
  <c r="AV1986" i="1"/>
  <c r="AV1987" i="1"/>
  <c r="AV1988" i="1"/>
  <c r="AV1989" i="1"/>
  <c r="AV1990" i="1"/>
  <c r="AV1991" i="1"/>
  <c r="AV1992" i="1"/>
  <c r="AV1993" i="1"/>
  <c r="AV1994" i="1"/>
  <c r="AV1995" i="1"/>
  <c r="AV1996" i="1"/>
  <c r="AV1997" i="1"/>
  <c r="AV1998" i="1"/>
  <c r="AV1999" i="1"/>
  <c r="AV2000" i="1"/>
  <c r="AV2001" i="1"/>
  <c r="AV2002" i="1"/>
  <c r="AV2003" i="1"/>
  <c r="AV2004" i="1"/>
  <c r="AV2005" i="1"/>
  <c r="AV2006" i="1"/>
  <c r="AV2007" i="1"/>
  <c r="AV2008" i="1"/>
  <c r="AV2009" i="1"/>
  <c r="AV2010" i="1"/>
  <c r="AV2011" i="1"/>
  <c r="AV2012" i="1"/>
  <c r="AV2013" i="1"/>
  <c r="AV2014" i="1"/>
  <c r="AV2015" i="1"/>
  <c r="AV2016" i="1"/>
  <c r="AV2017" i="1"/>
  <c r="AV2018" i="1"/>
  <c r="AV2019" i="1"/>
  <c r="AV2020" i="1"/>
  <c r="AV2021" i="1"/>
  <c r="AV2022" i="1"/>
  <c r="AV2023" i="1"/>
  <c r="AV2024" i="1"/>
  <c r="AV2025" i="1"/>
  <c r="AV2026" i="1"/>
  <c r="AV2027" i="1"/>
  <c r="AV2028" i="1"/>
  <c r="AV2029" i="1"/>
  <c r="AV2030" i="1"/>
  <c r="AV2031" i="1"/>
  <c r="AV2032" i="1"/>
  <c r="AV2033" i="1"/>
  <c r="AV2034" i="1"/>
  <c r="AV2035" i="1"/>
  <c r="AV2036" i="1"/>
  <c r="AV2037" i="1"/>
  <c r="AV2038" i="1"/>
  <c r="AV2039" i="1"/>
  <c r="AV2040" i="1"/>
  <c r="AV2041" i="1"/>
  <c r="AV2042" i="1"/>
  <c r="AV2043" i="1"/>
  <c r="AV2044" i="1"/>
  <c r="AV2045" i="1"/>
  <c r="AV2046" i="1"/>
  <c r="AV2047" i="1"/>
  <c r="AV2048" i="1"/>
  <c r="AV2049" i="1"/>
  <c r="AV2050" i="1"/>
  <c r="AV2051" i="1"/>
  <c r="AV2052" i="1"/>
  <c r="AV2053" i="1"/>
  <c r="AV2054" i="1"/>
  <c r="AV2055" i="1"/>
  <c r="AV2056" i="1"/>
  <c r="AV2057" i="1"/>
  <c r="AV2058" i="1"/>
  <c r="AV2059" i="1"/>
  <c r="AV2060" i="1"/>
  <c r="AV2061" i="1"/>
  <c r="AV2062" i="1"/>
  <c r="AV2063" i="1"/>
  <c r="AV2064" i="1"/>
  <c r="AV2065" i="1"/>
  <c r="AV2066" i="1"/>
  <c r="AV2067" i="1"/>
  <c r="AV2068" i="1"/>
  <c r="AV2069" i="1"/>
  <c r="AV2070" i="1"/>
  <c r="AV2071" i="1"/>
  <c r="AV2072" i="1"/>
  <c r="AV2073" i="1"/>
  <c r="AV2074" i="1"/>
  <c r="AV2075" i="1"/>
  <c r="AV2076" i="1"/>
  <c r="AV2077" i="1"/>
  <c r="AV2078" i="1"/>
  <c r="AV2079" i="1"/>
  <c r="AV2080" i="1"/>
  <c r="AV2081" i="1"/>
  <c r="AV2082" i="1"/>
  <c r="AV2083" i="1"/>
  <c r="AV2084" i="1"/>
  <c r="AV2085" i="1"/>
  <c r="AV2086" i="1"/>
  <c r="AV2087" i="1"/>
  <c r="AV2088" i="1"/>
  <c r="AV2089" i="1"/>
  <c r="AV2090" i="1"/>
  <c r="AV2091" i="1"/>
  <c r="AV2092" i="1"/>
  <c r="AV2093" i="1"/>
  <c r="AV2094" i="1"/>
  <c r="AV2095" i="1"/>
  <c r="AV2096" i="1"/>
  <c r="AV2097" i="1"/>
  <c r="AV2098" i="1"/>
  <c r="AV2099" i="1"/>
  <c r="AV2100" i="1"/>
  <c r="AV2101" i="1"/>
  <c r="AV2102" i="1"/>
  <c r="AV2103" i="1"/>
  <c r="AV2104" i="1"/>
  <c r="AV2105" i="1"/>
  <c r="AV2106" i="1"/>
  <c r="AV2107" i="1"/>
  <c r="AV2108" i="1"/>
  <c r="AV2109" i="1"/>
  <c r="AV2110" i="1"/>
  <c r="AV2111" i="1"/>
  <c r="AV2112" i="1"/>
  <c r="AV2113" i="1"/>
  <c r="AV2114" i="1"/>
  <c r="AV2115" i="1"/>
  <c r="AV2116" i="1"/>
  <c r="AV2117" i="1"/>
  <c r="AV2118" i="1"/>
  <c r="AV2119" i="1"/>
  <c r="AV2120" i="1"/>
  <c r="AV2121" i="1"/>
  <c r="AV2122" i="1"/>
  <c r="AV2123" i="1"/>
  <c r="AV2124" i="1"/>
  <c r="AV2125" i="1"/>
  <c r="AV2126" i="1"/>
  <c r="AV2127" i="1"/>
  <c r="AV2128" i="1"/>
  <c r="AV2129" i="1"/>
  <c r="AV2130" i="1"/>
  <c r="AV2131" i="1"/>
  <c r="AV2132" i="1"/>
  <c r="AV2133" i="1"/>
  <c r="AV2134" i="1"/>
  <c r="AV2135" i="1"/>
  <c r="AV2136" i="1"/>
  <c r="AV2137" i="1"/>
  <c r="AV2138" i="1"/>
  <c r="AV2139" i="1"/>
  <c r="AV2140" i="1"/>
  <c r="AV2141" i="1"/>
  <c r="AV2142" i="1"/>
  <c r="AV2143" i="1"/>
  <c r="AV2144" i="1"/>
  <c r="AV2145" i="1"/>
  <c r="AV2146" i="1"/>
  <c r="AV2147" i="1"/>
  <c r="AV2148" i="1"/>
  <c r="AV2149" i="1"/>
  <c r="AV2150" i="1"/>
  <c r="AV2151" i="1"/>
  <c r="AV2152" i="1"/>
  <c r="AV2153" i="1"/>
  <c r="AV2154" i="1"/>
  <c r="AV2155" i="1"/>
  <c r="AV2156" i="1"/>
  <c r="AV2157" i="1"/>
  <c r="AV2158" i="1"/>
  <c r="AV2159" i="1"/>
  <c r="AV2160" i="1"/>
  <c r="AV2161" i="1"/>
  <c r="AV2162" i="1"/>
  <c r="AV2163" i="1"/>
  <c r="AV2164" i="1"/>
  <c r="AV2165" i="1"/>
  <c r="AV2166" i="1"/>
  <c r="AV2167" i="1"/>
  <c r="AV2168" i="1"/>
  <c r="AV2169" i="1"/>
  <c r="AV2170" i="1"/>
  <c r="AV2171" i="1"/>
  <c r="AV2172" i="1"/>
  <c r="AV2173" i="1"/>
  <c r="AV2174" i="1"/>
  <c r="AV2175" i="1"/>
  <c r="AV2176" i="1"/>
  <c r="AV2177" i="1"/>
  <c r="AV2178" i="1"/>
  <c r="AV2179" i="1"/>
  <c r="AV2180" i="1"/>
  <c r="AV2181" i="1"/>
  <c r="AV2182" i="1"/>
  <c r="AV2183" i="1"/>
  <c r="AV2184" i="1"/>
  <c r="AV2185" i="1"/>
  <c r="AV2186" i="1"/>
  <c r="AV2187" i="1"/>
  <c r="AV2188" i="1"/>
  <c r="AV2189" i="1"/>
  <c r="AV2190" i="1"/>
  <c r="AV2191" i="1"/>
  <c r="AV2192" i="1"/>
  <c r="AV2193" i="1"/>
  <c r="AV2194" i="1"/>
  <c r="AV2195" i="1"/>
  <c r="AV2196" i="1"/>
  <c r="AV2197" i="1"/>
  <c r="AV2198" i="1"/>
  <c r="AV2199" i="1"/>
  <c r="AV2200" i="1"/>
  <c r="AV2201" i="1"/>
  <c r="AV2202" i="1"/>
  <c r="AV2203" i="1"/>
  <c r="AV2204" i="1"/>
  <c r="AV2205" i="1"/>
  <c r="AV2206" i="1"/>
  <c r="AV2207" i="1"/>
  <c r="AV2208" i="1"/>
  <c r="AV2209" i="1"/>
  <c r="AV2210" i="1"/>
  <c r="AV2211" i="1"/>
  <c r="AV2212" i="1"/>
  <c r="AV2213" i="1"/>
  <c r="AV2214" i="1"/>
  <c r="AV2215" i="1"/>
  <c r="AV2216" i="1"/>
  <c r="AV2217" i="1"/>
  <c r="AV2218" i="1"/>
  <c r="AV2219" i="1"/>
  <c r="AV2220" i="1"/>
  <c r="AV2221" i="1"/>
  <c r="AV2222" i="1"/>
  <c r="AV2223" i="1"/>
  <c r="AV2224" i="1"/>
  <c r="AV2225" i="1"/>
  <c r="AV2226" i="1"/>
  <c r="AV2227" i="1"/>
  <c r="AV2228" i="1"/>
  <c r="AV2229" i="1"/>
  <c r="AV2230" i="1"/>
  <c r="AV2231" i="1"/>
  <c r="AV2232" i="1"/>
  <c r="AV2233" i="1"/>
  <c r="AV2234" i="1"/>
  <c r="AV2235" i="1"/>
  <c r="AV2236" i="1"/>
  <c r="AV2237" i="1"/>
  <c r="AV2238" i="1"/>
  <c r="AV2239" i="1"/>
  <c r="AV2240" i="1"/>
  <c r="AV2241" i="1"/>
  <c r="AV2242" i="1"/>
  <c r="AV2243" i="1"/>
  <c r="AV2244" i="1"/>
  <c r="AV2245" i="1"/>
  <c r="AV2246" i="1"/>
  <c r="AV2247" i="1"/>
  <c r="AV2248" i="1"/>
  <c r="AV2249" i="1"/>
  <c r="AV2250" i="1"/>
  <c r="AV2251" i="1"/>
  <c r="AV2252" i="1"/>
  <c r="AV2253" i="1"/>
  <c r="AV2254" i="1"/>
  <c r="AV2255" i="1"/>
  <c r="AV2256" i="1"/>
  <c r="AV2257" i="1"/>
  <c r="AV2258" i="1"/>
  <c r="AV2259" i="1"/>
  <c r="AV2260" i="1"/>
  <c r="AV2261" i="1"/>
  <c r="AV2262" i="1"/>
  <c r="AV2263" i="1"/>
  <c r="AV2264" i="1"/>
  <c r="AV2265" i="1"/>
  <c r="AV2266" i="1"/>
  <c r="AV2267" i="1"/>
  <c r="AV2268" i="1"/>
  <c r="AV2269" i="1"/>
  <c r="AV2270" i="1"/>
  <c r="AV2271" i="1"/>
  <c r="AV2272" i="1"/>
  <c r="AV2273" i="1"/>
  <c r="AV2274" i="1"/>
  <c r="AV2275" i="1"/>
  <c r="AV2276" i="1"/>
  <c r="AV2277" i="1"/>
  <c r="AV2278" i="1"/>
  <c r="AV2279" i="1"/>
  <c r="AV2280" i="1"/>
  <c r="AV2281" i="1"/>
  <c r="AV2282" i="1"/>
  <c r="AV2283" i="1"/>
  <c r="AV2284" i="1"/>
  <c r="AV2285" i="1"/>
  <c r="AV2286" i="1"/>
  <c r="AV2287" i="1"/>
  <c r="AV2288" i="1"/>
  <c r="AV2289" i="1"/>
  <c r="AV2290" i="1"/>
  <c r="AV2291" i="1"/>
  <c r="AV2292" i="1"/>
  <c r="AV2293" i="1"/>
  <c r="AV2294" i="1"/>
  <c r="AV2295" i="1"/>
  <c r="AV2296" i="1"/>
  <c r="AV2297" i="1"/>
  <c r="AV2298" i="1"/>
  <c r="AV2299" i="1"/>
  <c r="AV2300" i="1"/>
  <c r="AV2301" i="1"/>
  <c r="AV2302" i="1"/>
  <c r="AV2303" i="1"/>
  <c r="AV2304" i="1"/>
  <c r="AV2305" i="1"/>
  <c r="AV2306" i="1"/>
  <c r="AV2307" i="1"/>
  <c r="AV2308" i="1"/>
  <c r="AV2309" i="1"/>
  <c r="AV2310" i="1"/>
  <c r="AV2311" i="1"/>
  <c r="AV2312" i="1"/>
  <c r="AV2313" i="1"/>
  <c r="AV2314" i="1"/>
  <c r="AV2315" i="1"/>
  <c r="AV2316" i="1"/>
  <c r="AV2317" i="1"/>
  <c r="AV2318" i="1"/>
  <c r="AV2319" i="1"/>
  <c r="AV2320" i="1"/>
  <c r="AV2321" i="1"/>
  <c r="AV2322" i="1"/>
  <c r="AV2323" i="1"/>
  <c r="AV2324" i="1"/>
  <c r="AV2325" i="1"/>
  <c r="AV2326" i="1"/>
  <c r="AV2327" i="1"/>
  <c r="AV2328" i="1"/>
  <c r="AV2329" i="1"/>
  <c r="AV2330" i="1"/>
  <c r="AV2331" i="1"/>
  <c r="AV2332" i="1"/>
  <c r="AV2333" i="1"/>
  <c r="AV2334" i="1"/>
  <c r="AV2335" i="1"/>
  <c r="AV2336" i="1"/>
  <c r="AV2337" i="1"/>
  <c r="AV2338" i="1"/>
  <c r="AV2339" i="1"/>
  <c r="AV2340" i="1"/>
  <c r="AV2341" i="1"/>
  <c r="AV2342" i="1"/>
  <c r="AV2343" i="1"/>
  <c r="AV2344" i="1"/>
  <c r="AV2345" i="1"/>
  <c r="AV2346" i="1"/>
  <c r="AV2347" i="1"/>
  <c r="AV2348" i="1"/>
  <c r="AV2349" i="1"/>
  <c r="AV2350" i="1"/>
  <c r="AV2351" i="1"/>
  <c r="AV2352" i="1"/>
  <c r="AV2353" i="1"/>
  <c r="AV2354" i="1"/>
  <c r="AV2355" i="1"/>
  <c r="AV2356" i="1"/>
  <c r="AV2357" i="1"/>
  <c r="AV2358" i="1"/>
  <c r="AV2359" i="1"/>
  <c r="AV2360" i="1"/>
  <c r="AV2361" i="1"/>
  <c r="AV2362" i="1"/>
  <c r="AV2363" i="1"/>
  <c r="AV2364" i="1"/>
  <c r="AV2365" i="1"/>
  <c r="AV2366" i="1"/>
  <c r="AV2367" i="1"/>
  <c r="AV2368" i="1"/>
  <c r="AV2369" i="1"/>
  <c r="AV2370" i="1"/>
  <c r="AV2371" i="1"/>
  <c r="AV2372" i="1"/>
  <c r="AV2373" i="1"/>
  <c r="AV2374" i="1"/>
  <c r="AV2375" i="1"/>
  <c r="AV2376" i="1"/>
  <c r="AV2377" i="1"/>
  <c r="AV2378" i="1"/>
  <c r="AV2379" i="1"/>
  <c r="AV2380" i="1"/>
  <c r="AV2381" i="1"/>
  <c r="AV2382" i="1"/>
  <c r="AV2383" i="1"/>
  <c r="AV2384" i="1"/>
  <c r="AV2385" i="1"/>
  <c r="AV2386" i="1"/>
  <c r="AV2387" i="1"/>
  <c r="AV2388" i="1"/>
  <c r="AV2389" i="1"/>
  <c r="AV2390" i="1"/>
  <c r="AV2391" i="1"/>
  <c r="AV2392" i="1"/>
  <c r="AV2393" i="1"/>
  <c r="AV2394" i="1"/>
  <c r="AV2395" i="1"/>
  <c r="AV2396" i="1"/>
  <c r="AV2397" i="1"/>
  <c r="AV2398" i="1"/>
  <c r="AV2399" i="1"/>
  <c r="AV2400" i="1"/>
  <c r="AV2401" i="1"/>
  <c r="AV2402" i="1"/>
  <c r="AV2403" i="1"/>
  <c r="AV2404" i="1"/>
  <c r="AV2405" i="1"/>
  <c r="AV2406" i="1"/>
  <c r="AV2407" i="1"/>
  <c r="AV2408" i="1"/>
  <c r="AV2409" i="1"/>
  <c r="AV2410" i="1"/>
  <c r="AV2411" i="1"/>
  <c r="AV2412" i="1"/>
  <c r="AV2413" i="1"/>
  <c r="AV2414" i="1"/>
  <c r="AV2415" i="1"/>
  <c r="AV2416" i="1"/>
  <c r="AV2417" i="1"/>
  <c r="AV2418" i="1"/>
  <c r="AV2419" i="1"/>
  <c r="AV2420" i="1"/>
  <c r="AV2421" i="1"/>
  <c r="AV2422" i="1"/>
  <c r="AV2423" i="1"/>
  <c r="AV2424" i="1"/>
  <c r="AV2425" i="1"/>
  <c r="AV2426" i="1"/>
  <c r="AV2427" i="1"/>
  <c r="AV2428" i="1"/>
  <c r="AV2429" i="1"/>
  <c r="AV2430" i="1"/>
  <c r="AV2431" i="1"/>
  <c r="AV2432" i="1"/>
  <c r="AV2433" i="1"/>
  <c r="AV2434" i="1"/>
  <c r="AV2435" i="1"/>
  <c r="AV2436" i="1"/>
  <c r="AV2437" i="1"/>
  <c r="AV2438" i="1"/>
  <c r="AV2439" i="1"/>
  <c r="AV2440" i="1"/>
  <c r="AV2441" i="1"/>
  <c r="AV2442" i="1"/>
  <c r="AV2443" i="1"/>
  <c r="AV2444" i="1"/>
  <c r="AV2445" i="1"/>
  <c r="AV2446" i="1"/>
  <c r="AV2447" i="1"/>
  <c r="AV2448" i="1"/>
  <c r="AV2449" i="1"/>
  <c r="AV2450" i="1"/>
  <c r="AV2451" i="1"/>
  <c r="AV2452" i="1"/>
  <c r="AV2453" i="1"/>
  <c r="AV2454" i="1"/>
  <c r="AV2455" i="1"/>
  <c r="AV2456" i="1"/>
  <c r="AV2457" i="1"/>
  <c r="AV2458" i="1"/>
  <c r="AV2459" i="1"/>
  <c r="AV2460" i="1"/>
  <c r="AV2461" i="1"/>
  <c r="AV2462" i="1"/>
  <c r="AV2463" i="1"/>
  <c r="AV2464" i="1"/>
  <c r="AV2465" i="1"/>
  <c r="AV2466" i="1"/>
  <c r="AV2467" i="1"/>
  <c r="AV2468" i="1"/>
  <c r="AV2469" i="1"/>
  <c r="AV2470" i="1"/>
  <c r="AV2471" i="1"/>
  <c r="AV2472" i="1"/>
  <c r="AV2473" i="1"/>
  <c r="AV2474" i="1"/>
  <c r="AV2475" i="1"/>
  <c r="AV2476" i="1"/>
  <c r="AV2477" i="1"/>
  <c r="AV2478" i="1"/>
  <c r="AV2479" i="1"/>
  <c r="AV2480" i="1"/>
  <c r="AV2481" i="1"/>
  <c r="AV2482" i="1"/>
  <c r="AV2483" i="1"/>
  <c r="AV2484" i="1"/>
  <c r="AV2485" i="1"/>
  <c r="AV2486" i="1"/>
  <c r="AV2487" i="1"/>
  <c r="AV2488" i="1"/>
  <c r="AV2489" i="1"/>
  <c r="AV2490" i="1"/>
  <c r="AV2491" i="1"/>
  <c r="AV2492" i="1"/>
  <c r="AV2493" i="1"/>
  <c r="AV2494" i="1"/>
  <c r="AV2495" i="1"/>
  <c r="AV2496" i="1"/>
  <c r="AV2497" i="1"/>
  <c r="AV2498" i="1"/>
  <c r="AV2499" i="1"/>
  <c r="AV2500" i="1"/>
  <c r="AV2501" i="1"/>
  <c r="AV2502" i="1"/>
  <c r="AV2503" i="1"/>
  <c r="AV2504" i="1"/>
  <c r="AV2505" i="1"/>
  <c r="AV2506" i="1"/>
  <c r="AV2507" i="1"/>
  <c r="AV2508" i="1"/>
  <c r="AV2509" i="1"/>
  <c r="AV2510" i="1"/>
  <c r="AV2511" i="1"/>
  <c r="AV2512" i="1"/>
  <c r="AV2513" i="1"/>
  <c r="AV2514" i="1"/>
  <c r="AV2515" i="1"/>
  <c r="AV2516" i="1"/>
  <c r="AV2517" i="1"/>
  <c r="AV2518" i="1"/>
  <c r="AV2519" i="1"/>
  <c r="AV2520" i="1"/>
  <c r="AV2521" i="1"/>
  <c r="AV2522" i="1"/>
  <c r="AV2523" i="1"/>
  <c r="AV2524" i="1"/>
  <c r="AV2525" i="1"/>
  <c r="AV2526" i="1"/>
  <c r="AV2527" i="1"/>
  <c r="AV2528" i="1"/>
  <c r="AV2529" i="1"/>
  <c r="AV2530" i="1"/>
  <c r="AV2531" i="1"/>
  <c r="AV2532" i="1"/>
  <c r="AV2533" i="1"/>
  <c r="AV2534" i="1"/>
  <c r="AV2535" i="1"/>
  <c r="AV2536" i="1"/>
  <c r="AV2537" i="1"/>
  <c r="AV2538" i="1"/>
  <c r="AV2539" i="1"/>
  <c r="AV2540" i="1"/>
  <c r="AV2541" i="1"/>
  <c r="AV2542" i="1"/>
  <c r="AV2543" i="1"/>
  <c r="AV2544" i="1"/>
  <c r="AV2545" i="1"/>
  <c r="AV2546" i="1"/>
  <c r="AV2547" i="1"/>
  <c r="AV2548" i="1"/>
  <c r="AV2549" i="1"/>
  <c r="AV2550" i="1"/>
  <c r="AV2551" i="1"/>
  <c r="AV2552" i="1"/>
  <c r="AV2553" i="1"/>
  <c r="AV2554" i="1"/>
  <c r="AV2555" i="1"/>
  <c r="AV2556" i="1"/>
  <c r="AV2557" i="1"/>
  <c r="AV2558" i="1"/>
  <c r="AV2559" i="1"/>
  <c r="AV2560" i="1"/>
  <c r="AV2561" i="1"/>
  <c r="AV2562" i="1"/>
  <c r="AV2563" i="1"/>
  <c r="AV2564" i="1"/>
  <c r="AV2565" i="1"/>
  <c r="AV2566" i="1"/>
  <c r="AV2567" i="1"/>
  <c r="AV2568" i="1"/>
  <c r="AV2569" i="1"/>
  <c r="AV2570" i="1"/>
  <c r="AV2571" i="1"/>
  <c r="AV2572" i="1"/>
  <c r="AV2573" i="1"/>
  <c r="AV2574" i="1"/>
  <c r="AV2575" i="1"/>
  <c r="AV2576" i="1"/>
  <c r="AV2577" i="1"/>
  <c r="AV2578" i="1"/>
  <c r="AV2579" i="1"/>
  <c r="AV2580" i="1"/>
  <c r="AV2581" i="1"/>
  <c r="AV2582" i="1"/>
  <c r="AV2583" i="1"/>
  <c r="AV2584" i="1"/>
  <c r="AV2585" i="1"/>
  <c r="AV2586" i="1"/>
  <c r="AV2587" i="1"/>
  <c r="AV2588" i="1"/>
  <c r="AV2589" i="1"/>
  <c r="AV2590" i="1"/>
  <c r="AV2591" i="1"/>
  <c r="AV2592" i="1"/>
  <c r="AV2593" i="1"/>
  <c r="AV2594" i="1"/>
  <c r="AV2595" i="1"/>
  <c r="AV2596" i="1"/>
  <c r="AV2597" i="1"/>
  <c r="AV2598" i="1"/>
  <c r="AV2599" i="1"/>
  <c r="AV2600" i="1"/>
  <c r="AV2601" i="1"/>
  <c r="AV2602" i="1"/>
  <c r="AV2603" i="1"/>
  <c r="AV2604" i="1"/>
  <c r="AV2605" i="1"/>
  <c r="AV2606" i="1"/>
  <c r="AV2607" i="1"/>
  <c r="AV2608" i="1"/>
  <c r="AV2609" i="1"/>
  <c r="AV2610" i="1"/>
  <c r="AV2611" i="1"/>
  <c r="AV2612" i="1"/>
  <c r="AV2613" i="1"/>
  <c r="AV2614" i="1"/>
  <c r="AV2615" i="1"/>
  <c r="AV2616" i="1"/>
  <c r="AV2617" i="1"/>
  <c r="AV2618" i="1"/>
  <c r="AV2619" i="1"/>
  <c r="AV2620" i="1"/>
  <c r="AV2621" i="1"/>
  <c r="AV2622" i="1"/>
  <c r="AV2623" i="1"/>
  <c r="AV2624" i="1"/>
  <c r="AV2625" i="1"/>
  <c r="AV2626" i="1"/>
  <c r="AV2627" i="1"/>
  <c r="AV2628" i="1"/>
  <c r="AV2629" i="1"/>
  <c r="AV2630" i="1"/>
  <c r="AV2631" i="1"/>
  <c r="AV2632" i="1"/>
  <c r="AV2633" i="1"/>
  <c r="AV2634" i="1"/>
  <c r="AV2635" i="1"/>
  <c r="AV2636" i="1"/>
  <c r="AV2637" i="1"/>
  <c r="AV2638" i="1"/>
  <c r="AV2639" i="1"/>
  <c r="AV2640" i="1"/>
  <c r="AV2641" i="1"/>
  <c r="AV2642" i="1"/>
  <c r="AV2643" i="1"/>
  <c r="AV2644" i="1"/>
  <c r="AV2645" i="1"/>
  <c r="AV2646" i="1"/>
  <c r="AV2647" i="1"/>
  <c r="AV2648" i="1"/>
  <c r="AV2649" i="1"/>
  <c r="AV2650" i="1"/>
  <c r="AV2651" i="1"/>
  <c r="AV2652" i="1"/>
  <c r="AV2653" i="1"/>
  <c r="AV2654" i="1"/>
  <c r="AV2655" i="1"/>
  <c r="AV2656" i="1"/>
  <c r="AV2657" i="1"/>
  <c r="AV2658" i="1"/>
  <c r="AV2659" i="1"/>
  <c r="AV2660" i="1"/>
  <c r="AV2661" i="1"/>
  <c r="AV2662" i="1"/>
  <c r="AV2663" i="1"/>
  <c r="AV2664" i="1"/>
  <c r="AV2665" i="1"/>
  <c r="AV2666" i="1"/>
  <c r="AV2667" i="1"/>
  <c r="AV2668" i="1"/>
  <c r="AV2669" i="1"/>
  <c r="AV2670" i="1"/>
  <c r="AV2671" i="1"/>
  <c r="AV2672" i="1"/>
  <c r="AV2673" i="1"/>
  <c r="AV2674" i="1"/>
  <c r="AV2675" i="1"/>
  <c r="AV2676" i="1"/>
  <c r="AV2677" i="1"/>
  <c r="AV2678" i="1"/>
  <c r="AV2679" i="1"/>
  <c r="AV2680" i="1"/>
  <c r="AV2681" i="1"/>
  <c r="AV2682" i="1"/>
  <c r="AV2683" i="1"/>
  <c r="AV2684" i="1"/>
  <c r="AV2685" i="1"/>
  <c r="AV2686" i="1"/>
  <c r="AV2687" i="1"/>
  <c r="AV2688" i="1"/>
  <c r="AV2689" i="1"/>
  <c r="AV2690" i="1"/>
  <c r="AV2691" i="1"/>
  <c r="AV2692" i="1"/>
  <c r="AV2693" i="1"/>
  <c r="AV2694" i="1"/>
  <c r="AV2695" i="1"/>
  <c r="AV2696" i="1"/>
  <c r="AV2697" i="1"/>
  <c r="AV2698" i="1"/>
  <c r="AV2699" i="1"/>
  <c r="AV2700" i="1"/>
  <c r="AV2701" i="1"/>
  <c r="AV2702" i="1"/>
  <c r="AV2703" i="1"/>
  <c r="AV2704" i="1"/>
  <c r="AV2705" i="1"/>
  <c r="AV2706" i="1"/>
  <c r="AV2707" i="1"/>
  <c r="AV2708" i="1"/>
  <c r="AV2709" i="1"/>
  <c r="AV2710" i="1"/>
  <c r="AV2711" i="1"/>
  <c r="AV2712" i="1"/>
  <c r="AV2713" i="1"/>
  <c r="AV2714" i="1"/>
  <c r="AV2715" i="1"/>
  <c r="AV2716" i="1"/>
  <c r="AV2717" i="1"/>
  <c r="AV2718" i="1"/>
  <c r="AV2719" i="1"/>
  <c r="AV2720" i="1"/>
  <c r="AV2721" i="1"/>
  <c r="AV2722" i="1"/>
  <c r="AV2723" i="1"/>
  <c r="AV2724" i="1"/>
  <c r="AV2725" i="1"/>
  <c r="AV2726" i="1"/>
  <c r="AV2727" i="1"/>
  <c r="AV2728" i="1"/>
  <c r="AV2729" i="1"/>
  <c r="AV2730" i="1"/>
  <c r="AV2731" i="1"/>
  <c r="AV2732" i="1"/>
  <c r="AV2733" i="1"/>
  <c r="AV2734" i="1"/>
  <c r="AV2735" i="1"/>
  <c r="AV2736" i="1"/>
  <c r="AV2737" i="1"/>
  <c r="AV2738" i="1"/>
  <c r="AV2739" i="1"/>
  <c r="AV2740" i="1"/>
  <c r="AV2741" i="1"/>
  <c r="AV2742" i="1"/>
  <c r="AV2743" i="1"/>
  <c r="AV2744" i="1"/>
  <c r="AV2745" i="1"/>
  <c r="AV2746" i="1"/>
  <c r="AV2747" i="1"/>
  <c r="AV2748" i="1"/>
  <c r="AV2749" i="1"/>
  <c r="AV2750" i="1"/>
  <c r="AV2751" i="1"/>
  <c r="AV2752" i="1"/>
  <c r="AV2753" i="1"/>
  <c r="AV2754" i="1"/>
  <c r="AV2755" i="1"/>
  <c r="AV2756" i="1"/>
  <c r="AV2757" i="1"/>
  <c r="AV2758" i="1"/>
  <c r="AV2759" i="1"/>
  <c r="AV2760" i="1"/>
  <c r="AV2761" i="1"/>
  <c r="AV2762" i="1"/>
  <c r="AV2763" i="1"/>
  <c r="AV2764" i="1"/>
  <c r="AV2765" i="1"/>
  <c r="AV2766" i="1"/>
  <c r="AV2767" i="1"/>
  <c r="AV2768" i="1"/>
  <c r="AV2769" i="1"/>
  <c r="AV2770" i="1"/>
  <c r="AV2771" i="1"/>
  <c r="AV2772" i="1"/>
  <c r="AV2773" i="1"/>
  <c r="AV2774" i="1"/>
  <c r="AV2775" i="1"/>
  <c r="AV2776" i="1"/>
  <c r="AV2777" i="1"/>
  <c r="AV2778" i="1"/>
  <c r="AV2779" i="1"/>
  <c r="AV2780" i="1"/>
  <c r="AV2781" i="1"/>
  <c r="AV2782" i="1"/>
  <c r="AV2783" i="1"/>
  <c r="AV2784" i="1"/>
  <c r="AV2785" i="1"/>
  <c r="AV2786" i="1"/>
  <c r="AV2787" i="1"/>
  <c r="AV2788" i="1"/>
  <c r="AV2789" i="1"/>
  <c r="AV2790" i="1"/>
  <c r="AV2791" i="1"/>
  <c r="AV2792" i="1"/>
  <c r="AV2793" i="1"/>
  <c r="AV2794" i="1"/>
  <c r="AV2795" i="1"/>
  <c r="AV2796" i="1"/>
  <c r="AV2797" i="1"/>
  <c r="AV2798" i="1"/>
  <c r="AV2799" i="1"/>
  <c r="AV2800" i="1"/>
  <c r="AV2801" i="1"/>
  <c r="AV2802" i="1"/>
  <c r="AV2803" i="1"/>
  <c r="AV2804" i="1"/>
  <c r="AV2805" i="1"/>
  <c r="AV2806" i="1"/>
  <c r="AV2807" i="1"/>
  <c r="AV2808" i="1"/>
  <c r="AV2809" i="1"/>
  <c r="AV2810" i="1"/>
  <c r="AV2811" i="1"/>
  <c r="AV2812" i="1"/>
  <c r="AV2813" i="1"/>
  <c r="AV2814" i="1"/>
  <c r="AV2815" i="1"/>
  <c r="AV2816" i="1"/>
  <c r="AV2817" i="1"/>
  <c r="AV2818" i="1"/>
  <c r="AV2819" i="1"/>
  <c r="AV2820" i="1"/>
  <c r="AV2821" i="1"/>
  <c r="AV2822" i="1"/>
  <c r="AV2823" i="1"/>
  <c r="AV2824" i="1"/>
  <c r="AV2825" i="1"/>
  <c r="AV2826" i="1"/>
  <c r="AV2827" i="1"/>
  <c r="AV2828" i="1"/>
  <c r="AV2829" i="1"/>
  <c r="AV2830" i="1"/>
  <c r="AV2831" i="1"/>
  <c r="AV2832" i="1"/>
  <c r="AV2833" i="1"/>
  <c r="AV2834" i="1"/>
  <c r="AV2835" i="1"/>
  <c r="AV2836" i="1"/>
  <c r="AV2837" i="1"/>
  <c r="AV2838" i="1"/>
  <c r="AV2839" i="1"/>
  <c r="AV2840" i="1"/>
  <c r="AV2841" i="1"/>
  <c r="AV2842" i="1"/>
  <c r="AV2843" i="1"/>
  <c r="AV2844" i="1"/>
  <c r="AV2845" i="1"/>
  <c r="AV2846" i="1"/>
  <c r="AV2847" i="1"/>
  <c r="AV2848" i="1"/>
  <c r="AV2849" i="1"/>
  <c r="AV2850" i="1"/>
  <c r="AV2851" i="1"/>
  <c r="AV2852" i="1"/>
  <c r="AV2853" i="1"/>
  <c r="AV2854" i="1"/>
  <c r="AV2855" i="1"/>
  <c r="AV2856" i="1"/>
  <c r="AV2857" i="1"/>
  <c r="AV2858" i="1"/>
  <c r="AV2859" i="1"/>
  <c r="AV2860" i="1"/>
  <c r="AV2861" i="1"/>
  <c r="AV2862" i="1"/>
  <c r="AV2863" i="1"/>
  <c r="AV2864" i="1"/>
  <c r="AV2865" i="1"/>
  <c r="AV2866" i="1"/>
  <c r="AV2867" i="1"/>
  <c r="AV2868" i="1"/>
  <c r="AV2869" i="1"/>
  <c r="AV2870" i="1"/>
  <c r="AV2871" i="1"/>
  <c r="AV2872" i="1"/>
  <c r="AV2873" i="1"/>
  <c r="AV2874" i="1"/>
  <c r="AV2875" i="1"/>
  <c r="AV2876" i="1"/>
  <c r="AV2877" i="1"/>
  <c r="AV2878" i="1"/>
  <c r="AV2879" i="1"/>
  <c r="AV2880" i="1"/>
  <c r="AV2881" i="1"/>
  <c r="AV2882" i="1"/>
  <c r="AV2883" i="1"/>
  <c r="AV2884" i="1"/>
  <c r="AV2885" i="1"/>
  <c r="AV2886" i="1"/>
  <c r="AV2887" i="1"/>
  <c r="AV2888" i="1"/>
  <c r="AV2889" i="1"/>
  <c r="AV2890" i="1"/>
  <c r="AV2891" i="1"/>
  <c r="AV2892" i="1"/>
  <c r="AV2893" i="1"/>
  <c r="AV2894" i="1"/>
  <c r="AV2895" i="1"/>
  <c r="AV2896" i="1"/>
  <c r="AV2897" i="1"/>
  <c r="AV2898" i="1"/>
  <c r="AV2899" i="1"/>
  <c r="AV2900" i="1"/>
  <c r="AV2901" i="1"/>
  <c r="AV2902" i="1"/>
  <c r="AV2903" i="1"/>
  <c r="AV2904" i="1"/>
  <c r="AV2905" i="1"/>
  <c r="AV2906" i="1"/>
  <c r="AV2907" i="1"/>
  <c r="AV2908" i="1"/>
  <c r="AV2909" i="1"/>
  <c r="AV2910" i="1"/>
  <c r="AV2911" i="1"/>
  <c r="AV2912" i="1"/>
  <c r="AV2913" i="1"/>
  <c r="AV2914" i="1"/>
  <c r="AV2915" i="1"/>
  <c r="AV2916" i="1"/>
  <c r="AV2917" i="1"/>
  <c r="AV2918" i="1"/>
  <c r="AV2919" i="1"/>
  <c r="AV2920" i="1"/>
  <c r="AV2921" i="1"/>
  <c r="AV2922" i="1"/>
  <c r="AV2923" i="1"/>
  <c r="AV2924" i="1"/>
  <c r="AV2925" i="1"/>
  <c r="AV2926" i="1"/>
  <c r="AV2927" i="1"/>
  <c r="AV2928" i="1"/>
  <c r="AV2929" i="1"/>
  <c r="AV2930" i="1"/>
  <c r="AV2931" i="1"/>
  <c r="AV2932" i="1"/>
  <c r="AV2933" i="1"/>
  <c r="AV2934" i="1"/>
  <c r="AV2935" i="1"/>
  <c r="AV2936" i="1"/>
  <c r="AV2937" i="1"/>
  <c r="AV2938" i="1"/>
  <c r="AV2939" i="1"/>
  <c r="AV2940" i="1"/>
  <c r="AV2941" i="1"/>
  <c r="AV2942" i="1"/>
  <c r="AV2943" i="1"/>
  <c r="AV2944" i="1"/>
  <c r="AV2945" i="1"/>
  <c r="AV2946" i="1"/>
  <c r="AV2947" i="1"/>
  <c r="AV2948" i="1"/>
  <c r="AV2949" i="1"/>
  <c r="AV2950" i="1"/>
  <c r="AV2951" i="1"/>
  <c r="AV2952" i="1"/>
  <c r="AV2953" i="1"/>
  <c r="AV2954" i="1"/>
  <c r="AV2955" i="1"/>
  <c r="AV2956" i="1"/>
  <c r="AV2957" i="1"/>
  <c r="AV2958" i="1"/>
  <c r="AV2959" i="1"/>
  <c r="AV2960" i="1"/>
  <c r="AV2961" i="1"/>
  <c r="AV2962" i="1"/>
  <c r="AV2963" i="1"/>
  <c r="AV2964" i="1"/>
  <c r="AV2965" i="1"/>
  <c r="AV2966" i="1"/>
  <c r="AV2967" i="1"/>
  <c r="AV2968" i="1"/>
  <c r="AV2969" i="1"/>
  <c r="AV2970" i="1"/>
  <c r="AV2971" i="1"/>
  <c r="AV2972" i="1"/>
  <c r="AV2973" i="1"/>
  <c r="AV2974" i="1"/>
  <c r="AV2975" i="1"/>
  <c r="AV2976" i="1"/>
  <c r="AV2977" i="1"/>
  <c r="AV2978" i="1"/>
  <c r="AV2979" i="1"/>
  <c r="AV2980" i="1"/>
  <c r="AV2981" i="1"/>
  <c r="AV2982" i="1"/>
  <c r="AV2983" i="1"/>
  <c r="AV2984" i="1"/>
  <c r="AV2985" i="1"/>
  <c r="AV2986" i="1"/>
  <c r="AV2987" i="1"/>
  <c r="AV2988" i="1"/>
  <c r="AV2989" i="1"/>
  <c r="AV2990" i="1"/>
  <c r="AV2991" i="1"/>
  <c r="AV2992" i="1"/>
  <c r="AV2993" i="1"/>
  <c r="AV2994" i="1"/>
  <c r="AV2995" i="1"/>
  <c r="AV2996" i="1"/>
  <c r="AV2997" i="1"/>
  <c r="AV2998" i="1"/>
  <c r="AV2999" i="1"/>
  <c r="AV3000" i="1"/>
  <c r="AV3001" i="1"/>
  <c r="AV3002" i="1"/>
  <c r="AV3003" i="1"/>
  <c r="AV3004" i="1"/>
  <c r="AV3005" i="1"/>
  <c r="AV3006" i="1"/>
  <c r="AV3007" i="1"/>
  <c r="AV3008" i="1"/>
  <c r="AV3009" i="1"/>
  <c r="AV3010" i="1"/>
  <c r="AV3011" i="1"/>
  <c r="AV3012" i="1"/>
  <c r="AV3013" i="1"/>
  <c r="AV3014" i="1"/>
  <c r="AV3015" i="1"/>
  <c r="AV3016" i="1"/>
  <c r="AV3017" i="1"/>
  <c r="AV3018" i="1"/>
  <c r="AV3019" i="1"/>
  <c r="AV3020" i="1"/>
  <c r="AV3021" i="1"/>
  <c r="AV3022" i="1"/>
  <c r="AV3023" i="1"/>
  <c r="AV3024" i="1"/>
  <c r="AV3025" i="1"/>
  <c r="AV3026" i="1"/>
  <c r="AV3027" i="1"/>
  <c r="AV3028" i="1"/>
  <c r="AV3029" i="1"/>
  <c r="AV3030" i="1"/>
  <c r="AV3031" i="1"/>
  <c r="AV3032" i="1"/>
  <c r="AV3033" i="1"/>
  <c r="AV3034" i="1"/>
  <c r="AV3035" i="1"/>
  <c r="AV3036" i="1"/>
  <c r="AV3037" i="1"/>
  <c r="AV3038" i="1"/>
  <c r="AV3039" i="1"/>
  <c r="AV3040" i="1"/>
  <c r="AV3041" i="1"/>
  <c r="AV3042" i="1"/>
  <c r="AV3043" i="1"/>
  <c r="AV3044" i="1"/>
  <c r="AV3045" i="1"/>
  <c r="AV3046" i="1"/>
  <c r="AV3047" i="1"/>
  <c r="AV3048" i="1"/>
  <c r="AV3049" i="1"/>
  <c r="AV3050" i="1"/>
  <c r="AV3051" i="1"/>
  <c r="AV3052" i="1"/>
  <c r="AV3053" i="1"/>
  <c r="AV3054" i="1"/>
  <c r="AV3055" i="1"/>
  <c r="AV3056" i="1"/>
  <c r="AV3057" i="1"/>
  <c r="AV3058" i="1"/>
  <c r="AV3059" i="1"/>
  <c r="AV3060" i="1"/>
  <c r="AV3061" i="1"/>
  <c r="AV3062" i="1"/>
  <c r="AV3063" i="1"/>
  <c r="AV3064" i="1"/>
  <c r="AV3065" i="1"/>
  <c r="AV3066" i="1"/>
  <c r="AV3067" i="1"/>
  <c r="AV3068" i="1"/>
  <c r="AV3069" i="1"/>
  <c r="AV3070" i="1"/>
  <c r="AV3071" i="1"/>
  <c r="AV3072" i="1"/>
  <c r="AV3073" i="1"/>
  <c r="AV3074" i="1"/>
  <c r="AV3075" i="1"/>
  <c r="AV3076" i="1"/>
  <c r="AV3077" i="1"/>
  <c r="AV3078" i="1"/>
  <c r="AV3079" i="1"/>
  <c r="AV3080" i="1"/>
  <c r="AV3081" i="1"/>
  <c r="AV3082" i="1"/>
  <c r="AV3083" i="1"/>
  <c r="AV3084" i="1"/>
  <c r="AV3085" i="1"/>
  <c r="AV3086" i="1"/>
  <c r="AV3087" i="1"/>
  <c r="AV3088" i="1"/>
  <c r="AV3089" i="1"/>
  <c r="AV3090" i="1"/>
  <c r="AV3091" i="1"/>
  <c r="AV3092" i="1"/>
  <c r="AV3093" i="1"/>
  <c r="AV3094" i="1"/>
  <c r="AV3095" i="1"/>
  <c r="AV3096" i="1"/>
  <c r="AV3097" i="1"/>
  <c r="AV3098" i="1"/>
  <c r="AV3099" i="1"/>
  <c r="AV3100" i="1"/>
  <c r="AV3101" i="1"/>
  <c r="AV3102" i="1"/>
  <c r="AV3103" i="1"/>
  <c r="AV3104" i="1"/>
  <c r="AV3105" i="1"/>
  <c r="AV3106" i="1"/>
  <c r="AV3107" i="1"/>
  <c r="AV3108" i="1"/>
  <c r="AV3109" i="1"/>
  <c r="AV3110" i="1"/>
  <c r="AV3111" i="1"/>
  <c r="AV3112" i="1"/>
  <c r="AV3113" i="1"/>
  <c r="AV3114" i="1"/>
  <c r="AV3115" i="1"/>
  <c r="AV3116" i="1"/>
  <c r="AV3117" i="1"/>
  <c r="AV3118" i="1"/>
  <c r="AV3119" i="1"/>
  <c r="AV3120" i="1"/>
  <c r="AV3121" i="1"/>
  <c r="AV3122" i="1"/>
  <c r="AV3123" i="1"/>
  <c r="AV3124" i="1"/>
  <c r="AV3125" i="1"/>
  <c r="AV3126" i="1"/>
  <c r="AV3127" i="1"/>
  <c r="AV3128" i="1"/>
  <c r="AV3129" i="1"/>
  <c r="AV3130" i="1"/>
  <c r="AV3131" i="1"/>
  <c r="AV3132" i="1"/>
  <c r="AV3133" i="1"/>
  <c r="AV3134" i="1"/>
  <c r="AV3135" i="1"/>
  <c r="AV3136" i="1"/>
  <c r="AV3137" i="1"/>
  <c r="AV3138" i="1"/>
  <c r="AV3139" i="1"/>
  <c r="AV3140" i="1"/>
  <c r="AV3141" i="1"/>
  <c r="AV3142" i="1"/>
  <c r="AV3143" i="1"/>
  <c r="AV3144" i="1"/>
  <c r="AV3145" i="1"/>
  <c r="AV3146" i="1"/>
  <c r="AV3147" i="1"/>
  <c r="AV3148" i="1"/>
  <c r="AV3149" i="1"/>
  <c r="AV3150" i="1"/>
  <c r="AV3151" i="1"/>
  <c r="AV3152" i="1"/>
  <c r="AV3153" i="1"/>
  <c r="AV3154" i="1"/>
  <c r="AV3155" i="1"/>
  <c r="AV3156" i="1"/>
  <c r="AV3157" i="1"/>
  <c r="AV3158" i="1"/>
  <c r="AV3159" i="1"/>
  <c r="AV3160" i="1"/>
  <c r="AV3161" i="1"/>
  <c r="AV3162" i="1"/>
  <c r="AV3163" i="1"/>
  <c r="AV3164" i="1"/>
  <c r="AV3165" i="1"/>
  <c r="AV3166" i="1"/>
  <c r="AV3167" i="1"/>
  <c r="AV3168" i="1"/>
  <c r="AV3169" i="1"/>
  <c r="AV3170" i="1"/>
  <c r="AV3171" i="1"/>
  <c r="AV3172" i="1"/>
  <c r="AV3173" i="1"/>
  <c r="AV3174" i="1"/>
  <c r="AV3175" i="1"/>
  <c r="AV3176" i="1"/>
  <c r="AV3177" i="1"/>
  <c r="AV3178" i="1"/>
  <c r="AV3179" i="1"/>
  <c r="AV3180" i="1"/>
  <c r="AV3181" i="1"/>
  <c r="AV3182" i="1"/>
  <c r="AV3183" i="1"/>
  <c r="AV3184" i="1"/>
  <c r="AV3185" i="1"/>
  <c r="AV3186" i="1"/>
  <c r="AV3187" i="1"/>
  <c r="AV3188" i="1"/>
  <c r="AV3189" i="1"/>
  <c r="AV3190" i="1"/>
  <c r="AV3191" i="1"/>
  <c r="AV3192" i="1"/>
  <c r="AV3193" i="1"/>
  <c r="AV3194" i="1"/>
  <c r="AV3195" i="1"/>
  <c r="AV3196" i="1"/>
  <c r="AV3197" i="1"/>
  <c r="AV3198" i="1"/>
  <c r="AV3199" i="1"/>
  <c r="AV3200" i="1"/>
  <c r="AV3201" i="1"/>
  <c r="AV3202" i="1"/>
  <c r="AV3203" i="1"/>
  <c r="AV3204" i="1"/>
  <c r="AV3205" i="1"/>
  <c r="AV3206" i="1"/>
  <c r="AV3207" i="1"/>
  <c r="AV3208" i="1"/>
  <c r="AV3209" i="1"/>
  <c r="AV3210" i="1"/>
  <c r="AV3211" i="1"/>
  <c r="AV3212" i="1"/>
  <c r="AV3213" i="1"/>
  <c r="AV3214" i="1"/>
  <c r="AV3215" i="1"/>
  <c r="AV3216" i="1"/>
  <c r="AV3217" i="1"/>
  <c r="AV3218" i="1"/>
  <c r="AV3219" i="1"/>
  <c r="AV3220" i="1"/>
  <c r="AV3221" i="1"/>
  <c r="AV3222" i="1"/>
  <c r="AV3223" i="1"/>
  <c r="AV3224" i="1"/>
  <c r="AV3225" i="1"/>
  <c r="AV3226" i="1"/>
  <c r="AV3227" i="1"/>
  <c r="AV3228" i="1"/>
  <c r="AV3229" i="1"/>
  <c r="AV3230" i="1"/>
  <c r="AV3231" i="1"/>
  <c r="AV3232" i="1"/>
  <c r="AV3233" i="1"/>
  <c r="AV3234" i="1"/>
  <c r="AV3235" i="1"/>
  <c r="AV3236" i="1"/>
  <c r="AV3237" i="1"/>
  <c r="AV3238" i="1"/>
  <c r="AV3239" i="1"/>
  <c r="AV3240" i="1"/>
  <c r="AV3241" i="1"/>
  <c r="AV3242" i="1"/>
  <c r="AV3243" i="1"/>
  <c r="AV3244" i="1"/>
  <c r="AV3245" i="1"/>
  <c r="AV3246" i="1"/>
  <c r="AV3247" i="1"/>
  <c r="AV3248" i="1"/>
  <c r="AV3249" i="1"/>
  <c r="AV3250" i="1"/>
  <c r="AV3251" i="1"/>
  <c r="AV3252" i="1"/>
  <c r="AV3253" i="1"/>
  <c r="AV3254" i="1"/>
  <c r="AV3255" i="1"/>
  <c r="AV3256" i="1"/>
  <c r="AV3257" i="1"/>
  <c r="AV3258" i="1"/>
  <c r="AV3259" i="1"/>
  <c r="AV3260" i="1"/>
  <c r="AV3261" i="1"/>
  <c r="AV3262" i="1"/>
  <c r="AV3263" i="1"/>
  <c r="AV3264" i="1"/>
  <c r="AV3265" i="1"/>
  <c r="AV3266" i="1"/>
  <c r="AV3267" i="1"/>
  <c r="AV3268" i="1"/>
  <c r="AV3269" i="1"/>
  <c r="AV3270" i="1"/>
  <c r="AV3271" i="1"/>
  <c r="AV3272" i="1"/>
  <c r="AV3273" i="1"/>
  <c r="AV3274" i="1"/>
  <c r="AV3275" i="1"/>
  <c r="AV3276" i="1"/>
  <c r="AV3277" i="1"/>
  <c r="AV3278" i="1"/>
  <c r="AV3279" i="1"/>
  <c r="AV3280" i="1"/>
  <c r="AV3281" i="1"/>
  <c r="AV3282" i="1"/>
  <c r="AV3283" i="1"/>
  <c r="AV3284" i="1"/>
  <c r="AV3285" i="1"/>
  <c r="AV3286" i="1"/>
  <c r="AV3287" i="1"/>
  <c r="AV3288" i="1"/>
  <c r="AV3289" i="1"/>
  <c r="AV3290" i="1"/>
  <c r="AV3291" i="1"/>
  <c r="AV3292" i="1"/>
  <c r="AV3293" i="1"/>
  <c r="AV3294" i="1"/>
  <c r="AV3295" i="1"/>
  <c r="AV3296" i="1"/>
  <c r="AV3297" i="1"/>
  <c r="AV3298" i="1"/>
  <c r="AV3299" i="1"/>
  <c r="AV3300" i="1"/>
  <c r="AV3301" i="1"/>
  <c r="AV3302" i="1"/>
  <c r="AV3303" i="1"/>
  <c r="AV3304" i="1"/>
  <c r="AV3305" i="1"/>
  <c r="AV3306" i="1"/>
  <c r="AV3307" i="1"/>
  <c r="AV3308" i="1"/>
  <c r="AV3309" i="1"/>
  <c r="AV3310" i="1"/>
  <c r="AV3311" i="1"/>
  <c r="AV3312" i="1"/>
  <c r="AV3313" i="1"/>
  <c r="AV3314" i="1"/>
  <c r="AV3315" i="1"/>
  <c r="AV3316" i="1"/>
  <c r="AV3317" i="1"/>
  <c r="AV3318" i="1"/>
  <c r="AV3319" i="1"/>
  <c r="AV3320" i="1"/>
  <c r="AV3321" i="1"/>
  <c r="AV3322" i="1"/>
  <c r="AV3323" i="1"/>
  <c r="AV3324" i="1"/>
  <c r="AV3325" i="1"/>
  <c r="AV3326" i="1"/>
  <c r="AV3327" i="1"/>
  <c r="AV3328" i="1"/>
  <c r="AV3329" i="1"/>
  <c r="AV3330" i="1"/>
  <c r="AV3331" i="1"/>
  <c r="AV3332" i="1"/>
  <c r="AV3333" i="1"/>
  <c r="AV3334" i="1"/>
  <c r="AV3335" i="1"/>
  <c r="AV3336" i="1"/>
  <c r="AV3337" i="1"/>
  <c r="AV3338" i="1"/>
  <c r="AV3339" i="1"/>
  <c r="AV3340" i="1"/>
  <c r="AV3341" i="1"/>
  <c r="AV3342" i="1"/>
  <c r="AV3343" i="1"/>
  <c r="AV3344" i="1"/>
  <c r="AV3345" i="1"/>
  <c r="AV3346" i="1"/>
  <c r="AV3347" i="1"/>
  <c r="AV3348" i="1"/>
  <c r="AV3349" i="1"/>
  <c r="AV3350" i="1"/>
  <c r="AV3351" i="1"/>
  <c r="AV3352" i="1"/>
  <c r="AV3353" i="1"/>
  <c r="AV3354" i="1"/>
  <c r="AV3355" i="1"/>
  <c r="AV3356" i="1"/>
  <c r="AV3357" i="1"/>
  <c r="AV3358" i="1"/>
  <c r="AV3359" i="1"/>
  <c r="AV3360" i="1"/>
  <c r="AV3361" i="1"/>
  <c r="AV3362" i="1"/>
  <c r="AV3363" i="1"/>
  <c r="AV3364" i="1"/>
  <c r="AV3365" i="1"/>
  <c r="AV3366" i="1"/>
  <c r="AV3367" i="1"/>
  <c r="AV3368" i="1"/>
  <c r="AV3369" i="1"/>
  <c r="AV3370" i="1"/>
  <c r="AV3371" i="1"/>
  <c r="AV3372" i="1"/>
  <c r="AV3373" i="1"/>
  <c r="AV3374" i="1"/>
  <c r="AV3375" i="1"/>
  <c r="AV3376" i="1"/>
  <c r="AV3377" i="1"/>
  <c r="AV3378" i="1"/>
  <c r="AV3379" i="1"/>
  <c r="AV3380" i="1"/>
  <c r="AV3381" i="1"/>
  <c r="AV3382" i="1"/>
  <c r="AV3383" i="1"/>
  <c r="AV3384" i="1"/>
  <c r="AV3385" i="1"/>
  <c r="AV3386" i="1"/>
  <c r="AV3387" i="1"/>
  <c r="AV3388" i="1"/>
  <c r="AV3389" i="1"/>
  <c r="AV3390" i="1"/>
  <c r="AV3391" i="1"/>
  <c r="AV3392" i="1"/>
  <c r="AV3393" i="1"/>
  <c r="AV3394" i="1"/>
  <c r="AV3395" i="1"/>
  <c r="AV3396" i="1"/>
  <c r="AV3397" i="1"/>
  <c r="AV3398" i="1"/>
  <c r="AV3399" i="1"/>
  <c r="AV3400" i="1"/>
  <c r="AV3401" i="1"/>
  <c r="AV3402" i="1"/>
  <c r="AV3403" i="1"/>
  <c r="AV3404" i="1"/>
  <c r="AV3405" i="1"/>
  <c r="AV3406" i="1"/>
  <c r="AV3407" i="1"/>
  <c r="AV3408" i="1"/>
  <c r="AV3409" i="1"/>
  <c r="AV3410" i="1"/>
  <c r="AV3411" i="1"/>
  <c r="AV3412" i="1"/>
  <c r="AV3413" i="1"/>
  <c r="AV3414" i="1"/>
  <c r="AV3415" i="1"/>
  <c r="AV3416" i="1"/>
  <c r="AV3417" i="1"/>
  <c r="AV3418" i="1"/>
  <c r="AV3419" i="1"/>
  <c r="AV3420" i="1"/>
  <c r="AV3421" i="1"/>
  <c r="AV3422" i="1"/>
  <c r="AV3423" i="1"/>
  <c r="AV3424" i="1"/>
  <c r="AV3425" i="1"/>
  <c r="AV3426" i="1"/>
  <c r="AV3427" i="1"/>
  <c r="AV3428" i="1"/>
  <c r="AV3429" i="1"/>
  <c r="AV3430" i="1"/>
  <c r="AV3431" i="1"/>
  <c r="AV3432" i="1"/>
  <c r="AV3433" i="1"/>
  <c r="AV3434" i="1"/>
  <c r="AV3435" i="1"/>
  <c r="AV3436" i="1"/>
  <c r="AV3437" i="1"/>
  <c r="AV3438" i="1"/>
  <c r="AV3439" i="1"/>
  <c r="AV3440" i="1"/>
  <c r="AV3441" i="1"/>
  <c r="AV3442" i="1"/>
  <c r="AV3443" i="1"/>
  <c r="AV3444" i="1"/>
  <c r="AV3445" i="1"/>
  <c r="AV3446" i="1"/>
  <c r="AV3447" i="1"/>
  <c r="AV3448" i="1"/>
  <c r="AV3449" i="1"/>
  <c r="AV3450" i="1"/>
  <c r="AV3451" i="1"/>
  <c r="AV3452" i="1"/>
  <c r="AV3453" i="1"/>
  <c r="AV3454" i="1"/>
  <c r="AV3455" i="1"/>
  <c r="AV3456" i="1"/>
  <c r="AV3457" i="1"/>
  <c r="AV3458" i="1"/>
  <c r="AV3459" i="1"/>
  <c r="AV3460" i="1"/>
  <c r="AV3461" i="1"/>
  <c r="AV3462" i="1"/>
  <c r="AV3463" i="1"/>
  <c r="AV3464" i="1"/>
  <c r="AV3465" i="1"/>
  <c r="AV3466" i="1"/>
  <c r="AV3467" i="1"/>
  <c r="AV3468" i="1"/>
  <c r="AV3469" i="1"/>
  <c r="AV3470" i="1"/>
  <c r="AV3471" i="1"/>
  <c r="AV3472" i="1"/>
  <c r="AV3473" i="1"/>
  <c r="AV3474" i="1"/>
  <c r="AV3475" i="1"/>
  <c r="AV3476" i="1"/>
  <c r="AV3477" i="1"/>
  <c r="AV3478" i="1"/>
  <c r="AV3479" i="1"/>
  <c r="AV3480" i="1"/>
  <c r="AV3481" i="1"/>
  <c r="AV3482" i="1"/>
  <c r="AV3483" i="1"/>
  <c r="AV3484" i="1"/>
  <c r="AV3485" i="1"/>
  <c r="AV3486" i="1"/>
  <c r="AV3487" i="1"/>
  <c r="AV3488" i="1"/>
  <c r="AV3489" i="1"/>
  <c r="AV3490" i="1"/>
  <c r="AV3491" i="1"/>
  <c r="AV3492" i="1"/>
  <c r="AV3493" i="1"/>
  <c r="AV3494" i="1"/>
  <c r="AV3495" i="1"/>
  <c r="AV3496" i="1"/>
  <c r="AV3497" i="1"/>
  <c r="AV3498" i="1"/>
  <c r="AV3499" i="1"/>
  <c r="AV3500" i="1"/>
  <c r="AV3501" i="1"/>
  <c r="AV3502" i="1"/>
  <c r="AV3503" i="1"/>
  <c r="AV3504" i="1"/>
  <c r="AV3505" i="1"/>
  <c r="AV3506" i="1"/>
  <c r="AV3507" i="1"/>
  <c r="AV3508" i="1"/>
  <c r="AV3509" i="1"/>
  <c r="AV3510" i="1"/>
  <c r="AV3511" i="1"/>
  <c r="AV3512" i="1"/>
  <c r="AV3513" i="1"/>
  <c r="AV3514" i="1"/>
  <c r="AV3515" i="1"/>
  <c r="AV3516" i="1"/>
  <c r="AV3517" i="1"/>
  <c r="AV3518" i="1"/>
  <c r="AV3519" i="1"/>
  <c r="AV3520" i="1"/>
  <c r="AV3521" i="1"/>
  <c r="AV3522" i="1"/>
  <c r="AV3523" i="1"/>
  <c r="AV3524" i="1"/>
  <c r="AV3525" i="1"/>
  <c r="AV3526" i="1"/>
  <c r="AV3527" i="1"/>
  <c r="AV3528" i="1"/>
  <c r="AV3529" i="1"/>
  <c r="AV3530" i="1"/>
  <c r="AV3531" i="1"/>
  <c r="AV3532" i="1"/>
  <c r="AV3533" i="1"/>
  <c r="AV3534" i="1"/>
  <c r="AV3535" i="1"/>
  <c r="AV3536" i="1"/>
  <c r="AV3537" i="1"/>
  <c r="AV3538" i="1"/>
  <c r="AV3539" i="1"/>
  <c r="AV3540" i="1"/>
  <c r="AV3541" i="1"/>
  <c r="AV3542" i="1"/>
  <c r="AV3543" i="1"/>
  <c r="AV3544" i="1"/>
  <c r="AV3545" i="1"/>
  <c r="AV3546" i="1"/>
  <c r="AV3547" i="1"/>
  <c r="AV3548" i="1"/>
  <c r="AV3549" i="1"/>
  <c r="AV3550" i="1"/>
  <c r="AV3551" i="1"/>
  <c r="AV3552" i="1"/>
  <c r="AV3553" i="1"/>
  <c r="AV3554" i="1"/>
  <c r="AV3555" i="1"/>
  <c r="AV3556" i="1"/>
  <c r="AV3557" i="1"/>
  <c r="AV3558" i="1"/>
  <c r="AV3559" i="1"/>
  <c r="AV3560" i="1"/>
  <c r="AV3561" i="1"/>
  <c r="AV3562" i="1"/>
  <c r="AV3563" i="1"/>
  <c r="AV3564" i="1"/>
  <c r="AV3565" i="1"/>
  <c r="AV3566" i="1"/>
  <c r="AV3567" i="1"/>
  <c r="AV3568" i="1"/>
  <c r="AV3569" i="1"/>
  <c r="AV3570" i="1"/>
  <c r="AV3571" i="1"/>
  <c r="AV3572" i="1"/>
  <c r="AV3573" i="1"/>
  <c r="AV3574" i="1"/>
  <c r="AV3575" i="1"/>
  <c r="AV3576" i="1"/>
  <c r="AV3577" i="1"/>
  <c r="AV3578" i="1"/>
  <c r="AV3579" i="1"/>
  <c r="AV3580" i="1"/>
  <c r="AV3581" i="1"/>
  <c r="AV3582" i="1"/>
  <c r="AV3583" i="1"/>
  <c r="AV3584" i="1"/>
  <c r="AV3585" i="1"/>
  <c r="AV3586" i="1"/>
  <c r="AV3587" i="1"/>
  <c r="AV3588" i="1"/>
  <c r="AV3589" i="1"/>
  <c r="AV3590" i="1"/>
  <c r="AV3591" i="1"/>
  <c r="AV3592" i="1"/>
  <c r="AV3593" i="1"/>
  <c r="AV3594" i="1"/>
  <c r="AV3595" i="1"/>
  <c r="AV3596" i="1"/>
  <c r="AV3597" i="1"/>
  <c r="AV3598" i="1"/>
  <c r="AV3599" i="1"/>
  <c r="AV3600" i="1"/>
  <c r="AV3601" i="1"/>
  <c r="AV3602" i="1"/>
  <c r="AV3603" i="1"/>
  <c r="AV3604" i="1"/>
  <c r="AV3605" i="1"/>
  <c r="AV3606" i="1"/>
  <c r="AV3607" i="1"/>
  <c r="AV3608" i="1"/>
  <c r="AV3609" i="1"/>
  <c r="AV3610" i="1"/>
  <c r="AV3611" i="1"/>
  <c r="AV3612" i="1"/>
  <c r="AV3613" i="1"/>
  <c r="AV3614" i="1"/>
  <c r="AV3615" i="1"/>
  <c r="AV3616" i="1"/>
  <c r="AV3617" i="1"/>
  <c r="AV3618" i="1"/>
  <c r="AV3619" i="1"/>
  <c r="AV3620" i="1"/>
  <c r="AV3621" i="1"/>
  <c r="AV3622" i="1"/>
  <c r="AV3623" i="1"/>
  <c r="AV3624" i="1"/>
  <c r="AV3625" i="1"/>
  <c r="AV3626" i="1"/>
  <c r="AV3627" i="1"/>
  <c r="AV3628" i="1"/>
  <c r="AV3629" i="1"/>
  <c r="AV3630" i="1"/>
  <c r="AV3631" i="1"/>
  <c r="AV3632" i="1"/>
  <c r="AV3633" i="1"/>
  <c r="AV3634" i="1"/>
  <c r="AV3635" i="1"/>
  <c r="AV3636" i="1"/>
  <c r="AV3637" i="1"/>
  <c r="AV3638" i="1"/>
  <c r="AV3639" i="1"/>
  <c r="AV3640" i="1"/>
  <c r="AV3641" i="1"/>
  <c r="AV3642" i="1"/>
  <c r="AV3643" i="1"/>
  <c r="AV3644" i="1"/>
  <c r="AV3645" i="1"/>
  <c r="AV3646" i="1"/>
  <c r="AV3647" i="1"/>
  <c r="AV3648" i="1"/>
  <c r="AV3649" i="1"/>
  <c r="AV3650" i="1"/>
  <c r="AV3651" i="1"/>
  <c r="AV3652" i="1"/>
  <c r="AV3653" i="1"/>
  <c r="AV3654" i="1"/>
  <c r="AV3655" i="1"/>
  <c r="AV3656" i="1"/>
  <c r="AV3657" i="1"/>
  <c r="AV3658" i="1"/>
  <c r="AV3659" i="1"/>
  <c r="AV3660" i="1"/>
  <c r="AV3661" i="1"/>
  <c r="AV3662" i="1"/>
  <c r="AV3663" i="1"/>
  <c r="AV3664" i="1"/>
  <c r="AV3665" i="1"/>
  <c r="AV3666" i="1"/>
  <c r="AV3667" i="1"/>
  <c r="AV3668" i="1"/>
  <c r="AV3669" i="1"/>
  <c r="AV3670" i="1"/>
  <c r="AV3671" i="1"/>
  <c r="AV3672" i="1"/>
  <c r="AV3673" i="1"/>
  <c r="AV3674" i="1"/>
  <c r="AV3675" i="1"/>
  <c r="AV3676" i="1"/>
  <c r="AV3677" i="1"/>
  <c r="AV3678" i="1"/>
  <c r="AV3679" i="1"/>
  <c r="AV3680" i="1"/>
  <c r="AV3681" i="1"/>
  <c r="AV3682" i="1"/>
  <c r="AV3683" i="1"/>
  <c r="AV3684" i="1"/>
  <c r="AV3685" i="1"/>
  <c r="AV3686" i="1"/>
  <c r="AV3687" i="1"/>
  <c r="AV3688" i="1"/>
  <c r="AV3689" i="1"/>
  <c r="AV3690" i="1"/>
  <c r="AV3691" i="1"/>
  <c r="AV3692" i="1"/>
  <c r="AV3693" i="1"/>
  <c r="AV3694" i="1"/>
  <c r="AV3695" i="1"/>
  <c r="AV3696" i="1"/>
  <c r="AV3697" i="1"/>
  <c r="AV3698" i="1"/>
  <c r="AV3699" i="1"/>
  <c r="AV3700" i="1"/>
  <c r="AV3701" i="1"/>
  <c r="AV3702" i="1"/>
  <c r="AV3703" i="1"/>
  <c r="AV3704" i="1"/>
  <c r="AV3705" i="1"/>
  <c r="AV3706" i="1"/>
  <c r="AV3707" i="1"/>
  <c r="AV3708" i="1"/>
  <c r="AV3709" i="1"/>
  <c r="AV3710" i="1"/>
  <c r="AV3711" i="1"/>
  <c r="AV3712" i="1"/>
  <c r="AV3713" i="1"/>
  <c r="AV3714" i="1"/>
  <c r="AV3715" i="1"/>
  <c r="AV3716" i="1"/>
  <c r="AV3717" i="1"/>
  <c r="AV3718" i="1"/>
  <c r="AV3719" i="1"/>
  <c r="AV3720" i="1"/>
  <c r="AV3721" i="1"/>
  <c r="AV3722" i="1"/>
  <c r="AV3723" i="1"/>
  <c r="AV3724" i="1"/>
  <c r="AV3725" i="1"/>
  <c r="AV3726" i="1"/>
  <c r="AV3727" i="1"/>
  <c r="AV3728" i="1"/>
  <c r="AV3729" i="1"/>
  <c r="AV3730" i="1"/>
  <c r="AV3731" i="1"/>
  <c r="AV3732" i="1"/>
  <c r="AV3733" i="1"/>
  <c r="AV3734" i="1"/>
  <c r="AV3735" i="1"/>
  <c r="AV3736" i="1"/>
  <c r="AV3737" i="1"/>
  <c r="AV3738" i="1"/>
  <c r="AV3739" i="1"/>
  <c r="AV3740" i="1"/>
  <c r="AV3741" i="1"/>
  <c r="AV3742" i="1"/>
  <c r="AV3743" i="1"/>
  <c r="AV3744" i="1"/>
  <c r="AV3745" i="1"/>
  <c r="AV3746" i="1"/>
  <c r="AV3747" i="1"/>
  <c r="AV3748" i="1"/>
  <c r="AV3749" i="1"/>
  <c r="AV3750" i="1"/>
  <c r="AV3751" i="1"/>
  <c r="AV3752" i="1"/>
  <c r="AV3753" i="1"/>
  <c r="AV3754" i="1"/>
  <c r="AV3755" i="1"/>
  <c r="AV3756" i="1"/>
  <c r="AV3757" i="1"/>
  <c r="AV3758" i="1"/>
  <c r="AV3759" i="1"/>
  <c r="AV3760" i="1"/>
  <c r="AV3761" i="1"/>
  <c r="AV3762" i="1"/>
  <c r="AV3763" i="1"/>
  <c r="AV3764" i="1"/>
  <c r="AV3765" i="1"/>
  <c r="AV3766" i="1"/>
  <c r="AV3767" i="1"/>
  <c r="AV3768" i="1"/>
  <c r="AV3769" i="1"/>
  <c r="AV3770" i="1"/>
  <c r="AV3771" i="1"/>
  <c r="AV3772" i="1"/>
  <c r="AV3773" i="1"/>
  <c r="AV3774" i="1"/>
  <c r="AV3775" i="1"/>
  <c r="AV3776" i="1"/>
  <c r="AV3777" i="1"/>
  <c r="AV3778" i="1"/>
  <c r="AV3779" i="1"/>
  <c r="AV3780" i="1"/>
  <c r="AV3781" i="1"/>
  <c r="AV3782" i="1"/>
  <c r="AV3783" i="1"/>
  <c r="AV3784" i="1"/>
  <c r="AV3785" i="1"/>
  <c r="AV3786" i="1"/>
  <c r="AV3787" i="1"/>
  <c r="AV3788" i="1"/>
  <c r="AV3789" i="1"/>
  <c r="AV3790" i="1"/>
  <c r="AV3791" i="1"/>
  <c r="AV3792" i="1"/>
  <c r="AV3793" i="1"/>
  <c r="AV3794" i="1"/>
  <c r="AV3795" i="1"/>
  <c r="AV3796" i="1"/>
  <c r="AV3797" i="1"/>
  <c r="AV3798" i="1"/>
  <c r="AV3799" i="1"/>
  <c r="AV3800" i="1"/>
  <c r="AV3801" i="1"/>
  <c r="AV3802" i="1"/>
  <c r="AV3803" i="1"/>
  <c r="AV3804" i="1"/>
  <c r="AV3805" i="1"/>
  <c r="AV3806" i="1"/>
  <c r="AV3807" i="1"/>
  <c r="AV3808" i="1"/>
  <c r="AV3809" i="1"/>
  <c r="AV3810" i="1"/>
  <c r="AV3811" i="1"/>
  <c r="AV3812" i="1"/>
  <c r="AV3813" i="1"/>
  <c r="AV3814" i="1"/>
  <c r="AV3815" i="1"/>
  <c r="AV3816" i="1"/>
  <c r="AV3817" i="1"/>
  <c r="AV3818" i="1"/>
  <c r="AV3819" i="1"/>
  <c r="AV3820" i="1"/>
  <c r="AV3821" i="1"/>
  <c r="AV3822" i="1"/>
  <c r="AV3823" i="1"/>
  <c r="AV3824" i="1"/>
  <c r="AV3825" i="1"/>
  <c r="AV3826" i="1"/>
  <c r="AV3827" i="1"/>
  <c r="AV3828" i="1"/>
  <c r="AV3829" i="1"/>
  <c r="AV3830" i="1"/>
  <c r="AV3831" i="1"/>
  <c r="AV3832" i="1"/>
  <c r="AV3833" i="1"/>
  <c r="AV3834" i="1"/>
  <c r="AV3835" i="1"/>
  <c r="AV3836" i="1"/>
  <c r="AV3837" i="1"/>
  <c r="AV3838" i="1"/>
  <c r="AV3839" i="1"/>
  <c r="AV3840" i="1"/>
  <c r="AV3841" i="1"/>
  <c r="AV3842" i="1"/>
  <c r="AV3843" i="1"/>
  <c r="AV3844" i="1"/>
  <c r="AV3845" i="1"/>
  <c r="AV3846" i="1"/>
  <c r="AV3847" i="1"/>
  <c r="AV3848" i="1"/>
  <c r="AV3849" i="1"/>
  <c r="AV3850" i="1"/>
  <c r="AV3851" i="1"/>
  <c r="AV3852" i="1"/>
  <c r="AV3853" i="1"/>
  <c r="AV3854" i="1"/>
  <c r="AV3855" i="1"/>
  <c r="AV3856" i="1"/>
  <c r="AV3857" i="1"/>
  <c r="AV3858" i="1"/>
  <c r="AV3859" i="1"/>
  <c r="AV3860" i="1"/>
  <c r="AV3861" i="1"/>
  <c r="AV3862" i="1"/>
  <c r="AV3863" i="1"/>
  <c r="AV3864" i="1"/>
  <c r="AV3865" i="1"/>
  <c r="AV3866" i="1"/>
  <c r="AV3867" i="1"/>
  <c r="AV3868" i="1"/>
  <c r="AV3869" i="1"/>
  <c r="AV3870" i="1"/>
  <c r="AV3871" i="1"/>
  <c r="AV3872" i="1"/>
  <c r="AV3873" i="1"/>
  <c r="AV3874" i="1"/>
  <c r="AV3875" i="1"/>
  <c r="AV3876" i="1"/>
  <c r="AV3877" i="1"/>
  <c r="AV3878" i="1"/>
  <c r="AV3879" i="1"/>
  <c r="AV3880" i="1"/>
  <c r="AV3881" i="1"/>
  <c r="AV3882" i="1"/>
  <c r="AV3883" i="1"/>
  <c r="AV3884" i="1"/>
  <c r="AV3885" i="1"/>
  <c r="AV3886" i="1"/>
  <c r="AV3887" i="1"/>
  <c r="AV3888" i="1"/>
  <c r="AV3889" i="1"/>
  <c r="AV3890" i="1"/>
  <c r="AV3891" i="1"/>
  <c r="AV3892" i="1"/>
  <c r="AV3893" i="1"/>
  <c r="AV3894" i="1"/>
  <c r="AV3895" i="1"/>
  <c r="AV3896" i="1"/>
  <c r="AV3897" i="1"/>
  <c r="AV3898" i="1"/>
  <c r="AV3899" i="1"/>
  <c r="AV3900" i="1"/>
  <c r="AV3901" i="1"/>
  <c r="AV3902" i="1"/>
  <c r="AV3903" i="1"/>
  <c r="AV3904" i="1"/>
  <c r="AV3905" i="1"/>
  <c r="AV3906" i="1"/>
  <c r="AV3907" i="1"/>
  <c r="AV3908" i="1"/>
  <c r="AV3909" i="1"/>
  <c r="AV3910" i="1"/>
  <c r="AV3911" i="1"/>
  <c r="AV3912" i="1"/>
  <c r="AV3913" i="1"/>
  <c r="AV3914" i="1"/>
  <c r="AV3915" i="1"/>
  <c r="AV3916" i="1"/>
  <c r="AV3917" i="1"/>
  <c r="AV3918" i="1"/>
  <c r="AV3919" i="1"/>
  <c r="AV3920" i="1"/>
  <c r="AV3921" i="1"/>
  <c r="AV3922" i="1"/>
  <c r="AV3923" i="1"/>
  <c r="AV3924" i="1"/>
  <c r="AV3925" i="1"/>
  <c r="AV3926" i="1"/>
  <c r="AV3927" i="1"/>
  <c r="AV3928" i="1"/>
  <c r="AV3929" i="1"/>
  <c r="AV3930" i="1"/>
  <c r="AV3931" i="1"/>
  <c r="AV3932" i="1"/>
  <c r="AV3933" i="1"/>
  <c r="AV3934" i="1"/>
  <c r="AV3935" i="1"/>
  <c r="AV3936" i="1"/>
  <c r="AV3937" i="1"/>
  <c r="AV3938" i="1"/>
  <c r="AV3939" i="1"/>
  <c r="AV3940" i="1"/>
  <c r="AV3941" i="1"/>
  <c r="AV3942" i="1"/>
  <c r="AV3943" i="1"/>
  <c r="AV3944" i="1"/>
  <c r="AV3945" i="1"/>
  <c r="AV3946" i="1"/>
  <c r="AV3947" i="1"/>
  <c r="AV3948" i="1"/>
  <c r="AV3949" i="1"/>
  <c r="AV3950" i="1"/>
  <c r="AV3951" i="1"/>
  <c r="AV3952" i="1"/>
  <c r="AV3953" i="1"/>
  <c r="AV3954" i="1"/>
  <c r="AV3955" i="1"/>
  <c r="AV3956" i="1"/>
  <c r="AV3957" i="1"/>
  <c r="AV3958" i="1"/>
  <c r="AV3959" i="1"/>
  <c r="AV3960" i="1"/>
  <c r="AV3961" i="1"/>
  <c r="AV3962" i="1"/>
  <c r="AV3963" i="1"/>
  <c r="AV3964" i="1"/>
  <c r="AV3965" i="1"/>
  <c r="AV3966" i="1"/>
  <c r="AV3967" i="1"/>
  <c r="AV3968" i="1"/>
  <c r="AV3969" i="1"/>
  <c r="AV3970" i="1"/>
  <c r="AV3971" i="1"/>
  <c r="AV3972" i="1"/>
  <c r="AV3973" i="1"/>
  <c r="AV3974" i="1"/>
  <c r="AV3975" i="1"/>
  <c r="AV3976" i="1"/>
  <c r="AV3977" i="1"/>
  <c r="AV3978" i="1"/>
  <c r="AV3979" i="1"/>
  <c r="AV3980" i="1"/>
  <c r="AV3981" i="1"/>
  <c r="AV3982" i="1"/>
  <c r="AV3983" i="1"/>
  <c r="AV3984" i="1"/>
  <c r="AV3985" i="1"/>
  <c r="AV3986" i="1"/>
  <c r="AV3987" i="1"/>
  <c r="AV3988" i="1"/>
  <c r="AV3989" i="1"/>
  <c r="AV3990" i="1"/>
  <c r="AV3991" i="1"/>
  <c r="AV3992" i="1"/>
  <c r="AV3993" i="1"/>
  <c r="AV3994" i="1"/>
  <c r="AV3995" i="1"/>
  <c r="AV3996" i="1"/>
  <c r="AV3997" i="1"/>
  <c r="AV3998" i="1"/>
  <c r="AV3999" i="1"/>
  <c r="AV4000" i="1"/>
  <c r="AV4001" i="1"/>
  <c r="AV4002" i="1"/>
  <c r="AV4003" i="1"/>
  <c r="AV4004" i="1"/>
  <c r="AV4005" i="1"/>
  <c r="AV4006" i="1"/>
  <c r="AV4007" i="1"/>
  <c r="AV4008" i="1"/>
  <c r="AV4009" i="1"/>
  <c r="AV4010" i="1"/>
  <c r="AV4011" i="1"/>
  <c r="AV4012" i="1"/>
  <c r="AV4013" i="1"/>
  <c r="AV4014" i="1"/>
  <c r="AV4015" i="1"/>
  <c r="AV4016" i="1"/>
  <c r="AV4017" i="1"/>
  <c r="AV4018" i="1"/>
  <c r="AV4019" i="1"/>
  <c r="AV4020" i="1"/>
  <c r="AV4021" i="1"/>
  <c r="AV4022" i="1"/>
  <c r="AV4023" i="1"/>
  <c r="AV4024" i="1"/>
  <c r="AV4025" i="1"/>
  <c r="AV4026" i="1"/>
  <c r="AV4027" i="1"/>
  <c r="AV4028" i="1"/>
  <c r="AV4029" i="1"/>
  <c r="AV4030" i="1"/>
  <c r="AV4031" i="1"/>
  <c r="AV4032" i="1"/>
  <c r="AV4033" i="1"/>
  <c r="AV4034" i="1"/>
  <c r="AV4035" i="1"/>
  <c r="AV4036" i="1"/>
  <c r="AV4037" i="1"/>
  <c r="AV4038" i="1"/>
  <c r="AV4039" i="1"/>
  <c r="AV4040" i="1"/>
  <c r="AV4041" i="1"/>
  <c r="AV4042" i="1"/>
  <c r="AV4043" i="1"/>
  <c r="AV4044" i="1"/>
  <c r="AV4045" i="1"/>
  <c r="AV4046" i="1"/>
  <c r="AV4047" i="1"/>
  <c r="AV4048" i="1"/>
  <c r="AV4049" i="1"/>
  <c r="AV4050" i="1"/>
  <c r="AV4051" i="1"/>
  <c r="AV4052" i="1"/>
  <c r="AV4053" i="1"/>
  <c r="AV4054" i="1"/>
  <c r="AV4055" i="1"/>
  <c r="AV4056" i="1"/>
  <c r="AV4057" i="1"/>
  <c r="AV4058" i="1"/>
  <c r="AV4059" i="1"/>
  <c r="AV4060" i="1"/>
  <c r="AV4061" i="1"/>
  <c r="AV4062" i="1"/>
  <c r="AV4063" i="1"/>
  <c r="AV4064" i="1"/>
  <c r="AV4065" i="1"/>
  <c r="AV4066" i="1"/>
  <c r="AV4067" i="1"/>
  <c r="AV4068" i="1"/>
  <c r="AV4069" i="1"/>
  <c r="AV4070" i="1"/>
  <c r="AV4071" i="1"/>
  <c r="AV4072" i="1"/>
  <c r="AV4073" i="1"/>
  <c r="AV4074" i="1"/>
  <c r="AV4075" i="1"/>
  <c r="AV4076" i="1"/>
  <c r="AV4077" i="1"/>
  <c r="AV4078" i="1"/>
  <c r="AV4079" i="1"/>
  <c r="AV4080" i="1"/>
  <c r="AV4081" i="1"/>
  <c r="AV4082" i="1"/>
  <c r="AV4083" i="1"/>
  <c r="AV4084" i="1"/>
  <c r="AV4085" i="1"/>
  <c r="AV4086" i="1"/>
  <c r="AV4087" i="1"/>
  <c r="AV4088" i="1"/>
  <c r="AV4089" i="1"/>
  <c r="AV4090" i="1"/>
  <c r="AV4091" i="1"/>
  <c r="AV4092" i="1"/>
  <c r="AV4093" i="1"/>
  <c r="AV4094" i="1"/>
  <c r="AV4095" i="1"/>
  <c r="AV4096" i="1"/>
  <c r="AV4097" i="1"/>
  <c r="AV4098" i="1"/>
  <c r="AV4099" i="1"/>
  <c r="AV4100" i="1"/>
  <c r="AV4101" i="1"/>
  <c r="AV4102" i="1"/>
  <c r="AV4103" i="1"/>
  <c r="AV4104" i="1"/>
  <c r="AV4105" i="1"/>
  <c r="AV4106" i="1"/>
  <c r="AV4107" i="1"/>
  <c r="AV4108" i="1"/>
  <c r="AV4109" i="1"/>
  <c r="AV4110" i="1"/>
  <c r="AV4111" i="1"/>
  <c r="AV4112" i="1"/>
  <c r="AV4113" i="1"/>
  <c r="AV4114" i="1"/>
  <c r="AV4115" i="1"/>
  <c r="AV4116" i="1"/>
  <c r="AV4117" i="1"/>
  <c r="AV4118" i="1"/>
  <c r="AV4119" i="1"/>
  <c r="AV4120" i="1"/>
  <c r="AV4121" i="1"/>
  <c r="AV4122" i="1"/>
  <c r="AV4123" i="1"/>
  <c r="AV4124" i="1"/>
  <c r="AV4125" i="1"/>
  <c r="AV4126" i="1"/>
  <c r="AV4127" i="1"/>
  <c r="AV4128" i="1"/>
  <c r="AV4129" i="1"/>
  <c r="AV4130" i="1"/>
  <c r="AV4131" i="1"/>
  <c r="AV4132" i="1"/>
  <c r="AV4133" i="1"/>
  <c r="AV4134" i="1"/>
  <c r="AV4135" i="1"/>
  <c r="AV4136" i="1"/>
  <c r="AV4137" i="1"/>
  <c r="AV4138" i="1"/>
  <c r="AV4139" i="1"/>
  <c r="AV4140" i="1"/>
  <c r="AV4141" i="1"/>
  <c r="AV4142" i="1"/>
  <c r="AV4143" i="1"/>
  <c r="AV4144" i="1"/>
  <c r="AV4145" i="1"/>
  <c r="AV4146" i="1"/>
  <c r="AV4147" i="1"/>
  <c r="AV4148" i="1"/>
  <c r="AV4149" i="1"/>
  <c r="AV4150" i="1"/>
  <c r="AV4151" i="1"/>
  <c r="AV4152" i="1"/>
  <c r="AV4153" i="1"/>
  <c r="AV4154" i="1"/>
  <c r="AV4155" i="1"/>
  <c r="AV4156" i="1"/>
  <c r="AV4157" i="1"/>
  <c r="AV4158" i="1"/>
  <c r="AV4159" i="1"/>
  <c r="AV4160" i="1"/>
  <c r="AV4161" i="1"/>
  <c r="AV4162" i="1"/>
  <c r="AV4163" i="1"/>
  <c r="AV4164"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X5" i="1"/>
  <c r="X17" i="1"/>
  <c r="X20" i="1"/>
  <c r="X21" i="1"/>
  <c r="X22" i="1"/>
  <c r="X23" i="1"/>
  <c r="X24" i="1"/>
  <c r="X26" i="1"/>
  <c r="X27" i="1"/>
  <c r="X34" i="1"/>
  <c r="X36" i="1"/>
  <c r="X37" i="1"/>
  <c r="X38" i="1"/>
  <c r="X39"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3" i="1"/>
  <c r="X104" i="1"/>
  <c r="X105" i="1"/>
  <c r="X106" i="1"/>
  <c r="X107" i="1"/>
  <c r="X108" i="1"/>
  <c r="X109" i="1"/>
  <c r="X110" i="1"/>
  <c r="X111" i="1"/>
  <c r="X112" i="1"/>
  <c r="X113" i="1"/>
  <c r="X114" i="1"/>
  <c r="X117" i="1"/>
  <c r="X118" i="1"/>
  <c r="X119" i="1"/>
  <c r="X120" i="1"/>
  <c r="X129" i="1"/>
  <c r="X134" i="1"/>
  <c r="X136" i="1"/>
  <c r="X142" i="1"/>
  <c r="X148" i="1"/>
  <c r="X149" i="1"/>
  <c r="X162" i="1"/>
  <c r="X214" i="1"/>
  <c r="X238" i="1"/>
  <c r="X240" i="1"/>
  <c r="X241" i="1"/>
  <c r="X242" i="1"/>
  <c r="X243" i="1"/>
  <c r="X247" i="1"/>
  <c r="X250" i="1"/>
  <c r="X253" i="1"/>
  <c r="X254" i="1"/>
  <c r="X255" i="1"/>
  <c r="X256" i="1"/>
  <c r="X257" i="1"/>
  <c r="X258" i="1"/>
  <c r="X271" i="1"/>
  <c r="X274" i="1"/>
  <c r="X275" i="1"/>
  <c r="X276" i="1"/>
  <c r="X279" i="1"/>
  <c r="X280" i="1"/>
  <c r="X282" i="1"/>
  <c r="X290" i="1"/>
  <c r="X296" i="1"/>
  <c r="X297" i="1"/>
  <c r="X299" i="1"/>
  <c r="X301" i="1"/>
  <c r="X307" i="1"/>
  <c r="X308" i="1"/>
  <c r="X337" i="1"/>
  <c r="X338" i="1"/>
  <c r="X339" i="1"/>
  <c r="X340" i="1"/>
  <c r="X341" i="1"/>
  <c r="X342" i="1"/>
  <c r="X343" i="1"/>
  <c r="X344" i="1"/>
  <c r="X345" i="1"/>
  <c r="X346" i="1"/>
  <c r="X347" i="1"/>
  <c r="X348" i="1"/>
  <c r="X365" i="1"/>
  <c r="X369" i="1"/>
  <c r="X370" i="1"/>
  <c r="X371" i="1"/>
  <c r="X372" i="1"/>
  <c r="X373" i="1"/>
  <c r="X374" i="1"/>
  <c r="X382" i="1"/>
  <c r="X383" i="1"/>
  <c r="X384" i="1"/>
  <c r="X387" i="1"/>
  <c r="X388" i="1"/>
  <c r="X391" i="1"/>
  <c r="X395" i="1"/>
  <c r="X402" i="1"/>
  <c r="X405" i="1"/>
  <c r="X406" i="1"/>
  <c r="X417" i="1"/>
  <c r="X418" i="1"/>
  <c r="X428" i="1"/>
  <c r="X429" i="1"/>
  <c r="X431" i="1"/>
  <c r="X436" i="1"/>
  <c r="X440" i="1"/>
  <c r="X444" i="1"/>
  <c r="X447" i="1"/>
  <c r="X448" i="1"/>
  <c r="X451" i="1"/>
  <c r="X454" i="1"/>
  <c r="X462" i="1"/>
  <c r="X465" i="1"/>
  <c r="X467" i="1"/>
  <c r="X473" i="1"/>
  <c r="X474" i="1"/>
  <c r="X475" i="1"/>
  <c r="X476" i="1"/>
  <c r="X477" i="1"/>
  <c r="X482" i="1"/>
  <c r="X484" i="1"/>
  <c r="X485" i="1"/>
  <c r="X486" i="1"/>
  <c r="X487" i="1"/>
  <c r="X488" i="1"/>
  <c r="X489" i="1"/>
  <c r="X490" i="1"/>
  <c r="X505" i="1"/>
  <c r="X512" i="1"/>
  <c r="X513" i="1"/>
  <c r="X514" i="1"/>
  <c r="X515" i="1"/>
  <c r="X516" i="1"/>
  <c r="X517" i="1"/>
  <c r="X518" i="1"/>
  <c r="X519" i="1"/>
  <c r="X520" i="1"/>
  <c r="X521" i="1"/>
  <c r="X522" i="1"/>
  <c r="X523" i="1"/>
  <c r="X524" i="1"/>
  <c r="X525" i="1"/>
  <c r="X526" i="1"/>
  <c r="X527" i="1"/>
  <c r="X528" i="1"/>
  <c r="X530" i="1"/>
  <c r="X539" i="1"/>
  <c r="X540" i="1"/>
  <c r="X541" i="1"/>
  <c r="X543" i="1"/>
  <c r="X544" i="1"/>
  <c r="X545" i="1"/>
  <c r="X546" i="1"/>
  <c r="X547" i="1"/>
  <c r="X548" i="1"/>
  <c r="X552" i="1"/>
  <c r="X553" i="1"/>
  <c r="X554" i="1"/>
  <c r="X560" i="1"/>
  <c r="X562" i="1"/>
  <c r="X567" i="1"/>
  <c r="X568" i="1"/>
  <c r="X571" i="1"/>
  <c r="X572" i="1"/>
  <c r="X574" i="1"/>
  <c r="X585" i="1"/>
  <c r="X587" i="1"/>
  <c r="X588" i="1"/>
  <c r="X589" i="1"/>
  <c r="X590" i="1"/>
  <c r="X591" i="1"/>
  <c r="X592" i="1"/>
  <c r="X593" i="1"/>
  <c r="X595" i="1"/>
  <c r="X596" i="1"/>
  <c r="X597" i="1"/>
  <c r="X642" i="1"/>
  <c r="X643" i="1"/>
  <c r="X644" i="1"/>
  <c r="X645" i="1"/>
  <c r="X649" i="1"/>
  <c r="X650" i="1"/>
  <c r="X651" i="1"/>
  <c r="X659" i="1"/>
  <c r="X662" i="1"/>
  <c r="X665" i="1"/>
  <c r="X668" i="1"/>
  <c r="X688" i="1"/>
  <c r="X689" i="1"/>
  <c r="X695" i="1"/>
  <c r="X696" i="1"/>
  <c r="X697" i="1"/>
  <c r="X698" i="1"/>
  <c r="X699" i="1"/>
  <c r="X701" i="1"/>
  <c r="X702" i="1"/>
  <c r="X706" i="1"/>
  <c r="X707" i="1"/>
  <c r="X708" i="1"/>
  <c r="X723" i="1"/>
  <c r="X724" i="1"/>
  <c r="X734" i="1"/>
  <c r="X737" i="1"/>
  <c r="X738" i="1"/>
  <c r="X739" i="1"/>
  <c r="X740" i="1"/>
  <c r="X753" i="1"/>
  <c r="X757" i="1"/>
  <c r="X758" i="1"/>
  <c r="X804" i="1"/>
  <c r="X818" i="1"/>
  <c r="X820" i="1"/>
  <c r="X821" i="1"/>
  <c r="X822" i="1"/>
  <c r="X823" i="1"/>
  <c r="X846" i="1"/>
  <c r="X847" i="1"/>
  <c r="X848" i="1"/>
  <c r="X849" i="1"/>
  <c r="X850" i="1"/>
  <c r="X852" i="1"/>
  <c r="X853" i="1"/>
  <c r="X854" i="1"/>
  <c r="X855" i="1"/>
  <c r="X856" i="1"/>
  <c r="X857" i="1"/>
  <c r="X858" i="1"/>
  <c r="X860" i="1"/>
  <c r="X863" i="1"/>
  <c r="X864" i="1"/>
  <c r="X866" i="1"/>
  <c r="X869" i="1"/>
  <c r="X873" i="1"/>
  <c r="X883" i="1"/>
  <c r="X884" i="1"/>
  <c r="X885" i="1"/>
  <c r="X886" i="1"/>
  <c r="X887" i="1"/>
  <c r="X888" i="1"/>
  <c r="X889" i="1"/>
  <c r="X890" i="1"/>
  <c r="X891" i="1"/>
  <c r="X892" i="1"/>
  <c r="X893" i="1"/>
  <c r="X894" i="1"/>
  <c r="X895" i="1"/>
  <c r="X896" i="1"/>
  <c r="X897" i="1"/>
  <c r="X898" i="1"/>
  <c r="X899" i="1"/>
  <c r="X900" i="1"/>
  <c r="X901" i="1"/>
  <c r="X902" i="1"/>
  <c r="X903" i="1"/>
  <c r="X905" i="1"/>
  <c r="X906" i="1"/>
  <c r="X907" i="1"/>
  <c r="X909" i="1"/>
  <c r="X910" i="1"/>
  <c r="X911" i="1"/>
  <c r="X912" i="1"/>
  <c r="X913" i="1"/>
  <c r="X914" i="1"/>
  <c r="X915" i="1"/>
  <c r="X916" i="1"/>
  <c r="X917" i="1"/>
  <c r="X918" i="1"/>
  <c r="X919" i="1"/>
  <c r="X920" i="1"/>
  <c r="X921" i="1"/>
  <c r="X923" i="1"/>
  <c r="X924" i="1"/>
  <c r="X926" i="1"/>
  <c r="X928" i="1"/>
  <c r="X929" i="1"/>
  <c r="X930" i="1"/>
  <c r="X932" i="1"/>
  <c r="X937" i="1"/>
  <c r="X948" i="1"/>
  <c r="X950" i="1"/>
  <c r="X952" i="1"/>
  <c r="X967" i="1"/>
  <c r="X969" i="1"/>
  <c r="X971" i="1"/>
  <c r="X972" i="1"/>
  <c r="X973" i="1"/>
  <c r="X1029" i="1"/>
  <c r="X1030" i="1"/>
  <c r="X1031" i="1"/>
  <c r="X1032" i="1"/>
  <c r="X1033" i="1"/>
  <c r="X1034" i="1"/>
  <c r="X1035" i="1"/>
  <c r="X1036" i="1"/>
  <c r="X1037" i="1"/>
  <c r="X1038" i="1"/>
  <c r="X1039" i="1"/>
  <c r="X1040" i="1"/>
  <c r="X1041" i="1"/>
  <c r="X1042" i="1"/>
  <c r="X1043" i="1"/>
  <c r="X1044" i="1"/>
  <c r="X1045" i="1"/>
  <c r="X1046" i="1"/>
  <c r="X1047" i="1"/>
  <c r="X1048" i="1"/>
  <c r="X1049" i="1"/>
  <c r="X1056" i="1"/>
  <c r="X1057" i="1"/>
  <c r="X1058" i="1"/>
  <c r="X1066" i="1"/>
  <c r="X1067" i="1"/>
  <c r="X1068" i="1"/>
  <c r="X1069" i="1"/>
  <c r="X1070" i="1"/>
  <c r="X1071" i="1"/>
  <c r="X1072" i="1"/>
  <c r="X1073" i="1"/>
  <c r="X1074" i="1"/>
  <c r="X1075" i="1"/>
  <c r="X1076" i="1"/>
  <c r="X1077" i="1"/>
  <c r="X1078" i="1"/>
  <c r="X1079" i="1"/>
  <c r="X1080" i="1"/>
  <c r="X1081" i="1"/>
  <c r="X1082" i="1"/>
  <c r="X1083"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6" i="1"/>
  <c r="X1218" i="1"/>
  <c r="X1223" i="1"/>
  <c r="X1224" i="1"/>
  <c r="X1225" i="1"/>
  <c r="X1226" i="1"/>
  <c r="X1227" i="1"/>
  <c r="X1228" i="1"/>
  <c r="X1229" i="1"/>
  <c r="X1230" i="1"/>
  <c r="X1231" i="1"/>
  <c r="X1232" i="1"/>
  <c r="X1233" i="1"/>
  <c r="X1234"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6"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50" i="1"/>
  <c r="X1451" i="1"/>
  <c r="X1459" i="1"/>
  <c r="X1460" i="1"/>
  <c r="X1461" i="1"/>
  <c r="X1462" i="1"/>
  <c r="X1470" i="1"/>
  <c r="X1483"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1" i="1"/>
  <c r="X1515" i="1"/>
  <c r="X1516"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8"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9" i="1"/>
  <c r="X1600" i="1"/>
  <c r="X1601" i="1"/>
  <c r="X1602" i="1"/>
  <c r="X1603" i="1"/>
  <c r="X1604" i="1"/>
  <c r="X1612" i="1"/>
  <c r="X1613" i="1"/>
  <c r="X1614" i="1"/>
  <c r="X1615" i="1"/>
  <c r="X1616" i="1"/>
  <c r="X1617" i="1"/>
  <c r="X1627" i="1"/>
  <c r="X1628" i="1"/>
  <c r="X1629" i="1"/>
  <c r="X1630" i="1"/>
  <c r="X1631" i="1"/>
  <c r="X1632" i="1"/>
  <c r="X1633" i="1"/>
  <c r="X1634" i="1"/>
  <c r="X1635" i="1"/>
  <c r="X1636" i="1"/>
  <c r="X1637" i="1"/>
  <c r="X1638" i="1"/>
  <c r="X1639" i="1"/>
  <c r="X1640" i="1"/>
  <c r="X1641" i="1"/>
  <c r="X1642" i="1"/>
  <c r="X1673" i="1"/>
  <c r="X1674" i="1"/>
  <c r="X1675" i="1"/>
  <c r="X1676" i="1"/>
  <c r="X1677" i="1"/>
  <c r="X1678" i="1"/>
  <c r="X1679" i="1"/>
  <c r="X1680" i="1"/>
  <c r="X1681" i="1"/>
  <c r="X1682" i="1"/>
  <c r="X1683" i="1"/>
  <c r="X1684" i="1"/>
  <c r="X1685" i="1"/>
  <c r="X1686" i="1"/>
  <c r="X1687" i="1"/>
  <c r="X1688" i="1"/>
  <c r="X1699" i="1"/>
  <c r="X1700" i="1"/>
  <c r="X1707" i="1"/>
  <c r="X1708"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801" i="1"/>
  <c r="X1807"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9" i="1"/>
  <c r="X1900" i="1"/>
  <c r="X1901" i="1"/>
  <c r="X1902" i="1"/>
  <c r="X1903" i="1"/>
  <c r="X1904" i="1"/>
  <c r="X1905" i="1"/>
  <c r="X1906" i="1"/>
  <c r="X1907" i="1"/>
  <c r="X1909" i="1"/>
  <c r="X1911" i="1"/>
  <c r="X1913" i="1"/>
  <c r="X1915" i="1"/>
  <c r="X1917" i="1"/>
  <c r="X1919" i="1"/>
  <c r="X1920" i="1"/>
  <c r="X1921" i="1"/>
  <c r="X1922" i="1"/>
  <c r="X1923"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4" i="1"/>
  <c r="X1955" i="1"/>
  <c r="X1956" i="1"/>
  <c r="X1958" i="1"/>
  <c r="X1959" i="1"/>
  <c r="X1960" i="1"/>
  <c r="X1961" i="1"/>
  <c r="X1962" i="1"/>
  <c r="X1964" i="1"/>
  <c r="X1966" i="1"/>
  <c r="X1968" i="1"/>
  <c r="X1969" i="1"/>
  <c r="X1970" i="1"/>
  <c r="X1972" i="1"/>
  <c r="X1973" i="1"/>
  <c r="X1974" i="1"/>
  <c r="X1975" i="1"/>
  <c r="X1976" i="1"/>
  <c r="X1977" i="1"/>
  <c r="X1978" i="1"/>
  <c r="X1982" i="1"/>
  <c r="X1984" i="1"/>
  <c r="X1985" i="1"/>
  <c r="X1987" i="1"/>
  <c r="X1995" i="1"/>
  <c r="X1997"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8" i="1"/>
  <c r="X2079" i="1"/>
  <c r="X2080" i="1"/>
  <c r="X2081"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702" i="1"/>
  <c r="X3703" i="1"/>
  <c r="X3704" i="1"/>
  <c r="X3705" i="1"/>
  <c r="X3706" i="1"/>
  <c r="X3707" i="1"/>
  <c r="X3708" i="1"/>
  <c r="X3709" i="1"/>
  <c r="X3710" i="1"/>
  <c r="X3711" i="1"/>
  <c r="X3712" i="1"/>
  <c r="X3713" i="1"/>
  <c r="X3714" i="1"/>
  <c r="X3715" i="1"/>
  <c r="X3716" i="1"/>
  <c r="X3718" i="1"/>
  <c r="X3719" i="1"/>
  <c r="X3720" i="1"/>
  <c r="X3721" i="1"/>
  <c r="X3722" i="1"/>
  <c r="X3723" i="1"/>
  <c r="X3724" i="1"/>
  <c r="X3725" i="1"/>
  <c r="X3726" i="1"/>
  <c r="X3727" i="1"/>
  <c r="X3728" i="1"/>
  <c r="X3729" i="1"/>
  <c r="X3730" i="1"/>
  <c r="X3731" i="1"/>
  <c r="X3732"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3" i="1"/>
  <c r="X3764" i="1"/>
  <c r="X3765" i="1"/>
  <c r="X3766" i="1"/>
  <c r="X3767" i="1"/>
  <c r="X3768" i="1"/>
  <c r="X3769" i="1"/>
  <c r="X3785" i="1"/>
  <c r="X3791" i="1"/>
  <c r="X3794" i="1"/>
  <c r="X3801" i="1"/>
  <c r="X3803" i="1"/>
  <c r="X3810" i="1"/>
  <c r="X3811" i="1"/>
  <c r="X3825" i="1"/>
  <c r="X3828" i="1"/>
  <c r="X3829" i="1"/>
  <c r="X3835" i="1"/>
  <c r="X3836" i="1"/>
  <c r="X3837" i="1"/>
  <c r="X3840" i="1"/>
  <c r="X3841" i="1"/>
  <c r="X3843" i="1"/>
  <c r="X3844" i="1"/>
  <c r="X3847" i="1"/>
  <c r="X3851" i="1"/>
  <c r="X3860" i="1"/>
  <c r="X3871" i="1"/>
  <c r="X3878" i="1"/>
  <c r="X3886" i="1"/>
  <c r="X3887" i="1"/>
  <c r="X3888" i="1"/>
  <c r="X3894" i="1"/>
  <c r="X3897" i="1"/>
  <c r="X3904" i="1"/>
  <c r="X3907" i="1"/>
  <c r="X3910" i="1"/>
  <c r="X3911" i="1"/>
  <c r="X3914" i="1"/>
  <c r="X3920" i="1"/>
  <c r="X3921" i="1"/>
  <c r="X3924" i="1"/>
  <c r="X3934" i="1"/>
  <c r="X3935" i="1"/>
  <c r="X3939" i="1"/>
  <c r="X3940" i="1"/>
  <c r="X3950" i="1"/>
  <c r="X3957" i="1"/>
  <c r="X3960" i="1"/>
  <c r="X3968" i="1"/>
  <c r="X3969" i="1"/>
  <c r="X3970" i="1"/>
  <c r="X3971" i="1"/>
  <c r="X3973" i="1"/>
  <c r="X3978" i="1"/>
  <c r="X3981" i="1"/>
  <c r="X3984" i="1"/>
  <c r="X3985" i="1"/>
  <c r="X3986" i="1"/>
  <c r="X3992" i="1"/>
  <c r="X3994" i="1"/>
  <c r="X3996" i="1"/>
  <c r="X3997" i="1"/>
  <c r="X4000" i="1"/>
  <c r="X4006" i="1"/>
  <c r="X4009" i="1"/>
  <c r="X4013" i="1"/>
  <c r="X4014" i="1"/>
  <c r="X4017" i="1"/>
  <c r="X4018" i="1"/>
  <c r="X4021" i="1"/>
  <c r="X4024" i="1"/>
  <c r="X4025" i="1"/>
  <c r="X4026" i="1"/>
  <c r="X4028" i="1"/>
  <c r="X4030" i="1"/>
  <c r="X4031" i="1"/>
  <c r="X4035" i="1"/>
  <c r="X4040" i="1"/>
  <c r="X4041" i="1"/>
  <c r="X4042" i="1"/>
  <c r="X4043" i="1"/>
  <c r="X4046" i="1"/>
  <c r="X4047" i="1"/>
  <c r="X4048" i="1"/>
  <c r="X4050" i="1"/>
  <c r="X4051" i="1"/>
  <c r="X4055" i="1"/>
  <c r="X4056" i="1"/>
  <c r="X4058" i="1"/>
  <c r="X4060" i="1"/>
  <c r="X4069" i="1"/>
  <c r="X4070" i="1"/>
  <c r="X4071" i="1"/>
  <c r="X4072" i="1"/>
  <c r="X4073" i="1"/>
  <c r="X4081" i="1"/>
  <c r="X4082" i="1"/>
  <c r="X4087" i="1"/>
  <c r="X4088" i="1"/>
  <c r="X4089" i="1"/>
  <c r="X4098" i="1"/>
  <c r="X4100" i="1"/>
  <c r="X4101" i="1"/>
  <c r="X4102" i="1"/>
  <c r="X4106" i="1"/>
  <c r="X4107" i="1"/>
  <c r="X4112" i="1"/>
  <c r="X4116" i="1"/>
  <c r="X4117" i="1"/>
  <c r="X4120" i="1"/>
  <c r="X4121" i="1"/>
  <c r="X4125" i="1"/>
  <c r="X4129" i="1"/>
  <c r="X4130" i="1"/>
  <c r="X4133" i="1"/>
  <c r="X4142" i="1"/>
  <c r="X4143" i="1"/>
  <c r="X4144" i="1"/>
  <c r="X4151" i="1"/>
  <c r="X4152" i="1"/>
  <c r="X4153" i="1"/>
  <c r="X4155" i="1"/>
  <c r="X4157" i="1"/>
  <c r="X4158" i="1"/>
  <c r="X4159" i="1"/>
  <c r="X4160" i="1"/>
  <c r="X4161" i="1"/>
  <c r="X4162" i="1"/>
  <c r="X4163" i="1"/>
  <c r="X4164" i="1"/>
  <c r="Q1222" i="1"/>
  <c r="B159" i="7" l="1"/>
  <c r="B158" i="7"/>
  <c r="B161" i="7"/>
  <c r="B160" i="7"/>
  <c r="P36" i="7"/>
  <c r="Q36" i="7" s="1"/>
  <c r="P2" i="7"/>
  <c r="B173" i="7"/>
  <c r="B172" i="7"/>
  <c r="B175" i="7"/>
  <c r="B174" i="7"/>
  <c r="R36" i="7"/>
  <c r="S36" i="7" s="1"/>
  <c r="R2" i="7"/>
  <c r="B145" i="7"/>
  <c r="B144" i="7"/>
  <c r="B147" i="7"/>
  <c r="B146" i="7"/>
  <c r="N36" i="7"/>
  <c r="O36" i="7" s="1"/>
  <c r="N2" i="7"/>
  <c r="B131" i="7"/>
  <c r="B130" i="7"/>
  <c r="B117" i="7"/>
  <c r="B116" i="7"/>
  <c r="B133" i="7"/>
  <c r="B132" i="7"/>
  <c r="L36" i="7"/>
  <c r="M36" i="7" s="1"/>
  <c r="L2" i="7"/>
  <c r="B103" i="7"/>
  <c r="B102" i="7"/>
  <c r="B89" i="7"/>
  <c r="B88" i="7"/>
  <c r="B119" i="7"/>
  <c r="B118" i="7"/>
  <c r="J36" i="7"/>
  <c r="K36" i="7" s="1"/>
  <c r="J2" i="7"/>
  <c r="B105" i="7"/>
  <c r="B104" i="7"/>
  <c r="H36" i="7"/>
  <c r="I36" i="7" s="1"/>
  <c r="H2" i="7"/>
  <c r="B91" i="7"/>
  <c r="B90" i="7"/>
  <c r="F36" i="7"/>
  <c r="G36" i="7" s="1"/>
  <c r="F2" i="7"/>
  <c r="B75" i="7"/>
  <c r="B74" i="7"/>
  <c r="B77" i="7"/>
  <c r="B76" i="7"/>
  <c r="T36" i="7"/>
  <c r="T2"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D36" i="7"/>
  <c r="E36" i="7" s="1"/>
  <c r="D2" i="7"/>
  <c r="U36" i="7"/>
  <c r="P28" i="7" l="1"/>
  <c r="Q3" i="7"/>
  <c r="Q2" i="7"/>
  <c r="R3" i="7"/>
  <c r="R4" i="7" s="1"/>
  <c r="S3" i="7" s="1"/>
  <c r="T3" i="7"/>
  <c r="L3" i="7"/>
  <c r="M2" i="7" s="1"/>
  <c r="N3" i="7"/>
  <c r="H3" i="7"/>
  <c r="J3" i="7"/>
  <c r="D3" i="7"/>
  <c r="D4" i="7" s="1"/>
  <c r="E3" i="7" s="1"/>
  <c r="F3" i="7"/>
  <c r="U2" i="7"/>
  <c r="P29" i="7" l="1"/>
  <c r="P30" i="7" s="1"/>
  <c r="P31" i="7" s="1"/>
  <c r="P32" i="7" s="1"/>
  <c r="P33" i="7" s="1"/>
  <c r="P34" i="7" s="1"/>
  <c r="P35" i="7" s="1"/>
  <c r="Q35" i="7" s="1"/>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I2" i="7"/>
  <c r="J4" i="7"/>
  <c r="K2" i="7"/>
  <c r="H4" i="7"/>
  <c r="H5" i="7" s="1"/>
  <c r="E2" i="7"/>
  <c r="F4" i="7"/>
  <c r="G2" i="7"/>
  <c r="D5" i="7"/>
  <c r="E4" i="7" s="1"/>
  <c r="U3" i="7"/>
  <c r="L28" i="7" l="1"/>
  <c r="Q6" i="7"/>
  <c r="T5" i="7"/>
  <c r="M3" i="7"/>
  <c r="R6" i="7"/>
  <c r="S5" i="7" s="1"/>
  <c r="I3" i="7"/>
  <c r="N5" i="7"/>
  <c r="O3" i="7"/>
  <c r="M4" i="7"/>
  <c r="M5" i="7"/>
  <c r="M6" i="7"/>
  <c r="J5" i="7"/>
  <c r="K3" i="7"/>
  <c r="H6" i="7"/>
  <c r="I5" i="7" s="1"/>
  <c r="I4" i="7"/>
  <c r="F5" i="7"/>
  <c r="G3" i="7"/>
  <c r="D6" i="7"/>
  <c r="E5" i="7" s="1"/>
  <c r="U4" i="7"/>
  <c r="L29" i="7" l="1"/>
  <c r="L30" i="7" s="1"/>
  <c r="L31" i="7" s="1"/>
  <c r="L32" i="7" s="1"/>
  <c r="L33" i="7" s="1"/>
  <c r="L34" i="7" s="1"/>
  <c r="L35" i="7" s="1"/>
  <c r="M35" i="7" s="1"/>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N26" i="7"/>
  <c r="O25" i="7" s="1"/>
  <c r="M27" i="7"/>
  <c r="J26" i="7"/>
  <c r="K25" i="7" s="1"/>
  <c r="H27" i="7"/>
  <c r="F26" i="7"/>
  <c r="G25" i="7" s="1"/>
  <c r="D27" i="7"/>
  <c r="U25" i="7"/>
  <c r="I26" i="7" l="1"/>
  <c r="S26" i="7"/>
  <c r="E26" i="7"/>
  <c r="Q27" i="7"/>
  <c r="T27" i="7"/>
  <c r="R28" i="7"/>
  <c r="N27" i="7"/>
  <c r="M28" i="7"/>
  <c r="J27" i="7"/>
  <c r="H28" i="7"/>
  <c r="F27" i="7"/>
  <c r="D28" i="7"/>
  <c r="I27" i="7" l="1"/>
  <c r="E27" i="7"/>
  <c r="S27" i="7"/>
  <c r="K26" i="7"/>
  <c r="G26" i="7"/>
  <c r="O26" i="7"/>
  <c r="Q28" i="7"/>
  <c r="T28" i="7"/>
  <c r="R29" i="7"/>
  <c r="S28" i="7" s="1"/>
  <c r="N28" i="7"/>
  <c r="M29" i="7"/>
  <c r="J28" i="7"/>
  <c r="H29" i="7"/>
  <c r="I28" i="7" s="1"/>
  <c r="F28" i="7"/>
  <c r="D29" i="7"/>
  <c r="E28" i="7" s="1"/>
  <c r="U26" i="7"/>
  <c r="K27" i="7" l="1"/>
  <c r="G27" i="7"/>
  <c r="O27" i="7"/>
  <c r="Q29" i="7"/>
  <c r="T29" i="7"/>
  <c r="R30" i="7"/>
  <c r="N29" i="7"/>
  <c r="O28" i="7" s="1"/>
  <c r="M30" i="7"/>
  <c r="J29" i="7"/>
  <c r="K28" i="7" s="1"/>
  <c r="H30" i="7"/>
  <c r="I29" i="7" s="1"/>
  <c r="F29" i="7"/>
  <c r="G28" i="7" s="1"/>
  <c r="D30" i="7"/>
  <c r="E29" i="7" s="1"/>
  <c r="U27" i="7"/>
  <c r="Q30" i="7" l="1"/>
  <c r="T30" i="7"/>
  <c r="R31" i="7"/>
  <c r="S30" i="7" s="1"/>
  <c r="S29" i="7"/>
  <c r="N30" i="7"/>
  <c r="O29" i="7" s="1"/>
  <c r="M31" i="7"/>
  <c r="J30" i="7"/>
  <c r="K29" i="7" s="1"/>
  <c r="H31" i="7"/>
  <c r="I30" i="7" s="1"/>
  <c r="F30" i="7"/>
  <c r="G29" i="7" s="1"/>
  <c r="D31" i="7"/>
  <c r="E30" i="7" s="1"/>
  <c r="U29" i="7"/>
  <c r="U28"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N34" i="7"/>
  <c r="O33" i="7" s="1"/>
  <c r="J34" i="7"/>
  <c r="K33" i="7" s="1"/>
  <c r="H35" i="7"/>
  <c r="F34" i="7"/>
  <c r="G33" i="7" s="1"/>
  <c r="D35" i="7"/>
  <c r="U33" i="7"/>
  <c r="I34" i="7" l="1"/>
  <c r="I35" i="7"/>
  <c r="S34" i="7"/>
  <c r="S35" i="7"/>
  <c r="E34" i="7"/>
  <c r="E35" i="7"/>
  <c r="T35" i="7"/>
  <c r="N35" i="7"/>
  <c r="J35" i="7"/>
  <c r="F35" i="7"/>
  <c r="U35" i="7"/>
  <c r="O34" i="7" l="1"/>
  <c r="O35" i="7"/>
  <c r="G34" i="7"/>
  <c r="G35" i="7"/>
  <c r="K34" i="7"/>
  <c r="K35" i="7"/>
  <c r="U3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<sst xmlns="http://schemas.openxmlformats.org/spreadsheetml/2006/main" count="74797" uniqueCount="19411">
  <si>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</si>
  <si>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</si>
  <si>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</si>
  <si>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</si>
  <si>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</si>
  <si>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</si>
  <si>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</si>
  <si>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</si>
  <si>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</si>
  <si>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</si>
  <si>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</si>
  <si>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</si>
  <si>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</si>
  <si>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</si>
  <si>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</si>
  <si>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</si>
  <si>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</si>
  <si>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</si>
  <si>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</si>
  <si>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</si>
  <si>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</si>
  <si>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</si>
  <si>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</si>
  <si>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</si>
  <si>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</si>
  <si>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</si>
  <si>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</si>
  <si>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</si>
  <si>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</si>
  <si>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</si>
  <si>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</si>
  <si>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</si>
  <si>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</si>
  <si>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</si>
  <si>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</si>
  <si>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</si>
  <si>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</si>
  <si>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</si>
  <si>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</si>
  <si>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</si>
  <si>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</si>
  <si>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</si>
  <si>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</si>
  <si>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</si>
  <si>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</si>
  <si>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</si>
  <si>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</si>
  <si>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</si>
  <si>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</si>
  <si>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</si>
  <si>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</si>
  <si>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</si>
  <si>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</si>
  <si>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</si>
  <si>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</si>
  <si>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</si>
  <si>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</si>
  <si>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</si>
  <si>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</si>
  <si>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</si>
  <si>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</si>
  <si>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</si>
  <si>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</si>
  <si>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</si>
  <si>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</si>
  <si>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</si>
  <si>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</si>
  <si>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</si>
  <si>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</si>
  <si>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</si>
  <si>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</si>
  <si>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</si>
  <si>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</si>
  <si>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</si>
  <si>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</si>
  <si>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</si>
  <si>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</si>
  <si>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</si>
  <si>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</si>
  <si>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</si>
  <si>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</si>
  <si>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</si>
  <si>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</si>
  <si>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</si>
  <si>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</si>
  <si>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</si>
  <si>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</si>
  <si>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</si>
  <si>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</si>
  <si>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</si>
  <si>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</si>
  <si>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</si>
  <si>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</si>
  <si>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</si>
  <si>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</si>
  <si>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</si>
  <si>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</si>
  <si>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</si>
  <si>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</si>
  <si>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</si>
  <si>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</si>
  <si>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</si>
  <si>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</si>
  <si>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</si>
  <si>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</si>
  <si>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</si>
  <si>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</si>
  <si>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</si>
  <si>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</si>
  <si>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</si>
  <si>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</si>
  <si>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</si>
  <si>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</si>
  <si>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</si>
  <si>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</si>
  <si>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</si>
  <si>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</si>
  <si>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</si>
  <si>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</si>
  <si>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</si>
  <si>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</si>
  <si>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</si>
  <si>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</si>
  <si>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</si>
  <si>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</si>
  <si>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</si>
  <si>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</si>
  <si>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</si>
  <si>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</si>
  <si>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</si>
  <si>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</si>
  <si>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</si>
  <si>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</si>
  <si>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</si>
  <si>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</si>
  <si>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</si>
  <si>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</si>
  <si>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</si>
  <si>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</si>
  <si>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</si>
  <si>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</si>
  <si>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</si>
  <si>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</si>
  <si>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</si>
  <si>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</si>
  <si>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</si>
  <si>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</si>
  <si>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</si>
  <si>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</si>
  <si>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</si>
  <si>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</si>
  <si>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</si>
  <si>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</si>
  <si>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</si>
  <si>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</si>
  <si>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</si>
  <si>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</si>
  <si>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</si>
  <si>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</si>
  <si>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</si>
  <si>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</si>
  <si>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</si>
  <si>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</si>
  <si>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</si>
  <si>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</si>
  <si>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</si>
  <si>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</si>
  <si>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</si>
  <si>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</si>
  <si>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</si>
  <si>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</si>
  <si>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</si>
  <si>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</si>
  <si>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</si>
  <si>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</si>
  <si>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</si>
  <si>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</si>
  <si>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</si>
  <si>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</si>
  <si>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</si>
  <si>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Retweet Count</t>
  </si>
  <si>
    <t>Favorite Count</t>
  </si>
  <si>
    <t>Reply Count</t>
  </si>
  <si>
    <t>Quote Count</t>
  </si>
  <si>
    <t>Impression Count</t>
  </si>
  <si>
    <t>Hashtags in Tweet</t>
  </si>
  <si>
    <t>URLs in Tweet</t>
  </si>
  <si>
    <t>Domains in Tweet</t>
  </si>
  <si>
    <t>Mentions in Tweet</t>
  </si>
  <si>
    <t>Media in Tweet</t>
  </si>
  <si>
    <t>Media Type</t>
  </si>
  <si>
    <t>Source</t>
  </si>
  <si>
    <t>Language</t>
  </si>
  <si>
    <t>Twitter Page for Tweet</t>
  </si>
  <si>
    <t>Tweet Date (UTC)</t>
  </si>
  <si>
    <t>Date</t>
  </si>
  <si>
    <t>Time</t>
  </si>
  <si>
    <t>Possibly Sensitive</t>
  </si>
  <si>
    <t>Place Bounding Box</t>
  </si>
  <si>
    <t>Place Country</t>
  </si>
  <si>
    <t>Place Country Code</t>
  </si>
  <si>
    <t>Place Full Name</t>
  </si>
  <si>
    <t>Place ID</t>
  </si>
  <si>
    <t>Place Name</t>
  </si>
  <si>
    <t>Place Type</t>
  </si>
  <si>
    <t>Media Key</t>
  </si>
  <si>
    <t>Media Duration (ms)</t>
  </si>
  <si>
    <t>Media Height</t>
  </si>
  <si>
    <t>Media Width</t>
  </si>
  <si>
    <t>Media View Count</t>
  </si>
  <si>
    <t>Tweet Image File</t>
  </si>
  <si>
    <t>Imported ID</t>
  </si>
  <si>
    <t>Conversation ID</t>
  </si>
  <si>
    <t>In Reply To User ID</t>
  </si>
  <si>
    <t>In Reply To Tweet ID</t>
  </si>
  <si>
    <t>Quoted Status ID</t>
  </si>
  <si>
    <t>Retweet ID</t>
  </si>
  <si>
    <t>Unified Twitter ID</t>
  </si>
  <si>
    <t>Author ID</t>
  </si>
  <si>
    <t>Poll ID</t>
  </si>
  <si>
    <t>Poll Options</t>
  </si>
  <si>
    <t>Poll Duration</t>
  </si>
  <si>
    <t>Poll End Date</t>
  </si>
  <si>
    <t>Poll Voting Status</t>
  </si>
  <si>
    <t>gorilainvest</t>
  </si>
  <si>
    <t>iberezanski</t>
  </si>
  <si>
    <t>guigrochanke</t>
  </si>
  <si>
    <t>wallstsuccess22</t>
  </si>
  <si>
    <t>portalcryptoid</t>
  </si>
  <si>
    <t>trader_wealthy</t>
  </si>
  <si>
    <t>inteligenciaes</t>
  </si>
  <si>
    <t>rangelmachado87</t>
  </si>
  <si>
    <t>flaviosouza2810</t>
  </si>
  <si>
    <t>financad</t>
  </si>
  <si>
    <t>leononatotrader</t>
  </si>
  <si>
    <t>dalinustrader</t>
  </si>
  <si>
    <t>viuuoficial</t>
  </si>
  <si>
    <t>wagner_chavez_</t>
  </si>
  <si>
    <t>jonatha93806011</t>
  </si>
  <si>
    <t>torresrodrigom</t>
  </si>
  <si>
    <t>jc_rs</t>
  </si>
  <si>
    <t>alertaeconomica</t>
  </si>
  <si>
    <t>mercadotododia1</t>
  </si>
  <si>
    <t>oliviabulla</t>
  </si>
  <si>
    <t>imefoficial</t>
  </si>
  <si>
    <t>viny_trader</t>
  </si>
  <si>
    <t>mindfulinvestp1</t>
  </si>
  <si>
    <t>jornadacapital</t>
  </si>
  <si>
    <t>rodrigoalv1981</t>
  </si>
  <si>
    <t>jedimosqueteiro</t>
  </si>
  <si>
    <t>pawealthh</t>
  </si>
  <si>
    <t>enricjaimez</t>
  </si>
  <si>
    <t>juliossousa22</t>
  </si>
  <si>
    <t>confi_trader</t>
  </si>
  <si>
    <t>sfainvest</t>
  </si>
  <si>
    <t>costafilhojoao</t>
  </si>
  <si>
    <t>marcia23403</t>
  </si>
  <si>
    <t>seebumuarama</t>
  </si>
  <si>
    <t>qg_sardinhas</t>
  </si>
  <si>
    <t>carlosmvr</t>
  </si>
  <si>
    <t>tcinvestimentos</t>
  </si>
  <si>
    <t>andrecerque</t>
  </si>
  <si>
    <t>brasil61_</t>
  </si>
  <si>
    <t>skyclaw4</t>
  </si>
  <si>
    <t>ulisesarayad</t>
  </si>
  <si>
    <t>coinexportugues</t>
  </si>
  <si>
    <t>dexfase</t>
  </si>
  <si>
    <t>diegotraderb3</t>
  </si>
  <si>
    <t>treidingp1</t>
  </si>
  <si>
    <t>j_ramacciotti</t>
  </si>
  <si>
    <t>calilecalil</t>
  </si>
  <si>
    <t>smarttradingcl1</t>
  </si>
  <si>
    <t>prof_aleciom</t>
  </si>
  <si>
    <t>casal_trader</t>
  </si>
  <si>
    <t>mendyaisha43014</t>
  </si>
  <si>
    <t>reportbrasilia</t>
  </si>
  <si>
    <t>marcio_mendonc</t>
  </si>
  <si>
    <t>charlandodminas</t>
  </si>
  <si>
    <t>coinharbinger</t>
  </si>
  <si>
    <t>to_do_retweet</t>
  </si>
  <si>
    <t>psychstock</t>
  </si>
  <si>
    <t>pi_salvador</t>
  </si>
  <si>
    <t>ciromorah</t>
  </si>
  <si>
    <t>billpoint_co</t>
  </si>
  <si>
    <t>alexbukowsky</t>
  </si>
  <si>
    <t>estrategia_fox</t>
  </si>
  <si>
    <t>jripollgarciam1</t>
  </si>
  <si>
    <t>sonartrade</t>
  </si>
  <si>
    <t>cofeconeconomia</t>
  </si>
  <si>
    <t>maquininhaton1</t>
  </si>
  <si>
    <t>oficialjumba</t>
  </si>
  <si>
    <t>lawrencemiuller</t>
  </si>
  <si>
    <t>betorossi7</t>
  </si>
  <si>
    <t>grdotrader</t>
  </si>
  <si>
    <t>gandres1982</t>
  </si>
  <si>
    <t>ylearth</t>
  </si>
  <si>
    <t>gsgbusinessh</t>
  </si>
  <si>
    <t>carolinedaher</t>
  </si>
  <si>
    <t>agatatrade60180</t>
  </si>
  <si>
    <t>ig</t>
  </si>
  <si>
    <t>srsucesso137</t>
  </si>
  <si>
    <t>alejandrocharry</t>
  </si>
  <si>
    <t>omarrios22</t>
  </si>
  <si>
    <t>jornalcontabil_</t>
  </si>
  <si>
    <t>williamhuntbr</t>
  </si>
  <si>
    <t>tony_financas</t>
  </si>
  <si>
    <t>btvacademy</t>
  </si>
  <si>
    <t>ipg_investire</t>
  </si>
  <si>
    <t>raspay_</t>
  </si>
  <si>
    <t>marketcasero</t>
  </si>
  <si>
    <t>wallstwealthy</t>
  </si>
  <si>
    <t>johanfelipe94</t>
  </si>
  <si>
    <t>kawanandradec</t>
  </si>
  <si>
    <t>sigler_marcia</t>
  </si>
  <si>
    <t>massimopoli</t>
  </si>
  <si>
    <t>el82ye78</t>
  </si>
  <si>
    <t>diarinho</t>
  </si>
  <si>
    <t>eep_fumep</t>
  </si>
  <si>
    <t>keyfallent</t>
  </si>
  <si>
    <t>keynesionomia</t>
  </si>
  <si>
    <t>ayronferreira</t>
  </si>
  <si>
    <t>edsonderiv</t>
  </si>
  <si>
    <t>falkalertas</t>
  </si>
  <si>
    <t>jesuisjavi</t>
  </si>
  <si>
    <t>suportehotdog</t>
  </si>
  <si>
    <t>vellascoofc</t>
  </si>
  <si>
    <t>jarlisonjss</t>
  </si>
  <si>
    <t>victor_dhn</t>
  </si>
  <si>
    <t>opnet67</t>
  </si>
  <si>
    <t>juanero1982</t>
  </si>
  <si>
    <t>verodatobr</t>
  </si>
  <si>
    <t>viniciusantosa</t>
  </si>
  <si>
    <t>eddie_poker</t>
  </si>
  <si>
    <t>portalvgv</t>
  </si>
  <si>
    <t>eduardo_garufi</t>
  </si>
  <si>
    <t>ocriptomestre</t>
  </si>
  <si>
    <t>elbunkerradior</t>
  </si>
  <si>
    <t>sanchezzandre</t>
  </si>
  <si>
    <t>jhonata13179362</t>
  </si>
  <si>
    <t>tradervlog</t>
  </si>
  <si>
    <t>made_hits</t>
  </si>
  <si>
    <t>guarulhosonline</t>
  </si>
  <si>
    <t>digital_educ10</t>
  </si>
  <si>
    <t>economicasudea</t>
  </si>
  <si>
    <t>vallejo1rodri2</t>
  </si>
  <si>
    <t>rmac_avera</t>
  </si>
  <si>
    <t>j_henrique_</t>
  </si>
  <si>
    <t>r_penhafilho</t>
  </si>
  <si>
    <t>invest_kla</t>
  </si>
  <si>
    <t>zenstockjourney</t>
  </si>
  <si>
    <t>perfilcombrasil</t>
  </si>
  <si>
    <t>posistockwizard</t>
  </si>
  <si>
    <t>zealberto_rios</t>
  </si>
  <si>
    <t>correiodeminas</t>
  </si>
  <si>
    <t>amalia38886043</t>
  </si>
  <si>
    <t>bedrock079tm</t>
  </si>
  <si>
    <t>viesdanoticia</t>
  </si>
  <si>
    <t>earn2trade_br</t>
  </si>
  <si>
    <t>neo_silva</t>
  </si>
  <si>
    <t>teddyopen</t>
  </si>
  <si>
    <t>alejandro994</t>
  </si>
  <si>
    <t>drodri1972</t>
  </si>
  <si>
    <t>ygor_fbc</t>
  </si>
  <si>
    <t>henleinvest</t>
  </si>
  <si>
    <t>p_prefeitura</t>
  </si>
  <si>
    <t>thinkonomics</t>
  </si>
  <si>
    <t>businessd4</t>
  </si>
  <si>
    <t>elenaliberal</t>
  </si>
  <si>
    <t>financialstream</t>
  </si>
  <si>
    <t>antonioblvs</t>
  </si>
  <si>
    <t>sunggustavo</t>
  </si>
  <si>
    <t>mano_investidor</t>
  </si>
  <si>
    <t>diariolibre</t>
  </si>
  <si>
    <t>infinitgo</t>
  </si>
  <si>
    <t>danielg_s6</t>
  </si>
  <si>
    <t>elizave12948781</t>
  </si>
  <si>
    <t>rmdgarfias</t>
  </si>
  <si>
    <t>barbruno8</t>
  </si>
  <si>
    <t>revistafocopy</t>
  </si>
  <si>
    <t>fsaraceno</t>
  </si>
  <si>
    <t>always4wards</t>
  </si>
  <si>
    <t>fidocomvc</t>
  </si>
  <si>
    <t>acerqueira_adv</t>
  </si>
  <si>
    <t>hodorfunds</t>
  </si>
  <si>
    <t>pedrorenatogc</t>
  </si>
  <si>
    <t>rodaseca</t>
  </si>
  <si>
    <t>herdersonfile</t>
  </si>
  <si>
    <t>einvestidor</t>
  </si>
  <si>
    <t>imlondono</t>
  </si>
  <si>
    <t>onjornal1</t>
  </si>
  <si>
    <t>luisyfinanzas</t>
  </si>
  <si>
    <t>thiagobudni</t>
  </si>
  <si>
    <t>granattif</t>
  </si>
  <si>
    <t>bruno_gianetti</t>
  </si>
  <si>
    <t>fgv_eaesp</t>
  </si>
  <si>
    <t>gouveia_fernand</t>
  </si>
  <si>
    <t>noriegagroup</t>
  </si>
  <si>
    <t>indiabrazilcha1</t>
  </si>
  <si>
    <t>russelbransil</t>
  </si>
  <si>
    <t>yinyangcapi</t>
  </si>
  <si>
    <t>danniloramos_</t>
  </si>
  <si>
    <t>dirigentesdg</t>
  </si>
  <si>
    <t>guicunhatc</t>
  </si>
  <si>
    <t>m_milionarios</t>
  </si>
  <si>
    <t>norte_informa</t>
  </si>
  <si>
    <t>bingx_italy</t>
  </si>
  <si>
    <t>b18editora</t>
  </si>
  <si>
    <t>rielcano</t>
  </si>
  <si>
    <t>eldia_do</t>
  </si>
  <si>
    <t>rafael__costa__</t>
  </si>
  <si>
    <t>asomifecuador</t>
  </si>
  <si>
    <t>danielsuchar</t>
  </si>
  <si>
    <t>gabrielpelaeza</t>
  </si>
  <si>
    <t>glaucojarzinski</t>
  </si>
  <si>
    <t>tvcultura</t>
  </si>
  <si>
    <t>fabioasalamanca</t>
  </si>
  <si>
    <t>jp_economics</t>
  </si>
  <si>
    <t>feanor_noldorin</t>
  </si>
  <si>
    <t>kimyellestuart</t>
  </si>
  <si>
    <t>heromindfulx</t>
  </si>
  <si>
    <t>chatico79168</t>
  </si>
  <si>
    <t>forumdefesa</t>
  </si>
  <si>
    <t>trescon</t>
  </si>
  <si>
    <t>curiosaintelig1</t>
  </si>
  <si>
    <t>investwithheart</t>
  </si>
  <si>
    <t>grupoayonel</t>
  </si>
  <si>
    <t>diariodia_es</t>
  </si>
  <si>
    <t>blockbr_</t>
  </si>
  <si>
    <t>pyecuador</t>
  </si>
  <si>
    <t>zentraderjourn1</t>
  </si>
  <si>
    <t>filipebarrosoo</t>
  </si>
  <si>
    <t>terraecolombia</t>
  </si>
  <si>
    <t>somasinvest</t>
  </si>
  <si>
    <t>cryptoclarity5</t>
  </si>
  <si>
    <t>e_publicar</t>
  </si>
  <si>
    <t>renandiel</t>
  </si>
  <si>
    <t>assettitanium</t>
  </si>
  <si>
    <t>ras_brl</t>
  </si>
  <si>
    <t>rio_bravo</t>
  </si>
  <si>
    <t>zro_zone</t>
  </si>
  <si>
    <t>klaadvogados</t>
  </si>
  <si>
    <t>jaym_willy</t>
  </si>
  <si>
    <t>dawanhutt</t>
  </si>
  <si>
    <t>uchoinfo</t>
  </si>
  <si>
    <t>elielnaves</t>
  </si>
  <si>
    <t>mundo_asmr</t>
  </si>
  <si>
    <t>forestausale</t>
  </si>
  <si>
    <t>lourdespaz24</t>
  </si>
  <si>
    <t>edconesa</t>
  </si>
  <si>
    <t>agoracorretora</t>
  </si>
  <si>
    <t>nicolslpezm2</t>
  </si>
  <si>
    <t>lilianeferrari</t>
  </si>
  <si>
    <t>careca4p</t>
  </si>
  <si>
    <t>sousadavi</t>
  </si>
  <si>
    <t>egonzalez314</t>
  </si>
  <si>
    <t>tradeinflow</t>
  </si>
  <si>
    <t>palmezanip74904</t>
  </si>
  <si>
    <t>invistafinancas</t>
  </si>
  <si>
    <t>nachosb77</t>
  </si>
  <si>
    <t>andrezaczilusny</t>
  </si>
  <si>
    <t>bravacapital</t>
  </si>
  <si>
    <t>clapesuc</t>
  </si>
  <si>
    <t>allanwalkerrio</t>
  </si>
  <si>
    <t>edntvhn</t>
  </si>
  <si>
    <t>andersonbroker</t>
  </si>
  <si>
    <t>mercadosbrasil</t>
  </si>
  <si>
    <t>ferpatrader</t>
  </si>
  <si>
    <t>apoloc8</t>
  </si>
  <si>
    <t>invexcripto</t>
  </si>
  <si>
    <t>dinamicargweb</t>
  </si>
  <si>
    <t>investoetf</t>
  </si>
  <si>
    <t>projeto4ciclos</t>
  </si>
  <si>
    <t>positivetrades1</t>
  </si>
  <si>
    <t>bmf_bund</t>
  </si>
  <si>
    <t>alemaniadiplo</t>
  </si>
  <si>
    <t>strongmindinv</t>
  </si>
  <si>
    <t>semanaeconomica</t>
  </si>
  <si>
    <t>liqibr</t>
  </si>
  <si>
    <t>sol_ku</t>
  </si>
  <si>
    <t>claudinhotrader</t>
  </si>
  <si>
    <t>eliafaher</t>
  </si>
  <si>
    <t>hubfinanzassmx</t>
  </si>
  <si>
    <t>robervalpnunes</t>
  </si>
  <si>
    <t>arthurodriguex</t>
  </si>
  <si>
    <t>pauta_economica</t>
  </si>
  <si>
    <t>fpmarkets_latam</t>
  </si>
  <si>
    <t>seu_dinheiro_br</t>
  </si>
  <si>
    <t>grupogflac</t>
  </si>
  <si>
    <t>amilcar22000</t>
  </si>
  <si>
    <t>armandoardilad</t>
  </si>
  <si>
    <t>vitinhopretouk</t>
  </si>
  <si>
    <t>kasun8564245679</t>
  </si>
  <si>
    <t>raphael_tesla</t>
  </si>
  <si>
    <t>tomasrodri</t>
  </si>
  <si>
    <t>barreirodr</t>
  </si>
  <si>
    <t>wallst_optimist</t>
  </si>
  <si>
    <t>o_turco_</t>
  </si>
  <si>
    <t>caiorlvilar</t>
  </si>
  <si>
    <t>rubenswilde</t>
  </si>
  <si>
    <t>omarcosviniciuz</t>
  </si>
  <si>
    <t>cgdcursos</t>
  </si>
  <si>
    <t>bpmoney_</t>
  </si>
  <si>
    <t>negocios_tv</t>
  </si>
  <si>
    <t>juliaview</t>
  </si>
  <si>
    <t>polibanza</t>
  </si>
  <si>
    <t>matteofarci1</t>
  </si>
  <si>
    <t>lapiensoladigo</t>
  </si>
  <si>
    <t>trademindfulne1</t>
  </si>
  <si>
    <t>abpoeta</t>
  </si>
  <si>
    <t>jmartinsfilho2</t>
  </si>
  <si>
    <t>victorgaete</t>
  </si>
  <si>
    <t>vivabemcombr</t>
  </si>
  <si>
    <t>alverti6451</t>
  </si>
  <si>
    <t>shortsdoraiam</t>
  </si>
  <si>
    <t>canaleconomico</t>
  </si>
  <si>
    <t>franciscob_at</t>
  </si>
  <si>
    <t>insper</t>
  </si>
  <si>
    <t>vitorfaustinoyt</t>
  </si>
  <si>
    <t>cllaudioleite</t>
  </si>
  <si>
    <t>galanteinvest</t>
  </si>
  <si>
    <t>vagnermayerb3</t>
  </si>
  <si>
    <t>sobcustodio</t>
  </si>
  <si>
    <t>tomi_l33</t>
  </si>
  <si>
    <t>osdadosmostram</t>
  </si>
  <si>
    <t>buskardsteve</t>
  </si>
  <si>
    <t>wmindset22</t>
  </si>
  <si>
    <t>cartasgpt</t>
  </si>
  <si>
    <t>drancelmoramos</t>
  </si>
  <si>
    <t>elton_placido</t>
  </si>
  <si>
    <t>ricamconsult</t>
  </si>
  <si>
    <t>economicnewsbr</t>
  </si>
  <si>
    <t>stockdukeoliver</t>
  </si>
  <si>
    <t>marketscreener5</t>
  </si>
  <si>
    <t>elcryptonauta</t>
  </si>
  <si>
    <t>udsonloved</t>
  </si>
  <si>
    <t>wealthmindpower</t>
  </si>
  <si>
    <t>wagnergeremia</t>
  </si>
  <si>
    <t>porque_com_br</t>
  </si>
  <si>
    <t>vortxbr</t>
  </si>
  <si>
    <t>ga4tj</t>
  </si>
  <si>
    <t>economia_cafe</t>
  </si>
  <si>
    <t>infohindi009</t>
  </si>
  <si>
    <t>andrelenski</t>
  </si>
  <si>
    <t>euqueroinvestir</t>
  </si>
  <si>
    <t>theinfoveritas</t>
  </si>
  <si>
    <t>mindfulstocks21</t>
  </si>
  <si>
    <t>cryptomasterlu</t>
  </si>
  <si>
    <t>jonasojunior</t>
  </si>
  <si>
    <t>ym9496</t>
  </si>
  <si>
    <t>collacerril</t>
  </si>
  <si>
    <t>_adrianossantos</t>
  </si>
  <si>
    <t>rafa_oliver_</t>
  </si>
  <si>
    <t>bpopeconomia</t>
  </si>
  <si>
    <t>lezama14</t>
  </si>
  <si>
    <t>dragonoroplata</t>
  </si>
  <si>
    <t>kinvoapp</t>
  </si>
  <si>
    <t>memoburu1971</t>
  </si>
  <si>
    <t>zeninveststrat</t>
  </si>
  <si>
    <t>silviodoquental</t>
  </si>
  <si>
    <t>ocleydsontrader</t>
  </si>
  <si>
    <t>javeye</t>
  </si>
  <si>
    <t>frankbullboss</t>
  </si>
  <si>
    <t>ecos365</t>
  </si>
  <si>
    <t>rosariotres</t>
  </si>
  <si>
    <t>magindiazrd</t>
  </si>
  <si>
    <t>pipelinevalor</t>
  </si>
  <si>
    <t>realpauloborba</t>
  </si>
  <si>
    <t>juanpablosecure</t>
  </si>
  <si>
    <t>falkcapital</t>
  </si>
  <si>
    <t>verodatoapp</t>
  </si>
  <si>
    <t>wit_invest</t>
  </si>
  <si>
    <t>6trading_</t>
  </si>
  <si>
    <t>unlamoficial</t>
  </si>
  <si>
    <t>psych_stock</t>
  </si>
  <si>
    <t>paulotec96</t>
  </si>
  <si>
    <t>combsandream</t>
  </si>
  <si>
    <t>lucaspereira_ef</t>
  </si>
  <si>
    <t>mariosfmartins</t>
  </si>
  <si>
    <t>ricardocipago</t>
  </si>
  <si>
    <t>economainstream</t>
  </si>
  <si>
    <t>urjconline</t>
  </si>
  <si>
    <t>girlishgiggle</t>
  </si>
  <si>
    <t>ataorienta</t>
  </si>
  <si>
    <t>canalcomlucro</t>
  </si>
  <si>
    <t>cazanova_gisele</t>
  </si>
  <si>
    <t>diariodominho</t>
  </si>
  <si>
    <t>suelencintra</t>
  </si>
  <si>
    <t>430ambuzz</t>
  </si>
  <si>
    <t>drcrypto2023</t>
  </si>
  <si>
    <t>arthurmining</t>
  </si>
  <si>
    <t>falconcampinas</t>
  </si>
  <si>
    <t>cesargonandy</t>
  </si>
  <si>
    <t>daanseloni</t>
  </si>
  <si>
    <t>edimosip</t>
  </si>
  <si>
    <t>confidenttrade3</t>
  </si>
  <si>
    <t>jose_gruporc</t>
  </si>
  <si>
    <t>gondimadv</t>
  </si>
  <si>
    <t>econoptions86</t>
  </si>
  <si>
    <t>hubinvestidor</t>
  </si>
  <si>
    <t>pierrebomfim</t>
  </si>
  <si>
    <t>profits_capital</t>
  </si>
  <si>
    <t>leiatheinvestor</t>
  </si>
  <si>
    <t>tradergrafico</t>
  </si>
  <si>
    <t>ontierlaw</t>
  </si>
  <si>
    <t>leonardo_leao3</t>
  </si>
  <si>
    <t>otonielcj</t>
  </si>
  <si>
    <t>alcinx</t>
  </si>
  <si>
    <t>enfoqueif</t>
  </si>
  <si>
    <t>edsonsilva_sv</t>
  </si>
  <si>
    <t>canaldomvicto</t>
  </si>
  <si>
    <t>_mattlcs</t>
  </si>
  <si>
    <t>mariocssantana</t>
  </si>
  <si>
    <t>funpresp</t>
  </si>
  <si>
    <t>izzinvest</t>
  </si>
  <si>
    <t>valoraanalitik</t>
  </si>
  <si>
    <t>nahu_meler</t>
  </si>
  <si>
    <t>joares_antonio</t>
  </si>
  <si>
    <t>rintereconomia</t>
  </si>
  <si>
    <t>deniseedt</t>
  </si>
  <si>
    <t>armandoseoane</t>
  </si>
  <si>
    <t>eshaddows</t>
  </si>
  <si>
    <t>sm_news23</t>
  </si>
  <si>
    <t>0xgabinvest</t>
  </si>
  <si>
    <t>doctorencriptos</t>
  </si>
  <si>
    <t>cbnvitoria</t>
  </si>
  <si>
    <t>albeirobejarano</t>
  </si>
  <si>
    <t>robert_johnsto</t>
  </si>
  <si>
    <t>rodrigobarboza7</t>
  </si>
  <si>
    <t>rodrigues590804</t>
  </si>
  <si>
    <t>positivetradem1</t>
  </si>
  <si>
    <t>folha_mercado</t>
  </si>
  <si>
    <t>ivana_p_almeida</t>
  </si>
  <si>
    <t>datoworld</t>
  </si>
  <si>
    <t>obrodr</t>
  </si>
  <si>
    <t>rafaeljuiz8</t>
  </si>
  <si>
    <t>fernand30827525</t>
  </si>
  <si>
    <t>gabrielaprocpi9</t>
  </si>
  <si>
    <t>lamervaletacom</t>
  </si>
  <si>
    <t>economia_prm</t>
  </si>
  <si>
    <t>pepamango</t>
  </si>
  <si>
    <t>stmindfulness</t>
  </si>
  <si>
    <t>investidoreso</t>
  </si>
  <si>
    <t>marcelocastell0</t>
  </si>
  <si>
    <t>investimentobrl</t>
  </si>
  <si>
    <t>cryptoinvestido</t>
  </si>
  <si>
    <t>hermilton5</t>
  </si>
  <si>
    <t>cri_opportunity</t>
  </si>
  <si>
    <t>drjuliomiranda</t>
  </si>
  <si>
    <t>mckinney_moorez</t>
  </si>
  <si>
    <t>cromaticanews</t>
  </si>
  <si>
    <t>oproflucassilva</t>
  </si>
  <si>
    <t>nbnbrasil</t>
  </si>
  <si>
    <t>embratel</t>
  </si>
  <si>
    <t>mercuricajujuy</t>
  </si>
  <si>
    <t>agarra_pala</t>
  </si>
  <si>
    <t>hbcecilia</t>
  </si>
  <si>
    <t>valdemarplaneja</t>
  </si>
  <si>
    <t>bilingualinvest</t>
  </si>
  <si>
    <t>sue_ellen_bb</t>
  </si>
  <si>
    <t>francelmc</t>
  </si>
  <si>
    <t>eva__6946</t>
  </si>
  <si>
    <t>acriollo_m5</t>
  </si>
  <si>
    <t>activtrades_pt</t>
  </si>
  <si>
    <t>nessaapprentice</t>
  </si>
  <si>
    <t>comosertrader</t>
  </si>
  <si>
    <t>gamainvestiment</t>
  </si>
  <si>
    <t>petri_danilo</t>
  </si>
  <si>
    <t>now_wisely</t>
  </si>
  <si>
    <t>anasanchezayal1</t>
  </si>
  <si>
    <t>arthurvallephd</t>
  </si>
  <si>
    <t>hectorchamizo</t>
  </si>
  <si>
    <t>rnainvest</t>
  </si>
  <si>
    <t>xghmarkets</t>
  </si>
  <si>
    <t>zonavalue</t>
  </si>
  <si>
    <t>camilosilvaj</t>
  </si>
  <si>
    <t>fundsmarkets</t>
  </si>
  <si>
    <t>yodacoinswap</t>
  </si>
  <si>
    <t>tiagosi54861365</t>
  </si>
  <si>
    <t>profitoclub</t>
  </si>
  <si>
    <t>infox_educa</t>
  </si>
  <si>
    <t>ivanrondon05</t>
  </si>
  <si>
    <t>branco_elton</t>
  </si>
  <si>
    <t>leiamoneytimes</t>
  </si>
  <si>
    <t>e_bayona</t>
  </si>
  <si>
    <t>politikcorrecta</t>
  </si>
  <si>
    <t>educacaosemsist</t>
  </si>
  <si>
    <t>elbote</t>
  </si>
  <si>
    <t>sigaif</t>
  </si>
  <si>
    <t>leiaflj</t>
  </si>
  <si>
    <t>javierska2</t>
  </si>
  <si>
    <t>platinum_invest</t>
  </si>
  <si>
    <t>hlxnogueira</t>
  </si>
  <si>
    <t>s6investimentos</t>
  </si>
  <si>
    <t>alfiedata</t>
  </si>
  <si>
    <t>radiobandnewsfm</t>
  </si>
  <si>
    <t>migue6</t>
  </si>
  <si>
    <t>infogainbrazil</t>
  </si>
  <si>
    <t>jmendezliron</t>
  </si>
  <si>
    <t>diario_comercio</t>
  </si>
  <si>
    <t>rodadecuia</t>
  </si>
  <si>
    <t>brunocantao_</t>
  </si>
  <si>
    <t>ivancri90130867</t>
  </si>
  <si>
    <t>mcovesa</t>
  </si>
  <si>
    <t>digital_profit1</t>
  </si>
  <si>
    <t>bitypreco</t>
  </si>
  <si>
    <t>investigauce</t>
  </si>
  <si>
    <t>poolreis97</t>
  </si>
  <si>
    <t>contacripto_</t>
  </si>
  <si>
    <t>italybri</t>
  </si>
  <si>
    <t>perpheito</t>
  </si>
  <si>
    <t>jlionunes11</t>
  </si>
  <si>
    <t>alexandercio</t>
  </si>
  <si>
    <t>holistic_invest</t>
  </si>
  <si>
    <t>auditorinterno</t>
  </si>
  <si>
    <t>paulkrugman</t>
  </si>
  <si>
    <t>financialtimes</t>
  </si>
  <si>
    <t>cincodiascom</t>
  </si>
  <si>
    <t>bancodeespana</t>
  </si>
  <si>
    <t>carlosteles__</t>
  </si>
  <si>
    <t>amelosbc</t>
  </si>
  <si>
    <t>reginaldoprofe</t>
  </si>
  <si>
    <t>noticiasredetv</t>
  </si>
  <si>
    <t>pix_notasfake</t>
  </si>
  <si>
    <t>palcarva</t>
  </si>
  <si>
    <t>1nverpersona1</t>
  </si>
  <si>
    <t>renatarhicci</t>
  </si>
  <si>
    <t>mecfin</t>
  </si>
  <si>
    <t>bogotasinmiedo</t>
  </si>
  <si>
    <t>telosinvest</t>
  </si>
  <si>
    <t>tradermindcoach</t>
  </si>
  <si>
    <t>jovempannews</t>
  </si>
  <si>
    <t>salseira</t>
  </si>
  <si>
    <t>tomeacao</t>
  </si>
  <si>
    <t>gimme5app</t>
  </si>
  <si>
    <t>alissondpo</t>
  </si>
  <si>
    <t>modalmais</t>
  </si>
  <si>
    <t>charlesfibonacc</t>
  </si>
  <si>
    <t>villasboasvi</t>
  </si>
  <si>
    <t>gbtcvalencia</t>
  </si>
  <si>
    <t>tradermindninja</t>
  </si>
  <si>
    <t>eltonplacido</t>
  </si>
  <si>
    <t>valorinveste</t>
  </si>
  <si>
    <t>dane_colombia</t>
  </si>
  <si>
    <t>linkedin</t>
  </si>
  <si>
    <t>parasbehl7</t>
  </si>
  <si>
    <t>boghosian</t>
  </si>
  <si>
    <t>alexcabral71</t>
  </si>
  <si>
    <t>tatobarros</t>
  </si>
  <si>
    <t>luizferoxo</t>
  </si>
  <si>
    <t>jaquerofinancas</t>
  </si>
  <si>
    <t>poenobolso</t>
  </si>
  <si>
    <t>moises_beida</t>
  </si>
  <si>
    <t>albuquerque_af</t>
  </si>
  <si>
    <t>minhacienda</t>
  </si>
  <si>
    <t>alencarbraga13</t>
  </si>
  <si>
    <t>youtube</t>
  </si>
  <si>
    <t>bolsamania</t>
  </si>
  <si>
    <t>washingtonpost</t>
  </si>
  <si>
    <t>wsj</t>
  </si>
  <si>
    <t>biespana</t>
  </si>
  <si>
    <t>cnnee</t>
  </si>
  <si>
    <t>spreaker</t>
  </si>
  <si>
    <t>luisfermejia</t>
  </si>
  <si>
    <t>petrogustavo</t>
  </si>
  <si>
    <t>giomaiorano_</t>
  </si>
  <si>
    <t>luciomalan</t>
  </si>
  <si>
    <t>proeducacional</t>
  </si>
  <si>
    <t>jhonata</t>
  </si>
  <si>
    <t>igor_mundstock</t>
  </si>
  <si>
    <t>fitchratings</t>
  </si>
  <si>
    <t>darekmacpherson</t>
  </si>
  <si>
    <t>lagacetachile</t>
  </si>
  <si>
    <t>bcp_py</t>
  </si>
  <si>
    <t>vmiziara_</t>
  </si>
  <si>
    <t>luciana_seabra</t>
  </si>
  <si>
    <t>thiagogdearagao</t>
  </si>
  <si>
    <t>brunomonsanto_</t>
  </si>
  <si>
    <t>1bilhao_</t>
  </si>
  <si>
    <t>marcosaravalle</t>
  </si>
  <si>
    <t>mantledaily_</t>
  </si>
  <si>
    <t>xtbes</t>
  </si>
  <si>
    <t>pablogiltrader</t>
  </si>
  <si>
    <t>dmvasco</t>
  </si>
  <si>
    <t>michelemchang</t>
  </si>
  <si>
    <t>bancocentral_ec</t>
  </si>
  <si>
    <t>funcases</t>
  </si>
  <si>
    <t>bancocentralbr</t>
  </si>
  <si>
    <t>peqempresas</t>
  </si>
  <si>
    <t>rwalker1_r</t>
  </si>
  <si>
    <t>hermesmoon</t>
  </si>
  <si>
    <t>harpersimps</t>
  </si>
  <si>
    <t>lara_grana</t>
  </si>
  <si>
    <t>farodevigo</t>
  </si>
  <si>
    <t>pato_eskenazi</t>
  </si>
  <si>
    <t>cata_edwards</t>
  </si>
  <si>
    <t>hegonzalb</t>
  </si>
  <si>
    <t>infinitafm</t>
  </si>
  <si>
    <t>bancorepublica</t>
  </si>
  <si>
    <t>sergiomassa</t>
  </si>
  <si>
    <t>sergiimarchenk3</t>
  </si>
  <si>
    <t>c_lindner</t>
  </si>
  <si>
    <t>cabecitaterri</t>
  </si>
  <si>
    <t>ipeopinion</t>
  </si>
  <si>
    <t>adolfosafran</t>
  </si>
  <si>
    <t>arielsayas</t>
  </si>
  <si>
    <t>mashirafael</t>
  </si>
  <si>
    <t>arthurlulam</t>
  </si>
  <si>
    <t>alvarosfrasson</t>
  </si>
  <si>
    <t>jtugoresques</t>
  </si>
  <si>
    <t>jmlermafinanzas</t>
  </si>
  <si>
    <t>espanoljfd</t>
  </si>
  <si>
    <t>tangoyyc</t>
  </si>
  <si>
    <t>padtec</t>
  </si>
  <si>
    <t>agenciatamer</t>
  </si>
  <si>
    <t>elcrackdel23</t>
  </si>
  <si>
    <t>teozorraquinzm</t>
  </si>
  <si>
    <t>valoreconomico</t>
  </si>
  <si>
    <t>diancolombia</t>
  </si>
  <si>
    <t>juancaraguado</t>
  </si>
  <si>
    <t>urjc</t>
  </si>
  <si>
    <t>miriadax</t>
  </si>
  <si>
    <t>bcrpoficial</t>
  </si>
  <si>
    <t>amchamperu</t>
  </si>
  <si>
    <t>szampa56</t>
  </si>
  <si>
    <t>fedearrozgremio</t>
  </si>
  <si>
    <t>alianzain1</t>
  </si>
  <si>
    <t>migracioncol</t>
  </si>
  <si>
    <t>drewryshipping</t>
  </si>
  <si>
    <t>fedesarrollo</t>
  </si>
  <si>
    <t>infopresidencia</t>
  </si>
  <si>
    <t>camaracolombia</t>
  </si>
  <si>
    <t>cepal_onu</t>
  </si>
  <si>
    <t>andemos_col</t>
  </si>
  <si>
    <t>fngsa</t>
  </si>
  <si>
    <t>davivienda</t>
  </si>
  <si>
    <t>automotrizandi</t>
  </si>
  <si>
    <t>asomicrofinanza</t>
  </si>
  <si>
    <t>mirandabogota</t>
  </si>
  <si>
    <t>fnaahorro</t>
  </si>
  <si>
    <t>federalreserve</t>
  </si>
  <si>
    <t>petrog</t>
  </si>
  <si>
    <t>bancolombia</t>
  </si>
  <si>
    <t>bvccolombia</t>
  </si>
  <si>
    <t>jpmorgan</t>
  </si>
  <si>
    <t>petro</t>
  </si>
  <si>
    <t>transmilenio</t>
  </si>
  <si>
    <t>jrobertoacosta1</t>
  </si>
  <si>
    <t>juangzuluaga</t>
  </si>
  <si>
    <t>fenalconacional</t>
  </si>
  <si>
    <t>minvivienda</t>
  </si>
  <si>
    <t>camacolcolombia</t>
  </si>
  <si>
    <t>ceacolombia</t>
  </si>
  <si>
    <t>acopi_nacional</t>
  </si>
  <si>
    <t>fminoticias</t>
  </si>
  <si>
    <t>wmanzur</t>
  </si>
  <si>
    <t>jrestrp</t>
  </si>
  <si>
    <t>ocdeenespanol</t>
  </si>
  <si>
    <t>mininterior</t>
  </si>
  <si>
    <t>velascoluisf</t>
  </si>
  <si>
    <t>carfcolombia</t>
  </si>
  <si>
    <t>consejogremial</t>
  </si>
  <si>
    <t>zfbta</t>
  </si>
  <si>
    <t>chelseafc_sp</t>
  </si>
  <si>
    <t>unidos_camara</t>
  </si>
  <si>
    <t>josea_ocampo</t>
  </si>
  <si>
    <t>prosperidadcol</t>
  </si>
  <si>
    <t>germanumanam</t>
  </si>
  <si>
    <t>anifco</t>
  </si>
  <si>
    <t>fedecafeteros</t>
  </si>
  <si>
    <t>jmojicaflorez</t>
  </si>
  <si>
    <t>minagricultura</t>
  </si>
  <si>
    <t>brucemacmaster</t>
  </si>
  <si>
    <t>andi_colombia</t>
  </si>
  <si>
    <t>irenevelezt</t>
  </si>
  <si>
    <t>ricardobonillag</t>
  </si>
  <si>
    <t>sfcsupervisor</t>
  </si>
  <si>
    <t>fasecoldaoficia</t>
  </si>
  <si>
    <t>iif</t>
  </si>
  <si>
    <t>micheljanna</t>
  </si>
  <si>
    <t>senadogovco</t>
  </si>
  <si>
    <t>mincomercioco</t>
  </si>
  <si>
    <t>cotelcolombia</t>
  </si>
  <si>
    <t>prm_oficial</t>
  </si>
  <si>
    <t>mauriciocard</t>
  </si>
  <si>
    <t>jmilei</t>
  </si>
  <si>
    <t>publico_es</t>
  </si>
  <si>
    <t>ottosonnenh</t>
  </si>
  <si>
    <t>juanchoriva</t>
  </si>
  <si>
    <t>cirogomezl</t>
  </si>
  <si>
    <t>olvelez007</t>
  </si>
  <si>
    <t>comunardo</t>
  </si>
  <si>
    <t>epeconomia</t>
  </si>
  <si>
    <t>eleconomistaes</t>
  </si>
  <si>
    <t>zattarrafael</t>
  </si>
  <si>
    <t>dantas452637111</t>
  </si>
  <si>
    <t>Mentions</t>
  </si>
  <si>
    <t>Quote</t>
  </si>
  <si>
    <t>Retweet</t>
  </si>
  <si>
    <t>Replies to</t>
  </si>
  <si>
    <t>MentionsInRetweet</t>
  </si>
  <si>
    <t>MentionsInQuoteReply</t>
  </si>
  <si>
    <t>MentionsInReplyTo</t>
  </si>
  <si>
    <t>MentionsInQuote</t>
  </si>
  <si>
    <t>Em uma matéria do @valorinveste, nosso CEO Guilherme Assis comenta sobre o momento atual e o aumento na oferta de serviços no mercado de investimentos. Confira o texto completo no link dos comentários. 🔍 
#Investimentos #MercadoFinanceiro #Dinheiro https://t.co/LLSx1OmTIQ</t>
  </si>
  <si>
    <t>A agenda está em dia? Acompanhe no nosso blog o calendário econômico dos dias 17 a 21 de julho e confira os principais indicadores nacionais e internacionais da semana! 📅
Leia o artigo completo: https://t.co/tNGj6kY2Ee
#GorilaInvest #Economia #MercadoFinanceiro https://t.co/7mkcUfT0dL</t>
  </si>
  <si>
    <t>A agenda está em dia? Acompanhe no nosso blog o calendário econômico dos dias 07 a 11 de agosto e confira os principais indicadores nacionais e internacionais da semana! 📅
Para ler o artigo completo, acesse o link do primeiro comentário.
#Economia #MercadoFinanceiro https://t.co/1EKAGlXuZE</t>
  </si>
  <si>
    <t>A agenda está em dia? Acompanhe no nosso blog o calendário econômico dos dias 14 a 18 de agosto e confira os principais indicadores nacionais e internacionais da semana! 📅
Para ler o artigo completo, acesse o link do primeiro comentário.
#Economia #MercadoFinanceiro https://t.co/oeBlIj4kcJ</t>
  </si>
  <si>
    <t>Em sua coluna desta semana para o Blog do Gorila, André Leite republica a carta mensal da TAG Investimentos com a perspectiva de mercado da gestora. 
🔎Confira nos comentários o link para o texto na íntegra.
#Investimentos #Economia #MercadoFinanceiro https://t.co/QPZ5y7CmrT</t>
  </si>
  <si>
    <t>A agenda está em dia? Acompanhe no nosso blog o calendário econômico dos dias 28 de agosto a 1 de setembro e confira os principais indicadores nacionais e internacionais da semana! 📅
Para ler o artigo completo, acesse o link do primeiro comentário.
#Economia #MercadoFinanceiro https://t.co/tQydy52a9X</t>
  </si>
  <si>
    <t>A agenda está em dia? Acompanhe no nosso blog o calendário econômico dos dias 21 a 25 de agosto e confira os principais indicadores nacionais e internacionais da semana! 📅
Para ler o artigo completo, acesse o link do primeiro comentário.
#Economia #MercadoFinanceiro https://t.co/Sis4loi3uF</t>
  </si>
  <si>
    <t>Em sua coluna para o Blog do Gorila, Andre Leite trouxe a carta mensal da TAG Investimentos com as perspectivas da gestora sobre o crescimento na China. 
Confira nos comentários o link para o texto na íntegra.
#Investimentos #Economia #MercadoFinanceiro #China https://t.co/VQkYJFCFpn</t>
  </si>
  <si>
    <t>A agenda está em dia? Acompanhe no nosso blog o calendário econômico dos dias 4 a 8 de setembro e confira os principais indicadores nacionais e internacionais da semana! 🗓️
Para ler o artigo completo, acesse o link do primeiro comentário.
#Economia #MercadoFinanceiro https://t.co/NjugounsrU</t>
  </si>
  <si>
    <t>A agenda está em dia? Acompanhe no nosso blog o calendário econômico dos dias 31 de julho a 04 de agosto e confira os principais indicadores nacionais e internacionais da semana! 📅
Para ler o artigo completo, acesse o link do primeiro comentário.
#Economia #MercadoFinanceiro https://t.co/IHcmjQ7p6U</t>
  </si>
  <si>
    <t>A agenda está em dia? Acompanhe no nosso blog o calendário econômico dos dias 18 a 22 de setembro e confira os principais indicadores nacionais e internacionais da semana! 📅
Para ler o artigo completo, acesse o link do primeiro comentário.
#Economia #MercadoFinanceiro https://t.co/NI5l25Kz84</t>
  </si>
  <si>
    <t>Confira a reflexão do nosso CEO, Guilherme Assis, sobre as transformações e tradições do mercado, e o que observar em busca de uma vantagem competitiva
#MercadoFinanceiro #Tecnologia #InteligenciaArtificial #Tokenização https://t.co/6NuxUepDEy</t>
  </si>
  <si>
    <t>A agenda está em dia? Acompanhe no nosso blog o calendário econômico dos dias 25 a 29 de setembro e confira os principais indicadores nacionais e internacionais da semana! 📅
Para ler o artigo completo, acesse o link do primeiro comentário.
#Economia #MercadoFinanceiro https://t.co/ftMBmDXP6Q</t>
  </si>
  <si>
    <t>A tranquilidade financeira é um objetivo que pode ser alcançado por meio de planejamento cuidadoso e hábitos financeiros saudáveis.
#habitossaudaveis #mercadofinanceiro #saudefinanceira #financaspessoais #planejamentofinanceiro #dicasfinanceiras
https://t.co/JZQqqf6LBc</t>
  </si>
  <si>
    <t>A gente sabe onde termina a politicagem.
#investimentos
#finanças
#mercadofinanceiro</t>
  </si>
  <si>
    <t>"The key to making money in stocks is not to get scared out of them." 
- Peter Lynch 
#binaryoptions #futurestrading #mercadofinanceiro</t>
  </si>
  <si>
    <t>Bancos são responsáveis por fraudes contra clientes?
#Bancos #Fraudes #MercadoFinanceiro #Tecnologia #Seguranca 
https://t.co/PkjyEFYIU9</t>
  </si>
  <si>
    <t>Neobanks e open finance avançam em tecnologia bancária para pequenas empresas
#Neobanks #OpenFinance #Tecnologia #Empresas #Fintechs #MercadoFinanceiro 
https://t.co/zUOfJmK3Ft</t>
  </si>
  <si>
    <t>Na era do Pix, como a geolocalização pode trazer mais segurança aos serviços financeiros?
#mercadofinanceiro #pix #segurança
https://t.co/tJZq1dWsSx</t>
  </si>
  <si>
    <t>Estudo de caso: o impacto de uma atualização do liveness ativo para passivo
#Liveness #Biometria #MercadoFinanceiro #Case #Pesquisa #Onboarding 
https://t.co/Ithu4NIdFx</t>
  </si>
  <si>
    <t>Entenda as implicações do crescimento de private banking de investimento e varejo
#MercadoFinanceiro #PrivateBanking #Varejo #Tecnologia 
https://t.co/h80b9sAWRP</t>
  </si>
  <si>
    <t>#Macroeconomía | Producción industrial en Colombia sigue de capa caída: acumula caída del 2,6 % en 2023
@DANE_Colombia https://t.co/2TVAepEjbT</t>
  </si>
  <si>
    <t>📈 Investir em ações americanas: o momento é propício? Descubra neste vídeo! Analisamos o impacto do aumento das taxas de juros e a valorização das ações de tecnologia.
#Investimentos #MercadoFinanceiro #Diversificação #dolar
https://t.co/z9UeegiMhi https://t.co/458xrsuUuE</t>
  </si>
  <si>
    <t>#Atrio #AtrioInvestimentos #GrupoAtrio #AtrioGestão #AtrioCorporate #AtrioEmpresas #Investimentos #FinançasPessoais #MercadoFinanceiro https://t.co/t1ah6Sr42S</t>
  </si>
  <si>
    <t>#Atrio #AtrioInvestimentos #GrupoAtrio #AtrioGestão #AtrioCorporate #AtrioEmpresas #Investimentos #FinançasPessoais #MercadoFinanceiro #PrevidênciaPrivada https://t.co/ikrTucnFYE</t>
  </si>
  <si>
    <t>#Atrio #GrupoAtrio #AtrioInvestimentos #AtrioCorporate #AtrGestão #Ações #BolsaDeValores #Economia #Finanças
#Investimentos #MercadoAcionário #MercadoFinanceiro #RendaFixa #StartUp #Trading #RendaVariável #NotasCompromissadas #Derivativos #FundosDeInvestimentos https://t.co/TflYgUAzXR</t>
  </si>
  <si>
    <t>#Atrio #GrupoAtrio #AtrioInvestimentos #AtrioCorporate #AtrGestão #Ações #BolsaDeValores #Economia #Finanças
#Investimentos #MercadoAcionário #MercadoFinanceiro #RendaFixa #StartUp #Trading #RendaVariável #NotasCompromissadas #Derivativos #FundosDeInvestimentos https://t.co/j7yqzxDM73</t>
  </si>
  <si>
    <t>#atrio #atrioinvestimentos #investimentos #mercadofinanceiro #XP https://t.co/uPRK0IeBS4</t>
  </si>
  <si>
    <t>#atrio #atrioinvestimentos #investimentos #mercadofinanceiro #XP #xpinvestimentos https://t.co/B1fvqXy3gL</t>
  </si>
  <si>
    <t>https://t.co/3tKiByU9A9
A VBI Prime Properties é um dos fundos que merecem sua atenção por ser uma excelente oportunidade de resultados no médio prazo.
#investimentos #fundosimobiliarios #fiis #financaspessoais #investir #mercadofinanceiro #bolsadevalores #educaçãofinanceira https://t.co/lQng8sjfwe</t>
  </si>
  <si>
    <t>🟢 Só sobrevive no mercado quem tem disciplina!
Como anda a sua? 
#mercadofinanceiro #trade #daytrade #dolar #usd 
$usd $dolar $usdbrl https://t.co/4SEMUir5dW</t>
  </si>
  <si>
    <t>O Segredo Revelado: #mercadofinanceiro #daytrade  #bolsadevalores https://t.co/6OVNFvdrKi https://t.co/ZChPsnsICf</t>
  </si>
  <si>
    <t>#daytrade #mercadofinanceiro #finanças #investimento Setup poderoso: https://t.co/WZAlA7EvgX https://t.co/7E9HMppGEB</t>
  </si>
  <si>
    <t>Alvos de precisão para próximo pregão  #daytrading #MercadoFinanceiro 
 https://t.co/cqqriTZJ7d https://t.co/43sdt15cf9</t>
  </si>
  <si>
    <t>Veja duas estratégias excepcionais! https://t.co/sg6Twh8Wst
 #mercadofinanceiro #investimentos https://t.co/8fL2WTi6LH</t>
  </si>
  <si>
    <t>📈 Aprenda o Poder do Day Trading! 🚀
📚 O que é Day Trading?
O Day Trading é a arte de negociar ativos financeiros em curto prazo, buscando lucros diários com base em análise técnica e táticas inteligentes. 
#DayTrading #Trader #BolsadeValores #MercadoFinanceiro #Investimentos https://t.co/dKVv1AK3fg</t>
  </si>
  <si>
    <t>Veja como a atuação da agência Fitch na classificação de risco pode afetar diretamente a vida financeira de um país como o Brasil. #AgênciaFitch #ClassificaçãodeRiscodoBrasil #MercadoFinanceiro https://t.co/Y4QdKz5v0C
https://t.co/Y4QdKz5v0C</t>
  </si>
  <si>
    <t>Boletim Focus revela novas estimativas para a economia brasileira, incluindo PIB, inflação e taxa Selic. #BoletimFocusdoBancoCentral #cotaçãododólar #Inflação #MercadoFinanceiro https://t.co/tsYut9QtaI
https://t.co/tsYut9QtaI</t>
  </si>
  <si>
    <t>RT @SFAInvest: 2. A visita teve a finalidade de vermos os avanços tecnológicos no ramo de segurança e conversarmos com as principais empres…</t>
  </si>
  <si>
    <t>O Sucesso Financeiro exige uma sequência de pensamentos e atitudes que  por mais que pareçam simples, a longo prazo se tornam poderosas no processo de crescimento da sua vida financeira
#mercadofinanceiro #forex #trader #investir #bolsadevalores #trade #sucesso #conquista #money https://t.co/5NJDHPDsGK</t>
  </si>
  <si>
    <t>Estudo sobre a curva de juros e sua relação com recessões econômicas nos EUA. A diferença entre taxas de longo e curto prazo é um indicador poderoso, prevendo antecipadamente a atividade econômica. #Economia #investimentos #mercadofinanceiro #b3 #educa
https://t.co/9TMfRGYnfj</t>
  </si>
  <si>
    <t>#MercadoFinanceiro: Após cair 0,45%, na mínima aos 117.693,29 pontos, o Índice Bovespa foi para o território de leve valorização e quase tocou o nível dos 119 mil pontos
https://t.co/995nVf6eLj</t>
  </si>
  <si>
    <t>#MercadoFinanceiro: Ibovespa caiu 0,42%, aos 118.393,97 pontos, ante abertura aos 118.897,42 pontos
https://t.co/XYFmzCcYct</t>
  </si>
  <si>
    <t>#MercadoFinanceiro: Bolsas da Ásia fecham em alta, após recuperação em NY e com estímulos na China
https://t.co/5nqB7a2Pyf</t>
  </si>
  <si>
    <t>#MercadoFinanceiro: Às 9h50 desta quarta, o dólar à vista tinha baixa de 0,09%, aos R$ 4,7858
https://t.co/aut2lZZVWf</t>
  </si>
  <si>
    <t>#MercadoFinanceiro: A Bolsa de Tóquio não operou devido a um feriado no Japão https://t.co/TpEjSdpSIE</t>
  </si>
  <si>
    <t>#MercadoFinanceiro: Haddad afirmou nesta sexta-feira (4), que é preciso ter "cautela" nas análises econômicas externas
https://t.co/hFOWWMmqjA</t>
  </si>
  <si>
    <t>#MercadoFinanceiro: Bolsas da Ásia fecham em baixa, ainda pressionadas por dados chineses fracos
https://t.co/8TxPnII8ro</t>
  </si>
  <si>
    <t>#MercadoFinanceiro: A Bolsa de Xangai fechou em alta de 0,31%, em 3.254,56 pontos https://t.co/EeaozpgIHX</t>
  </si>
  <si>
    <t>#MercadoFinanceiro: A Bolsa de Xangai fechou em baixa de 0,49%, em 3.244,49 pontos, e a de Shenzhen, de menor abrangência, caiu 0,60%, a 2.132,73 pontos. 
https://t.co/Y143tbsXq7</t>
  </si>
  <si>
    <t>#MercadoFinanceiro: Bolsas da Ásia fecham mistas, após CPI japonês e de olho em reunião de liderança chinesa
https://t.co/U8SqgswnsE</t>
  </si>
  <si>
    <t>#MercadoFinanceiro: A Bolsa de Xangai fechou em baixa de 0,34% e a de Shenzhen caiu 0,13% https://t.co/ciUwApeNK2</t>
  </si>
  <si>
    <t>#MercadoFinanceiro; Na China, a Bolsa de Xangai registrou ganho de 0,12%, em 3.082,24 pontos, e a de Shenzhen, de menor abrangência, subiu 0,49%, a 1.999,29 pontos. 
https://t.co/OGFcaZq24i</t>
  </si>
  <si>
    <t>#MercadoFinanceiro: Bolsas da Ásia e Pacífico fecham majoritariamente em baixa, após PIB chinês decepcionar
https://t.co/VUnkSeSVuN</t>
  </si>
  <si>
    <t>#MercadoFinanceiro: Às 9h42 desta terça-feira, o dólar à vista caía 0,63%, a R$ 4,9473 https://t.co/X3aKZyuHXB</t>
  </si>
  <si>
    <t>#MercadoFinanceiro: Bolsas da Ásia fecham mistas, após NY estender ganhos e em meio a preocupação com China
https://t.co/zwKgoPg2iw</t>
  </si>
  <si>
    <t>#MercadoFinanceiro: Às 11h54, o Ibovespa subia 1,01%, aos 115.580,83 pontos https://t.co/7o4cexapkU</t>
  </si>
  <si>
    <t>#MercadoFinanceiro: Moeda americana teve mínima a R$ 4,8638 e máxima a R$ 4,9079 nesta sexta-feira (11)
https://t.co/lwjyJndtit</t>
  </si>
  <si>
    <t>#MercadoFinanceiro:Às 9h29, o dólar à vista subia 1,13%, aos R$ 4,8598. O dólar para setembro ganhava 0,98%, aos R$ 4,8885.
https://t.co/2YTYEzq5K7</t>
  </si>
  <si>
    <t>#MercadoFinanceiro: A Bolsa de Xangai fechou em queda de 1,34%, em 3.078,40 pontos, e a de Shenzhen, de menor abrangência, caiu 1,96%, para 1.901,85 pontos. 
https://t.co/bxgbr0vVId</t>
  </si>
  <si>
    <t>#mercadoFinanceiro: Na China, a Bolsa de Xangai fechou em baixa de 0,82%, em 3.150,13 pontos, e a de Shenzhen, de menor abrangência, caiu 0,95%, a 2.058,30 pontos.
https://t.co/6UvA008j6f</t>
  </si>
  <si>
    <t>#MercadoFinanceiro: Liderando as perdas na Ásia, o japonês Nikkei caiu 1,68% em Tóquio hoje, a 32.159,28 pontos, enquanto o Hang Seng recuou 0,49% em Hong Kong. https://t.co/jfOJrDRObT</t>
  </si>
  <si>
    <t>#MercadoFinanceiro: Na China, a Bolsa de Xangai fechou em alta de 1,13%, em 3.098,64 pontos.
https://t.co/kHolGNixrl</t>
  </si>
  <si>
    <t>#MercadoFinanceiro: A moeda norte-americana registrou mínima aos R$ 4,8748 (baixa de 0,46%) no mercado à vista. 
https://t.co/lEGRTSqdcB</t>
  </si>
  <si>
    <t>#MercadoFinanceiro: Nos mercados chineses, o Xangai Composto subiu 0,46%, a 3.291,04 pontos https://t.co/xCEHKDXbGN</t>
  </si>
  <si>
    <t>#MercadoFinanceiro: Bolsas da Ásia fecham mistas, antes de CPI dos EUA e com fatores geopolíticos e técnicos
https://t.co/ED5Y6Dynfx</t>
  </si>
  <si>
    <t>#MercadoFinanceiro: A Bolsa de Xangai fechou em alta de 1,20%, em 3.135,89 pontos. 
https://t.co/e18EokxRU3</t>
  </si>
  <si>
    <t>#MercadoFinanceiro: Na China continental, os mercados tiveram perdas mais contidas: o Xangai Composto recuou 0,89%, a 3.261,69 pontos, e o menos abrangente Shenzhen Composto caiu 0,28%, a 2.056,06 pontos. 
https://t.co/jF1TlhQavN</t>
  </si>
  <si>
    <t>#MercadoFinanceiro: Na China, a Bolsa de Xangai fechou em baixa de 0,71%, a 3.154,37 pontos. 
https://t.co/lPf9JaPYzH</t>
  </si>
  <si>
    <t>#MercadoFinanceiro: O índice japonês Nikkei subiu 0,10% em Tóquio, a 32.192,75 pontos, e o Hang Seng avançou 0,61% em Hong Kong, a 19.539,46 pontos.
https://t.co/XBEbqjSbKy</t>
  </si>
  <si>
    <t>#MercadoFinanceiro A perspectiva de juros elevados por mais tempo tende a diminuir a atratividade do metal precioso como ativo seguro. https://t.co/hcNnaOviIt</t>
  </si>
  <si>
    <t>#MercadoFinanceiro: A Bolsa de Xangai fechou em queda de 1,00%, em 3.131,95 pontos, na mínima do dia, e a de Shenzhen, de menor abrangência, caiu 1,72%, a 1.950,26 pontos. 
https://t.co/QcfBLjuyas</t>
  </si>
  <si>
    <t>#MercadoFinanceiro: Ibovespa fecha semana em baixa, com 118.065,14 pontos
https://t.co/OhFYo2OGxE</t>
  </si>
  <si>
    <t>#MercadoFinanceiro: O sistema de pagamentos ultrapassou em dois anos o número de transações registradas nos cartões de débito. https://t.co/N2DLauKMj1</t>
  </si>
  <si>
    <t>#MercadoFinanceiro: IA e gêmeos digitais vão liderar inovação em pesquisa climática
https://t.co/99PFZTlcko</t>
  </si>
  <si>
    <t>#MercadoFinanceiro: Bolsas da Ásia fecham em alta, após CPI dos EUA e sinal de apoio da China a setor de tecnologia
https://t.co/UeqFuannNp</t>
  </si>
  <si>
    <t>#MercadoFinanceiro: Os negócios em Tóquio registraram particular pressão, com o índice Nikkei em baixa de 1,16%, a 32.606,84 pontos. https://t.co/MM25EMuQ8Y</t>
  </si>
  <si>
    <t>#MercadoFinanceiro: A Bolsa de Xangai fechou em alta de 0,43%, em 3.163,74 pontos, e a de Shenzhen, de menor abrangência, subiu 0,85%, a 1.984,30 pontos. 
https://t.co/rmVN0Amd11</t>
  </si>
  <si>
    <t>#MercadoFinanceiro: Bolsas da Ásia fecham em baixa, após China deixar principais juros inalterados
https://t.co/rEhMcsCd51</t>
  </si>
  <si>
    <t>#MercadoFinanceiro: Na China continental, os mercados acionários ficaram no vermelho nesta sexta-feira https://t.co/ILa3NCu6t8</t>
  </si>
  <si>
    <t>#MercadoFinanceiro: O índice Hang Seng caiu 1,39% em Hong Kong, a 17.930,55 pontos. 
https://t.co/6wURUqT8Uy</t>
  </si>
  <si>
    <t>#MercadoFinanceiro: Moeda estadunidense fecha terça-feira (19) cotada a R$ 4,8730
https://t.co/85pK42tb3g</t>
  </si>
  <si>
    <t>#MercadoFinanceiro: O PBoC cortou a LPR de 1 ano, de 3,55% a 3,45%, e manteve a de 5 anos, em 4,20%. 
https://t.co/WS2GEyI7Kg</t>
  </si>
  <si>
    <t>#MercadoFinanceiro: Bolsas da Ásia e Pacífico fecham majoritariamente em alta, com ganhos em NY após PPI
https://t.co/9XNiBxlefT</t>
  </si>
  <si>
    <t>#MercadoFinanceiro: Taiex registrou perda de 0,37% em Taiwan, a 16.636,32 pontos. 
https://t.co/k3m2dg2DtA</t>
  </si>
  <si>
    <t>#MercadoFinanceiro: O giro financeiro desta terça-feira (19) ficou um pouco acima do limiar de R$ 20 bilhões, a R$ 21,5 bilhões
https://t.co/YA8ZUp4TtS</t>
  </si>
  <si>
    <t>#MercadoFinanceiro: Melhora das expectativas em torno da economia chinesa deu fôlego aos preços de commodities metálicas
https://t.co/pmulgBR0gd</t>
  </si>
  <si>
    <t>#MercadoFinanceiro: Hang Seng caiu 1,29% em Hong Kong, a 17.655,41 pontos. 
https://t.co/kxHusYETBG</t>
  </si>
  <si>
    <t>#MercadoFinanceiro: Às 9h38 desta terça, o dólar à vista subia 0,71%, aos R$ 4,7633. O dólar para setembro ganhava 0,82%, aos R$ 4,7905.
https://t.co/Hda57d9t5z</t>
  </si>
  <si>
    <t>#MercadoFinanceiro: O índice japonês Nikkei teve alta de 0,92% em Tóquio, a 33.476,58 pontos https://t.co/c9wb08N17c</t>
  </si>
  <si>
    <t>#MercadoFinanceiro: Xangai Composto recuou 0,43%, a 3.102,27 pontos. 
https://t.co/OcdU3YqTF5</t>
  </si>
  <si>
    <t>#MercadoFinanceiro: Às 11h13, o Ibovespa caía 0,18%, aos 119.171,72 pontos https://t.co/D1RlICyP09</t>
  </si>
  <si>
    <t>#MercadoFinanceiro: Na China, a Bolsa de Xangai fechou em baixa de 0,59%, em 3.064,07 pontos, e a de Shenzhen, de menor abrangência, caiu 1,50%, a 1.969,36 pontos. 
https://t.co/gU6TRNqfR8</t>
  </si>
  <si>
    <t>#MercadoFinanceiro: A terceira baixa semanal da moeda estadunidense acumula uma queda de 1,23% em julho. chegando a descer de R$ 4,70 pela manhã
https://t.co/i7nsUDKhuS</t>
  </si>
  <si>
    <t>#MercadoFinanceiro: O Índice oscilou entre mínima 119.706,26 e máxima 120.660,21, e tem avanço de 1,78% no mês de julho
https://t.co/526GxBAopU</t>
  </si>
  <si>
    <t>#JorgeBacaCampodonio  |  La curva de Phillips, en #Macroeconomía, muestra la relación entre la #tasadedesempleo y la #inflación. La evidencia empírica muestra que, por lo general, estas dos variables tienen una correlación negativa...
#CASER 
https://t.co/F5kMHcIW0w</t>
  </si>
  <si>
    <t>📰 MANCHETES DO DIA
#mercado #economia #Politica #mercadofinanceiro https://t.co/hfbK1UDueX</t>
  </si>
  <si>
    <t>Futuros de NY sobem antes da reunião do Fed. Expectativa de pausa nas taxas, mas abertura para aumentos futuros. Inflação global cresce devido ao petróleo. Futuros: Dow Jones +0,22%, S&amp;amp;P +0,22%, Nasdaq +0,18%. BofA eleva previsão S&amp;amp;P 500. #MercadoFinanceiro #Fed #Economia</t>
  </si>
  <si>
    <t>Já leu a Bula do Mercado desta segunda-feira (11)? Sua dose diária de informação sobre o #mercadofinanceiro Leia a Bula: https://t.co/jyYRMgywfW via @LinkedIn</t>
  </si>
  <si>
    <t>Já leu a Bula do Mercado desta sexta-feira? Sua dose diária de informação sobre o #mercadofinanceiro #ibovespa #dólar https://t.co/2oGYP1kr1Z via @LinkedIn</t>
  </si>
  <si>
    <t>Leia a Bula do Mercado desta quinta-feira (13). Sua dose diária de informação sobre o #mercadofinanceiro https://t.co/ixyuGssjq5 via @LinkedIn</t>
  </si>
  <si>
    <t>Leia a Bula do Mercado desta segunda-feira (18). Sua dose diária de informação sobre o #mercadofinanceiro https://t.co/8CtROGDPEa via @LinkedIn</t>
  </si>
  <si>
    <t>Ei, psiu, está sabendo da novidade?! A Bula do Mercado voltou com tudo e agora você também pode receber sua dose diária de informação sobre o #mercadofinanceiro pelo @linkedin Já são mais de 20 mil inscritos na newsletter diária! Assine já! É grátis! https://t.co/HS2HftV6rK</t>
  </si>
  <si>
    <t>Leia a Bula do Mercado desta quinta-feira (21) Sua dose diária de informação sobre o #mercadofinanceiro #mercado #ibovespa #FederalReserve #Fed #copom https://t.co/qMmuhlafki via @LinkedIn</t>
  </si>
  <si>
    <t>Leia a Bula do Mercado. Sua dose diária de informação sobre o #mercadofinanceiro:  https://t.co/GD79gsPLMI via @LinkedIn</t>
  </si>
  <si>
    <t>Leia a Bula do Mercado desta terça-feira (26). Sua dose diária de informação sobre o #mercadofinanceiro  https://t.co/Tc4VBuKmz1 via @LinkedIn</t>
  </si>
  <si>
    <t>Leia a Bula do Mercado desta Super Quarta. Sua dose diária de informação sobre o #mercadofinanceiro https://t.co/HHIFZuNKOd via @LinkedIn</t>
  </si>
  <si>
    <t>Leia a Bula do Mercado desta quinta-feira (28). Sua dose diária de informação sobre o #mercadofinanceiro: #ibovespa #dólar #mercados https://t.co/Rglos8W7T8 via @LinkedIn</t>
  </si>
  <si>
    <t>A primeira #crise a gente nunca esquece: #lehmanbrothers #mercadofinanceiro #mercados #markets #stocks #ibovespa #dolar https://t.co/Ir3NVvTFRg</t>
  </si>
  <si>
    <t>📣 Resultados de la encuesta mensual de expectativas económicas IMEF en septiembre 2023:
👉🏻 https://t.co/8kcxvFkqmc
#PIB #Inflación #Empleo #TipodeCambio #Macroeconomía https://t.co/JilsoMYOf0</t>
  </si>
  <si>
    <t>Conheça as famosas Gregas das opções 
#mercadofinanceiro  #opções #vinytrader #B3 https://t.co/C3x9a5upfP</t>
  </si>
  <si>
    <t>Don't anchor to arbitrary price levels.
Assess value, not temporary price fluctuations. 
#investimento #mercadofinanceiro</t>
  </si>
  <si>
    <t>Dados do payroll americano hoje e resultados preliminares do mercado.
https://t.co/vkQu4mYmPG
#payroll #economia #JornadaCapital #Finanças #MercadoFinanceiro  #BolsadeValores #MoneyTimes #InfoMoney #ValorEconômico #Ibovespa #Investingcom #XPInvestimentos #BTGPactual #CNNBrasil https://t.co/xdYh2BYLVO</t>
  </si>
  <si>
    <t>Seja bem-vindo ao Jornada Capital. Mais informações:
https://t.co/RXuuuv87rp
#Finanças #Investimentos #Política #Economia #EconomiaBrasileira #MercadoFinanceiro #TaxaSelic #podcast #Brasil #BolsadeValores #MoneyTimes #InfoMoney #ValorEconômico #BolsaB3 #EducaçãoFinanceira https://t.co/7QaTtFcbKm</t>
  </si>
  <si>
    <t>Depois de 3 anos, o Banco Central do Brasil decidiu reduzir a #TaxaSelic em 0.5 pontos percentuais. Leia mais em: 
https://t.co/0wiPSZ2zK8
#JornadaCapital #Finanças #Investimentos #Política #Economia #MercadoFinanceiro #XPInvestimentos #Brasil  #BolsadeValores #Copom #Bolsa https://t.co/GVSPeb09FW</t>
  </si>
  <si>
    <t>Reed Jobs e sua nova missão com o fundo de Venture Capital “Yosemite”. Leia mais em:
https://t.co/dA1uJVi8Rx
#ReedJobs #Yosemite #JornadaCapital #Finanças #Investimentos #Política #Economia #EconomiaBrasileira #MercadoFinanceiro #TaxaSelic #Brasil  #BolsadeValores https://t.co/o1sixHrqXq</t>
  </si>
  <si>
    <t>ESTUDO XAUUSD (ESQUECI DE PRINTA NO DIA QUE ABRIR) #forex #forextrading #MercadoCambiario #mercadofinanceiro https://t.co/Gh1nGnOPtb</t>
  </si>
  <si>
    <t>ESTUDO EURUSD #forex #forextrading #MercadoCambiario #mercadofinanceiro https://t.co/70mNRTqULV</t>
  </si>
  <si>
    <t>LOOK AT HIM, VENDIDO EM USDCAD #forex #forextrading #MercadoCambiario #mercadofinanceiro #forexprofit #forexstrategy #B3 #bolsadevalores #investimento https://t.co/xCjhXRGHKD</t>
  </si>
  <si>
    <t>ESTUDO EURUSD TIME: M2 #forex #forextrading #MercadoCambiario #mercadofinanceiro https://t.co/aIXX3LxxJR</t>
  </si>
  <si>
    <t>LOOK AT HIM, EURUSD FINALIZADO COM SUCESSO,  #forex #forextrading #MercadoCambiario #mercadofinanceiro #forexprofit #forexstrategy #B3 #bolsadevalores #investimento https://t.co/Vy7Y53QYUF</t>
  </si>
  <si>
    <t>RT @Ricamconsult: Todo tipo de ativo financeiro oscila. Quando você ouvir falar sobre qualquer investimento que só se valoriza sempre, CUID…</t>
  </si>
  <si>
    <t>50% for needs, 20% for savings and debt, 30% for wants.
Get in Touch: @PARASBEHL7
Explore our expertise in:
Stocks | PMS | AIF | Mutual Funds | Startup Investments
#finance #liberdadefinanceira #personalfinance #mercadofinanceiro #finances #educacaofinanceira #ipo #refinance https://t.co/n8mNzOb2w8</t>
  </si>
  <si>
    <t>💼 Excess No More? Dwindling Pandemic Savings
En este reciente estudio (Abdelrahman y Oliveira 2023), se analizan los patrones de ahorro de los hogares por la pandemia. #Macroeconomía
✍Los hogares acumularon rápidamente niveles sin precedentes de ahorro excesivo, definido como… https://t.co/3i0O4hrYvr</t>
  </si>
  <si>
    <t>📊 Perspectivas econômicas para 2023 - André Esteves e Roberto Sallouti - #BTGTalks 2023. 👏📽️#Economia #mercado #mercadofinanceiro https://t.co/FJWwjkJ6zu</t>
  </si>
  <si>
    <t>3. Mantemos o hábito de dialogar com diversas pessoas relacionadas às empresas e ao setor, pois compreendemos a relevância desse contato direto para nosso crescimento e entendimento do mercado. #investimentos #kleplerweber #agro #empresas #mercadofinanceiro #fintwit https://t.co/OAvsGACwZF</t>
  </si>
  <si>
    <t>2. A visita teve a finalidade de vermos os avanços tecnológicos no ramo de segurança e conversarmos com as principais empresas que prestam esse tipo de serviço no Brasil como o Grupo GPS e Verzani &amp;amp; Sandrini.
#investimentos #SFA #empresas #segurança #mercadofinanceiro #fintwit https://t.co/d1h1vLQM1s</t>
  </si>
  <si>
    <t>#Macroeconomia #Financeira
Tenho oferecido alguns cursos #online sobre #modelos #DSGE. O próximo será sobre a interação entre finanças e a (macro)economia. Se quiser mais informações, deixe o seu e-mail nos comentários (ou por mensagem privada). https://t.co/joKbPfOBHP</t>
  </si>
  <si>
    <t>Este semestre, volto a ministrar #Macroeconomia para os alunos do 1o ano do curso. É sempre fascinante apresentar a área para quem acabou de ingressar na faculdade. Os materiais ficarão disponíveis aqui: https://t.co/wNqZjfzMWz https://t.co/9jruw8SEWL</t>
  </si>
  <si>
    <t>#mentoria   #mentoring   #mercadofinanceiro   #mestrado   #metaverso   #minasgerais https://t.co/rlk3qSqx7X</t>
  </si>
  <si>
    <t>Mercado prevê PIB de 2,24% este ano
#BancoCentral #PIB #MercadoFinanceiro #Câmbio #Juros #selic #Pactu #PactuBancários #seebumuarama #Umuarama 
https://t.co/AYoKS92o2m https://t.co/7yaBFallWK</t>
  </si>
  <si>
    <t>Me prometeram que a bolsa ia subir depois do corte de juros 😭😭😭😭😭
#ibovespa #mercadofinanceiro #juros https://t.co/TeqRUYP4sx</t>
  </si>
  <si>
    <t>RT @ValoraAnalitik: #Macroeconomía | Gobierno de Estados Unidos no cree que sea hora de renegociar TLC con Colombia
https://t.co/R3DtfaZVk…</t>
  </si>
  <si>
    <t>@Boghosian fala sobre um bom trade de cripto: Solana de US$8 para US$250, para US$12. Qual foi seu melhor trade? #cripto #mercadofinanceiro https://t.co/PxAF86C5Ah</t>
  </si>
  <si>
    <t>Você concorda com essas características? Adicionaria mais alguma? #mercadofinanceiro #mesa #everest #medo
Opinião por: @alexcabral71 https://t.co/Dkn0uvijJM</t>
  </si>
  <si>
    <t>“Errar faz parte”. Você também tem essa percepção em relação aos trades? #trader #errar #MercadoFinanceiro 
Opinião por: @Tatobarros https://t.co/efeHitFB5i</t>
  </si>
  <si>
    <t>“Opções são como seguros”. O que você achou do exemplo dado? Você usa as opções de venda? 
Baixe o app do TC e confira o que os usuários estão conversando sobre opções em tempo real. Clique aqui: https://t.co/1cczQWWI8k
#finanças #mercadofinanceiro #PUT
Opinião por: @luizferoxo https://t.co/nwuUjZ0sK8</t>
  </si>
  <si>
    <t>O que trouxe você para o mundo dos investimentos? #finanças #mercadofinanceiro
Opinião por: @jaquerofinancas https://t.co/q0f1Fg6V6R</t>
  </si>
  <si>
    <t>Como você trabalha a insatisfação? #cobrança #mercadofinanceiro
Opinião por: @PoenoBolso https://t.co/pM9tpurw51</t>
  </si>
  <si>
    <t>"Achei que o mundo ia acabar!" 
@moises_Beida no TC on the Rocks.
#Mercadofinanceiro #investimentos #dinheiro #b3 https://t.co/NG6lCv3tfz</t>
  </si>
  <si>
    <t>O CEO do TC, @albuquerque_af, conta como foi seu trade mais épico. O que achou do fato apresentado? #trade #corona #mercadofinanceiro https://t.co/goViJ26VVl</t>
  </si>
  <si>
    <t>2-10) A análise gráfica pode ser uma aliada poderosa para tomar decisões mais fundamentadas no mercado de ações. Ela não oferece garantias, mas ajuda a compreender melhor a dinâmica dos preços e a identificar oportunidades e riscos. 🧐 #MercadoFinanceiro"</t>
  </si>
  <si>
    <t>As tensões geopolíticas relacionadas a materiais críticos aumentaram em junho de 2023.
Leia mais em https://t.co/tOP8hZCLZJ
#BrasilMineral #MercadoFinanceiro #Mineração</t>
  </si>
  <si>
    <t>#MarcoMori #Macroeconomia https://t.co/VVXNcbjzRs #MarioDraghi</t>
  </si>
  <si>
    <t>Rotación de sectores, debido al cambio en el ciclo económico.
#macroeconomia #macrofinanzas</t>
  </si>
  <si>
    <t>No mercado de baixa, evite tomar decisões precipitadas. 🐻 Pense duas vezes e estude sobre o mercado.
#criptomoedas #mercadofinanceiro #Crypto #CoinEx #cripto</t>
  </si>
  <si>
    <t>💡 Entender los conceptos básicos de la macroeconomía es esencial para comprender cómo funcionan las economías a nivel nacional e internacional. #Macroeconomía #EducaciónFinanciera</t>
  </si>
  <si>
    <t>Day trade não e fácil 🚀🔥
Acompanhe o video completo da minha história no youtube 
#daytrader #miniindice #minidolar #mercadofinanceiro #bolsadevalores https://t.co/k7LbSET6Pr</t>
  </si>
  <si>
    <t>Sextou meta batida 14/07
#ibov #trends #Twitter #mercadofinanceiro https://t.co/YofWVlEL3B</t>
  </si>
  <si>
    <t>Meta batida hoje com alunos 🔥🚀#daytrade #miniindice #minidolar #bolsadevalores #mercadofinanceiro #meta https://t.co/p6qXXGShGm</t>
  </si>
  <si>
    <t>Aluno nosso batendo meta hoje 
#daytrader #trader #miniindice #minidolar #mercadofinanceiro #b3 #bolsadevalores #dolar #indice https://t.co/Pw0VDEFrdE</t>
  </si>
  <si>
    <t>Acredite em seus sonhos 
#daytrader #trader #miniindice #minidolar #b3 #ibov #ibovespa #mercadofinanceiro #indice #dolar https://t.co/TIIk1fR0mn</t>
  </si>
  <si>
    <t>Meta batida hj 11/07 
#daytrade #trader #mercadofinanceiro #b3 #bolsadevalores #miniindice #minidolar #ibov #ibovespa https://t.co/1e1uVvofHu</t>
  </si>
  <si>
    <t>Real ✅
#ibov #ibovespa #b3 #miniindice #minidolar #indice #dolar #wdofut #winfut #daytrade #mercadofinanceiro  #bolsadevalores #trader https://t.co/hFgYC375Ie</t>
  </si>
  <si>
    <t>Meta batida 26/07
#ibov #ibovespa #miniindice #minidolar #dolar #indice #wdofut #winfut #bolsadevalores #mercadofinanceiro #metabatida #b3 https://t.co/kHpQrMxlwI</t>
  </si>
  <si>
    <t>Meta batida hoje 
#ibov #ibovespa #miniindice #minidolar #dolar #dolarfuturo #wdofut #mercadofinanceiro #bolsadevalores https://t.co/TohlJtz8zO</t>
  </si>
  <si>
    <t>Video novo no nosso canal 
Você sabe o que é day trade?
https://t.co/PrXzwPQczo
#miniindice #minidolar #b3 #mercadofinanceiro #trader #ibov #ibovespa #daytrade https://t.co/iTJqGIhe6y</t>
  </si>
  <si>
    <t>ÚLTIMA HORA |🚨
Foot Locker se hundían un 33,1% en la Bolsa neoyorquina, una hora después de la apertura de sesión, tras anunciar otro trimestre de caída de ventas y recortar sus perspectivas por segunda vez este año.
#footlocker #mercadofinanceiro #Economia https://t.co/moQn4DdSID</t>
  </si>
  <si>
    <t>RT @tcinvestimentos: “Escolha uma ação e compre sem olhar o preço”. Você tem apetite para risco? #ações #mercadofinanceiro
Opinião por: Jan…</t>
  </si>
  <si>
    <t>Enquanto eles falam, você constrói.
#Dividendos
#Investimentos
#Ações
#RendaPassiva
#Investidores
#FinançasPessoais
#BolsadeValores
#IndependênciaFinanceira
#MercadoFinanceiro
#EducaçãoFinanceira https://t.co/FFZbPItQy8</t>
  </si>
  <si>
    <t>💼💹 ¿Has escuchado que el Trading es la manera más difícil de hacer dinero? ¡Déjame decirte que también es una gran oportunidad! 
#mercadofinanceiro #profit #ethereum #bitcoinmining #traders #motivation #forexlife #dinheiro #forexmarket #financialfreedom #bitcoins #binary https://t.co/IHD9CvKNzC</t>
  </si>
  <si>
    <t>Esse silêncio é assustador!  Baixa volatilidade pode indicar uma calmaria momentânea, mas, essa quietude pode ser o sossego antes da tempestade! Não sabemos a direção para onde isso explode... bearish por favor📈💨 #MercadoFinanceiro #Volatilidade</t>
  </si>
  <si>
    <t>Vamos de imposto novo?
Qual a sua opinião? Vai melhorar ou piorar a nossa vida?
#bolsadevalores #mercadofinanceiro #macroeconomia #investimentos https://t.co/9Y9atMO8XS</t>
  </si>
  <si>
    <t>Reforma tributária impulsiona otimismo em Brasília e inflação nos EUA é destaque da semana. Mantenha-se atualizado sobre os movimentos do mercado financeiro e as perspectivas econômicas. Assista ao vídeo para obter insights valiosos. #MercadoFinanceiro #miniindice #minidolar https://t.co/HWgFFEO5rS</t>
  </si>
  <si>
    <t>A Sigma Lithium agora pode ser negociada através de BDRs, pelo ticker S2GM34
Que tal comprar antes do Elon Musk?
#mercadofinanceiro #bdr #bolsadevalores #vale3 https://t.co/9GS0DFvrUU</t>
  </si>
  <si>
    <t>iTAU (#itub4) divulga o seu balanço do 2 Trimestre e mostrou como uma boa gestão da carteira de clientes significa lucro!
Setor financeiro respira aliviado!
#mercadofinanceiro #bolsadevalores #daytrade #swingtrade https://t.co/OB4GOeq9mc</t>
  </si>
  <si>
    <t>Tributar empresas para incentivar o desenvolvimento interno historicamente não tem dado muito certo!
Deixar o comércio livre tambem não é o melhor caminho!
#mercadofinanceiro #bolsadevalores #macroeconomia #tributaçãojusta https://t.co/GRNjggYP81</t>
  </si>
  <si>
    <t>Grupo Meta anuncia resultado espetacular e deixa Bilionário mais rico ainda!|
Sabe de quem estamos falando?
#mercadofinanceiro #bolsadevalores #meta #M1TA34 https://t.co/Ebt79oxgIS</t>
  </si>
  <si>
    <t>PIX nos EUA? Chegou o Fednow revolução no sistema de pagamentos por lá!
#daytrade #bolsadevalores #mercadofinanceiro #macroeconomia https://t.co/VpcSViGv7d</t>
  </si>
  <si>
    <t>Eles queria derrubar o presidente....
Mas qual é a verdadeira história? E como eles estão hoje em dia?
Algumas histórias devem ser contadas e recontadas até que a verdade apareça....
Conhece mais alguma história desse tipo? Conta pra gente!
#mercadofinanceiro #bolsadevalores https://t.co/DCqgfsz3mS</t>
  </si>
  <si>
    <t>Agora a #petr4 vai pagar menos dividendos
Menos dividendo, gasolina mais barata, defasagem com o preço internacional....
Tem algo de errado que não está certo!
#mercadofinanceiro #bolsadevalores #daytrade #swingtrade https://t.co/IGhyBsmrv2</t>
  </si>
  <si>
    <t>ELETROBRAS (#elet6) divulgou o seu balanço do 2Trimestre e trouxe um resultado que mostra se valeu a pena ou não a privatização! 
Qual a sua opnião?
#mercadofinanceiro #bolsadevalores #eletrobras #swingtrade #ações https://t.co/DsRS4PfGpS</t>
  </si>
  <si>
    <t>Será o fim do dólar? Será que o BRICS são o novo eixo do mal?
Será que o Grande Reset chegou?
E nós, fazemos parte desse movimento? 
Quantas perguntas sem respostas.....
#mercadofinanceiro #bolsadevalores #miniindice #swingtrade #daytrade https://t.co/KkR6z52iiK</t>
  </si>
  <si>
    <t>SAF, Sociedade Anônima do Futebol (SAF), agora vai poder emitir ações na bolsa!
E ai, ta pronto para investir no seu time? Entenda como no vídeo!
#SAF #bolsadevalores #mercadofinanceiro https://t.co/gx7oN9NGmD</t>
  </si>
  <si>
    <t>Desenrola Brasil, o programa que promete tirar 1,5 milhões de pessoas da lista dos endividados!
Mas como funciona? Quem tem direito?
Vai ajudar o Brasil?
#bolsadevalores #mercadofinanceiro #daytrade #swingtrade https://t.co/hZJfioR2Co</t>
  </si>
  <si>
    <t>Petrobras deve impulsionar a retomada dos estaleiros cariocas!
#mercadofinanceiro #bolsadevalores #swingtrade #petr4 #petrobras https://t.co/i8rwHcBWSo</t>
  </si>
  <si>
    <t>O Brasil vai ser o Mega Produtor e exportador de carros elétricos?
Entenda pq no vídeo e me diga se concorda....
#bolsadevalores #mercadofinanceiro #byd #daytrade #swingtrade https://t.co/GtLZ8mWtPd</t>
  </si>
  <si>
    <t>E começou a temporada de balanço nos EUA!
Os resultados vão mostrar como anda a economia por lá!
#mercadofinanceiro #bolsadevalores #swingtrade #daytrade https://t.co/Bna0bkgHdU</t>
  </si>
  <si>
    <t>123Milhas acabou? Deu o calote?
Saiba o que você pode fazer se está tendo problemas com essa empresa
#bolsadevalores #mercadofinanceiro #123milhas https://t.co/wMDSvflVdU</t>
  </si>
  <si>
    <t>Petróleo, héroi ou vilão? Para a inflação, vilão!
O Antes da Boletada traz de forma simples e descomplicada as perspectivas sobre o que vai acontecer no Day Trade! 
#mercadofinanceiro #bolsadevalores #miniindice #minidolar https://t.co/4JW4zvzOeq</t>
  </si>
  <si>
    <t>Selic agora em 13,25%
Mas como isso impacta no nosso dia a dia?
#mercadofinanceiro #selic #copom #bolsadevalores https://t.co/IMMOQ21vRw</t>
  </si>
  <si>
    <t>O Antes da Boletada traz de forma simples e descomplicada as perspectivas sobre o que vai acontecer no Day Trade nessa Sexta, 14 de julho de 2023.
Mercados atentos aos dados econômicos: Varejo no Brasil e expectativas nos EUA
#mercadofinanceiro #daytrade #swingtrade #miniindice https://t.co/Wdq4OXOA3G</t>
  </si>
  <si>
    <t>o Real digital....
Aos poucos vai dando as caras, vai mostrando como será implementado, as suas funcionalidades!
E ai, já conhece sobre o real digital?
#mercadofinanceiro #bolsadevalores #miniindice #minidolar #daytrade #swingtrade https://t.co/ooAR0Sh3xm</t>
  </si>
  <si>
    <t>A volta do investidor americano.... Ele vio para investir ou para pegar o restante do capital e ir embora?
O Antes da Boletada traz de forma simples e descomplicada as perspectivas sobre o que vai acontecer no Day Trade! 
#mercadofinanceiro #bolsadevalores #miniindice #minidola https://t.co/bgdERJ79U6</t>
  </si>
  <si>
    <t>O Bradescao (#BBDC4) acabou de soltar os resultados do 2º trimestre e olha só o que rolou #Finanças #Bradesco #ResultadosTrimestrais #MercadoFinanceiro https://t.co/ZLWP5XmUr3</t>
  </si>
  <si>
    <t>Após o G20 mercado volta os olhares para a China!
O Antes da Boletada traz de forma simples e descomplicada as perspectivas sobre o que vai acontecer no Day Trade! 
#mercadofinanceiro #bolsadevalores #miniindice #minidolar https://t.co/LiFtUr9U5T</t>
  </si>
  <si>
    <t>Realmente o Brasil não é para amadores!
Com mais esse imposto estamos indo para quase metade do ano sendo trabalhado só para pagar impostos!
Mais do que nunca tá na hora de repensar a CLT! 
#mercadofinanceiro #bolsadevalores #daytrade #swingtrade https://t.co/vQAR81QOm1</t>
  </si>
  <si>
    <t>Será o fim do JCP?
E agora o que será dos investidores? PAra tudo tem solução, assista o vídeo e veja o que está acontecendo!
#mercadofinanceiro #bolsadevalores #ações #swingtrade #dividendos https://t.co/VNUKCjqcI1</t>
  </si>
  <si>
    <t>Uber nunca deu lucro! Sério, nunca deu lucro operacional!
Mas entenda porque mesmo com lucro as ações cairam no dia de hoje!
#mercadofinanceiro #bolsadevalores #u1be34 https://t.co/xkhxyhmFUw</t>
  </si>
  <si>
    <t>Em semana de feriados é hora de ver as reações ao PIB e ao Payroll 
O Antes da Boletada traz de forma simples e descomplicada as perspectivas sobre o que vai acontecer no Day Trade! 
#mercadofinanceiro #bolsadevalores #miniindice #minidolar https://t.co/d6Y6KUlGgQ</t>
  </si>
  <si>
    <t>E ai... Estou curioso em saber a sua opnião!!!!
#mercadofinanceiro #swingtrade #daytrade https://t.co/wy3n6Z2Smi</t>
  </si>
  <si>
    <t>Um filme ou uma estratégia de negócios para reviver uma lenda?
A Mattel já fez muito lucro com a boneca Barbie e agora com o lançamento do novo filme promete reviver tempos áureos!
#mercadofinanceiro #mattel #bolsadevalores #ações https://t.co/DQ3WARRkOE</t>
  </si>
  <si>
    <t>Com a China fraca como ficam nossas exportações?
O Antes da Boletada traz de forma simples e descomplicada as perspectivas sobre o que vai acontecer no Day Trade! 
#mercadofinanceiro #bolsadevalores #miniindice #minidolar https://t.co/S6rCjivISW</t>
  </si>
  <si>
    <t>Juros, o remédio que pode matar o paciente!
O Antes da Boletada traz de forma simples e descomplicada as perspectivas sobre o que vai acontecer no Day Trade! 
#mercadofinanceiro #bolsadevalores #miniindice #minidolar https://t.co/Qf1FZm1nJT</t>
  </si>
  <si>
    <t>E agora? Será que vai conseguir taxar as grandes fortunas? Os dividendos?
#mercadofinanceiro #bolsadevalores #daytrade https://t.co/5ZdlLHAFTx</t>
  </si>
  <si>
    <t>Existem três tipos de pessoas no mercado financeiro!
E cada um se identifica mais com um com outro!
O importante é saber quem é você e buscar os ativos ou as operações que façam mais sentido pra ti!
#mercadofinanceiro #investimentos https://t.co/Iy6spFkfAQ</t>
  </si>
  <si>
    <t>Uber fora do Brasil?
O Antes da Boletada traz de forma simples e descomplicada as perspectivas sobre o que vai acontecer no Day Trade! 
#mercadofinanceiro #bolsadevalores #miniindice #minidolar https://t.co/yxvsPCJyhK</t>
  </si>
  <si>
    <t>DREX, a moeda digitam do banco central, o chamado real digital!
👉Será que essa moeda vai pegar?
#mercadofinanceiro #swingtrade #bolsadevalores https://t.co/WEYJ080vMu</t>
  </si>
  <si>
    <t>Semana de Super Quarta! Atenção Redobrada!
O Antes da Boletada traz de forma simples e descomplicada as perspectivas sobre o que vai acontecer no Day Trade! 
#mercadofinanceiro #bolsadevalores #miniindice #minidolar https://t.co/HUopWpRYm7</t>
  </si>
  <si>
    <t>China, Inflação e Impactos no Mercado
O Antes da Boletada traz de forma simples e descomplicada as perspectivas sobre o que vai acontecer no Day Trade! 
#mercadofinanceiro #bolsadevalores #miniindice #minidolar https://t.co/v3Pa1tI6M7</t>
  </si>
  <si>
    <t>Já dá para pedir música 4 vezes no fantástico!
E ai de quem é a culpa? O que está acontecendo?
Dessa vez é você quem vai dizer!
#mercadofinanceiro #bolsadevalores #b3 https://t.co/Cl9ff4c33R</t>
  </si>
  <si>
    <t>E começa a super quarta! Primeiro dia de reuniões!
O Antes da Boletada traz de forma simples e descomplicada as perspectivas sobre o que vai acontecer no Day Trade! 
#mercadofinanceiro #bolsadevalores #miniindice #minidolar https://t.co/TViNLzSX4d</t>
  </si>
  <si>
    <t>Me fala sinceramente....
Você ainda acredita que vai se aposentar pelo INSS e ter uma vida digna?
#rendavariavel #investimentosinteligentes #mercadofinanceiro https://t.co/fZu44RCjpa</t>
  </si>
  <si>
    <t>A sua história é única! Nunca permita que ninguém, nem mesmo você a compare com qualquer outra história!
Dê a você o tempo necessário para ter os resultados, e siga evoluindo!
#mercadofinanceiro #investimentos #pensamentodoinvestidor https://t.co/uPomKJNra7</t>
  </si>
  <si>
    <t>É hoje! Decisão da taxa de juros aqui e nos EUA! Atenção triplicada!
O Antes da Boletada traz de forma simples e descomplicada as perspectivas sobre o que vai acontecer no Day Trade! 
#mercadofinanceiro #bolsadevalores #miniindice #minidolar https://t.co/UMqrsfvHdz</t>
  </si>
  <si>
    <t>Chegou o final do mês e bateu o medo de olhar os resultados?
Pare agora mesmo de ter esse medo! Veja no vídeo como superar esse medo!
#mercadofinanceiro #swingtrade #b3 https://t.co/DN2Ic7ATl8</t>
  </si>
  <si>
    <t>A serenidade no olhar de quem faz o que ama e não trocaria essa vida por nada! 
.
Aff 🥰
.
#mulheresnabolsa #mercadofinanceiro #bolsadevalores #miniindice #elaetrader #rico https://t.co/Nde5QekDy4</t>
  </si>
  <si>
    <t>🚨🚨 ATENÇÃO 🚨🚨
.
Este é meu único perfil e não ofereço nenhum tipo de investimento! 
.
Não caiam nesse golpe! 
.
.
#mercadofinanceiro #ibovespa #mulheresnabolsa #mercadofuturo #ibov https://t.co/3z08LhNBjd</t>
  </si>
  <si>
    <t>Monitorar a gradação do desmatamento do Cerrado, bioma que tem perdido áreas para o cultivo de soja, é algo que já vem sendo reportado por especialistas. 
https://t.co/74Ih12qdMX #reporterbrasilia #soja #cerrado #agronegocio #mercadofinanceiro #desmatamento #grilagem</t>
  </si>
  <si>
    <t>RT @leiamoneytimes: Temporada de leilões de imóveis por bancos esquenta; vale a pena comprar nessas operações?
#imoveis #mercadofinanceiro…</t>
  </si>
  <si>
    <t>4/8 @jraixelamarkets nos hace un breve resumen de #macroeconomia, nos explica la bicotomia actual de los #mercados terminando su exposición con "cuando abramos los ojos y veamos que el pais de las #maravillas no existe y todo se puede transformar en, quizas, una dura #realidad" https://t.co/McRW7WMXHU</t>
  </si>
  <si>
    <t>RT @ValoraAnalitik: #Macroeconomía | La DIAN junto a la Comisión Nacional del Servicio Civil adelantan un proceso de pruebas para que colom…</t>
  </si>
  <si>
    <t>COPOM 
📈 Diretoria do BC reduz a Selic em 0,50%, colocando a taxa básica de juros para o patamar de 13,25% ao ano. #COPOM #Selic #ReduçãoDeJuros #TaxaBásicaDeJuros #BC #Economia #MercadoFinanceiro #Brasil #AnáliseEconômica #PolíticaMonetária #TaxaDeJuros #EconomiaBrasileira</t>
  </si>
  <si>
    <t>RT @ValoraAnalitik: #Macroeconomía | Ministro Bonilla advierte: por aumento del petróleo, gasolina podría subir hasta $16.000
@MinHacienda…</t>
  </si>
  <si>
    <t>Ele se tornou um símbolo de resiliência e determinação, inspirando muitos a desafiar o status quo. Alguns o admiravam; outros o desprezavam. Mas ninguém pode negar seu impacto no mundo das finanças e no cenário global.
#mercadofinanceiro #investidor #GeorgeSoros</t>
  </si>
  <si>
    <t>RT @negocios_tv: Falsedades en el mercado del oro: las razones por las que no puede subir ni bajar mucho. Iturralde
#trading #bolsadevalo…</t>
  </si>
  <si>
    <t>#ibov #dolar #saldoestrangeiro #mercadofinanceiro https://t.co/dHGvtQTIT8</t>
  </si>
  <si>
    <t>Depois de um bom tempo ajustando a posição e passando calor, a realização veio.
Agora de olho na retração de 50% para pensar em compras.
#ibov #dolar #mercadofinanceiro #estrategiafox https://t.co/pMTImMJ9Jz</t>
  </si>
  <si>
    <t>#ibov #dolar #mercadofinanceiro https://t.co/fTMddA8wsl</t>
  </si>
  <si>
    <t>Esses foram os melhores trades da semana aqui na plataforma SonarTrade. Você já usa o App? Talvez seja exatamente o que está faltando para alavancar os seus investimentos.
#SonarTrade #Investimentos #FinançasPessoais #EducaçãoFinanceira #Diversificação #MercadoFinanceiro https://t.co/uJttH82Lic</t>
  </si>
  <si>
    <t>Já usa o SonarTrade?
#SonarTrade #Investimentos #FinançasPessoais #EducaçãoFinanceira #Diversificação #MercadoFinanceiro #SucessoFinanceiro #trading #trader #swingtrade
6 d https://t.co/3srNRV208N</t>
  </si>
  <si>
    <t>Sabemos que resultado passado não é certeza de ganho futuro, mas que aqui estamos segurando bons resultados, estamos e muito bem!
E você? Já assinou? Link na bio
#SonarTrade #SonarTradeLion #Lion #Trading #DayTrade #SwingTrade #gain #finanças #mercadofinanceiro #ibov #ibovespa https://t.co/bW6wvlPfOX</t>
  </si>
  <si>
    <t>Os melhores trades da semana por aqui foram esses. E aí, teve bom resultado?⁠
⁠
Está acompanhando nossos conteúdos?⁠
⁠
#SonarTrade #Trading #swingtrade #trade #finanças #mercadofinanceiro #ibov #cripto #gain #finance #ibovespa https://t.co/ByaYlCwpHp</t>
  </si>
  <si>
    <t>O sucesso no scalping depende de habilidades, infraestrutura adequada e gestão de risco.⁠ Saiba mais, link na bio.
#SonarTrade #Scalping #finanças #mercadofinanceiro #tradestyle https://t.co/Qtao6mIs95</t>
  </si>
  <si>
    <t>Por aqui fechamos a semana com ótimos resultados. E você?
Já usa o SonarTrade?
#SonarTrade #Investimentos #FinançasPessoais #EducaçãoFinanceira #Diversificação #MercadoFinanceiro #SucessoFinanceiro #trading #trader #swingtrade #fintwit https://t.co/vrhNWuiCgP</t>
  </si>
  <si>
    <t>E se quiser saber mais, acesso nosso blog, temos um artigo inteiro sobre isso. Afinal, boas decisões partem de alguém que se conhece.
#SonarTrade #Investimento #investimentointeligente #finanças #mercadofinanceiro #perfildeinvestimento https://t.co/OH9rgRO8Ww</t>
  </si>
  <si>
    <t>Temos participação especial na live ao vivo no Youtube, da LVL! Confira a nova grade e acompanhe!
#SonarTrade #lvltrading #trading #liveaovivo #finanças #mercadofinanceiro #ibov #cripto #analise #criptomoedas https://t.co/yGx1LDfHYM</t>
  </si>
  <si>
    <t>Se você estava ansioso aguardando as carteiras Absolute 15 e Absolute 30 Benndorf Research, saiba que já estão publicadas no app SonarTrade.
Aproveite!
#SonarTrade #carteirarecomendada #finanças #mercadofinanceiro #ibov #BenndorfResearch https://t.co/Vf3WO93ZkW</t>
  </si>
  <si>
    <t>💡Confira a matéria completa, com vídeo em https://t.co/7RSrwlgOpl
#TaxaDeJuros #BancoCentral #PolíticaMonetária #EconomiaBrasileira #Inflação #DesenvolvimentoEconômico #MercadoFinanceiro #CenárioEconômico #Investimentos
#EstabilidadeFinanceira https://t.co/3m3gXhsQrD</t>
  </si>
  <si>
    <t>As Melhores Taxas Do Brasil.
•Tá Com Ton, Tá Com Tudo•
Vem Maximizar O Seu Lucro!!!
💚💚💚💚💚💚💚💚💚
#empreendedorismo #empreender #emprendedores #ton #tacomtontacomtudo #marketing #mercadofinanceiro #ultraton #vendasonline https://t.co/xfJHQ2637W</t>
  </si>
  <si>
    <t>Coloquem nos comentários suas sugestões. Todos serão lidos por nossa equipe.
Conheça nossas assinaturas https://t.co/zL2f9b4PeN
👉 Oferecemos 7 dias de garantia para cancelamento com reembolso integral.
#opções #mercadofinanceiro #bolsadevalores #investimentos https://t.co/wLmNy0TQAG</t>
  </si>
  <si>
    <t>Os pontos de reação das Jumba Walls permitem ao investidor identificar no intraday um momento mais propício para comprar ou vender uma ação, opção, ETF ou mini índice futuro.
Mais informações em https://t.co/LJiNTx3pH7
 #opções #mercadofinanceiro #bolsadevalores #investimentos https://t.co/zYPAenEEvk</t>
  </si>
  <si>
    <t>Você está pronto para revolucionar sua experiência de day trading no Índice Futuro e Dólar Futuro? 🚀🚀🚀 
📆 Participe do lançamento do Jumba Trader nesta quinta (27/07) às 20h30:
https://t.co/59vanwXGN9
#daytrade #opções #mercadofinanceiro #bolsadevalores #investimentos https://t.co/dJ6oEUYE11</t>
  </si>
  <si>
    <t>Hoje às 20h30 você irá descobrir como revolucionar seus resultados no day trade 🚀🚀🚀 
https://t.co/59vanwXGN9
🔥 O JUMBA TRADER foi projetado para day traders que operam Índice Futuro e Dólar Futuro na B3.
#daytrade #mercadofinanceiro #bolsadevalores #investimentos https://t.co/tKuppmnk3G</t>
  </si>
  <si>
    <t>Bora de 🧶!?
1- No dia 03/08, um player montou um ratio em opções do IBOV para o vencimento OUT/23. Trata-se de um ratio, também conhecido como booster. Essa estrutura possui proporções diferentes entre as opções compradas e vendidas. #MercadoFinanceiro #OpçõesIBOV https://t.co/ptDZ1A9yui</t>
  </si>
  <si>
    <t>Yo y mis dos amigos en un crucero cuando vemos que nos llegó el pago de los dividendos:
#dividendo #mercadofinanceiro #Finanzas https://t.co/gmqK6G9bAj</t>
  </si>
  <si>
    <t>@AlencarBraga13 Grande Hamilton de nossa Macro PT  Sorocaba . #GovernoLula #MacroEconomia https://t.co/b5vpKWa0ep</t>
  </si>
  <si>
    <t>A INFLAÇÃO É IGUAL AO ALC00LISMO! #mercadofinanceiro #educaçãofinanceira... https://t.co/yhMUS52v8A via @YouTube</t>
  </si>
  <si>
    <t>Cálculos para dólar futuro! https://t.co/lJUBVcOQlz
#mercadofinanceiro #btg #investing #dolar #ibov #bovespa</t>
  </si>
  <si>
    <t>⚠️ A volatilidade deve permanecer alta nos próximos dias, uma vez que os investidores monitoram de perto a evolução desses indicadores econômicos e os possíveis impactos nas políticas monetárias e fiscais.
#Economia #DólarFuturo #Brasil #IGPM #MercadoFinanceiro #Investimentos</t>
  </si>
  <si>
    <t>DOLAR MASTIGADO!
LIVE NA https://t.co/LDQmcBdIqx às 8:40
QUEM QUISER TIVER DÚVIDAS DO MAIS BÁSICO ATÉ AVANÇADO.
VAMOS CONVERSAR SOBRE MERCADO E UNS INSIGHTS LEGAIS PARA QUEM FICAR LIGEIRO!
BOA NOITE, FIQUEM NA PAZ DE DEUS!
#MercadoFinanceiro
#dolarfuturo
 https://t.co/93BSMcxZva</t>
  </si>
  <si>
    <t>#Macroeconomía | La aversión al riesgo "regresa por la rebaja de la calificación soberana de EEUU" https://t.co/beYOgekxIA a través de @Bolsamania</t>
  </si>
  <si>
    <t>#Macroeconomía | U.S. companies are buying less from China as relations remain tense https://t.co/SYuBnBCQAZ a través de @washingtonpost</t>
  </si>
  <si>
    <t>#Macroeconomía | Biden's New Move Against Chinese Tech https://t.co/op4vBCzXJI a través de @WSJ</t>
  </si>
  <si>
    <t>#Macroeconomía | Wall Street está cantando victoria demasiado pronto: EEUU sigue camino de la recesión https://t.co/ZRmN6bCB5b a través de @BIEspana</t>
  </si>
  <si>
    <t>#Macroeconomía | ¿Funcionan los "Bidenomics"? https://t.co/7KJtY2s35U a través de @CNNEE</t>
  </si>
  <si>
    <t>#Macroeconomía | ¿De dragón rojo a cisne negro? Las cifras y señales de China que inquietan al resto del mundo https://t.co/phM81LlUeO a través de @cincodiascom</t>
  </si>
  <si>
    <t>Valeu, Brasil 🇧🇷 
#firstposition🏆 
#escritórionamochila #sanfrancisco #california 
#googlebrasil #mulhernabolsa #tradesdodia #análisetécnica #análisegráfica #mercadofinanceiro #ibov #ibovespa #bitcoin #btc #winfut #dolfut https://t.co/R1IwIhwQAG</t>
  </si>
  <si>
    <t>📊🙋🏼‍♀️Aquele sorriso de quem acabou de ler os feedbacks sobre VOLUME 👉🏻
#mercadofinanceiro #traderlifestyle #traderlife #daytrade #daytraderbrasil https://t.co/gTyu3DDYzm</t>
  </si>
  <si>
    <t>Te ensino a operar OPÇÕES BINÁRIAS analisando volume financeiro 👊🏻📊💕
#mercadofinanceiro #traderlifestyle #daytrade #daytraderbrasil #iqoptionbrasil #quotex #opcoesbinarias https://t.co/clWMcC5U7w</t>
  </si>
  <si>
    <t>2023 agora sim pode começar, estou pronta 🤩🙌🏻 
#mercadofinanceiro #traderbrasil #daytraderbrasil #traderlifestyle #daytrader #opcoesbinarias #iqoption #iqoptionbrasil https://t.co/fv1mmf7DfE</t>
  </si>
  <si>
    <t>Quando minhas amigas perguntam sobre as novas TENDÊNCIAS 🤭📊💕
#daytrade #traderlifestyle #traderbrasil #traderlife #mercadofinanceiro #forextrader https://t.co/Qsm59DOrXQ</t>
  </si>
  <si>
    <t>VAGAS ABERTAS ✅ 
Espero você na mentoria de Fevereiro 🤩📊
Link na bio 💕
#mercadofinanceiro #daytrade #daytraderbrasil #opcoesbinarias #daytraderlife #traderlifestyle https://t.co/UYxCSjJvpq</t>
  </si>
  <si>
    <t>Expliquei a entrada nos stories 👀
Utilizando leitura de volume e confluência do indicador Volume Pro ✅
#mercadofinanceiro #opcoesbinarias #iqoption #iqoptionbrasil #daytrade #daytraderbrasil https://t.co/QjJkbAkxjU</t>
  </si>
  <si>
    <t>Não é sobre quem GANHA MAIS e sim quem PERDE MENOS ✅
📊 Nem todos os dias no mercado financeiro serão bons e você precisa entender isso!
Como você tem reagido aos dias de Loss por ai?
#mercadofinanceiro #daytrade #daytradebrasil #opcoesbinarias #iqoptionbrasil #traderlifestyl https://t.co/n4HqaIy4cG</t>
  </si>
  <si>
    <t>Mais alguém ? 🤭📊
Domingo à noite já estou de olho no calendário econômico, dessa forma consigo me programar nos melhores horários para operar 👍🏻
#mercadofinanceiro #traderbrasil #traderlifestyle #daytrade https://t.co/JqayQKt35S</t>
  </si>
  <si>
    <t>Nunca mais entre em uma operação antes de usar esses tópicos 📊
Quando abrimos o gráfico, primeiramente precisamos fazer a analise de mercado, ela é essencial para boas operações ✅
Ja salva aí pra não esquecer o CHECKLIST antes de operar 💕
#mercadofinanceiro #traderbrasil https://t.co/tOL4Qv8heS</t>
  </si>
  <si>
    <t>Operação de hoje analisando volume dos candles e auxílio do Indicador VOLUME PRO 💕
Deixa seu like se você também opera com volume 😍
#mercadofinanceiro #traderbrasil #daytraderbrasil #traderlifestyle #iqoptionbrasil #opcoesbinarias https://t.co/D8GENChn48</t>
  </si>
  <si>
    <t>CANDLE CARECA 👩‍🦲⚠️
Os candles que fecham sem PAVIO tem uma alta probabilidade de fazer uma reversão no candle seguinte, ja observaram isso no gráfico?
#mercadofinanceiro #opcoesbinarias #daytrade #traderbrasil #traderlifestyle https://t.co/8QnnIs2oto</t>
  </si>
  <si>
    <t>Mercado financeiro elevaram a projeção de crescimento da economia para este ano, passando de 2,89% para 2,92%.
#PortaliG #MercadoFinanceiro
https://t.co/XcZG64k2Fu</t>
  </si>
  <si>
    <t>Como Warren Buffett Ficou Rico, Variante Tempo #mercadofinanceiro #networking #bitcoin #marketing #investimento https://t.co/4liCCClcxj</t>
  </si>
  <si>
    <t>🔴 #MacroEconomía con Omar Ríos 🌍
"El BRICS Imparable: ¿El FIN del dólar?" 📅 30 de Agosto, 8 pm (CDMX) en YouTube. Con la incorporación de 6 NUEVOS MIEMBROS, ¿cómo cambiará el panorama económico global? 📈
No te lo pierdas: 🔗 https://t.co/pqQDzHIiVE
#BRICS  #Dólar https://t.co/ywDzFVM5Y0</t>
  </si>
  <si>
    <t>No cenário econômico atual, a volatilidade é uma constante. Empresas e investidores enfrentam incertezas em diversas frentes, desde oscilações do mercado financeiro até eventos geopolíticos inesperados. #estaofinanceiros #empresas #mercadofinanceiro
https://t.co/thBebdxxFP</t>
  </si>
  <si>
    <t>Descubra como desbloquear sua Liberdade Financeira de uma vez por todas:
https://t.co/i8OqlzIrwZ
#investir #dolar #mercadofinanceiro #bolsadevalores #investimentos #comoinvestir #financas #finanças #educaçãofinanceira https://t.co/yZoWwLAnuU</t>
  </si>
  <si>
    <t>Alguém conhece esse cara? #mercadofinanceiro https://t.co/TFqizaxo0c</t>
  </si>
  <si>
    <t>Palavras usadas no Mercado Financeiro💵💰📈
Vem conferir!
Nos siga para mais conteúdos no
@BTVAcademy - Escola de inglês
#mercadofinanceiro #finanças #financeiro #contabilidade #ingles https://t.co/U53mfC1cct</t>
  </si>
  <si>
    <t>📣 New Podcast! "18.09.23 Dati Macro - Economia" on @Spreaker #datimacroeconomici #finanza #guadagno #indicezew #indicimanifatturieri #investimenti #investireperguadagnare #ipg #macroeconomia #mercatifinanziari #opportunita #pil #produzione https://t.co/5U9JUD6my9</t>
  </si>
  <si>
    <t>📣 New Podcast! "25.09.23 Macroeconomia settimanale" on @Spreaker #crescita #economia #fondamentali #guadagno #investimenti #ipg #macroeconomia #mercatifinanziari #numeri #opportunita #pil #recessione https://t.co/8Dhflg2HMC</t>
  </si>
  <si>
    <t>Nossas soluções de pagamento ajudam você a escalar seu negócio online.
- Integração Flexível
- Customização
- Pagamentos B2B
Acesse nosso site e fale com nossa equipe! 
#raspay #fintechs #meiosdepagamento #pix #mercadofinanceiro #criptomoedas #formasdepagamento https://t.co/QYUhHze9DG</t>
  </si>
  <si>
    <t>#Macroeconomía. Definición y concepto. https://t.co/LOpKTocIcA</t>
  </si>
  <si>
    <t>RT @ValoraAnalitik: #Macroeconomía | Esto debería pasar en Colombia para que el PIB del 2023 crezca al 2 %
@petrogustavo @LuisFerMejia 
h…</t>
  </si>
  <si>
    <t>RT @ValoraAnalitik: #Macroeconomía |  Expertos señalan que pobreza monetaria debió haber caído más en 2022, debido al crecimiento de la eco…</t>
  </si>
  <si>
    <t>RT @ValoraAnalitik: #Macroeconomía | Tasas de interés Colombia: ¿Las bajará el Banco de la República en su próxima junta?
https://t.co/k32…</t>
  </si>
  <si>
    <t>Alguém já pulou o CPA 10 e foi direto pra 20?
#certificação #anbima #cpa10 #cpa20 #mercadofinanceiro</t>
  </si>
  <si>
    <t>Quem sou eu?
https://t.co/lcmNOeGFcl
#mepoupe   #mercadodetrabalho   #mercadofinanceiro   #MercadoInterno</t>
  </si>
  <si>
    <t>@GioMaiorano_ La scuola è importante, soprattutto per chi Governa… studiate cialtroni! #macroeconomia</t>
  </si>
  <si>
    <t>@LucioMalan L’aumento dell’inflazione è a livello europeo per cause macroeconomiche.
La sua riduzione è dì conseguenza,un fenomeno più legato a politiche di livello EU, piuttosto che delle iniziative, praticamente irrilevanti dei singoli Paesi, in particolare l’Italia che è fanalino di coda.</t>
  </si>
  <si>
    <t>EQI gere mais de R$ 20 bilhões em investimentos. #tonodiarinho #mercadofinanceiro #investimentos #itajaí 
https://t.co/xGLGq8YwJa</t>
  </si>
  <si>
    <t>Ppalestras sobre Investimentos e Mercado Financeiro.
Acesse: https://t.co/Y8uYw7bO6w
#fumep #eep #administração #ciênciascontábeis #ptgpactual #investimentos #mercadofinanceiro https://t.co/RiwF9Navsg</t>
  </si>
  <si>
    <t>Exciting times ahead Lucy Scientific Discovery Inc. sends a proposal to acquire Pasithea Therapeutics Corp. paving the way for groundbreaking medical solutions. $lsdi #trading
#mercadofinanceiro
#forextradin</t>
  </si>
  <si>
    <t>Cada vez mais Campos Neto se mostra agente político da proposta de governo perdedora. #camposneto #economia #BC #politica #keynes #selic #mercadofinanceiro #B3
 #TikTok https://t.co/RdmkHgv3AF</t>
  </si>
  <si>
    <t>#federalreserve #mercadofinanceiro #investing #money #economia #economy #stocks #ações #trading #bitcoin #ibovespa #nasdaq</t>
  </si>
  <si>
    <t>Descubra as principais corretoras de Forex e Opções Binárias em nosso site. Torne-se um Trader de sucesso e obtenha comissões incríveis por meio do nosso programa de afiliados. Para mais detalhes, visite o nosso site em https://t.co/lAikrsBH0t 
#MercadoFinanceiro #ForexBrasil https://t.co/bGDpLLSI2P</t>
  </si>
  <si>
    <t>RT @falkcapital: 📊 BOLETIM FOCUS:
Confira as perspectivas do mercado para o Relatório Focus em 22/09/2023.
Toda semana, trazemos as proje…</t>
  </si>
  <si>
    <t>RT @ValoraAnalitik: #Macroeconomía |  El  Dane  reveló que en julio el Indicador de Seguimiento a la Economía (ISE) creció 1,18 % respecto…</t>
  </si>
  <si>
    <t>💚Liza: #segueagente #FolloMe #follow #Followus e vamos dar muitas dicas, novidades e explicar direitinho tanto para os novatos quanto para os experts tudo sobre #mercadofinanceiro e #Criptomoedas ! #hotdogGirls # BTC #ETH #BNB #Cryptotwitter #Crypto #market #cryptocurrencies 🌭 https://t.co/dqBnTK3fb1</t>
  </si>
  <si>
    <t>RT @SuporteHotDog: 💚Liza: #segueagente #FolloMe #follow #Followus e vamos dar muitas dicas, novidades e explicar direitinho tanto para os n…</t>
  </si>
  <si>
    <t>Entenda que você não tem pessoas para impressionar. 
Vocês tem objetivos e metas para alcançar! 
#b3 #MercadoFinanceiro #daytrade</t>
  </si>
  <si>
    <t>📈📷 Código #1 - Web Scraping na B3
Automatize análises financeiras! Compartilho meu código em Python para Web Scraping no site da B3. Obtenha composições atualizadas de índices em segundos.  
https://t.co/MMaL1cNhKi
#Python #WebScraping #MercadoFinanceiro #B3 #Investimentos https://t.co/RVBjTF95vj</t>
  </si>
  <si>
    <t>Código #3 - Regressão Linear aplicada ao Mercado Financeiro 📈💼 
Descubra como prever o valor de uma empresa com indicadores financeiros!" #DataScience #MercadoFinanceiro 📊💰
https://t.co/Q5kTMNoxJn https://t.co/jbUJCoF4vL</t>
  </si>
  <si>
    <t>RT @EInvestidor: 📈 As ações preferenciais da Petrobras (#PETR4) fecharam o pregão em alta de 0,71% nesta segunda-feira (25), cotadas a R$ 3…</t>
  </si>
  <si>
    <t>El pasado viernes 4 de agosto JP MORGAN  AUNCIÓ:
"Ya no se espera una RECESIÓN" el mismo viernes en cuestión de minutos  el índice  S&amp;amp;P 500 cayó 50 puntos y borró  miles de millones de capitalización de mercado. #Manipulacion #mercadofinanceiro https://t.co/34ITok4sbW</t>
  </si>
  <si>
    <t>B3 interbank deposit futures: today and a month ago #FuturodoCDI #mercadofinanceiro https://t.co/VcULwKwlBT</t>
  </si>
  <si>
    <t>B3 interbank deposit futures: today and a month ago #FuturodoCDI #mercadofinanceiro https://t.co/P6S2kFrMrx</t>
  </si>
  <si>
    <t>B3 interbank deposit futures: today and a month ago #FuturodoCDI #mercadofinanceiro https://t.co/jKHZ9TwAJg</t>
  </si>
  <si>
    <t>B3 interbank deposit futures: today and a month ago #FuturodoCDI #mercadofinanceiro https://t.co/pYw1ih7yeV</t>
  </si>
  <si>
    <t>B3 interbank deposit futures: today and a month ago #FuturodoCDI #mercadofinanceiro https://t.co/Sq2CwbW22v</t>
  </si>
  <si>
    <t>B3 interbank deposit futures: today and a month ago #FuturodoCDI #mercadofinanceiro https://t.co/9kB7SCPSuy</t>
  </si>
  <si>
    <t>B3 interbank deposit futures: today and a month ago #FuturodoCDI #mercadofinanceiro https://t.co/ruWyRivJ9C</t>
  </si>
  <si>
    <t>B3 interbank deposit futures: today and a month ago #FuturodoCDI #mercadofinanceiro https://t.co/kERm0Sv0Mb</t>
  </si>
  <si>
    <t>B3 interbank deposit futures: today and a month ago #FuturodoCDI #mercadofinanceiro https://t.co/fVor95asfL</t>
  </si>
  <si>
    <t>B3 interbank deposit futures: today and a month ago #FuturodoCDI #mercadofinanceiro https://t.co/xvlx2EjY9X</t>
  </si>
  <si>
    <t>B3 interbank deposit futures: today and a month ago #FuturodoCDI #mercadofinanceiro https://t.co/6V2HQiLcea</t>
  </si>
  <si>
    <t>B3 interbank deposit futures: today and a month ago #FuturodoCDI #mercadofinanceiro https://t.co/f7PcdcTvcc</t>
  </si>
  <si>
    <t>B3 interbank deposit futures: today and a month ago #FuturodoCDI #mercadofinanceiro https://t.co/mQSqA6VUVN</t>
  </si>
  <si>
    <t>B3 interbank deposit futures: today and a month ago #FuturodoCDI #mercadofinanceiro https://t.co/BDFnvdv6wu</t>
  </si>
  <si>
    <t>B3 interbank deposit futures: today and a month ago #FuturodoCDI #mercadofinanceiro https://t.co/esnDqdo7CP</t>
  </si>
  <si>
    <t>B3 interbank deposit futures: today and a month ago #FuturodoCDI #mercadofinanceiro https://t.co/I2rE8FmFHh</t>
  </si>
  <si>
    <t>B3 interbank deposit futures: today and a month ago #FuturodoCDI #mercadofinanceiro https://t.co/0Urg0oUQDd</t>
  </si>
  <si>
    <t>B3 interbank deposit futures: today and a month ago #FuturodoCDI #mercadofinanceiro https://t.co/q6pxtRB5MV</t>
  </si>
  <si>
    <t>B3 interbank deposit futures: today and a month ago #FuturodoCDI #mercadofinanceiro https://t.co/CouZUBgt8n</t>
  </si>
  <si>
    <t>B3 interbank deposit futures: today and a month ago #FuturodoCDI #mercadofinanceiro https://t.co/LrbV6cGrhg</t>
  </si>
  <si>
    <t>B3 interbank deposit futures: today and a month ago #FuturodoCDI #mercadofinanceiro https://t.co/5lf3GgKnmZ</t>
  </si>
  <si>
    <t>B3 interbank deposit futures: today and a month ago #FuturodoCDI #mercadofinanceiro https://t.co/tBFZ6fQTJb</t>
  </si>
  <si>
    <t>B3 interbank deposit futures: today and a month ago #FuturodoCDI #mercadofinanceiro https://t.co/RwmXfdbfwK</t>
  </si>
  <si>
    <t>"Adquira conhecimento, plante os recursos e colha as riquezas" e isso não está ligado apenas ao dinheiro, isso é a essência da humanidade!
#mercadofinanceiro
#educaçãofinanceira
#mindset
#criptomoedas
#investimentos</t>
  </si>
  <si>
    <t>Em teoria o tempo do estudo falando especificamente do mercado financeiro está chegando ao fim e a ação de plantar está sendo exigida!
#mercadofinanceiro
#Bitcoin 
#Ethereum 
#mercadofinanceiro</t>
  </si>
  <si>
    <t>O mercado financeiro é feito de ciclos, e aparentemente 2023 pode marcar o ano da plantação de recursos em busca da colheita de riquezas.
#mercadofinanceiro
#educaçãofinanceira
#mindset
#criptomoedas
#investimentos https://t.co/hSxA7MWX9P</t>
  </si>
  <si>
    <t>Conheça a nova revolução do mercado Financeiro. Opere de forma automática com o robô investidor trader. Tenha mais de 80% de acerto nos seus trades. #MercadoFinanceiro #bolsadevalores #Investir #Ibovespa #daytrade
Saiba mais ➡️ https://t.co/4SWXDfjH6c https://t.co/eNonPWxhS2</t>
  </si>
  <si>
    <t>Conheça a nova revolução do mercado Financeiro. Opere de forma automática com o robô investidor trader. Tenha mais de 80% de acerto nos seus trades. #MercadoFinanceiro #bolsadevalores #Investir #Ibovespa #daytrade
Saiba mais ➡️ https://t.co/4SWXDfkeVK https://t.co/5RxKdZ1f96</t>
  </si>
  <si>
    <t>Conheça a nova revolução do mercado Financeiro. Opere de forma automática com o robô investidor trader. Tenha mais de 80% de acerto nos seus trades. #MercadoFinanceiro #bolsadevalores #Investir #Ibovespa #daytrade
Saiba mais ➡️ https://t.co/4SWXDfkeVK https://t.co/Qx4XTcPRRs</t>
  </si>
  <si>
    <t>Conheça a nova revolução do mercado Financeiro. Opere de forma automática com o robô investidor trader. Tenha mais de 80% de acerto nos seus trades. #MercadoFinanceiro #bolsadevalores #Investir #Ibovespa #daytrade
Saiba mais ➡️ https://t.co/4SWXDfkeVK https://t.co/LcbMSDb1MO</t>
  </si>
  <si>
    <t>Conheça a nova revolução do mercado Financeiro. Opere de forma automática com o robô investidor trader. Tenha mais de 80% de acerto nos seus trades. #MercadoFinanceiro #bolsadevalores #Investir #Ibovespa #daytrade
Saiba mais ➡️ https://t.co/4SWXDfkeVK https://t.co/WWIr1E6Qmg</t>
  </si>
  <si>
    <t>Conheça a nova revolução do mercado Financeiro. Opere de forma automática com o robô investidor trader. Tenha mais de 80% de acerto nos seus trades. #MercadoFinanceiro #bolsadevalores #Investir #Ibovespa #daytrade
Saiba mais ➡️ https://t.co/4SWXDfkeVK https://t.co/ukb8K1smTN</t>
  </si>
  <si>
    <t>Conheça a nova revolução do mercado Financeiro. Opere de forma automática com o robô investidor trader. Tenha mais de 80% de acerto nos seus trades. #MercadoFinanceiro #bolsadevalores #Investir #Ibovespa #daytrade
Saiba mais ➡️ https://t.co/4SWXDfkeVK https://t.co/RLOXrm10Ls</t>
  </si>
  <si>
    <t>Conheça a nova revolução do mercado Financeiro. Opere de forma automática com o robô investidor trader. Tenha mais de 80% de acerto nos seus trades. #MercadoFinanceiro #bolsadevalores #Investir #Ibovespa #daytrade
Saiba mais ➡️ https://t.co/4SWXDfkeVK https://t.co/m2lcxxH3OF</t>
  </si>
  <si>
    <t>Conheça a nova revolução do mercado Financeiro. Opere de forma automática com o robô investidor trader. Tenha mais de 80% de acerto nos seus trades. #MercadoFinanceiro #bolsadevalores #Investir #Ibovespa #daytrade
Saiba mais ➡️ https://t.co/4SWXDfkeVK https://t.co/T2NhZC1O6p</t>
  </si>
  <si>
    <t>Conheça a nova revolução do mercado Financeiro. Opere de forma automática com o robô investidor trader. Tenha mais de 80% de acerto nos seus trades. #MercadoFinanceiro #bolsadevalores #Investir #Ibovespa #daytrade
Saiba mais ➡️ https://t.co/4SWXDfkeVK https://t.co/Ra3xD0udxG</t>
  </si>
  <si>
    <t>A previsão do #mercadofinanceiro para o #IPCA – considerado a #inflação oficial do país – caiu de 4,95% para 4,9% neste ano. A estimativa está no Boletim Focus, pesquisa divulgada semanalmente pelo #BancoCentral.
Entenda: https://t.co/IaCfFAVfIe
#portalvgv #mercadoimobiliario https://t.co/jcZOInpCsb</t>
  </si>
  <si>
    <t>A previsão do #mercadofinanceiro para o #IPCA – considerado a inflação oficial do país – caiu de 4,9% para 4,84% neste ano. A estimativa está no Boletim Focus desta segunda-feira (31), pesquisa divulgada semanalmente pelo #BancoCentral 
Entenda: https://t.co/59956XeJ26 https://t.co/av9q9DdoR2</t>
  </si>
  <si>
    <t>e olharia com bons olhos caso o retome rapidamente com força compradora acima dos R$ 5,60.
#bolsadevalores #mercadofinanceiro #investimentos #trading</t>
  </si>
  <si>
    <t>Olhando o histórico do S&amp;amp;P ele costuma fazer correções de 38,1 e ele chegou próximo da região. Sigo muito otima acreditando que ele corrija mais pouco para retomar sua movimentação. 
#SP500 #trading #mercadofinanceiro https://t.co/K96DDWOGi5</t>
  </si>
  <si>
    <t>teste a mínima da semana passada, é um ponto muito importante que caso falhe seria um bom sinal. Por hora não vejo nenhum setor em específico para olhar, como o Ibov segue pesado eu aguardo ele mostrar um tom otimista.
#trading #ibov #investimentos #mercadofinanceiro</t>
  </si>
  <si>
    <t>indica um possível pivot que pode levar o preço para patamares acima dos 5,00. O fechamento dessa semana será importante!
#Dólar #trading #investimentos #mercadofinanceiro</t>
  </si>
  <si>
    <t>não muito bonitos. O detalhe que me chamou a atenção foi a reação dos comprados contra uma pressão vendedora, de imediato mostraram força em uma região de desconto e agora sigo gerenciando.
#mercadofinanceiro #trading #investimentos</t>
  </si>
  <si>
    <t>nesse fundo imediato, ele pode ficar bem encaixotado no range de 115k e 119k. Vamos observar com cautela os próximos dias e seguir à risca as premissas operacionais para reagir ao preço com boa precisão!
#ibov #trading #mercadofinanceiro</t>
  </si>
  <si>
    <t>Estamos naqueles momentos do mercado que todo mundo tem medo de comprar.
A China ruindo, inflação duvidosa, FED tirando dinheiro da economia, fundos acumulando cash.
#investimentos #mercadofinanceiro #economia #criptomoedas https://t.co/7X0eVjbfrN</t>
  </si>
  <si>
    <t>#business #Finanzas #Economia #Negocios #empresas #mercadofinanceiro https://t.co/TcVbb9pnHB</t>
  </si>
  <si>
    <t>Vai confiando que com as contas públicas com déficit, não vai sobrar pra nós. Só confia 🤡.
#deficit #brasil #mercadofinanceiro #ibov #impostos https://t.co/L5cEjhRyPD</t>
  </si>
  <si>
    <t>Seguimos Forte no Grupo de Mentoria da @Proeducacional, em breve novos Analistas do Mercado Financeiro...
#proeducacional #mercadofinanceiro #bolsadevalores #cnpi #Certificacao https://t.co/6pzKEore2Z</t>
  </si>
  <si>
    <t>Hoje resolvi mandar no nosso grupo de Mentoria da @Proeducacional o meu Certificado de Analista CNPI pra incentivar os alunos e dar aquela "pressãozinha" positiva...
#proeducacional #mercadofinanceiro #cnpi #Certificacao https://t.co/Y2JsUWxBIr</t>
  </si>
  <si>
    <t>Que Alegria ver essa galera sendo aprovada nas certificações..
Mais um Aluno que hoje se torna um Analista CNPI-T..
Nosso grupo de Mentoria da @Proeducacional mais uma vez mostrando resultado!
#proeducacional #Certificacao #mercadofinanceiro #cnpi #bolsadevalores #ações #fundos https://t.co/yczyNxUen1</t>
  </si>
  <si>
    <t>Sextou no nosso grupo de Mentoria da @Proeducacional.. E você, sabe a resposta???
#proeducacional #mercadofinanceiro #bolsadevalores #cnpi #Certificacao #fundosdeinvestimento #ações #swap https://t.co/jDZLkEjFx5</t>
  </si>
  <si>
    <t>(Parte 1) Recebi uma dúvida de uma de nossas alunas da Mentoria CNPI da  @Proeducacional, e sim, muitas pessoas também tem essa mesma dúvida.. comente aí se você já sabia essa diferença 👇
#analistadeinvestomento #proeducacional #bolsadevalores #certificacao #mercadofinanceiro https://t.co/gi0fcfKzJF</t>
  </si>
  <si>
    <t>(Parte 2) Recebi uma dúvida de uma de nossas alunas da Mentoria CNPI da  @Proeducacional, e sim, muitas pessoas também tem essa mesma dúvida.. comente aí se você já sabia essa diferença 👇
#analistadeinvestomento #proeducacional #bolsadevalores #certificacao #mercadofinanceiro https://t.co/69LNJEUP2R</t>
  </si>
  <si>
    <t>Bora de Mentor Responde! E o assunto é Opções.. completo no insta @jhonata.slima
#vemserproedu #analistadeinvestimentos #consultordeinvestimentos  #correlacaoentreativos #bolsadevalores #mercadofinanceiro #certificacaofinanceira https://t.co/DLcfJxCZc2</t>
  </si>
  <si>
    <t>#NFP Quer entender por que este evento é tão impactante para o mercado Forex? Não perca nosso vídeo 'NonFarm Payroll EXPLICADO: Por que é tão Importante para o Mercado Forex'. 
https://t.co/XCuCpoFHN8
#forex #investimentos #mercadofinanceiro #nonfarmpayroll #gold</t>
  </si>
  <si>
    <t>#DicaDoLukao O melhor investimento é ... 🤑💡
#StudioMadeHits #InvestidoresdaQuebrada #TVMadeHits #investimento #educaçãofinanceira #mercadofinanceiro #financaspessoais #empreendimento #finanças #favelado  #podcastproduction #radioshow #fyp #popular #likeforlikes #funnyvideos https://t.co/dgbnRxzo4J</t>
  </si>
  <si>
    <t>Se adaptar é a chave! 
#StudioMadeHits #InvestidoresdaQuebrada #TVMadeHits #investimento #educaçãofinanceira #mercadofinanceiro  #empreendimento #finanças #favelados #podcastlifestyle #podcastproduction #radioshow #fyp #popular #likeforlikes #funnyvideos #foryou https://t.co/iWjYeCPGmW</t>
  </si>
  <si>
    <t>As dificuldades de conciliar o trabalho CLT com a paixão pela fotografia e ainda encontrar tempo para o merecido descanso.😂😴🤯
 #fotografa #fotografia #foto #fotografar #fotografando #investimento #educaçãofinanceira #mercadofinanceiro #financas #fyp #popular #likeforlikes https://t.co/g4rfskw6Zx</t>
  </si>
  <si>
    <t>Mercado eleva para 2,64% projeção do crescimento da economia em 2023. #bancocentral #boletimfocus #economia #mercadofinanceiro #guarulhosonline
https://t.co/c6k2NRWpVd</t>
  </si>
  <si>
    <t>Pare de quebrar a cabeça no mercado financeiro. Opere de forma automática com a ajuda da inteligência artificial. Conheça o robô investidor trader #Investimentos #MercadoFinanceiro #bolsadevalores #daytrade #miniindice #minidolar
Saiba mais ➡️ https://t.co/jSfNg3RTLV https://t.co/cvoZsvIDHK</t>
  </si>
  <si>
    <t>Conheça a nova revolução do mercado Financeiro. Opere de forma automática com o robô investidor trader. Tenha mais de 80% de acerto nos seus trades. #MercadoFinanceiro #bolsadevalores #Investir #Ibovespa #daytrade
Saiba mais ➡️ https://t.co/gWcN4dEAb7 https://t.co/KRQe0Irke9</t>
  </si>
  <si>
    <t>Pare de quebrar a cabeça no mercado financeiro. Opere de forma automática com a ajuda da inteligência artificial. Conheça o robô investidor trader #Investimentos #MercadoFinanceiro #bolsadevalores #daytrade #miniindice #minidolar
Saiba mais ➡️ https://t.co/jSfNg3RTLV https://t.co/8L7ls0aSCb</t>
  </si>
  <si>
    <t>Pare de quebrar a cabeça no mercado financeiro. Opere de forma automática com a ajuda da inteligência artificial. Conheça o robô investidor trader #Investimentos #MercadoFinanceiro #bolsadevalores #daytrade #miniindice #minidolar
Saiba mais ➡️ https://t.co/jSfNg3SrBt https://t.co/SmAFFJuUP1</t>
  </si>
  <si>
    <t>Nuestro profesor Wilman Arturo Gómez Muñoz aporta su mirada macroeconómica sobre el fenómeno del niño y el alza del precio de los alimentos, para el Encuentro de Innovación Agropecuaria realizado por la Gobernación  de Antioquia https://t.co/vLoMRvmXrH 
#FCE #UdeA #Macroeconomía</t>
  </si>
  <si>
    <t>Os destaques de volume no pregão de 21 de julho de 2023 na B3.
Uma boa referência para começar os estudos no final de semana.
O Avera+ disponibiliza essa e outras diversas informações que orientam os estudos no mercado de ações.
#mercadofinanceiro #investidorinteligente https://t.co/TwezTUaaor</t>
  </si>
  <si>
    <t>Isso permitirá que a transação financeira ocorra de forma simultânea com a transferência do bem, reduzindo custos, burocracia e aumentando a segurança para os negócios.  
#finanças #economia #inovação #tecnologia #DREX #sistemafinanceiro #mercadofinanceiro #negócios</t>
  </si>
  <si>
    <t>RT @HubInvestidor: A Booking Holdings é uma empresa digital do setor de turismo. Atualmente o grupo possui valor de mercado de US$ 108 bilh…</t>
  </si>
  <si>
    <t>3- #mercadofinanceiro diminui previsão de inflação e reforça expectativa por queda nos juros📉🤔
4- Ibovespa fecha em queda e volta aos 117 mil pontos, puxado por Vale e empresas de varejo📉🫰</t>
  </si>
  <si>
    <t>https://t.co/ctpXoAla8x
#ibovespa #mercadofinanceiro #noticias #brasilperfil</t>
  </si>
  <si>
    <t>https://t.co/IKLydAiXp5
#dolar #economiachinesa #mercadofinanceiro</t>
  </si>
  <si>
    <t>#brasil #Crescimento #Economia #MercadoFinanceiro #PIB 
https://t.co/VwDGwe0byJ</t>
  </si>
  <si>
    <t>RT @tcinvestimentos: “Eu vou investir onde está rendendo mais no momento”. Você comete ou já cometeu esse erro? #bolsa #mercadofinanceiro #…</t>
  </si>
  <si>
    <t>O fim de uma era: analista prevê colapso “pior que 1929” nos mercados financeiros #correiodeminas
#fimdeumaera #analista #previsão #colapso #mercadofinanceiro #correiodeminasonline
https://t.co/jeDxdQapIS https://t.co/8SCQEwTjpE</t>
  </si>
  <si>
    <t>A empresa brasileira que mais gera bilionários: saiba qual é #correiodeminas
#empresa #empresabrasileira #geração #bilionarios #mercadofinanceiro #correiodeminasonline
https://t.co/ibDC86j6Re https://t.co/jdz0QGWMl3</t>
  </si>
  <si>
    <t>Ações da Tesla $TSLA supreendem e sobem mais de 10%!
Parece que as apostas de Bill Gates de que Elon não atingiria o nível de carros autônomos estava errada.
#ElonMusk #Tesla #BillGates #stockmarkets #Ações #Mercado #mercadofinanceiro #ibovespa 
BedRock™💸 https://t.co/3SZEEexGmD</t>
  </si>
  <si>
    <t>💰 Mercado eleva para 2,29% projeção do crescimento da economia em 2023
#ViesdaNoticia #MercadoFinanceiro #Economia
https://t.co/MiA6CbEvOE</t>
  </si>
  <si>
    <t>Você considera os padrões de candlestick de engolfo confiáveis?
#tradingdefuturos #trading #daytrader #earn2tradebrasil #mercadofinanceiro #traders https://t.co/tJQLNR3t7H</t>
  </si>
  <si>
    <t>Você pode citar outros indicadores de previsão de mercado não convencionais?
#tradingdefuturos #trading #daytrader #earn2tradebrasil #mercadofinanceiro #traders https://t.co/Ip7uhoiIrN</t>
  </si>
  <si>
    <t>Quanto tempo você gasta revisando suas operações antigas para entender o porquê elas falharam ou tiveram êxito?
#tradingdefuturos #trading #daytrader #earn2tradebrasil #mercadofinanceiro #traders https://t.co/mLyjl6PNlw</t>
  </si>
  <si>
    <t>Qual é a parte mais original da sua estratégia de trading?
https://t.co/uIyxGA5o5N
#tradingdefuturos #trading #daytrader #earn2tradebrasil #mercadofinanceiro #traders https://t.co/CQ5j7w6USH</t>
  </si>
  <si>
    <t>Você utiliza mais de uma estratégia?
#tradingdefuturos #trading #daytrader #earn2tradebrasil #mercadofinanceiro #traders https://t.co/jgxBWv4bir</t>
  </si>
  <si>
    <t>Na sua opinião, qual a razão para o forte desempenho das ações de biotecnologia e as quedas nos resultados das grandes farmacêuticas que devem ser anunciadas nesta semana?
#tradingdefuturos #trading #daytrader #earn2tradebrasil #mercadofinanceiro #traders https://t.co/LclAfbwwQC</t>
  </si>
  <si>
    <t>Qual o cálculo mais difícil que você já precisou fazer no trading? Comente e compartilhe conosco!
#tradingdefuturos #trading #daytrader #earn2tradebrasil #mercadofinanceiro #traders https://t.co/QPhbwwhWHQ</t>
  </si>
  <si>
    <t>O que você faz para evitar operar quando não é o momento certo?
#tradingdefuturos #trading #daytrader #earn2tradebrasil #mercadofinanceiro #traders https://t.co/icIXN3ZCr6</t>
  </si>
  <si>
    <t>Comente com o emoji correspondente para votar  conte-nos mais detalhes!
#tradingdefuturos #trading #daytrader #earn2tradebrasil #mercadofinanceiro #traders https://t.co/7yzQY9gUZ9</t>
  </si>
  <si>
    <t>Qual é o seu oscilador preferido?
#tradingdefuturos #trading #daytrader #earn2tradebrasil #mercadofinanceiro #traders https://t.co/5WrSj19ckn</t>
  </si>
  <si>
    <t>Mark Douglas foi um trader, investidor e autor de vários livros sobre trading. Leia o artigo completo para descobrir como ele ficou famoso por popularizar a ideia de "psicologia de trading".
https://t.co/l7Ng40AgO9
#earn2tradebrasil #mercadofinanceiro #traders https://t.co/lzYnCjDPXW</t>
  </si>
  <si>
    <t>Qual é o motivo das quedas esperadas nos relatórios de lucros das gigantes do petróleo Chevron, Shell e Exxon, na sua opinião?
#tradingdefuturos #trading #daytrader #earn2tradebrasil #mercadofinanceiro #traders https://t.co/iIjIpVgpls</t>
  </si>
  <si>
    <t>Como você decide se deseja colocar uma ordem a mercado ou uma ordem limitada?
Comente com o emoji correspondente para votar e conte-nos os detalhes!
#tradingdefuturos #trading #daytrader #earn2tradebrasil #mercadofinanceiro #traders https://t.co/ptfbglnElT</t>
  </si>
  <si>
    <t>O trading é uma jornada de aprendizado e melhoria contínua. Aproveite o desconto de 40% no PCT25, aprimore suas habilidades de trading e seja patrocinado!
https://t.co/XVYZbo8jBA
#tradingdefuturos #trading #daytrader #earn2tradebrasil #mercadofinanceiro #traders https://t.co/P0yL2nB5oj</t>
  </si>
  <si>
    <t>Muitos traders se perguntam se vale a pena operar durante a instabilidade do mercado. Confira o artigo completo para saber como você pode aproveitar ao máximo esses momentos.
https://t.co/jZDAoF8MyP
#tradingdefuturos #trading #daytrader #earn2tradebrasil #mercadofinanceiro https://t.co/HwLtpIvm5q</t>
  </si>
  <si>
    <t>Na sua opinião, qual é a razão por trás do crescimento esperado de receita de 114.000% do Workhorse Group?
#tradingdefuturos #trading #daytrader #earn2tradebrasil #mercadofinanceiro #traders https://t.co/6ajzlhuXkm</t>
  </si>
  <si>
    <t>Na sua opinião, como as próximas divulgações de dados macroeconômicos dos EUA, China, Canadá e das principais economias da UE impactarão os mercados?
#tradingdefuturos #trading #daytrader #earn2tradebrasil #mercadofinanceiro #traders https://t.co/8aMaoQOU8L</t>
  </si>
  <si>
    <t>Você se preocupa em operar com números redondos?
#tradingdefuturos #trading #daytrader #earn2tradebrasil #mercadofinanceiro #traders https://t.co/rDoys2EBJP</t>
  </si>
  <si>
    <t>Você se preocupa bastante com suas operações depois de realizá-las?
#tradingdefuturos #trading #daytrader #earn2tradebrasil #mercadofinanceiro #traders https://t.co/EQm7ja5uxm</t>
  </si>
  <si>
    <t>Em quais eventos do mercado você opera?
#tradingdefuturos #trading #daytrader #earn2tradebrasil #mercadofinanceiro #traders https://t.co/zuLM2iYR99</t>
  </si>
  <si>
    <t>Corra para aproveitar o desconto de 40% no PCT25! A promoção termina hoje à meia-noite (CT). Pare de operar com seu próprio capital. Inscreva-se agora por apenas US$90 antes que a promoção termine!
#tradingdefuturos #trading #daytrader #earn2tradebrasil #mercadofinanceiro https://t.co/xPWRvZ0xuV</t>
  </si>
  <si>
    <t>Você é um trader de tempo integral ou parcial?  Você gostaria de se tornar um trader de tempo integral?
#tradingdefuturos #trading #daytrader #earn2tradebrasil #mercadofinanceiro #traders https://t.co/QPpZKex1mS</t>
  </si>
  <si>
    <t>Lee admite que dominar a psicologia do trading é a parte mais desafiadora. Você concorda com ele e com quais aspectos psicológicos você mais luta ao operar?
#tradingdefuturos #trading #daytrader #earn2tradebrasil #mercadofinanceiro #traders https://t.co/KeJSn4i2rX</t>
  </si>
  <si>
    <t>Você se lembra outras grandes quedas do mercado financeiro na história dos EUA?
#tradingdefuturos #trading #daytrader #earn2tradebrasil #mercadofinanceiro #traders https://t.co/JJHMtxcOue</t>
  </si>
  <si>
    <t>Você presta atenção em como reage aos resultados ao operar?
#tradingdefuturos #trading #daytrader #earn2tradebrasil #mercadofinanceiro #traders https://t.co/dhejBcsS8A</t>
  </si>
  <si>
    <t>Você já ouviu falar dessa lenda do trading?
https://t.co/fFNiZSRxCm
#tradingdefuturos #trading #daytrader #earn2tradebrasil #mercadofinanceiro #traders https://t.co/A2mZZwu7Tt</t>
  </si>
  <si>
    <t>Mostre o seu estilo de trading e seja patrocinado! Nossa popular avaliação de patrocínio para traders do PCT25 está com 40% de desconto. Comece agora por apenas US$90!
https://t.co/XVYZbo8jBA
#tradingdefuturos #trading #daytrader #earn2tradebrasil #mercadofinanceiro #traders https://t.co/U4beWNeP9x</t>
  </si>
  <si>
    <t>Quando você corre atrás do último dólar de lucro 💸 e acaba ficando no lado perdedor 😬
#tradingdefuturos #trading #daytrader #earn2tradebrasil #mercadofinanceiro #traders https://t.co/zw0E144t0N</t>
  </si>
  <si>
    <t>Qual a teoria de investimentos mais estranha que você já ouviu?
#tradingdefuturos #trading #daytrader #earn2tradebrasil #mercadofinanceiro #traders https://t.co/VDrBJeHJ6O</t>
  </si>
  <si>
    <t>Você já tentou usar o indicador Nuvem de Ichimoku? Como foi sua experiência?
Responda com o emoji correspondente para votar e nos conte mais detalhes!
#tradingdefuturos #trading #daytrader #earn2tradebrasil #mercadofinanceiro #traders https://t.co/1VejlxcDGK</t>
  </si>
  <si>
    <t>Você está sempre melhorando seu conhecimento de trading?
#tradingdefuturos #trading #daytrader #earn2tradebrasil #mercadofinanceiro #traders https://t.co/L5XgIjNtDi</t>
  </si>
  <si>
    <t>Que resultado você espera das reuniões do G20 nestes tempos desafiantes para a economia global?
#tradingdefuturos #trading #daytrader #earn2tradebrasil #mercadofinanceiro #traders https://t.co/Pf2UYP9KSI</t>
  </si>
  <si>
    <t>Você se lembra de outros eventos que levaram ao fechamento inesperado da Bolsa de Nova York?
#tradingdefuturos #trading #daytrader #earn2tradebrasil #mercadofinanceiro #traders https://t.co/QtpQI61Aj7</t>
  </si>
  <si>
    <t>Você prefere ser um scalper como o Victor?
#tradingdefuturos #trading #daytrader #earn2tradebrasil #mercadofinanceiro #traders https://t.co/nUuB73CZ9e</t>
  </si>
  <si>
    <t>Todos nós cometemos erros. A diferença é que os profissionais fazem isso com estilo 😎
#tradingdefuturos #trading #daytrader #earn2tradebrasil #mercadofinanceiro #traders https://t.co/WCBmjsa6su</t>
  </si>
  <si>
    <t>Qual evento da próxima semana você considera mais impactante para suas posições de trading e por quê?
#tradingdefuturos #trading #daytrader #earn2tradebrasil #mercadofinanceiro #traders https://t.co/uxiAz1ZxIp</t>
  </si>
  <si>
    <t>Confira o artigo completo para conhecer melhor essa história!
https://t.co/m65gHRuRBL
#tradingdefuturos #trading #daytrader #earn2tradebrasil #mercadofinanceiro #traders https://t.co/oGIPJ735WG</t>
  </si>
  <si>
    <t>Como você decide quanto do seu capital você está disposto a colocar em uma única operação? Ao limitar sua exposição em cada operação, você garante que viverá para operar no dia seguinte. Leia o artigo completo.
https://t.co/0MOZtL08gw
 #earn2tradebrasil #mercadofinanceiro</t>
  </si>
  <si>
    <t>Você conhece outras terminologias peculiares usada na economia e investimentos para descrever fenômenos únicos do mercado?
#tradingdefuturos #trading #daytrader #earn2tradebrasil #mercadofinanceiro #traders https://t.co/sE2j64bGmg</t>
  </si>
  <si>
    <t>Você toma café, opera café, ou os dois?
https://t.co/e9CnzoD6sf
#tradingdefuturos #trading #daytrader #earn2tradebrasil #mercadofinanceiro #traders https://t.co/fDCDxRn8qA</t>
  </si>
  <si>
    <t>Você acha que os fortes resultados das empresas do setor de energia renovável a serem divulgados esta semana serão sustentados no longo prazo?
#tradingdefuturos #trading #daytrader #earn2tradebrasil #mercadofinanceiro #traders https://t.co/d1GUOOf5pE</t>
  </si>
  <si>
    <t>Você conhece outros traders e investidores famosos que contribuíram para a "Quarta-feira Negra"?
#tradingdefuturos #trading #daytrader #earn2tradebrasil #mercadofinanceiro #traders https://t.co/ZEwp6iB54x</t>
  </si>
  <si>
    <t>Você move seus stops apenas quando eles estão próximos? 😂
#tradingdefuturos #trading #daytrader #earn2tradebrasil #mercadofinanceiro #traders https://t.co/zQnhz8kxJh</t>
  </si>
  <si>
    <t>Você se sente confuso ao aprender sobre trading?
#tradingdefuturos #trading #daytrader #earn2tradebrasil #mercadofinanceiro #traders https://t.co/WNAjvEc2C9</t>
  </si>
  <si>
    <t>Como você muda sua estratégia de trading com base nas mudanças nas condições do mercado? Nosso artigo explora alguns métodos para alinhar com sucesso sua abordagem de trading às complexidades do mercado.
https://t.co/q9wAhggwrx
#daytrader #earn2tradebrasil #mercadofinanceiro https://t.co/nuopn5PyaX</t>
  </si>
  <si>
    <t>Você conhece outras figuras históricas de destaque que, surpreendentemente, também tinham experiência financeira astuta?
#tradingdefuturos #trading #daytrader #earn2tradebrasil #mercadofinanceiro #traders https://t.co/hZrKbYLTcz</t>
  </si>
  <si>
    <t>Você gosta de operar eventos do mercado ou prefere manter distância deles nos dias de anúncios econômicos importantes, como Aaron?
#tradingdefuturos #trading #daytrader #earn2tradebrasil #mercadofinanceiro #traders https://t.co/1pBxkLNhmN</t>
  </si>
  <si>
    <t>Você se concentra numa única estratégia?
#tradingdefuturos #trading #daytrader #earn2tradebrasil #mercadofinanceiro #traders https://t.co/Ts098NIro0</t>
  </si>
  <si>
    <t>Andrew Aziz é um trader, investidor e quatro vezes autor de best-sellers sobre day trading. Ele começou sua carreira como trader de ações e agora investe em fintechs. Confira o artigo completo para saber mais!
https://t.co/qeLXhf7AcI
#earn2tradebrasil #mercadofinanceiro #trader https://t.co/dokUmlQRfK</t>
  </si>
  <si>
    <t>Você já conquistou uma grande vitória com os US$2,5 mil de Juan em apenas uma operação?
#tradingdefuturos #trading #daytrader #earn2tradebrasil #mercadofinanceiro #traders https://t.co/Gbno5HzxIW</t>
  </si>
  <si>
    <t>Qual emoção apresenta o maior desafio para você no trading? Poste o respectivo emoji para votar e conte-nos os detalhes!
#tradingdefuturos #trading #daytrader #earn2tradebrasil #mercadofinanceiro #traders https://t.co/ie14VXazVY</t>
  </si>
  <si>
    <t>Todos nós, às vezes, precisamos de uma mão que nos guie. Poste o emoji correspondente para votar e conte-nos sobre sua fonte de sabedoria no trading!
#tradingdefuturos #trading #daytrader #earn2tradebrasil #mercadofinanceiro #traders https://t.co/JKMwB6K5ze</t>
  </si>
  <si>
    <t>O grande dia chegou! 🎉 Você passou na avaliação da Earn2Trade e agora é um trader patrocinado! Mas e agora? 🤔 Mergulhe em nosso artigo dedicado para saber o que acontece depois de ser patrocinado com a Earn2Trade.
https://t.co/fxAynhFT1I
#earn2tradebrasil #mercadofinanceiro https://t.co/mIAuTquJn2</t>
  </si>
  <si>
    <t>Você reserva um tempo para avaliar seus registros de trading?
Comente com o emoji correspondente para votar e conte-nos mais detalhes!
#tradingdefuturos #trading #daytrader #earn2tradebrasil #mercadofinanceiro #traders https://t.co/jpDJlksfP4</t>
  </si>
  <si>
    <t>Não se esqueça de aproveitar o nosso desconto de 70% em todas as avaliações de patrocínio para traders - você tem até sábado para aproveitar esta oferta extraordinária! 🚀
#tradingdefuturos #trading #daytrader #earn2tradebrasil #mercadofinanceiro #traders https://t.co/xCQAcfi5GV</t>
  </si>
  <si>
    <t>Se você quer ler a história completa sobre como Albert H. Wiggin vendeu sua empresa e como isso levou a introdução da Lei Wiggin, confira o artigo completo!
https://t.co/g71BukW56D
#tradingdefuturos #trading #daytrader #earn2tradebrasil #mercadofinanceiro #traders https://t.co/oKBs3uvsrQ</t>
  </si>
  <si>
    <t>Sobre quais outros empresários, investidores ou traders você gostaria de saber mais?
https://t.co/f5k6bifOBu
#tradingdefuturos #trading #daytrader #earn2tradebrasil #mercadofinanceiro #traders https://t.co/ePkNiz0KHb</t>
  </si>
  <si>
    <t>Você pode citar outras práticas sustentáveis que podem ser um divisor de águas no alinhamento das finanças com as metas ambientais?
#tradingdefuturos #trading #daytrader #earn2tradebrasil #mercadofinanceiro #traders https://t.co/tnV6Zz2cRE</t>
  </si>
  <si>
    <t>Que sinais sobre o estado das principais economias do mundo você espera para a próxima semana?
#tradingdefuturos #trading #daytrader #earn2tradebrasil #mercadofinanceiro #traders https://t.co/KTPjaoPVDZ</t>
  </si>
  <si>
    <t>Confira o artigo completo para saber sobre os erros mais comuns que os day traders cometem, sendo iniciantes ou experientes, e como você pode evitá-los.
https://t.co/5aIw4JMoPz
#tradingdefuturos #trading #daytrader #earn2tradebrasil #mercadofinanceiro #traders https://t.co/UFUvFpLz4y</t>
  </si>
  <si>
    <t>Na sua opinião, qual é a razão para as enormes flutuações no crescimento da receita que as empresas de biotecnologia costumam anunciar em comparação com outras indústrias?
#tradingdefuturos #trading #daytrader #earn2tradebrasil #mercadofinanceiro #traders https://t.co/YMQeHhaxCK</t>
  </si>
  <si>
    <t>Que regras você usa para obter os lucros? 💰
#tradingdefuturos #trading #daytrader #earn2tradebrasil #mercadofinanceiro #traders https://t.co/TduoqcVaG8</t>
  </si>
  <si>
    <t>O efeito de disposição é um dos exemplos mais notáveis de como vieses cognitivos e reações emocionais podem levar a resultados ruins. 🤔💭 Como garantir que suas decisões não sejam influenciadas por tais vieses?
https://t.co/F5o6jTvuxY
#earn2tradebrasil #mercadofinanceiro https://t.co/Km6QEFikBE</t>
  </si>
  <si>
    <t>Você também enxerga gráficos em todos os lugares? 📈📉
#tradingdefuturos #trading #daytrader #earn2tradebrasil #mercadofinanceiro #traders https://t.co/xLF2dyyK2v</t>
  </si>
  <si>
    <t>Começar no trading é uma jornada única para todos 📈 Compartilhe sua história nos comentários!
#tradingdefuturos #trading #daytrader #earn2tradebrasil #mercadofinanceiro #traders https://t.co/CDu9vHAv0d</t>
  </si>
  <si>
    <t>Na sua opinião, qual será o impacto dos próximos anúncios do BCE?
#tradingdefuturos #trading #daytrader #earn2tradebrasil #mercadofinanceiro #traders https://t.co/obbHN6VlW0</t>
  </si>
  <si>
    <t>Você se lembra de outras descobertas de recursos naturais que transformaram a fortuna de países ou regiões inteiras?
#tradingdefuturos #trading #daytrader #earn2tradebrasil #mercadofinanceiro #traders https://t.co/vVuXpCYsCD</t>
  </si>
  <si>
    <t>Quais são seus maiores erros ao operar?
#tradingdefuturos #trading #daytrader #earn2tradebrasil #mercadofinanceiro #traders https://t.co/lHLoUQqS2e</t>
  </si>
  <si>
    <t>Ahmed admite que a única regra com a qual teve dificuldades durante a sua avaliação foi o Trailing Drawdown. Quais das regras da Earn2Trade você considera mais desafiadoras? 🤔
#tradingdefuturos #trading #daytrader #earn2tradebrasil #mercadofinanceiro #traders https://t.co/rUctDgcq0b</t>
  </si>
  <si>
    <t>Você conhece os princípios fundamentais das finanças islâmicas?
#tradingdefuturos #trading #daytrader #earn2tradebrasil #mercadofinanceiro #traders https://t.co/SL4tEK1DoC</t>
  </si>
  <si>
    <t>O Índice de Canal de Commodity é um indicador projetado para ajudar a identificar tendências emergentes 📈  nos padrões ciclicos 🔁 do mercado. Descubra como interpretar esse indicador e usá-lo.
https://t.co/VOdJ5rSlAI
#earn2tradebrasil #mercadofinanceiro #traders https://t.co/Ne5lGLrfuW</t>
  </si>
  <si>
    <t>Com o recente alívio da pressão inflacionária em todo o mundo, que movimentos os bancos nacionais das principais economias farão a seguir, em sua opinião?
#tradingdefuturos #trading #daytrader #earn2tradebrasil #mercadofinanceiro #traders https://t.co/soPrhWZEWo</t>
  </si>
  <si>
    <t>Você se lembra de outras anomalias com um impacto global semelhante?
#tradingdefuturos #trading #daytrader #earn2tradebrasil #mercadofinanceiro #traders https://t.co/0XhPQ1LzjA</t>
  </si>
  <si>
    <t>Fazer parte de uma comunidade de trading pode ser uma ferramenta poderosa para traders novatos e experientes. Confira nosso artigo para descobrir algumas comunidades de trading que você pode participar.
https://t.co/MAPULQIXZW
#daytrader #earn2tradebrasil #mercadofinanceiro https://t.co/uyCW2DWIie</t>
  </si>
  <si>
    <t>4 Passos para se tornar um Business Banker de sucesso com a Teddy! https://t.co/MxBGRCFgcz #bancario #mercadofinanceiro #bancocentral</t>
  </si>
  <si>
    <t>Creo hilo, primer año del presidente y las cifras economicas mejoraron totalmente, pero la oposición dice que nada mejor  #macroeconomia #petro #inflacion #desempleo #Colombia https://t.co/quOALkSGfT</t>
  </si>
  <si>
    <t>Aguardando o @igor_mundstock  com a tradução do Powell.
#macroeconomia 
#btc
#quedainfinita https://t.co/HstY4N2iDe</t>
  </si>
  <si>
    <t>#investimentos #investimento #bolsadevalores #bovespa #rendavariavel #ações #mercadofinanceiro #liberdadefinanceira #finanças #planejamentofinanceiro #trader #stocks  #dinheiro #henleinvestimentos #economia #dividendos #ibovespa #agro #agronegocio #soja #milho #keplerweber https://t.co/6OtaOVbeb4</t>
  </si>
  <si>
    <t>#Estimativa
MERCADO FINANCEIRO eleva para 2,64% projeção do CRESCIMENTO DA ECONOMIA em 2023, de acordo com BANCO CENTRAL
#portaldeprefeitura #mercadofinanceiro #bancocentral #economia #brasil 
https://t.co/ssvnxdMIoR</t>
  </si>
  <si>
    <t>#Economia
PROJEÇÃO de crescimento ECONÔMICO sobe para 2,89% em 2023, aponta MERCADO
#portaldeprefeitura #economia #brasil #mercadofinanceiro #projeção #crescimentoeconomico
https://t.co/Q8w5xqBvmu</t>
  </si>
  <si>
    <t>A @FitchRatings elevou nesta quarta-feira (26) o rating soberano do Brasil de BB- para BB, com perspectiva estável.#fitch #bb #brasil #risco #macroeconomia #economia #economics https://t.co/wV29hezXGW</t>
  </si>
  <si>
    <t>Confiança da indústria cai pela primeira vez em cinco meses #industria #economia #macroeconomia #confianca #cni #empresario https://t.co/fFMYGP8SBs https://t.co/bRORfnstY5</t>
  </si>
  <si>
    <t>📣 Descubra como investir estrategicamente na B3, utilizando dados e análises precisas! 💼🚀 Acesse o artigo completo no Blog da D4Business: https://t.co/yD7LwL3Tye #Investimentos #B3 #Estratégia #DataDriven #AnáliseDeDados #MercadoFinanceiro #D4Business https://t.co/zT59Hvk9J1</t>
  </si>
  <si>
    <t>@lagacetachile Tribunal Constitucional aprueba ley de delitos Económicos
@DarekMacpherson
#Economia  #economics #Finanzas #Macroeconomia #Microeconomia https://t.co/gYldEfegPU</t>
  </si>
  <si>
    <t>📈 Perfil Suitability, o Perfil de risco do Investidor.
Conservador, Moderado e Arrojado. Descubra qual deles melhor se encaixa melhor em seus objetivos financeiros! 💰
#MercadoFinanceiro #Investimentos #Finanças</t>
  </si>
  <si>
    <t>conhece alguém prejudicado ou alguma "autoridade" envolvida que poderia solucionar o caso de forma mais franca? só me chamar. 25/25 (FIM).
#Governance #mercadofinanceiro #loteamento #investimento #caruaru #pernambuco</t>
  </si>
  <si>
    <t>Agenda da Semana - 25/09 a 29/09
Semana agitada com diversos dados no Brasil e lá fora. Fique atento pois eles poderão gerar alguma volatilidade sobre os mercados.
#suno #mercadofinanceiro #economia #agendadasemana #ipca15 #igpm #pce #caged #pnad 
https://t.co/WB5QP3nXPc</t>
  </si>
  <si>
    <t>ENTENDA a DIFERENÇA ENTRE AS AÇÕES 3, 4, 5, 6 e 11 🤑📈🚀
#ações #bolsadevalores #mercadofinanceiro #investidoriniciante #educacaofinanceira #dinheiro #rendavariavel #rendapassiva #dinheiroonline https://t.co/tConM8axZR</t>
  </si>
  <si>
    <t>💰| #EconomíaDL | Ejecución de gastos de capital va más rápido, aunque cercana al 50 % en el octavo mes
🔗https://t.co/dH7acCw6jt
#DiarioLibre #Macroeconomía #gastos #Capital #Ejecución https://t.co/3wNX35L9nT</t>
  </si>
  <si>
    <t>💰| #EconomíaDL | Tres huracanes han dejado pérdidas económicas por casi RD$30,000 millones en cinco años
🔗https://t.co/fdg39GSFFl
#DiarioLibre #Huracanes #Perdidas #Economía #MacroEconomía https://t.co/ukJgYm2Dsm</t>
  </si>
  <si>
    <t>💰 | #EconomíaDL | Economía dominicana se desacelera en el primer semestre y crece solo 1.2 %
🔗 https://t.co/DdV3QaPDrY
#DiarioLibre #EconomíaDL #Macroeconomía #Dinero #Crecimiento #Dominicanos #Politicas #BancoCentral https://t.co/SHwcEjkFl4</t>
  </si>
  <si>
    <t>💰| #EconomíaDL | El gobierno baja de 4 a 3 % la proyección de crecimiento de la economía en el 2023
🔗https://t.co/9ACUwfBQvh
#DiarioLibre #Economía #Macroeconomía #Crecimiento https://t.co/cLdIH5Vzl4</t>
  </si>
  <si>
    <t>💰| #EconomíaDL | Cepal: "La reducción de la inflación ha sido generalizada en la región"
🔗https://t.co/ZfgKsLg8l5
#DiarioLibre #Cepal #Macroeconomía #Inflación #Región https://t.co/1il5KZYk54</t>
  </si>
  <si>
    <t>💰 |#EconomíaDL|  Ministro de Economía representará a RD en Cumbre de los Objetivos de Desarrollo Sostenible
🔗https://t.co/zmTlH9F2Ym
#DiarioLibre #MinistrodeEconomía #DesarrolloSostenible #Macroeconomía https://t.co/lNbgOgPZgm</t>
  </si>
  <si>
    <t>💰| #EconomíaDL | El Gran Santo Domingo se mantiene como el de mayor participación en el PIB nacional
🔗https://t.co/vBWQYe2VBg 
#DiarioLibre #Economía #Macroeconomía #GSD #SantoDomingo #GranSantoDomingo #PIBNacional #ProductoInternoBruto #PIB https://t.co/2ZvQnmrAEo</t>
  </si>
  <si>
    <t>Com nossa incrível ala de recomendação de entradas de compra e venda, você pode transformar sua vida financeira! Ganhe até R$3500 por mês com apenas duas 💰🚀 #Trading #RendaExtra #OportunidadeFinanceira #AprimoramentoPessoal #MercadoFinanceiro #SucessoFinanceiro #OlympTrade https://t.co/J1Nnp5NHDV</t>
  </si>
  <si>
    <t>🚨 Aviso Importante:  Dados sujeitos a mudanças. Acompanhe notícias e eventos econômicos para análises atualizadas. Consulte profissionais financeiros para orientações específicas.
 #MercadoFinanceiro #AvisoImportante</t>
  </si>
  <si>
    <t>2/3 📈 Tendências:
Alta nos principais índices de ações globais. Possíveis pressões de desvalorização do dólar frente ao real. Indicadores de volatilidade em queda.
#MercadoFinanceiro #Tendências #DólarReal</t>
  </si>
  <si>
    <t>1/3 📊 Análise dos Dados:
S&amp;amp;P 500 Futuros: +0,50%
Dólar/Real: -0,28%
#IBOV Futuro: +0,88%
Dow Jones Futuros: +0,25%
DAX: +0,62%
FTSE 100 Futuros: +0,30% #MercadoFinanceiro #S&amp;amp;P500 #DólarReal #IBOV</t>
  </si>
  <si>
    <t>Acompanhe atualizações e eventos econômicos #MercadoFinanceiro #Projeções #BolsaBrasileira</t>
  </si>
  <si>
    <t>💹 Selloffs extremos e recessões preocupam investidores. Fed pode ter dificuldades para intervir devido ao excesso de medidas de estímulo passadas. #MercadoFinanceiro</t>
  </si>
  <si>
    <t>8/8 🧶 Fique atento aos dados e suas implicações para tomar decisões informadas em seus investimentos. 
💰💡🚀 #EducaçãoFinanceira #MercadoFinanceiro</t>
  </si>
  <si>
    <t>#EducaçãoFinanceira #MercadoFinanceiro #DólarReal #Investimentos #EconomiaDosEUA #BolsaDeValores #Consumo #DadosEconômicos</t>
  </si>
  <si>
    <t>7/7: Diversificar os investimentos com commodities pode trazer vantagens em tempos de incerteza econômica. 
#InvestirComSabedoria #Diversificação #MercadoFinanceiro</t>
  </si>
  <si>
    <t>6/7: Para commodities participarem plenamente de uma alta tática no segundo semestre de 2023, Kolanovic vê a necessidade de um catalisador adicional, como estímulo chinês mais agressivo ou fortalecimento dos PMIs globais. 
#MercadoFinanceiro #Economia</t>
  </si>
  <si>
    <t>1/7: O estrategista-chefe de mercados globais do JPMorgan, Marko Kolanovic, sugere que investidores considerem commodities em meio aos riscos de recessão. 
#Investimentos #Commodities #MercadoFinanceiro</t>
  </si>
  <si>
    <t>3/5 📊 Mudança de Percepção: Operadores de mercado financeiro têm uma visão mais positiva sobre o governo e o ministro da Fazenda. A confiança no rumo da política econômica está aumentando. #MercadoFinanceiro #PolíticaEconômica #Confiança 💼 https://t.co/upnSXRSMV2</t>
  </si>
  <si>
    <t>💼 🧵 Análise do mercado financeiro: Ações, câmbio, petróleo e volatilidade. Fique por dentro das tendências! #MercadoFinanceiro #Análise #Tendências 🧵</t>
  </si>
  <si>
    <t>3/8 📊 Número de pedidos da semana anterior revisado para baixo, de 237.000 para 237.000. #MelhoriaMercadoDeTrabalho 📉💼
4/8 📈 Possível impacto positivo na bolsa de valores e pressão de baixa no dólar frente ao real. #MercadoFinanceiro 📉💹</t>
  </si>
  <si>
    <t>💻📈 Fundos de hedge e trading preocupados com ameaça da IA. Imagem falsa de explosão causou queda nas ações dos EUA. Como combater notícias falsas geradas por máquinas? #IA #FakeNews #MercadoFinanceiro
https://t.co/G7xBAdNj0Y</t>
  </si>
  <si>
    <t>Volatilidade e incertezas ainda estão presentes no mercado financeiro. #MercadoFinanceiro #Commodities #Petróleo #MinérioDeFerro #Dólar #BolsaDeValores</t>
  </si>
  <si>
    <t>🔍 Lembre-se, os cenários econômicos são complexos e sujeitos a mudanças. Consulte fontes confiáveis para tomar decisões informadas. #EconomicAnalysis #FinancialMarkets #EconomiaMundial #AnáliseEconômica #DadosFinanceiros #Investimentos #MercadoFinanceiro</t>
  </si>
  <si>
    <t>📈📊 XP eleva projeção do Ibovespa para 133 mil pts ao fim de 2023, representando 9,07% de crescimento. Ações brasileiras atrativas com P/L de 8,5x. #Investimentos #MercadoFinanceiro</t>
  </si>
  <si>
    <t>2/6 🏦💸 #MercadoFinanceiro
Brasil a duas notas do grau de investimento, sinalizando menor vulnerabilidade e atraindo investidores. Novo governo busca melhorias adicionais. #GovernoLula #Perspectivas</t>
  </si>
  <si>
    <t>#Economia #IndicadoresEconômicos #Consumo #Investimentos #Inflação #Emprego #PoderDeCompra #Turismo #Inovação #MercadoFinanceiro #Educação #Bolsa 
📈🌐🔢💵</t>
  </si>
  <si>
    <t>#Economia #IndicadoresEconômicos #Consumo #Investimentos #Inflação #Emprego #PoderDeCompra #Turismo #Inovação #MercadoFinanceiro #Educação #Bolsa</t>
  </si>
  <si>
    <t>Economia portuguesa passa de défice a excedente externo de 704 ME até maio - Economia
#bancodeportugal #BDP #conjuntura #Economía #macroeconomia #negóciosefinanças #Portugal
https://t.co/kwKJyYdTkl</t>
  </si>
  <si>
    <t>Presidente do PS considera que o "estado da nação é bem melhor do que o estado da oposição" - Política
#conselhodeestado #Economía #macroeconomia #negóciosefinanças #orçamentodoestadoeimpostos #parlamento #partidosemovimentos #política #Portugal #ques...
https://t.co/IeWvuOSqqC</t>
  </si>
  <si>
    <t>O protesto mais temido
#asae #Consumo #Economía #indústriatransformadora #inspetores #jmj #macroeconomia #negóciosefinanças #questõessociais #segurançaalimentar
https://t.co/ZkIaLXMMka</t>
  </si>
  <si>
    <t>Fisco deixa escapar mais 904 milhões de euros - Economia
#A #at #autoridadetributária #Economía #fisco #informaçãosobreempresas #irc #irs #macroeconomia #Malta #negóciosefinanças #orçamentodoestadoeimpostos #política
https://t.co/vtCAPVWxVG</t>
  </si>
  <si>
    <t>Aumentam pagamentos do dinheiro da ‘bazuca’ - Política
#Economía #macroeconomia #mercadocambial #negóciosefinanças #política #prr
https://t.co/F1k2aC09r3</t>
  </si>
  <si>
    <t>Subida de juros preocupa 90% dos portugueses - Economia
#correiodamanhãcmtv #Economía #euribor #intercampus #jornaldenegócios #macroeconomia #mercadomonetário #negóciosefinanças
https://t.co/fTpSOMOHP7</t>
  </si>
  <si>
    <t>Excedente com IVA a ‘arrefecer’ - Política
#conjuntura #Economía #estado #irs #iva #macroeconomia #negóciosefinanças #orçamentodoestadoeimpostos #política
https://t.co/ggJirJK43M</t>
  </si>
  <si>
    <t>Juros atingem valor máximo de 22 anos - Economia
#bancocentraleuropeu #ChristineLagarde #conselhodobce #Economía #macroeconomia #negóciosefinanças
https://t.co/ZTthCdhDcK</t>
  </si>
  <si>
    <t>Taxa ‘invisível’ sobe preços dos combustíveis - Economia
#dgeg #direçãogeraldeenergiaegeologia #Economía #energia #macroeconomia #negóciosefinanças #preços
https://t.co/UQUuqovyS6</t>
  </si>
  <si>
    <t>Bruxelas aponta elevada dívida e fraca produtividade entre maiores desafios em Portugal - Economia
#bruxelas #comissãoeuropeia #Economía #macroeconomia #mecanismoderecuperação #negóciosefinanças #Portugal #prr #resiliencia
https://t.co/r8NcYO7Zkk</t>
  </si>
  <si>
    <t>Previsões até 2027 num quadro muito incerto - Política
#ajudaexterna #conselhodefinançaspúblicas #Economía #governosistema #macroeconomia #negóciosefinanças #política
https://t.co/xhGydg8c9V</t>
  </si>
  <si>
    <t>Lagarde promete baixa inflação "em tempo útil" e diz que crescimento fraco não é recessão - Economia
#bce #ChristineLagarde #Economía #macroeconomia #negóciosefinanças #orçamentodoestadoeimpostos #política
https://t.co/vOkpSzVbh8</t>
  </si>
  <si>
    <t>Portugueses querem melhorias no VAR - Futebol
#cmtv #Economía #economiageral #intercampus #macroeconomia #negóciosefinanças #questõessociais #VAR
https://t.co/ZrrC6Kzj5x</t>
  </si>
  <si>
    <t>Menos juros travam subscrição de certificados - Economia
#bancodeportugal #BDP #certificadosdeaforro #Economía #euribor #macroeconomia #mercadodedívida #mercadofinanceiro #negóciosefinanças #política
https://t.co/469r0nvbkg</t>
  </si>
  <si>
    <t>Fachada de edifício cai no Bairro Alto - Portugal
#bairroalto #Economía #Lisboa #macroeconomia #negóciosefinanças #ruadodiáriodenotícias
https://t.co/i5EqemuvsY</t>
  </si>
  <si>
    <t>https://t.co/Yq2mcbCBja
Una pequeño pronostico sobre lo que se espera del primer semestre de la economía.
#Bolivia 
#macroeconomia
#Economia</t>
  </si>
  <si>
    <t>¿La crisis de Peru nos afecto más que la guerra? https://t.co/Yq2mcbCBja 
Una pequeño pronostico sobre lo que se espera del primer semestre de la economía.
#Bolivia
 #macroeconomia
 #Economia</t>
  </si>
  <si>
    <t>Diretores do BC fazem as primeiras reuniões do trimestre com economistas para elaboração do Relatório Trimestral de Inflação (RTI). Entre os indicadores, a FGV informa o IGP-10 de agosto às 8h.
#mercadofinanceiro #bolsadevalores #bancocentral</t>
  </si>
  <si>
    <t>#macroeconomía 🇵🇾
El Indicador Mensual de Actividad Económica del Paraguay del @BCP_PY registró en mayo un crecimiento de 7,0% con respecto al mismo mes del año anterior. 
➡️ Nota completa aquí:
https://t.co/tCCFDBDeLk</t>
  </si>
  <si>
    <t>Subito dietro ai pesi massimi in #macroeconomia 😂
#OltreleBancheCentrali si difende bene sul sito di Amazon 
#inflazione #disuguaglianza https://t.co/6laI3aLLb5</t>
  </si>
  <si>
    <t>Qual o valor ideal para começar a investir?
#fidoeduca e tira essa dúvida para você que está pensando em começar no mercado financeiro agora!
Quer saber mais? Clica no link da nossa bio! 
#fidocomvc #fido #investimento #comecarainvestir #mercadofinanceiro #desenrola https://t.co/PrYjgSqL4O</t>
  </si>
  <si>
    <t>O cliente perguntando qual a taxa de #USD do dia.
O gráfico intraday.
#volatilidadebrasil
#dolar #mercadofinanceiro #cambio #analisetecnica #advancedcorretora https://t.co/PrATXOYhlY</t>
  </si>
  <si>
    <t>¿Esperando que la Vida se te pase sin tener la vida que quieres?
.
Diversifica tus fuentes de ingreso y reduce el riesgo financiero en tu vida ❤️
.
Hacemos trading de forma diferente 🙌🏼
.
#BBNaijaAllStars #JorgeLosa #bitcoin #dolar #trading #MercadoFinanceiro</t>
  </si>
  <si>
    <t>Banco Central reduz juros em 0,5 ponto percentual e Selic vai a 12,75%
#BancoCentral #TaxaSelic #MercadoFinanceiro https://t.co/FHATYDPtd5</t>
  </si>
  <si>
    <t>Pq o Ibovespa está caindo mesmo com a queda da taxa Selic?
#TaxaSelic #BancoCentral #FED #MercadoFinanceiro https://t.co/KNugLNcZk6</t>
  </si>
  <si>
    <t>RT @PedroRenatoGC: Pq o Ibovespa está caindo mesmo com a queda da taxa Selic?
#TaxaSelic #BancoCentral #FED #MercadoFinanceiro https://t.c…</t>
  </si>
  <si>
    <t>Confira os principais fatores que influenciam os mercados financeiros em todo o mundo nesta sexta-feira, 11 de agosto
#mercadofinanceiro
#Economia
#trade
https://t.co/CUX5XVV4G3</t>
  </si>
  <si>
    <t>COLUNA Vitor Miziara @vmiziara_ | Como o investidor pode se proteger de conflitos de interesse? Saiba #mercadofinanceiro #Investimentos 
https://t.co/QO4uLw1BOk</t>
  </si>
  <si>
    <t>COLUNA Vitor Miziara @vmiziara_ | Para onde vai o dólar? Confira a “análise de milhões”
#mercadofinanceiro #investimentos
https://t.co/OijA7PGz3Y</t>
  </si>
  <si>
    <t>💵 COLUNA Luciana Seabra @luciana_seabra | Confira 8 mentiras que fazem você perder dinheiro com a previdência 
#mercadofinanceiro #investimentos</t>
  </si>
  <si>
    <t>🇨🇳 🇧🇷 COLUNA @ThiagoGdeAragao | Os riscos da dependência comercial entre Brasil e China. Confira
#mercadofinanceiro #investimentos 
https://t.co/kpUNTCNLBl</t>
  </si>
  <si>
    <t>💳🇧🇷 Segundo @brunomonsanto_, assessor de investimentos e sócio na RJ+ Investimentos, “O programa em si não resolve estruturalmente a saúde do mercado de crédito no Brasil”. Confira 
#mercadofinanceiro #investimentos
https://t.co/SLrIpgApbO</t>
  </si>
  <si>
    <t>📊 COLUNA Fabrizio Gueratto @1Bilhao_ | Taxa de juros Selic em queda acaba com a renda fixa? Saiba
#mercadofinanceiro #investimentos 
https://t.co/AjUgNH1xQD</t>
  </si>
  <si>
    <t>👨‍💼 COLUNA Marco Saravalle @marcosaravalle | O melhor jeito de se beneficiar com a retomada de investimentos públicos. Confira
#mercadofinanceiro #investimentos
https://t.co/0ClYIdUGmo</t>
  </si>
  <si>
    <t>COLUNA Marco Saravalle @marcosaravalle  | PIB para acima e incertezas fiscais. Entenda como fica o mercado
#mercadofinanceiro #investimentos 
https://t.co/QULy8EDzvS</t>
  </si>
  <si>
    <t>COLUNA Marco Saravalle
@marcosaravalle | O melhor jeito de se beneficiar com a retomada de investimentos públicos. Confira #mercadofinanceiro #investimentos
https://t.co/ZYFgIqJMTo</t>
  </si>
  <si>
    <t>ONJORNAL | Negócios
A inteligência artifici3al (#IA) é um dos #avanços #tecnológicos mais impactantes do #séculoXXI, transformando diversos #setores em todo o #mundo, incluindo o #mercadofinanceiro e a #economiaglobal.
https://t.co/I84hVXzPMP https://t.co/4hHBHXppOK</t>
  </si>
  <si>
    <t>ONJORNAL | Economia
Beneficiado pelo anúncio de medidas de estímulo #econômico na #China, o #mercadofinanceiro teve um dia de ganhos. 
https://t.co/kdi2AIZA0Z https://t.co/hryZ6GW0A8</t>
  </si>
  <si>
    <t>Entenda como funciona a segurança das criptomoeadas. O modelo é seguro contra invasores.
Veja a entrevista completa com o especialista Dr. Davi de Oliveira, no https://t.co/PqEiIWNP4R
#cripto #mercadofinanceiro #inovações #investimento #valores https://t.co/y5hM3RFMIU</t>
  </si>
  <si>
    <t>#macroeconomía #culturaeconómica, dado que hace unos días se presentó el paquete económico para 2024.
Según el art. 74 de la Constitución: 
*El Ejecutivo Federal hará llegar a la Cámara de Diputados la Iniciativa de Ley de Ingresos y el Proyecto de Presupuesto de Egresos</t>
  </si>
  <si>
    <t>"Crescer não é apenas acumular experiências e anos de vida, mas se abrir com humildade ao aprendizado e busca de conhecimento."
Abílio Diniz
#AbilioDiniz #experiencias #conhecimento #economia #investimentos #mercados #dinheiro #mercadofinanceiro #frasedodia #pensamentos https://t.co/P54Pj6g4se</t>
  </si>
  <si>
    <t>@mantledaily_ #cryptomarket #mercadofinanceiro #investment</t>
  </si>
  <si>
    <t>A expectativa tá "pequena" pro CPI amanhã, hein!? 😱 
Olha as o q as principais casas estão projetando de estimativa e compara com o gráfico diário do Índice Futuro e Dólar futuro
#mercadofinanceiro #mercadodecapitais #dólar #bolsadevalores #futuros #índice #technicalanalysis https://t.co/drpqI2F6Jv</t>
  </si>
  <si>
    <t>#mercadofinanceiro #mercadodecapitais #mercados #data #dataanalysis #datascience #data #dados #ibov #ibovespa #dólar #índice #futuros #futures #derivatives #wti #petróleo #oil #markets #trader #traderlifestyle #traderlife</t>
  </si>
  <si>
    <t>Pesquisa de Claudia Yoshinaga, Bianca Checon e Laura Gomes, realizada com 240 profissionais do mercado financeiro, concluíram que apenas 7% dos cargos de alta hierarquia são ocupados por mulheres. Confira: https://t.co/BlfHR0Mp7I
#BlogImpacto #FGVEAESP #mercadofinanceiro https://t.co/gfeGsBG2R8</t>
  </si>
  <si>
    <t>RT @perpheito: Para aprender como me “ler” e de quebra ajudar a vc fazer projeções.
————————
Siga para comentários de economia, política e…</t>
  </si>
  <si>
    <t>Banco Central sacrifica el crecimiento y logra detener la inflación https://t.co/9x7sdN2FZX
 #BancoCentral #crecimiento #inflación #macroeconomía #estabilidad #políticamonetaria #reserva #economíaglobal #políticaeconómica</t>
  </si>
  <si>
    <t>Através do Setor em Foco, exploramos as tendências, oportunidades e desafios que moldam os mercados globais. Fiquem ligados para mais insights e análises! 💼🌟
Fonte: CNN
🇮🇳💫🇧🇷
#MercadoFinanceiro #Ações #Investimentos #Índia</t>
  </si>
  <si>
    <t>Que tal um snickers?
#CBDC #DólarDigital #RussellBrand #PoderDoGoverno #Criptomoedas #Bitcoin    #DólarDigital #MoedasDigitais #TecnologiaFinanceira #Governança #PolíticaMonetária #EconomiaDigital #InovaçãoFinanceira #Blockchain #MercadoFinanceiro https://t.co/TnLxXTsbla</t>
  </si>
  <si>
    <t>Los ETFs de Bitcoin son pools de activos relacionados al Bitcoin que se ofrecen para poder generar una rentabilidad sin poseer directamente ningún BTC. 
#btc #etf #exchangetradedfunds #bitcoins #cyptocurrency #mercadofinanceiro #bolsadevalores #wallstreet #invesment #yinyang https://t.co/MfJsXCUFx7</t>
  </si>
  <si>
    <t>Excelente livro!
Ensinamentos que se provaram ao longo do tempo. Leitura obrigatória para investidores, especialmente para os de longo prazo.
#Leitura #MercadoFinanceiro #Investimentos #BolsadeValores https://t.co/x5jMIPBhqp</t>
  </si>
  <si>
    <t>#Mercados📈 #Macroeconomía y su impacto en las #criptomonedas.
👉 #Entrevista🗣️ Pablo Gil (@PabloGilTrader) analista de XTB (@xtbes) “Hay que tener un porcentaje de la cartera invertido en criptomonedas”.
https://t.co/5qWX2KO5cs</t>
  </si>
  <si>
    <t>O que você achou dessa dica? #mercadofinanceiro #conhecimento #carteira
Opinião por: Andressa Bergamo https://t.co/IbCfdBqcUU</t>
  </si>
  <si>
    <t>Você sabia que o atentado de 11 de setembro teve este impacto no mercado?   #mercadofinanceiro #dinheiro
Opinião por: Roberto Motta https://t.co/isZw1dK3DA</t>
  </si>
  <si>
    <t>Descubra quais ações podem ter as altas mais explosivas da bolsa com o início da queda de juros.
Receba o relatório grátis aqui: https://t.co/EAhSpuHZr3
#selic #b3 #bolsadevalores #mercadofinanceiro</t>
  </si>
  <si>
    <t>Comece a semana preparado para o mercado!
Confira a agenda com os principais acontecimentos que estão no radar para os próximos dias.
Não fique de fora das atualizações do mercado.
Baixe o app: https://t.co/1cczQWWI8k
#mercadofinanceiro #investimentos #dinheiro https://t.co/0aDelPHadk</t>
  </si>
  <si>
    <t>Você entende tudo o que você faz? #cliente #mercadofinanceiro #risco
Opinião por: Andressa Bergamo https://t.co/FHY86DZbVY</t>
  </si>
  <si>
    <t>Você segue alguma carteira recomendada? 
Confira as carteiras recomendadas no app do TC. Baixe gratuitamente aqui: https://t.co/1cczQWWI8k
#ações #investidor #mercadofinanceiro
Opinião por: Filipe Villegas https://t.co/tzqhF6qwwa</t>
  </si>
  <si>
    <t>Sobre dólar: Qual o cenário perfeito na sua opinião? #mercadofinanceiro #dinheiro #dólar
Opinião por: Ariane Benedito https://t.co/5Cy7sgg6yY</t>
  </si>
  <si>
    <t>Você já faz o dinheiro trabalhar para você? #ações #mercadofinanceiro #dinheiro #pobreza
Opinião por: Louise Barsi https://t.co/b5uF3gXNQU</t>
  </si>
  <si>
    <t>“Eu vou investir onde está rendendo mais no momento”. Você comete ou já cometeu esse erro? #bolsa #mercadofinanceiro #caixinhas #objetivo
Opinião por: Louise Barsi https://t.co/JLmcnXAFFX</t>
  </si>
  <si>
    <t>“Escolha uma ação e compre sem olhar o preço”. Você tem apetite para risco? #ações #mercadofinanceiro
Opinião por: Jansen https://t.co/42uSzSsVD0</t>
  </si>
  <si>
    <t>“Dá pra investir devendo?”. Você concorda que não é recomendado para os inadimplentes? #devendo #investir #mercadofinanceiro
Opinião por: Jaqueline Silva https://t.co/x64naTEipD</t>
  </si>
  <si>
    <t>Qual dessas ações você não teria na sua carteira?
#mercadofinanceiro #investimentos #dinheiro https://t.co/nH1IGBd5cL</t>
  </si>
  <si>
    <t>Os três maiores medos do ser humano são: falar em público, a morte e cuidar das próprias finanças. Qual desses te assusta mais? #medo #mercadofinanceiro #dinheiro
Opinião por: Marcio Loréga https://t.co/iDI0v3b3eU</t>
  </si>
  <si>
    <t>“As mulheres vão de forma intencional para o mercado”. Você concorda com o que foi dito? #mercadofinanceiro #disciplina #dinheiro
Opinião por: Carol Rosa https://t.co/c1iAOCHog5</t>
  </si>
  <si>
    <t>RT @tcinvestimentos: “Dá pra investir devendo?”. Você concorda que não é recomendado para os inadimplentes? #devendo #investir #mercadofina…</t>
  </si>
  <si>
    <t>🔱📝 Os movimentos milionários estão redefinindo a forma como investidores abordam o mercado financeiro. 💼💰 
#Milionarios #Investimentos #MercadoFinanceiro</t>
  </si>
  <si>
    <t>"Se tomaron medidas para dar previsibilidad y estabilidad macroeconómica", afirmó de @dmvasco 
El titular de la Secretaría de Industria y Progreso Productivo, declaró este martes sobre las nuevas implementaciones.
Nota Completa:
https://t.co/qpRx3z7TqM
#Macroeconomía https://t.co/z3F8yka5Uy</t>
  </si>
  <si>
    <t>Tutti gli occhi sono puntati sulla riunione del FOMC poiché la Fed sta prendendo in considerazione un aumento dei tassi di interesse.
#macroeconomia #FOMC #tassi #PIL #Economia</t>
  </si>
  <si>
    <t>Nosso autor David Silva faz uma análise sobre a MP 1184/2023 que institui o come-cotas sobre os #fundos de investimento fechados. 
https://t.co/P33Sm41M2f
#finançaspessoais #mercadofinanceiro #investimentofinanceiro #contabilidade #tributação #direitotributário https://t.co/6lmD0F0KMr</t>
  </si>
  <si>
    <t>Começamos a semana falando de #finançaspessoais e #investimentos, com o ótimo artigo de Nohad Harati: https://t.co/VUM34mYHJR
#investimentofinanceiro #mercadofinanceiro #familyoffice #gestaofinanceira https://t.co/d35Ixa0ZVI</t>
  </si>
  <si>
    <t>Veja a primeira análise sobre a MP 1184/2023 que institui o come-cotas sobre os #fundos de #investimento fechados. 
https://t.co/P33Sm41ecH
#finançaspessoais #mercadofinanceiro #investimentofinanceiro #contabilidade #tributação #direitotributário #fundosdeinvestimento #bancos https://t.co/6bZqAs7FNs</t>
  </si>
  <si>
    <t>Começamos a semana com artigo de David Silva sobre #investimentofinanceiro por meio de #empresas #offshore e os impactos na #tributação trazidos pela MP 1171/2023.
https://t.co/zaKzBRkidP
#mercadofinanceiro #contabilidade #finançaspessoais #direito #direitotributario https://t.co/rt416ASdF4</t>
  </si>
  <si>
    <t>How should the #EU fund European reindustrialisation? Progress on banking union and capital markets union can help.
✍️Analysis by @michelemchang.
https://t.co/atMzQxu1gS</t>
  </si>
  <si>
    <t>#Económicas País busca alternativas bajar dependencia trigo importado https://t.co/XjHp0FtIbe #Alternativas #dependencia #macroeconomía #sectoresproductivos #trigoimportado</t>
  </si>
  <si>
    <t>#Económicas | País busca alternativas bajar dependencia trigo importado
 https://t.co/XjHp0FtIbe 
#PeriódicoElDía #Alternativas #dependencia #macroeconomía #sectoresproductivos #trigo</t>
  </si>
  <si>
    <t>#viverderenda #educacaofinanceira #comoinvestir #mercadofinanceiro #investimentos #liberdadefinanceira #ipca #cdi #igpm #HGRU #HGRU11 #CSHG #CREDITSUISSE #rendimentos #HIBRIDO #rendaurbana #varejo</t>
  </si>
  <si>
    <t>💡¿Sabías que el @BancoCentral_Ec recorta de nuevo la previsión de PIB para 2023?🛢️
Entérate aquí: 👉🔗https://t.co/Mbz8cnj9c7 
#PIB #previsiónpib #macroeconomia #proyecciones https://t.co/g0lplwYhsL</t>
  </si>
  <si>
    <t>#Mundo Las nuevas perspectivas económicas del #FMI plasman interesantes retos para nuestros países de #LatinoAmerica
#Economia #Finanzas #FinanzasPublicas #Macroeconomia
https://t.co/QdHzV5QvWo</t>
  </si>
  <si>
    <t>#Mundo Mejoran las perspectivas Mundiales... mejoran para nuestra región de #LatinoAmerica !!!!...
#Economia #Finanzas #Macroeconomia #FMI #IMF
https://t.co/qDUrX0Ok4Y</t>
  </si>
  <si>
    <t>#UH #UltimaHora Las nuevas perspectivas mundiales del #FMI sobre el crecimiento económico siguen en mejora !!!... 👏🏻👌🏻☺️💰
#Economia #Finanzas #Macroeconomia https://t.co/cgutIFdX9i</t>
  </si>
  <si>
    <t>#UH #UltimaHora Las nuevas perspectivas mundiales del #FMI sobre el crecimiento económico siguen en mejora !!!... 👏🏻👌🏻☺️💰
#Economia #Finanzas #Macroeconomia https://t.co/emPUkkxA98</t>
  </si>
  <si>
    <t>Morning Call:
Principais destaques do dia 12/07/2023
#hermescapital #safra #safrainvest #investimentos #mercadofinanceiro #petroleo #commodities #empresas #dolar #juros #economia https://t.co/F5VdPSs71n</t>
  </si>
  <si>
    <t>Morning Call:
Principais destaques do dia 20/07/2023
#hermescapital #safra #safrainvest #investimentos #mercadofinanceiro #petroleo #commodities #empresas #dolar #juros #economia https://t.co/CwR5hm9H0r</t>
  </si>
  <si>
    <t>Morning Call:
Principais destaques do dia 07/08/2023
#hermescapital #safra #safrainvest #investimentos #mercadofinanceiro #petroleo #commodities #empresas #dolar #juros #economia https://t.co/eza7hgsE9a</t>
  </si>
  <si>
    <t>Boletim Focus:
#hermescapital #safra #safrainvest #investimentos #mercadofinanceiro #bancocentral #cambio #pib #selic #ipca #inflação https://t.co/55B4N5HLPm</t>
  </si>
  <si>
    <t>Morning Call:
Principais destaques do dia 31/07/2023
#hermescapital #safra #safrainvest #investimentos #mercadofinanceiro #petroleo #commodities #empresas #dolar #juros #economia https://t.co/SZZwRM8St1</t>
  </si>
  <si>
    <t>Boletim Focus:
#hermescapital #safra #safrainvest #investimentos #mercadofinanceiro #bancocentral #cambio #pib #selic #ipca #inflação https://t.co/9ALvcZXl3d</t>
  </si>
  <si>
    <t>Morning Call:
Principais destaques do dia 11/08/2023
#hermescapital #safra #safrainvest #investimentos #mercadofinanceiro #petroleo #commodities #empresas #dolar #juros #economia https://t.co/RS6o35LufL</t>
  </si>
  <si>
    <t>Morning Call:
Principais destaques do dia 22/08/2023
#hermescapital #safra #safrainvest #investimentos #mercadofinanceiro #petroleo #commodities #empresas #dolar #juros #economia https://t.co/RYYuYygy0w</t>
  </si>
  <si>
    <t>Morning Call:
Principais destaques do dia 19/07/2023
#hermescapital #safra #safrainvest #investimentos #mercadofinanceiro #petroleo #commodities #empresas #dolar #juros #economia https://t.co/OqSL9HAlkj</t>
  </si>
  <si>
    <t>Morning Call:
Principais destaques do dia 23/08/2023
#hermescapital #safra #safrainvest #investimentos #mercadofinanceiro #petroleo #commodities #empresas #dolar #juros #economia https://t.co/WKhi83B8Bc</t>
  </si>
  <si>
    <t>Morning Call:
Principais destaques do dia 29/08/2023
#hermescapital #safra #safrainvest #investimentos #mercadofinanceiro #petroleo #commodities #empresas #dolar #juros #economia https://t.co/OjUj64ooyL</t>
  </si>
  <si>
    <t>Morning Call:
Principais destaques do dia 24/07/2023
#hermescapital #safra #safrainvest #investimentos #mercadofinanceiro #petroleo #commodities #empresas #dolar #juros #economia https://t.co/TU0rKnqRre</t>
  </si>
  <si>
    <t>Morning Call:
Principais destaques do dia 28/08/2023
#hermescapital #safra #safrainvest #investimentos #mercadofinanceiro #petroleo #commodities #empresas #dolar #juros #economia https://t.co/FJXwU6Y59d</t>
  </si>
  <si>
    <t>Morning Call:
Principais destaques do dia 30/08/2023
#hermescapital #safra #safrainvest #investimentos #mercadofinanceiro #petroleo #commodities #empresas #dolar #juros #economia https://t.co/IJNJ2ftSVT</t>
  </si>
  <si>
    <t>Boletim Focus:
#hermescapital #safra #safrainvest #investimentos #mercadofinanceiro #bancocentral #cambio #pib #selic #ipca #inflação https://t.co/RLdc5J85iz</t>
  </si>
  <si>
    <t>Boletim Focus:
#hermescapital #safra #safrainvest #investimentos #mercadofinanceiro #bancocentral #cambio #pib #selic #ipca #inflação https://t.co/5zQXCtQNxy</t>
  </si>
  <si>
    <t>Morning Call:
Principais destaques do dia 04/09/2023
#hermescapital #safra #safrainvest #investimentos #mercadofinanceiro #petroleo #commodities #empresas #dolar #juros #economia https://t.co/dTWin8ZBpv</t>
  </si>
  <si>
    <t>Morning Call:
Principais destaques do dia 24/08/2023
#hermescapital #safra #safrainvest #investimentos #mercadofinanceiro #petroleo #commodities #empresas #dolar #juros #economia https://t.co/4jOetQ3l5Z</t>
  </si>
  <si>
    <t>Morning Call:
Principais destaques do dia 05/09/2023
#hermescapital #safra #safrainvest #investimentos #mercadofinanceiro #petroleo #commodities #empresas #dolar #juros #economia https://t.co/puKyyiNhhc</t>
  </si>
  <si>
    <t>Morning Call:
Principais destaques do dia 04/08/2023
#hermescapital #safra #safrainvest #investimentos #mercadofinanceiro #petroleo #commodities #empresas #dolar #juros #economia https://t.co/AdXIqTfxrl</t>
  </si>
  <si>
    <t>Morning Call:
Principais destaques do dia 31/08/2023
#hermescapital #safra #safrainvest #investimentos #mercadofinanceiro #petroleo #commodities #empresas #dolar #juros #economia https://t.co/15QubRuQzv</t>
  </si>
  <si>
    <t>Morning Call:
Principais destaques do dia 14/08/2023
#hermescapital #safra #safrainvest #investimentos #mercadofinanceiro #petroleo #commodities #empresas #dolar #juros #economia https://t.co/yH6Cu59lne</t>
  </si>
  <si>
    <t>Boletim Focus:
#hermescapital #safra #safrainvest #investimentos #mercadofinanceiro #bancocentral #cambio #pib #selic #ipca #inflação https://t.co/Si70AaZd0O</t>
  </si>
  <si>
    <t>Morning Call:
Principais destaques do dia 18/07/2023
#hermescapital #safra #safrainvest #investimentos #mercadofinanceiro #petroleo #commodities #empresas #dolar #juros #economia https://t.co/UppAv1H4Sl</t>
  </si>
  <si>
    <t>Morning Call:
Principais destaques do dia 08/09/2023
#hermescapital #safra #safrainvest #investimentos #mercadofinanceiro #petroleo #commodities #empresas #dolar #juros #economia https://t.co/JWAZhTcjKT</t>
  </si>
  <si>
    <t>Morning Call:
Principais destaques do dia 21/07/2023
#hermescapital #safra #safrainvest #investimentos #mercadofinanceiro #petroleo #commodities #empresas #dolar #juros #economia https://t.co/vhiytbMb1T</t>
  </si>
  <si>
    <t>Morning Call:
Principais destaques do dia 18/09/2023
#hermescapital #safra #safrainvest #investimentos #mercadofinanceiro #petroleo #commodities #empresas #dolar #juros #economia https://t.co/70O9uzxtti</t>
  </si>
  <si>
    <t>Boletim Focus:
#hermescapital #safra #safrainvest #investimentos #mercadofinanceiro #bancocentral #cambio #pib #selic #ipca #inflação https://t.co/3YfsmutiYG</t>
  </si>
  <si>
    <t>Boletim Focus:
#hermescapital #safra #safrainvest #investimentos #mercadofinanceiro #bancocentral #cambio #pib #selic #ipca #inflação https://t.co/WAPT32fcLg</t>
  </si>
  <si>
    <t>Morning Call:
Principais destaques do dia 21/08/2023
#hermescapital #safra #safrainvest #investimentos #mercadofinanceiro #petroleo #commodities #empresas #dolar #juros #economia https://t.co/eUmJqmepAb</t>
  </si>
  <si>
    <t>Morning Call:
Principais destaques do dia 20/09/2023
#hermescapital #safra #safrainvest #investimentos #mercadofinanceiro #petroleo #commodities #empresas #dolar #juros #economia https://t.co/KQ8A7BAq3r</t>
  </si>
  <si>
    <t>Morning Call:
Principais destaques do dia 25/08/2023
#hermescapital #safra #safrainvest #investimentos #mercadofinanceiro #petroleo #commodities #empresas #dolar #juros #economia https://t.co/qk94c0EOtm</t>
  </si>
  <si>
    <t>Morning Call:
Principais destaques do dia 11/07/2023
#hermescapital #safra #safrainvest #investimentos #mercadofinanceiro #petroleo #commodities #empresas #dolar #juros #economia https://t.co/VrFosmtbEH</t>
  </si>
  <si>
    <t>Morning Call:
Principais destaques do dia 19/09/2023
#hermescapital #safra #safrainvest #investimentos #mercadofinanceiro #petroleo #commodities #empresas #dolar #juros #economia https://t.co/F3xtMCUxRU</t>
  </si>
  <si>
    <t>Morning Call:
Principais destaques do dia 01/08/2023
#hermescapital #safra #safrainvest #investimentos #mercadofinanceiro #petroleo #commodities #empresas #dolar #juros #economia https://t.co/KzUarowGKl</t>
  </si>
  <si>
    <t>Boletim Focus:
#hermescapital #safra #safrainvest #investimentos #mercadofinanceiro #bancocentral #cambio #pib #selic #ipca #inflação https://t.co/uDkW8cpQ0G</t>
  </si>
  <si>
    <t>Morning Call:
Principais destaques do dia 25/09/2023
#hermescapital #safra #safrainvest #investimentos #mercadofinanceiro #petroleo #commodities #empresas #dolar #juros #economia https://t.co/QJif8R4orE</t>
  </si>
  <si>
    <t>Morning Call:
Principais destaques do dia 11/09/2023
#hermescapital #safra #safrainvest #investimentos #mercadofinanceiro #petroleo #commodities #empresas #dolar #juros #economia https://t.co/9gbUKmxDZ4</t>
  </si>
  <si>
    <t>Boletim Focus:
#mercadofinanceiro #bancocentral #cambio #pib #selic #ipca #inflação https://t.co/6VoQy77JSP</t>
  </si>
  <si>
    <t>Morning Call:
Principais destaques do dia 02/08/2023
#hermescapital #safra #safrainvest #investimentos #mercadofinanceiro #petroleo #commodities #empresas #dolar #juros #economia https://t.co/XNyIaZD03S</t>
  </si>
  <si>
    <t>65% dos entrevistados avaliam o ministro positivamente; em março, porcentagem era de apenas 10%.
https://t.co/f9eaYoEHXo
#TVCultura #Haddad #MercadoFinanceiro</t>
  </si>
  <si>
    <t>RT @ValoraAnalitik: #Macroeconomía | Una persona pobre en Colombia tiene $13.228 al día para sobrevivir
https://t.co/AQqMFI0Nag
@petrogus…</t>
  </si>
  <si>
    <t>Fatiga fiscal en América Latina y el Caribe: una amenaza creciente 👉 https://t.co/5H7yx6NGXy #Macroeconomía #PolíticaFiscal</t>
  </si>
  <si>
    <t>La globalización y los bloques geopolíticos: Los intercambios entre la UE y el resto del mundo pierden vigor, lo que redunda en un déficit creciente con China y un superávit menguante con EEUU 👉 https://t.co/xJ0tdpzq8O via @funcases #Macroeconomía #ComercioInteracional</t>
  </si>
  <si>
    <t>The launch of "Twilight" by Lucy Scientific Inc. is expected to drive significant growth in the company's stock price. #LucyScientificInc $LSDI
#mercadofinanceiro
#forextrading
#business
#daytrading
#stocks
#cryptocurrency
#money</t>
  </si>
  <si>
    <t>RT @ValoraAnalitik: #Macroeconomía | Exministro Ocampo le pide al gobierno Petro subir el precio de los peajes 
https://t.co/YRX3yOjP1B
@…</t>
  </si>
  <si>
    <t>A previsão do mercado financeiro para o crescimento da economia brasileira este ano subiu de 2,29% para 2,31%.
Leia em: https://t.co/ggpsyAqcHy
#previsão #mercadofinanceiro #economiabrasileira #forumservicopublicoceara https://t.co/kACenYVv1g</t>
  </si>
  <si>
    <t>Pela quinta semana seguida, a previsão do mercado financeiro para o crescimento da economia brasileira este ano subiu, passando de 2,89% para 2,92%.
Leia em: https://t.co/ggpsyAqKx6
#mercadofinanceiro #economiabrasileira #forumservicopublicoceara https://t.co/TOhS5dqN50</t>
  </si>
  <si>
    <t>Nos dias 16 e 17 de agosto, a Oca do Ibirapuera, em São Paulo, está sendo o epicentro das discussões sobre o mundo dos investimentos no ANBIMA Summit 2023.
#ANBIMASummit2023 #MercadoFinanceiro #Investimentos #Inovação #InteligênciaArtificial #Tokenização #FuturoFinanceiro https://t.co/sprAuVxW6Q</t>
  </si>
  <si>
    <t>#Recuerda #Muyimportante #MacroEconomia 1 punto del pib chileno es de 2700 mil millones de dólares... https://t.co/lwN5Z1aAAK</t>
  </si>
  <si>
    <t>#MacroEconomia ::: El #Oro aplasta al #Dolar y el Yen mientras el partido comunista chino acumula y acumula grandes cantidades de este metal preciado https://t.co/NruRDOs5RF</t>
  </si>
  <si>
    <t>#MacroEconomia Los saudíes tomaron el control de petrobas Chile https://t.co/oI7IX5owU8</t>
  </si>
  <si>
    <t>💡 Você sabia que a reciclagem cria empregos e estimula a economia local? Invista onde faz a diferença. 
#EmpregoSustentável #MercadoFinanceiro #RendaPassiva #EducaçãoFinanceira #InvestirFuturo https://t.co/OAyBPzZpoj</t>
  </si>
  <si>
    <t>Saiba como funciona o investimento sustentável no #GrupoAyonel #Lucroverde! 
#B3 #investimento #reciclagem #empredimento #meioambiente #empresas #oportunidadesfinanceira #investir #financeiro #BTC
#dinheiro #Rendapassiva #mercadofinanceiro #finançaspessoais #investirfuturo https://t.co/aYYwQ8Rnjt</t>
  </si>
  <si>
    <t>La inflación industrial ahonda su caída en junio hasta el 8,1% por el menor coste del gas https://t.co/0x1JbfvWlR #economíafinanzas #macroeconomía</t>
  </si>
  <si>
    <t>Conte com a BlockBR para te acompanhar e guiar ao conhecer o futuro do #mercadofinanceiro. Contamos com um time de especialistas pronto para te atender e tirar todas as suas dúvidas.</t>
  </si>
  <si>
    <t>Aguardamos sua visita no espaço INOVAÇÃO, para falarmos tudo sobre tokenização. Não fique de fora!
#anbima #mercadofinanceiro #summit #tokenização</t>
  </si>
  <si>
    <t>📌Comparte con nosotros un momento de aprendizaje
#Macroeconomía básica con #Python 
📆26 de agosto
🕖09 a 11 am
Un espacio donde se tratará:
✅Composición del PIB
✅Producción de equilibrio
✅Equilibrio del mercado
¿dónde?
https://t.co/f0u7iFmO4Y https://t.co/QinWD8X07B</t>
  </si>
  <si>
    <t>O ouro continua em processo de consolidação. 💰✨ #Ouro #Investimentos #MercadoFinanceiro https://t.co/jcZul6L8C1</t>
  </si>
  <si>
    <t>Mercados atentos aos resultados de grandes bancos americanos, com a temporada de balanços ganhando tração
#MercadoFinanceiro</t>
  </si>
  <si>
    <t>1/ 🚀 Hey folks! Ever wonder how the big economic picture affects assets like crypto? Let's dive into some macro magic! 💫
#crypto #macro #Macroeconomía</t>
  </si>
  <si>
    <t>LANÇAMENTO!
📕 Coletânea de macroeconomia aplicada: Crescimento, inflação e dívida pública
Acesso: https://t.co/nIYTB1I8NP
Parabéns para os organizadores e autores da obra!
Desejamos muito sucesso! 👏🎉👏🎉
#lançamento #livro #macroeconomia #dividapublica
#inflação #gestão https://t.co/SsXxW2pEXb</t>
  </si>
  <si>
    <t>📈 A volatilidade no mercado financeiro está mantendo os investidores alertas. Acompanhe as últimas tendências e insights para tomar decisões informadas. #MercadoFinanceiro #Investimentos 💼📊</t>
  </si>
  <si>
    <t>📈 Excelente dia no mercado financeiro brasileiro, com o Ibovespa subindo! 💰💹 #Ibovespa #MercadoFinanceiro #EconomiaBrasileira</t>
  </si>
  <si>
    <t>ESTAREMOS NO MAIOR ENCONTRO DOS MERCADOS FINANCEIRO E DE CAPITAIS DO BRASIL! 
Fique ligado para não perder nenhuma novidade.
#anbima #anbimasummit #anbimasummit2023 #mercadofinanceiro #mercadodecapitais #ativosdigitais #evento #titanium #titaniumasset https://t.co/PxVfxmvWsC</t>
  </si>
  <si>
    <t>Venha conhecer o Cinema Titanium, nosso espaço exclusivo no ANBIMA Summit 2023!
Fique ligado nas nossas redes sociais para não perder nada!
#anbima #anbimasummit #anbimasummit2023 #mercadofinanceiro #mercadodecapitais #ativosdigitais #evento #titanium #titaniumasset https://t.co/RdW89WRp5N</t>
  </si>
  <si>
    <t>O ANBIMA Summit está chegando e a Patrícia Aiello, nossa Diretora Comercial, tem um convite muito especial para você. Confira agora!
#anbima #anbimasummit #anbimasummit2023 #mercadofinanceiro #mercadodecapitais #ativosdigitais #evento #titanium #titaniumasset https://t.co/P33XyytW5q</t>
  </si>
  <si>
    <t>De acordo com dados do CompaniesMarketCap, confira quais são as 10 empresas mais valiosas dos EUA atualmente.
#tecnologia #mercadofinanceiro #fundosdeinvestimento #investimentos #titanium #titaniumasset https://t.co/QgVsgFj2d7</t>
  </si>
  <si>
    <t>Economize com a melhor taxa do mercado! 
Nossa solução tem integração direta com as principais plataformas de e-commerce. 
Não perca tempo, acesse nosso site e fale conosco!
#ras #raspay #fintechs #meiosdepagamento #pix #bitcoin #mercadofinanceiro https://t.co/8an6RXXOSc</t>
  </si>
  <si>
    <t>#RioBravoInvestimentos #AsInstituiçõesEstãoFuncionando? #FuncionamentoDasInstituições #MercadoFinanceiro #Liderança #GustavoFranco #EducaçãoFinanceira #BancoCentral #Economia</t>
  </si>
  <si>
    <t>#RioBravoInvestimentos #FundodeInvestimento #MercadoFinanceiro #FundosImobiliários #Investimentos #seuinvestimentotempoder #SoluçõesdeInvestimento</t>
  </si>
  <si>
    <t>#RioBravoInvestimentos #AsInstituiçõesEstãoFuncionando? #MercadoFinanceiro #Liderança #GustavoFranco #EducaçãoFinanceira #Economia #BancoCentral</t>
  </si>
  <si>
    <t>#RioBravoInvestimentos #AsInstituiçõesEstãoFuncionando? #MercadoFinanceiro #Liderança #MaurícioZanoide #EducaçãoFinanceira</t>
  </si>
  <si>
    <t>Mentira‼️
En 2015 con #Peña el #dolar fluctuaba en $15 Pesos en Junio y en el mes de Julio entre $15.00 y $16.00‼️
O sea que #Peña tenia una "Super #Macroeconomia" #Mexicana, su peso era mas fuerte que ahora 😏 https://t.co/gEb0SgqZQA</t>
  </si>
  <si>
    <t>O Banco Central recebe dados do Censo Anual de Capitais Estrangeiros na economia brasileira até o dia 15 de agosto; saiba mais sobre como fazer o Censo no alerta de Direito Societário https://t.co/EdEncSgW03 @BancoCentralBR #mercadofinanceiro #direitosocietario #investimento</t>
  </si>
  <si>
    <t>O sócio de #direitobancario, Antonio Aires, concedeu entrevista à revista @peqempresas para abordar os esquemas de #pirmidesfinanceiras trazidos à tona pelo caso #123milhas https://t.co/ceKCUaLO2I #investimentos #mercadofinanceiro</t>
  </si>
  <si>
    <t>From Discovery to Production: $LSDI's Journey to Lead the Psychedelic Compound Market. $LSDI 
#finance
#trading
#mercadofinanceiro
#forextrading</t>
  </si>
  <si>
    <t>@Tomi_l33 @jaym_willy Lucy Scientific Discovery Inc. is at the forefront of the psychedelic therapeutics market, projected to reach $8.31 billion. Secure your future with #LucyScientificInc $LSDI. #stockmarket
#finance
#trading
#mercadofinanceiro
#forextrading
#business https://t.co/nVgjVZ2eRr</t>
  </si>
  <si>
    <t>@rwalker1_r Explore the mind-expanding potential of psychedelic therapeutics with #LucyScientificInc. Together, we can reshape mental health treatment for the better. $LSDI 🚀#trading
#mercadofinanceiro
#forextrading
#business https://t.co/1keLWoVg56</t>
  </si>
  <si>
    <t>@hermesmoon The psychedelic therapeutics market is growing fast and Lucy Scientific Discovery Inc. is leading the way. They have a solid strategy and vision that will make them the dominant player in the industry.  $LSDI #trading #mercadofinanceiro
#forextrading
#business</t>
  </si>
  <si>
    <t>@BuskardSteve @HarperSimps Join the Twilight movement and discover the power of optimized sleep. #LucyScientificInc is dedicated to your well-being and a restful night's sleep. $LSDI 🌟 #mercadofinanceiro
#forextrading
#business
#daytrading
#stocks
#cryptocurrency
#money
#daytrader https://t.co/vS9V6fJ6Fq</t>
  </si>
  <si>
    <t>Mercado financeiro prevê PIB de 2,24% em 2023; inflação deve permanecer em 4,95% https://t.co/6yKlEvUwYD #BancoCentral #BC #BoletimFocus #mercadofinanceiro #PIB #inflacao #IPCA #taxadejuro #Selic #cambio #dolar https://t.co/1ysq2HxrPP</t>
  </si>
  <si>
    <t>Mercado financeiro reduz previsão de inflação de 4,9% para 4,84% em 2023 https://t.co/pTtpqALCQt #BancoCenrtal #BC #BoletimFocus #mercadofinanceiro #inflacao #IPCA #taxadejuro #Selic #PIB #cambio #dolar https://t.co/NLOzkErQl6</t>
  </si>
  <si>
    <t>Mercado financeiro eleva previsão de inflação de 4,84% para 4,9% em 2023, informa o Boletim Focus https://t.co/Q2UiQW1GdA #BancoCentral #BC #BoletimFocus #mercadofinanceiro 3inflacao #IPCA #PIB #taxadejuro #Selic #cambio #dolar https://t.co/cH7Oq1cnx8</t>
  </si>
  <si>
    <t>Mercado financeiro eleva para 2,29% projeção do crescimento da economia em 2023 https://t.co/yEFAUWMmcT #BancoCentral #BC #BoletimFocus #mercadofinanceiro #PIB #inflacao #IPCA #taxadejuro #Selic #cambio #dolar https://t.co/1WB24RiIos</t>
  </si>
  <si>
    <t>Mercado financeiro eleva para 2,89% projeção de crescimento da economia em 2023 https://t.co/2kGE6jr6oa #BancoCentral #BC #BoletimFocus #mercadofinanceiro #PIB #inflacao #IPCA #taxadejuro #Selic #cambio #dolar https://t.co/vBKqxIKhUf</t>
  </si>
  <si>
    <t>Vocês aí pagando taxa de adm pra fundo que não bate o CDI enquanto tem opções rendendo 17% ao ano SEM IR.
#fintwit #cdi #rendafixa #tokensderecebiveis #mercadofinanceiro #financas #bolsadevalores #rendapassiva https://t.co/5shSpF9Ahg</t>
  </si>
  <si>
    <t>¿Que es la #macroeconomia?
Aquí te lo explico todo.
...........😇
......👇🏽
https://t.co/nUo3flcPws
.
.
.
#MasterAEMC #AEMC #TweetOfTheDay #Frasedeldia #ironiasdelavida #consejosdevida #preguntadeldia #XTwitter #Barbenheimer #macroeconomiaenmexico #edomex #wakeupmexico</t>
  </si>
  <si>
    <t>¿Que es la #macroeconomia?
Aquí te lo explico todo.
....................😇
..........👇🏽
https://t.co/nUo3flcPws
*
*
*
#MasterAEMC #AEMC #SEOyCEO #SEO #CEO #preguntadeldia #negocios #negociosinternacionales #dinero #dinerofácil #inversionbancariaacortoplazo #Armenia #NuevoLaredo</t>
  </si>
  <si>
    <t>#radiomassa #Token2049 #tupan #pauloguedes #pablomarçal #mercadofinanceiro #Money1BstreamProject #ElonMusk #tupan #Amazonas #Brazil #bioeconomia #BTG #xpinvestimentos #B3 #eua #meioambiente #safra #dinheiro #novaeconomia #Bolsonaro #BNB https://t.co/eGsMefLUSd</t>
  </si>
  <si>
    <t>Diversos indicadores son muestra de la fuerza de la macroeconomía mexicana, y el #SúperPeso mexicano es una de ellas: por primera vez en 8 años llega a los $16.87 frente al #dólar. https://t.co/fzBeoQ0zMl</t>
  </si>
  <si>
    <t>Tipo de cambio fijo real alto y tasas de interés bajas son la clave para lograr un crecimiento veloz porque son los dos precios más importantes de una economía. #macroeconomía 👇🏼</t>
  </si>
  <si>
    <t>📊😄Quer aprender a investir? A @agoracorretora realizará uma série de lives  sobre como aplicar seu dinheiro no 2º semestre de 2023. Confira as datas e como participar
#mercadofinanceiro #investimentos
https://t.co/PaQX9rb9FG</t>
  </si>
  <si>
    <t>📊📚 Em parceria com a @agoracorretora, os leitores têm acesso gratuito em cinco cursos sobre finanças e economia. Acesse e saiba como começar a investir!
#mercadofinanceiro #investimentos #educaçãofinanceira 
https://t.co/ktgVyLHQub</t>
  </si>
  <si>
    <t>RT @EInvestidor: 📊 Mercado Intraday: Ibovespa retoma os 119 mil pontos. Confira
#mercadofinanceiro #investimentos
https://t.co/AV6v1JYVpn</t>
  </si>
  <si>
    <t>RT @EInvestidor: 📊 Mercado Intraday: Mercado corrige expectativa para juros e bolsas recuam. Veja
#mercadofinanceiro #investimentos
https:/…</t>
  </si>
  <si>
    <t>RT @EInvestidor: 📊 Mercado Intraday: Bolsas corrigem parcialmente as perdas da semana. Confira
#mercadofinanceiro #Investimentos
https://t.…</t>
  </si>
  <si>
    <t>RT @EInvestidor: 📊 Mercado Intraday: Bolsas são impactadas pela alta dos juros futuros. Confira 
#mercadofinanceiro #investimentos
https://…</t>
  </si>
  <si>
    <t>RT @EInvestidor: 📊 Mercado Intraday: Tensão global permanece e pressiona bolsas; Ibovespa cai. Confira
#mercadofinanceiro #investimentos #e…</t>
  </si>
  <si>
    <t>RT @ValoraAnalitik: #Macroeconomía | MinHacienda desmiente que subsidio de gasolina a taxistas saldrá del Fondo de Combustibles
@MinHacien…</t>
  </si>
  <si>
    <t>RT @EInvestidor: 🛒📊Casas Bahia (#BHIA3): aposta na recuperação judicial? O que explica o ‘short’ na ex-Via (#VIIA3).
#varejo #mercadofinanc…</t>
  </si>
  <si>
    <t>#Filme🎬 #MercadoFinanceiro 
#Crise #Subprime https://t.co/3riiL7swbb</t>
  </si>
  <si>
    <t>#Filme🎬 
#MercadoFinanceiro https://t.co/R3eX872x58</t>
  </si>
  <si>
    <t>O Day Trade pode ser emocionante e recompensador para alguns, mas é uma abordagem que exige dedicação, responsabilidade e conscientização dos riscos envolvidos.
#DayTrade #MercadoFinanceiro #Investimentos #Trader #BolsaDeValores</t>
  </si>
  <si>
    <t>En el recuadro, artículo que publico hoy en @Farodevigo sobre Mercados financieros y Pyme. Muchas gracias, as usual, a @lara_grana por su ayuda.
#pyme #mercadofinanceiro #bolsa #pymes #derechomercantil https://t.co/jhwln214t3</t>
  </si>
  <si>
    <t>• Aumento de 0,25% na Taxa Básica de Juros na Europa •
.
.
.
#mercadofinanceiro #juros #europe https://t.co/Vju2O7zmVT</t>
  </si>
  <si>
    <t>• QUEDA DO DÓLAR após FITCH elevar nota de Crédito do Brasil •
.
.
.
.
#Brasil #Dolar #mercadofinanceiro https://t.co/3Moewl3Pu3</t>
  </si>
  <si>
    <t>Traveling and operating.📊💻
Knowing that I can take my work with me anywhere (with internet lol) I go is amazing!
But let's go slowly... I don't live the philosophy of #lifetrader trade from the beach.
#mercadofinanceiro #bolsadevalores #investimentos
#liberdadefinanceira https://t.co/xFS3POcvg9</t>
  </si>
  <si>
    <t>Bolsa de valores: mergulhe nesse universo de investimentos. Saiba mais: https://t.co/2kwOlomkIo
 #BolsaDeValores #InvestimentoEmAções #MercadoFinanceiro</t>
  </si>
  <si>
    <t>Descubra por que investir em commodities é uma opção lucrativa e segura para diversificar sua carteira de investimentos. Saiba mais: https://t.co/mEikGILvky
 #commodities #diversificação #investimentos #mercadofinanceiro #retornofinanceiro</t>
  </si>
  <si>
    <t>#SP500 Trade buscando rotura de soporte MUY relevante. 1º target mínimo (azul), 2º target zona muy relevante en el pasado..... 🏋🏻‍♀️
#TradingView #mercadofinanceiro #Trader https://t.co/yrAwuYFZco</t>
  </si>
  <si>
    <t>Me chamo Andreza,sou de Curitiba PR e sou nova aqui nesta plataforma,gosto de falar de mercado financeiro e de investir na bolsa de valores 
#mercadofinanceiro 
#b3 https://t.co/8pgrXhgYa8</t>
  </si>
  <si>
    <t>Nesse post da Brava Capital você pode entender melhor como funciona esse índice que impacta toda a nossa economia.
Quer saber como investir de forma a se prevenir da inflação?
Entre em contato com a Brava pelo Link na Bio.
#investimentos #inflação #preços #mercadofinanceiro</t>
  </si>
  <si>
    <t>..e limites de risco.
Quer saber mais sobre fronteira eficiente?
Veja tudo isso em nosso artigo no blog Capital Inteligente, o blog da Brava Capital!
#investimento #correlação #mercadofinanceiro #gestão</t>
  </si>
  <si>
    <t>Quer saber como iniciar os seus investimentos de forma segura?   
Entre em contato com a Brava!   
#objetivo #investimentos #sonho #mercadofinanceiro</t>
  </si>
  <si>
    <t>Entre em contato com a Brava!
#sabedoria #investimento #mercadofinanceiro #ouro</t>
  </si>
  <si>
    <t>Um tema muito falado nos dias de hoje é o ASG (Traduzido do Inglês, ESG). 
Você sabe o que significa cada letra dessa sigla? 
Quer saber o que são investimentos ASG?  
Entre em contato com a Brava!
 #ESG #investimentos #mercadofinanceiro #Brasil https://t.co/2oJMCLIYcH</t>
  </si>
  <si>
    <t>É importante você estar protegido contra a inflação nesse período!
Quer se proteger dos aumentos de preços, com base na expectativa de inflação, de forma segura?
Entre em contato com a Brava para saber mais!
#investimentos #inflação #dinheiro #mercadofinanceiro</t>
  </si>
  <si>
    <t>Entre em contato com a Brava!     
#planejamento #investimentos #gestão #mercadofinanceiro</t>
  </si>
  <si>
    <t>Veja tudo isso em nosso artigo no blog Capital Inteligente, o blog da Brava Capital!
Link: https://t.co/P71BUeu87M
#oportunidade #economia #investimento #mercadofinanceiro</t>
  </si>
  <si>
    <t>Sem elas não é possível garantir um ambiente justo, mais seguro e próspero.
Você sabe quais são os órgãos reguladores que controlam a legalidade de seus investimentos?
Entre em contato com a Brava!
#planejamento #investimentos #mercadofinanceiro #lei</t>
  </si>
  <si>
    <t>Entre em contato com a Brava!
#lei #investimento #mercadofinanceiro #economia</t>
  </si>
  <si>
    <t>[ENTREVISTA @InfinitaFM] Nuestro coordinador @hegonzalb conversó en #MásQueNumeros con @Cata_Edwards y @Pato_Eskenazi sobre la #macroeconomía en Chile, las expectativas de #inflación, proyección de #crecimiento y el precio del #dólar entre otros.
🎙️ https://t.co/kg5SdmwJU6 https://t.co/EUfxpGf8pN</t>
  </si>
  <si>
    <t>Vamos falar sobre os juros abusivos senhores do dinheiro .#mercadofinanceiro</t>
  </si>
  <si>
    <t>Bradesco, Banco do Brasil, Caixa, Itaú... nós pobre nunca temos o direito de comprar nada a vista, se for um produto cujo valor for exorbitante e agora por causa de um juros, que muitas fezes se torna abusivo por parte de quem aplica ninguém diz nada né. #mercadofinanceiro</t>
  </si>
  <si>
    <t>Depois disso aí, a lei da oferta e demando é um fato, que os bancários não podem esquecer, tudo depende de um cliente pra poder falir. #mercadofinanceiro</t>
  </si>
  <si>
    <t>Senhores bancários vocês são sempres favoráveis a fuder com o povo e não é de hoje, acaba o juros do que adiante se as mercadorias vão aumentar de preço. #mercadofinanceiro</t>
  </si>
  <si>
    <t>Como investir, criar negócios com 700,00. #mercadofinanceiro</t>
  </si>
  <si>
    <t>#NoticiasEDN 2/2 el interés de los países por formar parte de esta élite se ha expandido, pese a que no tienen ningún interés por competir, sino de potenciar y dinamizar la macroeconomía. #EDNTV #BRICS #Cumbre #BloqueEconómico #Macroeconomía</t>
  </si>
  <si>
    <t>O mercado imobiliário é conservador e o mais seguro dos mercados.
#mercadoimobiliario #imoveis #seguranca #liquidez #rentabilidade #mercadofinanceiro #bauru #brasil 
#andersonalvescorretor</t>
  </si>
  <si>
    <t>Gráfico apresentando o histórico do índice ibovespa ao longo dos últimos 5 anos
 #mercadofinanceiro #ibovespa https://t.co/KlU6zupFg3</t>
  </si>
  <si>
    <t>Gráfico apresentando o histórico do índice ibovespa ao longo dos últimos 5 anos
 #mercadofinanceiro #ibovespa https://t.co/TjAROxAClg</t>
  </si>
  <si>
    <t>Gráfico apresentando o histórico do índice ibovespa ao longo dos últimos 5 anos
 #mercadofinanceiro #ibovespa https://t.co/pyDx8GqpDV</t>
  </si>
  <si>
    <t>Gráfico apresentando o histórico do índice ibovespa ao longo dos últimos 5 anos
 #mercadofinanceiro #ibovespa https://t.co/xIBCxwKtrJ</t>
  </si>
  <si>
    <t>Gráfico apresentando o histórico do índice ibovespa ao longo dos últimos 5 anos
 #mercadofinanceiro #ibovespa https://t.co/2zoqaHJkF2</t>
  </si>
  <si>
    <t>Siga meu canal no YouTube e participe das lives todos os dias. 
https://t.co/thTwmkjATu
#daytrade #trader #trading #trade #mercadofinanceiro https://t.co/PQ9ypiv0i8</t>
  </si>
  <si>
    <t>Ustedes que todos lo saben y lo que no saben se lo inventan le pueden explicar esto en versión dummie:
#Macroeconomía 
Importante caída del déficit de cuenta corriente de Colombia en primer semestre
@BancoRepublica @MinHacienda</t>
  </si>
  <si>
    <t>Fundos sendo quebrados mostra força vendedora e blocos de ordens vendedoras surgem para que façamos nossas entradas em zona de oferta.
#smartmoneyconcepts #trading #daytrading #daytrade #bitcoin #btc #mercadofinanceiro</t>
  </si>
  <si>
    <t>#Energía | El impacto de la falta de dólares en Vaca Muerta🚨
∙ YPF busca proveedores chinos para pagar con yuanes. La nota👇
https://t.co/vLWUTeEZbx
#importar #insumos #BCRA #Swap @SergioMassa  #SIRA #macroeconomía #DLSArcher #dólar</t>
  </si>
  <si>
    <t>Os ETFs permitem que o investidor participe das tendências globais investindo em mercados e setores de maneira diversificada e com benefícios tributários. Conheça os ETFs Investo: https://t.co/nBS1vKhGid
#ETF #Investimento #MercadoFinanceiro https://t.co/W3YWJut5Z4</t>
  </si>
  <si>
    <t>Resultado Líquido R$ 36.400,00 em 1 dia - Simulação 183
.
#Projeto4Ciclos #B3 #Daytradebrasil #minindice #ibovespa #ibov #fintech #startup #crowdfunding #economiacolaborativa #mercadofinanceiro #trading #investimentos #InvestidoresAnjos #InvestidorAnjo #FinanciamentoColetivo https://t.co/UCuLflPfmZ</t>
  </si>
  <si>
    <t>Resultado Líquido R$ 36.400,00 em 1 dia - Simulação 183
.
#Projeto4Ciclos #B3 #Daytradebrasil #minindice #ibovespa #ibov #fintech #startup #crowdfunding #economiacolaborativa #mercadofinanceiro #trading #investimentos #InvestidoresAnjos #InvestidorAnjo #FinanciamentoColetivo https://t.co/O4Y50XapKx</t>
  </si>
  <si>
    <t>Resultado Líquido R$ 62.400,00 em 1 dia - Simulação 191
.
#Projeto4Ciclos #B3 #Daytradebrasil #minindice #ibovespa #ibov #fintech #startup #crowdfunding #economiacolaborativa #mercadofinanceiro #trading #investimentos #InvestidoresAnjos #InvestidorAnjo #FinanciamentoColetivo https://t.co/alOxk8lInK</t>
  </si>
  <si>
    <t>Resultado Líquido R$ 62.400,00 em 1 dia - Simulação 191
.
#Projeto4Ciclos #B3 #Daytradebrasil #minindice #ibovespa #ibov #fintech #startup #crowdfunding #economiacolaborativa #mercadofinanceiro #trading #investimentos #InvestidoresAnjos #InvestidorAnjo #FinanciamentoColetivo https://t.co/UDSXBmxz4V</t>
  </si>
  <si>
    <t>Resultado Líquido R$ 54.000,00 em 1 dia - Simulação 190
.
#Projeto4Ciclos #B3 #Daytradebrasil #minindice #ibovespa #ibov #fintech #startup #crowdfunding #economiacolaborativa #mercadofinanceiro #trading #investimentos #InvestidoresAnjos #InvestidorAnjo #FinanciamentoColetivo https://t.co/vwAWNRhm3F</t>
  </si>
  <si>
    <t>Resultado Líquido R$ 54.000,00 em 1 dia - Simulação 190
.
#Projeto4Ciclos #B3 #Daytradebrasil #minindice #ibovespa #ibov #fintech #startup #crowdfunding #economiacolaborativa #mercadofinanceiro #trading #investimentos #InvestidoresAnjos #InvestidorAnjo #FinanciamentoColetivo https://t.co/55oGEJfw2e</t>
  </si>
  <si>
    <t>Resultado Líquido R$ 45.600,00 em 1 dia - Simulação 187
.
#Projeto4Ciclos #B3 #Daytradebrasil #minindice #ibovespa #ibov #fintech #startup #crowdfunding #economiacolaborativa #mercadofinanceiro #trading #investimentos #InvestidoresAnjos #InvestidorAnjo #FinanciamentoColetivo https://t.co/Y0o5vPVWWH</t>
  </si>
  <si>
    <t>Resultado Líquido R$ 45.600,00 em 1 dia - Simulação 187
.
#Projeto4Ciclos #B3 #Daytradebrasil #minindice #ibovespa #ibov #fintech #startup #crowdfunding #economiacolaborativa #mercadofinanceiro #trading #investimentos #InvestidoresAnjos #InvestidorAnjo #FinanciamentoColetivo https://t.co/B1MpiuRKak</t>
  </si>
  <si>
    <t>Resultado Líquido R$ 35.400,00 em 1 dia - Simulação 193
.
#Projeto4Ciclos #B3 #Daytradebrasil #minindice #ibovespa #ibov #fintech #startup #crowdfunding #economiacolaborativa #mercadofinanceiro #trading #investimentos #InvestidoresAnjos #InvestidorAnjo #FinanciamentoColetivo https://t.co/FBhMN7lYhU</t>
  </si>
  <si>
    <t>Resultado Líquido R$ 35.400,00 em 1 dia - Simulação 193
.
#Projeto4Ciclos #B3 #Daytradebrasil #minindice #ibovespa #ibov #fintech #startup #crowdfunding #economiacolaborativa #mercadofinanceiro #trading #investimentos #InvestidoresAnjos #InvestidorAnjo #FinanciamentoColetivo https://t.co/gCCfAux6qN</t>
  </si>
  <si>
    <t>Resultado Líquido R$ 34.320,00 em 1 dia - Simulação 192
.
#Projeto4Ciclos #B3 #Daytradebrasil #minindice #ibovespa #ibov #fintech #startup #crowdfunding #economiacolaborativa #mercadofinanceiro #trading #investimentos #InvestidoresAnjos #InvestidorAnjo #FinanciamentoColetivo https://t.co/S94rRseZsw</t>
  </si>
  <si>
    <t>Resultado Líquido R$ 34.320,00 em 1 dia - Simulação 192
.
#Projeto4Ciclos #B3 #Daytradebrasil #minindice #ibovespa #ibov #fintech #startup #crowdfunding #economiacolaborativa #mercadofinanceiro #trading #investimentos #InvestidoresAnjos #InvestidorAnjo #FinanciamentoColetivo https://t.co/B924pr67EA</t>
  </si>
  <si>
    <t>Resultado Líquido R$ 32.788,00 em 1 dia - Simulação 186
.
#Projeto4Ciclos #B3 #Daytradebrasil #minindice #ibovespa #ibov #fintech #startup #crowdfunding #economiacolaborativa #mercadofinanceiro #trading #investimentos #InvestidoresAnjos #InvestidorAnjo #FinanciamentoColetivo https://t.co/Y79UevZSSd</t>
  </si>
  <si>
    <t>Resultado Líquido R$ 32.788,00 em 1 dia - Simulação 186
.
#Projeto4Ciclos #B3 #Daytradebrasil #minindice #ibovespa #ibov #fintech #startup #crowdfunding #economiacolaborativa #mercadofinanceiro #trading #investimentos #InvestidoresAnjos #InvestidorAnjo #FinanciamentoColetivo https://t.co/tF8C0CKQcp</t>
  </si>
  <si>
    <t>Resultado Líquido R$ 75.600,00 em 1 dia - Simulação 184
.
#Projeto4Ciclos #B3 #Daytradebrasil #minindice #ibovespa #ibov #fintech #startup #crowdfunding #economiacolaborativa #mercadofinanceiro #trading #investimentos #InvestidoresAnjos #InvestidorAnjo #FinanciamentoColetivo https://t.co/9Q0Ze70S9f</t>
  </si>
  <si>
    <t>Resultado Líquido R$ 75.600,00 em 1 dia - Simulação 184
.
#Projeto4Ciclos #B3 #Daytradebrasil #minindice #ibovespa #ibov #fintech #startup #crowdfunding #economiacolaborativa #mercadofinanceiro #trading #investimentos #InvestidoresAnjos #InvestidorAnjo #FinanciamentoColetivo https://t.co/Vbm66KNiTS</t>
  </si>
  <si>
    <t>Resultado Líquido R$ 79.200,00 em 1 dia - Simulação 196
.
#Projeto4Ciclos #B3 #Daytradebrasil #minindice #ibovespa #ibov #fintech #startup #crowdfunding #economiacolaborativa #mercadofinanceiro #trading #investimentos #InvestidoresAnjos #InvestidorAnjo #FinanciamentoColetivo https://t.co/UzjjszXEH2</t>
  </si>
  <si>
    <t>Resultado Líquido R$ 79.200,00 em 1 dia - Simulação 196
.
#Projeto4Ciclos #B3 #Daytradebrasil #minindice #ibovespa #ibov #fintech #startup #crowdfunding #economiacolaborativa #mercadofinanceiro #trading #investimentos #InvestidoresAnjos #InvestidorAnjo #FinanciamentoColetivo https://t.co/kN8MjHpZpD</t>
  </si>
  <si>
    <t>Resultado Líquido R$ 45.600,00 em 1 dia - Simulação 189
.
#Projeto4Ciclos #B3 #Daytradebrasil #minindice #ibovespa #ibov #fintech #startup #crowdfunding #economiacolaborativa #mercadofinanceiro #trading #investimentos #InvestidoresAnjos #InvestidorAnjo #FinanciamentoColetivo https://t.co/OGrglzmNSS</t>
  </si>
  <si>
    <t>Resultado Líquido R$ 45.600,00 em 1 dia - Simulação 189
.
#Projeto4Ciclos #B3 #Daytradebrasil #minindice #ibovespa #ibov #fintech #startup #crowdfunding #economiacolaborativa #mercadofinanceiro #trading #investimentos #InvestidoresAnjos #InvestidorAnjo #FinanciamentoColetivo https://t.co/FBYCFrJJqM</t>
  </si>
  <si>
    <t>Resultado Líquido R$ 31.600,00 em 1 dia - Simulação 188
.
#Projeto4Ciclos #B3 #Daytradebrasil #minindice #ibovespa #ibov #fintech #startup #crowdfunding #economiacolaborativa #mercadofinanceiro #trading #investimentos #InvestidoresAnjos #InvestidorAnjo #FinanciamentoColetivo https://t.co/nre5TDCOwG</t>
  </si>
  <si>
    <t>Resultado Líquido R$ 31.600,00 em 1 dia - Simulação 188
.
#Projeto4Ciclos #B3 #Daytradebrasil #minindice #ibovespa #ibov #fintech #startup #crowdfunding #economiacolaborativa #mercadofinanceiro #trading #investimentos #InvestidoresAnjos #InvestidorAnjo #FinanciamentoColetivo https://t.co/bfe9LJR3vE</t>
  </si>
  <si>
    <t>Resultado Líquido R$ 88.200,00 em 1 dia - Simulação 197
.
#Projeto4Ciclos #B3 #Daytradebrasil #minindice #ibovespa #ibov #fintech #startup #crowdfunding #economiacolaborativa #mercadofinanceiro #trading #investimentos #InvestidoresAnjos #InvestidorAnjo #FinanciamentoColetivo https://t.co/f2MSPP8R19</t>
  </si>
  <si>
    <t>Resultado Líquido R$ 88.200,00 em 1 dia - Simulação 197
.
#Projeto4Ciclos #B3 #Daytradebrasil #minindice #ibovespa #ibov #fintech #startup #crowdfunding #economiacolaborativa #mercadofinanceiro #trading #investimentos #InvestidoresAnjos #InvestidorAnjo #FinanciamentoColetivo https://t.co/LPBj7stFJ3</t>
  </si>
  <si>
    <t>Resultado Líquido R$ 88.900,00 em 1 dia - Simulação 200
.
#Projeto4Ciclos #B3 #Daytradebrasil #minindice #ibovespa #ibov #fintech #startup #crowdfunding #economiacolaborativa #mercadofinanceiro #trading #investimentos #InvestidoresAnjos #InvestidorAnjo #FinanciamentoColetivo https://t.co/So9Sba0hWo</t>
  </si>
  <si>
    <t>Resultado Líquido R$ 88.900,00 em 1 dia - Simulação 200
.
#Projeto4Ciclos #B3 #Daytradebrasil #minindice #ibovespa #ibov #fintech #startup #crowdfunding #economiacolaborativa #mercadofinanceiro #trading #investimentos #InvestidoresAnjos #InvestidorAnjo #FinanciamentoColetivo https://t.co/T7OmZ0ZNsv</t>
  </si>
  <si>
    <t>Resultado Líquido R$ 20.020,00 em 1 dia - Simulação 185
.
#Projeto4Ciclos #B3 #Daytradebrasil #minindice #ibovespa #ibov #fintech #startup #crowdfunding #economiacolaborativa #mercadofinanceiro #trading #investimentos #InvestidoresAnjos #InvestidorAnjo #FinanciamentoColetivo https://t.co/upZU5FGWsx</t>
  </si>
  <si>
    <t>Resultado Líquido R$ 20.020,00 em 1 dia - Simulação 185
.
#Projeto4Ciclos #B3 #Daytradebrasil #minindice #ibovespa #ibov #fintech #startup #crowdfunding #economiacolaborativa #mercadofinanceiro #trading #investimentos #InvestidoresAnjos #InvestidorAnjo #FinanciamentoColetivo https://t.co/ueyKwbaXAr</t>
  </si>
  <si>
    <t>O Projeto 4 Ciclos publicou a sua segunda centena de simulações obtendo uma média de 44% de dias sem operações negativas. .  #Projeto4Ciclos #B3 #Daytradebrasil #minindice #ibovespa #ibov #fintech #startup #crowdfunding #economiacolaborativa #mercadofinanceiro #trading https://t.co/njFmRiqtDK</t>
  </si>
  <si>
    <t>O Projeto 4 Ciclos publicou a sua segunda centena de simulações obtendo uma média de 44% de dias sem operações negativas. .  #Projeto4Ciclos #B3 #Daytradebrasil #minindice #ibovespa #ibov #fintech #startup #crowdfunding #economiacolaborativa #mercadofinanceiro #trading https://t.co/cmBChXYenv</t>
  </si>
  <si>
    <t>O Projeto 4 Ciclos publicou a sua segunda centena de simulações obtendo um resultado líquido diário médio superior a 50 mil reais.
.
#Projeto4Ciclos #B3 #Daytradebrasil #minindice #ibovespa #ibov #fintech #startup #crowdfunding #economiacolaborativa #mercadofinanceiro #trading https://t.co/ts2gHqqeHh</t>
  </si>
  <si>
    <t>O Projeto 4 Ciclos publicou a sua segunda centena de simulações obtendo um resultado líquido diário médio superior a 50 mil reais.
.
#Projeto4Ciclos #B3 #Daytradebrasil #minindice #ibovespa #ibov #fintech #startup #crowdfunding #economiacolaborativa #mercadofinanceiro #trading https://t.co/ays15jKy6U</t>
  </si>
  <si>
    <t>Resultado Líquido R$ 68.800,00 em 1 dia - Simulação 195
.
#Projeto4Ciclos #B3 #Daytradebrasil #minindice #ibovespa #ibov #fintech #startup #crowdfunding #economiacolaborativa #mercadofinanceiro #trading #investimentos #InvestidoresAnjos #InvestidorAnjo #FinanciamentoColetivo https://t.co/v0tG2SzpQx</t>
  </si>
  <si>
    <t>Resultado Líquido R$ 68.800,00 em 1 dia - Simulação 195
.
#Projeto4Ciclos #B3 #Daytradebrasil #minindice #ibovespa #ibov #fintech #startup #crowdfunding #economiacolaborativa #mercadofinanceiro #trading #investimentos #InvestidoresAnjos #InvestidorAnjo #FinanciamentoColetivo https://t.co/0bX2CkhrKn</t>
  </si>
  <si>
    <t>O Projeto 4 Ciclos publicou a sua segunda centena de simulações obtendo um Percentual Médio de Operações Negativas de 27%.
.
#Projeto4Ciclos #B3 #Daytradebrasil #minindice #ibovespa #ibov #fintech #startup #crowdfunding #economiacolaborativa #mercadofinanceiro #trading https://t.co/M9CZsj4mLY</t>
  </si>
  <si>
    <t>O Projeto 4 Ciclos publicou a sua segunda centena de simulações obtendo um Percentual Médio de Operações Negativas de 27%.
.
#Projeto4Ciclos #B3 #Daytradebrasil #minindice #ibovespa #ibov #fintech #startup #crowdfunding #economiacolaborativa #mercadofinanceiro #trading https://t.co/Yf8LVfdNww</t>
  </si>
  <si>
    <t>Minister @c_lindner und sein 🇺🇦 Amtskollege @SergiiMarchenk3 haben eine gemeinsame Absichtserklärung zur Stärkung der Zusammenarbeit unterzeichnet. Es geht um Kooperation in den Bereichen #Finanzmarkt, #Zoll sowie dem Management von Staatsbeteiligungen und Privatisierungen. https://t.co/tKCw8R3jJh</t>
  </si>
  <si>
    <t>El ministro @c_lindner y su homólogo de 🇺🇦 @SergiiMarchenk3 han firmado un Memorando de Entendimiento para reforzar la cooperación. Se trata de la cooperación en las áreas de #mercadofinanceiro, #aduanas, así como la gestión de participaciones estatales y privatizaciones.</t>
  </si>
  <si>
    <t>Tras la contracción del 1S23, los límites a las tasas de interés elevan el racionamiento de créditos. Según cifras del @IPEopinion, los topes habrían excluido del sistema financiero al 25% de los créditos de consumo y mype.
Por @cabecitaterri
#TasasdeInterés #BCR #Macroeconomía</t>
  </si>
  <si>
    <t>El principal socio comercial del #Perú no avanza conforme a lo esperado. Si el enfriamiento de su economía se prolonga en lo que resta del año, las proyecciones del PBI peruano correrán el riesgo de ser revisadas.
#China #Macroeconomía #SEMANAeconómica
https://t.co/jXMENGNa2G</t>
  </si>
  <si>
    <t>São muitas vantagens e não vemos a hora dos #TIDCs (Tokens de Investimento em Direitos Creditórios) saírem dos quadrinhos para o ‘live action’ do #mercadofinanceiro! 😎</t>
  </si>
  <si>
    <t>A palavra token te faz pensar em que? Se for uma nova alternativa de investimento digital você já está na frente. E é exatamente sobre tokens que vamos explicar em menos de 2 minutos aqui no #SopaDeLetrinhas.
#token #tokenizacao #ativosdigitais #mercadofinanceiro #cripto https://t.co/y8IC8HY7Ee</t>
  </si>
  <si>
    <t>Você conhece a CVM (Comissão de Valores Mobiliários), uma das principais instituições reguladoras para os investidores brasileiros?
Vamos te explicar tudo sobre ela em menos de dois minutos no #SopaDeLetrinhas da semana!
#cvm #valormobiliario #mercadofinanceiro #investimentos https://t.co/iuonr6ETU0</t>
  </si>
  <si>
    <t>#Ahora en vivo @ArielSayas junto a @adolfosafran #Economia #ProgramasAhora #Créditos #Macroeconomia en #ActualidadDiaria @CanalCuatroPM https://t.co/3jOXqcMatk</t>
  </si>
  <si>
    <t>Preparado para mais um dia abençoado e próspero no mercado financeiro?
#DayTrading #bolsadevalores #mercadofinanceiro #investimento https://t.co/p6DdaSFTnq</t>
  </si>
  <si>
    <t>🔴 ahora: Alternativas para el tratamiento de deuda en países de #AMLAT #Macroeconomia Sintonízalo por zoom @GrupoGFLAC  👇</t>
  </si>
  <si>
    <t>"Nunca desencoraje alguém que continuamente tenha progresso, não importa quão lento seja." 
- Plato
#sucesso #Politica #Brasil #mercadofinanceiro https://t.co/1tsXQhaXRI</t>
  </si>
  <si>
    <t>Análise em 1 minuto de Intelbras (INTB3). 
#investimentos #ações #bolsadevalores #intelbras #intb3 #economia #mercadofinanceiro #ibovespa #analisedeações https://t.co/Jcxqhg19lM</t>
  </si>
  <si>
    <t>IBOVESPA E DÓLAR HOJE: SERVIÇOS NO BRASIL, INFLAÇÃO AO PRODUTOR E VAREJO NOS EUA, JUROS DO BCE E +
#economia #mercadofinanceiro
https://t.co/nJmGvpjiVu</t>
  </si>
  <si>
    <t>AUD/USD Gráfico del Día
#FPMarkets #Gráficodehoy #fx #Forex #mercadosfinancieros #AUDUSD #graficododia #mercadofinanceiro #AUD #USD https://t.co/x9XMPdf9Cr</t>
  </si>
  <si>
    <t>É o fim do ChatGPT? Pesquisa revela que Inteligência Artificial está dando respostas erradas com cada vez mais frequência
#inteligênciaartificial #Macroeconomia #tecnologia
https://t.co/KPZ2wO4mSg</t>
  </si>
  <si>
    <t>Felipe Miranda: O que está acontecendo com o PIB?
#Agronegócio #Brasil #Macroeconomia
https://t.co/UcZIyZKgog</t>
  </si>
  <si>
    <t>📣Estamos en ¡VIVO!
Sigue la conversación aquí 👇🏻https://t.co/pZQ0boua8h https://t.co/4bp90iE9OR</t>
  </si>
  <si>
    <t>Mensajes del ahorro https://t.co/NAAU7S2d0Q a través de @funcases; 
#Macroeconomia #Ahorro</t>
  </si>
  <si>
    <t>La #Macroeconomía contemporánea es una mezcla de puntos de vista, producto de dinámicas históricas de prueba y error. El monetarismo dominante es la mezcla de los conceptos Clásicos y Keynesianos, ¿por qué alguien querría devolverse a etapas superadas? https://t.co/PJPZXmPZYX</t>
  </si>
  <si>
    <t>Resultado do nosso InvestorBot 
#forex #mercadofinanceiro #forexlifestyle #day #lifegoals #lifestyle #ForexMarket https://t.co/YkOE7A6Xlu</t>
  </si>
  <si>
    <t>RT @vitinhopretouk: Resultado do nosso InvestorBot 
#forex #mercadofinanceiro #forexlifestyle #day #lifegoals #lifestyle #ForexMarket https…</t>
  </si>
  <si>
    <t>KLBN4 vs. SUZB3: Duelo das Gigantes da Celulose! Analisando as ações da KLBN4 (Klabin) e SUZB3 (Suzano).
Líderes da indústria de celulose: produção e inovação em destaque. Receita, estratégias e impactos no setor em análise.
#Investimentos #Ações #Mercadofinanceiro #Finanças https://t.co/iWeTSbX8rg</t>
  </si>
  <si>
    <t>@MashiRafael En los últimos 5,5 años (2017-2022) el Estado ha manejado 200 mil millones de USD de presupuesto...y no hay obra pública, ni inversión, ni baja la deuda externa, ni NADA. Solo se piensa, actúa y gobierna para el 1% de la población. (Fuente: BCE) #Ecuador #MacroEconomía</t>
  </si>
  <si>
    <t>RT @tomasrodri: @MashiRafael En los últimos 5,5 años (2017-2022) el Estado ha manejado 200 mil millones de USD de presupuesto...y no hay ob…</t>
  </si>
  <si>
    <t>Realizei uma venda de put em USIM5, USIMV667. Esperar agora uma alta para vender uma call, fomando um strangle. #opções #delta #gregas #MercadoFinanceiro</t>
  </si>
  <si>
    <t>(1/7) O relatório de estratégia macro do BTG Pactual @alvarosfrasson  || @ArthurLulaM || Leonardo Paiva, CFA) divulgado hoje, 24/07, trouxe a análise do desempenho de alguns indicadores do mercado na semana passada. #macroeconomia #taxadejuros #rendavariavel #commodities #dolar</t>
  </si>
  <si>
    <t>(10/10) prêmios mais interessantes, isenção de IR para pessoa física e baixo risco de crédito dependendo do emissor (high grade).  
Quer saber mais? Me mande uma mensagem!
#btgpactual #economia #macroeconomia #juros #inflação #rendafixa</t>
  </si>
  <si>
    <t>(7/7) à luz de um setor imobiliário chinês enfraquecido e com volume de suporte ainda considerado tímido nesse momento. Politburo já agiu, mas medidas devem surtir efeito apenas no 4T23. #macroeconomia #taxadejuros #rendavariavel #commodities #dolar</t>
  </si>
  <si>
    <t>(7/7) Por sua vez, minero de ferro segue recuando no mês por conta do enfraquecimento da China, sobretudo o setor imobiliário.
#macroeconomia #taxadejuros #rendavariavel #Commodities  #dolar</t>
  </si>
  <si>
    <t>Selic teve corte de 0,5 e agora está em 13,25%, Campos Neto e promessa de mais cortes; tudo o que surpreendeu (positivamente) o mercado
#Selic #ibov #MercadoFinanceiro</t>
  </si>
  <si>
    <t>Fiquem atentos, pois essa novidade vai ajudar a transformar a vida financeira de muitos alunos. 
Link para inscrição da Live, disponível na tela inicial do CGD Gestão! 🚀💰 
#Novidade #EducaçãoFinanceira  #Mercadofinanceiro #metodoCGD #parceriaCGD #CursosCGD #plataformaCGD https://t.co/q0Ihm4XX5Y</t>
  </si>
  <si>
    <t>#b3 #bolsadevalores #mercadofinanceiro #bpmoney</t>
  </si>
  <si>
    <t>#acoes #mercadofinanceiro #mercadodeacoes #ibovespa #dolar #bpmoney</t>
  </si>
  <si>
    <t>#aliexpress #acoes #investimentos #mercadofinanceiro #bpmoney</t>
  </si>
  <si>
    <t>#IRB #IRBR3 #economia #mercadofinanceiro #bpmoney</t>
  </si>
  <si>
    <t>#ipo #investimentos #economia #mercadofinanceiro #bpmoney</t>
  </si>
  <si>
    <t>La recesión que no llega: "La resistencia de las economías europeas están siendo interesantes".
@jtugoresques 
https://t.co/N82Z7WSOOc
#inflacion #europa #macroeconomia #fmi #eurozona #estadosunidos #francia #españa #economia #entrevistas #noticias #negociostv #juantugores https://t.co/KLXTi5RAOa</t>
  </si>
  <si>
    <t>"La volatilidad puede incrementarse con movimientos sin sentido". José María Lerma
@jmlermafinanzas 
https://t.co/QoNw7DBkz3
#mercados #inmobiliaria #china #precios #volatilidad #macroeconomia #europa #estadosunidos #españa #entrevistas #noticiasenespañol #livenews #negociostv https://t.co/LTPHmmiODo</t>
  </si>
  <si>
    <t>El PIB en Europa se salva por la mínima: "Ha crecido con muy poco pero ha sorprendido". Lerma
@jmlermafinanzas 
https://t.co/batwVyRL37
#pib #europa #bolsas #indicadores #macroeconomia #recesion #alemania #francia #italia #eurozona #entrevistas #noticiasenespañol #negociostv https://t.co/aO7eqH9Rxs</t>
  </si>
  <si>
    <t>"El euro se podría ir a 1.06 y no deberíamos asustarnos". Samuel Plaza
@EspanolJfd 
https://t.co/kqXJ5B2Dwo
#euro #dolar #divisas #mercadosfinancieros #indices #macroeconomia #crisiseconomica #crisisfinanciera #entrevistas #noticiasenespañol #negociostv #samuelplaza https://t.co/rZIe8qtsjZ</t>
  </si>
  <si>
    <t>"El euro se podría ir a 1.06 y no deberíamos asustarnos". Samuel Plaza
@EspanolJfd 
https://t.co/kqXJ5B2Dwo
#euro #dolar #divisas #mercadosfinancieros #indices #macroeconomia #crisiseconomica #crisisfinanciera #entrevistas #noticiasenespañol #negociostv #samuelplaza https://t.co/f9CI3TSnap</t>
  </si>
  <si>
    <t>RT @ReginaldoProfe: Essa expressão do #BancoCentral independente é uma falácia. O Banco Central é totalmente dependente e controlado pelo #…</t>
  </si>
  <si>
    <t>Boa noite a todos! vamos nos capacitar para 2024! aproveitem a 
oferta por tempo indeterminado E-Book atualizado! 🙋 👇
https://t.co/tvssC74j5l
#criptomoedas #Economia #MercadoFinanceiro https://t.co/EUJvkcazh2</t>
  </si>
  <si>
    <t>Posicionamento oportunidade de negócios a nível global! buscamos pessoas com mente aberta empreendedora, interessados fazer seu cadastro urgente! link na descrição do vídeo! https://t.co/lfAOte4VxR
#criptomoedas #MercadoFinanceiro #Oportunidades #MMNProfissional</t>
  </si>
  <si>
    <t>Uno strano caso: nonostante la disinflazione, il mercato sconta l'esatto contrario!
In attesa di "Investire in obbligazioni for dummies", 1 settembre 📘🖋️
#inflazione #investimenti #obbligazioni #macroeconomia #mercatifinanziari
Link analisi: https://t.co/ZRlhbbq9DA https://t.co/OLX3aMamlw</t>
  </si>
  <si>
    <t>Investire in azioni e obbligazioni con la macroeconomia
#investimenti #macroeconomia #mercatifinanziari
https://t.co/tNPvGFA8Gb via @YouTube</t>
  </si>
  <si>
    <t>ALERTA DE POST
Desde que se tienen registros de la actividad económica, las personas han mostrado interés por los intercambios... Cuáles son? te lo contamos en el link. VISITANOS, PIENSA Y DI!!
https://t.co/qLWIkeJtg2 
#lapiensoladigo #unap2023 #macroeconomia #visitaelblog https://t.co/k25hGbomoW</t>
  </si>
  <si>
    <t>¿Te preocupa el futuro de las personas, del planeta y de la naturaleza? VISITA Y COMENTA
https://t.co/TRmdzZLYIg
#comenta #lapiensoyladigo #visitaelblog #macroeconomia #unap2023 https://t.co/hgsvHJVndW</t>
  </si>
  <si>
    <t>Como Chile es un país que reacciona a eventos, con la pandemia se formó una flexibilidad de trabajo que hoy en día se encuentra vigente y que lo llamamos  “teletrabajo”, VISITA Y COMENTA!
https://t.co/au3mYdIPW0 #comenta #lapiensoyladigo #visitaelblog #macroeconomia #unap2023 https://t.co/PTpoza0DGP</t>
  </si>
  <si>
    <t>#poesia #ABPoeta #metropole #cidadegrande #megalopole #SãoPaulo #SP #CentroSP #SPCapital #financeirizacao #mercadofinanceiro #cracolandia #moradorderua #trabalhador #tripalium #indústria #burguês #desemprego #prostituição #menorabandonado #antrópica
https://t.co/a4xgGlhS2F</t>
  </si>
  <si>
    <t>RT @diario_comercio: Companhias que atuam no setor financeiro, principalmente as que dependem fortemente de receita oriunda da renda variáv…</t>
  </si>
  <si>
    <t>RT @radiobandnewsfm: #Mercadofinanceiro prevê crescimento de 2,92% no #PIB em 2023 l Juliana Rosa: https://t.co/NKCiejpTqq</t>
  </si>
  <si>
    <t>LIVE - Signals   #MERCADOFINANCEIRO  #bitcoin  #gold  buy/sell real time. https://t.co/oGVeccEvtD via @YouTube</t>
  </si>
  <si>
    <t>#Macroeconomía Inversión Extranjera Directa en junio, la segunda mejor en la historia en Colombia. #AvanzaElCambio #ColombiaVaBien #GobiernoDelCambio
https://t.co/xP7vavrEop</t>
  </si>
  <si>
    <t>Estude Economia #mercadofinanceiro #dinheiro #financas #grana https://t.co/owxxR7gsgw</t>
  </si>
  <si>
    <t>Aseguran que “la macro está enfrentando una situación de mucho estrés”
https://t.co/zmaqWcvUIz
#canaleconomico #economia #canale #argentina #dolar #estressfinanciero #macroeconomia</t>
  </si>
  <si>
    <t>RELÁTORIO DE RECOMENDAÇÃO - SWING TRADE AÇÕES
ATIVO: GMAT3
EMPRESA: GRUPO MATEUS
Analista Técnico Responsável
Francisco Bertoldi Neto
CNPI-T Nº 3803
#mercadofinanceiro #cnpi #ações #swingtrading #investimentos #analistacnpi #analisetecnicaclassica #analisetecnica https://t.co/xiE5lJItTU</t>
  </si>
  <si>
    <t>RELÁTORIO DE RECOMENDAÇÃO - SWING TRADE AÇÕES
ATIVO: RENT3
EMPRESA: LOCALIZA
Analista Técnico Responsável
Francisco Bertoldi Neto
CNPI-T Nº 3803
#mercadofinanceiro #cnpi #ações #swingtrading #investimentos #analistacnpi #analisetecnicaclassica #analisetecnica https://t.co/gyfwbSL2a0</t>
  </si>
  <si>
    <t>No Insper, temos programas de pós-graduação de excelência com foco em finanças.
Consulte os cursos com inscrições abertas: https://t.co/pAQZ8mZYKe
#SomosInsper #pós #finanças #gestãofinanceira #mercadofinanceiro #finançascorporativas #gestão https://t.co/QNeq0Mg5We</t>
  </si>
  <si>
    <t>A queda das ações da Braskem é um sinal de alerta para os investidores.
A companhia enfrenta desafios no curto prazo e pode levar tempo para se recuperar.
Eu só invisto na Brasken de um jeito: de jeito nehum.
#Braskem #ações #mercadofinanceiro</t>
  </si>
  <si>
    <t>O mercado financeiro é como um quebra-cabeça em constante mudança. Decisões informadas são as peças que o compõem. Investir em conhecimento é o primeiro passo para tomar as melhores decisões financeiras. 📈💡 #MercadoFinanceiro #EducaçãoFinanceira</t>
  </si>
  <si>
    <t>- Diversifique 
- Trace uma estratégia que fique de acordo com teu perfil
- O longo prazo é a melhor opção 
- Crie um habito para investir um valor todos os meses
Aprenda com essas lições e compartilhe esse segredo com seus amigos!
#MercadoFinanceiro #IndependênciaFinanceira</t>
  </si>
  <si>
    <t>Discussões sobre o mercado financeiro, cenário econômico e compartilhamento de estudos 
https://t.co/dOQKEFs6IB 
#B3 #mercadofinanceiro #investimentos #bolsadevalores #economia #trading</t>
  </si>
  <si>
    <t>"A mudança não é fácil nem quando você tem um problema cardíaco que coloca em cheque a sua vida"
Joaquim Santini, fundador e diretor da Exo, durante o podcast Olá, Investidor 
#olainvestidor #entrevista #podcast #jornalismo #mercadofinanceiro #habito https://t.co/wsY5dUFqEz</t>
  </si>
  <si>
    <t>$LSDI has the potential to capitalize on the $200 billion health care funding announced by the Government of Canada. #LucyscientificInc $LSDI #mercadofinanceiro
#forextrading
#business
#daytrading
#stocks
#cryptocurrency</t>
  </si>
  <si>
    <t>Enquanto uns choram, outros vendem lenços. Essa é uma das máximas do mercado. Os Títulos do Tesouro Direto IPCA já sentiram o impacto da queda da inflação e apresentam menores rendimentos.
#tesouro #finanças #mercadofinanceiro</t>
  </si>
  <si>
    <t>@dawanhutt @TangoYYC Lucy Scientific Discovery Inc. unveils Twilight, an innovative solution for restfulness and enhanced well-being. Expect a positive impact on the company's growth and share price. #LucyScientificInc $LSDI 💤✨#trading
#mercadofinanceiro
#forextrading
#business https://t.co/VB6PLElm9b</t>
  </si>
  <si>
    <t>@dawanhutt @SamuelLandrySam As Twilight hits the market, Lucy Scientific Discovery Inc. is set to make waves in the sleep aids industry. Watch out for an upward trajectory in their share price. #LucyScientificInc $LSDI #trading
#mercadofinanceiro
#forextrading
#business</t>
  </si>
  <si>
    <t>(9 de 9)
Carta completa em: https://t.co/ChfrOsG4TL
#investimentos #mercadofinanceiro #economia #ai</t>
  </si>
  <si>
    <t>(7 de 7)
Carta completa em: https://t.co/4ASV8T78xH
#investimentos #mercadofinanceiro #economia #ai</t>
  </si>
  <si>
    <t>(8 de 8)
Carta completa em: https://t.co/QTzycLqfs7
#investimentos #mercadofinanceiro #economia #ai</t>
  </si>
  <si>
    <t>(7 de 7)
Carta completa em: https://t.co/L8e7rcmi0r
#investimentos #mercadofinanceiro #economia #ai</t>
  </si>
  <si>
    <t>(8 de 8)
Carta completa em: https://t.co/KnJQZw3hfu
#investimentos #mercadofinanceiro #economia #ai</t>
  </si>
  <si>
    <t>(7 de 7)
Carta completa em: https://t.co/xCpGOZCpJF
#investimentos #mercadofinanceiro #economia #ai</t>
  </si>
  <si>
    <t>(7 de 7)
Carta completa em: https://t.co/DZTwGgAHUB
#investimentos #mercadofinanceiro #economia #ai</t>
  </si>
  <si>
    <t>(9 de 9)
Carta completa em: https://t.co/wF0Q8o5qMq
#investimentos #mercadofinanceiro #economia #ai</t>
  </si>
  <si>
    <t>(7 de 7)
Carta completa em: https://t.co/rFQG5v2VTJ
#investimentos #mercadofinanceiro #economia #ai</t>
  </si>
  <si>
    <t>(6 de 6)
Carta completa em: https://t.co/jXxdFNqX7M
#investimentos #mercadofinanceiro #economia #ai</t>
  </si>
  <si>
    <t>(8 de 8)
Carta completa em: https://t.co/iX6VPwxZnK
#investimentos #mercadofinanceiro #economia #ai</t>
  </si>
  <si>
    <t>(8 de 8)
Carta completa em: https://t.co/Ukjd7veE9U
#investimentos #mercadofinanceiro #economia #ai</t>
  </si>
  <si>
    <t>(7 de 7)
Carta completa em: https://t.co/us4QgfoMM5
#investimentos #mercadofinanceiro #economia #ai</t>
  </si>
  <si>
    <t>(7 de 7)
Carta completa em: https://t.co/JGLgh2xOA7
#investimentos #mercadofinanceiro #economia #ai</t>
  </si>
  <si>
    <t>(7 de 7)
Carta completa em: https://t.co/E93AELnQYY
#investimentos #mercadofinanceiro #economia #ai</t>
  </si>
  <si>
    <t>(10 de 10)
Carta completa em: https://t.co/yO3JcBHGPj
#investimentos #mercadofinanceiro #economia #ai</t>
  </si>
  <si>
    <t>(6 de 6)
Carta completa em: https://t.co/Dgd9YGYvlD
#investimentos #mercadofinanceiro #economia #ai</t>
  </si>
  <si>
    <t>(8 de 8)
Carta completa em: https://t.co/mtths8GiQa
#investimentos #mercadofinanceiro #economia #ai</t>
  </si>
  <si>
    <t>(7 de 7)
Carta completa em: https://t.co/FMWuJ061Lt
#investimentos #mercadofinanceiro #economia #ai</t>
  </si>
  <si>
    <t>(7 de 7)
Carta completa em: https://t.co/2nF67MEeTA
#investimentos #mercadofinanceiro #economia #ai</t>
  </si>
  <si>
    <t>(9 de 9)
Carta completa em: https://t.co/suWYwel7Tn
#investimentos #mercadofinanceiro #economia #ai</t>
  </si>
  <si>
    <t>Pela primeira vez em quase três anos, o Comitê de Política Monetária (Copom) do Banco Central decidiu reduzir a taxa de juros básicos da economia brasileira. A taxa caiu de 13,75% para 13,25%. 
#TaxaSelic #MercadoFinanceiro #MercadoDeAções #Investimentos https://t.co/9J6cmZBfel</t>
  </si>
  <si>
    <t>Poucos Desempregados com INFLAÇÃO alta! #macroeconomía #mercadofinanceir... https://t.co/lvc99ngxyD via @YouTube</t>
  </si>
  <si>
    <t>Combustível Vai SUBIR no Brasil, Rússia CORTOU Exportação!
#MERCADOFINANCEIRO #COMBUSTIVEL #DIESEL 
 https://t.co/zWI9dOmtDM via @YouTube</t>
  </si>
  <si>
    <t>Petróleo DISPARA, Bolsas Derretem, PIB e Fala do Powell nos EUA https://t.co/fdolohSRcH via @YouTube #petroleo #pib #powell #mercadofinanceiro</t>
  </si>
  <si>
    <t>Todo tipo de ativo financeiro oscila. Quando você ouvir falar sobre qualquer investimento que só se valoriza sempre, CUIDADO. Isso simplesmente não existe. Assista e entenda. #investimentos #mercadofinanceiro #ricardoamorim #economia https://t.co/hIoGTQEz0E</t>
  </si>
  <si>
    <t>No mercado financeiro nesta terça-feira (01/08), o Dólar Comercial registrou alta de 1,269%, encerrando a sessão cotada a R$ 4,789.#Ações #Dólar #Economia #EconomicNewsBrasil #Ibovespa #investimento #MercadoFinanceiro #Negócios #Noticias #selic
https://t.co/mkA87SOv8p</t>
  </si>
  <si>
    <t>No mercado financeiro nesta terça-feira (01/08), o Dólar Comercial registrou alta de 1,269%, encerrando a sessão cotada a R$ 4,789.#Ações #Dólar #Economia #EconomicNewsBrasil #Ibovespa #investimento #MercadoFinanceiro #Negócios #Noticias #selic
https://t.co/mkA87SOv8p https://t.co/GAlGigzLfT</t>
  </si>
  <si>
    <t>Wall Street, um dos principais ícones do mercado financeiro global, fechou em baixa nesta quarta-feira, 16/08. O motivo foi a ata da reunião de julho do Federal Reserve (Fed)#Economia #EconomicNewsBrasil #Investimento #MercadoFinanceiro #Nasdaq
https://t.co/HcWeyLcyC6 https://t.co/LpFZeqvDKS</t>
  </si>
  <si>
    <t>Na última semana, o cenário financeiro brasileiro vivenciou um marco significativo: pela primeira vez em 12 meses, o Comitê de Política Monetária (Copom)#BancoCentral #Dólar #EconomicNewsBrasil #MercadoFinanceiro #Noticias #selic
https://t.co/hA94YEpdM9 https://t.co/q5661v5KHS</t>
  </si>
  <si>
    <t>No fechamento do mercado financeiro nesta quinta-feira, 31/08, observou-se que o Dólar Comercial valorizou 1,68%, sendo cotado a R$ 4,951.#B3 #Dólar #Economia #EconomicNewsBrasil #Ibovespa #Investimento #MercadoFinanceiro #Negócios #Notícias
https://t.co/qclb2BYrIR</t>
  </si>
  <si>
    <t>Nesta terça-feira (29/08), o mercado financeiro apresentou movimentações significativas, com destaque para a queda do Dólar comercial em 0,43%, fechando a R$ 4,855.#Ações #B3 #Dólar #Economia #EconomicNewsBrasil #Investimento #MercadoFinanceiro
https://t.co/1KH4IF3nYc</t>
  </si>
  <si>
    <t>Em um cenário de oscilações marcadas, o mercado financeiro brasileiro viu diversas alterações em suas principais métricas nesta quarta-feira (06/09).#Dólar #EconomicNewsBrasil #MercadoFinanceiro #Notícias
https://t.co/Blx5o2Xho1 https://t.co/8FBdzHeKoH</t>
  </si>
  <si>
    <t>Em um cenário de oscilações marcadas, o mercado financeiro brasileiro viu diversas alterações em suas principais métricas nesta quarta-feira (06/09).#Dólar #EconomicNewsBrasil #MercadoFinanceiro #Notícias
https://t.co/Blx5o2Xho1 https://t.co/zuNWq4ISQ1</t>
  </si>
  <si>
    <t>Dando continuidade à sua reestruturação administrativa estratégica, o Citigroup anunciou Julio Figueroa como novo CEO na América Latina.#Bancos #CarreiraProfissional #CEO #EconomicNewsBrasil #Executivo #MercadoFinanceiro #Notícias #SistemaFinanceiro
https://t.co/IJOnOUfjXX</t>
  </si>
  <si>
    <t>No cenário econômico atual, o mercado financeiro brasileiro vive momentos de variações significativas e perspectivas otimistas. Nesta terça-feira (12/09),#B3 #Dólar #Economia #EconomicNewsBrasil #Ibovespa #Inflação #Investimento #MercadoFinanceiro
https://t.co/1Pn1QQO6Xo https://t.co/jaEfthWKaf</t>
  </si>
  <si>
    <t>A criptoeconomia, que movimenta cerca de R$ 100 bilhões por ano em bitcoins, pode ser fortemente impactada pela Reforma Tributária (PEC 45).#Criptomoeda #Economia #EconomicNewsBrasil #Impostos #Investimento #MercadoFinanceiro #Negócios #Notícias
https://t.co/S1sDk7tqdt</t>
  </si>
  <si>
    <t>No mercado financeiro nesta sexta-feira (04/08), o dólar comercial fechou em queda de 0,48%, sendo cotado a R$ 4,876.#Ações #B3 #Dólar #Economia #EconomicNewsBrasil #Ibovespa #investimento #MercadoFinanceiro #Noticias
https://t.co/1AOuYX6IFA https://t.co/WhYyRV1IWR</t>
  </si>
  <si>
    <t>Nesta quarta-feira, 13 de setembro, o mercado financeiro apresentou movimentações significativas, com destaque para a alta do Ibovespa e a queda do Dólar Comercial.#B3 #Dólar #Economia #EconomicNewsBrasil #Ibovespa #Investimento #MercadoFinanceiro
https://t.co/y3DiUqmQUY https://t.co/7wodUVO3uY</t>
  </si>
  <si>
    <t>👨‍💼El boletín semanal del inversor : Embotellamiento a la vista📈📉
#Índices #MateriasPrimas #Bonos #Divisas #Macroeconomía #PMI #FED #BCE #Brent #WTI #Inflación #Bitcoin #Cripto #IBEX35 #USA #Europa #Metales #Tops #Flops #Energía
➡️https://t.co/mZpMnupww3⬅️ https://t.co/TzgaKr20JU</t>
  </si>
  <si>
    <t>👨‍💼El boletín semanal del inversor: Un fin de semana de respiro antes del resto de publicaciones📈📉
#Índices #MateriasPrimas #Bonos #Divisas #Macroeconomía #PMI #FED #BCE #Brent #WTI #Inflación #Bitcoin #Cripto #IBEX35 #USA #Europa  #Tops #Flops
➡️https://t.co/L29FW3YJq3⬅️ https://t.co/hGrWccb9t3</t>
  </si>
  <si>
    <t>⚠️ Atención
Esta semana otra vez la Fed y el viejito definen que hacen con los tipos de interés en 🇺🇲... parece que se viene un incremento
#Bitcoin #Criptomonedas #FED #Macroeconomía #Inversiones</t>
  </si>
  <si>
    <t>Cursos de Bacharelado e Licenciatura em Ciências e em Física 
#podcastsabidao, #ensinomedio, #fuvest, #ensinosuperior, #fisicaaplicada, #fisicacomputacional, #biomoleculares, #fisicamedica, #biofotonica, #cancer, #mercadofinanceiro
https://t.co/4oASqe20Y0 via @YouTube</t>
  </si>
  <si>
    <t>🚀 QUAL INVESTIMENTO RENDE MAIS? QUAIS PAGAM MAIS?
Veja mais 👇
https://t.co/0xyOpa5827 
#mercadofinanceiro #mercadoamericano #mercadobrasileiro #wagnergeremia #investimento #valuation #AÇÕES #fundosinvestimentos https://t.co/nYHwUJgnC8</t>
  </si>
  <si>
    <t>JUROS DO BRASIL E MUNDO VÃO MUDAR! VEJA COMO GANHAR DINHEIRO
Veja mais 👇
https://t.co/wlaxudWtHT 
#mercadofinanceiro #mercadoamericano #mercadobrasileiro #wagnergeremia #investimento #valuation #AÇÕES #fundosinvestimentos #tesourodireto #rendafixa #rendimentos https://t.co/f4foroqEDk</t>
  </si>
  <si>
    <t>O professor Dudu apresenta o economista John Cochrane, com carreira calcada em macroeconomia e finanças, a quem ele define como “polêmico”, mas que não dá para deixar de acompanhar. Entenda  por que no vídeo! https://t.co/A17xP1JhRc
#economia #macroeconomia #financas</t>
  </si>
  <si>
    <t>Encontre o desafio que é a sua cara! Acesse nossas páginas de carreira na Gupy.
Gestão &amp;amp; Negócios:
https://t.co/5CF7epGNwX
Tech &amp;amp; Produto:
https://t.co/jXza5QOytj
O que você vive aqui muda tudo.
Vórtx. Together &amp;amp; Beyond.
#vagas #mercadofinanceiro #mercadodecapitais #carreira https://t.co/NfmZCbCg3l</t>
  </si>
  <si>
    <t>🔮Participe del futuro de la #JusticiaFiscalFeminista!
📌El futuro de la #JusticiaFiscal #feminista entre los panoramas cambiantes de la #macroeconomía mundial, el #clima, la #digitalización y la #democracia
📅28/09, 1 - 4 pm UCT
➡️Inscripción: https://t.co/FQyG1w5ZK0 https://t.co/WGGWLpdBTY</t>
  </si>
  <si>
    <t>de aplicativos e da comunidade em geral é essencial para o sucesso desse projeto.
#Economia
#Finanças
#Investimentos
#Dinheiro
#Negócios
#MercadoFinanceiro
#GestãoFinanceira
#EducaçãoFinanceira
#Empreendedorismo
#PlanejamentoFinanceiro
#CrescimentoEconômico</t>
  </si>
  <si>
    <t>Really Help Full 🌝
#finance #liberdadefinanceira #personalfinance #mercadofinanceiro #finances #educacaofinanceira #independenciafinanceira #planejamentofinanceiro #refinance #sucessofinanceiro #financeiro #financetips #inteligenciafinanceira #gestaofinanceira #carfinance https://t.co/DsLTdwcNj1</t>
  </si>
  <si>
    <t>Saiu o resultado @Padtec ! Recorde em seus números. Subiu lucro, subiu receita, subiu margem! 
A empresa está cheia de triggers no curto, médio e longo prazo.
Tem tudo para ser uma das melhores small caps da bolsa! Basta o mercado reconhecer ela.
#pdtc3 #padtec #mercadofinanceiro https://t.co/zMqXRcODqO</t>
  </si>
  <si>
    <t>Acredito que esse tenha sido um dos mais importantes FRs que a empresa soltou até hoje no mercado financeiro.
Apesar de não ter valores, o que acho um erro, o mesmo deve ser bem significativo. @Padtec 
#Padtec #MercadoFinanceiro #acoes https://t.co/AS3qaUuN7M</t>
  </si>
  <si>
    <t>Sua transformação como investidor começa em 10 dias. Inscreva-se no link da e garanta sua vaga: https://t.co/Vm9vLwh4xD
#investimentos #mercadofinanceiro https://t.co/W7ryCOi40X</t>
  </si>
  <si>
    <t>🚨 NOTÍCIA: Após dados econômicos fracos, as ações dos EUA registraram alta.
Os investidores estão buscando oportunidades de lucro antes que a economia volte ao seu ritmo normal. #mercadofinanceiro #EUA #investimento
Fonte: France 24.</t>
  </si>
  <si>
    <t>🚨 NOTÍCIA: "Mercado financeiro abalado pelo temor de aumento prolongado nas taxas de juros nos EUA.
Ações caem e investidores temem impacto na economia global. #Economia #BolsaDeValores #TaxaDeJuros #Investimentos #EUA #MercadoFinanceiro"
Fonte: France 24.</t>
  </si>
  <si>
    <t>RT @EInvestidor: 📊 É a terceira sessão consecutiva em que a curva local registra aumento da inclinação, acompanhando com grande aderência o…</t>
  </si>
  <si>
    <t>RT @EInvestidor: 📈 Os rendimentos dos títulos do Tesouro dos Estados Unidos tiveram nova rodada de alta nesta quarta-feira, com a taxa do p…</t>
  </si>
  <si>
    <t>Hoje tive o prazer de acompanhar uma entrevista do Gustavo Spinola Lopes da Cruz, Estrategista Chefe da RB Investimentos nos Flow News representando a @AgenciaTamer.
#rbinvestimentos #mercadofinanceiro #estudiosflow #flownews #tamercomunicacao https://t.co/GLrFdRjhIX</t>
  </si>
  <si>
    <t>RT @EInvestidor: 📊Mercado hoje: de olho nos juros, atenções se concentram nas decisões de política monetária no Brasil e nos EUA.
#investim…</t>
  </si>
  <si>
    <t>🚨💰 Banco Central pode acabar com parcelado sem juros! 😨
#economia
#macroeconomia
#bancocentral
#juros
https://t.co/bVzkL1CObg</t>
  </si>
  <si>
    <t>🚨Será que toda dívida é ruim? 🤔💸
#dívida
#empréstimo
#investimento
#economia
#macroeconomia
#dinheiro https://t.co/S7O8s5x2lF</t>
  </si>
  <si>
    <t>🚨E a restrição dos vôos no aeroporto Galeão?!
#enocomia
#macroeconomia
#aeroportogaleão
#finanças
https://t.co/TS4im0N3Wm</t>
  </si>
  <si>
    <t>Pocas colaboraciones me han dejado tan buen sabor de boca tras terminar. 
Con el grandísimo @elcrackdel23 hablando de oro y geopolítica me lo pasé como un gobierno con leyes nuevas. 
#gold #oro #macroeconomía 
https://t.co/spfs47G6xB</t>
  </si>
  <si>
    <t>Quando você abre o Kinvo, já bate o olho em informações importantes sobre o que tá rolando com o seu dinheiro. 💰
▶️ Assista ao vídeo e descubra tudo sobre a tela inicial do Kinvo e o que as pistas significam.
#Kinvo #PistasKinvo #investimentos #mercadofinanceiro https://t.co/BvHa3rC0NI</t>
  </si>
  <si>
    <t>𝑻𝒉𝒆 𝑾𝒐𝒓𝒍𝒅'𝒔 𝑴𝒐𝒔𝒕 𝑷𝒐𝒘𝒆𝒓𝒇𝒖𝒍 𝑬𝒄𝒐𝒏𝒐𝒎𝒊𝒆𝒔
The rankings of economies over time have changed considerably mainly after wars.
Video Source: World Bank, IMF
More details on comments...
#world #brasil #economy #economia #mercadofinanceiro https://t.co/PJuVUfhoKE</t>
  </si>
  <si>
    <t>#MercadoFinanceiro 
Vamos para mais uma semana! 
Pegue essa dica aqui. 👏 https://t.co/nt1jJ6UTPg</t>
  </si>
  <si>
    <t>#MercadoFinanceiro 
#MercadoDeCapitais https://t.co/bVgFxldIU2</t>
  </si>
  <si>
    <t>#MercadoFinanceiro https://t.co/o1AJ3RKOPA</t>
  </si>
  <si>
    <t>#MercadoFinanceiro 
🇧🇷BPAC11-Lucro +18,0% 2T23/2T22
🇧🇷CPLE6-Privatizada
🇧🇷BRKM5-Prejuízo de R$771mi no 2T23
🇧🇷STBP3-Ebitda +3,5% 2T23/2T22
🇧🇷CURY3-Lucro +33,6% 2T23/2T22
🇨🇳Inflação IPC +0,2% jul. MoM
🇺🇸Futuros em alta
#Bitcoin +1,8%
🇬🇧Petróleo +1,3%
🇨🇳Minério +0,1%</t>
  </si>
  <si>
    <t>#MercadoDeCapitais 
#MercadoFinanceiro 
🇧🇷TRPL4-Iniciou operação no projeto Triângulo Mineiro
🇧🇷CCRO3-Concluiu recompra
🇧🇷SANB11-Renuncia da Vice-Presidente
🇧🇷KLBN11-Anunciou reajuste nos preços
🇺🇸Futuros em alta
#Bitcoin +0,1%
🇬🇧Petróleo -0,6%
🇨🇳Minério +4,4%</t>
  </si>
  <si>
    <t>#MercadoFinanceiro
 A semana promete alta volatilidade nos mercados Globais.👏💪
DEFINIÇÃO DE TAXA DE JUROS
INGLATERRA
CHINA 
EUA 
JAPÃO 
BRASIL 
Semana dos Bancos Centrais</t>
  </si>
  <si>
    <t>#MercadoFinanceiro
🇧🇷ITSA4-Amortização antecipa de R$1,6bi em debêntures
🇧🇷ALSO3-Vende  20% do Plaza Sul    Shopp
🇧🇷AMAR3- agrupamento de ações (5 p/ 1)
🇧🇷RENT3-Aprovou R$ 428mi em JCP
🇸🇬Inflação 4,0% 12m ago.
🇺🇸Futuros queda
#Bitcoin -1,9%
🇬🇧Petróleo +0,2%
🇨🇳Minério -2,0%</t>
  </si>
  <si>
    <t>#tradingtips #trading #tradingmotivation #economíasustentable #intags #tradingcrypto #tradingstrategy #swingtrading  #daytrading #intradaytrading #cryptotrading #bitcointrading #macroeconomía  #fxtrading #forextrading  #goldtrading #tradinggold  #economía  #tradingforex</t>
  </si>
  <si>
    <t>📊  Navegar en aguas turbulentas: las empresas del agro y el desafío llegar a la orilla: @TeoZorraquinZM pone sobre la mesa los #problemas del sector, en una #macroeconomía tan #frágil ¿Qué hacer en plena "#fiesta financiera"? | @Ecos365 https://t.co/otA4gPko21</t>
  </si>
  <si>
    <t>RT @Ecos365: 📊  Navegar en aguas turbulentas: las empresas del agro y el desafío llegar a la orilla: @TeoZorraquinZM pone sobre la mesa los…</t>
  </si>
  <si>
    <t>Puedes leer mi artículo completo aquí : El sector financiero en la mirilla tributaria
https://t.co/X3lM39VWEE
#MagínDíaz #Macroeconomía #FinanzasPúblicas #economia #crecimientoeconomico #republicadominicana🇩🇴</t>
  </si>
  <si>
    <t>Egressos do Credit Suisse abrem butique com foco em techs #mercadofinanceiro #newharbour #fusoeseaquisicoes #tech
https://t.co/FAdrRA6Mci</t>
  </si>
  <si>
    <t>📊 Vamos acompanhar de perto como esses movimentos de investimento podem influenciar o mercado e as decisões futuras de outros investidores. 
Que saber um pouco mais sobre esse investidor, leia o livro.
A jogada do século
https://t.co/WmPMN6HKUe
#MercadoFinanceiro…</t>
  </si>
  <si>
    <t>💰 Os crescentes rendimentos dos títulos do Tesouro dos EUA estão causando agitação em áreas arriscadas do mercado, deixando investidores se perguntando quão profundamente isso afetará o rali que impulsionou desde ações até bitcoin este ano. 📈📉 #MercadoFinanceiro https://t.co/w7dqS5uyH8</t>
  </si>
  <si>
    <t>💼 Uma elevação nos juros do FED amanhã pode deixar o mercado cada vez mais próximo de um pouso não suave. 📈📉 #Economia #Fed #MercadoFinanceiro #Emprego #Varejo</t>
  </si>
  <si>
    <t>📊 BOLETIM FOCUS:
Confira as perspectivas do mercado para o Relatório Focus em 25/08/2023.
Toda semana, trazemos as projeções atualizadas para:
🔹#IPCA
🔹#PIB
🔹#SELIC
🔹#Dolar
Fique por dentro das expectativas do mercado financeiro.
#MercadoFinanceiro #Investimentos #Inflação https://t.co/H6tu9SU5N4</t>
  </si>
  <si>
    <t>📊 BOLETIM FOCUS:
Confira as perspectivas do mercado para o Relatório Focus em 01/09/2023.
Toda semana, trazemos as projeções atualizadas para #IPCA, #PIB, #SELIC e #Dolar.
Fique por dentro das expectativas do #MercadoFinanceiro https://t.co/m9APMe2nIo</t>
  </si>
  <si>
    <t>📊 Alerta de Indicadores:
• IGP-M: O indicador registrou uma queda de 0,14% no mês de Agosto de 2023. ↓
Fique por dentro das expectativas do mercado financeiro.
#MercadoFinanceiro #Investimentos #Inflação #BancoCentral #FGV #BolsaDeValores #fyp #trending https://t.co/gRcfiC6aeD</t>
  </si>
  <si>
    <t>A relação preço/lucro do #Ibovespa desde o dia 01/01/2023 até o dia 05/09/2023.
#Investimento #Ações #MercadoFinanceiro #BolsaDeValores https://t.co/oQCEVyEOsO</t>
  </si>
  <si>
    <t>📊 BOLETIM FOCUS:
Confira as perspectivas do mercado para o Relatório Focus em 15/09/2023.
Toda semana, trazemos as projeções atualizadas para #IPCA, #PIB, #SELIC e #Dolar.
Fique por dentro das expectativas do #MercadoFinanceiro https://t.co/4ertydvmRK</t>
  </si>
  <si>
    <t>📊 BOLETIM FOCUS:
Confira as perspectivas do mercado para o Relatório Focus em 22/09/2023.
Toda semana, trazemos as projeções atualizadas para #IPCA, #PIB, #SELIC e #Dolar.
Fique por dentro das expectativas do #MercadoFinanceiro https://t.co/GUsWBmiZ0G</t>
  </si>
  <si>
    <t>📊 BOLETIM FOCUS:
Confira as perspectivas do mercado para o Relatório Focus em 08/09/2023.
Toda semana, trazemos as projeções atualizadas para #IPCA, #PIB, #SELIC e #Dolar.
Fique por dentro das expectativas do #MercadoFinanceiro https://t.co/CK1tE8VRbT</t>
  </si>
  <si>
    <t>B3 interbank deposit futures: today and a month ago #FuturodoCDI #mercadofinanceiro https://t.co/O5OPc2T8tC</t>
  </si>
  <si>
    <t>B3 interbank deposit futures: today and a month ago #FuturodoCDI #mercadofinanceiro https://t.co/JX1a7pHdiM</t>
  </si>
  <si>
    <t>B3 interbank deposit futures: today and a month ago #FuturodoCDI #mercadofinanceiro https://t.co/M55UzyeXI4</t>
  </si>
  <si>
    <t>B3 interbank deposit futures: today and a month ago #FuturodoCDI #mercadofinanceiro https://t.co/paP65f6tUc</t>
  </si>
  <si>
    <t>B3 interbank deposit futures: today and a month ago #FuturodoCDI #mercadofinanceiro https://t.co/jOaZrJX7dh</t>
  </si>
  <si>
    <t>B3 interbank deposit futures: today and a month ago #FuturodoCDI #mercadofinanceiro https://t.co/p2bssPfcVU</t>
  </si>
  <si>
    <t>B3 interbank deposit futures: today and a month ago #FuturodoCDI #mercadofinanceiro https://t.co/yopfzfo4oL</t>
  </si>
  <si>
    <t>B3 interbank deposit futures: today and a month ago #FuturodoCDI #mercadofinanceiro https://t.co/aU16kWRJvz</t>
  </si>
  <si>
    <t>B3 interbank deposit futures: today and a month ago #FuturodoCDI #mercadofinanceiro https://t.co/jjCXedhCHG</t>
  </si>
  <si>
    <t>B3 interbank deposit futures: today and a month ago #FuturodoCDI #mercadofinanceiro https://t.co/zmRmTcg205</t>
  </si>
  <si>
    <t>B3 interbank deposit futures: today and a month ago #FuturodoCDI #mercadofinanceiro https://t.co/KyK3crY1T7</t>
  </si>
  <si>
    <t>B3 interbank deposit futures: today and a month ago #FuturodoCDI #mercadofinanceiro https://t.co/iggqFm74MA</t>
  </si>
  <si>
    <t>B3 interbank deposit futures: today and a month ago #FuturodoCDI #mercadofinanceiro https://t.co/FfDFCwsWhd</t>
  </si>
  <si>
    <t>Market expectations: Selic #mercadofinanceiro https://t.co/JXOoV1UgNb</t>
  </si>
  <si>
    <t>B3 interbank deposit futures: today and a month ago #FuturodoCDI #mercadofinanceiro https://t.co/nRjX12J4U1</t>
  </si>
  <si>
    <t>B3 interbank deposit futures: today and a month ago #FuturodoCDI #mercadofinanceiro https://t.co/dtoI1mzP0u</t>
  </si>
  <si>
    <t>B3 interbank deposit futures: today and a month ago #FuturodoCDI #mercadofinanceiro https://t.co/tYDCWjDi5R</t>
  </si>
  <si>
    <t>B3 interbank deposit futures: today and a month ago #FuturodoCDI #mercadofinanceiro https://t.co/ICDMt1VSi1</t>
  </si>
  <si>
    <t>Market expectations: Selic #mercadofinanceiro https://t.co/9U74D3nYxt</t>
  </si>
  <si>
    <t>B3 interbank deposit futures: today and a month ago #FuturodoCDI #mercadofinanceiro https://t.co/cyydzaD0fT</t>
  </si>
  <si>
    <t>B3 interbank deposit futures: today and a month ago #FuturodoCDI #mercadofinanceiro https://t.co/V8FmOiSByZ</t>
  </si>
  <si>
    <t>B3 interbank deposit futures: today and a month ago #FuturodoCDI #mercadofinanceiro https://t.co/krBJp2lne8</t>
  </si>
  <si>
    <t>B3 interbank deposit futures: today and a month ago #FuturodoCDI #mercadofinanceiro https://t.co/xjruhApXlI</t>
  </si>
  <si>
    <t>B3 interbank deposit futures: today and a month ago #FuturodoCDI #mercadofinanceiro https://t.co/29TRgcyPOL</t>
  </si>
  <si>
    <t>Market expectations: Selic #mercadofinanceiro https://t.co/GAAwepT8lp</t>
  </si>
  <si>
    <t>B3 interbank deposit futures: today and a month ago #FuturodoCDI #mercadofinanceiro https://t.co/mgRjD2CYid</t>
  </si>
  <si>
    <t>B3 interbank deposit futures: today and a month ago #FuturodoCDI #mercadofinanceiro https://t.co/kJ3sFUJK4t</t>
  </si>
  <si>
    <t>B3 interbank deposit futures: today and a month ago #FuturodoCDI #mercadofinanceiro https://t.co/j6uVCTchLL</t>
  </si>
  <si>
    <t>B3 interbank deposit futures: today and a month ago #FuturodoCDI #mercadofinanceiro https://t.co/yRB4HN7yHK</t>
  </si>
  <si>
    <t>B3 interbank deposit futures: today and a month ago #FuturodoCDI #mercadofinanceiro https://t.co/3gLGNkv91M</t>
  </si>
  <si>
    <t>B3 interbank deposit futures: today and a month ago #FuturodoCDI #mercadofinanceiro https://t.co/vSivRzr92q</t>
  </si>
  <si>
    <t>B3 interbank deposit futures: today and a month ago #FuturodoCDI #mercadofinanceiro https://t.co/LnXeqwb2Gf</t>
  </si>
  <si>
    <t>B3 interbank deposit futures: today and a month ago #FuturodoCDI #mercadofinanceiro https://t.co/eaLYHSU86F</t>
  </si>
  <si>
    <t>Market expectations: Selic #mercadofinanceiro https://t.co/PGYF7GtxBL</t>
  </si>
  <si>
    <t>B3 interbank deposit futures: today and a month ago #FuturodoCDI #mercadofinanceiro https://t.co/O9gEDZ6Ga2</t>
  </si>
  <si>
    <t>Market expectations: Selic #mercadofinanceiro https://t.co/Vv5VxFUpRk</t>
  </si>
  <si>
    <t>B3 interbank deposit futures: today and a month ago #FuturodoCDI #mercadofinanceiro https://t.co/kSStmmtRkZ</t>
  </si>
  <si>
    <t>Market expectations: Selic #mercadofinanceiro https://t.co/af4X42xrXO</t>
  </si>
  <si>
    <t>Market expectations: Selic #mercadofinanceiro https://t.co/oDKQmfvgoq</t>
  </si>
  <si>
    <t>B3 interbank deposit futures: today and a month ago #FuturodoCDI #mercadofinanceiro https://t.co/Pskz6ZbPXK</t>
  </si>
  <si>
    <t>B3 interbank deposit futures: today and a month ago #FuturodoCDI #mercadofinanceiro https://t.co/kuv8lh0ARA</t>
  </si>
  <si>
    <t>Market expectations: Selic #mercadofinanceiro https://t.co/fCRguJBlo0</t>
  </si>
  <si>
    <t>Market expectations: Selic #mercadofinanceiro https://t.co/YgdNatxR0b</t>
  </si>
  <si>
    <t>B3 interbank deposit futures: today and a month ago #FuturodoCDI #mercadofinanceiro https://t.co/EiQCjRo0tw</t>
  </si>
  <si>
    <t>Market expectations: Selic #mercadofinanceiro https://t.co/7DuDTqqFlF</t>
  </si>
  <si>
    <t>Inicie a semana bem informado com o Morning Call da WIT Invest. 
#witinvest #morningcall #noticias #mercadofinanceiro #economia #indicadores #brasil #mundo #taxasdejuros #bolsadevalores #investimentos 
 https://t.co/BdCPyWxi52</t>
  </si>
  <si>
    <t>Acompanhe o resumo de notícias da manhã, o Morning Call da WIT Invest.
#investimentos #noticias #mercadofinanceiro #witinvest #assessoria #morningcall #economia #indicadores #bolsadevalores  https://t.co/J3BKkt9vzI</t>
  </si>
  <si>
    <t>As notícias mais relevantes para o mercado nesta sexta-feira você encontra no Morning Call da WIT Invest.
#witinvest #morningcall #noticias #relevantes #mercadofinanceiro #investimentos #rentabilidade #bolsadevalores #taxadejuros #economia #indicadores  https://t.co/ws0pzgTJjq</t>
  </si>
  <si>
    <t>Inicie a semana bem informado com o Morning Call da WIT Invest.
#morningcall #witinvest #noticias #mercadofinanceiro #economia #taxadejuros #copom #selic #news #investimentos  https://t.co/YDwsUcteQt</t>
  </si>
  <si>
    <t>Acompanhe as principais notícias que movimentam o mercado nesta quarta-feira ouvindo o Morning Call da WIT Invest.
#morningcall #podcast #noticias #news #investimentos #assessoria #witinvest #xp #economia #mercadofinanceiro #indicadores  https://t.co/pAlgQtvbmY</t>
  </si>
  <si>
    <t>A assessora de investimentos da WIT Invest, Mariana Pulegio, traz no Morning Call de hoje um resumo de notícias relevantes para o mercado.
#witinvest #noticias #mercadofinanceiro #economia #taxadejuros #selic #copom #bolsadevalores #investimentos https://t.co/8Zr7vSDoXC</t>
  </si>
  <si>
    <t>As principais notícias do mercado no Brasil e no mundo você confere aqui no Morning Call da WIT Invest.
##morningcall #witinvest #assessoria #investimentos #noticias #news #economia #bolsadevalores #copom #taxadejuros #selic #mercadofinanceiro  https://t.co/SfS6I64Yu9</t>
  </si>
  <si>
    <t>O Morning Call da WIT Invest desta quinta-feira traz um resumo das notícias mais relevantes para o mercado. Confira!
#morningcall #witinvest #investimentos #noticias #mercadofinanceiro #indicadores #resultados #bolsadevalores #taxadejuros  https://t.co/Jez6tX1WRP</t>
  </si>
  <si>
    <t>O Morning Call da WIT Invest desta quarta-feira traz um resumo de notícias que movimentam os principais mercados no mundo. Confira!
#witinvest #morningcall #noticias #mercadofinanceiro #brasil #mundo #economia #news #investimentos  https://t.co/vnPHVYpurd</t>
  </si>
  <si>
    <t>A assessora de investimentos da WIT Invest, Mariana Pulegio, traz o resumo dos mais relevantes acontecimentos para o mercado hoje. 
#witinvest #mercadofinanceiro #notícias #news #brasil #mundo #fed #taxadejuros #indicadores #resultados #investimentos  https://t.co/4ZLVjNmWWp</t>
  </si>
  <si>
    <t>Acompanhe agora as principais notícias desta manhã com o Morning Call da WIT Invest.
#morningcall #witinvest #noticias #mercadofinanceiro #economia #brasil #mundo #indicadores #bolsadevalores #investimentos  https://t.co/BLQDPPc35G</t>
  </si>
  <si>
    <t>Aumente o som e confira as principais notícias desta manhã de quinta-feira, no Morning Call da WIT Invest. 
#witinvest #morningcall #noticias #mercadofinanceiro #economia #investimentos #indicadores  https://t.co/EqrQHNl7Lf</t>
  </si>
  <si>
    <t>As notícias que movimentam o mercado nesta quinta-feira você confere no Morning Call da WIT Invest.
#witinvest #morningcall #noticias #mercadofinanceiro #brasil #mundo #economia #news #investimentos 
 https://t.co/WpzFcHJT5T</t>
  </si>
  <si>
    <t>O Morning Call da WIT Invest desta sexta-feira traz os principais destaques para o mercado. Confira!
#witinvest #morningcall #noticias #mercadofinanceiro #brasil #mundo #economia #news #bolsadevalores #indicadores #informacao  https://t.co/Kxo7yd7Ig4</t>
  </si>
  <si>
    <t>As principais notícias que movimentam o mercado diariamente você encontra aqui, no Morning Call da WIT Invest. Confira! 
#witinvest #mercadofinanceiro #noticias #resumo #morningcall #news #brasil #mundo #investimentos #taxadejuros #bolsadevalores  https://t.co/dH5z57Fjdw</t>
  </si>
  <si>
    <t>Inicie a semana com as principais notícias no Morning Call da WIT Invest desta segunda-feira.
#morningcall #witinvest #notícias #news #mercadofinanceiro #economia #news #indicadores #bolsadevalores #investimentos  https://t.co/uw8yq0E4qs</t>
  </si>
  <si>
    <t>O Morning Call desta quarta-feira traz as principais notícias do mercado no Brasil e no mundo. Confira!
#witinvest #noticias #mercadofinanceiro #bolsadevalores #economia #indicadores #investimentos #morningcall  https://t.co/JUqwnFSAKg</t>
  </si>
  <si>
    <t>Inicie a semana bem informado com o Morning Call da WIT Invest.
#morningcall #witinvest #noticias #mercadofinanceiro #economia #taxadejuros #copom #selic #news #investimentos  https://t.co/vpcxB9eVX6</t>
  </si>
  <si>
    <t>Acompanhe agora as principais notícias que movimentam o mercado nesta terça-feira no Morning Call da WIT Invest.
#witinvest #morningcall #noticias #mercadofinanceiro #investimentos #global #mercados #economia #indicadores #bolsadevalores  https://t.co/pPjpemW6cz</t>
  </si>
  <si>
    <t>Inicie a semana bem informado com o Morning Call da WIT Invest.
#witinvest #morningcall #noticias #mercadofinanceiro #brasil #mundo #economia #news #bolsadevalores #superquarta #copom #fomc #taxadejuros #selic  https://t.co/JaPKvYKiJL</t>
  </si>
  <si>
    <t>Acompanhe as notícias que movimentam os mercados no Brasil e no mundo nesta sexta-feira, no Morning Call da WIT Invest.
#witinvest #assessoriadeinvestimentos #morningcall #mercadofinanceiro #noticias #economia #indicadores #resultados #investimentos  https://t.co/Rob4DzYqc2</t>
  </si>
  <si>
    <t>Faltam apenas alguns minutos para alguns dados saírem e consequentemente,  podendo trazer volatilidade para os mercado de renda variável, então vale a pena ficar de olho. 
#mercadofinanceiro #Bitcoin #BTC #Ethereum #trading #TradingSignals #criptomoedas https://t.co/duCsTXNZz4</t>
  </si>
  <si>
    <t>▶ Organiza: Departamento de Ciencias Económicas
Para más información:
☎️ 4480-8900, interno 8954
#Macroeconomía #Argentina #políticamonetaria #políticafiscal</t>
  </si>
  <si>
    <t>Nunca em hipótese alguma, assine uma revista ou jornal da Globo como @peqempresas @valoreconomico! É pior que vender a alma pro Diabo! Pior que cancelar telefone! Simplesmente sou ignorado igual um trouxa! #empreendedorismo #mercado #mercadofinanceiro #bolsadevalores #Negocios</t>
  </si>
  <si>
    <t>As psychedelics begin breaking in the mainstream, we can look to the emergence and growth of the psychotropic industry as a glimpse of what is to come.
$LSDI $ATAI $CMPS $NEON 
#daytrade #LucyScientific #stockmarket #finance #trading #mercadofinanceiro #forextrading</t>
  </si>
  <si>
    <t>Quer aprender na prática como fazer seu primeiro investimento? então é só assistir o Aulão 3 - Aprenda na PRÁTICA como comprar sua primeira ação https://t.co/SPn0w7xoNk  #investir #investimento #ações #mercadofinanceiro #ativos #renda #educaçãofinanceira</t>
  </si>
  <si>
    <t>No vídeo de hoje eu falo com você pode receber dividendos o ano todo, tendo poucas ações encarteiradas, quer aprender também? acessa lá! https://t.co/NoGmEW72Sm #dinheiro #economia #investimentos #ativos #ações #educaçãofinanceira #rendapassiva #mercadofinanceiro #bolsadevalores</t>
  </si>
  <si>
    <t>Veja o Desespero do Apresentador vendo o SP500 Caindo e ele querendo zer... https://t.co/t44eC0xs4n via @YouTube 
#trading #Loss #mercadofinanceiro</t>
  </si>
  <si>
    <t>RT @ValoraAnalitik: #Macroeconomía | El sistema empezó a funcionar en la página de la @DIANColombia partir de este lunes 18 de septiembre…</t>
  </si>
  <si>
    <t>Introdução à macroeconomia da política fiscal: gastos do governo
#economia #governo #macroeconomia
https://t.co/Tv5BHEq1T8 https://t.co/eaiYQMGfem</t>
  </si>
  <si>
    <t>¿Quieres aprender cómo funcionan las economías contemporáneas? Conoce las principales claves en el #MOOC "Curso fundamental de #Macroeconomía" de #URJCx en @miriadax con @juancaraguado 
👉https://t.co/ftEIFerkMk
#online y de acceso #gratis
@urjc https://t.co/zUTSbnVeFz</t>
  </si>
  <si>
    <t>📣Aprovecha la oportunidad de conocer los fundamentos básicos de la #economía con @juancaraguado en el #MOOC "Curso fundamental de #Macroeconomía" de #URJCx en @miriadax 
¡Inscríbete, comienza el 12 de septiembre!  
👉https://t.co/ftEIFerkMk
#online y de acceso #gratis
@urjc https://t.co/HInuVYqiwj</t>
  </si>
  <si>
    <t>¡No te pierdas el #MOOC "Curso fundamental de #Macroeconomía" de #URJCx en @miriadax!
¡Hoy comienza y aún puedes inscribirte! ¡Apúntate y aprende modelos para profundizar en fenómenos económicos cotidianos!
👉https://t.co/Inh9cBGAHx
#online y acceso #gratis
@urjc @juancaraguado https://t.co/gLy1L5qOYm</t>
  </si>
  <si>
    <t>📈📉 ¡Conoce modelos y políticas económicas que te permitirán profundizar en el estudio de fenómenos económicos cotidianos! Con el #MOOC "Curso fundamental de #Macroeconomía" de #URJCx en @miriadax 
👉https://t.co/ftEIFerkMk
#online y de acceso #gratis
@urjc https://t.co/rPXEQMmXH0</t>
  </si>
  <si>
    <t>✅ Adquiere los conocimientos básicos para abordar los hechos económicos fundamentales de tu entorno de forma crítica.
#MOOC "Curso fundamental de #Macroeconomía" de #URJCx en @miriadax 
🗓️¡Ya puedes inscribirte! 
👉https://t.co/ftEIFerkMk
#online y de acceso #gratis
@urjc https://t.co/dIeVsiGQnL</t>
  </si>
  <si>
    <t>🆕¡En septiembre nueva edición del #MOOC "Curso fundamental de #Macroeconomía"! Curso #online y de acceso #gratis de #URJCx en @miriadax
¿Buscas una formación básica en los fundamentos de la #economía? ¡Agéndalo, que comienza el 12 de septiembre!
👉https://t.co/ftEIFerSBS
@urjc https://t.co/9346ptrcND</t>
  </si>
  <si>
    <t>Conoce los principales modelos y políticas económicas para el estudio de los fenómenos económicos cotidianos que afectan a consumidores, empresas... con el #MOOC "Curso fundamental de #Macroeconomía" de #URJCx en @miriadax 
👉https://t.co/ftEIFerkMk
#online acceso #gratis https://t.co/SmNDy7VvMC</t>
  </si>
  <si>
    <t>▶️ Con el #MOOC "Curso fundamental de #Macroeconomía" de #URJCx en @miriadax obtendrás las claves del estudio de los fenómenos económicos cotidianos  y serás capaz de discutir los hechos económicos fundamentales de tu entorno. 
👉https://t.co/ftEIFerkMk
#online y acceso #gratis https://t.co/ccR7tB4LNH</t>
  </si>
  <si>
    <t>#BBSE3: suporte em 31.60
#BBSeguridade #Ibovespa #Finance #earningsseason #Daytrader #insurance #Brasil #mercadofinanceiro #recession #trading #dolar #EmergingMarkets https://t.co/zJgy6oHxWt</t>
  </si>
  <si>
    <t>#mercadofuturo #mercadodeopções #derivativos #investimentos #educaçãofinanceira #finanças #prosperidade #prosperidadefinanceira #liberdadefinanceira #macroeconomia #bolsadechicago #mercadoamericano</t>
  </si>
  <si>
    <t>#mercadofinanceiro #mercadofuturo #mercadodeopções #derivativos #investimentos #educaçãofinanceira #finanças #prosperidade #prosperidadefinanceira #liberdadefinanceira #macroeconomia</t>
  </si>
  <si>
    <t>#mercadofinanceiro #mercadofuturo #mercadodeopções #derivativos #investimentos #educaçãofinanceira #finanças #prosperidade #prosperidadefinanceira #liberdadefinanceira #macroeconomia #bolsadechicago #mercadoamericano</t>
  </si>
  <si>
    <t>#mercadodeopções #derivativos #investimentos #educaçãofinanceira #finanças #prosperidade #prosperidadefinanceira #liberdadefinanceira #macroeconomia #bolsadechicago #mercadoamericano</t>
  </si>
  <si>
    <t>#investimentos #educaçãofinanceira #finanças #prosperidade #prosperidadefinanceira #liberdadefinanceira #macroeconomia #bolsadechicago #mercadoamericano</t>
  </si>
  <si>
    <t>#mercadodeopções #derivativos #investimentos #educaçãofinanceira #finanças #prosperidade #prosperidadefinanceira #liberdadefinanceira #macroeconomia</t>
  </si>
  <si>
    <t>#investimentos #educaçãofinanceira #finanças #prosperidade #prosperidadefinanceira #liberdadefinanceira #macroeconomia</t>
  </si>
  <si>
    <t>#investimentos #educaçãofinanceira #finanças #prosperidade #prosperidadefinanceira #liberdadefinanceira #macroeconomia #bolsadechicago #mercadoamericano #agrobrasil #agronegocio</t>
  </si>
  <si>
    <t>https://t.co/4t2I7kArcj
#PlanoDeTrading #Trading #MercadoFinanceiro #GerenciamentoDeRisco #StopLoss #ControleEmocional #Disciplina #Consistência #EstratégiasDeTrading #AnáliseTécnica https://t.co/c6tvQ2nRUF</t>
  </si>
  <si>
    <t>https://t.co/ZBsTe9R6sa
#gestãoderisco #trade #trading #stoploss #alvosdelucro #estratégia #controleemocional #regrado1porcento #mercadofinanceiro #traderlucrativo https://t.co/ebOsbPFm2t</t>
  </si>
  <si>
    <t>https://t.co/Bi20USfb1T
#GoldenCross #AnáliseTécnica #Trading #MercadoFinanceiro #Investimentos #GerenciamentoDeRisco #ComLucro https://t.co/HmeWwa5h8T</t>
  </si>
  <si>
    <t>https://t.co/NB1wOZvPHA
#DeathCross #CruzamentoDaMorte #AnáliseTécnica #Investimento #MédiasMóveis #MercadoFinanceiro #ReversãoDeTendência #ProteçãoContraQuedas #VendaADescoberto https://t.co/URSqLRFOK8</t>
  </si>
  <si>
    <t>https://t.co/rbZqUeXtiu
#TeoriaDeDow #AnáliseTécnica #TendênciasDeMercado #PrincípiosDaTeoriaDeDow #Negociação #Investimento #MercadoFinanceiro #CharlesDow #WallStreetJournal #DowJones https://t.co/gvwdo7XJPH</t>
  </si>
  <si>
    <t>https://t.co/D1cOnPQpQv
#HaramideAlta #Candlestick #PadrãoDeReversão #BlackHarami #BullishHarami #Compra #ConfirmaçãoDePadrão #AnáliseTécnica #MercadoFinanceiro #OperaçõesDeTrading #PadrãoCandlestick #ComLucro https://t.co/vXI8OMfqqT</t>
  </si>
  <si>
    <t>https://t.co/Jr3w8fgdIJ
#EstrelaCadente #ShootingStar #PadrãoDeReversão #AnáliseTécnica #MercadoFinanceiro #GráficoDeCandlestick #PadrãoDeReversãoBaixista #PressãoVendedora #PressãoCompradora #TendênciaDeAlta #CorreçãoDeBaixa https://t.co/7TnyHoQVOa</t>
  </si>
  <si>
    <t>O Doji de Pernas Longas (Long-Legged Doji) simplesmente possui uma extensão maior das linhas verticais acima e abaixo da linha horizontal. 
https://t.co/PiURDuTxX9
#Candlestick #Candle #AnáliseTécnica #Trader #MercadoFinanceiro #PadrõesDeCandlestick #AçãoDoPreço #Gráficos https://t.co/YgPBXifIzZ</t>
  </si>
  <si>
    <t>O Doji Lápide (Gravestone Doji) é o oposto do Dragonfly Doji. Ele aparece quando a ação do preço abre e fecha na parte inferior da faixa de negociação. 
https://t.co/PiURDuTxX9
#Candlestick #Candle #AnáliseTécnica #Trader #MercadoFinanceiro #PadrõesDeCandlestick #AçãoDoPreço https://t.co/fJ5Y9LbykT</t>
  </si>
  <si>
    <t>Para identificar a força de um candlestick na análise gráfica, observe a diferença entre os preços de abertura e fechamento. 
https://t.co/PiURDuTxX9
#Candlestick #Candle #AnáliseTécnica #Trader #MercadoFinanceiro #PadrõesDeCandlestick #AçãoDoPreço #Gráficos https://t.co/Glq73RymJx</t>
  </si>
  <si>
    <t>O martelo invertido é semelhante ao martelo, mas possui um pequeno corpo na parte inferior e um longo pavio superior.
https://t.co/PiURDuTxX9
#Candlestick #Candle #AnáliseTécnica #Trader #MercadoFinanceiro #PadrõesDeCandlestick #AçãoDoPreço #Gráficos https://t.co/cgtQqshrzE</t>
  </si>
  <si>
    <t>Um martelo é um padrão de candlestick com um pequeno corpo (uma pequena variação entre o preço de abertura e fechamento).
https://t.co/PiURDuTxX9
#Candlestick #Candle #AnáliseTécnica #Trader #MercadoFinanceiro #PadrõesDeCandlestick #AçãoDoPreço #Gráficos https://t.co/LEAxBZCbNz</t>
  </si>
  <si>
    <t>O engolfo de alta é formado quando um candle de baixa é seguido por um candle de alta que engolfa completamente o corpo do candle anterior.
https://t.co/PiURDuTxX9
#Candlestick #Candle #AnáliseTécnica #Trader #MercadoFinanceiro #PadrõesDeCandlestick #AçãoDoPreço #Gráficos https://t.co/vITdcxRIsT</t>
  </si>
  <si>
    <t>O engolfo de baixa ocorre quando um candle de alta é seguido por um candle de baixa que engloba completamente o corpo do candle anterior.
https://t.co/PiURDuTxX9
#Candlestick #Candle #AnáliseTécnica #Trader #MercadoFinanceiro #PadrõesDeCandlestick #AçãoDoPreço #Gráficos https://t.co/59XUaWIpEB</t>
  </si>
  <si>
    <t>Um Doji Padrão é um único candlestick que por si só não possui muita significância. 
https://t.co/PiURDuTxX9
#Candlestick #Candle #AnáliseTécnica #Trader #MercadoFinanceiro #PadrõesDeCandlestick #AçãoDoPreço #Gráficos https://t.co/QbIgmyCT9B</t>
  </si>
  <si>
    <t>https://t.co/YaSbphXlvX
#ProfitdaNelogica #Trading #AnáliseTécnica #MercadoFinanceiro #CorretoraDeValores #EducaçãoFinanceira #Investimentos #BolsaDeValores #Trader #ComLucro https://t.co/Rky7wzNImL</t>
  </si>
  <si>
    <t>https://t.co/iwBIp3G8IV
#GerenciamentoDeRisco #Profit #Nelogica #Trader #MercadoFinanceiro #OperaçõesPerdedoras #ParâmetrosDeGerenciamentoDeRisco https://t.co/2Q0LYhATo3</t>
  </si>
  <si>
    <t>https://t.co/eo13QGKhsF
#morubozu #Candlestick #AnáliseTécnica #Trader #MercadoFinanceiro #PadrõesDeCandlestick #AçãoDoPreço #Gráficos https://t.co/BlrK2gu7bA</t>
  </si>
  <si>
    <t>https://t.co/eo13QGKhsF
#morubozu #Candlestick #AnáliseTécnica #Trader #MercadoFinanceiro #PadrõesDeCandlestick #AçãoDoPreço #Gráficos https://t.co/VHYXbyFCJ1</t>
  </si>
  <si>
    <t>https://t.co/eo13QGKhsF
#perfuracaodelinha #piercingline #Candlestick #AnáliseTécnica #Trader #MercadoFinanceiro #PadrõesDeCandlestick #AçãoDoPreço #Gráficos https://t.co/1nKWDEjxXc</t>
  </si>
  <si>
    <t>https://t.co/eo13QGKhsF
#nuvemnegra #darkcloud #Candlestick #AnáliseTécnica #Trader #MercadoFinanceiro #PadrõesDeCandlestick #AçãoDoPreço #Gráficos https://t.co/XdUZpYLffv</t>
  </si>
  <si>
    <t>https://t.co/a1DHbaGAmy
#PadrõesDeReversão #Candlestick #AnáliseTécnica #NegociaçõesFinanceiras #MercadoFinanceiro https://t.co/d000NNMvZT</t>
  </si>
  <si>
    <t>https://t.co/5p5C3mKGMG
#Candlestick #Exaustão #AnáliseTécnica #MercadoFinanceiro #Tendência #VolumeDeNegociações https://t.co/MX9wicREBI</t>
  </si>
  <si>
    <t>https://t.co/eBNJPDJArx
#PeterLynch #Investimentos #MercadoFinanceiro #FidelityMagellan #EstratégiasdeInvestimento #LongoPrazo #Filantropia #EducaçãoFinanceira #LivrosdeInvestimentos #ComLucro https://t.co/MqEk98sVlp</t>
  </si>
  <si>
    <t>https://t.co/iidBBvHAxv
#Investimentos #PeterLynch #OneUpOnWallStreet #Ações #MercadoFinanceiro #EstratégiasDeInvestimento #GerenciamentoDeRisco #DicasDeAções #CrescimentoDeEmpresas #Diversificações #TaxasDeCrescimento #DívidasEFalências https://t.co/EtJreYMcnW</t>
  </si>
  <si>
    <t>https://t.co/3KMLPju7wX
#BebêAbandonadodeBaixa #PadrãoCandlestick #Trading #Investimentos #MercadoFinanceiro #Candlestick #TendênciaAlta #TendênciaBaixa https://t.co/mwh9hn9pbm</t>
  </si>
  <si>
    <t>https://t.co/bcvgURKBFQ
#PinçaDeFundo #TweezerBottom #AnáliseTécnica #PadrõesDeReversão #Candlestick #Negociação #Investimento #MercadoFinanceiro #GerenciamentoDeRisco #ZonaDeSuporte https://t.co/M1WdUUMSZX</t>
  </si>
  <si>
    <t>https://t.co/BimEg29bz3
#Candlestick #GapDeBaixa #AnáliseTécnica #Trading #MercadoFinanceiro https://t.co/zhKJ7E6uP2</t>
  </si>
  <si>
    <t>https://t.co/3t87D32Zpm
#PsicologiaDosCandles #FaseDeDistribuição #AnáliseTécnica #Trading #MercadoFinanceiro #Investimentos #TendênciaDeAlta #PressãoVendedora #GerenciamentoDeRisco #Candlestick https://t.co/J6ywWeTngZ</t>
  </si>
  <si>
    <t>https://t.co/u5mld5Pf2J
#PsicologiaDosCandles #FaseDeDesaceleração #FaseDeEnfraquecimento #MercadoFinanceiro #TendênciaDeAlta #TendênciaDeBaixa https://t.co/KkZDmP5Ejf</t>
  </si>
  <si>
    <t>https://t.co/DPfbyLGBYN
#IndicadorOBV #OBV #OnBalanceVolume #AnáliseTécnica #Trading #MercadoFinanceiro #Trader #Investidor #Tendências #Divergências #VolumeDeNegociação https://t.co/HqiVNXOKcH</t>
  </si>
  <si>
    <t>https://t.co/ckkWlTXlre
#HaramiDeBaixaEmCruz #Harami #PadrãoDeReversão #Candlestick #TendênciaDeAlta #TendênciaDeBaixa #MercadoFinanceiro #PadrãoDoji #GerenciamentoDeRisco #Petrobras #Bradesco https://t.co/SyqkJSPJPS</t>
  </si>
  <si>
    <t>https://t.co/qZdSdDGnDz
#HaramiDeBaixa #Harami #PadrãoDeReversão #Candlestick #AnáliseTécnica #Trading #MercadoFinanceiro #PadrãoBearish #Sextou #Coinbase https://t.co/XWcu3ZIxsM</t>
  </si>
  <si>
    <t>https://t.co/TODdDmHF62
#HaramiDeAltaEmCruz #PadrãoDeReversão #Candlestick #PadrãoAltista #AnáliseGráfica #Trading #MercadoFinanceiro #Petrobras https://t.co/s0OcgTphwQ</t>
  </si>
  <si>
    <t>https://t.co/yER2MKeNq4
#BullTrap #ArmadilhaDeTouros #Trader #MercadoFinanceiro #EstratégiasDeNegociação #LucroConsistente https://t.co/M3wc0TFAvu</t>
  </si>
  <si>
    <t>https://t.co/VV3rxn6okc
#BearTrap #ArmadilhaDeUrso #Trader #MercadoFinanceiro #EstratégiasDeNegociação #LucroConsistente https://t.co/RUCqfNdBgH</t>
  </si>
  <si>
    <t>https://t.co/Z9HNHlxGuS
#Candlestick #MatHoldDeAlta #AnáliseTécnica #TendênciaDeAlta #PadrãoDeContinuação #Traders #MercadoFinanceiro https://t.co/vW6SWP5Nrd</t>
  </si>
  <si>
    <t>https://t.co/F91XIBvJGi
#Candlestick #TrêsPorDentroDeAlta #AnáliseTécnica #Trading #MercadoFinanceiro #ComLucro #Investimento https://t.co/zcTObreNyd</t>
  </si>
  <si>
    <t>https://t.co/NweUfV4H4u
#Candlestick #LinhadeContraAtaquedeBaixa #Trading #MercadoFinanceiro #AnáliseTécnica https://t.co/83iBMBWgyJ</t>
  </si>
  <si>
    <t>https://t.co/QkXZ0oGbSv
#PsicologiaDosCandles #FaseDeAcumulação #MercadoFinanceiro #AnáliseTécnica #Candlestick https://t.co/gcNkNWqMU1</t>
  </si>
  <si>
    <t>https://t.co/Ok7vP9oGjT
#positiontrader #tradingdeposição #lucroconsistente #mercadofinanceiro #análisefundamental #análisetécnica #estratégia https://t.co/kJ75fTRAHG</t>
  </si>
  <si>
    <t>https://t.co/mS3REwWVxJ
#DayTrader #DayTrading #OperaçõesIntradiárias #MercadoFinanceiro #LucroConsistente #AnáliseTécnica #GestãoDeRisco #HabilidadesDeTrading #DisciplinaEmocional #IndependênciaFinanceira #RiscosFinanceiros https://t.co/QEGuo2dlRH</t>
  </si>
  <si>
    <t>https://t.co/3yLRAhWsza
#Scalper #TraderScalper #MercadoFinanceiro #Trading #Scalping #AnáliseTécnica #CurtoPrazo #Habilidades #Riscos #Benefícios #Livros #PlataformaDeNegociação https://t.co/n9DVHv6GSK</t>
  </si>
  <si>
    <t>https://t.co/S3o7f4VjC2
#VolumeProfile #AnáliseTécnica #MercadoFinanceiro #Trading #IndicadoresTécnicos #ComLucro https://t.co/26B9vUS21i</t>
  </si>
  <si>
    <t>#Candlestick #MatHoldDeBaixa #AnáliseTécnica #Trading #PadrõesDeCandlestick #BearishMatHold #MercadoFinanceiro
https://t.co/mSmA4zePid https://t.co/1PIBRLqScN</t>
  </si>
  <si>
    <t>https://t.co/rbZqUeXtiu
#TeoriaDeDow #AnáliseTécnica #TendênciasDeMercado #PrincípiosDaTeoriaDeDow #Negociação #Investimento #MercadoFinanceiro #CharlesDow #WallStreetJournal #DowJones https://t.co/I3jgvitF2P</t>
  </si>
  <si>
    <t>https://t.co/tI8hAMf9cu
#Candlestick #LinhadeSeparaçãoDeAlta #AnáliseTécnica #Trading #MercadoFinanceiro #Itaú #fintwit #Traders #investimentos https://t.co/hwsUvxEM11</t>
  </si>
  <si>
    <t>https://t.co/XvhsHDGcgS
#GapDeBaixaDeTasuki #AnáliseTécnica #Trading #MercadoFinanceiro #ComLucro #EducaçãoFinanceira #PadrãoCandlestick #Itaú #fintwit #Trader #investimentos https://t.co/ybtsHLw6dJ</t>
  </si>
  <si>
    <t>https://t.co/0bbAuTikS7
#GapDeAltaDeTasuki #Candlestick #AnáliseTécnica #ComLucro #Trading #MercadoFinanceiro #Itaú #Trader #fintwit https://t.co/7dfndkhpR7</t>
  </si>
  <si>
    <t>https://t.co/yQvj91jaA2
#Negociação #MercadoFinanceiro #Trader #ControleEmocional #GerenciamentoDeRisco #Estratégias #Aprendizado #Livros #ComLucro #TraderLucrativo #finnifty #Itaú https://t.co/gVCJTeejpp</t>
  </si>
  <si>
    <t>https://t.co/MiJyQHhaNV
#Volatilidade #Trading #GARCH #Opções #Risco #Correlação #ComLucro #MercadoFinanceiro #EducaçãoFinanceira #Investimentos https://t.co/ZZhWKWsQta</t>
  </si>
  <si>
    <t>https://t.co/rmhmYzCc6h
#Trading #Perdas #Drawdowns #GerenciamentoDeRisco #MercadoFinanceiro #Investimentos #Diversificação #ResiliênciaEmocional #ControleEmocional #BufferFinanceiro https://t.co/mUtuc0GGuN</t>
  </si>
  <si>
    <t>https://t.co/ohVO09Dpxp
#AnáliseTécnica #MercadoFinanceiro #Investimentos #Trader #AnáliseDePreços #Gráficos #Indicadores #Tendências #Estratégias #GestãoDeRisco #ComLucro #SucessoNoMercadoFinanceiro https://t.co/YbFk6ca6aa</t>
  </si>
  <si>
    <t>https://t.co/EG0vlgNWD1
#AcumulaçãoDistribuição #IndicadorTécnico #AnáliseDeVolume #Trading #MercadoFinanceiro #Petrobras #Vale #Itaú #Ibovespa https://t.co/IOPNYh5n5u</t>
  </si>
  <si>
    <t>https://t.co/9Pc1TNXUhr
#WilliamsR #AnáliseTécnica #Trading #MercadoFinanceiro #IndicadoresTécnicos #Petrobras #Vale #Itaú #Ibovespa https://t.co/YCsai8BmQz</t>
  </si>
  <si>
    <t>https://t.co/M2J5Avr5Gz
#OsciladorDeVolume #VolumeOscillator #IndicadoresTécnicos #MédiasMóveis #MercadoFinanceiro #Trading #Tendências #IBovespa #Petrobras #Itaú https://t.co/GCWluYOyzT</t>
  </si>
  <si>
    <t>https://t.co/NYAqNv44ML
#GráficosDeCandlestick #AnáliseTécnica #Trading #MercadoFinanceiro #MunehisaHomma #SteveNison #MetaTrader4 #TradingView #NinjaTrader https://t.co/9r8hFODc2K</t>
  </si>
  <si>
    <t>https://t.co/sbAgaqSQlH
#PsicologiaDosCandles #FaseDeAceleração #FaseDeFortalecimento #CandleDeForça #MercadoFinanceiro #Trading #AnáliseDeGráficos https://t.co/frL1MmXDn0</t>
  </si>
  <si>
    <t>https://t.co/QQXqzWxwdE
#Candlestick #AnáliseTécnica #MercadoFinanceiro #Tendências #Investimento #Trader #ComLucro https://t.co/xugM35QeeK</t>
  </si>
  <si>
    <t>https://t.co/GplawdHxql
#PsicologiaDosCandles #Candlestick #AnáliseTécnica #MercadoFinanceiro #Trader #ComLucro https://t.co/bmaRi8Kx4Z</t>
  </si>
  <si>
    <t>https://t.co/IhMOZ1iNvy
#VolatilidadeImplícita #BlackScholes #Opções #Precificação #Trader #MercadoFinanceiro #ComLucro #Investimentos #EducaçãoFinanceira #Trading #Petrobras #Itaú https://t.co/g4lZqBYoet</t>
  </si>
  <si>
    <t>https://t.co/uSGMI73mRC
#VolatilidadeHistórica #ComLucro #MercadoFinanceiro #DesvioPadrão #Negociação #Risco #Aprendizado #TraderLucrativo #AnáliseDeRegressão #VolatilidadeImplícita #PETR4 #Itaú https://t.co/Qe4xJKRfGL</t>
  </si>
  <si>
    <t>https://t.co/btcPtUJiAw
#ChaikinMoneyFlow #IndicadorTécnico #Trading #AnáliseTécnica #FluxoDeDinheiro #PressãoDeCompra #PressãoDeVenda #MercadoFinanceiro https://t.co/56AC8UKI4c</t>
  </si>
  <si>
    <t>https://t.co/Wpg3kpVA7s
#SARParabólico #IndicadorTécnico #Tendências #Trading #MercadoFinanceiro #ComLucro https://t.co/ZwEyzVPo4C</t>
  </si>
  <si>
    <t>https://t.co/5Kga4SUJmo
#SuperTrend #IndicadoresTécnicos #Trading #MercadoFinanceiro #AnáliseTécnica #Tendências https://t.co/djM3GbBJar</t>
  </si>
  <si>
    <t>https://t.co/6MkBy2zQAq
#ADX #AverageDirectionalIndex #IndicadorTécnico #AnáliseTécnica #MercadoFinanceiro #Trading #Tendências #ComLucro https://t.co/PQHlhlYg9E</t>
  </si>
  <si>
    <t>https://t.co/7LEhgqZlgI
#DayTrade #Lucratividade #PesquisaFGV #MercadoFinanceiro #Estratégias #AnáliseTécnica #ComLucro #Petrobras #Itau #Vale #Ibovespa https://t.co/B4cNgk4lWK</t>
  </si>
  <si>
    <t>https://t.co/ogSrC3woY0
#Enforcado #HangingMan #Candlestick #PadrãoDeReversão #AnáliseTécnica #Negociação #TendênciaDeBaixa #MercadoFinanceiro #GráficoDeCandlestick #PadrãoDeReversãoBaixista #PressãoVendedora https://t.co/m4r1F4uksd</t>
  </si>
  <si>
    <t>https://t.co/939Yd0cOLO
#Doji #DojiEstreladeBaixa #BearishDojiStar #PadrãodeReversão #Candlestick #MercadoFinanceiro #Trading #ComLucro #Trader #Trading https://t.co/ukTxGG3HCx</t>
  </si>
  <si>
    <t>https://t.co/d9nspjGXVW
#MarketWizards #RegrasDeTrading #MikeWebster #MercadoFinanceiro #DicasDeTraders #ComLucro #Trading #MercadoFinanceiro #Trader https://t.co/pl2IxatKps</t>
  </si>
  <si>
    <t>https://t.co/uCY1Ee5EMK
#IndicadorTécnico #Tendência #PreçoVolume #AnáliseTécnica #Trading #MercadoFinanceiro https://t.co/0uH1h9n19K</t>
  </si>
  <si>
    <t>https://t.co/bSvjwxXXSH
#AroonOscillator #IndicadorTécnico #Tendências #Trading #MercadoFinanceiro #AnáliseTécnica #ComLucro #Investimentos #Trading #Trader https://t.co/45e0xh7EKe</t>
  </si>
  <si>
    <t>https://t.co/8f9I2fxZ5e
#ÍndiceDeVolatilidade #VIX #SP500 #VolatilidadeImplícita #MercadoFinanceiro #AnáliseTécnica #Traders #IndicadoresTécnicos #Investimentos #Petrobras #Itau #Trader https://t.co/9fYpgnBcw3</t>
  </si>
  <si>
    <t>https://t.co/Ld3rmhb5Bp
#OsciladorChaikin #Trading #IndicadorTécnico #MercadoFinanceiro #AnáliseTécnica #MédiaMóvelExponencial #AcumulaçãoDistribuição #Ibovespa #Petrobras #Trader https://t.co/CEDHCZYHoh</t>
  </si>
  <si>
    <t>https://t.co/DRiS6YNhYC
#Candlestick #ChuteDeAlta #BullishKicking #PadrãoDeReversãoAltista #Marubozu #MercadoFinanceiro #AnáliseGráfica #Gap #ForçaCompradora #Investimento https://t.co/lqqpeY0zth</t>
  </si>
  <si>
    <t>https://t.co/LICh8RhxMQ
#ComLucro #Trader #Trading #Investimentos #Ibovespa #Fintwit #MercadoFinanceiro #DayTrade #SwingTrade #AnáliseTécnica #Mentalidade #Crenças #Estratégia #Risco #Recompensa #Disciplina #Consistência #Objetividade #Preparação https://t.co/XuhiT4q7j4</t>
  </si>
  <si>
    <t>https://t.co/e0BSfTpfkt
#DojiQuatroPreços #AnáliseTécnica #Candlestick #MercadoFinanceiro #PadrãoDeReversão #GerenciamentoDeRisco #Ações #criptomoedas https://t.co/Z0746ycOkV</t>
  </si>
  <si>
    <t>https://t.co/bcQbAGSrHa
#DojiPernasLongas #Candlestick #AnáliseTécnica #MercadoFinanceiro #PadrãoDeReversão #GerenciamentoDeRisco #Negociação https://t.co/mzlM3CcWLA</t>
  </si>
  <si>
    <t>https://t.co/1DSxaJrzHu
#MentalidadeNoTrading #MercadoFinanceiro #EstratégiasDeTrading #MentalidadeRica #MentalidadePobre #AprendizadoNoTrading #DecisõesFinanceiras #CanalComLucro #TradingParaIniciantes #SucessoNoTrading https://t.co/vcSyiMAQxA</t>
  </si>
  <si>
    <t>https://t.co/n1VfN2hlAa
#JaneladeAlta #Candlestick #AnáliseTécnica #Trading #MercadoFinanceiro #PadrõesDeCandlestick #ComLucro #Trader #investimentos #Petrobras #Itaú https://t.co/S9WqOrXuEU</t>
  </si>
  <si>
    <t>https://t.co/xBFAQ43l1I
#JanelaDeBaixa #Candlestick #AnáliseTécnica #Trading #MercadoFinanceiro #ComLucro #EducaçãoFinanceira #Trader #investimentos #Petrobras #Itaú https://t.co/I60B8VX9Wx</t>
  </si>
  <si>
    <t>https://t.co/Z4M6qe3xLd
#ÍndiceDeMomento #AnáliseTécnica #MercadoFinanceiro #Trading #GestãoDeRisco #ControleEmocional #TraderLucrativo https://t.co/eeHdssBWS5</t>
  </si>
  <si>
    <t>https://t.co/7jVc0T6b0D
#BandeiraDeAlta #BullishFlag #MercadoFinanceiro #AnáliseTécnica #PadrõesGráficos #Rompimento #Consolidação #Volume #Osciladores #ComLucro #Trader #Trading #Investimentos #Fintwit https://t.co/RxfCFP793U</t>
  </si>
  <si>
    <t>https://t.co/NoB5f09sea
#Doji #PadrãoDojiEstreladeAlta #Candlestick #MercadoFinanceiro #ComLucro https://t.co/lyB9ghOuJP</t>
  </si>
  <si>
    <t>https://t.co/EErF9obFnW
#AnáliseTécnica #TradingDeSucesso #PadrõesDeGráfico #MercadoFinanceiro #TraderLucrativo #AnáliseDeTendências #GerenciamentoDeRisco #ComLucro #DicasParaTraders #Investimentos #BolsaDeValores https://t.co/8fSdjY7pt7</t>
  </si>
  <si>
    <t>https://t.co/ohVO09Dpxp
#AnáliseTécnica #MercadoFinanceiro #Investimentos #Trader #AnáliseDePreços #Gráficos #Indicadores #Tendências #Estratégias #GestãoDeRisco #ComLucro #SucessoNoMercadoFinanceiro https://t.co/3QUzTHmBnS</t>
  </si>
  <si>
    <t>https://t.co/rCGXDmzpS0
#StopLoss #GerenciamentoDeRiscos #ProteçãoDeCapital #Investimentos #EstratégiasDeInvestimento #Volatilidade #TrailingStop #GapsDePreço #RetornoNecessário #MercadoFinanceiro #Ibovespa #Petrobras https://t.co/pOmCuJz4Pq</t>
  </si>
  <si>
    <t>https://t.co/vFhPgKzTKg
#Trader #Emoções #Operações #MercadoFinanceiro #ControleEmocional #GerenciamentoDeRisco #Medo #Ganância #Esperança https://t.co/SxVBWX3nNB</t>
  </si>
  <si>
    <t>https://t.co/pbVLm1fgiN
#WarrenBuffett #Investimentos #BerkshireHathaway #ValueInvesting #Filantropia #Trader #MercadoFinanceiro #SucessoFinanceiro #AprenderComBuffett #ComLucro #TraderLucrativo https://t.co/RBoxwZVXwA</t>
  </si>
  <si>
    <t>https://t.co/uJyekVZiXA
#Commodities #Investimentos #WarrenBuffett #MercadoFinanceiro #PaciênciaNoInvestimento #VantagensCompetitivas #CiclosDeAlta #ComLucro #EducaçãoFinanceira https://t.co/BNppKyYr2c</t>
  </si>
  <si>
    <t>https://t.co/XDmaqy8CMd
#MétodoDeWyckoff #Abreviações #AnáliseTécnica #CompositeMan #Trader #MercadoFinanceiro #AnáliseDeMercado #ComLucro #TendênciaDeAlta #TendênciaDeBaixa #Acumulação #Distribuição #DiagramasDeWyckoff #AprendizadoFinanceiro https://t.co/Z19B9wkUAa</t>
  </si>
  <si>
    <t>✅️ Resultado de estudo: 31,3% de lucro! 
Siga nosso Instagram: https://t.co/fM9qPzU0l8
#sqia3 #mercadofinanceiro #dolar #b3 #gain #DayTrading #swingtrading #analisegraficadagi https://t.co/UDHNymg8fn</t>
  </si>
  <si>
    <t>Principais bolsas europeias recuam na abertura
https://t.co/QGhEF6xPYY
#economia #NegócioseFinanças #bolsa #macroeconomia</t>
  </si>
  <si>
    <t>PR considera que Governo tem “plena noção” de que não pode deixar a dívida derrapar
https://t.co/24ONXdL7G2
#economia #macroeconomia #conjuntura #negociosefinanças</t>
  </si>
  <si>
    <t>Juros da dívida sobem a dois, cinco e 10 anos
https://t.co/vlRkD2e43U
#economia #macroeconomia #NegocioseFinanças #mercadodívida</t>
  </si>
  <si>
    <t>Em algumas horas uma aula de economia do Paulo Guedes do Podcast. 
Espero que o Brasil tenha mais pessoas com este conhecimento e leitura do mercado.  
#thiagonigro #pauloguedes #economia #mercadofinanceiro</t>
  </si>
  <si>
    <t>#Macroeconomía 
Inspite of continued weakness of domestic demand as families struggle in the face of raising prices, world's third largest economy -Japanese economy expands 1.5%, beating expectations and forecast of 0.8 percent growth.
https://t.co/TjfwzPR56Y</t>
  </si>
  <si>
    <t>Enterate de las noticias de #Finanzas #Macroeconomia #criptomonedas #BTC QUE  todo suma al mercado y a tus decisiones y sobretodo ten en cuenta que el mercado suele ser #irracional y en lo que menos lo piensas aparece un #CisneNegro https://t.co/2TJn8nvtHd</t>
  </si>
  <si>
    <t>Como você tem se preparado para o halving? 
#halving #bitcoin #bullmarket #mercadofinanceiro https://t.co/6yEWE3gKzp</t>
  </si>
  <si>
    <t>O setor energético é considerado estratégico para o Brasil devido à diversidade de fontes de energia, crescimento consistente e investimentos em energia limpa. 🌍💡
#SetorEnergético #EnergiaRenovável #Brasil #Investimentos #MercadoFinanceiro https://t.co/Fp8fA7iinV</t>
  </si>
  <si>
    <t>⚠️NOVIDADE⚠️
🎓CURSO PRESENCIAL 
Introdução ao Mercado Financeiro
✅ Conquiste a confiança para INVESTIR NO MERCADO FINANCEIRO.
✅ Aprenda os FUNDAMENTOS, ESTRATÉGIAS e FERRAMENTAS ESSENCIAIS para tomar decisões inteligentes.
NÃO FIQUE DE FORA 🚀
#mercadofinanceiro https://t.co/DRX7fpn4s0</t>
  </si>
  <si>
    <t>RT @JovemPanNews: #ShowBusiness | Patrick Burnett , presidente do Inove Banco, fala sobre trajetória de vida e dificuldades financeiras;…</t>
  </si>
  <si>
    <t>Índice apresenta uma projeção de juros em 116.690, região que os players sairão no tapa para ver quem leva...
Ouro ensaiando perder força e abrir o bico...
#bolsadevalores #Mercadocambiario #ibovespa #mercadofinanceiro #tryd #nelogica</t>
  </si>
  <si>
    <t>RT @EInvestidor: 💵📲 Agora, a modalidade está empatada com o cartão de crédito e é também um dos meios de pagamento mais disponibilizados pe…</t>
  </si>
  <si>
    <t>Uno de #MacroEconomia 
Cuando la rentabilidad de la deuda a LP &amp;gt; CP 
se prevé crecimiento económico y 
🔼 tipos de interés 
(Para incentivar la inversión a LP es necesario ofrecer rentabilidades más altas que convenzan al inversor)
(1/2) https://t.co/UL04xxb2oX</t>
  </si>
  <si>
    <t>para compartilharem suas perspectivas sobre temas relevantes para a indústria de pagamentos nas esferas regulatória e concorrencial.
Não poderíamos perder a chance de prestigiar esse evento e expandir nossos conhecimentos!
#JeitoGondim #Gondimadv #Evento #MercadoFinanceiro</t>
  </si>
  <si>
    <t>Sinais pessoal! 
Será que ele vai acertar novamente?
#mercadofinanceiro 
#ibov https://t.co/Dp5pTWG28r</t>
  </si>
  <si>
    <t>A Booking Holdings é uma empresa digital do setor de turismo. Atualmente o grupo possui valor de mercado de US$ 108 bilhões de dólares, conta com uma série de vantagens competitivas importantes!
Confira: https://t.co/9Im2wONNmL #bookingcom #mercadofinanceiro</t>
  </si>
  <si>
    <t>Estudar, aprender e continuar estudando... 👍🏻
#MercadoFinanceiro #fintwit https://t.co/ntewftrHi8</t>
  </si>
  <si>
    <t>Estude, Trabalhe e Invista.
Você pode sair do CLT, prósperar com a liberdade financeira e qualidade de vida.
#MercadoFinanceiro #fintwit https://t.co/aJ8nQVPllK</t>
  </si>
  <si>
    <t>Tienes que sentirte incómodo durante algunos años para sentirte cómodo por el resto de tu vida.
#IndependenciaFinanciera #Dinero #MercadoFinanceiro</t>
  </si>
  <si>
    <t>Veja agora o Ranking Parcial dos 10 melhores Robôs de hoje
Veja em: https://t.co/TYMErTuD1j
#WINV23 #WDOV23 #b3 #thautobot #dinheiro #robos #bolsadevalores #sucesso #daytrader #daytrade #cm #mercadofinanceiro #bmf #investimentos #traderlife #bovespa #tophedger #trader https://t.co/gp7mK937x9</t>
  </si>
  <si>
    <t>Veja agora o Ranking Parcial dos 10 melhores Robôs de hoje
Veja em: https://t.co/TYMErTuD1j
#WINV23 #WDOV23 #b3 #thautobot #dinheiro #robos #bolsadevalores #sucesso #daytrader #daytrade #cm #mercadofinanceiro #bmf #investimentos #traderlife #bovespa #tophedger #trader https://t.co/FfnizufM3R</t>
  </si>
  <si>
    <t>Veja agora o Ranking Parcial dos 10 melhores Robôs de hoje
Veja em: https://t.co/TYMErTuD1j
#WINV23 #WDOV23 #b3 #thautobot #dinheiro #robos #bolsadevalores #sucesso #daytrader #daytrade #cm #mercadofinanceiro #bmf #investimentos #traderlife #bovespa #tophedger #trader https://t.co/pncuD0BTAu</t>
  </si>
  <si>
    <t>Veja agora o Ranking Parcial dos 10 melhores Robôs de hoje
Veja em: https://t.co/TYMErTuD1j
#WINV23 #WDOV23 #b3 #thautobot #dinheiro #robos #bolsadevalores #sucesso #daytrader #daytrade #cm #mercadofinanceiro #bmf #investimentos #traderlife #bovespa #tophedger #trader https://t.co/biiDsqxWHb</t>
  </si>
  <si>
    <t>Veja agora o Ranking Parcial dos 10 melhores Robôs de hoje
Veja em: https://t.co/TYMErTuD1j
#WINV23 #WDOV23 #b3 #thautobot #dinheiro #robos #bolsadevalores #sucesso #daytrader #daytrade #cm #mercadofinanceiro #bmf #investimentos #traderlife #bovespa #tophedger #trader https://t.co/xBzaRY6cjW</t>
  </si>
  <si>
    <t>Veja agora o Ranking Parcial dos 10 melhores Robôs de hoje
Veja em: https://t.co/TYMErTuD1j
#WINV23 #WDOV23 #b3 #thautobot #dinheiro #robos #bolsadevalores #sucesso #daytrader #daytrade #cm #mercadofinanceiro #bmf #investimentos #traderlife #bovespa #tophedger #trader https://t.co/DrVPGpzbsc</t>
  </si>
  <si>
    <t>Veja agora o Ranking Parcial dos 10 melhores Robôs de hoje
Veja em: https://t.co/TYMErTuD1j
#WINV23 #WDOV23 #b3 #thautobot #dinheiro #robos #bolsadevalores #sucesso #daytrader #daytrade #cm #mercadofinanceiro #bmf #investimentos #traderlife #bovespa #tophedger #trader https://t.co/YiMdu3eLIE</t>
  </si>
  <si>
    <t>Veja agora o Ranking Parcial dos 10 melhores Robôs de hoje
Veja em: https://t.co/TYMErTuD1j
#WINV23 #WDOV23 #b3 #thautobot #dinheiro #robos #bolsadevalores #sucesso #daytrader #daytrade #cm #mercadofinanceiro #bmf #investimentos #traderlife #bovespa #tophedger #trader https://t.co/MWGzfIElv8</t>
  </si>
  <si>
    <t>Veja agora o Ranking Parcial dos 10 melhores Robôs de hoje
Veja em: https://t.co/TYMErTuD1j
#WINV23 #WDOV23 #b3 #thautobot #dinheiro #robos #bolsadevalores #sucesso #daytrader #daytrade #cm #mercadofinanceiro #bmf #investimentos #traderlife #bovespa #tophedger #trader https://t.co/1CR4DBdEN2</t>
  </si>
  <si>
    <t>Veja agora o Ranking Parcial dos 10 melhores Robôs de hoje
Veja em: https://t.co/TYMErTvaQR
#WINV23 #WDOV23 #b3 #thautobot #dinheiro #robos #bolsadevalores #sucesso #daytrader #daytrade #cm #mercadofinanceiro #bmf #investimentos #traderlife #bovespa #tophedger #trader https://t.co/2cUAbZPY3X</t>
  </si>
  <si>
    <t>Veja agora o Ranking Parcial dos 10 melhores Robôs de hoje
Veja em: https://t.co/TYMErTuD1j
#WINV23 #WDOV23 #b3 #thautobot #dinheiro #robos #bolsadevalores #sucesso #daytrader #daytrade #cm #mercadofinanceiro #bmf #investimentos #traderlife #bovespa #tophedger #trader https://t.co/U8tthVSxtK</t>
  </si>
  <si>
    <t>Veja agora o Ranking Parcial dos 10 melhores Robôs de hoje
Veja em: https://t.co/TYMErTuD1j
#WINV23 #WDOV23 #b3 #thautobot #dinheiro #robos #bolsadevalores #sucesso #daytrader #daytrade #cm #mercadofinanceiro #bmf #investimentos #traderlife #bovespa #tophedger #trader https://t.co/GiAxU6lyIV</t>
  </si>
  <si>
    <t>Ayer, Aldo Cornejo, socio de ONTIER Perú y Vicepresidente del Comité de Asuntos Financieros de @amchamperu participó en el Foro Económico 2023, donde asistió como principal ponente el Presidente del @bcrpoficial Dr. Julio Velarde. 
#macroeconomia https://t.co/EPAd8feXFm</t>
  </si>
  <si>
    <t>RT @perpheito: Toda decisão técnica necessariamente tem efeito político.
————————
Siga para comentários de economia, política e finanças.…</t>
  </si>
  <si>
    <t>@szampa56 @LucioMalan In dieci anni i #ciclieconomici possono rivoluzionare tutto. A digiuno di #macroeconomia?</t>
  </si>
  <si>
    <t>📣 PAUTA DO DIA: Mercados globais operam em alta nesta quinta-feira 🚀
https://t.co/2tsHqTjCdA
#b3 #eua #asia #economia #inflação #mercadofinanceiro #bolsadevalores</t>
  </si>
  <si>
    <t>CÂMBIO: Dólar caiu pelo segundo dia e fechou a R$ 4,818 🔻 👁️‍🗨️ 
https://t.co/G2skEqtpYm
#dolar #inflação #eua #bc #b3 #mercadofinanceiro</t>
  </si>
  <si>
    <t>O dólar comercial fechou a sessão na quinta-feira (27) em alta.
Saiba mais em: https://t.co/lWhGUlRVbx
#dolar #investidores #b3 #mercadofinanceiro #juros</t>
  </si>
  <si>
    <t>PAUTA DO DIA: Mercados avançam moderadamente nesta manhã 🚀
https://t.co/BScxPda8K5
#moeda #dolar #mercadofinanceiro #ibovespa #europa #balanço</t>
  </si>
  <si>
    <t>CÂMBIO: Dólar fechou ontem em alta, vendido a R$ 4,803  
https://t.co/fsEOvlmAxu
#dolar #moeda #eua #bc #mercadofinanceiro</t>
  </si>
  <si>
    <t>CÂMBIO: Dólar deverá abrir a sexta-feira em alta
https://t.co/OZoP9AO5Zk
#dolar #mercadofinanceiro #b3 #investidores #bolsadevalores</t>
  </si>
  <si>
    <t>CÂMBIO: Dólar terminou a semana anterior acumulando alta de 0,59%
https://t.co/dSvtNL16Kq
#cambio #b3 #mercadofinanceiro #investidores #bolsas</t>
  </si>
  <si>
    <t>PAUTA DO DIA: Bolsas operam mistas nesta manhã com China e EUA.
https://t.co/AePBzVpO90
#investidores #juros #mercadofinanceiro #bolsas #china #EUA</t>
  </si>
  <si>
    <t>CÂMBIO: Dólar deverá ter uma abertura mais amena hoje.
https://t.co/XbkW8oe3M3
#b3 #ibovespa #dolar #mercadofinanceiro #investidores #juros</t>
  </si>
  <si>
    <t>CÂMBIO: Dólar deverá seguir em queda nesta quinta-feira
https://t.co/8aUkFAtT4O
#b3 #bolsas #bc #juros #dolar #mercadofinanceiro #europa</t>
  </si>
  <si>
    <t>PAUTA DO DIA: Mercados operam sem fôlego nesta manhã
https://t.co/MC70Yuylsx
#ibovespa #ações #MercadoFinanceiro #asia #juros #bolsas #europa</t>
  </si>
  <si>
    <t>CÂMBIO: Dólar fechou em alta ontem, pelo 3º dia seguido
https://t.co/SGHrzUFhDq
#dolar #B3 #bolsas #mercadofinanceiro #investidores #eua</t>
  </si>
  <si>
    <t>CÂMBIO: Dólar fechou com estabilidade na terça-feira 💰
https://t.co/ukKYOSPxy3
#b3 #dolar #economia #inflação #mercadofinanceiro</t>
  </si>
  <si>
    <t>PAUTA DO DIA: Bolsas globais caem nesta manhã com dados do Japão
Na íntegra: https://t.co/MXyfJ452rc
#b3 #juros #inflação #mercadofinanceiro #ibovespa</t>
  </si>
  <si>
    <t>CÂMBIO: Dólar deve abrir em alta e fechar a semana positivo
Acompanhe na íntegra: https://t.co/d34WN29VCa
#b3 #investidores #mercadofinanceiro #cambio #Juros</t>
  </si>
  <si>
    <t>PAUTA DO DIA: Incertezas com o crescimento global pesam nesta manhã
https://t.co/Hg2bAz9qR4
#b3 #ibovespa #mercadofinanceiro #bolsa #investidores #cambio #dolar</t>
  </si>
  <si>
    <t>CÂMBIO: Dólar subiu ontem, mas deve abrir hoje em queda
Na íntegra: https://t.co/2u1alljSNz
#mercadofinanceiro #b3 #dolar #juros #investidores #moedas</t>
  </si>
  <si>
    <t>CÂMBIO: Dólar fechou ontem em baixa, acompanhando exterior 💰 
https://t.co/RP7pLPHh73
#b3 #mercadofinanceiro #bolsas #dolar #eua #reservacambial</t>
  </si>
  <si>
    <t>PAUTA DO DIA: Arcabouço fiscal no radar em dia de agenda esvaziada
acompanhe na íntegra: https://t.co/vHEiEn95YU
#b3 #investidores #mercadofinanceiro #europa #juros #ibovespa</t>
  </si>
  <si>
    <t>CÂMBIO: Dólar fechou ontem com perdas e deve seguir nesta quarta-feira
Veja na íntegra: https://t.co/q1qSdWkqvW
#dolar #juros #mercadofinanceiro #b3 #investidores #Alemanha</t>
  </si>
  <si>
    <t>PAUTA DO DIA: Mercados mundiais operam em alta nesta terça-feira 🤑
https://t.co/KzbBwKHeiX
#b3 #juros #inflação #mercadofinanceiro #investidores #moedas</t>
  </si>
  <si>
    <t>PAUTA DO DIA: Bolsas operam positivo com estímulos na China.
Na íntegra: https://t.co/x0k2YTHFSd
#B3 #MercadoFinanceiro #açoes #investidores #China #inflação</t>
  </si>
  <si>
    <t>Após encerrar a sexta-feira em queda, o dólar deverá abrir a semana em baixa! A moeda fechou cotada a R$ 4,779 na compra e a R$ 4,781 na venda, acumulando perdas de 0,29% na semana.
saiba mais em: https://t.co/YFkyDRuSxo
#dolar #b3 #mercadofinanceiro #inflação #asia</t>
  </si>
  <si>
    <t>PAUTA DO DIA: Mercados globais iniciam a semana com ganhos
Acompanhe na integra: https://t.co/J2CB6cevqt
#B3 #mercadofinanceiro #inflação #investidores #ipca15</t>
  </si>
  <si>
    <t>CÂMBIO: Dólar começou a semana com leve baixa e fechou a R$ 4,875
Na íntegra: https://t.co/MkSyy5tHDv
#dolar #b3 #investidores #mercadofinanceiro #mexico #PIB #inflação</t>
  </si>
  <si>
    <t>CÂMBIO: Dólar fechou a terça-feira em baixa, cotado a R$ 4,855
Acompanhe na íntegra: https://t.co/kPhpOyxQAb
#b3 #dolar #mercadofinanceiro #investidores #economia #FederalReserve #inflação</t>
  </si>
  <si>
    <t>Dólar tem novo dia de ganhos, enquanto commodities caem.
Veja na íntegra: https://t.co/pDO8O6T2dS
#b3 #investidores #juros #cambio #bolsadevalores #europa #mercadofinanceiro</t>
  </si>
  <si>
    <t>PAUTA DO DIA: Mercados iniciam setembro em campo positivo.
Na íntegra: https://t.co/PTAH6ueNHG
#indices #B3 #mercadofinanceiro #setorimobiliário #economia #euro #inflaçao #ibovespa</t>
  </si>
  <si>
    <t>CÂMBIO: Dólar fechou agosto acumulando ganhos de 4,67%
Na íntegra: https://t.co/hCmNe6Hhiu
#Cambio #B3 #mercadofinanceiro #dolar #investidores #Alemanha #eua</t>
  </si>
  <si>
    <t>O dólar ontem oscilou entre a mínima de R$ 4,890 e a máxima de R$ 4,940.
https://t.co/sztXM69CEE
#dolar #mercadofinanceiro #b3 #investidores #bancocentral</t>
  </si>
  <si>
    <t>PAUTA DO DIA: Mercados operam em baixa no início desta manhã
Na íntegra: https://t.co/HuZnOQyFLh
#b3 #bolsadevalores #mercadofinanceiro #investidores #eua #asia #ibovespa</t>
  </si>
  <si>
    <t>CÂMBIO: Dólar fechou ontem em baixa em dia de baixa liquidez
Na íntegra: https://t.co/IPrPLOCPPs
#cambio #mercadofinanceiro #investidores #euro #PMI #juros #inflação</t>
  </si>
  <si>
    <t>O dólar ontem oscilou entre a mínima de R$ 4,812 e a máxima de R$ 4,901.
https://t.co/SeYi8jOuTx
#dolar #mercadofinanceiro #bolsas #b3 #bancocentral #cambio</t>
  </si>
  <si>
    <t>Na semana, o dólar acumulou ganhos de 0,85%, pela segunda semana seguida.
Acompanhe na íntegra: https://t.co/2viH7cL2PK
#dolar #mercadofinanceiro #Ibovespa #investidores #juros #inflação</t>
  </si>
  <si>
    <t>PAUTA DO DIA: Bolsas caminham para fechar agosto com perdas.
Na íntegra: Na íntegra: https://t.co/NMJgRB1Lvw
#bolsas #CPI #EUA #asia #b3 #ibovespa #mercadofinanceiro #europa</t>
  </si>
  <si>
    <t>CÂMBIO: Dólar terminou ontem em alta, na contramão do exterior
Na íntegra: https://t.co/tBLrOTlG7b
#dolar #investidores #ptax #B3 #açoe #inflação #mercadofinanceiro</t>
  </si>
  <si>
    <t>CÂMBIO: Dólar fechou a sexta-feira e a semana em baixa
Na íntegra: https://t.co/vVG5iq3W5Y
#cambio #b3 #mercadofinanceiro #juros #investidores #ipca15</t>
  </si>
  <si>
    <t>PAUTA DO DIA: Mercados operam sem direção única nesta manhã
Na íntegra: https://t.co/K4MbHSXWHY
#b3 #mercadofinanceiro #investidores #índices #inflação #ibovespa</t>
  </si>
  <si>
    <t>CÂMBIO: Dólar começou a semana em baixa com China e Japão
Na íntegra: https://t.co/uhsC7uczqU
#CAMBIO #mercadofinanceiro #japao #moeda #economia #reservacambial</t>
  </si>
  <si>
    <t>CÂMBIO: Dólar deverá abrir hoje em queda
https://t.co/aHGCVoooOB
#dolar #investidores #cambio #mercadofinanceiro #b3</t>
  </si>
  <si>
    <t>CÂMBIO: Dólar fechou na quarta em baixa com dados de inflação dos EUA
Na íntegra: https://t.co/RGsvr2fZ79
#dolar #mercadofinanceiro #investidores #inflação #fed # eua</t>
  </si>
  <si>
    <t>PAUTA DO DIA: Mercados operam sem direção única, à espera de Fed
Na íntegra: https://t.co/64hzww0urS
#Fed #Ibovespa #mercadofinanceiro #investidores #selic #inflação</t>
  </si>
  <si>
    <t>CÂMBIO: Dólar fechou ontem em alta à espera de decisão de BC e Fed
Na íntegra: https://t.co/8Bl8DPHExp
#dolar #mercadofinanceiro #juros #inflação #bc #fed #investidores</t>
  </si>
  <si>
    <t>Em mais um esforço para estimular a economia local, o banco central chinês anunciou a redução da taxa de juros de contratos de recompra, de 2,15% para 1,95%.
Na íntegra: https://t.co/JXJ8QOKtxD
#Ibovespa #bc #taxadejuros #mercadofinanceiro #investidores #b3</t>
  </si>
  <si>
    <t>CÂMBIO: Dólar caiu ontem e deve fechar a semana com perdas
Na íntegra: https://t.co/FS0ANTxnlI
#dolar #mercadofinanceiro #investidores #bolsas #moedas</t>
  </si>
  <si>
    <t>Nesta manhã, o foco internacional estará voltado para a participação do presidente do Federal Reserve, Jerome Powell, no Simpósio de Jackson Hole.
Na íntegra: https://t.co/5aw42Wlw7x
#B3 #mercadofinanceiro #investidores #Fed #asia #indice #juros #inflação</t>
  </si>
  <si>
    <t>O dólar comercial terminou os negócios na quinta-feira (24) em alta, em dia de ajustes e com exterior no radar.
https://t.co/sKK1Ckc9dP
#b3 #dolar #inflação #juros #mercadofinanceiro #investidores</t>
  </si>
  <si>
    <t>PAUTA DO DIA: Bolsas globais operam em queda nesta manhã 🙄 
https://t.co/NwvXnJzfOl
#b3 #bolsas #juros #investidores #inflação #ipca #asia #eua #europa #mercadofinanceiro</t>
  </si>
  <si>
    <t>CÂMBIO: Dólar deverá abrir em baixa, com IPCA no radar 💲 
https://t.co/1QxbjEMLYi
#dolar #investidores #economia #inflação #ipca #eua #mercadofinanceiro</t>
  </si>
  <si>
    <t>CÂMBIO: Dólar começou semana em baixa e fechou a R$ 4,856
Na íntegra: https://t.co/qiYSLD2dzd
#dolar #mercadofinanceiro #bolsas #investidores #inflação #EUA</t>
  </si>
  <si>
    <t>No mês de julho, o dólar acumulou perdas de 1,25% e no ano desvaloriza 10,42%. O dólar ontem oscilou entre a mínima de R$ 4,713 e a máxima de R$ 4,759.
Na íntegra 👉 https://t.co/uEn6ff8d5E
#dolar #investidores #b3 #mercadofinanceiro #bancocentral</t>
  </si>
  <si>
    <t>Ao longo da semana, as atenções estarão voltadas para a divulgação do índice de inflação do PCE nos EUA, que deve ajudar a calibrar as expectativas...
Na íntegra: https://t.co/b8qDN7dFKH
#Ibovespa #mercadofinanceiro #dolar #inflação #investidores #PCE</t>
  </si>
  <si>
    <t>CÂMBIO: Dólar fechou a sexta com leve baixa, mas ganhou na semana
Na íntegra: https://t.co/sOODjqfhlS
#cambio #mercadofinanceiro #investidores #juros #inflaçao</t>
  </si>
  <si>
    <t>PAUTA DO DIA: Mercados operam sem direção única nesta sexta-feira
Na íntegra: https://t.co/nQULQdyfpB
#Ibovespa #dolar #Juros #mercadofinanceiro #investidores</t>
  </si>
  <si>
    <t>Mercados operam com viés positivo.
Na íntegra: https://t.co/BihkPovgQw
#CAMBIO #b3 #mercadofinanceiro #investidores #inflaçao #juros</t>
  </si>
  <si>
    <t>CÂMBIO: Dólar ganhou 1,22% e fechou vendido a R$ 5,048 na quarta-feira
Na íntegra: https://t.co/QbP6T3qtP9
#cambio #mercadofinanceiro #inflação #juros #investidores</t>
  </si>
  <si>
    <t>PAUTA DO DIA: Mercados mundiais operam com ganhos nesta quarta-feira
Na íntegra: https://t.co/EmZgPPB5wz
#ibovespa #juros #mercadofinanceiro #investidores #inflação</t>
  </si>
  <si>
    <t>CÂMBIO: Dólar fechou a terça-feira em alta, vendido e R$ 4,987
Na íntegra: https://t.co/2lL9gRr5oQ
#cambio #mercadofinanceiro #inflação #juros #ações</t>
  </si>
  <si>
    <t>CÂMBIO: Dólar começou a semana em alta em sintonia com exterior
Acompanhe na íntegra: https://t.co/cStUjD6vvp
#Dolar #mercadofinanceiro #investidores #Fed  #juros</t>
  </si>
  <si>
    <t>CÂMBIO: Dólar fechou estável na sexta-feira, e caiu 2,25% na semana.
Na íntegra: https://t.co/uTJRjytPfi
#dolar #mercadofinanceiro #inflação #economia #eua #b3 #investidores</t>
  </si>
  <si>
    <t>PAUTA DO DIA: Cautela predomina os mercados nesta manhã
Na íntegra: https://t.co/Wm9QPU5EJM
#cpieua #ibovespa #mercadofinanceiro #juros #inflação #bolsas</t>
  </si>
  <si>
    <t>CÂMBIO: Dólar fechou ontem em alta à espera de dados dos EUA
Acompanhe na íntegra: https://t.co/A9dWnGvhi8
#dolar #inflação #mercadofinanceiro #investidores #eua</t>
  </si>
  <si>
    <t>CÂMBIO: Dólar terminou a semana acumulando alta de 1,31%
Na íntegra: https://t.co/8nkbqBQAEY
#dolar #moeda #b3 #mercadofinanceiro #investidores #juros</t>
  </si>
  <si>
    <t>PAUTA DO DIA: Bolsa deve abrir em alta nesta sexta-feira😃 
https://t.co/f5NJnPeoT2
#inflação #mercadofinanceiro #juros #moeda #ibovespa #asia #europa #eua</t>
  </si>
  <si>
    <t>PAUTA DO DIA: Mercados operam sem direção definida nesta manhã.
Na íntegra: https://t.co/d5fz11NEgM
#Ibovespa #investidores #pib #fed #petroleo #taxadejuros #mercadofinanceiro</t>
  </si>
  <si>
    <t>Na Ásia, o ritmo de crescimento chinês segue como um ponto de atenção, em especial o setor imobiliário.
Acompanhe na íntegra: https://t.co/5Scklpkou9
#Ibovespa #moedas #mercadofinanceiro #juros #inflação</t>
  </si>
  <si>
    <t>CÂMBIO: Dólar deverá fechar a semana no positivo
Na íntegra: https://t.co/Al3YZKMOWq
#dolar #mercadofinanceiro #inflação #investidores #juros</t>
  </si>
  <si>
    <t>PAUTA DO DIA: Mercados iniciam semana no campo positivo.
Acompanhe na íntegra: https://t.co/lnJ6cdnu2A
#mercadofinanceiro #b3 #economiaamericana #bc #inflação #ibovespa</t>
  </si>
  <si>
    <t>CÂMBIO: Dólar começou setembro com leve baixa, vendido a R$ 4,941
Acompanhe na íntegra: https://t.co/m8TVrThKTH
#cambio #b3 #mercadofinanceiro #dolar #juros #inflação</t>
  </si>
  <si>
    <t>Com o início do simpósio de Jackson Hole no radar dos investidores, juros seguem em queda.
Acompanhe na íntegra: https://t.co/g3ucnvhMB7
#commodities #b3 #juros #açoes #investidores #europa #mercadofinanceiro</t>
  </si>
  <si>
    <t>CÂMBIO: Dólar fechou com forte baixa de 1,74% na quarta-feira.
https://t.co/02jmzgBblO
#b3 #juros #mercadofinanceiro #inflação #eua #investidores</t>
  </si>
  <si>
    <t>CÂMBIO: Dólar deve iniciar a semana com viés de alta 🤑 
https://t.co/nKusY9KpOq
#b3 #dolar #inflação #bc #mercadofinanceiro #investidores</t>
  </si>
  <si>
    <t>Gráfico de operações hoje em WINV23.
Complicado mas positivo. A volatilidade e indecisão da manhã não foi benéfica p/ o operacional…
não opero no mobile.
#daytrade #miniindice #mercadofinanceiro #trade #wdo #forex https://t.co/P2Mlm0hD6b</t>
  </si>
  <si>
    <t>Em resumo, o mercado financeiro é um espelho da saúde econômica e, ao mesmo tempo, um motor que a impulsiona. Aprender a interpretar suas nuances é fundamental para compreender as forças que moldam nossa economia. 🌐
#Economia #MercadoFinanceiro #Investimentos #ImpactoEconômico</t>
  </si>
  <si>
    <t>Uma conversa realmente necessária!
Entenda como nossa visão de mundo é moldada por sociopatas do mercado financeiro.
#mercadofinanceiro #icl #eduardomoreira #embrulhasemroteiro 
https://t.co/fl4QmCy37F</t>
  </si>
  <si>
    <t>O que aconteceu no cenário financeiro e econômico de junho e como tudo impactou as carteiras da Funpresp? 🤔
Vamos descobrir nesse fio! 🧶⬇️
#investimentos #economia #mercadofinanceiro</t>
  </si>
  <si>
    <t>🆓 &amp;gt; Recomendações de opções para o dia de hoje. 
O SaraOptions Pró aponta as melhores relações de RISCO X RETORNO, sugere os PREÇOS LIMITES DE COMPRA e VENDA, além de "STOP GAIN" e "STOP LOSS" de acordo com cada perfil.
#mercadofinanceiro #acoes #opcoes https://t.co/8kkH20DEF1</t>
  </si>
  <si>
    <t>#Macroeconomía | Este es el incentivo que dará el gobierno Petro por el almacenamiento de arroz
@MinAgricultura @FEDEARROZGREMIO @petrogustavo 
https://t.co/qKS0q8PYUP</t>
  </si>
  <si>
    <t>#Macroeconomía | Gobierno Petro insiste en que plataformas digitales paguen más impuestos en Colombia
@ricardobonillag @petrogustavo @alianzain1 
https://t.co/Im7FSa9vMR</t>
  </si>
  <si>
    <t>#Macroeconomía | Viajes de colombianos al exterior tuvieron un alza de 4 % en primer semestre
@MigracionCol 
https://t.co/tvhzMXJeP2</t>
  </si>
  <si>
    <t>#Macroeconomía | Contenedores inteligentes serían el 37 % de inventarios mundiales para 2027
@DrewryShipping 
https://t.co/LWLuOPeArx</t>
  </si>
  <si>
    <t>#Macroeconomía | En junio, fuerte aumento en Confianza del Consumidor: @Fedesarrollo 
https://t.co/EKIcpQoXyA</t>
  </si>
  <si>
    <t>#Macroeconomía | @Fedesarrollo entregó su más reciente Encuesta de Opinión del Consumidor en la cual se detalla que el Índice de Confianza del Consumidor cayó 17,4 % en julio.
https://t.co/iIIaqdR7LB</t>
  </si>
  <si>
    <t>#Macroeconomía | Días Sin IVA en Colombia: ¿Revivirán por ley?
@SenadoGovCo @CamaraColombia @MincomercioCo @infopresidencia 
https://t.co/EGwhYKQtzb</t>
  </si>
  <si>
    <t>#Macroeconomía | Inversión extranjera directa sumó récord histórico de US$224.579 millones en América Latina en 2022
@cepal_onu
https://t.co/A52cxODgZn</t>
  </si>
  <si>
    <t>#Macroeconomía | Venta de motos en Colombia cayó 21,5 % en julio
https://t.co/dPE8ndtOuN
@ANDEMOS_COL</t>
  </si>
  <si>
    <t>#Macroeconomía | Fondo Nacional de Garantías (FNG) respaldará hasta un millón de créditos para “economía popular” en Colombia
https://t.co/wnI8nYSMqJ
@FNGSA</t>
  </si>
  <si>
    <t>#Macroeconomía | PMI Davivienda en Colombia cayó en julio, el deterioro más acelerado en 8 meses
https://t.co/WckI8ZQJQv
@Davivienda</t>
  </si>
  <si>
    <t>#Macroeconomía | Así va el comportamiento de ventas de vehículos de alta gama en Colombia este 2023
https://t.co/mg7PeKqm60
@automotrizandi</t>
  </si>
  <si>
    <t>#Macroeconomía | En el 13° Congreso de Asomicrofinanzas, entidades revelaron que el sector agro de Colombia tiene las tasas más favorables para microcrédito
@Asomicrofinanza 
https://t.co/TN4GZ6DZj8</t>
  </si>
  <si>
    <t>#Macroeconomía | Emiten alerta sobre Presupuesto General de la Nación 2024, “rompería con la regla fiscal”
@MinHacienda @MirandaBogota 
https://t.co/KlmfJgLyez</t>
  </si>
  <si>
    <t>#Macroeconomía | Laura Milena Roa es la nueva presidente del Fondo Nacional del Ahorro en Colombia
https://t.co/X6V4PYbTip
@FNAahorro</t>
  </si>
  <si>
    <t>#Macroeconomía | Tres hechos que van a mover al dólar en Colombia en septiembre
#TRM @MinHacienda @federalreserve 
https://t.co/yXVnZrrA8s</t>
  </si>
  <si>
    <t>#Macroeconomía | Esta es la ciudad de Colombia que se acerca a una inflación de un solo dígito
@DANE_Colombia @petrog
https://t.co/FM71X8NiYJ</t>
  </si>
  <si>
    <t>#Macroeconomía | Bancolombia resaltó que entre la semana del 13 de julio al 19 de julio el consumo con tarjetas registró un avance nominal de 3 %
@Bancolombia 
https://t.co/5DQJgqTWgs</t>
  </si>
  <si>
    <t>#Macroeconomía | @MinHacienda de Colombia desestima que @jpmorgan diga que @bvcColombia perdería estatus emergente
https://t.co/dPEteQEHMa https://t.co/mqPAspJiUh</t>
  </si>
  <si>
    <t>#Macroeconomía | ¿De cuánto habría sido la inflación de Colombia a julio del 2023?
https://t.co/OTaPPPkhJo
@DANE_Colombia @petro
@ricardobonillag</t>
  </si>
  <si>
    <t>#Macroeconomía |  ¿Cómo funcionaría un @TransMilenio gratis?: Estas son las cuentas para Bogotá
https://t.co/E9absRgKkh</t>
  </si>
  <si>
    <t>#Macroeconomía | @jrobertoacosta1: Colombia tiene margen para manejo de deuda y hace operaciones diarias
@ricardobonillag @MinHacienda 
https://t.co/WBcpFRn1X5</t>
  </si>
  <si>
    <t>#Macroeconomía | Precios de alimentos en Bogotá subirían por cierre de la vía a Villavicencio
https://t.co/eyitDmAuMy
@ricardobonillag @FenalcoNacional @JuanGZuluaga</t>
  </si>
  <si>
    <t>#Macroeconomía | Vuelve y se desploma la venta de vivienda en Colombia
@CamacolColombia @Minvivienda @petrogustavo 
https://t.co/Vtq2RuhWZI</t>
  </si>
  <si>
    <t>#Macroeconomía | Colombia presentó en junio la segunda mejor inversión extranjera directa en la historia, un hecho importante que se busca mantener, ¿qué garantías se le deben dar a los inversionistas? @CEAColombia https://t.co/LdU2eFghG9</t>
  </si>
  <si>
    <t>#Macroeconomía | Pequeños empresarios dicen que reforma laboral podría aumentar la tasa de desempleo
https://t.co/4W8TKGjGlx
@acopi_nacional @petrogustavo</t>
  </si>
  <si>
    <t>#Macroeconomía | @FMInoticias advierte riesgos para el sistema bancario mundial: pide mitigar riesgos
https://t.co/bQ9WIHZuGE</t>
  </si>
  <si>
    <t>#Macroeconomía | Mediante ley buscarán bajarle $2.000 al precio de la gasolina en Colombia
@wmanzur @petrogustavo @ricardobonillag 
https://t.co/TH5qihyQhC</t>
  </si>
  <si>
    <t>#Macroeconomía | Empresas en Colombia representan cerca del 80 % en recaudo del impuesto de renta
@MinHacienda @ANDI_Colombia @BruceMacMaster @ocdeenespanol @jrestrp 
https://t.co/AFgCVtdkyW</t>
  </si>
  <si>
    <t>#Macroeconomía | Ministro Velasco niega remezón ministerial por ejecución del presupuesto
@velascoluisf @MinInterior @petrogustavo 
https://t.co/HOzVu6QrBE</t>
  </si>
  <si>
    <t>#Macroeconomía | Exministro Mauricio Cárdenas: Petro no va a cumplir la Regla Fiscal
@MauricioCard @petrogustavo @CARFColombia 
https://t.co/7VnuMEPrTD</t>
  </si>
  <si>
    <t>#Macroeconomía | Presidente Petro se reunirá con Consejo Gremial de Colombia la próxima semana
https://t.co/pAtmrYXzOL
@petrogustavo @ConsejoGremial https://t.co/rTE5EfUyqi</t>
  </si>
  <si>
    <t>#Macroeconomía | Los desafíos y oportunidades para empresas agroindustriales en Colombia en 2023 🚜
@ZFbta 
https://t.co/us3vuMYnVm</t>
  </si>
  <si>
    <t>#Macroeconomía | El Chelsea ha gastado más en fichajes que Colombia importando cereales
@ChelseaFC_Sp @DANE_Colombia 
https://t.co/AGpHSWFg6d</t>
  </si>
  <si>
    <t>#Macroeconomía | Camioneros se van contra el ministro Bonilla por futura alza en el diésel: “Nos está citando a una confrontación”
@UNIDOS_CAMARA @ricardobonillag @petrogustavo 
https://t.co/20gtkdnW2D</t>
  </si>
  <si>
    <t>#Macroeconomía | Exministro Ocampo le pide al gobierno Petro subir el precio de los peajes 
https://t.co/YRX3yOjP1B
@JoseA_Ocampo @ricardobonillag</t>
  </si>
  <si>
    <t>#Macroeconomía | Una persona pobre en Colombia tiene $13.228 al día para sobrevivir
https://t.co/AQqMFI0Nag
@petrogustavo @ProsperidadCol</t>
  </si>
  <si>
    <t>#Macroeconomía | @MincomercioCo de Colombia señala que no se está renegociando el TLC con EE. UU.
@GermanUmanaM 
https://t.co/kcUc9qz4KV</t>
  </si>
  <si>
    <t>#Macroeconomía | Gobierno de Estados Unidos no cree que sea hora de renegociar TLC con Colombia
https://t.co/R3DtfaZVkw
@GermanUmanaM</t>
  </si>
  <si>
    <t>#Macroeconomía | Cerca de 690.000 colombianos habrían salido de la pobreza en 2022
https://t.co/u3ojibbi9D
@DANE_Colombia @ANIFCO</t>
  </si>
  <si>
    <t>#Macroeconomía | La caída del precio del café se entiende por la descolgada de la cotización en la bolsa de Nueva York, dijo Germán Bahamón
@FedeCafeteros 
https://t.co/6epZaSC2qk</t>
  </si>
  <si>
    <t>#Macroeconomía | Colombia urge de un plan para aumentar su producción de café: esta sería la hoja de ruta
@MinAgricultura @jmojicaflorez @FedeCafeteros 
https://t.co/PtnoH0JVFE</t>
  </si>
  <si>
    <t>#Macroeconomía | Ejecución presupuestal de inversión del @MinAgricultura apenas llega al 39 % en 2023
@jmojicaflorez 
https://t.co/nfmsRcohXQ</t>
  </si>
  <si>
    <t>#Macroeconomía | Gobierno de Colombia invertirá $35.000 millones en la renovación cafetera
@MinAgricultura 
https://t.co/iFjeGz9q0R</t>
  </si>
  <si>
    <t>#Macroeconomía | Ante la creación de una subcomisión en el Congreso para definir un nuevo texto de la reforma a la salud, varios gremios firmaron un “pacto por una mejor salud”.
@ANDI_Colombia @BruceMacMaster 
https://t.co/IwCM3Vyx7F</t>
  </si>
  <si>
    <t>#Macroeconomía | A la salida de un evento de la @ANDI_Colombia, en Cartagena, el ministro de Hacienda de Colombia, @ricardobonillag, se refirió a lo que viene pasando con la renegociación del TLC con Estados Unidos
@MinHacienda 
https://t.co/t3ni3tfwan</t>
  </si>
  <si>
    <t>#Macroeconomía | ¿Gobierno Petro seguirá pidiendo que se baje la tasa de interés por la inflación de Colombia?
https://t.co/16RrDMx6pj
@ANDI_Colombia @ricardobonillag</t>
  </si>
  <si>
    <t>#Macroeconomía | Ministro Bonilla les respondió a camioneros sobre alzas en el precio del ACPM en Colombia
@ricardobonillag @IreneVelezT 
https://t.co/3UwYHHe6vw</t>
  </si>
  <si>
    <t>#Macroeconomía | Ministro de Hacienda espera que el dólar en Colombia se estabilice en $4.000
@MinHacienda #TRM @ricardobonillag #13CongresoAMF
https://t.co/CRDwWrWDsI</t>
  </si>
  <si>
    <t>#Macroeconomía | ¿Qué se pone más barato con un dólar a $4.000 en Colombia?
https://t.co/lYC199cMbI
@ricardobonillag @MinHacienda</t>
  </si>
  <si>
    <t>#Macroeconomía | @MinHacienda de Colombia confirma que aumentó proyección de inflación para 2023
@ricardobonillag 
https://t.co/Eww990IZKE</t>
  </si>
  <si>
    <t>#Macroeconomía | ¿Qué sectores serán los más importantes para el presupuesto del gobierno Petro en 2024?
@MinHacienda @ricardobonillag 
https://t.co/8h4w4RnseH</t>
  </si>
  <si>
    <t>#Macroeconomía | Así va adjudicación para manejo de $52 billones del #FONPET en Colombia
@MinHacienda @ricardobonillag 
https://t.co/gpFDTzgoF4</t>
  </si>
  <si>
    <t>#Macroeconomía | Dólar en Colombia en el primer año de Petro: del histórico $5.100 al piso de los $3.800
https://t.co/mWlpr6Dujg
@petrogustavo @ricardobonillag</t>
  </si>
  <si>
    <t>#Macroeconomía | Grupo Bicentenario será el banco público de Colombia
@MinHacienda @ricardobonillag 
https://t.co/y5xsqo6feK</t>
  </si>
  <si>
    <t>#Macroeconomía | Colombia será el primer país que dirigirá la plataforma clave para tributación internacional
@MinHacienda @ricardobonillag 
https://t.co/URXUbrqJg1</t>
  </si>
  <si>
    <t>#Macroeconomía | ¿Inflación da para que bajen las tasas de interés en Colombia?
https://t.co/bPgva3fGwI
@ricardobonillag @BancoRepublica</t>
  </si>
  <si>
    <t>#Macroeconomía | Inflación en Colombia ya no le pega más fuerte a los hogares pobres: ¿Por qué?
@DANE_Colombia @petrogustavo @ricardobonillag 
https://t.co/8HspdP7H5H</t>
  </si>
  <si>
    <t>#Macroeconomía | ¿Se encamina Colombia a una inflación de un dígito?
https://t.co/oiotSX37Ks
@MinHacienda @ricardobonillag @petrogustavo</t>
  </si>
  <si>
    <t>#Macroeconomía | Esto dijo Petro sobre la caída del dólar en Colombia: “Es por la confianza”
@petrogustavo @ricardobonillag 
https://t.co/wYIll8D3B1</t>
  </si>
  <si>
    <t>#Macroeconomía | ¿Se incumplirá meta de inflación del @MinHacienda de Colombia para 2023?
@ricardobonillag 
https://t.co/8VReTYcre5</t>
  </si>
  <si>
    <t>#Macroeconomía | Renegociación del TLC con Estados Unidos: alertan por riesgo de aumento en la inflación
https://t.co/LSmD3t0zaa
@petrogustavo @ricardobonillag</t>
  </si>
  <si>
    <t>#Macroeconomía | Inflación en Colombia en agosto: esto la movió. ¿De cuánto habría sido?
@DANE_Colombia @ricardobonillag 
https://t.co/Lp67iNqYBC</t>
  </si>
  <si>
    <t>#Macroeconomía | Las condiciones que ve el gerente del @BancoRepublica para bajar las tasas de interés en Colombia
@MinHacienda @ricardobonillag 
https://t.co/FUfp2gYq5a</t>
  </si>
  <si>
    <t>#Macroeconomía | ¿Bajarán los precios en Colombia por la caída del dólar? Gerente del BanRep responde
@MinHacienda @BancoRepublica @petrogustavo @ricardobonillag 
https://t.co/P6hlLViyPg</t>
  </si>
  <si>
    <t>#Macroeconomía | Ministro de Hacienda de Colombia prevé que inflación de julio haya bajado al 12 %
@ricardobonillag @MinHacienda 
https://t.co/Qnq6NCMrwH</t>
  </si>
  <si>
    <t>#Macroeconomía | Inflación en Colombia en julio siguió cediendo por cuarto mes consecutivo
https://t.co/IBzLurOZ5Z
@DANE_Colombia</t>
  </si>
  <si>
    <t>#Macroeconomía | Balance del desempleo en jóvenes de Colombia durante el primer semestre de 2023
https://t.co/o4f2NUEATv
@DANE_Colombia</t>
  </si>
  <si>
    <t>#Macroeconomía | Las inflaciones básicas en Colombia presentaron desaceleración en junio, según el @DANE_Colombia 
https://t.co/otM8vhc855</t>
  </si>
  <si>
    <t>#Macroeconomía | En junio cayeron las importaciones a Colombia un 21,2 %
@DANE_Colombia 
https://t.co/N1CC3KFGcR</t>
  </si>
  <si>
    <t>#Macroeconomía 
¿Por qué creció la economía de Colombia en mayo de 2023?
@DANE_Colombia 
https://t.co/EyS7B0d26E</t>
  </si>
  <si>
    <t>#Macroeconomía | Importaciones a Colombia siguen cayendo: en mayo bajaron 20 %
@DANE_Colombia 
https://t.co/50yg0tjrmb</t>
  </si>
  <si>
    <t>#Macroeconomía | PIB de Bogotá solo creció 0,2% en el segundo trimestre, en medio de la desaceleración nacional
@DANE_Colombia 
https://t.co/9wuSew4ETv https://t.co/sophbyzxFw</t>
  </si>
  <si>
    <t>#Macroeconomía | El @DANE_Colombia entregó el más reciente informe sobre las exportaciones de Colombia correspondientes al mes de julio de este año
https://t.co/pASI3EsV74</t>
  </si>
  <si>
    <t>#Macroeconomía | Textiles y confecciones en Colombia: caídas en producción y exportaciones
@DANE_Colombia 
https://t.co/VHvMBBcmaU</t>
  </si>
  <si>
    <t>#Macroeconomía | Estas son las apuestas para la inflación de Colombia en agosto
@DANE_Colombia 
https://t.co/NUHTq6zONb</t>
  </si>
  <si>
    <t>#Macroeconomía | Producción industrial en Colombia sigue de capa caída: acumula caída del 2,6 % en 2023
@DANE_Colombia 
https://t.co/q0o4l87Ms8</t>
  </si>
  <si>
    <t>#Macroeconomía | El @DANE_Colombia  reveló que la inflación anual en Colombia a agosto se ubicó en 11,43 %. Esto significó una reducción en comparación con la presentada en julio que fue de 11,78 %.
https://t.co/tmNZnPk1Nc</t>
  </si>
  <si>
    <t>#Macroeconomía | El jueves 7 de septiembre, el @DANE_Colombia  revelará los datos de la inflación al corte de agosto de 2023 y el @MinHacienda prevé buenos resultados
https://t.co/a8lhaV4uXg</t>
  </si>
  <si>
    <t>#Macroeconomía | Producción de industria manufacturera en Colombia cayó en mayo por tercer mes consecutivo
@DANE_Colombia 
https://t.co/JWBuhTmpcS</t>
  </si>
  <si>
    <t>#Macroeconomía | ¿Qué sectores están generando más puestos de trabajo en Colombia?
https://t.co/x7Z9h5tym1
@DANE_Colombia</t>
  </si>
  <si>
    <t>#Macroeconomía | Dólar en Colombia a $3.800: lo que debería pasar para una nueva caída
https://t.co/b7x8Uq0tmN
@MinHacienda @BancoRepublica @SFCsupervisor</t>
  </si>
  <si>
    <t>#Macroeconomía | Superintendente Financiero anuncia en Colombia que las tasas de interés siguen siendo demasiado altas
@BancoRepublica @SFCsupervisor 
https://t.co/krRojnSl2M</t>
  </si>
  <si>
    <t>#Macroeconomía | SuperFinanciero lanza alerta: volatilidad del dólar está afectando proyectos de inversión en Colombia
@SFCsupervisor 
https://t.co/PiFtPXrcHp</t>
  </si>
  <si>
    <t>#Macroeconomía | La Superintendencia Financiera de Colombia expidió la Resolución 1328 de 2023 en la que certificó en cuánto quedarán el Interés Bancario Corriente y la tasa de usura para septiembre:
@SFCsupervisor 
https://t.co/pt9FzTL7VW</t>
  </si>
  <si>
    <t>#Macroeconomía | SOAT para motos en Colombia: ¿Subirá de precio?
@FasecoldaOficia @SFCsupervisor 
https://t.co/y0P4rDqzT9</t>
  </si>
  <si>
    <t>#Macroeconomía 
América Latina y Asia impulsaron la entrada de capitales en julio: IIF
@IIF 
https://t.co/cZnWqFC557</t>
  </si>
  <si>
    <t>#Macroeconomía | El sistema empezó a funcionar en la página de la @DIANColombia partir de este lunes 18 de septiembre
https://t.co/dcW6JnLCev</t>
  </si>
  <si>
    <t>#Macroeconomía | A $360.000 millones asciende la cartera del sector salud según la DIAN
https://t.co/OvSwk5ADaE
@DIANColombia</t>
  </si>
  <si>
    <t>#Macroeconomía | La DIAN junto a la Comisión Nacional del Servicio Civil adelantan un proceso de pruebas para que colombianos puedan ingresar al cargo de su interés por méritos.
https://t.co/4NpxVpN8aX
@DIANColombia</t>
  </si>
  <si>
    <t>#Macroeconomía | Reparos de diferentes gremios económicos a reforma pensional de Petro
https://t.co/NwgJ0sSZQU
@SenadoGovCo  @MichelJanna</t>
  </si>
  <si>
    <t>#Macroeconomía | Colombia también revisará TLC con México, Brasil y Argentina
@MincomercioCo 
https://t.co/kaVdM8dWtp</t>
  </si>
  <si>
    <t>#Macroeconomía | Para el séptimo mes de este año, la ocupación hotelera cerró en 61,03 %, una cifra que reflejó un descenso de 4,93 puntos porcentuales
@Cotelcolombia @MincomercioCo 
https://t.co/4Sics5xCR7</t>
  </si>
  <si>
    <t>Las 3 cosas que Nadie te dice sobre el Trading 🤔 recuerden que el Trading es una Carrera igual que todas las carreras convencionales, pero con ciertas ventajas sobre esas otras carreras 🧐 #emprendedores #negociosdigitales #trading #mercadofinanceiro #doctops #mined https://t.co/yKJR1wAAWc</t>
  </si>
  <si>
    <t>¿Crees que tendremos Presupuestos Generales de 2024 en tiempo y forma? Déjanos tu comentario ⬇️
​​​#Gobierno #Feijoo #PedroSanchez #PGE #macroeconomía</t>
  </si>
  <si>
    <t>Cadastre-se grátis aqui 
👇
https://t.co/4IZNhV6JE1 
👆
e participe para concorrer tradando sem investimento aqui! É GRÁTIS!
🤝😉🚀
#MercadoFinanceiro #daytrading #quotex #traderbrasil #binaryoptionstrading #traderlifestyle #torneio #GRATISSSS #freestyle #dinheiroonline #din https://t.co/5k5f2kTQ99</t>
  </si>
  <si>
    <t>Ganhe enquanto aprende sobre a Nova Economia Digital com o MB!😃
Saiba mais acessando agora mesmo aqui 👇
https://t.co/SpuOjpvC3I
Bon$ Estudo$!🚀
#criptoativos #economiadigital #mercadofinanceiro #mercadobitcoin #bitcoinbrasil  #BTCUSD #ethereumnews #bitcoinnews #staking https://t.co/pflT7Gjjeb</t>
  </si>
  <si>
    <t>Melhor Plataforma de Trading para análise de Ativos financeiro diversos!
Experimete e garanta já seu Bônus aqui 👇
#tradingview
#trading
#mercadofinanceiro
#plataforma</t>
  </si>
  <si>
    <t>O Fusca da Bibi!
#พี่กบ #Memes #Noticias #benbvolliefde #SalmonMabarDiBalikpapan #อิงล็อต #ปิ่นภักดิ์ #zoeira #NFTCommunity #NFTs #NFTartists #kkkk #Brasileirão #MercadoFinanceiro #MercadoCampesino #mercado #farmacia #curadepressao https://t.co/GM9uF5ZFvQ</t>
  </si>
  <si>
    <t>📢 Contratos futuros do #petróleo atingem maior nível em meses graças aos cortes de oferta. Saiba mais sobre o impacto dessa alta na economia global! #Energia #MercadoFinanceiro https://t.co/JFDFOOPnhx</t>
  </si>
  <si>
    <t>4/4 📈 Com um volume de R$902 milhões e valorização de 7,1%, o papel atingiu a máxima no Ibovespa. O mercado está atento a possíveis parcerias estratégicas! Vamos explorar os próximos passos dessa emocionante jornada juntos! #MercadoFinanceiro #Investimentos</t>
  </si>
  <si>
    <t>4/6 A decisão dos reguladores norte-americanos, embora tardia em relação ao Canadá, ressalta o potencial das criptomoedas em transformar o mercado financeiro mundial. #BitcoinETF #MercadoFinanceiro</t>
  </si>
  <si>
    <t>La #macroeconomía tiene un impacto directo sobre el #criptomercado. La apreciación de los cereales en el supermercado, reduce el poder adquisitivo de los #criptoinversores minoristas, evitando que puedan ahorrar e #invertir en #criptoactivos. https://t.co/aSFzwP6Epu</t>
  </si>
  <si>
    <t>Mercado aberto e operando! Ouça os números do #MercadoFinanceiro 
Ouça no rádio em 92,5FM 📻, no app CBN Vitória 📲, e no site https://t.co/gw7mjXje7A 🖥️</t>
  </si>
  <si>
    <t>Mercado aberto e operando! Ouça os números do #MercadoFinanceiro com Marlo Barcelos
Ouça no rádio em 92,5FM 📻, no app CBN Vitória 📲, e no site https://t.co/gw7mjXiGi2 🖥️</t>
  </si>
  <si>
    <t>Mercado aberto e operando! Ouça os números do #MercadoFinanceiro
Ouça no rádio em 92,5FM 📻, no app CBN Vitória 📲, e no site https://t.co/gw7mjXje7A 🖥️</t>
  </si>
  <si>
    <t>#Macroeconomía | Esto debería pasar en Colombia para que el PIB del 2023 crezca al 2 %
@petrogustavo @LuisFerMejia 
https://t.co/G6u3bB4Baw</t>
  </si>
  <si>
    <t>#LSDI Redefining the Landscape of Psychedelic Medicine with Large-Scale Production $LSDI #trading
#mercadofinanceiro
#forextradin</t>
  </si>
  <si>
    <t>Dia de análise semanal para avaliar as operações Trade
#trade #trading #mercadofinanceiro #acoes #Indices #FTMO https://t.co/fPKtKQazxi</t>
  </si>
  <si>
    <t>RT @EInvestidor: 📈 Apesar de oscilações, as ações da varejista ficaram atrás apenas da Petrobras (#PETR4) e Vale (#VALE3). Veja
#mercadofin…</t>
  </si>
  <si>
    <t>Petróleo fecha em maior patamar desde abril e pressiona Petrobras https://t.co/BSQH4vUzRi</t>
  </si>
  <si>
    <t>Petrólio contra Petrobras é tipo filho contra pai não é?
Ganha (encarece) o subsídio/matéria prima... ou aquele se apropria dele?
Essa eu quero ver! 😏
#MercadoFinanceiro
#ValoreTrending</t>
  </si>
  <si>
    <t>🇦🇷 ARGENTINA 15 de Agosto 
 🛒Inflación 116% 
🏚️Pobreza 39% 
💵Dólar 725
🏦Tasa de interés  118%
💲Devaluación oficial del 22%
🍖🥛Prohibición de exportaciones de carne y lácteos https://t.co/8ddYYZqy3j</t>
  </si>
  <si>
    <t>Argentina está en serios problemas por la mala gestión de la #Macroeconomía .
El costo social de los desajuste es alto, como usual mente son las crisis.</t>
  </si>
  <si>
    <t>El Salvador
La #macroeconomía pasa por un bache inédito.
Parece que se ha extendido el umbral de la tolerancia de la Macro.
La #informalidad de la economía, que lleva a #exclusión financiera, es solo el reflejo del alto nivel de #pobreza en que está sumergida la economía. https://t.co/mnfU4BAzgs</t>
  </si>
  <si>
    <t>El Salvador - #Riesgos
La precariedad de la #macroeconomía que ha llevado a nulo acceso a financ. externo, lleva al sistema financiero a elevar su exposición a inversiones de alto riesgo, y a tener menor nivel de liquidez. No es sostenible.
Semáforo en amarillo.
#TalóndeAquiles https://t.co/NmbPpSLKtz</t>
  </si>
  <si>
    <t>Sigam nos comentários ! O que vocês acharam das operações. E qual a opinião de vocês ?
Sala forex?
Mentoria forex?
Mentoria com sala forex?
#mercadofinanceiro #forex https://t.co/KueHlljYEY</t>
  </si>
  <si>
    <t>Que dureza
#MercadoFinanceiro https://t.co/pVhqIKOteK</t>
  </si>
  <si>
    <t>RT @EInvestidor: 📈 De acordo com o Broadcast, a empresa prevê voltar a investir em crescimento de forma mais clara em 2025. Entenda
#mercad…</t>
  </si>
  <si>
    <t>RT @EInvestidor: 💵 Apesar disso, 85% dos brasileiros passaram por pelo menos uma situação de desequilíbrio financeiro nos últimos 12 meses.…</t>
  </si>
  <si>
    <t>RT @EInvestidor: ❄️ COLUNA Quanto custa? | Levantamento mostra custo médio do ar-condicionado, instalação e mão de obra, e gasto extra com…</t>
  </si>
  <si>
    <t>RT @EInvestidor: 👨‍⚖️ Na terça-feira (26), foi aprovado o relatório final da CPI, com 18 votos favoráveis e 8 contrários, sem indicar possí…</t>
  </si>
  <si>
    <t>RT @EInvestidor: 🧐 Embora semelhantes, há diferenças importantes entre as opções que devem ser consideradas. Confira
#mercadofinanceiro #in…</t>
  </si>
  <si>
    <t>En el mes Dycasa sube un 49,07 %, con sólido crecimiento de ingresos
#merval #acciones #byma #inversiones #MercadoFinanceiro 
https://t.co/4ecCj5lNdH</t>
  </si>
  <si>
    <t>¿Conoces la Secretaría de Asuntos Económicos del Partido Revolucionario Moderno? 
¡Sigue todas nuestras actividades, somos la a Secretaría de Asuntos Económicos del @prm_oficial !
#SAE #PRM #YoCreoEnTi #EstamosCambiando #AsuntosEconomicos #Economia #YoCreoEnElPRM #MacroEconomia https://t.co/p531EEkbYK</t>
  </si>
  <si>
    <t>¡Atentos!
#SAE #PRM #YoCreoEnTi #EstamosCambiando #AsuntosEconomicos #Economia #YoCreoEnElPRM #MacroEconomia https://t.co/rYhrVB2n7n</t>
  </si>
  <si>
    <t>¡La industria de Zonas Francas y el Turismo continúan siendo el motor del crecimiento económico dominicano!
#SAE #PRM #YoCreoEnTi #EstamosCambiando #AsuntosEconomicos #Economia #YoCreoEnElPRM #MacroEconomia https://t.co/FdeYnDbJfY</t>
  </si>
  <si>
    <t>#Macroeconomía | Colombia es el segundo país de América Latina con más incremento en el precio de la gasolina
@MinHacienda @petrogustavo 
https://t.co/e6JrbBj7P7</t>
  </si>
  <si>
    <t>#Macroeconomía | ¿Qué sectores serán los más importantes para el presupuesto del gobierno Petro en 2024?
@MinHacienda  @petrogustavo 
https://t.co/YpRNXdYbk2</t>
  </si>
  <si>
    <t>#Macroeconomía | Presidente @petrogustavo entrega dato preocupante sobre deuda pública en Colombia
https://t.co/lbrj89NTv3</t>
  </si>
  <si>
    <t>#Macroeconomía | El gobierno de @petrogustavo tiene en la mira hacer un importante cambio en el pago de la deuda de 2024, con el fin de tener más recursos para la inversión.
https://t.co/DDSo6rwxGs</t>
  </si>
  <si>
    <t>#Macroeconomía | @petrogustavo le pide al @BancoRepublica bajar tasas de interés para mejorar #PIB de Colombia: ¿Pasará?
https://t.co/fA8aCEGNWi</t>
  </si>
  <si>
    <t>#Macroeconomía | En entrevista con Valora Analitik, el viceministro general de @MinHacienda , Diego Guevara, anunció que el Gobierno del presidente @petrogustavo  Petro está evaluando la entrada de tres nuevas entidades al Grupo Bicentenario.
https://t.co/IvXrYZmMwj</t>
  </si>
  <si>
    <t>RT @ValoraAnalitik: #Macroeconomía | Exministro Mauricio Cárdenas: Petro no va a cumplir la Regla Fiscal
@MauricioCard @petrogustavo @CARF…</t>
  </si>
  <si>
    <t>Agenda nacional, internacional e  corporativa
#mercadofinanceiro #investimentos 
https://t.co/ezqI4l63CJ https://t.co/pGEULOJl7E</t>
  </si>
  <si>
    <t>#MERCADOFINANCEIRO #INFLAÇÃO #SELIC #TAXADEJUROS
https://t.co/zMGlqAwX3m https://t.co/1V909dKLTx</t>
  </si>
  <si>
    <t>Após o (Fed) confirmar expectativas elevando os juros nos EUA em 0,25 ponto percentual, os investidores estão atentos à alta de juros do outro lado do Atlântico.
No Brasil as por volta das 10:00h, o dólar apresentava ligeira queda
#economia #dinheiro #mercadofinanceiro #dólar https://t.co/PszpZIMRyq</t>
  </si>
  <si>
    <t>#mercadofinanceiro #opções #derivativos #investimentos #trade
https://t.co/f2tBcXeVgd https://t.co/RqhCrqF7vp</t>
  </si>
  <si>
    <t>Após dias de euforia sem nenhuma razão factível, o mercado começou a digerir a realidade do país e continuou o segundo dia de queda. Digerindo detalhes do texto da reforma tributária que até então
#mercadofinanceiro #ibovespa #inflação #economia
https://t.co/p4wkS3c2PU https://t.co/P6Ado6yltl</t>
  </si>
  <si>
    <t>#MERCADOFINANCEIRO #INVESTIMENTOS #CRISEFINANCEIRA #ECONOMIA
https://t.co/7pnm5GoYvF https://t.co/oMkNuELCol</t>
  </si>
  <si>
    <t>#MERCADOFINANCEIRO #INVESTIMENTO #AÇÕES #IBOV
https://t.co/mt54YTfehD https://t.co/bVuhiT8L7R</t>
  </si>
  <si>
    <t>O relatório Focus é feito pelo Banco Central com base em opinião de economistas e operadores do mercado financeiro entrevistados.
#taxadejuros #selic #bancocentral #mercadofinanceiro #economia
https://t.co/L2M8Kjx9gh https://t.co/nb1J8LleUk</t>
  </si>
  <si>
    <t>#mercadofinanceiro #ibovespa #bova11 #investimentos #economia
https://t.co/y27ebGEbrW https://t.co/2iVMSS0DIb</t>
  </si>
  <si>
    <t>#mercadofinanceiro #investimento #ibovespa
https://t.co/jRcMsqLQ6w https://t.co/uiCx3DSJ8e</t>
  </si>
  <si>
    <t>Saiba os indicadores que irão mover o mercado na semana, além da agenda de resultados das empresas
#MERCADOFINANCEIRO #INVESTIMENTOS #RESULTADOS #BALANÇOS
https://t.co/kdLC249HXJ https://t.co/b3xHvH6chE</t>
  </si>
  <si>
    <t>A medida se insere no objetivo do governo de tentar elevar a arrecadação para zerar o déficit das contas públicas
#INVESTIMENTOS #jcp #JUROSSOBRECAPITALPROPRIO #mercadofinanceiro #economia
https://t.co/GbwZIgC5oB https://t.co/piTAzDb4Q2</t>
  </si>
  <si>
    <t>#ibovespa #mercadofinanceiro
https://t.co/oCMF00MxAY https://t.co/WKgiKIUgcz</t>
  </si>
  <si>
    <t>Após anos de ganhos, o tempo virou para boa parte dos fundos multimercados agora no primeiro semestre. 
#fundosdeinvestimentos #multimercados #mercadofinanceiro #CDB #investimentos
https://t.co/sw1i4Xv7aX https://t.co/dqZtVR9qnv</t>
  </si>
  <si>
    <t>Veja os resultados corporativos programados para a semana e os indicadores que devem também agitar os mercados
#investimentos #mercadofinanceiro #economia
https://t.co/lVGz2GnA1w https://t.co/1182wkcE2i</t>
  </si>
  <si>
    <t>Entenda o movimento do ibovespa na semana e as ações em destaque
#IBOVESPA #investimentos #mercadofinanceiro
https://t.co/quouTo2ipt https://t.co/VKh4pM3Xyy</t>
  </si>
  <si>
    <t>A bolsa de valores  sofreu impacto da prévia da inflação (IPCA-15) 
#IBOVESPA  #INVESTIMENTOS #MERCADOFINANCEIRO
https://t.co/BQdenNfopi https://t.co/dkyy5vZrUE</t>
  </si>
  <si>
    <t>Com um forte movimento de saída dos estrangeiros, o mercado brasileiro tem sentido na pele o mau humor do mês com a Bolsa registrando uma marca nunca antes vista na história de 13 quedas 
#mercadofinanceiro #investimentos #ibovespa #bova11 #economia
https://t.co/k52HBtucsI https://t.co/8PnEBLi7Io</t>
  </si>
  <si>
    <t>A Capital World Investors (CWI), informou a Vale (Vale3), sobre a redução de uma participação acionária relevante nas ações ordinárias da mineradora
#VALE #VALE3 #METAIS #MERCADOFINANCEIRO
https://t.co/5IYse6m3Tt https://t.co/Guxg2PEa49</t>
  </si>
  <si>
    <t>Ibovespa fechou em queda nesta quarta-feira, renovando mínimas em meio à divulgação de detalhes do Orçamento de 2024,prevê aumento de 129 bilhões de reais na despesa primária. Veja detalhes e desempenho dos papéis
#ibovespa #mercadofinanceiro #economia
https://t.co/YM0UDfxzvr https://t.co/PNRVqjhW1n</t>
  </si>
  <si>
    <t>O Ibovespa fechou em queda nesta quinta-feira, com a recente deterioração nas contas públicas corroborando dúvidas sobre os planos de déficit fiscal  Veja o comportamento dos papéis
#mercadofinanceiro  #economia #ibovespa #petr3 #petr4 #vale3
https://t.co/DCQuwovhYC https://t.co/HLwnHHqFAt</t>
  </si>
  <si>
    <t>A China reduziu pela metade um imposto sobre as negociações de ações a partir desta segunda-feira (28), na mais recente tentativa de impulsionar o mercado de ações e a confiança nas empresas do país
#economia #china #mercadofinanceiro
https://t.co/Z3453lPtNF https://t.co/RK341ueJyl</t>
  </si>
  <si>
    <t>A China reduziu pela metade um imposto sobre as negociações de ações a partir desta segunda-feira (28), na mais recente tentativa de impulsionar o mercado de ações e a confiança nas empresas do país
#economia #china #mercadofinanceiro
https://t.co/Z3453lPtNF https://t.co/41m7qMH8uE</t>
  </si>
  <si>
    <t>#B3 #INVESTIMENTOS #MERCADOFINANCEIRO
https://t.co/e6Bb2EXIo0 https://t.co/t9UpolNQsh</t>
  </si>
  <si>
    <t>#CHINA #FUNDOSDEINVESTIMENTOS #MERCADOFINANCEIRO
https://t.co/47PrsXP4wH https://t.co/u2zvPV7dup</t>
  </si>
  <si>
    <t>No Brasil e também em Nova York, investidores evitaram tomar risco. Veja como as principais ações se comportaram na semana e seus contextos
#economia #mercadofinanceiro #ibovespa
https://t.co/C8kpPMx75I https://t.co/uAWGMl44e1</t>
  </si>
  <si>
    <t>Apenas no último dia do mês a  B3 foi marcada por retirada  de  R$ 676 milhões 
#mercadofinanceiro #ibovespa #ações #rendavariavel
https://t.co/HkyEKpFnqp https://t.co/JwUNIEDpWK</t>
  </si>
  <si>
    <t>#MERCADOFINANCEIRO
https://t.co/jSKj7BwC5W https://t.co/T2QurcMart</t>
  </si>
  <si>
    <t>Nazar, que é sobrinho do ministro da Fazenda, Fernando Haddad, foi convocado para dar explicações sobre a suposta relação da Binance com pirâmides financeiras investigadas pela CPI
#CRIPTOATIVOS #BITCOIN #MERCADOFINANCEIRO #PIRAMIDEFINANCEIRA
https://t.co/Wu7to1t9Oo https://t.co/iDFfGJSfeV</t>
  </si>
  <si>
    <t>Nazar, que é sobrinho do ministro da Fazenda, Fernando Haddad, foi convocado para dar explicações sobre a suposta relação da Binance com pirâmides financeiras investigadas pela CPI
#CRIPTOATIVOS #BITCOIN #MERCADOFINANCEIRO #PIRAMIDEFINANCEIRA
https://t.co/Wu7to1t9Oo https://t.co/2lmxppS3Z6</t>
  </si>
  <si>
    <t>As ações do Ibovespa apresentaram maior contração do lucro por ação desde o segundo trimestre de 2020, aponta o Bank of America, o que segundo o Banco pode levar 
#IBOVESPA #BOVA11 #MERCADOFINANCEIRO #INVESTIMENTOS #AÇÕES #LUCROCOMAÇÕES
https://t.co/rupCixC1yL https://t.co/fxII4oG7s6</t>
  </si>
  <si>
    <t>O governo conta receber em 2024 cerca de 10% dos valores que serão julgados pelo Conselho de Administração de Recursos Fiscais (Carf) ao longo do ano, disse o ministro da Fazenda, Fernando Haddad,
#economia #mercadofinanceiro #dinheiro #carf 
https://t.co/IDcIYLYYtW https://t.co/zwRGXgcCAW</t>
  </si>
  <si>
    <t>A primeira semana de setembro é mais curta – pelo menos no Brasil e nos Estados Unidos. 
#mercadofinanceiro #investimentos #ibovespa
https://t.co/yXn2sxb6k4 https://t.co/MUnGwap59p</t>
  </si>
  <si>
    <t>Esta semana traz os dividendos que os investidores tanto esperam receber das empresas em que investem. Para quem negocia opções de ações veja as datas "ex" que mudam o strike de sua posição
#mercadofinanceiro #opções #ações #BBAS3 #EGIE3 #itub4
https://t.co/hUEGa4EfN2 https://t.co/Y5T4n5p9sM</t>
  </si>
  <si>
    <t>#mercadofinanceiro #ibovespa #investimentos
https://t.co/ETE60ruEhG https://t.co/wGNvT526Vk</t>
  </si>
  <si>
    <t>Foram embolsados 914.012 papéis da petroleira, segundo cálculos.
#rrrp3 #3RPetroleum #petroleo #mercadofinanceiro
https://t.co/XuexOHi6BP https://t.co/NuBrQ6kbd6</t>
  </si>
  <si>
    <t>Enquanto no Brasil o presidente Lula não poupa críticas ao Banco Central, que é elogiado mundialmente. Os bancos centrais das maiores economias do mundo avisaram que manterão as taxas de juros tão altas
#mercadofinanceiro #inflação #selic #taxadejuros
https://t.co/4hJJnRiDO2 https://t.co/DpKksgRQPJ</t>
  </si>
  <si>
    <t>O saldo do mês de setembro é negativo em R$ 1,1 bilhão, mas ainda não supera o pior mês do ano – agosto com saídas de R$ 13,5 bilhões. Entenda os motivos
#mercadofinanceiro #economia #
https://t.co/nAtz25ibeA https://t.co/HIT8aJRBtW</t>
  </si>
  <si>
    <t>#MERCADOFINANCEIRO
https://t.co/ezPiFbq8vx https://t.co/M2ZykDV5gO</t>
  </si>
  <si>
    <t>Entre as mudanças está a proporção de distribuição dos dividendos da Petrobras que passa de 60% para 45% 
#dividendos #petrobras #novapolíticadividendos #petr3 #petr4 #mercadofinanceiro
https://t.co/LatlW0uWDx https://t.co/NZZDG8c5N9</t>
  </si>
  <si>
    <t>“Trata-se de um nome de peso com histórico comprovado no mercado financeiro e uma pessoa que admiramos e confiamos”, diz o CEO da Legend Investimentos, Pedro Salles.
#ECONOMIA #MERCADOFINANCEIRO
https://t.co/3xuxdyitMt https://t.co/LzRA2pacnS</t>
  </si>
  <si>
    <t>Hoje tenho mais força e determinação do que ontem, e amanhã terei mais do que hoje. Fazer o que amamos é fundamental e acima de tudo me motiva e me realiza como pessoa e profissional. #finanças #executivo #bancos #mercadofinanceiro #gratidão #motivação #resiliência  #bancodigital https://t.co/ihAv9kewQF</t>
  </si>
  <si>
    <t>Homenagem a alguns operadores do mercado financeiro 🤭
#sardinhadomercado
#mercadofinanceiro https://t.co/XqxIVdPC0g</t>
  </si>
  <si>
    <t>Bom dia pessoal! Tudo bem? Hoje ao meio dia teremos nosso encontro! Então ja acesse o link, ative a notificação para ser avisado sobre o inicio da live.
#bitcoin #btc #altcoins #criptomoedas #mercadofinanceiro
https://t.co/tPkbE0BaS2</t>
  </si>
  <si>
    <t>"Estratégias comprovadas para ganhar de 1500 a 2000 reais por mês".
Não perca mais tempo e clique no link da nossa bio para fazer o download agora mesmo, do nosso E-book Gratis! 💪💰
#forexcomhermiltondias #forex #mercadofinanceiro #finanças #investimento #investidor #trader https://t.co/KYBUGeRIh7</t>
  </si>
  <si>
    <t>gli investitori sono sempre più ottimisti su uno scenario di "atterraggio morbido" per l'economia dopo la pubblicazione di questa mattina di un rapporto molto positivo sulla produzione di luglio della #Fed di New York.
#Macroeconomía
#inflacion
#Crypto</t>
  </si>
  <si>
    <t>Explorar o mundo das ações vai além do dinheiro. É uma jornada de aprendizado contínuo. Investir pode potencializar seu capital, mas também requer pesquisa, paciência e gestão de riscos. Educação financeira é a chave. #bolsadevalores #mercadofinanceiro</t>
  </si>
  <si>
    <t>As pioneers in the field of psychotropic drug development, #LucyScientific Discovery is dedicated to pushing boundaries and delivering exceptional products. Join us on our mission to redefine medical possibilities. $LSDI #mercadofinanceiro #forextrading
#daytrading #stocks</t>
  </si>
  <si>
    <t>🔵 La economía española crece un 0,4% en el segundo trimestre a pesar de la menor contribución del sector exterior
#Resiliente #Macroeconomía
https://t.co/mCu7xTpVm4</t>
  </si>
  <si>
    <t>🔵 IPC de julio registra un incremento del 0,1% y una tasa interanual del 2,3% por subida de precios
#Inflación #Macroeconomía
https://t.co/0xz00ZPl1a</t>
  </si>
  <si>
    <t>🔵 El Consejo General de Economistas aumenta previsión de crecimiento para España, impulsado por el turismo y la ocupación
#Optimismo #Macroeconomía
https://t.co/yqDU70GTLT</t>
  </si>
  <si>
    <t>🔵 El sindicato USO insta a subir salarios y reducir jornada laboral ante aumento de inflación en España
#Reivindicación #Macroeconomía
https://t.co/nJPEtRNW8s</t>
  </si>
  <si>
    <t>🔵 IPC aumenta 0,2% en julio, tasa interanual alcanza 2,3% impulsada por carburantes y alimentos
#Inflación #Macroeconomía
https://t.co/lWJn6BZGBI</t>
  </si>
  <si>
    <t>🔵 Fitch Ratings rebaja la calificación de solvencia de Estados Unidos por su deterioro fiscal y carga de deuda
#Deterioro #Macroeconomía
https://t.co/lzPx60rJdH</t>
  </si>
  <si>
    <t>🔵 Economía alemana se estanca en segundo trimestre, pronóstico de estancamiento continúa en tercer trimestre
#Estancamiento #Macroeconomía
https://t.co/SoNNGVbi0F</t>
  </si>
  <si>
    <t>🔵 La deuda pública en España alcanza récord histórico en junio, dificultando el crecimiento económico del país
#Deuda #Macroeconomía
https://t.co/9qkzj4PlL2</t>
  </si>
  <si>
    <t>🔵 Éxito en subasta de bonos y obligaciones del Estado: inversores muestran interés por deuda española
#Triunfo #Macroeconomía
https://t.co/x0dY53yG6e</t>
  </si>
  <si>
    <t>🔵 España logra estabilizar la inflación y reduce precios en alimentos básicos para apoyar a las familias
#Estabilidad #Macroeconomía
https://t.co/GD7ODmoYZg</t>
  </si>
  <si>
    <t>🔵 España sorprende a los expertos con su sólido desempeño y pronóstico de crecimiento para 2023
#Impresionante #Macroeconomía
https://t.co/pjunXyCyiT</t>
  </si>
  <si>
    <t>🔵 Preocupación por baja productividad laboral en la UE y su impacto en el déficit y la riqueza
#Ineficiencia #Macroeconomía
https://t.co/IeFvaeBO4J</t>
  </si>
  <si>
    <t>🔵 Crecimiento económico de China en el segundo trimestre de 2023 decepciona y pronóstico anual se reduce
#Decepcionante #Macroeconomía
https://t.co/3JdVWiLHhz</t>
  </si>
  <si>
    <t>🔵 Crecimiento económico en la zona euro confirma estabilidad, mientras Estados Unidos lidera la recuperación global
#Recuperación #Macroeconomía
https://t.co/fXoSEmEB9s</t>
  </si>
  <si>
    <t>🔵 Christine Lagarde destaca la importancia de una política monetaria restrictiva para lograr estabilidad de precios
#Monetaria #Macroeconomía
https://t.co/xS0zlyz1og</t>
  </si>
  <si>
    <t>🔵 Inflación en Japón disminuye ligeramente, pero la tasa subyacente aumenta y podría afectar la política monetaria
#Economía #Macroeconomía
https://t.co/5IXxhAZmhm</t>
  </si>
  <si>
    <t>🔵 Debilidad económica en Alemania: estancamiento en actividad y producción industrial ante baja demanda extranjera
#Estancamiento #Macroeconomía
https://t.co/ObwVz7dYrx</t>
  </si>
  <si>
    <t>🔵 Ventas minoristas en España registran 8 meses de crecimiento; aumentan 7,7% en julio
#Crecimiento #Macroeconomía
https://t.co/Ve4jhNwE6N</t>
  </si>
  <si>
    <t>🔵 Reino Unido aplaza controles fronterizos del 'Brexit' hasta 2024 afectando importaciones de la UE
#Aplazamiento #Macroeconomía
https://t.co/QaaJTc6I7Y</t>
  </si>
  <si>
    <t>🔵 Secretaria de Comercio de EE.UU., Gina Raimondo, busca fortalecer relación comercial con China en visita diplomática
#Fortalecimiento #Macroeconomía
https://t.co/iAen6nQ0He</t>
  </si>
  <si>
    <t>🔵 Inflación en la zona euro retrocede en julio, alcanzando su menor nivel desde enero 2022
#Retroceso #Macroeconomía
https://t.co/duEL7fKb35</t>
  </si>
  <si>
    <t>🔵 Economía japonesa supera expectativas con crecimiento del 1,5% en el segundo trimestre, pero consumo privado disminuye
#Contradicción #Macroeconomía
https://t.co/fCO7qZRj7k</t>
  </si>
  <si>
    <t>🔵 Aumentan ventas y empleo en empresas españolas en mayo, pero caen exportaciones y suben salarios
#Contrastes #Macroeconomía
https://t.co/tjHUTqYM6J</t>
  </si>
  <si>
    <t>🔵 Contracción del sector servicios en España rompe nueve meses de expansión, según PMI
#Contracción #Macroeconomía
https://t.co/RQ62vxqHDU</t>
  </si>
  <si>
    <t>🔵 Estudio revela que se necesitan 78 billones de dólares para lograr empoderamiento económico y cero emisiones en 2030
#Financiamiento #Macroeconomía
https://t.co/dTa7v9zB1f</t>
  </si>
  <si>
    <t>🔵 Aumento histórico del precio del aceite de oliva por sequía dispara consumo y gasto
#Alza #Macroeconomía
https://t.co/LFvXIspIwN</t>
  </si>
  <si>
    <t>🔵 Solicitudes de ayuda por desempleo aumentan en EE. UU. mientras disminuye el número de personas con subsidio
#Desempleo #Macroeconomía
https://t.co/ZEUzYSPkYb</t>
  </si>
  <si>
    <t>🔵 S&amp;amp;P Global mantiene calificación A/A1 de España pese a incertidumbre política y deuda creciente
#Estable #Macroeconomía
https://t.co/ocpYUAZA8z</t>
  </si>
  <si>
    <t>🔵 Comisión Europea prevé crecimiento del 2,2% para economía española en 2023
#Optimismo #Macroeconomía
https://t.co/Kx5SKv46jj</t>
  </si>
  <si>
    <t>🔵 Sector servicios en España cae un 0,7% en junio, poniendo fin a 27 meses de crecimiento
#Contracción #Macroeconomía
https://t.co/UmtbjuYCm2</t>
  </si>
  <si>
    <t>🔵 Calviño destaca compromiso europeo para reformar normas fiscales en próxima reunión de la UE
#Compromiso #Macroeconomía
https://t.co/R9Zu4wnLsG</t>
  </si>
  <si>
    <t>🔵 Banco de España prevé desaceleración económica por coste energético y tensiones financieras
#Preocupación #Macroeconomía
https://t.co/8hV5EAxBnz</t>
  </si>
  <si>
    <t>🔵 Fallece Ángel Torres, vicepresidente de la CNMC, dejando un legado de profesionalidad y capacidad regulatoria
#Luto #Macroeconomía
https://t.co/HVboFnoOjU</t>
  </si>
  <si>
    <t>E aí Tubarão, qual será a Taxa Selic ao final deste ano? 
Me conta aí! 👇🏻
#taxaselic #selic #mercadofinanceiro</t>
  </si>
  <si>
    <t>TAXA SELIC A 13,25% 😱
Por que essa redução? 
Segue o 🧶
#taxaselic #selic #mercadofinanceiro https://t.co/QSUX4XCCyF</t>
  </si>
  <si>
    <t>Presidente Lula defende o fim do Dólar nas negociações. Isso pode causar uma escassez da moeda americana nos próximos meses. #Dolar #Lula #MercadoFinanceiro #Brasil #China #NBNParaíba https://t.co/mgFhKkWuXZ</t>
  </si>
  <si>
    <t>Como a #nuvem habilita o #PróximoNível do #mercadofinanceiro? Nossas diretoras de #cloud explicam como o armazenamento de dados associado à inteligência artificial transforma o setor e possibilita ampliar os serviços. Conheça nossas soluções: https://t.co/EetgY8HdkK https://t.co/xGI0EEA7hw</t>
  </si>
  <si>
    <t>Como a Embratel habilita o #PróximoNível do #mercadofinanceiro? Antonio Joao Filho, nosso Diretor para o Mercado Financeiro, fala sobre a importância da #tecnologia para a transformação e a evolução do setor. Conheça nossas soluções para o setor: https://t.co/86G3JW50JN https://t.co/7FyYWMH96U</t>
  </si>
  <si>
    <t>Inovação, proteção e confiança são hoje os principais desafios das instituições #financeiras. Paulo Martins, nosso Diretor de #Segurança da Informação, explica como a cibersegurança habilita o #PróximoNível do #mercadofinanceiro. Conheça nossas soluções: https://t.co/uRvOyX1Oof https://t.co/uUvczkGAK6</t>
  </si>
  <si>
    <t>A GenIA molda o setor financeiro por meio da interconexão dos módulos do sistema, garantindo uma experiência otimizada para usuários. Pedro Doria, do Canal Meio, e Samir Migliani, do Banco PAN falam sobre o uso da #IA no #mercadofinanceiro. Assista: https://t.co/CYcaRNFq2t https://t.co/UpTRbjII0j</t>
  </si>
  <si>
    <t>Como o #Omnichannel habilita o #PróximoNível do #mercadofinanceiro? Sandro Calado, nosso Gerente de Pré-Vendas e Produtos de Soluções Digitais, fala sobre o papel dessa tecnologia para entregar o que o cliente precisa. Conheça nossas soluções: https://t.co/iQkSetSlpb https://t.co/1WxSli9Z3G</t>
  </si>
  <si>
    <t>João Del Nero, nosso Diretor de Data Analytics, fala sobre como os dados são relevantes e valiosos para os bancos. Entenda como os dados habilitam o #PróximoNível do mercado financeiro: https://t.co/xYlADdRv2O
#analytics #finanças #mercadofinanceiro https://t.co/3DwDCmL6AT</t>
  </si>
  <si>
    <t>Les dejamos una guía de los pasos para empezar a invertir.
Además les damos #Tips de Cedears con los q pueden dolarizar su dinero💸 ya q aumentan de acuerdo a la moneda y reciben rendimientos de las acciones💰
Esperamos sean de utilidad!🙌🏻
#inversion #ahorro #mercadofinanceiro https://t.co/yqP3sw5DcZ</t>
  </si>
  <si>
    <t>PASEO TOTAL DE MILEI A ALFANO Y BONELLI POR EL CIERRE DEL CONICET EN TN:
"La NASA tiene 17.000 personas, el Conicet 35.000"
@JMilei #LaLibertadAvanza https://t.co/aigyQC5Ova</t>
  </si>
  <si>
    <t>Milei haciendo de Milei...
Argumenta constantemente con datos, destroza el relato "periodístico"
Gracias a @JMilei estoy aprendiendo #macroeconomía con sus libros. 
#MileiVillarruel2023</t>
  </si>
  <si>
    <t>#crashs #crisesfinanceiras #economia #banco #falenciabancaria #financas #sistemafinanceiro #macroeconomia #valdemar</t>
  </si>
  <si>
    <t>#juros #investimentos #china #financas #MercadoFinanceiro #dolar #real</t>
  </si>
  <si>
    <t>#juros #economia #hipoteca #eua #macroeconomia #valdemar #imobiliarias #imoveis</t>
  </si>
  <si>
    <t>👇ÚLTIMOS MOVIMIENTOS DE #BTC ! 👇
https://t.co/DRQjguLmvh
#Bitcoin #ETH #Criptomonedas #Cripto #Altcoins #Dinero #Graficas #Noticias #Oro #Plata #Youtube #Twitter #Instagram #Facebook #TikTok #Inflacion #Recesion #Macroeconomia #NFT #Shorts #Youtubeshorts</t>
  </si>
  <si>
    <t>👇ÚLTIMOS MOVIMIENTOS DE #ETH ! 👇
https://t.co/wLGSyqcKCJ
#Bitcoin #Ethereum #Criptomonedas #Cripto #Altcoins #Dinero #Graficas #Noticias #Oro #Plata #Youtube #Twitter #Instagram #Facebook #TikTok #Inflacion #Recesion #Macroeconomia #NFT #Shorts #Youtubeshorts</t>
  </si>
  <si>
    <t>👇ÚLTIMOS MOVIMIENTOS DE #XRP ! 👇
https://t.co/4NsKqc6Vx6
#Bitcoin #Ethereum #Criptomonedas #Cripto #Altcoins #Dinero #Graficas #Noticias #Oro #Plata #Youtube #Twitter #TikTok #Inflacion #Recesion #Macroeconomia #NFT #Shorts #Youtubeshorts #XRPCommunity #XRPARMY</t>
  </si>
  <si>
    <t>👇ÚLTIMOS MOVIMIENTOS DE #ETH ! 👇
https://t.co/eozq9BhPsX
#Bitcoin #Ethereum #Criptomonedas #Cripto #Altcoins #Dinero #Graficas #Noticias #Oro #Plata #Youtube #Twitter #Instagram #Facebook #TikTok #Inflacion #Recesion #Macroeconomia #NFT #Shorts #Youtubeshorts</t>
  </si>
  <si>
    <t>👇ÚLTIMOS MOVIMIENTOS DE #ETH ! 👇
https://t.co/THQtRvPsDg
#Bitcoin #Ethereum #Criptomonedas #Cripto #Altcoins #Dinero #Graficas #Noticias #Oro #Plata #Youtube #Twitter #Instagram #Facebook #TikTok #Inflacion #Recesion #Macroeconomia #NFT #Shorts #Youtubeshorts</t>
  </si>
  <si>
    <t>👇ÚLTIMOS MOVIMIENTOS DE #BTC ! 👇
https://t.co/ck8UEoXTi3
#Bitcoin #ETH #Criptomonedas #Cripto #Altcoins #Dinero #Graficas #Noticias #Oro #Plata #Youtube #Twitter #Instagram #Facebook #TikTok #Inflacion #Recesion #Macroeconomia #NFT #Shorts #Youtubeshorts</t>
  </si>
  <si>
    <t>A análise técnica ajuda e muito, é o conhecimento mais fácil de aprender, o mais difícil é entender que o gráfico retrata sentimento e não apenas números. 
Entenda a dor que cada vela representa, seus resultados vão melhorar muito. 📈
#MercadoFinanceiro</t>
  </si>
  <si>
    <t>Mais uma vez pergunto, onde estão os puxa sacos do L que em dias que a bolsa sobe afirmam que é por conta das decisões que o L toma, que a economia ta no rumo certo e blá blá blá. e em dias que a bolsa cai somem? 
Mercado ta lateral a meses! 
#mercadoFinanceiro</t>
  </si>
  <si>
    <t>Análise fundamentalista é uma estratégia de investimento que avalia a saúde financeira e o potencial de crescimento de uma empresa para tomar decisões de investimento.
#escritoriofmc
#francel
#fmc
#investimentos
#mercadofinanceiro https://t.co/6FpzxAsutX</t>
  </si>
  <si>
    <t>Análise gráfica é uma abordagem de investimento que utiliza gráficos passados para prever o comportamento futuro dos preços de ativos financeiros.
#fmc
#escritoriofmc
#francel
#análisegráfica
#mercadofinanceiro
#investimentos https://t.co/hvbCh5yAeX</t>
  </si>
  <si>
    <t>Análise macroeconômica é o estudo dos indicadores econômicos para compreender a situação econômica de um país e tomar decisões de investimento.
#fmc
#escritoriofmc
#francel
#mercadofinanceiro
#investimentos https://t.co/pkDlrCXEEV</t>
  </si>
  <si>
    <t>Custo médio de ações é um método de cálculo utilizado para determinar o preço médio pago por um investidor ao adquirir ações ao longo do tempo. 
#fmc
#escritoriofmc
#francel 
#investimentos
#mercadofinanceiro https://t.co/USzs3CZvkz</t>
  </si>
  <si>
    <t>Swing trade é uma estratégia em que os traders compram e vendem ativos financeiros visando lucrar com movimentos de preço que ocorrem ao longo de dias a semanas, mantendo as posições por um período mais prolongado.
#fmc
#escritoriofmc 
#francel
#mercadofinanceiro https://t.co/nyglhFZ4DM</t>
  </si>
  <si>
    <t>Investir seu dinheiro é importante para fazer com que ele trabalhe a seu favor, gerando rendimentos e aumentando seu patrimônio ao longo do tempo.
#fmc
#escritoriofmc
#francel
#investimento
#mercadofinanceiro https://t.co/LlpJc6rGmQ</t>
  </si>
  <si>
    <t>RT @MCovesa: O Mercado Financeiro é uma grande Pirâmide  só que é Legalizado.
Problemas com o seu Patrimônio?
Dr. Covesa resolve 👊
#Contabi…</t>
  </si>
  <si>
    <t>#Macroeconomía | Deuda externa (pública y privada) de Colombia se estabilizó en abril, pero sigue cerca de máximos
@BancoRepublica 
https://t.co/kaRUvyagsh https://t.co/PuvqWCLAgu</t>
  </si>
  <si>
    <t>#Macroeconomía | Al cierre de esta semana, el @BancoRepublica de Colombia entregó su más reciente informe de remesas a Colombia de los trabajadores correspondientes al mes de julio del 2023
https://t.co/GXpjDcexXj</t>
  </si>
  <si>
    <t>#Macroeconomía | Desde el @BancoRepublica han emitido varias preocupaciones sobre los indicadores macroeconómicos
https://t.co/zBTspbiUjh</t>
  </si>
  <si>
    <t>#Macroeconomía | El banco central ganó $4,6 billones, lo que significó un crecimiento de $600.000 millones en comparación con los $4 billones registrados a junio de este año
https://t.co/yUjfFXC7hi
@BancoRepublica</t>
  </si>
  <si>
    <t>#Macroeconomía | ¿Presupuesto de Petro para 2024 cumplirá la Regla Fiscal?: Esto dijo gerente del @BancoRepublica 
https://t.co/dkupS6sN1B</t>
  </si>
  <si>
    <t>#Macroeconomía | De acuerdo con datos entregados por el @BancoRepublica, la Inversión Extranjera Directa (IED) que llegó a Colombia en junio de 2023 fue de US$1.728 millones
https://t.co/v6E4wY73Xs</t>
  </si>
  <si>
    <t>#Macroeconomía | El @BancoRepublica entregó el informe del comportamiento de la deuda externa de Colombia, tanto pública como privada, con corte junio de 2023
https://t.co/89RauGAf79</t>
  </si>
  <si>
    <t>#Macroeconomía | Banco de la República rebaja levemente proyección de PIB de Colombia de 2023
https://t.co/HZHqZV4kg6
@BancoRepublica</t>
  </si>
  <si>
    <t>#Macroeconomía | Tasas de interés Colombia: ¿Las bajará el Banco de la República en su próxima junta?
https://t.co/k32SDtZjMh
@BancoRepublica</t>
  </si>
  <si>
    <t>#Macroeconomía 
Importante caída del déficit de cuenta corriente de Colombia en primer semestre
@BancoRepublica @MinHacienda 
https://t.co/JPkCvm9vu5</t>
  </si>
  <si>
    <t>#FelizMartes 
Y como va la economía en el #GobiernoDelCambio...
#Macroeconomía | De acuerdo con datos entregados por el @BancoRepublica, la Inversión Extranjera Directa (IED) que llegó a Colombia en junio de 2023 fue de US$1.728 millones</t>
  </si>
  <si>
    <t>O Goldman Sachs divulgou suas projeções para os preços do petróleo nos próximos 12 meses, prevendo um aumento. #Petróleo #MercadoFinanceiro
84% dos negociadores de retalho perdem dinheiro. https://t.co/B3QAyUSrBG</t>
  </si>
  <si>
    <t>💹 Projeções do Credit Suisse indicam que a inflação núcleo, excluindo alimentos e energia, pode encerrar o ano em 4,8% no acumulado. #Inflação #MercadoFinanceiro
84% dos negociadores de retalho perdem dinheiro. https://t.co/FEyS1Dv9Ds</t>
  </si>
  <si>
    <t>Mercados europeus avançam impulsionados por bancos em Londres e desaceleração da inflação na Espanha. Investidores aguardam dados de inflação nos EUA e relatório do Livro Bege. #Europa #MercadoFinanceiro
84% dos negociadores de retalho perdem dinheiro.</t>
  </si>
  <si>
    <t>Bolsas asiáticas encerram mistas antes dos dados de inflação nos EUA. China realiza lucros, Tóquio fecha abaixo dos 32 mil pontos e Hong Kong amplia ganhos com expansão do crédito bancário. #MercadoFinanceiro #BolsasAsiáticas
84% dos negociadores de retalho perdem dinheiro.</t>
  </si>
  <si>
    <t>⛽️ Preços do petróleo estáveis, com otimismo sobre demanda saudável e cortes na oferta. Bolsas em NY sobem por expectativa de fim de aperto monetário. #Petróleo #MercadoFinanceiro 
84% dos negociadores de retalho perdem dinheiro.</t>
  </si>
  <si>
    <t>📉 Juros futuros mistos, mas todos próximos dos ajustes de ontem. Taxa de desemprego em junho mostra mercado de trabalho resiliente e reforça expectativa de corte mais suave na Selic. Tendência de alta nos juros curtos e ligeira queda nos longos. #Selic #MercadoFinanceiro</t>
  </si>
  <si>
    <t>o Goldman Sachs compartilhou sua previsão para o rendimento do título de 10 anos do Tesouro dos EUA. A instituição aponta que o mercado está avaliando o título acima de seu valor justo, principalmente para os prazos mais longos no mercado futuro. #MercadoFinanceiro https://t.co/4kXbHzlfKj</t>
  </si>
  <si>
    <t>Ibovespa atinge 121.442,02 pontos apesar de desempenho negativo da Petrobras e Bradesco. Índice segue em alta de 0,55%, acumulando ganho de 0,88% na semana. #Ibovespa #MercadoFinanceiro #Ações 
84% dos negociadores de retalho perdem dinheiro.</t>
  </si>
  <si>
    <t>Ações nos EUA caem devido a desafios no setor de chips e automotivo, anulando ganhos semanais no S&amp;amp;P 500 e Nasdaq. Dow permanece incerto em relação ao ganho semanal. Greve liderada pelo UAW também impacta o mercado. #mercadofinanceiro</t>
  </si>
  <si>
    <t>🌐 Coreia do Sul e EUA afirmam que cooperação militar entre Coreia do Norte e Rússia viola sanções da ONU e prometem consequências. #mercadofinanceiro 
84% dos negociadores de retalho perdem dinheiro.</t>
  </si>
  <si>
    <t>📉 Ações nos EUA caem devido a preocupações com a demanda do consumidor e impacto nos rendimentos. Fabricantes de chips também sofrem devido a adiamento de entregas da TSMC. #mercadofinanceiro 
84% dos negociadores de retalho perdem dinheiro.</t>
  </si>
  <si>
    <t>🛢️ Preços do petróleo fecham com leve alta: Brent para novembro sobe 0,24% para US$93,93 por barril na ICE, enquanto o WTI para outubro avança 0,67% para US$90,77 por barril na Nymex. #mercadofinanceiro 
84% dos negociadores de retalho perdem dinheiro.</t>
  </si>
  <si>
    <t>O preço do ouro subiu devido à queda do dólar, apesar de uma semana volátil impulsionada por dados econômicos dos EUA.  #mercadofinanceiro 
84% dos negociadores de retalho perdem dinheiro.</t>
  </si>
  <si>
    <t>🇺🇸 Presidente dos EUA, Biden, comenta sobre a greve do UAW, afirmando ter estado em contato com ambas as partes. Ele destaca que os lucros recordes das montadoras não foram distribuídos de maneira justa. #mercadofinanceiro 
84% dos negociadores de retalho perdem dinheiro.</t>
  </si>
  <si>
    <t>🛒 Vendas no varejo no Brasil apresentam alta de 0,7% em julho em relação ao mês anterior e crescimento de 2,4% na comparação anual, após estabilidade em junho. #mercadofinanceiro 
84% dos negociadores de retalho perdem dinheiro.</t>
  </si>
  <si>
    <t>🇺🇸 Dólar recua frente a euro e libra após cortes de juros chineses e dados favoráveis. #mercadofinanceiro 
84% dos negociadores de retalho perdem dinheiro.</t>
  </si>
  <si>
    <t>🇧🇷 No Brasil, Ibovespa pode ser impulsionado por sinais positivos externos e aumento nos preços do petróleo. Aprovação de projeto de lei relacionado ao ICMS em foco. #mercadofinanceiro 
84% dos negociadores de retalho perdem dinheiro.</t>
  </si>
  <si>
    <t>🌍 Bolsas europeias operaram em alta na madrugada com números sólidos da China e expectativa de fim do ciclo de altas de juros do BCE. #mercadofinanceiro 
84% dos negociadores de retalho perdem dinheiro.</t>
  </si>
  <si>
    <t>📅 Destaques da agenda do dia incluem dados do IBGE sobre Vendas no Varejo, índice Empire State de Atividade Industrial dos EUA, Produção Industrial dos EUA e Índice de Sentimento do Consumidor (preliminar) da Universidade de Michigan. #mercadofinanceiro</t>
  </si>
  <si>
    <t>🇧🇷 No cenário político brasileiro, governo de Lula enfrenta avaliações mistas e preocupações sobre julgamento de réus ligados a manifestações em janeiro. Desafios na segurança pública também em destaque. #mercadofinanceiro 
84% dos negociadores de retalho perdem dinheiro.</t>
  </si>
  <si>
    <t>🛢️ Preços do petróleo atingem máximos em dez meses, impulsionados por cortes de juros na China e dados sólidos. #mercadofinanceiro 
84% dos negociadores de retalho perdem dinheiro.</t>
  </si>
  <si>
    <t>🌏 Bolsas asiáticas começaram em alta com estímulos chineses e confiança em tecnologia, mas desaceleram com dados mistos da China, destacando pressões em setores-chave da economia. #mercadofinanceiro
84% dos negociadores de retalho perdem dinheiro.</t>
  </si>
  <si>
    <t>🏦 Ações dos bancos ampliam recuperação com terceiro dia de ganhos. Investidores avaliam sinais de recuperação em grandes bancos após resultados trimestrais. Goldman Sachs otimista sobre recuperação. #MercadoFinanceiro 
84% dos negociadores de retalho perdem dinheiro.</t>
  </si>
  <si>
    <t>Como que você navega em momentos de caos? Principalmente nesse momento político do Brasil? Esse é um dos fatores que algumas pessoas são bem-sucedidas e outras não!
#nassimtaleb #mercadofinanceiro #iludidospeloacaso https://t.co/ys7Hb0c2Hs</t>
  </si>
  <si>
    <t>$V 242.5 es la zona de resistencia más fuerte en este momento 📉🤑 $SPY $SPX #mercadofinanceiro https://t.co/Xg8X3UHEwL</t>
  </si>
  <si>
    <t>Aperte os cintos e entre na corrida dos investimentos globais!
Venha fazer um pit stop no estande Gama, conheça nossos gestores globais e tire suas dúvidas sobre diversificação internacional.
Te esperamos no P11!
#ExpertXP2023 #mercadofinanceiro #xpinvestimentos #gama https://t.co/wKGsV97g08</t>
  </si>
  <si>
    <t>Amanhã em nosso relatório teremos informações bem interessantes. O sentimento bullish foi muito forte hoje.
https://t.co/auMTWohf0j 
#spx #spy #qqq #nasdaq #futuros #mercadoamericano #mercadofinanceiro #vix #ibov
https://t.co/dkxpCVsvj7</t>
  </si>
  <si>
    <t>Los siete magníficos y la recesión. Miguel Luzárraga
https://t.co/eTeFMFzQxb
#recesion #inflacion #deflacion #macroeconomia #politicamonetaria #bancoscentrales #subidadetipos #tiposdeinteres #economia #entrevistas #noticiasenespañol #negociostv #miguelluzarraga https://t.co/Aj9SB1qHV2</t>
  </si>
  <si>
    <t>"Los tipos de interés no se suben para bajarlos, se suben para mantenerlos. Y eso es lo preocupante"
https://t.co/8xlTOJLRsI
#tiposdeinteres #macroeconomia #estadosunidos #desempleo #economia #inflacion #europa #crisiseconomica #noticiasenespañol #livenews #negociostv https://t.co/QTIrv4h501</t>
  </si>
  <si>
    <t>Repentina caída en Wall Street, ¿Cuáles han sido los motivos?
https://t.co/RIPmElE5Dc
#wallstreet #bolsadevalores #economia #analisis #analisisfinanciero #eeuu #mercadoeeuu #crisis #crisiseconomica #crisisfinanciera #analisisbolsa #mercadofinanceiro #negociostv https://t.co/tjOsRKSGwH</t>
  </si>
  <si>
    <t>"¿Tranquilidad en el mercado? El nivel clave que no debe perder el Ibex". Ignacio Sebastián
https://t.co/mOCHbuCYvI
#analisis #bolsadevalores #ibex35 #alemania #eeuu #macroeconomia #indices #bancos #bmw #mercados #mercadosfinancieros #acciones #inversiones https://t.co/ObLaPiBM2a</t>
  </si>
  <si>
    <t>Los BRICS provocan una subida en el Rand y la Rupia.  Adrián Hostaled
https://t.co/53lvJdlZlq
#brics #china #inversiones #mercados #rupia #jacksonhole #rand #macroeconomia #mercadofinanceiro #xtb #bonos #europa #wallstreet #negociostv https://t.co/0wRxy8dDTt</t>
  </si>
  <si>
    <t>"La inestabilidad empieza a aflorar en muchas partes de la economía". Javier Etcheverry
https://t.co/mJvWex9aTX
#powell #fed #subidadetipos #jacksonhole #reservafederal #eeuu #economia #vizner #bolsadevalores #tiposdeinteres #negociostv #actualidad #mercadofinanceiro https://t.co/IrQ4dFO8IN</t>
  </si>
  <si>
    <t>"El mercado espera una pausa de tipos" Araceli De frutos
https://t.co/kTkl2P0nqZ
#tiposdeinteres #subidadetipos #mercados #acciones #rentavariable #europa #eeuu #mercadofinanceiro #finanzas #economia #comercio #macroeconomía #bolsadevalores #negociostv #noticiasenespañol https://t.co/ub7l4wKhca</t>
  </si>
  <si>
    <t>Duro golpe a la banca de Wall Street: S&amp;amp;P global le baja el rating a múltiples bancos
https://t.co/eh0hPzpFGx
#wallstreet #bancos #eeuu #empresas #sectorbancario #rating #mercadofinanceiro #bolsadevalores #economia #financiacion #rentabilidad #credito https://t.co/wA75vBfqub</t>
  </si>
  <si>
    <t>"La subida llegará tarde o temprano y tendremos un buen fin de año"  Pepe Baynat
https://t.co/cl9E1hCqXb
#alemania #inflacion #economia #pmi #europa #inversiones #bolsadevalores #mercados #mercadofinanceiro #analisisfinanciero #crisis #crisiseconomica https://t.co/1a20yxeZJX</t>
  </si>
  <si>
    <t>El BCE podría pausar las subidas de tipos: la industria en Europa está rota
https://t.co/k9QZ0TWHei
#bce #subidadetipos #industria #europa #macroeconomia #inflacion #bancoscentrales #recortes #ipp #crisiseconomica #crisisfinanciera #noticiasenespañol #livenews #negociostv https://t.co/0xARPqynnB</t>
  </si>
  <si>
    <t>“China sigue siendo una gran oportunidad de inversión” Joaquin Robles
https://t.co/XKM1Ow3zhK
#xtb #china #inversiones #mercados #mercadofinanceiro #consumo #europa #inflacion #ibex35 #dax #recesion #italia #negociostv #noticiasenespañol https://t.co/IRLTRwCbO9</t>
  </si>
  <si>
    <t>"Cuidado que no haya sustos con Nvidia" José Basagoiti
https://t.co/utcTnnpL1p
 #recesion #inflacion #comercio #china #economia #alemania #eeuu #acciones #nvidia #bolsadevalores #mercados #mercadofinanceiro #negociostv #noticiasenespañol https://t.co/CNcsy6IHIu</t>
  </si>
  <si>
    <t>Millones de dólares salen de China ante la mayor fuga de capitales en años y el yuan se debilita
https://t.co/RH7trcMFbv
#china #economíachina #divisas #mercadointernacional #dólares #capital #mercadofinanceiro #economia #negocios #vizner https://t.co/PnE62V94Yt</t>
  </si>
  <si>
    <t>TITULARES DEL DIA | Récord del euríbor, subida de Telefónica y China en equilibrio con sus tipos
https://t.co/rL77CDNrMW
#euribor #telefónica #economiachina #telecom #stc #divisas #arabiasaudi #mercadofinanceiro #tiposdeinteres #negociostv https://t.co/56tmifVyVB</t>
  </si>
  <si>
    <t>Renta fija a la inversa: suben los tipos y bajan los precios. ¿Cómo enfriará la economía la FED?
https://t.co/Jd4KWFTIWh
#inflacion #tiposdeinteres #subidadetipos #economia #bolsa #rentafija #precios #macroeconomía #rentavariable #oferta #demanda #negociostv https://t.co/fOvZ7l5O3i</t>
  </si>
  <si>
    <t>Falsedades en el mercado del oro: las razones por las que no puede subir ni bajar mucho. Iturralde
#trading #bolsadevalores #oro #bolsa #china #divisas #mercados #inversiones #invertir  #iturralde #mercadofinanceiro #bolsadevalores 
https://t.co/BSFkFsryyQ https://t.co/XNWNLHbv3K</t>
  </si>
  <si>
    <t>#basquete levou um certo tempo pra perceber que #cestas de 3 pontos são mais efetivas
Quantas décadas ainda o #mercadofinanceiro irá levar pra perceber que a #estrategiapassiva é mais efetiva?
Você também concorda?
Siga-me pra mais #verdades inconvenientes sobre #investimentos</t>
  </si>
  <si>
    <t>🚨👉La mesa de trading de JP Morgan desvela una sangría de salida de dinero en esta semana del sector financiero, ETFs y consumo discrecional.
Interesante tendencia...
Y entrada en sector salud y energía 🤔 https://t.co/5hgSZ23xnq</t>
  </si>
  <si>
    <t>Descubra como um Agente Autônomo de Investimentos pode ajudar você a investir com segurança e aproveitar as oportunidades do mercado financeiro. Saiba mais no Blog da RNA Invest. #Investimentos #AgenteAutônomo #MercadoFinanceiro #COE #Diversificação #RNAInvest https://t.co/t1ILSL1v5w</t>
  </si>
  <si>
    <t>E se eu, um cara comum e sem grandes habilidades, consegui, garanto que você também consegue!
Basta estudar, praticar e se dedicar muito! Ninguém pode te parar, apenas você mesmo!
#MercadoFinanceiro #Trader #Trade #DayTrade #SwingTrade</t>
  </si>
  <si>
    <t>Então, comece agora a controlar o seu emocional e o seu operacional, com a utilização do Stop Loss!
E acredite, se eu consegui controlar o meu emocional e o meu operacional, você também consegue controlar o seu!
#Insight #StopLoss #Trader #Forex #Bovespa #MercadoFinanceiro</t>
  </si>
  <si>
    <t>E acredite, se eu consegui me controlar, você também consegue se controlar!
#Insight #TakeProfit #MercadoFinanceiro
#Trader #Forex #Bovespa #IQOption</t>
  </si>
  <si>
    <t>Las posiciones bajistas reflejan como el euro💶ha ido perdiendo la confianza de los inversores.
Hasta julio había recuperado frente al dólar💰casi un 5%. En las últimas semanas ha perdido toda la diferencia.
#mercadofinanceiro #euro #divisas #fondosdeinversion #noticiaeconomica</t>
  </si>
  <si>
    <t>#Mercados📈 #Macroeconomía y su impacto en las #criptomonedas.
👉 #Entrevista🗣️ Pablo Gil (@PabloGilTrader) analista de XTB (@xtbes) “Hay que tener un porcentaje de la cartera invertido en criptomonedas”.
https://t.co/DiGkswZmm5</t>
  </si>
  <si>
    <t>#YodaCoinSwap #Jedals #Criptomoedas #Batalhas #Vitórias #Sucesso #InteligênciaFinanceira #Resiliência #Comunidade #Evolução #MercadoFinanceiro https://t.co/WnoLUAeFx3</t>
  </si>
  <si>
    <t>O indicador nunca falha🔥🦅
#likeforlike 
#Bitcoin 
#mercadofinanceiro
#benbvolliefde #Prigozhin #gamescom2023 #THEGIRLS https://t.co/GYfExj1BwZ</t>
  </si>
  <si>
    <t>1 a cada 4 empresas de #investimento conta com executivo focado em #AtivosDigitais, aponta relatório.
25% das gestoras de ativos e fundos de #hedge dos Estados Unidos e Europa recrutaram executivos seniores para comandar iniciativas com ativos digitais.
#mercadofinanceiro 🔥 https://t.co/yAnwjt9BSr</t>
  </si>
  <si>
    <t>Projeto no Sandbox Regulatório da CVM tokeniza R$ 2,5 milhões em plantio da Radix Florestal. Projetos de tokenização avançam no Brasil.
#mercadofinanceiro #investimentos #bolsadevalores #trading #mercadoacões #rendavariável #rendafixa #estratégia #empreendedorismo #tokenizacao🔥 https://t.co/3xeO75LqQ0</t>
  </si>
  <si>
    <t>O gestor de ativos de US$ 1,72 trilhão, Citigroup, lançou um token digital e sistema de blockchain privado para pagamentos em tempo real.
#mercadofinanceiro #investimentos #bolsadevalores #trading #mercadoacões #rendavariável #rendafixa #estratégia #analisetécnica 🔥 https://t.co/PHcgAjbGID</t>
  </si>
  <si>
    <t>🇺🇸 A dívida nacional dos EUA atingiu um máximo histórico de 33 trilhões de dólares.
#mercadofinanceiro #investimentos #bolsadevalores #trading #mercadoacões #rendavariável #rendafixa #estratégia #analisetécnica #analisefundamentalista #daytrade #swingtrade #investidor 🔥 https://t.co/4I10fHXUBf</t>
  </si>
  <si>
    <t>Muita informação e dados de qualidade sobre o mercado crypto e blockchain todos os dias!
https://t.co/EYigxsxVjy
#Bitcoin $BTC #NFT #Blockchain #Research #Criptomoedas #Crypto #MercadoFinanceiro</t>
  </si>
  <si>
    <t>💥¡Domina la Macroeconomía!
📚 En nuestro Taller de Resolución de Ejercicios de Macroeconomía.
💬 Únete al grupo de estudio aquí: https://t.co/v5CEC6LH6r
#macroeconomia #infox #economia https://t.co/ZpjpDNtMK2</t>
  </si>
  <si>
    <t>Começando bem mais uma semana, bora pro day trade!
https://t.co/rUsYOfN5gy
Quer operar com a gente e fazer parte do nosso Staff? 
Contato / Whatsapp: 24988134849
#MercadoFinanceiro #Bolsadevalores #Dólar #WDO #DayTrade #B3 #Trader #TradeAovivo</t>
  </si>
  <si>
    <t>Nova pagadora de dividendos na área? Veja os destaques em Comprar ou Vender #Ações #MercadoFinanceiro #Empresas #Dividendos
https://t.co/a2lhqyaJUe</t>
  </si>
  <si>
    <t>Imóveis estão sendo construídos por todas as partes de SP; diversa, cidade tem demanda alta, diz executivo de construtora #Imóveis #SetorImobiliário #MercadoFinanceiro #SP #Empresas
https://t.co/saaSGWrI4o</t>
  </si>
  <si>
    <t>Ação do agronegócio que concentra o maior número de bilionários no setor também é oportunidade de compra em swing trade.
#SwingTrade #Agronegocio #MercadoFinanceiro #MoneyTimes
https://t.co/WlI1vQKI3W</t>
  </si>
  <si>
    <t>Carteira semanal: Nenhuma ação sobrevive à atualização do BB; veja as 5 novas recomendações #Ações #MercadoFinanceiro #Empresas #Ibovespa #B3
https://t.co/vlQ1FotTyZ</t>
  </si>
  <si>
    <t>BTG está com uma nova elétrica favorita; entenda o potencial da ação #Empresas #MercadoFinanceiro #Energia #Ações
https://t.co/pfVazyvuDv</t>
  </si>
  <si>
    <t>Potencial de alta de 45%: Com posições vendidas em nível recorde, ação desta varejista vale compra, defende XP #Ações #MercadoFinanceiro #Empresas #Varejo #B3
https://t.co/qBV3Q48dk4</t>
  </si>
  <si>
    <t>Copasa (CSMG3) aprova bolada em JCP a acionistas; confira valor e datas #Ações #Empresas #JCP #Copasa #MercadoFinanceiro 
https://t.co/q4k3wGysu1</t>
  </si>
  <si>
    <t>Day Trade: Prio (PRIO3), Cielo (CIEL3) e outras 6 ações para vender hoje (19) e buscar até 3,4%
#mercadofinanceiro #daytrader #investimento #leiamoneytimes
https://t.co/MHHtscnwXY</t>
  </si>
  <si>
    <t>A injeção de otimismo da Petrobras (PETR4) na Braskem (BRKM5)
#petrobras #empresas #mercadofinanceiro 
https://t.co/6u2Srx3xN0</t>
  </si>
  <si>
    <t>Azul (AZUL4) ainda pode disparar 121%, diz banco gringo; ações saltam nesta quarta (20) #Ações #MercadoFinanceiro #Ibovespa #Empresas #Azul #leiamoneytimes
https://t.co/6XEop4EiwY</t>
  </si>
  <si>
    <t>Ibovespa (IBOV) perde força com Wall Street, mas marca semana positiva; confira o fechamento #MercadoFinanceiro #Ações #B3 #Ibovespa 
https://t.co/0cNZKwgMnf</t>
  </si>
  <si>
    <t>Itaú BBA troca varejista por construtora que salta quase 70% na Bolsa em 2023; veja as 5 ações do momento #Ações #MercadoFinanceiro #Empresas #B3 #leiamoneytimes
https://t.co/xeKb2hukCj</t>
  </si>
  <si>
    <t>IRB (IRBR3) lucra R$ 22,3 milhões em julho e acumula saldo positivo no ano #Empresas #IRBR3 #Seguros #MercadoFinanceiro #leiamoneytimes
https://t.co/fBiIARkFCw</t>
  </si>
  <si>
    <t>Day Trade: Eletrobras (ELET3), Sanepar (SAPR11) e mais 7 ações para comprar pós-Copom e buscar até 3,7%
#daytrader #finanças #mercadofinanceiro #leiamoneytimes
https://t.co/vCY6xpFyH4</t>
  </si>
  <si>
    <t>Day Trade: Vale (VALE3), CSN Mineração (CMIN3) e outras 6 ações para vender hoje (21) e buscar até 3,2%
#daytrader #mercadofinanceiro #finanças #leiamoneytimes
https://t.co/eLVa2x62Lc</t>
  </si>
  <si>
    <t>Ibovespa (IBOV) sobe nesta quinta (21)? Por que corte na Selic pode não segurar alta do índice, segundo especialistas #MercadoFinanceiro #Ações #Selic #Copom #leiamoneytimes #Juros
https://t.co/FZI8YBex8G</t>
  </si>
  <si>
    <t>Copel (CPLE6) distribuirá mais de R$ 900 milhões em JCP aos acionistas; confira as datas #Ações #JCP #Copel #MercadoFinanceiro #leiamoneytimes
https://t.co/efa8Dqvwx1</t>
  </si>
  <si>
    <t>Acompanhe as movimentações do Ibovespa (IBOV) em Tempo Real.
#Ibovespa #Acoes #MercadoFinanceiro #MoneyTimes
https://t.co/rmqQMu8SWk</t>
  </si>
  <si>
    <t>Temporada de leilões de imóveis por bancos esquenta; vale a pena comprar nessas operações?
#imoveis #mercadofinanceiro #leilao #leiamoneytimes
https://t.co/psbBUULWwQ</t>
  </si>
  <si>
    <t>A 2W Ecobank informou que engajou bancos para avaliar a viabilidade e estruturar uma potencial oferta pública inicial de ações #Ações #MercadoFinanceiro #Energia #leiamoneytimes
https://t.co/h7MqWu3s4B</t>
  </si>
  <si>
    <t>Day Trade: JBS (JBSS3), Lojas Renner (LREN3) e mais 7 ações para comprar hoje (18) e buscar até 4,2%
#ações #mercadofinanceiro #leiamoneytimes
https://t.co/ZcRWb2sh9e</t>
  </si>
  <si>
    <t>Ibovespa (IBOV) em queda livre: Mercado está cético com a Bolsa? Veja apostas para o fim do ano #Ações #Ibovespa #MercadoFinanceiro #B3 #leiamoneytimes 
https://t.co/YkI4HqJsnY</t>
  </si>
  <si>
    <t>Vale (VALE3) ou CSN Mineração (CMIN3)? A ação para comprar, segundo Genial #Ações #MercadoFinanceiro #Vale #CSN #Mineração
https://t.co/OTa7Qz8Jpa</t>
  </si>
  <si>
    <t>Acompanhe as movimentações do Ibovespa (IBOV) em Tempo Real.
#Ibovespa #DayTrade #MercadoFinanceiro #MoneyTimes
https://t.co/DhY9Xt3Zag</t>
  </si>
  <si>
    <t>BBSE3, CXSE3 ou PSSA3: Uma destas seguradoras é a ‘rainha dos dividendos’, segundo analistas #Ações #MercadoFinanceiro #Seguros #Empresas #leiamoneytimes 
https://t.co/PEBS2gyOUe</t>
  </si>
  <si>
    <t>Elétrica praticamente no zero a zero em 2023 vai deslanchar? BB atualiza potencial da ação #Ações #MercadoFinanceiro #Empresas #Energia #leiamoneytimes 
https://t.co/TW4Ar0Aoyg</t>
  </si>
  <si>
    <t>Day Trade: Gol (GOLL4), Eletrobras (ELET3) e outras 4 ações para vender nesta sexta-feira (22) e buscar até 3,6%
#finanças #mercadofinanceiro #ações #leiamoneytimes
https://t.co/9D31vp6TZc</t>
  </si>
  <si>
    <t>O novo passo da Sabesp (SBSP3) rumo à privatização #Empresas #Saneamento #SP #Sabesp #MercadoFinanceiro
https://t.co/eKPJqCWp5Z</t>
  </si>
  <si>
    <t>A joia da renda fixa para poder ganhar muito dinheiro nos próximos dois anos; confira títulos #Investimentos #RendaFixa #MercadoFinanceiro #Selic
https://t.co/UEHGohjZnr</t>
  </si>
  <si>
    <t>O banco que é ‘uma opção acima das demais’; atrativa, ação ainda pode subir 30%, diz BBI #Ações #MercadoFinanceiro #Bancos #Empresas
https://t.co/0IwEGzLDob</t>
  </si>
  <si>
    <t>Casas Bahia (VIIA3) desaba 35% na Bolsa em semana agitada; veja resumo e recomendação para ações #Ações #MercadoFinanceiro #Ibovespa #CasasBahia #Varejo
https://t.co/f9AFr0TzaJ</t>
  </si>
  <si>
    <t>Dividendos e JCP: Itaú (ITUB4), Vivo (VIVT3) e mais 2 têm ‘data com’ na 3ª semana do mês; veja #Dividendos #Ações #MercadoFinanceiro #Empresas #B3
https://t.co/71t3jkPpve</t>
  </si>
  <si>
    <t>Selic a 12,75%? Mercado fica no aguardo do Copom; confira a agenda da próxima semana #Economia #MercadoFinanceiro #BC #Copom #Juros
https://t.co/c8DH7W9EXz</t>
  </si>
  <si>
    <t>Magazine Luiza (MGLU3) está nas mínimas do ano; entenda o que abala a ação e veja recomendações #Ações #MercadoFinanceiro #Empresas #MagazineLuiza #Varejo #leiamoneytimes 
https://t.co/MFbu3xPTnE</t>
  </si>
  <si>
    <t>Ibovespa (IBOV) amarga nova perda e é jogado aos 114 mil pontos; entenda o movimento desta terça (26) #MercadoFinanceiro #Ibovespa #B3 #leiamoneytimes 
https://t.co/wd1W1umgSp</t>
  </si>
  <si>
    <t>Ibovespa (IBOV) continua sob efeito de Super Quarta; índice pode cair muito mais? #MercadoFinanceiro #Ibovespa #B3 #Ações #leiamoneytimes 
https://t.co/n8Sdtp0E8i</t>
  </si>
  <si>
    <t>Vale (VALE3), CSN Mineração (CMIN3) e o caminho do minério de ferro daqui para frente, segundo analistas #Ações #MercadoFinanceiro #VALE3 #CMIN3 #Mineração #leiamoneytimes
https://t.co/chviNSXXdu</t>
  </si>
  <si>
    <t>Acompanhe as movimentações do Ibovespa (IBOV) em Tempo Real.
#Ibovespa #Acoes #VALE3 #MercadoFinanceiro #MoneyTimes
https://t.co/alNkORe81t</t>
  </si>
  <si>
    <t>La #macroeconomia resiste en #España a un #BCE que asfixia a #pymes e hipotecados al encarecer el #crédito
¿Cuál es el objetivo más allá de desestabilizar la #UE y gripar su #Economia?
https://t.co/Is3Ta9QA2J
Vía @publico_es</t>
  </si>
  <si>
    <t>📢 #LoDijoEnPolíticamenteCorrecto
.Juan Rivadeneira (@juanchoriva), consultor económico, le pregunta a Otto Sonnenholzner (@ottosonnenh): ¿Cómo manejaría la #macroeconomía en un año y medio sin caer en el populismo para se reelegido? Mira su respuesta aquí. ⬇️ https://t.co/rOZRNiJm0j</t>
  </si>
  <si>
    <t>O que são Criptomoedas ? 
#Tecnologia #ai #criptomoedas #Bitcoin #educação #sistema #investimento #mercadofinanceiro #liberdade #prospero #evolução #livre https://t.co/nhRhfwPCIP</t>
  </si>
  <si>
    <t>¡@CiroGomezL celebra #macroeconomia en la #4T de #AMLO!. ¿Quienes en verdad son los beneficiados? https://t.co/brzMpIKoM2  #macroeconomia #4T #AMLO #beneficiados #CiroGomezL</t>
  </si>
  <si>
    <t>¡@CiroGomezL celebra #macroeconomia en la #4T de #AMLO!. ¿Quienes en verdad son los beneficiados? https://t.co/brzMpIKWBA  #macroeconomia #4TdeAMLO #beneficiados #CiroGomezL</t>
  </si>
  <si>
    <t>¡@CiroGomezL celebra #macroeconomia en la #4T de #AMLO!. ¿Quienes en verdad son los beneficiados? https://t.co/brzMpIKoM2  #CiroGomezL #macroeconomia #4T #AMLO #beneficiados</t>
  </si>
  <si>
    <t>¡@CiroGomezL celebra #macroeconomia en la #4T de #AMLO!. ¿Quienes en verdad son los beneficiados? https://t.co/brzMpIKoM2  #macroeconomia #4TdeAMLO #beneficiados #CiroGomezL</t>
  </si>
  <si>
    <t>¡@CiroGomezL celebra #macroeconomia en la #4T de #AMLO!. ¿Quienes en verdad son los beneficiados? https://t.co/brzMpIKWBA  #macroeconomia #4T #AMLO #beneficiados</t>
  </si>
  <si>
    <t>¡@CiroGomezL celebra #macroeconomia en la #4T de #AMLO!. ¿Quienes en verdad son los beneficiados? https://t.co/brzMpIKWBA  #macroeconomia #4T #AMLO #beneficiados #CiroGomezL</t>
  </si>
  <si>
    <t>¡@CiroGomezL celebra #macroeconomia en la #4T de #AMLO!. ¿Quienes en verdad son los beneficiados? https://t.co/brzMpIKoM2  #macroeconomia #4T #AMLO #beneficiados</t>
  </si>
  <si>
    <t>¡@CiroGomezL celebra #macroeconomia en la #4T de #AMLO!. ¿Quienes en verdad son los beneficiados? https://t.co/brzMpIKWBA  #CiroGomezL #macroeconomia #4T #AMLO #beneficiados</t>
  </si>
  <si>
    <t>¡@CiroGomezL celebra #macroeconomia en la #4T de #AMLO!. ¿Quienes en verdad son los beneficiados? https://t.co/brzMpIKoM2
#macroeconomia #4T #AMLO #beneficiados</t>
  </si>
  <si>
    <t>¡@CiroGomezL celebra #macroeconomia en la #4T de #AMLO!. ¿Quienes en verdad son los beneficiados? https://t.co/brzMpIKWBA
#macroeconomia #4T #AMLO #beneficiados</t>
  </si>
  <si>
    <t>Os investidores não são plenamente racionais e muitas vezes caem nos vieses comportamentais, mas é possível reverter isso. #investimentos #mercadofinanceiro https://t.co/2SGfWCla1d</t>
  </si>
  <si>
    <t>A Vale (VALE3) avalia usar US$ 2,4 bilhões de um acordo no seu negócio de metais básicos para pagar dividendos e recomprar ações. #mercadofinanceiro https://t.co/cfOSFr5ORE</t>
  </si>
  <si>
    <t>Apesar de ser considerada uma operação de alto risco, é possível, segundo os especialistas do Itaú BBA, ter mais segurança na hora de operar. #mercadofinanceiro https://t.co/9l4OlRGZKN</t>
  </si>
  <si>
    <t>Avaliação do mercado financeiro sobre Haddad tem forte melhora https://t.co/VNCK6duebI 
#economia #haddad #mercadofinanceiro #política</t>
  </si>
  <si>
    <t>Janela para follow-ons segue aberta e IPOs podem vir no fim do ano 
#empresas #economia #mercadofinanceiro #ipo 
https://t.co/gk3fhgL1Ez</t>
  </si>
  <si>
    <t>Quer acompanhar de perto cada um desses acontecimentos? Acompanhe o FLJ ao longo da semana. Acesse: https://t.co/DlwkmBRNEB
#agendademercado #agendasemanal #mercado #b3 #ações #mercadofinanceiro #finanças #flj https://t.co/LYpxTNdOPO</t>
  </si>
  <si>
    <t>Comprar ações: Saiba porque é importante investir no mercado
Descubra os segredos do mercado, clique aqui:  https://t.co/B2wk4NnhDJ
#Ações #bolsadevalors #b3 #mercadofinanceiro</t>
  </si>
  <si>
    <t>Confira a agenda com os principais acontecimentos que estão no radar do mercado nesta semana.
Acompanhe o FLJ ao longo da semana. Acesse: https://t.co/DlwkmBRfP3
#agendademercado #agendasemanal #mercado #b3 #ações #mercadofinanceiro #finanças #flj https://t.co/ibIPzApog1</t>
  </si>
  <si>
    <t>Comece a semana se informando sobre o que vai acontecer no mercado! 
Quer acompanhar de perto cada um desses acontecimentos? Acesse: https://t.co/DlwkmBRNEB
#agendademercado #agendasemanal #mercado #b3 #ações #mercadofinanceiro #finanças #flj https://t.co/tO6mrteHNP</t>
  </si>
  <si>
    <t>Comece a semana se informando sobre o que vai acontecer no mercado! 
Acompanhe o FLJ ao longo da semana. Acesse: https://t.co/DlwkmBRNEB
#agendademercado #agendasemanal #mercado #b3 #ações #mercadofinanceiro #finanças #flj https://t.co/QJQ5SY145F</t>
  </si>
  <si>
    <t>Comece a semana se informando sobre o que vai acontecer no mercado! 
Quer acompanhar de perto cada um desses acontecimentos? Acompanhe o FLJ ao longo da semana. Acesse: https://t.co/DlwkmBRfP3
#agendademercado #agendasemanal #mercado #b3 #ações #mercadofinanceiro #finanças https://t.co/hL1lkHuxjk</t>
  </si>
  <si>
    <t>Comece a semana se informando sobre o que vai acontecer no mercado!
Quer acompanhar de perto cada um desses acontecimentos? Acompanhe o FLJ ao longo da semana. Acesse: https://t.co/DlwkmBRfP3
#agendademercado #agendasemanal #mercado #b3 #ações #mercadofinanceiro #finanças #flj https://t.co/MnQRmizPrG</t>
  </si>
  <si>
    <t>Comece a semana se informando sobre o que vai acontecer no mercado!
Acompanhe o FLJ ao longo da semana. Acesse: https://t.co/DlwkmBRfP3
#agendademercado #agendasemanal #mercado #b3 #ações #mercadofinanceiro #finanças #flj https://t.co/pFbpqKwaJG</t>
  </si>
  <si>
    <t>Comece a semana se informando sobre o que vai acontecer no mercado! 
Acompanhe o FLJ ao longo da semana. Acesse: https://t.co/DlwkmBRfP3
#agendademercado #agendasemanal #mercado #b3 #ações #mercadofinanceiro #finanças #flj https://t.co/zWVlQT1g6E</t>
  </si>
  <si>
    <t>Comece a semana se informando sobre o que vai acontecer no mercado! 
Acompanhe o FLJ ao longo da semana. Acesse: https://t.co/DlwkmBRNEB
#agendademercado #agendasemanal #mercado #b3 #ações #mercadofinanceiro #finanças https://t.co/LgtBp6Mymn</t>
  </si>
  <si>
    <t>Confira a agenda com os principais acontecimentos que estão no radar do mercado nesta semana.
Quer acompanhar de perto cada um desses acontecimentos? Acompanhe o FLJ ao longo da semana. Acesse: https://t.co/DlwkmBRfP3
#agendademercado #mercado #b3 #ações #mercadofinanceiro https://t.co/M5gENPl80T</t>
  </si>
  <si>
    <t>💵GANA 10 USDT SI TU ANÁLISIS TÉCNICO ES CORRECTO ✅ 
#bitcoin #criptomonedas #ethereum #cardano #viral #trading #tendencia #inversion #altcoin #parati #fypシ #economia #macroeconomia #recesion #bybit #binance #kukoin #bitget #BingX 
https://t.co/RVoFnwHDj9 https://t.co/9IpRdUSSeU</t>
  </si>
  <si>
    <t>#bitcoin  #criptomonedas #ethereum #cardano #viral #trading #tendencia #inversion #altcoin #parati #fypシ #economia #macroeconomia #recesion #bybit #binance  #kukoin #bitget  #BingX https://t.co/1FAzbE2gRl</t>
  </si>
  <si>
    <t>🥱QUE SE PREOCUPEN LOS HOLDER, NOSOTROS SOMOS TRADERS🫡
#bitcoin #criptomonedas #ethereum #cardano #viral #trading #tendencia #inversion #altcoin #parati #fypシ #economia #macroeconomia #recesion #bybit #binance #kukoin #bitget #BingX https://t.co/ofxcOsqtCI</t>
  </si>
  <si>
    <t>Boa semana a todos! #xpinvestimentos #boletimfocus #PlatinumInvest #MercadoFinanceiro #Assessoria https://t.co/SMWHZ23SUD</t>
  </si>
  <si>
    <t>O mercado é manipulado por necessidade de liquidez. #daytrade #investidor #mercadofinanceiro</t>
  </si>
  <si>
    <t>URGENTE: A taxa básica de juros foi reduzida para 13,25%, após ser mantida por sete vezes consecutivas. 
Fonte: https://t.co/v8JdOZHbWQ
#s6investimentos #xpinvestimentos #assessoriaxp #investimentos #assessoriadeinvestimentos #investimentoseguro #mercadofinanceiro #COPOM https://t.co/5pi5hcO2Fl</t>
  </si>
  <si>
    <t>Vía Crucis para inversores y especuladores esta semana 🇺🇸
#datosmacro #macroeconomía #empleo #nóminas https://t.co/nEasXSUhn5</t>
  </si>
  <si>
    <t>#Mercadofinanceiro aprova #políticaeconômica de #Lula, segundo pesquisa: https://t.co/9PNAw7SqxA</t>
  </si>
  <si>
    <t>#Mercadofinanceiro em expectativa para #PIB do 2o trimestre de 2023 l Juliana Rosa: https://t.co/oMCUZYLui3</t>
  </si>
  <si>
    <t>#Mercadofinanceiro prevê crescimento de 2,92% no #PIB em 2023 l Juliana Rosa: https://t.co/NKCiejpTqq</t>
  </si>
  <si>
    <t>#Mercadofinanceiro revisa projeção do #PIB de 2023 l Juliana Rosa: https://t.co/wMYuOwNGzp</t>
  </si>
  <si>
    <t>📣💼 Sexta-feira no Mercado Financeiro: Fique Alerta!
Se aproxima mais uma sexta-feira no mercado financeiro, e é importante lembrar da cautela nesse dia.
#MercadoFinanceiro #SextaFeira #Cautela #infogain https://t.co/gNg8Wjj9yg</t>
  </si>
  <si>
    <t>El Índice de #Producción Industrial #IPI de #España se redujo en junio un 0,78% respecto al mes anterior. Ver más: https://t.co/pMSZtdDH52 #macroeconomics #BusinessIntelligence #macroeconomia #industria #data #ine https://t.co/Z5QWqB7O9V</t>
  </si>
  <si>
    <t>Las provincias de #CastillayLeon menos exportadoras son: #Soria con 11,71 mill € y #Avila con 52,14 mill €. Ver más: https://t.co/QGKricsT9T
#macroeconomia #BusinessIntelligence #macroeconomics #export #ComercioExterior #icex</t>
  </si>
  <si>
    <t>En el acumulado de mayo, #Leon con 248,82 mill € es la mayor exportadora del sector #agroalimentario de #CastillayLeon, seguida de #Palencia con 238,77 mill €. Ver más: https://t.co/QGKricsT9T
#macroeconomia #BusinessIntelligence #macroeconomics #export #ComercioExterior #icex https://t.co/Ai6jUNHb4x</t>
  </si>
  <si>
    <t>La provincia de #Andalucia que en mayo registró menor incremento fue #Almeria (+4,38%). Ver más: https://t.co/3CX3YqyeE5
#macroeconomia #BusinessIntelligence #macroeconomics #empresas #data #ine</t>
  </si>
  <si>
    <t>La provincia de #Andalucia que en mayo registró mayor incremento en la constitución de #SociedadesMercantiles respecto al mes anterior fue #Cadiz (+69,92%). Ver más: https://t.co/3CX3YqyeE5
#macroeconomia #BusinessIntelligence #macroeconomics #empresas #data #ine https://t.co/DF2DZanlQw</t>
  </si>
  <si>
    <t>El #IndicedeProducciónIndustrial #IPI de los #Bienes de consumo duradero en #Andalucia registró un incremento en mayo del 31,6% respecto al mes anterior. Ver más: https://t.co/fygLDDLqIM #macroeconomics #BusinessIntelligence #macroeconomia #industria #data #ine https://t.co/y29ysqfr92</t>
  </si>
  <si>
    <t>El número de #turistas extranjeros en #CastillayLeon disminuyó en junio un 18,32% respecto a mayo. El #gasto por su parte disminuyó en un 20,41% al situarse en 60,07 Mill €. Ver más: https://t.co/KSUBAB3MYb #macroeconomics #BusinessIntelligence #macroeconomia #turismo https://t.co/vE7v57KlDc</t>
  </si>
  <si>
    <t>La tasa de temporalidad de los #ContratosRegistrados en las provincias de #CastillayLeon en junio osciló entre el 59,74% de #Valladolid y el 84,73% de #Palencia.Ver más: https://t.co/paBUWa6ZOJ #macroeconomics #BusinessIntelligence #macroeconomia #temporalidad #empleo #data #sepe https://t.co/6U7siJANgD</t>
  </si>
  <si>
    <t>Las mayor variación en el #IPC de junio en #Madrid se registró en el grupo #Ocio y cultura (+2,4%). Ver más: https://t.co/j88zAnIQcK
#BusinessIntelligence #macroeconomia #precios #inflacion #data #consumo #ine https://t.co/aj1j8Whvmb</t>
  </si>
  <si>
    <t>La Provincia que presenta la mayor #TasadeParo (#EPA) en el segundo trimestre es #Cadiz (22,09%). la menor tasa se registra en #Guipuzcoa (6,51%). Ver más: https://t.co/ofO1SFGCOH
#macroeconomia #BusinessIntelligence #macroeconomics #data #ine https://t.co/2N09lcLKxD</t>
  </si>
  <si>
    <t>En mayo, el 62% de las #hipotecas constituídas sobre viviendas en #España lo hicieron a tipo de interés fijo. Ver más: https://t.co/UMMfjhS5la #macroeconomia #BusinessIntelligence #macroeconomics #vivienda #data #ine #tipos https://t.co/F9YTEzcO2j</t>
  </si>
  <si>
    <t>La  única Comunidad que redujo el IPC fue #Canarias (-0,1%). Ver más: https://t.co/ao1vvybOwA
#macroeconomics #BusinessIntelligence #macroeconomia #precios #inflacion #consumo #data #ine</t>
  </si>
  <si>
    <t>La #ComunidadAutonoma, en la que más aumentó el #IPC en julio respecto a junio fue #Navarra (+0,6%). Ver más: https://t.co/ao1vvybOwA
#macroeconomics #BusinessIntelligence #macroeconomia #precios #inflacion #consumo #data #ine https://t.co/E3WHxui32C</t>
  </si>
  <si>
    <t>En junio,  en la comunidad de #Madrid se crearon el 23,41% de las #SociedadesMercantiles creadas en #España y se disolvieron el 33,61% del total. Ver más: https://t.co/PweA6NrsIa #macroeconomia #BusinessIntelligence #macroeconomics #empresas #data #ine https://t.co/nJBfDuhSu3</t>
  </si>
  <si>
    <t>La mayor variación en el #IPC de julio en #Andalucia se registró en el grupo #Vestido y calzado (-10,4%). Ver más: https://t.co/YIt5H4RvG5 #macroeconomics #BusinessIntelligence #macroeconomia #precios #inflacion #data #ine https://t.co/ukGB8VWWL7</t>
  </si>
  <si>
    <t>En junio, en #Andalucia se constituyeron 1.883 #SociedadesMercantiles,  un 7,2% menos que en el mes anterior, y se disolvieron 260, un 11,26% menos que el número registrado en mayo. Ver más: https://t.co/5AseQ1FVes #macroeconomia #BI #macroeconomics #empresas #data #ine https://t.co/8dACFqG44F</t>
  </si>
  <si>
    <t>En julio, el grupo #mayores45 registró 337.992 #contratos que representan el 24,25% de los contratos iniciales registrados en este mes. Ver más: https://t.co/78ui1jPcQF
#edadismo #empleo #macroeconomics #macroeconomia #BusinessIntelligence #paro #data #sepe https://t.co/1rG7AfULeb</t>
  </si>
  <si>
    <t>El Índice de Producción Industrial #IPI de #Andalucia registró un incremento en junio del 3,28% respecto al mes anterior. Ver más: https://t.co/eC0tEur71M #macroeconomics #BusinessIntelligence #macroeconomia #industria #data #ine https://t.co/YW69wYduIY</t>
  </si>
  <si>
    <t>Las #exportaciones acumuladas de mayo de  #CastillayLeon a #Francia aumentaron un 1% respecto al acumulado de mayo del año anterior. Ver más: https://t.co/KlASEbxSt9
#macroeconomics #BusinessIntelligence #macroeconomia #export #mercadosExteriores #data #comercio https://t.co/MHhz5B52Xw</t>
  </si>
  <si>
    <t>El #IndicedeProduccionIndustrial #IPI de los #Bienes consumo no duradero en #Madrid registró un incremento en mayo del 21,6% respecto al mes anterior. Ver más: https://t.co/nqLAhWR8QM #macroeconomics #BusinessIntelligence #macroeconomia #industria #data #ine https://t.co/2LwQPkByHd</t>
  </si>
  <si>
    <t>En julio, la provincia de #CastillayLeon con mayor incremento en el #IPC, respecto a junio, fue #Soria (+0,4%). Ver Más: https://t.co/is6jsirk3Q
#macroeconomics #BusinessIntelligence #macroeconomia #precios #inflacion #data #consumo #ine https://t.co/BAKz1t0ogj</t>
  </si>
  <si>
    <t>La provincia que registró mayor incremento fue: #Avila (+46,15%). Ver más: https://t.co/uqvdXP6h8q
#macroeconomia #BusinessIntelligence #macroeconomics #empresas #data #ine</t>
  </si>
  <si>
    <t>Desglose por edades de los #contratos iniciales registrados en el mes de junio. Ver más: https://t.co/2vPfQlKBEk #edadismo #empleo #macroeconomics #macroeconomia #BusinessIntelligence #data #sepe https://t.co/h4BgThk3NX</t>
  </si>
  <si>
    <t>La provincia de #Andalucia con menor incremento del IPC fue #Sevilla (+0,3%). Ver Más: https://t.co/jGr6eUm0FK
#macroeconomics #BusinessIntelligence #macroeconomia #precios #inflacion #data #Consumo #ine</t>
  </si>
  <si>
    <t>En junio, las provincias de #Andalucia con mayor incremento del #IPC fueron #Almeria, #Cadiz, #Granada y #Malaga (+0,5%). Ver Más: https://t.co/jGr6eUm0FK
#macroeconomics #BusinessIntelligence #macroeconomia #precios #inflacion #data #Consumo #ine https://t.co/7uID8VeK6Q</t>
  </si>
  <si>
    <t>En mayo,  en la comunidad de #Madrid se crearon el 21,3% de las #SociedadesMercantiles creadas en #España y se disolvieron el 29,08% del total. Ver más: https://t.co/IBK9ZYBTYf #macroeconomia #BusinessIntelligence #macroeconomics #empresas #data #ine https://t.co/VWofditrqX</t>
  </si>
  <si>
    <t>La única provincia de #CastillayLeon que registró descenso fue #Salamanca (-7,51%). Ver más: https://t.co/AjupSGV8mA #data #BusinessIntelligence #export #MercadosExteriores #macroeconomics #macroeconomia #comercio</t>
  </si>
  <si>
    <t>La provincia de #Andalucia con mayor descenso del IPC fue #Malaga (-0,2%). Ver Más: https://t.co/YIt5H4RvG5
#macroeconomics #BusinessIntelligence #macroeconomia #precios #inflacion #data #Consumo #ine</t>
  </si>
  <si>
    <t>En julio, las provincias de #Andalucia con mayor incremento del #IPC fueron #Cadiz y #Huelva (+0,2%). Ver Más: https://t.co/YIt5H4RvG5
#macroeconomics #BusinessIntelligence #macroeconomia #precios #inflacion #data #Consumo #ine https://t.co/i7PzI6VjeX</t>
  </si>
  <si>
    <t>La provincia de #Andalucia que en junio registró mayor descenso fue #Cadiz (-27,43%). Ver más: https://t.co/5AseQ1FVes
#macroeconomia #BusinessIntelligence #macroeconomics #empresas #data #ine</t>
  </si>
  <si>
    <t>La provincia de #Andalucia que en junio registró mayor incremento en la constitución de #SociedadesMercantiles respecto al mes anterior fue #Almeria (+14,69%). Ver más: https://t.co/5AseQ1FVes
#macroeconomia #BusinessIntelligence #macroeconomics #empresas #data #ine https://t.co/gRPYoZu4Xm</t>
  </si>
  <si>
    <t>El 18,76% de los #contratos registrados en julio en #España fueron inferiores a 7 días. Este tipo de contratos alcanzó la cifra de 268.558. Ver más: https://t.co/x5VTkQT7PH #macroeconomia #BusinessIntelligence #macroeconomics #empresas #empleo #paro #data #sepe https://t.co/QoemWlNamB</t>
  </si>
  <si>
    <t>En mayo, en #Andalucia se constituyeron 2.029 #SociedadesMercantiles,  un 34,82% más que en el mes anterior, y se disolvieron 293, un 17,67% más que el número registrado en abril. Ver más: https://t.co/3CX3YqyeE5 #macroeconomia #BI #macroeconomics #empresas #data #ine https://t.co/xmbn97N8hv</t>
  </si>
  <si>
    <t>El Índice de Producción Industrial #IPI de #Andalucia registró un incremento en mayo del 9,97% respecto al mes anterior. Ver más: https://t.co/fygLDDLqIM
#macroeconomics #BusinessIntelligence #macroeconomia #industria #data #ine https://t.co/1TbOy3Vsy4</t>
  </si>
  <si>
    <t>La provincia de #Andalucia que registró mayor descenso fue #Cadiz (-20,62%). Ver más: https://t.co/YWXrlfbgsF
#macroeconomia #BusinessIntelligence #macroeconomics #export #MercadosExteriores #data #icex #comercio</t>
  </si>
  <si>
    <t>Las #exportaciones acumuladas de mayo de #Andalucia a #Alemania se incrementaron un 6,65% respecto a las acumuladas de mayo del año anterior. Ver más: https://t.co/dg89blSlLJ #Macroeconomics #BusinessIntelligence #macroeconomia #export #MercadosExteriores #data #icex #comercio https://t.co/OP9L8esxNU</t>
  </si>
  <si>
    <t>En junio, el grupo #mayores45 registró 364.704 #contratos que representan el 25,06% de los contratos iniciales registrados en este mes. Ver más: https://t.co/2vPfQlKBEk #edadismo #empleo #macroeconomics #macroeconomia #BusinessIntelligence #paro #data #sepe https://t.co/iD0rmSy9xk</t>
  </si>
  <si>
    <t>La mayor variación en el #IPC de junio en #Andalucia se registró en el grupo #Ocio y cultura (+2%). Ver más: https://t.co/jGr6eUm0FK #macroeconomics #BusinessIntelligence #macroeconomia #precios #inflacion #data #ine https://t.co/VdXhSQEF99</t>
  </si>
  <si>
    <t>En el Índice de Precios Industriales #IPRI por Destino de los bienes en #Madrid, la #Energia registró en julio un descenso del 0,43%. Ver más: https://t.co/MpfQSgdDlH #macroeconomia #BusinessIntelligence #macroeconomics #precios #industrial #data #ine https://t.co/a3JuZR95tn</t>
  </si>
  <si>
    <t>En junio, el Índice de Precios Industriales #IPRI de  #España se situó en 148,450 que es un 0,73% superior al registrado en el mes anterior. Ver más: https://t.co/NoKfwpIiWQ #macroeconomia #BusinessIntelligence #macroeconomics #precios #industria #data #ine https://t.co/x2zo1XvtG5</t>
  </si>
  <si>
    <t>En agosto, el número de #parados registrados en #CastillayLeon aumentó en 968 (+0,91%). Ver más: https://t.co/0QC1Vhm1kH #macroeconomia #BusinessIntelligence #macroeconomics #ParoRegistrado #empleo #data #sepe https://t.co/no20dZZag2</t>
  </si>
  <si>
    <t>En junio, el número de #hipotecas constituidas sobre #viviendas  en #Andalucia ascendió a 7.043, un 0,96% inferior al número registrado en el mes anterior. Ver más:  https://t.co/yhyIjzOGED #macroeconomia #BusinessIntelligence #macroeconomics #precioVivienda #data #ine https://t.co/aNqTy5ezs8</t>
  </si>
  <si>
    <t>En el Índice de Precios Industriales #IPRI por Destino de los bienes en #Andalucia, la #Energia registró en junio un incremento del 3,51%. Ver más: https://t.co/gKg6fYhJOW
#macroeconomia #BusinessIntelligence #macroeconomics #precios #industrial #data #ine https://t.co/R65QQnlQ54</t>
  </si>
  <si>
    <t>En términos relativos fue #Soria con 129 parados menos (-9,30%). Ver más: https://t.co/3hihExIW7p
#macroeconomia #BusinessIntelligence #empleo #paro #sepe</t>
  </si>
  <si>
    <t>La provincia de #CastillayLeon que más aumentó fue #Zamora (+15,25%). Ver más: https://t.co/DaDWUlAaxG
#macroeconomia #BusinessIntelligence #macroeconomics #vivienda #data #ine</t>
  </si>
  <si>
    <t>En junio, el número de #hipotecas constituidas sobre viviendas en #España ascendió a 33.478, un 0,24% superior al número registrado en el mes anterior. Ver más: https://t.co/aHPZJgcQFG #macroeconomia #BusinessIntelligence #macroeconomics #vivienda #data #ine https://t.co/KwZ0Vwlp9g</t>
  </si>
  <si>
    <t>En julio, el Índice de Precios Industriales #IPRI de  #España se situó en 148,874 que es un 0,11% superior al registrado en el mes anterior. Ver más: https://t.co/AaExb0wmQ7 #macroeconomia #BusinessIntelligence #macroeconomics #precios #industria #data #ine https://t.co/NZeFcrcrRS</t>
  </si>
  <si>
    <t>Desglose por edades de los #contratos iniciales registrados en el mes de julio. Ver más: https://t.co/78ui1jPKGd #edadismo #empleo #macroeconomics #macroeconomia #BusinessIntelligence #data #sepe https://t.co/dw54TyjnKe</t>
  </si>
  <si>
    <t>La única provincia de #CastillayLeon que registró descenso fue #Salamanca (-11,96%). Ver más: https://t.co/KlASEbxSt9 #data #BusinessIntelligence #export #MercadosExteriores #macroeconomics #macroeconomia #comercio</t>
  </si>
  <si>
    <t>En junio, el número de #hipotecas constituidas sobre viviendas  en #Madrid ascendió a 5.675, un 11,76% superior al número registrado en el mes anterior. Ver más:  https://t.co/tx4kfUC22Q #macroeconomia #BusinessIntelligence #macroeconomics #vivienda #preciosVivienda #data #ine https://t.co/52F5kZlulp</t>
  </si>
  <si>
    <t>El #gasto de los #turistas extranjeros que vinieron a #CastillayLeon en junio por #negocios ascendió a 3,39 Mill €, un 5,65% del total del gasto en este mes. Ver más: https://t.co/KSUBAB3MYb #macroeconomia #BusinessIntelligence #macroeconomics #turismo #data #ine https://t.co/oPGodA2Se4</t>
  </si>
  <si>
    <t>En junio, en #CastillayLeon se registraron 36.897 #contratos del tipo #temporal por circunstancias de la producción, cifra que supone el 55,03% de los contratos registrados en este mes. Ver más: https://t.co/paBUWa6ZOJ #macroeconomics #BI #macroeconomia #empleo #data #paro #sepe https://t.co/Osw59KctYn</t>
  </si>
  <si>
    <t>El #IPC de junio en #Madrid se sitúa en 110,841 lo que representa una variación anual del 1,4%. Ver más: https://t.co/j88zAnIQcK
#macroeconomics #BusinessIntelligence #macroeconomia #precios #inflacion #consumo #data #ine https://t.co/I5grwnjzuj</t>
  </si>
  <si>
    <t>El número de #turistas extranjeros en #CastillayLeon aumentó en julio un 85,81% respecto a junio. El #gasto por su parte aumentó en un 62,91% al situarse en 97,86 Mill €. Ver más: https://t.co/afjQ2kKzZE #macroeconomics #BusinessIntelligence #macroeconomia #turismo https://t.co/cfowh9SGHM</t>
  </si>
  <si>
    <t>La Comunidad que registró mayor incremento fue #Andalucia (+1,64%). Ver más: https://t.co/AaExb0wmQ7
#macroeconomia #BusinessIntelligence #macroeconomics #industria #precios #data #ine</t>
  </si>
  <si>
    <t>La #ComunidadAutonoma que registró un mayor descenso en el Índice de Precios Industriales #IPRI en el mes de julio fue #Asturias (-1,59%). Ver más: https://t.co/AaExb0wmQ7
#macroeconomia #BusinessIntelligence #macroeconomics #industria #precios #data #ine https://t.co/FPsfmciuC3</t>
  </si>
  <si>
    <t>En términos relativos fue #Soria con 64 parados menos (+5,09%). Ver más: https://t.co/6kfcRGtK5X
#macroeconomia #BusinessIntelligence #empleo #paro #sepe</t>
  </si>
  <si>
    <t>El #IPC  base 2021 de julio en #España quedó fijado en 112,544 lo que representa un incremento del 0,2% respecto a junio. Ver más: https://t.co/ao1vvybOwA #macroeconomics #BusinessIntelligence #macroeconomia #precios #inflacion #data #ine https://t.co/hkMGGzOfsl</t>
  </si>
  <si>
    <t>En julio, se registraron en #España 1.431.383 #contratos, un 4,11% menos que en el mes de junio. Ver más: https://t.co/x5VTkQT7PH
#macroeconomia #empleo #businessintelligence #macroeconomics #paro #data #sepe https://t.co/O2rlqkuOe7</t>
  </si>
  <si>
    <t>El #IndicedeProducciónIndustrial #IPI de #CastillayLeon registró un descenso en junio del 5,42% respecto al mes anterior. Ver más: https://t.co/6DJWxe7pP3 #macroeconomics #BusinessIntelligence #macroeconomia #industria #data #ine https://t.co/pHpmbQY9rZ</t>
  </si>
  <si>
    <t>El 20,98% de los #contratos registrados en agosto en #España fueron inferiores a 7 días. Este tipo de contratos alcanzó la cifra de 228.383. Ver más: https://t.co/7xWXquTHFo #macroeconomia #BusinessIntelligence #macroeconomics #empresas #empleo #paro #data #sepe https://t.co/3260LFWtLs</t>
  </si>
  <si>
    <t>El #gasto de los #turistas extranjeros que vinieron a #CastillayLeon en julio por #negocios ascendió a 5,77 Mill €, un 5,90% del total del gasto en este mes. Ver más: https://t.co/afjQ2kKzZE #macroeconomia #BusinessIntelligence #macroeconomics #turismo #data #ine https://t.co/5MD93ZyvkQ</t>
  </si>
  <si>
    <t>Las provincias de #CastillayLeon menos exportadoras son: #Soria con 13,43 mill € y #Avila con 60,11 mill €. Ver más: https://t.co/veJUw6dQQN #macroeconomia #BusinessIntelligence #macroeconomics #export #ComercioExterior #icex</t>
  </si>
  <si>
    <t>En el acumulado de junio, #Leon con 301,69 mill € es la mayor exportadora del sector #agroalimentario de #CastillayLeon, seguida de #Palencia con 288,41 mill €. Ver más: https://t.co/veJUw6dQQN #macroeconomia #BusinessIntelligence #macroeconomics #export #ComercioExterior #icex https://t.co/E1C95cjXHj</t>
  </si>
  <si>
    <t>En el Índice de Precios Industriales #IPRI por Destino de los bienes en #Andalucia, los #Bienes consumo no duradero registraron en julio un incremento del 4,26%. Ver más: https://t.co/GnQsp0ObIn #macroeconomia #BusinessIntelligence #macroeconomics #precios #industrial #data #ine https://t.co/PKB9rh1mz6</t>
  </si>
  <si>
    <t>El #IndicedeProducciónIndustrial #IPI de la #Energia en #Andalucia registró un incremento en junio del 14% respecto al mes anterior. Ver más: https://t.co/eC0tEurERk #macroeconomics #BusinessIntelligence #macroeconomia #industria #data #ine https://t.co/LcmNTJyAat</t>
  </si>
  <si>
    <t>El #IndicedeProduccionIndustrial #IPI de los #Bienes intermedios en #Madrid registró un incremento en mayo del 10,87% respecto al mes anterior. Ver más: https://t.co/nqLAhWR8QM #macroeconomics #BusinessIntelligence #macroeconomia #industria #data #ine https://t.co/x7qVmSYaYX</t>
  </si>
  <si>
    <t>En agosto, el grupo #mayores45 registró 284.516 #contratos que representan el 26,88% de los contratos iniciales registrados en este mes. Ver más: https://t.co/69Sb2940Qn #edadismo #empleo #macroeconomics #macroeconomia #BusinessIntelligence #paro #data #sepe https://t.co/CPKawaAqNH</t>
  </si>
  <si>
    <t>El Índice de Producción Industrial #IPI de #Andalucia registró un incremento en julio del 0,02% respecto al mes anterior. Ver más: https://t.co/cJlSwUbPYx
#macroeconomics #BusinessIntelligence #macroeconomia #industria #data #ine https://t.co/6Og9YrYC1t</t>
  </si>
  <si>
    <t>La provincia de #Andalucia que más disminuyó fue #Sevilla que redujo su número en un 15,18%. Ver más: https://t.co/yhyIjzOGED
#macroeconomia #BusinessIntelligence #macroeconomics #vivienda #data #ine</t>
  </si>
  <si>
    <t>La provincia de #Andalucia que más aumentó el número de #hipotecas constituidas sobre viviendas en junio fue #Malaga que registró un incremento del 17,26% respecto a mayo. Ver más: https://t.co/yhyIjzOGED
#macroeconomia #BusinessIntelligence #macroeconomics #vivienda #data #ine https://t.co/tKKq0Jvl60</t>
  </si>
  <si>
    <t>Las #exportaciones de #vino de #CastillayLeon aumentaron en junio un 7,31% al exportar por valor de 20,30 Millones de €. Ver más: https://t.co/Ly50AboEBW #macroeconomia #BusinessIntelligence #macroeconomics #exports #ComercioExterior #Data #icex #mercados https://t.co/qXN1NnB2Sd</t>
  </si>
  <si>
    <t>En julio, en #CastillayLeon se registraron 39.480 #contratos del tipo #temporal por circunstancias de la producción, cifra que supone el 58,20% de los contratos registrados en este mes. Ver más: https://t.co/XUZNz8wBlk #macroeconomics #BI #macroeconomia #empleo #data #paro #sepe https://t.co/P8DrPDlgHz</t>
  </si>
  <si>
    <t>La provincia de #Andalucia que registró mayor descenso fue #Jaen (-17,39%). Ver más: https://t.co/dg89blSlLJ
#macroeconomia #BusinessIntelligence #macroeconomics #export #MercadosExteriores #data #icex #comercio</t>
  </si>
  <si>
    <t>La Comunidad que registró mayor incremento fue #Canarias (+3,88%). Ver más: https://t.co/NoKfwpIiWQ
#macroeconomia #BusinessIntelligence #macroeconomics #industria #precios #data #ine</t>
  </si>
  <si>
    <t>La #ComunidadAutonoma que registró un mayor descenso en el Índice de Precios Industriales #IPRI en el mes de junio fue #Cantabria (-0,91%). Ver más: https://t.co/NoKfwpIiWQ
#macroeconomia #BusinessIntelligence #macroeconomics #industria #precios #data #ine https://t.co/2GuuXtDDFp</t>
  </si>
  <si>
    <t>La tasa de temporalidad de los #ContratosRegistrados en las provincias de #CastillayLeon en agosto osciló entre el 61,70% de #Leon y el 87,71% de #Palencia.Ver más: https://t.co/NQgK06874x #macroeconomics #BusinessIntelligence #macroeconomia #temporalidad #empleo #data #sepe https://t.co/DLaLsm7T93</t>
  </si>
  <si>
    <t>El Índice de Producción Industrial #IPI de #Madrid registró un descenso en julio del 2,04% respecto al mes anterior. Ver más: https://t.co/ORmDNjPnyo #macroeconomics #BusinessIntelligence #macroeconomia #industria #data #ine https://t.co/uSyWr3R9DP</t>
  </si>
  <si>
    <t>El #IPC  base 2021 de agosto en #España quedó fijado en 113,149 lo que representa un incremento del 0,5% respecto a julio. Ver más: https://t.co/BdC931Hjiq #macroeconomics #BusinessIntelligence #macroeconomia #precios #inflacion #data #ine https://t.co/VQCvhPhZPg</t>
  </si>
  <si>
    <t>En junio, el 60% de las #hipotecas constituídas sobre viviendas en #España lo hicieron a tipo de interés fijo. Ver más: https://t.co/8qRqWh1Zq3 #macroeconomia #BusinessIntelligence #macroeconomics #vivienda #data #ine #tipos https://t.co/HjEfVVoh3g</t>
  </si>
  <si>
    <t>Las #exportaciones de #vino de #CastillayLeon se aumentaron en mayo un 10,09% al exportar por valor de 18,91 Millones de €. Ver más: https://t.co/riBXhiJTjl #macroeconomia #BusinessIntelligence #macroeconomics #exports #ComercioExterior #Data #icex #mercados https://t.co/77n1dCDY95</t>
  </si>
  <si>
    <t>La provincia de #Andalucia que en julio registró mayor descenso fue #Cadiz (-40,85%). Ver más: https://t.co/tiTh3fUcPi
#macroeconomia #BusinessIntelligence #macroeconomics #empresas #data #ine</t>
  </si>
  <si>
    <t>La tasa de temporalidad de los #ContratosRegistrados en las provincias de #CastillayLeon en julio osciló entre el 61,63% de #Segovia y el 85,65% de #Palencia.Ver más: https://t.co/XUZNz8wBlk #macroeconomics #BusinessIntelligence #macroeconomia #temporalidad #empleo #data #sepe https://t.co/RIkZbTzRsj</t>
  </si>
  <si>
    <t>En julio, el número de #parados registrados en #CastillayLeon aumentó en 83 (+0,08%). Ver más: https://t.co/Jk9JawctRT #macroeconomia #BusinessIntelligence #macroeconomics #ParoRegistrado #empleo #data #sepe https://t.co/UyakZoXPCt</t>
  </si>
  <si>
    <t>En mayo, el número de #hipotecas constituidas sobre viviendas  en #Madrid ascendió a 5.078, un 16,12% superior al número registrado en el mes anterior. Ver más:  https://t.co/ssAUHGUGtk #macroeconomia #BusinessIntelligence #macroeconomics #vivienda #preciosVivienda #data #ine https://t.co/7JpddYJ1Nr</t>
  </si>
  <si>
    <t>El 20,57% de los #contratos registrados en junio en #España fueron inferiores a 7 días. Este tipo de contratos alcanzó la cifra de 307.042. Ver más: https://t.co/mrrXMJMybS #macroeconomia #BusinessIntelligence #macroeconomics #empresas #empleo #paro #data #sepe https://t.co/A7dapgaznX</t>
  </si>
  <si>
    <t>La provincia de #CastillayLeon que menos incrementó el #IPC, respecto a mayo, fue #Leon (+0,3%). Ver Más: https://t.co/iu2qRb0cjh
#macroeconomics #BusinessIntelligence #macroeconomia #precios #inflacion #data #consumo #ine</t>
  </si>
  <si>
    <t>En junio, las provincias de #CastillayLeon con mayor incremento en el #IPC, respecto a mayo, fueron #Avila, #Burgos y #Soria (+0,8%). Ver Más: https://t.co/iu2qRb0cjh
#macroeconomics #BusinessIntelligence #macroeconomia #precios #inflacion #data #consumo #ine https://t.co/T7KOZP0lfz</t>
  </si>
  <si>
    <t>La mayor variación en el #IPC de agosto en #Madrid se registró en el grupo #Transporte (+2,9%). Ver más: https://t.co/H28CkYJKic #BusinessIntelligence #macroeconomia #precios #inflacion #data #consumo #ine https://t.co/1WWZYDoFfh</t>
  </si>
  <si>
    <t>RT @JMendezLiron: La mayor variación en el #IPC de agosto en #Madrid se registró en el grupo #Transporte (+2,9%). Ver más: https://t.co/H28…</t>
  </si>
  <si>
    <t>La Comunidad en la que menos aumentó el IPC fue #Navarra (+0,3%). Ver más: https://t.co/BdC931Hjiq
#macroeconomics #BusinessIntelligence #macroeconomia #precios #inflacion #consumo #data #ine</t>
  </si>
  <si>
    <t>La #ComunidadAutonoma, en la que más aumentó el #IPC en agosto respecto a julio fue #Baleares (+0,9%). Ver más: https://t.co/BdC931Hjiq
#macroeconomics #BusinessIntelligence #macroeconomia #precios #inflacion #consumo #data #ine https://t.co/eenHepN1ik</t>
  </si>
  <si>
    <t>En julio, en la comunidad de #Madrid se crearon el 23,37% de las #SociedadesMercantiles creadas en #España y se disolvieron el 34,28% del total. Ver más: https://t.co/Up4Wi53lxc #macroeconomia #BusinessIntelligence #macroeconomics #empresas #data #ine https://t.co/VpqJQax8PM</t>
  </si>
  <si>
    <t>La provincia de #CastillayLeon con mayor descenso en el #IPC, respecto a junio, fue #Salamanca (-0,2%). Ver Más: https://t.co/is6jsirk3Q
#macroeconomics #BusinessIntelligence #macroeconomia #precios #inflacion #data #consumo #ine</t>
  </si>
  <si>
    <t>En el Índice de Precios Industriales #IPRI por Destino de los bienes en #Madrid, la #Energia registró en junio un incremento del 4,73%. Ver más: https://t.co/pT79S9xpvi #macroeconomia #BusinessIntelligence #macroeconomics #precios #industrial #data #ine https://t.co/zBtjj3MtMi</t>
  </si>
  <si>
    <t>El #IndicedeProducciónIndustrial #IPI de #CastillayLeon registró un incremento en mayo del 17,92% respecto al mes anterior. Ver más: https://t.co/ah3hU8RUue #macroeconomics #BusinessIntelligence #macroeconomia #industria #data #ine https://t.co/AtPhWN50Fb</t>
  </si>
  <si>
    <t>En términos relativos fue #Soria con 56 parados más (+4,24%). Ver más: https://t.co/IY1mIt32EZ
#macroeconomia #BusinessIntelligence #empleo #paro #sepe</t>
  </si>
  <si>
    <t>RT @JMendezLiron: En términos relativos fue #Soria con 56 parados más (+4,24%). Ver más: https://t.co/IY1mIt32EZ
#macroeconomia #BusinessIn…</t>
  </si>
  <si>
    <t>El #IPC de agosto en #Madrid se sitúa en 111,479 lo que representa una variación anual del 2,3%. Ver más: https://t.co/H28CkYJKic #macroeconomics #BusinessIntelligence #macroeconomia #precios #inflacion #consumo #data #ine https://t.co/MNivbCNDtT</t>
  </si>
  <si>
    <t>RT @JMendezLiron: El #IPC de agosto en #Madrid se sitúa en 111,479 lo que representa una variación anual del 2,3%. Ver más: https://t.co/H2…</t>
  </si>
  <si>
    <t>La mayor variación en el #IPC de agosto en #Andalucia se registró en el grupo #Transporte (+2,9%). Ver más: https://t.co/WBI4kwuN3H #macroeconomics #BusinessIntelligence #macroeconomia #precios #inflacion #data #ine https://t.co/ycDSwNyUqD</t>
  </si>
  <si>
    <t>RT @JMendezLiron: La mayor variación en el #IPC de agosto en #Andalucia se registró en el grupo #Transporte (+2,9%). Ver más: https://t.co/…</t>
  </si>
  <si>
    <t>En julio, en #Andalucia se constituyeron 1.359 #SociedadesMercantiles,  un 27,83% menos que en el mes anterior, y se disolvieron 253, un 2,69% menos que el número registrado en junio. Ver más: https://t.co/tiTh3fUcPi #macroeconomia #BI #macroeconomics #empresas #data #ine https://t.co/0geRhCShiW</t>
  </si>
  <si>
    <t>RT @JMendezLiron: En julio, en #Andalucia se constituyeron 1.359 #SociedadesMercantiles,  un 27,83% menos que en el mes anterior, y se diso…</t>
  </si>
  <si>
    <t>En agosto, las provincias de #CastillayLeon con mayor incremento en el #IPC, respecto a julio, fueron #Salamanca y #Soria (+0,7%). Ver Más: https://t.co/WzlZZ47WH2
#macroeconomics #BusinessIntelligence #macroeconomia #precios #inflacion #data #consumo #ine https://t.co/LTgJz5NX2u</t>
  </si>
  <si>
    <t>RT @JMendezLiron: En agosto, las provincias de #CastillayLeon con mayor incremento en el #IPC, respecto a julio, fueron #Salamanca y #Soria…</t>
  </si>
  <si>
    <t>La provincia de #CastillayLeon con menor aumento en el #IPC, respecto a julio, fue #Zamora (+0,3%). Ver Más: https://t.co/WzlZZ47WH2
#macroeconomics #BusinessIntelligence #macroeconomia #precios #inflacion #data #consumo #ine</t>
  </si>
  <si>
    <t>RT @JMendezLiron: La provincia de #CastillayLeon con menor aumento en el #IPC, respecto a julio, fue #Zamora (+0,3%). Ver Más: https://t.co…</t>
  </si>
  <si>
    <t>La provincia de #CastillayLeon que en julio registró mayor descenso en la constitución de #SociedadesMercantiles respecto al mes anterior fue: #Burgos (-60,53%). Ver más: https://t.co/9EVDn1W7dv
#macroeconomia #BusinessIntelligence #macroeconomics #empresas #data #ine https://t.co/kJxDCvST9K</t>
  </si>
  <si>
    <t>RT @JMendezLiron: La provincia de #CastillayLeon que en julio registró mayor descenso en la constitución de #SociedadesMercantiles respecto…</t>
  </si>
  <si>
    <t>La provincia que registró mayor incremento fue: #Soria (+300%). Ver más: https://t.co/9EVDn1W7dv
#macroeconomia #BusinessIntelligence #macroeconomics #empresas #data #ine</t>
  </si>
  <si>
    <t>RT @JMendezLiron: La provincia que registró mayor incremento fue: #Soria (+300%). Ver más: https://t.co/9EVDn1W7dv
#macroeconomia #Business…</t>
  </si>
  <si>
    <t>La Comunidad Autónoma que presenta la mayor #TasadeParo (#EPA) en el segundo trimestre es #Andalucia (18,05%). El menor registro lo presenta #PaisVasco (7,13%). Ver más: https://t.co/ofO1SFGCOH
#macroeconomia #BusinessIntelligence #macroeconomics #data #ine https://t.co/eOMfWotgmH</t>
  </si>
  <si>
    <t>Los datos de la #EPA (Encuesta Población Activa) registran una #TasadeParo en #España en el segundo trimestre del 11,6%. Ver más: https://t.co/ofO1SFGCOH
#macroeconomia #BusinessIntelligence #data #ine #macroeconomics https://t.co/ykAf5eFrCY</t>
  </si>
  <si>
    <t>En mayo, el número de #hipotecas constituidas sobre viviendas en #España ascendió a 33.398, un 23,45% superior al número registrado en el mes anterior. Ver más: https://t.co/rnfS4G9Uvc #macroeconomia #BusinessIntelligence #macroeconomics #vivienda #data #ine https://t.co/qXg0EsnByU</t>
  </si>
  <si>
    <t>RT @JMendezLiron: Las #exportaciones acumuladas de julio de #Andalucia a #Alemania se incrementaron un 4,9% respecto a las acumuladas de ju…</t>
  </si>
  <si>
    <t>El #ParoRegistrado en #España aumentó en agosto un 0,93% dejando la cifra de desempleados en 2.702.700. Ver más: https://t.co/cHg3LXHkOq #macroeconomia #BusinessIntelligence #macroeconomics #empleo #data #sepe https://t.co/SHG3X3bxnL</t>
  </si>
  <si>
    <t>Las #exportaciones acumuladas de junio de #Andalucia a #Alemania se incrementaron un 5,19% respecto a las acumuladas de junio del año anterior. Ver más: https://t.co/YWXrlfbgsF
#Macroeconomics #BusinessIntelligence #macroeconomia #export #MercadosExteriores #data #icex #comercio https://t.co/gZN4Vz6w1W</t>
  </si>
  <si>
    <t>La provincia que registró mayor incremento fue: #Burgos (+41,38%). Ver más: https://t.co/QFUbviTT5g
#macroeconomia #BusinessIntelligence #macroeconomics #empresas #data #ine</t>
  </si>
  <si>
    <t>La provincia de #CastillayLeon que en mayo registró mayor descenso en la constitución de #SociedadesMercantiles respecto al mes anterior fue: #Soria (-63,64%). Ver más: https://t.co/QFUbviTT5g
#macroeconomia #BusinessIntelligence #macroeconomics #empresas #data #ine https://t.co/bFkV34PJ44</t>
  </si>
  <si>
    <t>Las #exportaciones de #vino de #CastillayLeon disminuyeron en julio un 26,79% al exportar por valor de 14,86 Millones de €. Ver más: https://t.co/7zwHu2oG9K #macroeconomia #BusinessIntelligence #macroeconomics #exports #ComercioExterior #Data #icex #mercados https://t.co/HsPxxEjwUk</t>
  </si>
  <si>
    <t>RT @JMendezLiron: La provincia de #Andalucia que en julio registró mayor descenso fue #Cadiz (-40,85%). Ver más: https://t.co/tiTh3fUcPi
#m…</t>
  </si>
  <si>
    <t>Desglose por edades de los #contratos iniciales registrados en el mes de agosto. Ver más: https://t.co/69Sb2940Qn #edadismo #empleo #macroeconomics #macroeconomia #BusinessIntelligence #data #sepe https://t.co/fRcsr0YGSD</t>
  </si>
  <si>
    <t>El #IndicedeProducciónIndustrial #IPI de los #Bienes de consumo duradero en #Andalucia registraron un incremento en julio del 10,6% respecto al mes anterior. Ver más: https://t.co/cJlSwUbPYx #macroeconomics #BusinessIntelligence #macroeconomia #industria #data #ine https://t.co/JTk4gDLcbj</t>
  </si>
  <si>
    <t>La mayor variación en el #IPC de julio en #Madrid se registró en el grupo #Vestido y Calzado (-8,6%). Ver más: https://t.co/AHdfDDV2L1 #BusinessIntelligence #macroeconomia #precios #inflacion #data #consumo #ine https://t.co/Aelznnruky</t>
  </si>
  <si>
    <t>El #ParoRegistrado en #España disminuyó en julio un 0,41% dejando la cifra de desempleados en 2.677.874. Ver más: https://t.co/7EPkE71OFc #macroeconomia #BusinessIntelligence #macroeconomics #empleo #data #sepe https://t.co/WognRAxNR2</t>
  </si>
  <si>
    <t>En mayo, el número de #hipotecas constituidas sobre #viviendas  en #Andalucia ascendió a 7.111, un 29,93% superior al número registrado en el mes anterior. Ver más:  https://t.co/IMlBDx61lK #macroeconomia #BusinessIntelligence #macroeconomics #precioVivienda #data #ine https://t.co/nzGVFhg0F4</t>
  </si>
  <si>
    <t>Las Comunidades con menor incremento  del IPC fueron #Andalucia y #Extremadura (+0,4%). Ver más: https://t.co/TnGwkagoHA
#macroeconomics #BusinessIntelligence #macroeconomia #precios #inflacion #consumo #data #ine</t>
  </si>
  <si>
    <t>La #ComunidadAutonoma, en la que más aumentó el #IPC en junio respecto a mayo fue #Baleares (+0,8%). Ver más: https://t.co/TnGwkagoHA
#macroeconomics #BusinessIntelligence #macroeconomia #precios #inflacion #consumo #data #ine https://t.co/oCUD0re23a</t>
  </si>
  <si>
    <t>El #IPC  base 2021 de junio en #España quedó fijado en 112,354 lo que representa un incremento del 0,6% respecto a mayo. Ver más: https://t.co/TnGwkagoHA #macroeconomics #BusinessIntelligence #macroeconomia #precios #inflacion #data #ine https://t.co/LjD6ulGBmM</t>
  </si>
  <si>
    <t>RT @JMendezLiron: La Comunidad que registró mayor incremento fue #Andalucia (+3,63%). Ver más: https://t.co/iqeZRfNJ1U
#macroeconomia #Busi…</t>
  </si>
  <si>
    <t>El Índice de #Producción Industrial #IPI de #España se redujo en julio un 3,86% respecto al mes anterior. Ver más: https://t.co/53LcWLAv3L #macroeconomics #BusinessIntelligence #macroeconomia #industria #data #ine https://t.co/C25bRHRTzH</t>
  </si>
  <si>
    <t>El #IPC de julio en #Madrid se sitúa en 111,087 lo que representa una variación anual del 2%. Ver más: https://t.co/AHdfDDV2L1 #macroeconomics #BusinessIntelligence #macroeconomia #precios #inflacion #consumo #data #ine https://t.co/zdAJHcHLSD</t>
  </si>
  <si>
    <t>La provincia de #CastillayLeon que más aumentó fue #Soria (84,21%). Ver más: https://t.co/6xcR2eKWbP
#macroeconomia #BusinessIntelligence #macroeconomics #vivienda #data #ine</t>
  </si>
  <si>
    <t>La Comunidad que registró mayor incremento fue #Andalucia (+3,63%). Ver más: https://t.co/iqeZRfNJ1U
#macroeconomia #BusinessIntelligence #macroeconomics #industria #precios #data #ine</t>
  </si>
  <si>
    <t>Las #exportaciones acumuladas de julio de #Andalucia a #Alemania se incrementaron un 4,9% respecto a las acumuladas de julio del año anterior. Ver más: https://t.co/lk42nvvkgT
#Macroeconomics #BusinessIntelligence #macroeconomia #export #MercadosExteriores #data #icex #comercio https://t.co/btMcb1A4h2</t>
  </si>
  <si>
    <t>Las #exportaciones acumuladas de junio de  #CastillayLeon a #Francia aumentaron un 3,78% respecto al acumulado de junio del año anterior. Ver más: https://t.co/AjupSGVGc8 #macroeconomics #BusinessIntelligence #macroeconomia #export #mercadosExteriores #data #comercio https://t.co/sWjdHgEiK5</t>
  </si>
  <si>
    <t>La provincia de #Andalucia que menos aumentó fue #Cadiz que incrementó su número en un 15,79%. Ver más: https://t.co/IMlBDx61lK
#macroeconomia #BusinessIntelligence #macroeconomics #vivienda #data #ine</t>
  </si>
  <si>
    <t>La provincia de #Andalucia que más aumentó el número de #hipotecas constituidas sobre viviendas en mayo fue #Huelva que registró un incremento del 51,86% respecto a abril. Ver más: https://t.co/IMlBDx61lK
#macroeconomia #BusinessIntelligence #macroeconomics #vivienda #data #ine https://t.co/213cWv7z8g</t>
  </si>
  <si>
    <t>En junio, se registraron en #España 1.492.803 #contratos, un 5,72% más que en el mes de mayo. Ver más: https://t.co/mrrXMJMybS #macroeconomia #empleo #businessintelligence #macroeconomics #paro #data #sepe https://t.co/UTqpgx50mQ</t>
  </si>
  <si>
    <t>La mayor variación en el #IPC de junio en #CastillayLeon se registró en el grupo #Ocio y cultura (+2,0%). Ver más: https://t.co/iu2qRb0cjh #macroeconomics #BusinessIntellingence #macroeconomia #precios #inflacion #data #consumo #ine https://t.co/VYUCcMjbnz</t>
  </si>
  <si>
    <t>La provincia de #Andalucia que registró mayor descenso fue #Cadiz (-23,62%). Ver más: https://t.co/lk42nvvS6r
#macroeconomia #BusinessIntelligence #macroeconomics #export #MercadosExteriores #data #icex #comercio</t>
  </si>
  <si>
    <t>RT @JMendezLiron: La provincia de #Andalucia que registró mayor descenso fue #Cadiz (-23,62%). Ver más: https://t.co/lk42nvvS6r
#macroecono…</t>
  </si>
  <si>
    <t>La #ComunidadAutonoma que registró un mayor descenso en el Índice de Precios Industriales #IPRI en el mes de agosto fue #Aragon (-0,48%). Ver más: https://t.co/iqeZRfNJ1U
#macroeconomia #BusinessIntelligence #macroeconomics #industria #precios #data #ine https://t.co/JWov6ZBNkD</t>
  </si>
  <si>
    <t>RT @JMendezLiron: La #ComunidadAutonoma que registró un mayor descenso en el Índice de Precios Industriales #IPRI en el mes de agosto fue #…</t>
  </si>
  <si>
    <t>La única provincia de #CastillayLeon que registró descenso fue #Salamanca (-7,44%). Ver más: https://t.co/bZ5fiFWXax #data #BusinessIntelligence #export #MercadosExteriores #macroeconomics #macroeconomia #comercio</t>
  </si>
  <si>
    <t>RT @JMendezLiron: La única provincia de #CastillayLeon que registró descenso fue #Salamanca (-7,44%). Ver más: https://t.co/bZ5fiFWXax #dat…</t>
  </si>
  <si>
    <t>Las #exportaciones acumuladas de julio de  #CastillayLeon a #Francia aumentaron un 4,67% respecto al acumulado de julio del año anterior. Ver más: https://t.co/bZ5fiFWXax #macroeconomics #BusinessIntelligence #macroeconomia #export #mercadosExteriores #data #comercio https://t.co/qTMSzG1WAJ</t>
  </si>
  <si>
    <t>RT @JMendezLiron: Las #exportaciones acumuladas de julio de  #CastillayLeon a #Francia aumentaron un 4,67% respecto al acumulado de julio d…</t>
  </si>
  <si>
    <t>La mayor variación en el #IPC de agosto en #CastillayLeon se registró en el grupo #Transporte (+3%). Ver más: https://t.co/WzlZZ47WH2
#macroeconomics #BusinessIntellingence #macroeconomia #precios #inflacion #data #consumo #ine https://t.co/WaWaDIzJnZ</t>
  </si>
  <si>
    <t>En agosto, se registraron en #España 1.088.831 #contratos, un 23,93% menos que en el mes de julio. Ver más: https://t.co/7xWXquTHFo #macroeconomia #empleo #businessintelligence #macroeconomics #paro #data #sepe https://t.co/ggc8HXxAz4</t>
  </si>
  <si>
    <t>El #IndicedeProducciónIndustrial #IPI de #CastillayLeon registró un descenso en julio del 5,92% respecto al mes anterior. Ver más: https://t.co/loAecAfqBq #macroeconomics #BusinessIntelligence #macroeconomia #industria #data #ine https://t.co/Uqmy8PEHDK</t>
  </si>
  <si>
    <t>La mayor variación en el #IPC de julio en #CastillayLeon se registró en el grupo #Vestido y calzado (-11%). Ver más: https://t.co/is6jsirRTo #macroeconomics #BusinessIntellingence #macroeconomia #precios #inflacion #data #consumo #ine https://t.co/2oYUg1aSqU</t>
  </si>
  <si>
    <t>En el Índice de Precios Industriales #IPRI por Destino de los bienes en #CastillayLeon, la #Energia registró en junio un incremento del 5,21%. Ver más: https://t.co/BI532zJZgl #macroeconomia #BusinessIntelligence #macroeconomics #precios #industria #data #ine https://t.co/rT0KDGvVmz</t>
  </si>
  <si>
    <t>RT @JMendezLiron: Las #exportaciones de #vino de #CastillayLeon disminuyeron en julio un 26,79% al exportar por valor de 14,86 Millones de…</t>
  </si>
  <si>
    <t>En agosto, el Índice de Precios Industriales #IPRI de  #España se situó en 150,178 que es un 1,17% superior al registrado en el mes anterior. Ver más: https://t.co/iqeZRfNbcm #macroeconomia #BusinessIntelligence #macroeconomics #precios #industria #data #ine https://t.co/N9X6LpoLKS</t>
  </si>
  <si>
    <t>RT @JMendezLiron: En agosto, el Índice de Precios Industriales #IPRI de  #España se situó en 150,178 que es un 1,17% superior al registrado…</t>
  </si>
  <si>
    <t>En agosto, la provincia de #Andalucia con mayor incremento del #IPC fue #Almeria (+0,7%). Ver Más: https://t.co/WBI4kwuN3H
#macroeconomics #BusinessIntelligence #macroeconomia #precios #inflacion #data #Consumo #ine https://t.co/Lii1KY1bVm</t>
  </si>
  <si>
    <t>RT @JMendezLiron: En agosto, la provincia de #Andalucia con mayor incremento del #IPC fue #Almeria (+0,7%). Ver Más: https://t.co/WBI4kwuN3…</t>
  </si>
  <si>
    <t>La provincia de #Andalucia con menor incremento del IPC fue #Jaen (+0,4%). Ver Más: https://t.co/WBI4kwuN3H
#macroeconomics #BusinessIntelligence #macroeconomia #precios #inflacion #data #Consumo #ine</t>
  </si>
  <si>
    <t>RT @JMendezLiron: La provincia de #Andalucia con menor incremento del IPC fue #Jaen (+0,4%). Ver Más: https://t.co/WBI4kwuN3H
#macroeconomi…</t>
  </si>
  <si>
    <t>La única provincia de #Andalucia que en julio registró incremento en la constitución de #SociedadesMercantiles respecto al mes anterior fue #Cordoba (+6,25%). Ver más: https://t.co/tiTh3fUcPi
#macroeconomia #BusinessIntelligence #macroeconomics #empresas #data #ine https://t.co/nf9EOfns8U</t>
  </si>
  <si>
    <t>RT @JMendezLiron: La única provincia de #Andalucia que en julio registró incremento en la constitución de #SociedadesMercantiles respecto a…</t>
  </si>
  <si>
    <t>En agosto, en #CastillayLeon se registraron 34.225 #contratos del tipo #temporal por circunstancias de la producción, cifra que supone el 60,38% de los contratos registrados en este mes. Ver más: https://t.co/NQgK06874x #macroeconomics #BI #macroeconomia #empleo #data #paro #sepe https://t.co/PadnheUM6t</t>
  </si>
  <si>
    <t>El #IndicedeProduccionIndustrial #IPI de los #Bienes de equipo en #Madrid registró un descenso en julio del 10,6% respecto al mes anterior. Ver más: https://t.co/ORmDNjPnyo #macroeconomics #BusinessIntelligence #macroeconomia #industria #data #ine https://t.co/8qKuzgOQ9s</t>
  </si>
  <si>
    <t>El #IndicedeProduccionIndustrial #IPI de los #Bienes intermedios en #Madrid registró un incremento en junio del 8,3% respecto al mes anterior. Ver más: https://t.co/Lt9kCLtGOa #macroeconomics #BusinessIntelligence #macroeconomia #industria #data #ine https://t.co/glYcXWgiqf</t>
  </si>
  <si>
    <t>El Índice de Producción Industrial #IPI de #Madrid registró un incremento en junio del 3,07% respecto al mes anterior. Ver más: https://t.co/Lt9kCLtGOa #macroeconomics #BusinessIntelligence #macroeconomia #industria #data #ine https://t.co/eGXsnkNzQD</t>
  </si>
  <si>
    <t>Especialistas apontam que momento é de cautela, mas mantêm projeções de o índice fechar no azul neste ano.
Confira as avaliações.
#ibovespa #bolsadevalores #mercadofinanceiro
https://t.co/PNRjIFimYH</t>
  </si>
  <si>
    <t>Companhias que atuam no setor financeiro, principalmente as que dependem fortemente de receita oriunda da renda variável, serão as primeiras a acelerar no mercado.
Entenda!
#juros #selic #bolsadevalores #mercadofinanceiro
https://t.co/YPDLyINAxe</t>
  </si>
  <si>
    <t>Mercado prevê inflação de 4,95% para este ano
O mercado financeiro reduziu a previsão da inflação para este ano pela oitava vez. Segundo projeção do Boletim Focus, divulgada nesta segunda-feira (10) #economia #inflação #INFLAÇÃO2023 #MERCADOFINANCEIRO
https://t.co/N4sd7znj5a</t>
  </si>
  <si>
    <t>Tendo oportunidade de conhecer @olvelez007 e seus ensinamentos ao vivo! BOOOUUUMMM  #ifoundtraders #bolsa #bolsadevalores #mercadofinanceiro #trader #at #analisetecnica https://t.co/YA6942VQUh</t>
  </si>
  <si>
    <t>Neste primeiro post, gostaria de destacar que dois setores acabaram de entrar no quadrante verde: Materiais Básicos e Utilidades Públicas. Há muito mais a explorar e compartilhar sobre este tema, e estarei fazendo isso. 📈💼 #Finanças #Investimentos #MercadoFinanceiro</t>
  </si>
  <si>
    <t>O Mercado Financeiro é uma grande Pirâmide  só que é Legalizado.
Problemas com o seu Patrimônio?
Dr. Covesa resolve 👊
#Contabilidade
#MercadoFinanceiro 
#Perícia
#Patrimonio
#EducacaoFinanceira</t>
  </si>
  <si>
    <t>Pare de quebrar a cabeça no mercado financeiro. Opere de forma automática com a ajuda da inteligência artificial. Conheça o robô investidor trader #Investimentos #MercadoFinanceiro #bolsadevalores #daytrade #miniindice #minidolar
Saiba mais ➡️ https://t.co/BC37DY4utw https://t.co/6EgdVhFyCf</t>
  </si>
  <si>
    <t>Do tradicional à revolução digital: As gigantes abraçam o universo cripto, provando que o futuro financeiro já é agora. 🚀🌐
E você, já está posicionado para o futuro?
#Bitypreço #Bitcoin #Cripto #Inovação #MercadoFinanceiro https://t.co/JT2CdXmtej</t>
  </si>
  <si>
    <t>#ArtículodeInvestigación
📊📉 Los grandes impactos provenientes de la pandemia sanitaria del COVID- 19 mostraron los límites economicistas e instrumentalistas de la política fiscal.
Revisa 🔎 https://t.co/DWbWinCiam
#políticafiscal #bienestar #buenvivir #macroeconomía https://t.co/L3oWOBWsbn</t>
  </si>
  <si>
    <t>Venha conhecer este breve lançamento em Pinheiros, oportunidade para você morar próximo ao metrô Oscar Freire. 
Maiores informações com Douglas corretor 99111-0426 Creci 189428-F https://t.co/pPfdculjs7 
#lançamento #decorado #imoveisdeluxo #altopadrao #bmw  #mercadofinanceiro https://t.co/llk6dpBskf</t>
  </si>
  <si>
    <t>Diga adeus aos problemas com seu banco tradicional! 
Descubra a liberdade e praticidade de uma experiência bancária moderna e descomplicada. 
Abra sua ContaCripto! 
#ContaCripto #paguecomcripto #fintechs #meiosdepagamento #pix #bitcoin #mercadofinanceiro #criptomoedas https://t.co/ocDJ42InXd</t>
  </si>
  <si>
    <t>@Comunardo Ma il comunicato stampa #Farnesina è esilarante (davvero).
Usciamo dalla #ViadellaSeta per "riequilibrare la bilancia commerciale" tra la #Cina e #l'Italia. Da giovanotti haanno saltato i corsi di febbraio di #macroeconomia per fare la settimana bianca.
https://t.co/GHTWkYGngL</t>
  </si>
  <si>
    <t>Setor de serviços julho 2023
————————
Siga para comentários de economia, política e finanças.
Redes sociais no link na bio.
#projecoes #mercadofinanceiro #bcb #selic #pensaaí #andreperfeito #financas #aposentadoria #opcoes #voudeixarissoaqui https://t.co/iWCZYou7tc</t>
  </si>
  <si>
    <t>Para aprender como me “ler” e de quebra ajudar a vc fazer projeções.
————————
Siga para comentários de economia, política e finanças.
Redes sociais no link na bio.
#projecoes #mercadofinanceiro #bcb #selic #pensaaí #andreperfeito #financas #aposentadoria #opcoes… https://t.co/AFkT6YyFCN</t>
  </si>
  <si>
    <t>Toda decisão técnica necessariamente tem efeito político.
————————
Siga para comentários de economia, política e finanças.
Redes sociais no link na bio.
#projecoes #mercadofinanceiro #bcb #selic #pensaaí #andreperfeito #financas #aposentadoria #opcoes #voudeixarissoaqui https://t.co/PxMrWm32dH</t>
  </si>
  <si>
    <t>The keys to your financial freedom. Play them wisely
.
.
.
#finance #libertadfinanciera #liberdadefinanceira #finances #personalfinance #financetips #mercadofinanceiro #educacionfinanciera #educacaofinanceira #planejamentofinanceiro #independenciafinanceira #educaçãofinanceira https://t.co/ltpHCoycnb</t>
  </si>
  <si>
    <t>#GestiónRiesgos #Macroeconomía</t>
  </si>
  <si>
    <t>I agree with Jason Furman's call for a 3% inflation target — the rationale for 2% has been overtaken by a couple of decades' experience (and many of us have been saying this for a while). But ... 1/ https://t.co/qz9tQQotqS</t>
  </si>
  <si>
    <t>#Macroeconomía</t>
  </si>
  <si>
    <t>Maersk forecasts long and deep contraction in global trade https://t.co/7dhdWzpLeu</t>
  </si>
  <si>
    <t>La vicepresidenta económica defiende su candidatura y confirma que seguiría en el Gobierno hasta enero. #Macroeconomía
https://t.co/sn3STJApPX</t>
  </si>
  <si>
    <t>El Banco de Inglaterra sube los tipos en 25 puntos básicos y deja la puerta abierta a más subidas https://t.co/rOwY7jtHAi a través de @cincodiascom 
#Macroeconomía</t>
  </si>
  <si>
    <t>El Tesoro vende letras a tres meses al 3,5%, máximos de 2011 https://t.co/JFWIUMNxhD a través de @cincodiascom 
#PolíticaMonetaria #Macroeconomía</t>
  </si>
  <si>
    <t>El BCE vuelve a elevar los tipos, al 4,25%, y se acerca al final de las subidas https://t.co/b0Kb5JEC6k vía @cincodiascom
#Macroeconomía</t>
  </si>
  <si>
    <t>El Tesoro paga menos del 3,5% por las letras a tres meses https://t.co/ICmBwieuxZ a través de @cincodiascom 
#Macroeconomía #PolíticaMonetaria</t>
  </si>
  <si>
    <t>El IPC subió el 2,6% en agosto, con un alza de los carburantes del 7,2% y alimentos del 10,5% https://t.co/USciao8utc a través de @cincodiascom 
#Macroeconomía #GestiónRiesgos</t>
  </si>
  <si>
    <t>El BCE sube tipos por décima vez pero sugiere el fin de las alzas https://t.co/zRmakfOqBV a través de @cincodiascom 
#Macroeconomía</t>
  </si>
  <si>
    <t>El paro cae en 10.968 personas en julio hasta los 2,67 millones de desempleados, mínimos desde 2008 https://t.co/vjEz9nNH31 a través de @epeconomia 
#Macroeconomía</t>
  </si>
  <si>
    <t>La producción industrial de Alemania se contrajo un 1,5% en junio https://t.co/Wt0VjG9vRU a través de @epeconomia 
#Macroeconomía #PolíticaMonetaria</t>
  </si>
  <si>
    <t>El paro cae en 365.300 personas en el segundo trimestre y la ocupación marca máximo de 21 millones https://t.co/agaqUmTXgf a través de @epeconomia 
#Macroeconomía</t>
  </si>
  <si>
    <t>La inflación de la eurozona se frenó en junio al 5,5%, pero la tasa subyacente repuntó al 5,5% https://t.co/xfqzpm64T2 a través de @epeconomia 
#Macroeconomía</t>
  </si>
  <si>
    <t>El PIB de la eurozona creció un 0,3% en el segundo trimestre tras estancarse en los tres primeros meses https://t.co/ADATqSAEXP a través de @epeconomia 
#Macroeconomía</t>
  </si>
  <si>
    <t>El IPC sube hasta el 2,6% en agosto por los carburantes y la inflación subyacente se modera al 6,1% https://t.co/i1wvPhal1g a través de @epeconomia 
#Macroeconomía</t>
  </si>
  <si>
    <t>La inflación de la eurozona se moderó al 5,3% en julio, en mínimos de enero de 2022, pero la subyacente no cede https://t.co/6TUV8T8Ki9 a través de @epeconomia 
#Macroeconomía</t>
  </si>
  <si>
    <t>El Tesoro coloca 6.258 millones en deuda y eleva el interés ofrecido por las obligaciones a 10 años al 3,613% https://t.co/bGtdPPtpzE a través de @epeconomia 
#Macroeconomía</t>
  </si>
  <si>
    <t>La actividad del sector servicios en España se contrae por primera vez desde octubre, según PMI https://t.co/RbHrmX6qYQ a través de @epeconomia 
#Macroeconomía</t>
  </si>
  <si>
    <t>El crecimiento del PIB de China se desaceleró al 0,8% en el segundo trimestre https://t.co/x2GuxA4da7 a través de @epeconomia 
#Macroeconomía</t>
  </si>
  <si>
    <t>El Tesoro coloca 6.927 millones en deuda a medio y largo plazo y el interés ofrecido a 30 años supera el 4% https://t.co/2jN5acgI5A a través de @epeconomia 
#PolíticaMonetaria #Macroeconomía</t>
  </si>
  <si>
    <t>Alemania confirma que su inflación se moderó al 6,1% en agosto, pero avisa del alto precio de los alimentos https://t.co/XCSmNrpXJh a través de @epeconomia 
#Macroeconomía</t>
  </si>
  <si>
    <t>La deuda pública se aleja de los máximos de junio y cae en julio un 0,7%, hasta los 1,558 billones https://t.co/nwqzkqlUaP a través de @epeconomia 
#Macroeconomía</t>
  </si>
  <si>
    <t>Las ventas de las empresas caen un 2,5% en mayo y suman dos meses de descensos https://t.co/c1qsVVClOW a través de @epeconomia 
#Macroeconomía</t>
  </si>
  <si>
    <t>El PIB creció un 0,5% en el segundo trimestre, una décima más de lo esperado, impulsado por el consumo https://t.co/AztXCQhT7L a través de @epeconomia 
#Macroeconomía</t>
  </si>
  <si>
    <t>Las ventas de las empresas moderan su caída en julio hasta el 3,8% y suman cuatro meses de descensos https://t.co/I488SFJpGc a través de @epeconomia 
#Macroeconomía</t>
  </si>
  <si>
    <t>La compraventa de viviendas baja un 10,5% en julio, hasta su menor cifra en este mes desde 2020 https://t.co/u7dNWlYV9u a través de @epeconomia 
#Macroeconomía #SectorFinanciero</t>
  </si>
  <si>
    <t>La inflación industrial ahonda su caída en julio hasta el 8,4% por el menor coste de la electricidad https://t.co/qRKqoLFuzw a través de @epeconomia 
#Macroeconomía</t>
  </si>
  <si>
    <t>La #deuda de empresas y hogares continuó reduciéndose en el primer trimestre de 2023, hasta el 121,1% del #PIB, frente al 135,3% observado un año antes https://t.co/kyqxDpEJpY  #bdeEstadísticas #bdePrensa #CuentasFinancieras https://t.co/6rKbCDKilm</t>
  </si>
  <si>
    <t>La financiación a las empresas y a las familias continúa disminuyendo en junio de 2023 a una tasa de variación interanual del -2,5 % y del -1,4 %, respectivamente https://t.co/n69ecjtWCU  #bdeEstadísticas #Crédito https://t.co/sS5TyhJPVt</t>
  </si>
  <si>
    <t>La #deuda de las Administraciones Públicas ascendió a 1.542 miles de millones de euros en mayo de 2023 👉 https://t.co/L9qoBYSG3h  #bdeEstadísticas #bdePrensa #DeudaPública https://t.co/2BAxRYYN9u</t>
  </si>
  <si>
    <t>La ratio de dudosos del #crédito al sector privado residente se situó en mayo en el 3,59% https://t.co/mD6CQ0CKVF #bdeEstadísticas #Morosidad https://t.co/bmxhbCQTwX</t>
  </si>
  <si>
    <t>Los #depósitos de las familias registraron un descenso del 0,5% en junio, al tiempo que los de las empresas disminuyeron un 3,5%, ambos en tasa interanual 📉 https://t.co/5HkxsgTb1J #bdeEstadísticas #Ahorro https://t.co/QNMMSPAbMR</t>
  </si>
  <si>
    <t>La #deuda de las Administraciones Públicas ascendió a 1.569 miles de millones de euros, el 113,1% del #PIB, en junio de 2023 👉 https://t.co/pIST4v9VLV  #bdeEstadísticas #bdePrensa #DeudaPública https://t.co/Cj3oWJEeT5</t>
  </si>
  <si>
    <t>Continúa la tendencia positiva de la #capacidaddefinanciación de la #economíaespañola en 2023, acumulando 24 miles de millones de euros en el primer semestre https://t.co/QyQHklGbIN  #bdeEstadísticas #bdePrensa #BalanzaDePagos https://t.co/hbMSu10Ddf</t>
  </si>
  <si>
    <t>Hemos actualizado las proyecciones macroeconómicas de la economía española para el período 2023-2025, incluidas en nuestro Informe Trimestral 📄 https://t.co/WEi0QxzCka  #bdeProyecciones #bdeInformeTrimestral #bdePublicaciones 
1/7 https://t.co/EVOEX3ZxdK</t>
  </si>
  <si>
    <t>#RiesgoFinanciero #Macroeconomía</t>
  </si>
  <si>
    <t>Los expertos esperan el final del ciclo de subidas de tipos esta semana https://t.co/mY7AwO064h a través de @elEconomistaes 
#Macroeconomía</t>
  </si>
  <si>
    <t>La maldición de la productividad atrapa de nuevo a la economía: se hunde en mitad de una creación de empleo récord https://t.co/tNilJz5sAo a través de @elEconomistaes 
#GestiónRiesgos #Macroeconomía</t>
  </si>
  <si>
    <t>El peor segundo trimestre de empleo para la Industria en una década no se explica por un trasvase a Servicios https://t.co/emhPHeox7P a través de @elEconomistaes 
#Macroeconomía #GestiónRiesgos</t>
  </si>
  <si>
    <t>La eurozona emite más señales preocupantes: los préstamos y el crecimiento del dinero aflojaron más de lo previsto en julio https://t.co/VudJR24ZBz a través de @elEconomistaes 
#Macroeconomía</t>
  </si>
  <si>
    <t>El secreto del boom de las exportaciones: la devaluación de salarios de la crisis de 2012 todavía concede ventaja a las empresas españolas https://t.co/cRRn49CjrJ a través de @elEconomistaes 
#Macroeconomía</t>
  </si>
  <si>
    <t>El euríbor da un pequeño respiro a los hipotecados al registrar en agosto su primera caída en 20 meses https://t.co/O6AyypXYQM a través de @elEconomistaes 
#Macroeconomía</t>
  </si>
  <si>
    <t>El IPC vuelve a subir en julio, al 2,3%, por los carburantes y la inflación subyacente escala al 6,2% https://t.co/paUpsP1Wzf a través de @elEconomistaes 
#Macroeconomía</t>
  </si>
  <si>
    <t>El ahorro de los hogares europeos se esfuma y ya ronda el nivel pre-Covid https://t.co/4fWstqV2M7 a través de @elEconomistaes 
#Macroeconomía</t>
  </si>
  <si>
    <t>El secreto de Alemania para superar la crisis: los silenciosos campeones que tirarán de su economía https://t.co/3AjzLoMHs0 a través de @elEconomistaes 
#Macroeconomía</t>
  </si>
  <si>
    <t>La inflación se relaja hasta el 3% en EEUU y la subyacente ya cae por debajo del 5% https://t.co/wxcPoHV4BV a través de @elEconomistaes 
#Macroeconomía</t>
  </si>
  <si>
    <t>La Fed muestra dudas: sube los tipos en 0,25 puntos y deja en el aire la segunda alza prometida https://t.co/OBoyNXljCT a través de @elEconomistaes 
#Macroeconomía</t>
  </si>
  <si>
    <t>Bruselas reconoce la estanflación, con un alza del PIB del 0,8% y del 5,6% del IPC en la eurozona https://t.co/MKGXRJR4I0 a través de @elEconomistaes 
#Macroeconomía</t>
  </si>
  <si>
    <t>Repliegue por sorpresa en el BCE: un gran halcón pone en duda la subida de tipos de septiembre https://t.co/uycMSVqDy8 a través de @elEconomistaes 
#Macroeconomía #GestiónRiesgos</t>
  </si>
  <si>
    <t>Las ventas de vehículos crecen por séptimo mes seguido y acumulan un alza del 22% en el año https://t.co/bfyBrgOQ4q a través de @elEconomistaes 
#Macroeconomía</t>
  </si>
  <si>
    <t>Solo el sector turístico se salva de la caída de ventas en verano, según el Banco de España  https://t.co/BpeYLDdEAX a través de @elEconomistaes 
#Macroeconomía</t>
  </si>
  <si>
    <t>El interés de las letras del Tesoro a 12 meses baja por primera vez en el año y se sitúa en el 3,68% https://t.co/nz0qQDp7zd a través de @elEconomistaes 
#Macroeconomía #PolíticaMonetaria</t>
  </si>
  <si>
    <t>El BCE insiste en que la inflación seguirá siendo "demasiado alta" y no descarta más alzas de tipos https://t.co/bEE5jYQ1sS a través de @elEconomistaes 
#Macroeconomía</t>
  </si>
  <si>
    <t>China sufre la mayor caída de las exportaciones en tres años por una economía más lenta https://t.co/qQj612Kqgr 
#Macroeconomía</t>
  </si>
  <si>
    <t>La inflación de la eurozona se modera al 5,3% en julio, en mínimos de enero de 2022, pero la subyacente no cede
#Macroeconomía https://t.co/RsKobQefpy</t>
  </si>
  <si>
    <t>El Bundesbank dice que Alemania atraviesa una "fase de debilidad" y prevé un nuevo estancamiento del PIB
#Macroeconomía https://t.co/ZL4ZPsTTsG</t>
  </si>
  <si>
    <t>El interés de las letras del Tesoro a nueve meses también baja por primera vez en 2023: desciende al 3,7%
#PolíticaMonetaria #Macroeconomía https://t.co/VZtebAna05</t>
  </si>
  <si>
    <t>Las familias retiran 18.650 millones en lo que va de año, casi un 2% de sus ahorros bancarios | Empresas | Cinco Días
#Macroeconomía #GestiónRiesgos https://t.co/4bQ4mdhYql</t>
  </si>
  <si>
    <t>¿De dragón rojo a cisne negro? Las cifras y señales de China que inquietan al resto del mundo | Mercados Financieros | Cinco Días
#Macroeconomía  https://t.co/X28OQEQGqj</t>
  </si>
  <si>
    <t>Las ventas de las empresas se hunden un 4,9% en junio, su mayor caída en dos años
#Macroeconomía  https://t.co/OtXQ5CuJ7v</t>
  </si>
  <si>
    <t>China entra en deflación más de dos años después, con una bajada del 0,3% del IPC
#Macroeconomía  https://t.co/Lx13b8hoMJ</t>
  </si>
  <si>
    <t>La producción industrial vuelve a tasas negativas tras bajar un 1,4% en junio
#Macroeconomía  https://t.co/d7IJWNt3Oc</t>
  </si>
  <si>
    <t>China anuncia la creación de un organismo estatal para la promoción del sector privado
#Macroeconomía #Geopolítica  https://t.co/oK2lVFDUWC</t>
  </si>
  <si>
    <t>El tipo hipotecario en EE.UU. escala a máximos de 23 años y hunde la demanda de hipotecas a mínimos de 1995
#Macroeconomía https://t.co/xJpjyZ7lgG</t>
  </si>
  <si>
    <t>España recibió hasta julio 47,6 millones de turistas que gastaron casi 60.000 millones
#Macroeconomía  https://t.co/nP2eX5Z9Xb</t>
  </si>
  <si>
    <t>La eurozona cierra el primer semestre con superávit tras recortar las importaciones rusas y chinas
#Macroeconomía  https://t.co/K2eRzpYoRO</t>
  </si>
  <si>
    <t>Los contratos en agricultura caen un 26,9% hasta julio y marcan un mínimo desde 2013, según Randstad
#Macroeconomía  https://t.co/U12TmG80R6</t>
  </si>
  <si>
    <t>Alemania confirma el repunte del IPC en junio al 6,4% https://t.co/G95NicDCAP 
#Macroeconomía</t>
  </si>
  <si>
    <t>El beneficio bruto del sector industrial cae un 40% en el segundo trimestre
#Macroeconomía https://t.co/W83Ef6foB8</t>
  </si>
  <si>
    <t>La inflación subió hasta el 2,3% en julio y los alimentos se encarecieron un 10,8%, medio punto más
#Macroeconomía https://t.co/NanvvoX01C</t>
  </si>
  <si>
    <t>Se você tivesse toda essa grana, como investiria?
#mercadofinanceiro #acoes #fundosimobiliarios #rendafixa</t>
  </si>
  <si>
    <t>Feliz dias dos pais e não esqueça de avisar o velho que poupança não é investimento.
Ps: Diga a ele também que apostar no jogo do bicho e jogar baralho, não investimento.
#dia #pais #diadospais #economia #mercadofinanceiro #ações #tesouro #finanças #futuro #longoprazo #hoje https://t.co/5C5fnrt9aS</t>
  </si>
  <si>
    <t>Figuras gráficas estao sendo formadas a todo momento em diversas formas dos diversos time-frames diferentes.. numa qtde que seu dinheiro não consegue acompanhar. Refute.. #bolsa #stock #b3 #fintwit #mercadofinanceiro #trading</t>
  </si>
  <si>
    <t>Essa expressão do #BancoCentral independente é uma falácia. O Banco Central é totalmente dependente e controlado pelo #MercadoFinanceiro, que está pouco se lixando pro combate à #fome, geração de #emprego e #industrialização do #país. O #mercado quer é #rentismo.</t>
  </si>
  <si>
    <t>Mercado financeiro prevê PIB de 2,24% este ano
- Boletim Focus mostra que mercado está mais otimista com a economia
#MercadoFinanceiro #BoletimFocus #Economia #BancoCentral 
Saiba mais:
https://t.co/VI8DCp8f3E</t>
  </si>
  <si>
    <t>Mercado reduz previsão da inflação de 4,9% para 4,84% este ano
- Projeção de expansão da economia fica em 2,24%
#Economia #BancoCentral #BoletimFocus #Inflação #MercadoFinanceiro 
Saiba mais:
https://t.co/enuJOzW0qm</t>
  </si>
  <si>
    <t>Mercado eleva para 2,31% projeção do crescimento da economia em 2023
- Estimativa da inflação se mantém em 4,9%
#Economia #MercadoFinanceiro #Inflação #PIB #BancoCentral 
Saiba mais:
https://t.co/aOVjA7Htta</t>
  </si>
  <si>
    <t>Mercado eleva para 2,89% projeção do crescimento da economia em 2023
- Estimativa de inflação caiu para 4,86%
#mercadofinanceiro #economia #crescimento #inflação 
Saiba mais: 
https://t.co/CYhsrB2GxN</t>
  </si>
  <si>
    <t>#dinheiroextra #rj #ganhardinheiro #mercadofinanceiro #dinheironobolso #trader #economia #dinheiroonline #sp #carros https://t.co/r9rkQfDX1x</t>
  </si>
  <si>
    <t>Equilíbrio de Mercado: OPINIÃO: O Mercado de Ações não é a Economia https://t.co/GSamBdG81k 
#investimento #ETF #mercadofinanceiro</t>
  </si>
  <si>
    <t>📉 As três ações que mais desvalorizaram no dia foram: Grupo Pão de Açúcar (#PCAR3), Via (#VIIA3) e BRF (#BRFS3)
#mercadofinanceiro #investimentos
https://t.co/ReZQoMMvbF</t>
  </si>
  <si>
    <t>📈🙂Os “azarões”: apenas 17 das 91 ações do #Ibovespa desafiam as quedas em agosto. Confira a lista completa.
#investimentos #mercadofinanceiro
https://t.co/pR6t3gnb7T</t>
  </si>
  <si>
    <t>📊Mercado hoje: votação do arcabouço e fala de dirigentes do Fed guiam mercados.
#mercadofinanceiro
https://t.co/tYR7J7nBlU</t>
  </si>
  <si>
    <t>💵 O #dólar recuou ante o iene, a libra e boa parte das divisas emergentes, diante de incertezas sobre a economia global e os próximos passos de política monetária dos Estados Unidos. Saiba
#mercadofinanceiro #Investimentos 
https://t.co/SiPfrktNB0</t>
  </si>
  <si>
    <t>📊“A crescente angústia sobre as implicações da inflação estruturalmente mais alta ajudou a impulsionar os rendimentos de 30 anos para o suporte de 4,421%, em novas máximas do ciclo”, relata o BMO Capital Markets. Veja
#mercadofinanceiro #Investimentos 
https://t.co/JDdihHPgNl</t>
  </si>
  <si>
    <t>📊 Investidor internacional renovou expectativas de que o banco central dos EUA manterá juros altos por mais tempo. Veja
#mercadofinanceiro #Investimentos 
https://t.co/VCbACDyAPq</t>
  </si>
  <si>
    <t>📊 Ata do Banco Central americano foi lida como hawkish por analistas. Entenda
#mercadofinanceiro #Investimentos 
https://t.co/ogsdpiwDWG</t>
  </si>
  <si>
    <t>🛫 Viajantes podem economizar até 94% ao comprar uma passagem aérea nacional no intervalo entre 30 a 40 dias de antecedência da data de partida. Confira as dicas
#mercadofinanceiro #investimentos 
https://t.co/bhERq9bIfX</t>
  </si>
  <si>
    <t>💸 Segundo o site oficial da The Lotter, a aposta foi feita no estado da Flórida (EUA) e o prêmio chegou ao valor bilionário após acumular 31 vezes consecutivas. Veja
#mercadofinanceiro #investimentos 
https://t.co/ac9RlVus6c</t>
  </si>
  <si>
    <t>🍀💵 Mesmo assim, 53 apostas acertaram quatro números e embolsaram R$ 7.430,64. Confira
#mercadofinanceiro #investimentos #quina
https://t.co/BUkPbIwvv2</t>
  </si>
  <si>
    <t>🍀 As apostas ganhadoras foram simples e são das cidades de Ananindeua (PA) e de Araraquara (SP). Além dos grandes sortudos, outras 277 apostas levaram R$ 1.674,60
#mercadofinanceiro #investimentos 
https://t.co/WR8kQHDb6P</t>
  </si>
  <si>
    <t>📄Segundo banco, o resultado foi favorecido pela expansão de receitas em praticamente todas as frentes de negócio. Confira
#mercadofinanceiro #investimentos 
https://t.co/B1onj8AE1A</t>
  </si>
  <si>
    <t>📈 O Citi elevou o preço-alvo do papel preferencial classe B (PNB) da Copel (CPLE6) em 26%, de R$ 9,50 para R$ 12,00. Entenda
#mercadofinanceiro #investimentos 
https://t.co/JlHbXp7X0G</t>
  </si>
  <si>
    <t>💰 A Copel (#CPLE6) precificou a ação em R$ 8,25 por ação no âmbito da oferta, perfazendo o montante de R$ 4.530.660.750. Saiba mais
#mercadofinanceiro #investimentos 
https://t.co/ydL8kxvwZG</t>
  </si>
  <si>
    <t>💰 AES Brasil reporta lucro líquido de R$ 35,9 milhões no segundo trimestre de 2023: alta de 286% 
#mercadofinanceiro #investimentos 
https://t.co/IHGPgEIipP</t>
  </si>
  <si>
    <t>✅ Para a XP, resultados da Embraer (EMBR3) dão norte para próximos meses
#mercadofinanceiro #investimentos 
https://t.co/k0FrYdIqXh</t>
  </si>
  <si>
    <t>💰 Vamos (VAMO3) revela recuo de lucro em um ano. Veja os motivos
#mercadofinanceiro #investimentos 
https://t.co/2xUvp8UkEV</t>
  </si>
  <si>
    <t>🏠 Quais fundos imobiliários devem bombar em agosto? Confira todas as apostas
#mercadofinanceiro #investimentos 
https://t.co/w9VgqxTsAH</t>
  </si>
  <si>
    <t>📊 As bolsas de Nova York fecharam em alta nesta sessão, com empresas de tecnologia em destaque na esteira de resultados trimestrais. Confira
#mercadofinanceiro #Investimentos 
https://t.co/OT368ImmUh</t>
  </si>
  <si>
    <t>📈 COLUNA Carol Paiffer | Fitch eleva a nota do Brasil, mas o que isso significa? Saiba
#mercadofinanceiro #investimentos
https://t.co/f5NyBeni7j</t>
  </si>
  <si>
    <t>📉 As três ações que mais desvalorizaram na semana foram: IRB Re (#IRBR3), Gol (#GOLL4) e Cielo (#CIEL3)
#mercadofinanceiro #Investimentos 
https://t.co/TzdKtVnHhO</t>
  </si>
  <si>
    <t>📈 As três ações que mais valorizaram na semana foram: Méliuz (#CASH3), Carrefour (#CRFB3) e Petz (#PETZ3)
#mercadofinanceiro #investimentos
https://t.co/JhjS3uKs7q</t>
  </si>
  <si>
    <t>📑 A Goldman Sachs compartilhou o último relatório sobre a Petrobras com o E-Investidor. Confira
#mercadofinanceiro #investimentos
https://t.co/45gt3Rq93e</t>
  </si>
  <si>
    <t>📊🏭 Os contratos mais líquidos do petróleo fecharam em alta nesta sexta-feira (28), com virada na reta final da sessão. Confira
#mercadofinanceiro #investimentos
https://t.co/enugZ0C2LV</t>
  </si>
  <si>
    <t>✅ Paulo Guedes assume presidência de gestora de investimentos
#mercadofinanceiro #investimentos
https://t.co/F1C3QcsniA</t>
  </si>
  <si>
    <t>📊 B3 anuncia negociação de três novos BDRs de empresas brasileiras
#mercadofinanceiro #investimentos 
https://t.co/oVms2OkIiF</t>
  </si>
  <si>
    <t>🐄🌾 Brasil terá safra recorde de grãos em 2023, com 307,3 milhões de toneladas, segundo IBG. Movimento irá aumentar o fluxo do caixa das empresas do agro e este pode ser um bom momento para investir no setor https://t.co/2lTkJZLWyV #mercadofinanceiro</t>
  </si>
  <si>
    <t>📊 Confira como estão as ações da companhia após o anúncio feito nesta segunda-feira (17)
#mercadofinanceiro #investimentos 
https://t.co/rvztQB98yD</t>
  </si>
  <si>
    <t>📊 “A devolução de prêmio nos Treasuries vem provavelmente com esse quadro de enfraquecimento da economia chinesa, que reforça a preocupação com a desaceleração da economia global". Entenda
#mercadofinanceiro #investimentos 
https://t.co/cNpLIEtn8N</t>
  </si>
  <si>
    <t>🛒💵 A Lojas Marisa(AMAR3) anunciou, por meio de Fato Relevante, nesta segunda-feira (17) a conclusão de seu processo de reestruturação. Entenda 
#mercadofinanceiro #investimentos
https://t.co/9mnE8sqhq9</t>
  </si>
  <si>
    <t>📊👨💼 Os fortes ganhos de Apple e Tesla se contrapuseram a perdas de Ford e de gigantes das telecomunicações. Confira 
#mercadofinanceiro #investimentos 
https://t.co/yPbgsxykHp</t>
  </si>
  <si>
    <t>📊💵 O mercado doméstico de câmbio teve alívio ao longo da tarde desta segunda-feira, após testar o rompimento da faixa dos R$ 4,85. Entenda 
#mercadofinanceiro #investimentos 
https://t.co/unBkHrYY5G</t>
  </si>
  <si>
    <t>📊 Especialista alerta sobre as "regras" para o investimento, como vencimento de 60 dias, limitado a uma aplicação mínima de R$ 1 mi. Entenda
#mercadofinanceiro #Investimentos 
https://t.co/gLWy2xtJs6</t>
  </si>
  <si>
    <t>🏭 Os preços do petróleo fecharam em alta após apresentarem volatilidade ao longo do dia. Entenda
#mercadofinanceiro #investimentos
https://t.co/d6nCClQRir</t>
  </si>
  <si>
    <t>💻 Em julho deste ano, a Me Poupe!, de Nathália Arcuri e Eduardo Mira, anunciou o lançamento de um novo curso de pós-graduação em finanças. Confira
#mercadofinanceiro #Investimentos 
https://t.co/C7Jx0zOIjj</t>
  </si>
  <si>
    <t>💳 A Caixa Econômica Federal (CEF) e o Itaú Unibanco informaram ao Broadcast que continuam operando o crédito consignado para aposentados e pensionistas do INSS. Entenda
#mercadofinanceiro #Investimentos 
https://t.co/y2p6Y2jnhU</t>
  </si>
  <si>
    <t>📉 Na última sessão da semana, as ações da Vale (#VALE3) caíam 1,23% às 16h20, cotadas a R$ 61,15, enquanto o  Ibovespa segue em alta de 0,27%.
#mercadofinanceiro #Investimentos 
https://t.co/3t5ehr5ogK</t>
  </si>
  <si>
    <t>📈 O Magazine Luiza (#MGLU3) liderava ganhos do Ibovespa às 14h29 desta sexta-feira (18), com alta de 5,67% e ações cotadas a R$ 2,98. Veja
#mercadofinanceiro #Investimentos 
https://t.co/YpEJFUQiby</t>
  </si>
  <si>
    <t>📊 Mercado Intraday: Ibovespa segue no negativo, vindo de 12 perdas seguidas. Confira
#mercadofinanceiro #Investimentos 
https://t.co/9FqHPxkPsv</t>
  </si>
  <si>
    <t>📈 Os retornos dos Treasuries subiram hoje e o da T-note de 10 anos chegou a renovar máxima em nove meses. Confira
#mercadofinanceiro #Investimentos 
https://t.co/ADp0CQWwCW</t>
  </si>
  <si>
    <t>📊 Fechamento de Mercado: Com China novamente no radar, Ibovespa volta a cair. Veja
#mercadofinanceiro #Investimentos 
https://t.co/vyZKwJxIB2</t>
  </si>
  <si>
    <t>🍀 Apesar de nenhum apostador ter gabaritado todas as dezenas sorteadas, 10 apostas cravaram 19 números e faturaram R$ 36.537,82. Veja os números
#mercadofinanceiro #Investimentos 
https://t.co/FicTeKLkQE</t>
  </si>
  <si>
    <t>🌬️ A fabricante de pás eólicas Aeris (AERI3) registrou prejuízo líquido de R$ 19,1 milhões no segundo trimestre de 2023. Saiba o porquê
#mercadofinanceiro #Investimentos 
https://t.co/p3oKWQ8mMX</t>
  </si>
  <si>
    <t>📉 A #Locaweb Company reportou prejuízo líquido de R$ R$ 38,8 milhões no segundo trimestre de 2023, revertendo lucro líquido de R$ 13,3 milhões registrado em intervalo de 2022. Saiba
#mercadofinanceiro #Investimentos 
https://t.co/e0UTtk4E0c</t>
  </si>
  <si>
    <t>💡 A #CPFL Energia reportou lucro líquido de R$ 1,247 bilhão no segundo trimestre de 2023, o valor representa uma redução de 1,2% na comparação com o mesmo período do ano passado. Veja mais
#mercadofinanceiro #Investimentos 
https://t.co/srfrTsXrUW</t>
  </si>
  <si>
    <t>📈 A Porto (ex-Porto Seguro) teve lucro líquido recorrente de R$ 670 milhões no segundo trimestre de 2023, alta de 409,9% em relação ao mesmo período do ano passado. Saiba
#mercadofinanceiro #Investimentos 
https://t.co/ciu3ORqXJn</t>
  </si>
  <si>
    <t>📊 A Tecnisa (#TCSA3) fechou o segundo trimestre com lucro líquido de R$ 4,6 milhões, revertendo o prejuízo de R$ 9,3 milhões do mesmo período de 2022. Veja mais
#mercadofinanceiro #Investimentos 
https://t.co/Q9MKhAAxjV</t>
  </si>
  <si>
    <t>📉 A Arezzo viu o seu lucro do segundo trimestre cair em 7% em relação ao mesmo período do ano passado, para quase R$ 114 milhões. Saiba mais
#mercadofinanceiro #Investimentos 
https://t.co/PQtr7cD1iM</t>
  </si>
  <si>
    <t>💵 Após furar o piso de R$ 4,85 pela manhã e registrar mínima a R$ 4,8418 (-1,29%), o #dólar encerrou a sessão desta quinta-feira, 10, cotado a R$ 4,8821, em queda de 0,47%. Confira
#mercadofinanceiro #Investimentos 
https://t.co/a05Q6GLbh8</t>
  </si>
  <si>
    <t>💵 De acordo com a Frente Brasileira pelos Popupadores, existem cerca de 400 mil pessoas que têm dinheiro a receber da época que #Collor confiscou poupanças. Veja se você é um deles
#mercadofinanceiro #investimentos 
https://t.co/iqMg6SNEhq</t>
  </si>
  <si>
    <t>🇺🇸 Fitch rebaixa nota dos Estados Unidos. Como ficam os títulos públicos? Entenda
#mercadofinanceiro #investimentos 
https://t.co/IfYEn2LUaE</t>
  </si>
  <si>
    <t>🇯🇵 Banco central do Japão intervém para segurar aumento dos títulos públicos. Entenda
#mercadofinanceiro #investimentos 
https://t.co/6xlUwJ4tQu</t>
  </si>
  <si>
    <t>🌍 Taurus (TASA4) dá novo passo rumo à Arábia Saudita. Entenda
#mercadofinanceiro #investimentos 
https://t.co/pnPfq7NAyz</t>
  </si>
  <si>
    <t>🇧🇷 Após melhorar nota do Brasil, Fitch atualiza lista de avaliação de empresas. Confira
#mercadofinanceiro #investimentos 
https://t.co/SsHOAUcQgP</t>
  </si>
  <si>
    <t>📉 Os retornos dos Treasuries caíram hoje, após o Federal Reserve (Fed, o banco central americano) elevar os juros em 25 pontos-base. Confira
#mercadofinanceiro #investimentos 
https://t.co/QLQrJtrLJy</t>
  </si>
  <si>
    <t>📊 A principal referência da #B3 encerrou o pregão em valorização de fecha em alta de 0,45%. É o maior nível desde agosto de 2021. Saiba
#mercadofinanceiro #investimentos 
https://t.co/pwrHbC3lvF</t>
  </si>
  <si>
    <t>🚨 O ministro da Fazenda, Fernando #Haddad, disse há pouco que a proposta é que paguem imposto assim como qualquer outro trabalhador. Confira
#mercadofinanceiro #investimentos 
https://t.co/t4tnPHeLXu</t>
  </si>
  <si>
    <t>🏛💼 O serviço tem como objetivo atender os clientes que investem em renda variável. Inicialmente foram disponibilizadas pelo banco duas carteiras automatizadas. Veja
#mercadofinanceiro #investimentos 
https://t.co/q7VCQsAuH0</t>
  </si>
  <si>
    <t>📉 Os contratos futuros de petróleo fecharam em baixa nesta quarta-feira (26) depois dos estoques de petróleo dos EUA caírem menos do que o esperado pelo mercado. Veja
#mercadofinanceiro #investimentos 
https://t.co/vc1CAnIbNf</t>
  </si>
  <si>
    <t>📊 Fechamento de Mercado: FED sobe juros conforme o esperado e mercados ficam voláteis
#mercadofinanceiro #investimentos 
https://t.co/LOLFwqvtL1</t>
  </si>
  <si>
    <t>🧐 Após supostas irregularidades, CVM fecha acordo milionário envolvendo FII. Confira
#mercadofinanceiro #investimentos 
https://t.co/sUwrry0D55</t>
  </si>
  <si>
    <t>📈 Em linha com o esperado pelo mercado, nesta quarta-feira (26), o Federal Reserve (Fed, banco central dos EUA) divulgou aumento de 25 pontos base nos juros dos EUA. Veja a análise
#mercadofinanceiro #investimentos 
https://t.co/uPNzGXYrem</t>
  </si>
  <si>
    <t>📉 As três ações que mais desvalorizaram no dia foram: Ultrapar (#UGPA3), Cogna (#COGN3) e Vibra (#VBBR3)
#mercadofinanceiro #investimentos
https://t.co/x3z99CssvY</t>
  </si>
  <si>
    <t>📈 O Ibovespa passou a subir nesta quarta-feira (26). O movimento se dá após o Federal Reserve (Fed, o Banco Central americano) decidir elevar a taxa de juros nos Estados Unidos. Confira
#mercadofinanceiro #investimentos 
https://t.co/bGTtg3umDR</t>
  </si>
  <si>
    <t>📈 As três ações que mais valorizaram no dia foram: Meliuz (#CASH3), Carrefour (#CRFB3) e Telefônica Brasil (#VIVT3)
#mercadofinanceiro #investimentos
https://t.co/SLf4t1PBYf</t>
  </si>
  <si>
    <t>📊 O contrato futuro de #ouro registrou ganho, nesta quarta-feira (26), com a ajuda da queda do dólar. Confira
#mercadofinanceiro #investimentos 
https://t.co/GfYGlw4hiO</t>
  </si>
  <si>
    <t>📉 O cobre fechou em baixa nesta quarta-feira (26), uma hora antes da divulgação da decisão do Federal Reserve (Fed, banco central dos EUA). Confira
#mercadofinanceiro #investimentos
https://t.co/TEnTf7Uw0a</t>
  </si>
  <si>
    <t>📈 Ação da Méliuz (#CASH3) dispara: Analista da MyCap afirma que todos os indicadores econômicos convergem de forma positiva para a companhia. Veja
#mercadofinanceiro #investimentos 
https://t.co/bdmUoO2Vs2</t>
  </si>
  <si>
    <t>📊 Mercado Intraday: Ibovespa opera próximo à estabilidade. Confira
#mercadofinanceiro #investimentos 
https://t.co/KO8gmKEsbr</t>
  </si>
  <si>
    <t>💵 A divulgação dos resultados da companhia abre a temporada de balanço referente ao #2T23 das ações do Ibovespa
#mercadofinanceiro #investimentos 
https://t.co/jHSZk1cNMx</t>
  </si>
  <si>
    <t>📊 COLUNA Espaço do Especialista | Os precatórios são uma boa alternativa de investimento sem assumir os riscos. Veja 
#mercadofinanceiro #investimentos
https://t.co/x172aqFGI8</t>
  </si>
  <si>
    <t>💰👀 Inflação em queda: inquilino vai pagar menos aluguel? Confira
#mercadofinanceiro #investimentos 
https://t.co/OkRWfMBa8w</t>
  </si>
  <si>
    <t>🏠 Preço do aluguel sobe, mas rentabilidade para investidores cai. Entenda
#mercadofinanceiro #investimentos 
https://t.co/a1r1G3l9YJ</t>
  </si>
  <si>
    <t>📊 Para quem busca perspectivas mais interessantes de retorno sem, necessariamente, assumir os riscos e a volatilidade da renda variável, os precatórios são uma boa alternativa de investimento.  Entenda
#mercadofinanceiro #investimentos
https://t.co/v91hNzyZjZ</t>
  </si>
  <si>
    <t>🏦 Itaú Unibanco (ITUB4) altera projeção para IPCA de 2023. Saiba os detalhes
#mercadofinanceiro #investimentos
https://t.co/xIdajU6ZN6</t>
  </si>
  <si>
    <t>🚘 Carro popular: quanto custava o veículo mais barato há 10 anos? Confira
#mercadofinanceiro #investimentos 
https://t.co/Q9KqmYWftt</t>
  </si>
  <si>
    <t>🇧🇷 Novo acordo do Governo Federal impactará investimentos no Brasil. Entenda
#mercadofinanceiro #investimentos
https://t.co/eHeQjC1sgg</t>
  </si>
  <si>
    <t>🤔 Qual o prazo para dar entrada no seguro desemprego? Confira aqui
#mercadofinanceiro #investimentos 
https://t.co/nkYLqeVOLp</t>
  </si>
  <si>
    <t>📊💰 B3 (B3SA3) firma parceria com Nasdaq para desenvolver plataforma
#mercadofinanceiro #investimentos 
https://t.co/FBPLia21UZ</t>
  </si>
  <si>
    <t>📊🤔 Na avaliação de Diogo Olm Ferreira, tributarista do VBSO Advogados, a mudança não é benéfica ao investidor. Entenda
#mercadofinanceiro #Investimentos 
https://t.co/kjd1EiVXvS</t>
  </si>
  <si>
    <t>✈️ Muitas pessoas associam o acúmulo de milhas a gastos com cartão de crédito. Entretanto, essa é apenas uma das maneiras de alimentar o saldo. Veja mais
#mercadofinanceiro #investimentos #viagens
https://t.co/12o6p3nseO</t>
  </si>
  <si>
    <t>📊 Mercado Intraday: Ibovespa volta a recuar com pressão externa. Confira
#mercadofinanceiro #investimentos
https://t.co/H4rVSMH6H6</t>
  </si>
  <si>
    <t>💵 O #dólar à vista experimentou um recuo mais firme na sessão desta terça-feira, 22, voltando a fechar abaixo de R$ 4,95 pela primeira vez desde o último dia 11. Veja
#mercadofinanceiro #Investimentos 
https://t.co/awr0BeUH6P</t>
  </si>
  <si>
    <t>💵 Entre emergentes, o yuan se desvalorizou em relação ao dólar mesmo após intervenção cambial do BC chinês. Confira
#mercadofinanceiro #Investimentos 
https://t.co/tuyqvqegCQ</t>
  </si>
  <si>
    <t>📊 Os juros futuros caíram nesta terça-feira, com uma trégua na escalada dos Treasuries longos e no câmbio, além da perspectiva para votação do arcabouço fiscal na Câmara. Veja
#mercadofinanceiro #Investimentos 
https://t.co/4h5PlG4yxz</t>
  </si>
  <si>
    <t>👨‍⚖️ De acordo com o que foi dito por Aureo, caso Ronaldinho não compareça ao colegiado para depor novamente, será feita uma condução coercitiva, ou seja, um juiz mandará a polícia buscar o investigado para depor. Veja
#mercadofinanceiro #Investimentos 
https://t.co/4eT24zUcGT</t>
  </si>
  <si>
    <t>📊 Com leves altas de 0,29% (ON) e 0,38% (PN), as ações de #Petrobras arrefeceram os ganhos na última hora, contaminadas pela piora nos mercados em Nova York. Veja
#mercadofinanceiro #Investimentos 
https://t.co/YAKwoDPl6d</t>
  </si>
  <si>
    <t>📉 As três ações que mais desvalorizaram no dia  foram: Via (#VIIA3), São Martinho (#SMTO3) e Magazine Luiza (#MGLU3) 
#mercadofinanceiro #Investimentos 
https://t.co/jg4qxxpBDe</t>
  </si>
  <si>
    <t>📈 As três ações que mais valorizaram no dia foram: Cielo (#CIEL3), Eltetrobras ON (#ELET3) e Minerva (#BEEF3) #mercadofinanceiro #Investimentos 
https://t.co/OyjwH3VCTw</t>
  </si>
  <si>
    <t>💵 O #C6 Bank anunciou nesta quinta-feira (17) uma nova opção aos clientes que possuem a conta global do banco: um investimento de renda fixa em #dólar. Fique por dentro
#mercadofinanceiro #investimentos #rendafixa
https://t.co/dokB5i2mOT</t>
  </si>
  <si>
    <t>🤔📊Na contramão do mercado, analistas desconfiam de otimismo e alta da Bolsa. Entenda  o que grupo de céticos tem a dizer aos investidores.
#mercadofinanceiro
https://t.co/QR8gIYjjxC</t>
  </si>
  <si>
    <t>📈 A Caixa Seguridade encerrou o segundo trimestre deste ano com lucro líquido recorrente de R$ 822,6 milhões. Veja
#mercadofinanceiro #Investimentos 
https://t.co/DnATMc9UH8</t>
  </si>
  <si>
    <t>📊 Companhia do mega investidor Warren Buffett revelou novas posições à órgão equivalente à CVM no Brasil. Confira
#mercadofinanceiro #Investimentos 
https://t.co/SU9WimsO8K</t>
  </si>
  <si>
    <t>🛫 Azul (#AZUL4) dispara mais de 55% no Ibovespa no acumulado de 2023. Especialistas dizem que valorização é derivada de uma recuperação do papel. Confira
#mercadofinanceiro #Investimentos 
https://t.co/4vzilChu2n</t>
  </si>
  <si>
    <t>👩‍🦳 Em 2023, tem direito a receber todas as pessoas cumpriram com os seguintes requisitos determinados pelo INSS, em ordem: idade, carência e tempo de contribuição. Saiba mais
#mercadofinanceiro #Investimentos 
https://t.co/EQFf73f09N</t>
  </si>
  <si>
    <t>💵 O programa pode dar fôlego à economia, mas acende uma luz amarela em relação às contas públicas e as empresas estatais. Veja
#mercadofinanceiro #Investimentos 
https://t.co/sKGoaxh7Bw</t>
  </si>
  <si>
    <t>🎁 Bens mais simples e baratos normalmente não exigem garantia estendida, uma vez que a garantia do fabricante já oferece cobertura adequada. Veja as dicas
#mercadofinanceiro #Investimentos 
https://t.co/QvirBXGlSw</t>
  </si>
  <si>
    <t>🏦💵 O menor valor cobrado para empréstimo pessoal ao mês é da Caixa Econômica Federal, de 4,96%. Veja a lista
#mercadofinanceiro #Investimentos 
https://t.co/B5KSVfHEbG</t>
  </si>
  <si>
    <t>📈💵 Com isso, o BB-BI manteve recomendação de compra e introduziu novo preço-alvo de R$ 35,20 para o final de 2024. Confira
#mercadofinanceiro #investimentos 
https://t.co/bZP4bhh1Aj</t>
  </si>
  <si>
    <t>📊 COLUNA Einar Rivero | Veja qual a tendência para o Ibovespa nos próximos meses
#mercadofinanceiro #investimentos 
https://t.co/QKDAQXJTSL</t>
  </si>
  <si>
    <t>📊 Mercado Intraday: Cautela global persiste e Ibovespa recua nesta quarta-feira. Veja
#mercadofinanceiro #investimentos 
https://t.co/hQsVyfupwv</t>
  </si>
  <si>
    <t>✅ GPA dá mais um passo em direção à separação do Éxito. Entenda impactos para os acionistas
#mercadofinanceiro #investimentos 
https://t.co/ZSRUvoVM1m https://t.co/rsNmFHkLuu</t>
  </si>
  <si>
    <t>😄 COLUNA Renato Indica | O que fazer na Avenida Paulista sem gastar nada. Confira
#mercadofinanceiro #investimentos #saopaulo
https://t.co/ojyij4J0Dp</t>
  </si>
  <si>
    <t>📊 Cresce a percepção de que o Copom pode abrir o ciclo de distensão monetária no próximo mês. Entenda
#mercadofinanceiro #investimentos 
https://t.co/nS8Z7QAaVP</t>
  </si>
  <si>
    <t>💵🚗 “A Tesla é uma ação terrivelmente supervalorizada que acreditamos valer mais perto de US$ 26 por ação [...]”, diz David Trainer, CEO da New Constructs
#mercadofinanceiro #investimentos #Tesla 
https://t.co/FAPWx6USoo</t>
  </si>
  <si>
    <t>📉🖼 O que antes foi vendido por US$ 2,9 milhões, hoje está valendo US$ 1,14 (R$ 5,47), ou seja, uma desvalorização de quase 100%. Entenda
#mercadofinanceiro #investimentos #NFT 
https://t.co/4qmpzAXKMO</t>
  </si>
  <si>
    <t>📊 Moeda encerrou a sessão cotada a R$ 4,7805, após oscilações. Confira
#mercadofinanceiro #investimentos 
https://t.co/wSBbJudXiU</t>
  </si>
  <si>
    <t>👨‍👩‍👧‍👦💳 As informações são do Serasa que, de acordo com a Agência Brasil, revelou que quase 900 mil dívidas foram negociadas somente pelos canais da Serasa até esta sexta-feira (21). Confira
#mercadofinanceiro #investimentos
https://t.co/UJCUyQ6ORt</t>
  </si>
  <si>
    <t>🎤 COLUNA Ana Paula Hornos | Beyoncé e Taylor Swift: entenda o fenômeno que abala a economia de países. Confira
#mercadofinanceiro #investimentos #beyonce #TaylorSwiftTheErasTour 
https://t.co/3rZt0uzKcn</t>
  </si>
  <si>
    <t>📉 Presidente Lula (PT) tornou regras mais rígidas. Enquanto isso, o papel preferencial da Taurus (#TASA4) fechou o dia com queda de 1,23%, cotado a R$ 14,48.
#mercadofinanceiro #Investimentos 
https://t.co/kDgIX2aFeN</t>
  </si>
  <si>
    <t>📊 Entre destaques, Disney encerrou em alta de 1,13%, enquanto American Express caiu 3,89%, depois de frustrar expectativa de receita. Confira
#mercadofinanceiro #Investimentos 
https://t.co/ocRIEmyNym</t>
  </si>
  <si>
    <t>📊 Autoridade pode entregar a última alta de juros do atual ciclo de aperto na próxima semana. Confira
#mercadofinanceiro #Investimentos 
https://t.co/IQ2CKNdQcQ</t>
  </si>
  <si>
    <t>💵 Para consultar sua restituição, basta acessar a página da Receita e informar número de CPF, data de nascimento e o ano correspondente ao lote — no caso, 2023. Saiba seu lote e quem será contemplado
#mercadofinanceiro #investimentos 
https://t.co/K0UAR1qDgo</t>
  </si>
  <si>
    <t>👨⚖️🏬#Americanas (AMER3): Justiça prorroga por 180 dias suspensão de ações e execuções concedidas na RJ. Entenda
#mercadofinanceiro #investimentos 
https://t.co/DSEkbkieHD</t>
  </si>
  <si>
    <t>📈💻Com a notícia de implementação de um portal para recuperar dinheiro, o token da FTX, o FTT, disparou e chegou a subir mais de 30%. Saiba mais sobre o novo site e entenda a novidade
#mercadofinanceiro #investimentos
https://t.co/EsUGOf3fVN</t>
  </si>
  <si>
    <t>📉 As três ações que mais desvalorizaram no dia foram: Via (#VIIA3), IRB Re (#IRBR3) e Alpargatas (#ALPA4)
#mercadofinanceiro #investimentos
https://t.co/InFSAbQk7h</t>
  </si>
  <si>
    <t>📊Mercado hoje: 🔌#Eletrobras (#ELET6) lança oferta de debêntures, dívidas da Gafisa e ✈️CVC (#CVCB3) digere impacto da recuperação judicial da 123 Milhas.
#mercadofinanceiro
https://t.co/7rtlZ0FncT</t>
  </si>
  <si>
    <t>📊Mercado-hoje: PIB e dados de emprego nos Estados Unidos e IGP-M no Brasil ficam no radar com cautela no exterior.
#mercadofinanceiro
https://t.co/4pQSF3YnRR</t>
  </si>
  <si>
    <t>📊 O banco rebaixou a recomendação da empresa de neutra para venda e cortou o preço-alvo da ação de R$ 26 para R$ 20. Saiba mais
#mercadofinanceiro #investimentos
https://t.co/jtR2bevhDk</t>
  </si>
  <si>
    <t>🤔📊 O Ibovespa é o principal e mais antigo indicador do mercado brasileiro, ele reflete em tempo real o volume das ações negociadas na Bolsa de Valores. Veja
#mercadofinanceiro #investimentos #ibovespa
https://t.co/ulZf6VL9rK</t>
  </si>
  <si>
    <t>📈 As bolsas de Nova York fecharam em alta hoje, com recuperação ao longo da tarde após terem oscilado instáveis durante o discurso do presidente do Federal Reserve (Fed). Saiba mais
#mercadofinanceiro #Investimentos 
https://t.co/o5ZWukVIjm</t>
  </si>
  <si>
    <t>💵 O dólar avançou ante rivais, porém, perdeu o fôlego obtido com o discurso do presidente do Federal Reserve (Fed), Jerome Powell. Entenda
#mercadofinanceiro #Investimentos 
https://t.co/oU971TiYqs</t>
  </si>
  <si>
    <t>📈 Os juros futuros fecharam a sexta-feira em alta, em meio ao IPCA-15 no teto das estimativas e aos sinais vindos do Simpósio de Jackson Hole. Veja
#mercadofinanceiro #Investimentos 
https://t.co/S2eMlpUWa3</t>
  </si>
  <si>
    <t>💡 Com a decisão, as contas de luz seguem sem cobrança adicional no próximo mês. A expectativa é de que a bandeira continue nesse patamar até o final deste ano. Veja
#mercadofinanceiro #Investimentos 
https://t.co/BwZg3bBA5R</t>
  </si>
  <si>
    <t>💵 Nesta terça-feira (22), a Cielo (#CIEL3) paga R$ 196 milhões em Juros Sobre Capital Próprio (JCP) aos seus acionistas. Saiba mais
#mercadofinanceiro #Investimentos 
https://t.co/vASqpxW1yy</t>
  </si>
  <si>
    <t>📊 Os juro da T-note de 2 anos avançaram nesta terça-feira e mantiveram a marca de 5%, à medida que o mercado vê riscos de uma prolongada postura restritiva pelo Federal Reserve (Fed). Veja
#mercadofinanceiro #Investimentos 
https://t.co/j8Hv9fSzmT</t>
  </si>
  <si>
    <t>📊 Nasdaq foi a única que conseguiu se segurar no azul. Confira
#mercadofinanceiro #Investimentos 
https://t.co/AnV59oypMb</t>
  </si>
  <si>
    <t>📉 As ações do Magazine Luiza (#MGLU3) recuavam 4,38%, cotados a R$ 2,84 às 16h20 desta quinta-feira (17). Entenda
#mercadofinanceiro #Investimentos 
https://t.co/k86cOm3D3u</t>
  </si>
  <si>
    <t>📉 As três ações que mais desvalorizaram no dia foram: CVC (#CVCB3), Petz (#PETZ3) e Azul (#AZUL4)
#mercadofinanceiro #investimentos 
https://t.co/FxIQzNlY4X</t>
  </si>
  <si>
    <t>📈 As três ações que mais desvalorizaram no dia foram: Via (#VIIA3), São Martinho (#SMTO3) e Rumo (#RAIL3)
#mercadofinanceiro #investimentos 
https://t.co/Ykdv7uShIq</t>
  </si>
  <si>
    <t>💳 Confira o impacto nas principais modalidades usadas pelo brasileiro, como cartão de crédito e cheque especial
#mercadofinanceiro #investimentos 
https://t.co/BavrQ1uX3x</t>
  </si>
  <si>
    <t>📉O movimento de queda ocorre após o presidente da companhia, Wilson Ferreira Júnior, indicar que a empresa deve economizar menos que o previsto em 2023 com o Programa de Demissão Voluntária (PDV). Veja
#mercadofinanceiro #investimentos 
https://t.co/oAOicfpCY0</t>
  </si>
  <si>
    <t>🏭 Para analistas, as dinâmicas do mercado da commodity têm pendido para um lado mais otimistas (bullish) em relação aos preços recentemente. Entenda
#mercadofinanceiro #investimentos 
https://t.co/UxnNUPXa7g</t>
  </si>
  <si>
    <t>🏦 O banco também acrescentou Cosan (#CSAN3), Aliansce (#ALSO3), Assaí (#ASAI3) e Prio (#PRIO3) em seu portfólio, ao passo em que excluiu Raízen (#RAIZ4) e Multiplan (#MULT3). Veja
#mercadofinanceiro #investimentos 
https://t.co/3u2f7rTj4Z</t>
  </si>
  <si>
    <t>💵 O Imposto de Renda Retido na Fonte (IRRF) é uma cobrança tributária mensal feita pela Receita Federal que funciona como antecipação do imposto de renda. Entenda
#mercadofinanceiro #investimentos 
https://t.co/xz8lXgy0sU</t>
  </si>
  <si>
    <t>📊 O estudo prévio sobre quanto destinar ao mercado financeiro e sobre qual classe de ativos se adequa ao propósito do investidor é o primeiro passo. Saiba mais
#mercadofinanceiro #investimentos #educaçãofinanceira
https://t.co/BioKmnby0F</t>
  </si>
  <si>
    <t>👨‍⚖️ COLUNA Erich Decat | Tributação de fundos exclusivos e dividendos não é um tabu na Câmara. Veja #mercadofinanceiro #Investimentos
https://t.co/gwiH8wWKFR</t>
  </si>
  <si>
    <t>📊 Após acertar previsão sobre Bitcoin, analista prevê crescimento de outro criptoativo. Saiba mais detalhes
#mercadofinanceiro #investimentos 
https://t.co/t5kNpePgks</t>
  </si>
  <si>
    <t>💵 Qual criptomoeda tem potencial para decolar com a Inteligência Artificial? O bilonário, Arthur Hayes, responde. Veja  #mercadofinanceiro #investimentos
https://t.co/r3XGY409Bk</t>
  </si>
  <si>
    <t>🏛 Banco do Brasil (BBAS3) é listado em índice de ESG da Bolsa de Londres. Confira #mercadofinanceiro #investimentos
https://t.co/30Ip6JPFf1</t>
  </si>
  <si>
    <t>💵 Os primeiros produtos negociados são os títulos públicos federais indexados, pré-fixados e operações casadas
#mercadofinanceiro #investimentos
https://t.co/ipsLgBzpPJ</t>
  </si>
  <si>
    <t>😡 Quais são os bancos brasileiros com maior número de reclamações? Veja a lista  #mercadofinanceiro #investimentos
https://t.co/uL8vXOtJ9F</t>
  </si>
  <si>
    <t>🏦 O #Nubank chegou a 80 milhões de clientes no Brasil neste mês de julho. Confira #mercadofinanceiro #investimentos
https://t.co/Rx8RtrIOpd</t>
  </si>
  <si>
    <t>🤔 O que é tokenização e por que ela pode revolucionar os investimentos. Saiba  #mercadofinanceiro #investimentos 
https://t.co/T2M1TwESKq</t>
  </si>
  <si>
    <t>🏠 Confira os fundos imobiliários recomendados por 6 corretoras para a queda da Selic #mercadofinanceiro #investimentos 
https://t.co/LtzdMgnShc</t>
  </si>
  <si>
    <t>✅ Paulo Guedes assume presidência de gestora de investimentos #mercadofinanceiro #investimentos 
https://t.co/EwfwatWxWk</t>
  </si>
  <si>
    <t>📊💰 Como investir com pouco dinheiro? Veja dicas de uma especialista
#mercadofinanceiro #investimentos
https://t.co/L329FAyh7a</t>
  </si>
  <si>
    <t>Fundo Verde de Luis Stuhlberger supera CDI em junho, com alta de 1,62%! Destaque para Ibovespa: alta de 9% em junho, melhor mês desde novembro de 2020.
#FundoVerde #Investimentos #mercadofinanceiro #Ibovespa https://t.co/xMnZ9g5Vpr</t>
  </si>
  <si>
    <t>👨‍💼🛒 Objeções abrangem questões financeiras e legais, como tratamento desigual entre os credores. Entenda
#mercadofinanceiro #investimentos #americanas
https://t.co/qGYIax2nSo</t>
  </si>
  <si>
    <t>📉 O cobre recuou na sessão desta sexta-feira (21) após alta no pregão de ontem, impactado por dúvidas sobre políticas de fomento chinesas. Confira
#mercadofinanceiro #investimentos #Cobre
https://t.co/703E6XxAu2</t>
  </si>
  <si>
    <t>📉 O ouro fechou em queda nesta sexta-feira (21), pressionado pela força do dólar ante rivais. Confira
#mercadofinanceiro #investimentos #ouro 
https://t.co/dXe2efoYoo</t>
  </si>
  <si>
    <t>💵 A Receita leva em conta alguns fatores para estabelecer quem terá acesso ao valor com prioridade. Saiba
#mercadofinanceiro #Investimentos 
https://t.co/Q3Jz944HNw</t>
  </si>
  <si>
    <t>👨‍⚖️ Projeto de lei para tributar fundos exclusivos pode estar no pacote de medidas a serem enviadas pelo governo ao Congresso em agosto. Saiba mais
#mercadofinanceiro #Investimentos 
https://t.co/Fqxmh1UgPx</t>
  </si>
  <si>
    <t>📉 As três ações que mais desvalorizaram na semana foram: Locaweb (#LWSA3), Meliuz (#CASH3) e Braskem (#BRKM5)
#mercadofinanceiro #Investimentos 
https://t.co/z2tV6jifFx</t>
  </si>
  <si>
    <t>📈 As três ações que mais valorizaram na semana foram: Yduqs (#YDUQ3), Cielo (#CIEL3) e Natura (#NTCO3))
#mercadofinanceiro #Investimentos 
https://t.co/ZTNv8C3iG3</t>
  </si>
  <si>
    <t>📉 As três ações que mais desvalorizaram no dia foram: Gerdau (#GGBR4), Gerdau (#GOAU4) e Usiminas (#USIM5)
#mercadofinanceiro #investimentos 
https://t.co/v4IGyjvcZh</t>
  </si>
  <si>
    <t>📈 As três ações que mais valorizaram no dia foram: Azul (#AZUL4), Gol (#GOLL4) e Via (#VIIA3)
#mercadofinanceiro #investimentos 
https://t.co/3uwRMJjtvZ</t>
  </si>
  <si>
    <t>🏛 A taxa existe devido à exigência do Banco Central para que os bancos encerrem o expediente com o caixa no azul. Entenda
#mercadofinanceiro #Investimentos 
https://t.co/l4raKzX5CC</t>
  </si>
  <si>
    <t>📊 Pouco mais de oito meses após o lançamento, o “LFTS11”, ETF que replica o Tesouro Selic, teve as negociações suspensas na plataforma da XP após uma grande confusão tributária. Confira
#mercadofinanceiro #Investimentos 
https://t.co/fABjGON8Ij</t>
  </si>
  <si>
    <t>📉👨‍⚖️ Presidente Lula (PT) assina decreto tornando regras mais rígidas. Confira
#mercadofinanceiro #Investimentos 
https://t.co/l9wN5ogyVz</t>
  </si>
  <si>
    <t>🏦 Selic: Bancos revelam opinião unânime sobre corte na taxa básica de juros
#mercadofinanceiro #investimentos
https://t.co/CcW917L2il</t>
  </si>
  <si>
    <t>📊🍉 Dona do Pão de Açúcar anuncia novo prazo de ofertas de injeção de capital
#mercadofinanceiro #investimentos
https://t.co/xGofK78SsN</t>
  </si>
  <si>
    <t>📊✅ Itaúsa (ITSA4) anuncia decisão definitiva sobre ações da XP (XPBR31)
#mercadofinanceiro #investimentos 
https://t.co/XxHeLsOre0</t>
  </si>
  <si>
    <t>📊 As bolsas de Nova York fecharam sem direção única hoje, à medida que o mercado digeriu dados mistos de inflação, atividade econômica, renda pessoal e emprego dos Estados Unidos. Entenda
#mercadofinanceiro #investimentos
https://t.co/rMfTdPkKt7</t>
  </si>
  <si>
    <t>📊 No fim da tarde em Nova York, o retorno da T_note de 2 anos caía a 4,838%, da T-note de 10 anos baixava a 4,097% o do T-bond de 30 anos recuava a 4,203%. Confira
#mercadofinanceiro #investimentos
https://t.co/B2bGyBVcn2</t>
  </si>
  <si>
    <t>🏦 Em nota, o #Santander se manifestou sobre a Medida Provisória publicada na última segunda-feira, 28. Fique por dentro
#mercadofinanceiro #investimentos 
https://t.co/XJSZddJN9P</t>
  </si>
  <si>
    <t>📈 As três ações que mais desvalorizaram no dia foram: São Martinho (#SMTO3), Eletrobras ON (#ELET3) e Eletrobras PNB (#ELET6)
#mercadofinanceiro #investimentos
https://t.co/B6l5VrBixe</t>
  </si>
  <si>
    <t>💵 O BB Seguridade (#BBSE3) anunciou na última quarta-feira que pagará um total de R$ 3,2 bilhões aos seus acionistas. Entenda
#mercadofinanceiro #investimentos
https://t.co/OiMlStkQk1</t>
  </si>
  <si>
    <t>📈🏗 Até o fechamento desta segunda-feira (21), três das quatro maiores altas do Ibovespa no ano são ações de construtoras: Cyrela (#CYRE3), Eztec (#EZTC3) e MRV (#MRVE3). Confira
#mercadofinanceiro #investimentos
https://t.co/c2cAcRAVMx</t>
  </si>
  <si>
    <t>📈🏗️ Boa parte dessas altas do setor da construção civil está diretamente ligada ao ciclo de cortes na taxa de juros, iniciado pelo Banco Central no dia 02 de agosto. Confira
#mercadofinanceiro #investimentos #construçãocivil
https://t.co/CB7VtV5RmK</t>
  </si>
  <si>
    <t>📊 Mercado Intraday: Ibovespa descola de Nova York e avança na sessão. Confira
#mercadofinanceiro #investimentos
https://t.co/BQIJ5nJHmW</t>
  </si>
  <si>
    <t>📊 Recomendações e estimativas das principais casas de análise também compões os serviços prestados na plataforma. Veja
#mercadofinanceiro #investimentos
https://t.co/4CMuFEusCa</t>
  </si>
  <si>
    <t>🛢️📊Petrobras (#PETR3; #PETR4) faz nova declaração sobre venda de ações da #Braskem (#BRKM5).
#mercadofinanceiro
https://t.co/JdN6BOrjku</t>
  </si>
  <si>
    <t>📊Mercado hoje: reforma ministerial e fala de Campos Neto ficam no radar em meio a pessimismo e cautela no exterior.
#mercadofinanceiro
https://t.co/Qf5DQC0ISg</t>
  </si>
  <si>
    <t>📊Agosto de queda no #Ibovespa preocupa? Veja a projeção de 5 casas.
#investimentos #mercadofinanceiro
https://t.co/4pwTkW5Sf9</t>
  </si>
  <si>
    <t>📊 Fechamento de Mercado: Ibovespa tem queda de 1,21% na semana. Confira
#mercadofinanceiro #Investimentos 
https://t.co/WO6KvItDel</t>
  </si>
  <si>
    <t>💵 O dólar avançou ante maior parte dos rivais fortes e emergentes, após números da inflação ao produtor e expectativas inflacionárias dos Estados Unidos renovarem expectativas. Veja
#mercadofinanceiro #Investimentos 
https://t.co/aFA4IC6gWe</t>
  </si>
  <si>
    <t>🚑 O Seguro de Danos Pessoais Causados por Veículos Automotores de Via Terrestre, tem como finalidade de amparar as vítimas de acidentes de trânsito. Conheça os tipos de indenização e quais são os valores
#mercadofinanceiro #Investimentos 
https://t.co/Vc0Xi3l8oN</t>
  </si>
  <si>
    <t>📉 As três ações que mais desvalorizaram na semana foram: Grupo Soma (#SOMA3), Petz (#PETZ3) e Méliuz (#CASH3)
#mercadofinanceiro #Investimentos 
https://t.co/4A9hLgP6yw</t>
  </si>
  <si>
    <t>📈 As três ações que mais valorizaram na semana foram: Yduqs (#YDUQ3), Hapvida (#HAPV3) e Alpargatas (#ALPA4)
#mercadofinanceiro #Investimentos 
https://t.co/BKtpEPLsl2</t>
  </si>
  <si>
    <t>📉 As três ações que mais desvalorizaram no dia foram: Locaweb (#LWSA3), Grupo Soma (#SOMA3) e Azul (#AZUL4)
#mercadofinanceiro #Investimentos 
https://t.co/C825Z0yaCQ</t>
  </si>
  <si>
    <t>📈 As três ações que mais valorizaram no dia foram: Yduqs (#YDUQ3), Sabesp (#SBSP3) e Copel (#CPLE6)
#mercadofinanceiro #investimentos
https://t.co/ofbEOm7GTw</t>
  </si>
  <si>
    <t>🛒 As ações da C&amp;amp;A (#CEAB3) operam em forte alta nesta sexta-feira (11) na B3. No segundo trimestre de 2023, o lucro líquido foi de R$ 4,2 milhões, alta de 100% ante o apresentado um ano antes. Veja
#mercadofinanceiro #Investimentos 
https://t.co/9eV3veW6tV</t>
  </si>
  <si>
    <t>📊 Mercado Intraday: Após corte da Selic, Ibovespa opera próximo da estabilidade. Veja 
#mercadofinanceiro #investimentos
https://t.co/EA23sxcKZK</t>
  </si>
  <si>
    <t>🇨🇳 Mercado de ações da China sobe e pesquisa aponta motivo
#mercadofinanceiro #investimentos 
https://t.co/i0j1wU2Xq4</t>
  </si>
  <si>
    <t>💰 Irani (RANI3) anuncia distribuição milionária de dividendos. Saiba os detalhes
#mercadofinanceiro #investimentos 
https://t.co/XyiPP7xRG2</t>
  </si>
  <si>
    <t>🇺🇸 Bank of America revisa análise de recessão nos Estados Unidos. Confira
#mercadofinanceiro #investimentos 
https://t.co/WDUEldErEg</t>
  </si>
  <si>
    <t>📊 Veja quais ações dispararam após corte na Selic: Eztec (EZTC3) é a campeã +6,63% 
#mercadofinanceiro #investimentos 
https://t.co/96malaTj7r</t>
  </si>
  <si>
    <t>🇦🇷📈Crise financeira, hiperinflação, câmbio desvalorizado, vésperas de eleição e… a umas das bolsas de valores que mais sobe no mundo. https://t.co/r6mfwy3OWU
#investimentos #mercadofinanceiro</t>
  </si>
  <si>
    <t>📊 Os preços do petróleo fecharam em alta de mais de 2%. Confira
#mercadofinanceiro #investimentos
https://t.co/cKtyG77DXz</t>
  </si>
  <si>
    <t>Dólar cai a menor nível desde abril de 2022 com commodities. Veja 
#mercadofinanceiro #investimentos
https://t.co/NkFTKLuF5g</t>
  </si>
  <si>
    <t>📈 As bolsas de Nova York fecharam em alta hoje, com o índice Dow Jones alcançando a marca de 11 sessões consecutivas de ganhos pela primeira vez em seis anos. Veja
#mercadofinanceiro #investimentos 
https://t.co/lltmaiElkp</t>
  </si>
  <si>
    <t>🎲 Apostadores que quiserem acompanhar o sorteio podem fazê-lo acessando o canal da Caixa no YouTube, a partir das 20h. Saiba mais
#mercadofinanceiro #investimentos 
https://t.co/TenMEHruHU</t>
  </si>
  <si>
    <t>📊 No mesmo documento, a empresa ainda revelou que na aquisição da TRR, serão pagos R$ 60 milhões à vista no fechamento do negócio. Veja as ações
#mercadofinanceiro #investimentos
https://t.co/QDJx4z7P9n</t>
  </si>
  <si>
    <t>👨‍💼📃 Raízen (#RAIZ4) anuncia novo valor por ação de dividendos. Veja comunicado
#mercadofinanceiro #investimentos
https://t.co/a6VxCTryYK</t>
  </si>
  <si>
    <t>📈 Juros dos Treasuries sobem à espera de novo aperto monetário do Fed. Confira
#mercadofinanceiro #investimentos
https://t.co/Aqa0bTdPll</t>
  </si>
  <si>
    <t>📈 O índice DXY, que mede o dólar ante uma cesta de moedas fortes, registrou alta de 0,27%. Confira
#mercadofinanceiro #investimentos
https://t.co/bhV9GpdPWj</t>
  </si>
  <si>
    <t>💵⏱️ PicPay vai começar a cobrar usuários por inatividade. Confira 
#mercadofinanceiro #investimentos 
https://t.co/ifNRJiEFnK</t>
  </si>
  <si>
    <t>🚘 Carro mais barato: especialistas dão dicas de como gastar menos. Confira
#mercadofinanceiro #investimentos https://t.co/boXvxykedq</t>
  </si>
  <si>
    <t>💵 Didi Taihuttu, pai da conhecida “Família Bitcoin”, contou algumas estratégias usadas por ele para entender o mercado dos criptoativos em entrevista à CNBC nesta terça-feira (11). Confira 
#mercadofinanceiro #investimentos #criptomoedas 
https://t.co/NVVi6ZfUQg</t>
  </si>
  <si>
    <t>COLUNA Renato Indica | 7 atrações culturais gratuitas ou com preços baixos para as férias. Confira 
#mercadofinanceiro #investimentos #feriasdejulho 
https://t.co/J9K3PUG1Cg</t>
  </si>
  <si>
    <t>⚽ Plano de sócio é melhor para o bolso do clube ou do torcedor? Confira o levantamento encomendado pelo E-investidor 
#mercadofinanceiro #investimentos
https://t.co/GvyVcoN0Tm</t>
  </si>
  <si>
    <t>👨💼 Na última quinta-feira (13), Larry Fink, CEO da BlackRock, mostrou empolgação com o setor das criptomoedas em conversa com a CNBC. Veja 
#mercadofinanceiro #investimentos #criptomoedas 
https://t.co/iHhsdqiYzD</t>
  </si>
  <si>
    <t>📊👩💻 O índice de sentimento do consumidor americano saltou ao maior nível desde setembro de 2021. Confira 
#mercadofinanceiro #investimentos
https://t.co/QDfh4EIR9r</t>
  </si>
  <si>
    <t>📊 Na semana, todas as taxas subiram, com mais força a partir dos vértices intermediários, e a curva ganhou inclinação. Saiba mais
#mercadofinanceiro #investimentos
https://t.co/HLUfgBAsZn</t>
  </si>
  <si>
    <t>📈 A instituição apresentou crescimento de 67% para a receita líquida, revelada em US$14,5 bilhões, ou seja, R$69,4 bilhões que representa US$4,37 por ação. Confira 
#mercadofinanceiro #investimentos 
https://t.co/sHULXULmtK</t>
  </si>
  <si>
    <t>🏭📑 Nesta sexta-feira (14), por meio de um relatório ao qual o E-Investidor teve acesso, a Goldman Sachs manteve sua recomendação de compra para as ações da Petrobras (#PETR3;#PETR4). Confira 
#mercadofinanceiro #investimentos
https://t.co/BCNrb1PZTf</t>
  </si>
  <si>
    <t>🇮🇩 💵 Os planos da Indonésia para lançar sua corretora estatal de criptomoedas eram aguardados desde 2022, quando o governo local acenou para a possibilidade, que agora se torna real. Confira
#mercadofinanceiro #investimentos #criptomoedas 
https://t.co/TorlddsQvp</t>
  </si>
  <si>
    <t>📊Mercado hoje: PIB no Brasil e payroll nos EUA ficam no radar após estímulos na economia chinesa.
#mercadofinanceiro
https://t.co/5kEiVGjMHV</t>
  </si>
  <si>
    <t>📊 A #B3 divulgou nesta quinta-feira (31) a terceira prévia das novas carteiras do Ibovespa e demais índices que vão vigorar a partir de segunda-feira (4) até 29 de dezembro. Fique por dentro
#mercadofinanceiro #investimentos
https://t.co/JM2cOM3oB3</t>
  </si>
  <si>
    <t>🍀 Concurso deste ano vai sortear mais de R$ 200 milhões. Matemáticos explicam as chances. Confira
#mercadofinanceiro #investimentos
https://t.co/no4sJLKss0</t>
  </si>
  <si>
    <t>📊 Perto do fechamento das bolsas de Nova York, o rendimento da T-note de 2 anos caía a 4,883%, da T-note de 10 anos recuava a 4,110% e do T-bond de 30 anos subia a 4,230%. Veja
#mercadofinanceiro #investimentos
https://t.co/EwVpPK83nJ</t>
  </si>
  <si>
    <t>💵 Ao solicitar o benefício pela primeira vez, o funcionário deve comprovar que recebeu salário em pelo menos 12 dos últimos 18 meses anteriores à data da desocupação. Veja
#mercadofinanceiro #investimentos #segurodesemprego
https://t.co/Dyaqp9xez9</t>
  </si>
  <si>
    <t>💵 O Tesouro Direto pode ser uma ótima opção de investimento para alocar desde a reserva de emergência até aquele capital pensado para longo prazo. Veja quanto rende R$ 5 mil nessa modalidade
#mercadofinanceiro #investimentos 
https://t.co/B29kkpYQSC</t>
  </si>
  <si>
    <t>💵 A Ágora Investimentos e o Bradesco BBI aumentaram hoje o preço-alvo do BTG, de R$ 30 para R$ 39 ao final de 2024. Entenda
#mercadofinanceiro #investimentos
https://t.co/WPGkKp7Mlw</t>
  </si>
  <si>
    <t>📊 Fechamento de Mercado: inflação impulsiona alta dos juros e penaliza Bolsa. Confira
#mercadofinanceiro #Investimentos 
https://t.co/ELjEcTrGlj</t>
  </si>
  <si>
    <t>📉 As três ações que mais desvalorizaram no semana foram: Grupo Pão de Açúcar (#PCAR3), CVC (#CVCB3) e Marfrig (#MRFG3)
#mercadofinanceiro #investimentos
https://t.co/sfOEaJv5ey</t>
  </si>
  <si>
    <t>💵 Os valores pagos no quarto lote de restituição do Imposto de Renda 2023 serão corrigidos em 3,14%. Confira
#mercadofinanceiro #Investimentos 
https://t.co/ROlJClJFfv</t>
  </si>
  <si>
    <t>📊 Fechamento de Mercado: Ibovespa avança com expectativa de votação do arcabouço fiscal. Confira
#mercadofinanceiro #Investimentos 
https://t.co/PHfPzZCj6w</t>
  </si>
  <si>
    <t>💡 A Agência Nacional de Energia Elétrica (#Aneel) pode reduzir as bandeiras tarifárias em até 36,9%. Saiba o que fazer com o dinheiro economizado
#mercadofinanceiro #Investimentos 
https://t.co/5YlXQtCmX3</t>
  </si>
  <si>
    <t>👨‍⚖️ “A expectativa é que haja avanço sem mais atrasos. Novos adiamentos devem impactar negativamente nos mercados”, diz Ricardo Jorge, sócio da Quantzed. Entenda
#mercadofinanceiro #Investimentos 
https://t.co/pTm9UYtKat</t>
  </si>
  <si>
    <t>📲 A resposta do professor Ian Goldin, da Universidade de Oxford, convida autoridades, empresários e trabalhadores a repensar o caminho que está sendo seguido. Veja
#mercadofinanceiro #investimentos #InteligenciaArtificial 
https://t.co/NTZruQ7f4o</t>
  </si>
  <si>
    <t>💵 O pagamento ocorrerá em 30 de agosto, com base na posição acionária do dia 21 do mesmo mês. As ações serão negociadas “ex” a partir de 22 de agosto, ou seja, amanhã. Confira o valor
#mercadofinanceiro #investimentos 
https://t.co/QVYrzhfrrk</t>
  </si>
  <si>
    <t>📊 Reformas não avançaram desde o retorno do Congresso há três semanas. Confira
#mercadofinanceiro #investimentos 
https://t.co/1ARZe1lfxR</t>
  </si>
  <si>
    <t>📊 O Goldman Sachs (#GSGI34) revelou que está avaliando uma importante mudança em sua estratégia e que existe a possibilidade de começarem a vender parte de seu patrimônio. Veja
#mercadofinanceiro #investimentos 
https://t.co/W46RCBwp7X</t>
  </si>
  <si>
    <t>📊💵 O dólar recuou hoje ante o euro, a libra e boa parte das moedas emergentes, refletindo a melhora no apetite por risco em Nova York. Saiba mais
#mercadofinanceiro #investimentos 
https://t.co/R2XwqxrUMs</t>
  </si>
  <si>
    <t>✈️O BTG Pactual considerou que os resultados trimestrais da Embraer (EMBR3), divulgados mais cedo, foram melhores do que o esperado. Saiba mais
#mercadofinanceiro #Investimentos
https://t.co/uHzVH1Eq2q</t>
  </si>
  <si>
    <t>🌱 O tributo deve ser pago por pessoas física ou jurídica que possuam, a qualquer título, imóvel rural. A declaração deve ser entregue até o dia 29 de setembro. Confira
#mercadofinanceiro #Investimentos
https://t.co/7sAfcodkZQ</t>
  </si>
  <si>
    <t>🍀 Lotofácil da Independência 2023 deve sortear R$ 200 milhões e está recebendo apostas desde o dia 31 de julho por meio de lotéricas físicas, pelo site ou aplicativo da Caixa. Veja
#mercadofinanceiro #Investimentos
https://t.co/JcrGQJTZAO</t>
  </si>
  <si>
    <t>📱💵 A consulta do 4ºlote só será aberta na próxima semana, no dia 24 de agosto às 10h, já que o pagamento, de acordo com a Receita Federal, acontecerá no dia 31 deste mês.
#mercadofinanceiro #Investimentos
https://t.co/HmBRmlBRZQ</t>
  </si>
  <si>
    <t>📊 Mercado Intraday: China volta a preocupar e Ibovespa recua mais uma vez. Confira
#mercadofinanceiro #Investimentos
https://t.co/G5tQgN4C1G</t>
  </si>
  <si>
    <t>💵 Larissa Manoela, além de desistir do patrimônio milionário, está deixando para trás uma renda mensal líquida que varia de R$ 134 mil a R$ 157 mil. Entenda
#mercadofinanceiro #Investimentos #larissamanoela
https://t.co/X8g2gfkt7f</t>
  </si>
  <si>
    <t>🏭 Nesta segunda-feira (07), a Energisa (#ENGI11) anunciou sua entrada no mercado de biogás com a aquisição da Agric. Confira
#mercadofinanceiro #investimentos 
https://t.co/2CZOjNPHES</t>
  </si>
  <si>
    <t>💵 A Cielo (#CIEL3) anunciou, em comunicado oficial, que aprovou o pagamento de R$ 196,97 milhões em juros sobre capital próprio (JCP). Confira
#mercadofinanceiro #investimentos 
https://t.co/7LKwjcKImw</t>
  </si>
  <si>
    <t>📊 Dados do setor industrial alemão apontaram que a maior economia do continente está em uma contração forte. Veja
#mercadofinanceiro #investimentos 
https://t.co/XvCQN6DU15</t>
  </si>
  <si>
    <t>👨‍👦‍👦🎁 Entre os produtos de maior interesse para presentear os pais estão itens de moda (36%), produtos de tecnologia (26%) e ferramentas (12%). Saiba mais
#mercadofinanceiro #investimentos 
https://t.co/R2r62GaaQL</t>
  </si>
  <si>
    <t>💰A Berkshire Hathaway (BRK), holding comandada pelo megainvestidor Warren Buffet, reportou um lucro de US$ 35,9 bilhões. Veja
#mercadofinanceiro #investimentos 
https://t.co/NRzTGvTJpB</t>
  </si>
  <si>
    <t>📊 Bolsas de NY fecham mistas, diante de preocupações com economia global. Veja
#mercadofinanceiro #Investimentos 
https://t.co/F9NAxxiS0x</t>
  </si>
  <si>
    <t>✅ JHSF (JHSF3) divulga prévia operacional do 2°trimestre. Vendas são destaque
#mercadofinanceiro #investimentos 
https://t.co/krqjgBXVFv</t>
  </si>
  <si>
    <t>📊💰 Quais são as 6 ações preferidas dos bilionários? A gente te conta! 
#mercadofinanceiro #investimentos 
https://t.co/A5APtynOb5</t>
  </si>
  <si>
    <t>📉 As três ações que mais desvalorizaram na semana foram: Petz (PETZ3), Gol (GOLL4) e Carrefour (CRFB3)
#mercadofinanceiro #investimentos
https://t.co/2kpISLsCha</t>
  </si>
  <si>
    <t>📈 As três ações que mais valorizaram no dia foram: Cyrela (#CYRE3), Usiminas (#USIM5) e 3R Petroleum (#RRRP3)
#mercadofinanceiro #investimentos 
https://t.co/Q6Ejr4GetM</t>
  </si>
  <si>
    <t>📊💰 JSL (JSLG11): Citi avalia compra de ações da companhia. Confira o preço-alvo
#mercadofinanceiro #investimentos 
https://t.co/42MxT5FFUo</t>
  </si>
  <si>
    <t>📱 Oi (OIBR3) dá novo passo em processo de recuperação judicial. Veja todos os detalhes
#mercadofinanceiro #investimentos 
https://t.co/dysSctDWNB</t>
  </si>
  <si>
    <t>💰 Even (EVEN3) salta no valor de vendas do 2° trimestre. Confira os detalhes
#mercadofinanceiro #investimentos 
https://t.co/PluIr2Xrku</t>
  </si>
  <si>
    <t>❌ Falsa plataforma faz 4 mil vítimas e pode ter desviado R$ 20 milhões. Entenda o caso
#mercadofinanceiro #investimentos 
https://t.co/E1DdqqGp5y</t>
  </si>
  <si>
    <t>📊✅ B3 registra alta no estoque de títulos de dívida corporativa. Veja os números
#mercadofinanceiro #investimentos 
https://t.co/8F8WBZ71O7</t>
  </si>
  <si>
    <t>📊🍉 Alimentos devem subir com reforma tributária. Saiba como economizar
#mercadofinanceiro #investimentos https://t.co/a69lCeeFsI</t>
  </si>
  <si>
    <t>🏛Novidade do Nubank (#NU) pode facilitar suas compras na Shein. Saiba mais sobre a novidade e veja as ações
#mercadofinanceiro #investimentos #nubankbrasil  
https://t.co/UPYM2cFVC4</t>
  </si>
  <si>
    <t>Nesta terça-feira (11), as ações do Grupo reagiram positivamente a novos rumores de compra do Éxito. Confira 
#mercadofinanceiro #investimentos
https://t.co/XsiwiZKqDM</t>
  </si>
  <si>
    <t>COLUNA Espaço do Especialista com Antonio Oliveira e Luiz Doles | Regulação do BC impacta as operações de câmbio e opções. Veja o que muda
#mercadofinanceiro #investimentos
https://t.co/c1XPl2DCrV</t>
  </si>
  <si>
    <t>📊🇧🇷Veja os três investimentos que perdem para o IPCA, segundo o levantamento do TradeMap
#mercadofinanceiro #investimentos #deflação
https://t.co/dgZMFtJWok</t>
  </si>
  <si>
    <t>📈 As três ações que mais valorizaram no dia foram: IRB (#IRBR3), Vale (#VALE3) e Petrorio (#PRIO3)
#mercadofinanceiro #investimentos
https://t.co/4W2aDJN3xn</t>
  </si>
  <si>
    <t>📉 O C6 Bank encerrou o primeiro semestre deste ano com prejuízo ajustado de R$ 285,316 milhões. Entenda
#mercadofinanceiro #investimentos
https://t.co/lTCVT8qou7</t>
  </si>
  <si>
    <t>📊 Fechamento de Mercado: Petrobras sobe forte, mas não impede queda do Ibovespa. Confira
#mercadofinanceiro #investimentos
https://t.co/0ZrdmZNWwx</t>
  </si>
  <si>
    <t>📊💵 A #Amazon também participava da negociação pela compra de ações, mas decidiu sair. Veja
#mercadofinanceiro #investimentos
https://t.co/9YrLkYqZoj</t>
  </si>
  <si>
    <t>📊 Fechamento de Mercado: Com exterior misto, Ibovespa volta a cair. Confira
#mercadofinanceiro #investimentos
https://t.co/Hyy46Y1nAV</t>
  </si>
  <si>
    <t>📉 As três ações que mais desvalorizaram no dia foram: CVC (#CVCB3), Alpargatas (#ALPA4) e Grupo Pão de Açúcar (#PCAR3)
#mercadofinanceiro #investimentos
https://t.co/8mSy4nwLFF</t>
  </si>
  <si>
    <t>📱 Para abrir uma conta no Banco do Brasil (#BB), o usuário deve baixar o aplicativo do banco, disponível para Android e iOS. Veja o passo a passo
#mercadofinanceiro #investimentos
https://t.co/zrixjblkmF</t>
  </si>
  <si>
    <t>📈 Encabeçando os ganhos do Dow Jones e apoiando o índice, a Walt #Disney subiu 4,85% na esteira do seu balanço corporativo publicado ontem. Saiba mais
#mercadofinanceiro #Investimentos 
https://t.co/mlUNrx8hRw</t>
  </si>
  <si>
    <t>📈 Os rendimentos dos Treasuries operaram em alta nesta quinta-feira, após novos dados da inflação ao consumidor. Veja
#mercadofinanceiro #Investimentos 
https://t.co/ytSoB1tVGx</t>
  </si>
  <si>
    <t>📊 A recomendação da casa se mantém neutra e as estimativas do modelo se apoiam na projeção de minério a US$ 102 por tonelada. Saiba mais
#mercadofinanceiro #investimentos #vale
https://t.co/3DnjxxOdsq</t>
  </si>
  <si>
    <t>🛫 As ações da Azul (#AZUL4) ampliaram os ganhos na última hora e lideram nesta quinta-feira (10) as altas do Ibovespa. Confira
#mercadofinanceiro #Investimentos 
https://t.co/FElmbaPn7I</t>
  </si>
  <si>
    <t>🚗 Veja como refinanciar o veículo para um empréstimo. O banco pode ceder um crédito de até 90% do valor de tabela do veículo. Confira
#mercadofinanceiro #Investimentos 
https://t.co/poTzrrSaK9</t>
  </si>
  <si>
    <t>🍔 No caso da Venezuela, um combo com sanduíche, bebida e batata-frita sai aproximadamente R$ 66 por lá. Veja
#mercadofinanceiro #Investimentos 
https://t.co/owZ1p6fIAP</t>
  </si>
  <si>
    <t>💡 Analistas esperam continuidade do processo de melhorias operacionais, que já vinha acontecendo na companhia. Fique por dentro
#mercadofinanceiro #Investimentos 
https://t.co/0R0fXPmPwW</t>
  </si>
  <si>
    <t>📊 COLUNA Fabrizio Gueratto | Veja 5 motivos para investir em dólar hoje
#mercadofinanceiro #Investimentos 
https://t.co/rcBeI4JXX2</t>
  </si>
  <si>
    <t>🏭 Prio (#PRIO3) e 3R Petroleum (#RRP3) estiveram entre os destaques da Bolsa em julho. Confira
#mercadofinanceiro #investimentos
https://t.co/IFHGYiJPzg</t>
  </si>
  <si>
    <t>📊 Mercado Intraday: Bolsas têm melhora após dados da inflação dos EUA. Confira
#mercadofinanceiro #Investimentos 
https://t.co/W3xnb9NWvn</t>
  </si>
  <si>
    <t>✅ Governo de Singapura aumenta fatia da MRV (MRVE3)
#mercadofinanceiro #investimentos 
https://t.co/lOfom0L5Ju</t>
  </si>
  <si>
    <t>Quarto lugar no ranking do Prêmio Broadcast Empresas: Engie (EGIE3), uma das principais geradoras de energia renovável do país. Veja 
#mercadofinanceiro #investimentos 
https://t.co/36pQHDX1U1</t>
  </si>
  <si>
    <t>❌Alibaba não vai integrar recompra de ações de Ant Group. Entenda motivos
#mercadofinanceiro #investimentos 
https://t.co/TsPLvf5efk</t>
  </si>
  <si>
    <t>📊 Para Citi, minoritários da Even (EVEN3) devem rejeitar proposta de troca de ações. Entenda
#mercadofinanceiro #investimentos 
https://t.co/KuDDTWvXEr</t>
  </si>
  <si>
    <t>💰 Qual é a criptomoeda mais negociada pelos brasileiros? Receita responde
#mercadofinanceiro #investimentos 
https://t.co/48PmHa7cKB</t>
  </si>
  <si>
    <t>✈ As ações da Azul (#AZUL4) figuram entre as maiores perdas do Ibovespa nesta sexta-feira (14). Veja a análise do especialista Gustavo Bertotti e entenda a situação
#mercadofinanceiro #investimentos 
https://t.co/UdsDjzsDJm</t>
  </si>
  <si>
    <t>💵🏃A corretora de criptoativos, Binance, demitiu mais de mil pessoas nas últimas semanas, de acordo com uma pessoa familiarizada com os movimentos. Confira 
#mercadofinanceiro #investimentos #criptomoedas #criptoativos 
https://t.co/XAOdChJ2RY</t>
  </si>
  <si>
    <t>📊 Aumento das importações da China foi um dos temas abordados. Confira a visão dos analistas 
#mercadofinanceiro #investimentos
https://t.co/d7ulNECBhh</t>
  </si>
  <si>
    <t>💳👨‍👩‍👧‍👧 O programa de renegociação de dívidas do governo federal, o Desenrola Brasil, poderá ser pago por meio de parcelamento mínimo de 12 vezes e, no máximo, 60 vezes. Saiba mais
#mercadofinanceiro #investimentos #desenrolabrasil 
https://t.co/XlrsvWBiud</t>
  </si>
  <si>
    <t>👨‍👩‍👦‍👦💳 A ideia é registrar informações como pagamentos em dia e outros bons indicativos da vida financeira, em contraste ao Cadastro Negativo, que tem mais relação com a inadimplência. Confira
 #mercadofinanceiro #investimentos
https://t.co/6wwuFgyLmq</t>
  </si>
  <si>
    <t>📈⛽ O preço médio da #gasolina nas bombas de abastecimento subiu cerca de 5,8% durante a semana de 2 a 8 de julho. Confira as dicas dos especialistas para gastar menos com combustível 
#mercadofinanceiro #investimentos 
https://t.co/tmgFkGTyHh</t>
  </si>
  <si>
    <t>🤔 Queda da inflação, arcabouço fiscal e reforma tributária são fatores cruciais para o desempenho da renda fixa. Confira 
#mercadofinanceiro #investimentos
https://t.co/JoXHINQ9uD</t>
  </si>
  <si>
    <t>📊O movimento ocorre após um relatório do #bradescoBBI rebaixar o papel de neutro para underperform (equivalente à venda), em meio a um momento desafiador para o mercado de alumínio. Confira 
#mercadofinanceiro #investimentos 
https://t.co/w3ZsDB5DkG</t>
  </si>
  <si>
    <t>📈 O ouro fechou em leve alta nesta sexta-feira (14), acumulando ganhos na semana com a desvalorização recente do dólar. Entenda o cenário 
#mercadofinanceiro #investimentos #ouro 
https://t.co/ldiZGCuOnB</t>
  </si>
  <si>
    <t>📊 Fechamento de Mercado: Sem maiores gatilhos, mercados passam por ajustes
#mercadofinanceiro #investimentos 
https://t.co/UhperFmH03</t>
  </si>
  <si>
    <t>📉 O cobre fechou em baixa moderada nesta sexta-feira (14), em ajustes após os fortes ganhos da véspera, quando vinha apoiado por sinais de desinflação nos Estados Unidos. Entenda 
#mercadofinanceiro #investimentos 
https://t.co/WQR4RgNPR7</t>
  </si>
  <si>
    <t>📉 As três ações que mais desvalorizaram na semana foram: Gol (#GOLL4), Petz (#PETZ3) e Lojas Renner (#LREN3)
#mercadofinanceiro #investimentos
https://t.co/PflJyBcMUs</t>
  </si>
  <si>
    <t>📈 As três ações que mais valorizaram na semana foram: JBS (#JBSS3), Prio (#PRIO3) e Vale (#VALE3)
#mercadofinanceiro #investimentos 
https://t.co/Jvadww8aGl</t>
  </si>
  <si>
    <t>📉 As três ações que mais desvalorizaram no dia foram: Brf (#BRFS3), Azul (#AZUL4) e Gol (#GOLL4)
#mercadofinanceiro #investimentos
https://t.co/1PabwcbYIR</t>
  </si>
  <si>
    <t>📈 As três ações que mais valorizaram no dia foram: Meliuz (#CASH3), Suzano (#SUZB3) e Copel (#CPLE6) 
#mercadofinanceiro #investimentos
https://t.co/HZMPUBAgyW</t>
  </si>
  <si>
    <t>👩⚖️ A SEC (#CVM americana) acusava a Ripple Labs de violar a lei americana de valores mobiliários, mas juíza acabtou o argumento da empresa cripto. Confira 
#mercadofinanceiro #investimentos 
https://t.co/U9eQf5aT55</t>
  </si>
  <si>
    <t>📊 COLUNA Carol Paiffer  | Temporada de balanços vem aí: veja um jeito simples de analisar e investi
#mercadofinanceiro #investimentos
https://t.co/YfQTUPO9VE</t>
  </si>
  <si>
    <t>📊👨💻Após a Petrobras (#PETR3;#PETR4) anunciar mais uma redução no valor da gasolina para distribuidoras, o mercado tem visto com atenção a nova política de preços da estatal. Confira
#mercadofinanceiro #investimentosemimoveis 
https://t.co/QUeKCjmicj</t>
  </si>
  <si>
    <t>📈 A Méliuz (#CASH3) disparou na B3 nesta sexta-feira (14), como a única ação subindo mais de 1%. Às 14h12, os papéis da companhia avançavam 14,53%, cotados a R$ 8,12. Entenda 
#mercadofinanceiro #investimentos
https://t.co/Xjjb7kYNs4</t>
  </si>
  <si>
    <t>📊🏭 “À medida que as pressões inflacionárias dos EUA diminuíram, aumentando a esperança de que o Federal Reserve esteja próximo do fim de seu ciclo de alta de juros”, destaca AJ Bell. Confira 
#petroleo #mercadofinanceiro #investimentos 
https://t.co/Fd9QxRuHlH</t>
  </si>
  <si>
    <t>📉 Os papéis da Infracommerce (#IFCM3) operavam cotados a R$ 1,67, desabando 9,73% às 16h06 desta quarta-feira (06). Entenda
#mercadofinanceiro #investimentos
https://t.co/zZq9a9Km76</t>
  </si>
  <si>
    <t>📈 No documento, a estatal disse que desistiu de seguir com os desinvestimentos de ativos de exploração e produção de petróleo de sua subsidiária na Argentina. Veja a cotação da #PETR3 e #PETR4
#mercadofinanceiro #investimentos
https://t.co/kNovTD1Ec7</t>
  </si>
  <si>
    <t>📊Mercado hoje: falas de dirigentes do Fed e agenda política no Brasil ficam no radar em meio a exterior cauteloso.
#mercadofinanceiro
https://t.co/27Xwy4HyPv</t>
  </si>
  <si>
    <t>📊 Fechamento de Mercado: Ibovespa encerra estável em dia de feriado nos EUA. Confira
#mercadofinanceiro #investimentos
https://t.co/fpB1vnVwIm</t>
  </si>
  <si>
    <t>📉 As três ações que mais desvalorizaram no dia foram: Magazine Luiza (#MGLU3), Yduqs (#YDUQ3) e Cogna (#COGN3)
#mercadofinanceiro #investimentos
https://t.co/N3IX5PUDw6</t>
  </si>
  <si>
    <t>📊 COLUNA Espaço do Especialista com William Castro Alves, Estrategista-chefe da Avenue | 9.3 lições do maior investidor de todos os tempos para você aprender
#mercadofinanceiro #investimentos #WarrenBuffett 
https://t.co/elai0gFCq6</t>
  </si>
  <si>
    <t>💳 Segundo pesquisa interna, 35% dos PMEs que vendem por meio do Mercado Livre esperam crescer ao menos 30% em 2023. Veja
#mercadofinanceiro #investimentos
https://t.co/ULIsxXP9s3</t>
  </si>
  <si>
    <t>📊 Os papéis da Totvs (#TOTS3) estavam cotados a R$27,97 às 15h18 desta quinta-feira (31), apresentando recuo de 1,89%. Confira
#mercadofinanceiro #investimentos
https://t.co/16VFfpzyP1</t>
  </si>
  <si>
    <t>💵 Os repasses do quarto lote da Restituição Imposto de Renda podem ser feitos por transferência direta ou por meio de chave Pix. Veja
#mercadofinanceiro #investimentos #ImpostoDeRenda 
https://t.co/nAZfNQrC8Z</t>
  </si>
  <si>
    <t>📈 Na Comex, divisão para metais da New York Mercantile Exchange (Nymex), o #cobre com entrega prevista para dezembro fechou em alta de 0,13%, a US$ 3,8440 por libra-peso. Veja
#mercadofinanceiro #investimentos
https://t.co/ZQ6NVd2p3r</t>
  </si>
  <si>
    <t>📈 A alta do #ouro se deu hoje (30) após números de emprego e atividade estarem abaixo do esperado nos EUA. Entenda
#mercadofinanceiro #investimentos
https://t.co/SEsELkotjf</t>
  </si>
  <si>
    <t>📈 A alta do #Petróleo foi apoiada por dados que mostram queda nos estoques americanos; pelo furacão Idália, que poderá afetar a produção nos EUA. Veja
#mercadofinanceiro #investimentos
https://t.co/IJConmEwOs</t>
  </si>
  <si>
    <t>🍀 Desse modo, de acordo com o novo calendário, o valor milionário do concurso 2627, será realizado na noite da próxima quinta-feira (31). Saiba mais aqui
#mercadofinanceiro #investimentos #megasena
https://t.co/3VILDsy6IU</t>
  </si>
  <si>
    <t>👨‍⚖️ O presidente #Lula assinará ainda hoje (28) a medida provisória que fará mudanças no valor das alíquotas. O governo projeta arrecadar R$ 24 bilhões com a medida entre 2023 e 2026. Veja
#mercadofinanceiro #investimentos
https://t.co/kwF3u4tV3v</t>
  </si>
  <si>
    <t>📊👍🏼 O investimento totaliza US$ 40 milhões, ou 3% do que o #BTG projeta em investimento pela empresa em 2023. Confira
#mercadofinanceiro #investimentos
https://t.co/u1DkofHPG0</t>
  </si>
  <si>
    <t>✈️ Os analistas ouvidos pelo E-Investidor explicam que o produto, chamado Promo123, oferecia passagens aéreas sem data definida, a preços muito abaixo do mercado. Entenda
#mercadofinanceiro #investimentos #123milhas 
https://t.co/5K57h1UD2o</t>
  </si>
  <si>
    <t>📊 Fechamento de Mercado: Ibovespa volta a recuar com pressão dos mercados norte-americanos. Confira
#mercadofinanceiro #investimentos
https://t.co/uRd0dcuSps</t>
  </si>
  <si>
    <t>📊 Os rendimentos dos Treasuries avançaram nesta quinta-feira, após dirigentes do Fed sinalizarem intenção de manter juros restritivos por um longo período. Confira
#mercadofinanceiro #investimentos
https://t.co/d7Ky6fNqg0</t>
  </si>
  <si>
    <t>📉 As bolsas de Nova York fecharam em queda de 1% após dirigentes do #Fed indicarem apoio por juros restritivos no primeiro dia do Simpósio de Jackson Hole. Saiba mais
#mercadofinanceiro #investimentos
https://t.co/0cpz5ShBcU</t>
  </si>
  <si>
    <t>📈 Após dois pregões de queda firme, em que acumulou desvalorização de 2,47% e esboçou romper o piso de R$ 4,85, o #dólar à vista subiu na sessão desta quinta-feira. Veja
#mercadofinanceiro #investimentos
https://t.co/ZeHFsF10Oo</t>
  </si>
  <si>
    <t>📊 Com operação, a participação da #Even na Melnick cairá de 44,5% para cerca de 38%, segundo avaliação de bancos. Entenda
#mercadofinanceiro #investimentos
https://t.co/WpKa0iSE4o</t>
  </si>
  <si>
    <t>💵 Caso o aposentado opte pelo cadastro como #MEI, ele deverá voltar a contribuir na Previdência Social. Fique por dentro aqui
#mercadofinanceiro #investimentos
https://t.co/Vz6Xx7dBDC</t>
  </si>
  <si>
    <t>🏛 Ao recomendar a compra, o banco revelou o preço-alvo dos papéis: R$ 41,00 por ação em doze meses – o que implica em um upside de 30% sobre a cotação atual.
#mercadofinanceiro #Investimentos 
https://t.co/HBUxZCFUG4</t>
  </si>
  <si>
    <t>📊 Os juros futuros fecharam a sessão em alta. Em dia de agenda e noticiário esvaziados no Brasil, a crescente pressão sobre os Treasuries continuou reverberando pelos ativos mundo afora. Veja
#mercadofinanceiro #Investimentos 
https://t.co/JrjDOPXiWr</t>
  </si>
  <si>
    <t>💵 O #dólar encerrou a sessão cotada a R$ 4,9814. Confira
#mercadofinanceiro #Investimentos 
https://t.co/8IvTwH5Gkm</t>
  </si>
  <si>
    <t>🔒 O saldo do #FGTS bloqueado ocorre por diversos fatores, como quando o trabalhador tem algum problema relacionado ao saque-aniversário ou por questões legais. Saiba mais
#mercadofinanceiro #Investimentos 
https://t.co/c0RjpjXoUU</t>
  </si>
  <si>
    <t>📊 #Nvidia foi destaque do pregão, avançando mais de 7% após recomendação de compra do Morgan #Stanley. Confira
#mercadofinanceiro #Investimentos 
https://t.co/uow6HKDCLZ</t>
  </si>
  <si>
    <t>📊 Os juros futuros fecharam a sessão em alta, contaminados principalmente pela tensão do cenário internacional. Entenda 
#mercadofinanceiro #Investimentos 
https://t.co/aEJbF6hfd4</t>
  </si>
  <si>
    <t>📈 O dólar operou em alta hoje, favorecido por interpretações de que a inflação dos Estados Unidos ainda está alta. Veja
#mercadofinanceiro #Investimentos 
https://t.co/1qjiWTaxoc</t>
  </si>
  <si>
    <t>💵 Trata-se de uma situação delicada que pode provocar estragos financeiros e emocionais. Veja o que especialistas dizem
#mercadofinanceiro #Investimentos 
https://t.co/F7WyOlflst</t>
  </si>
  <si>
    <t>📊 Para Vinicius Vieira, head de fundos de ações da Santander Asset, a queda da Selic cria oportunidades para o investidor. Confira
#mercadofinanceiro #Investimentos 
https://t.co/fFVpkMaGQv</t>
  </si>
  <si>
    <t>📊 Vale destacar que esse investimento não é somente para aposentadoria. Também é possível receber os rendimentos da aplicação no futuro e continuar trabalhando. Fique por dentro
#mercadofinanceiro #Investimentos 
https://t.co/SQK5LtgrcE</t>
  </si>
  <si>
    <t>📈 Com oscilação de cerca de quatro centavos entre mínima (R$ 4,8748) e máxima (R$ 4,9162), a moeda encerrou cotada a R$ 4,9050. Saiba mais
#mercadofinanceiro #investimentos 
https://t.co/XuCpRBel5T</t>
  </si>
  <si>
    <t>📊 O dólar operou sem direção única no exterior, na véspera de dados da inflação ao consumidor (CPI, na sigla em inglês) dos Estados Unidos. Confira
#mercadofinanceiro #investimentos 
https://t.co/Q4GsxjL9sj</t>
  </si>
  <si>
    <t>📊 Os rendimentos dos Treasuries operam mistos nesta quarta-feira, na véspera da publicação da inflação ao consumidor (CPI, na sigla em inglês) dos Estados Unidos. Saiba
#mercadofinanceiro #investimentos 
https://t.co/RVoY7YUCin</t>
  </si>
  <si>
    <t>📊 A #Tesla caiu 3% na quarta sessão consecutiva de baixa, ainda na esteira da renúncia do ex-CFO, Zach Kirkhorn. Veja
#mercadofinanceiro #investimentos 
https://t.co/CxguIhTKbJ</t>
  </si>
  <si>
    <t>📈 Os juros futuros subiram nos vencimentos longos e encerraram estáveis na ponta curta. Confira
#mercadofinanceiro #investimentos 
https://t.co/aiwUSLwbeM</t>
  </si>
  <si>
    <t>📱💵 O Tesouro Nacional e os dealers de títulos públicos federais definiram a plataforma Trademate, desenvolvida pela B3. Confira
#mercadofinanceiro #investimentos 
https://t.co/xYDMIpAfMN</t>
  </si>
  <si>
    <t>💵 Cerca de 400 mil pessoas têm dinheiro a receber da época em que o ex-presidente Fernando Collor confiscou as cadernetas de poupança. Veja se você não é um deles
#mercadofinanceiro #investimentos 
https://t.co/7AdVrbbfrI</t>
  </si>
  <si>
    <t>📱 Para consultar o nome na Serasa, o usuário deve realizar o cadastro de forma gratuita no aplicativo ou site, informando os dados pessoais solicitados, Saiba mais
#mercadofinanceiro #investimentos 
https://t.co/U1qKIIZf65</t>
  </si>
  <si>
    <t>🏦 Companhias que estavam se encaminhando para se lançar no mercado de ações acabaram se deparando com um cenário econômico mais complexo. Entenda
#mercadofinanceiro #investimentos 
https://t.co/Tfg0o1nFFu</t>
  </si>
  <si>
    <t>💳 Regras são aplicáveis a clientes cuja renda esteja entre R$ 2.640 e R$ 20 mil. Saiba mais
#mercadofinanceiro #investimentos #nubank 
https://t.co/N6ORYFSDrx</t>
  </si>
  <si>
    <t>👨‍👩‍👧‍👦💵 Além disso, o ministério informou que no mês de julho entraram em vigor novos procedimentos para averiguar os cadastros unipessoais. Fique por dentro
#mercadofinanceiro #investimentos #bolsafamilia
https://t.co/WbaElM87Rk</t>
  </si>
  <si>
    <t>💰 O valor é de R$ 16.775.082,07, sendo R$ 15.790.438,71 para pagamento de dividendos a acionistas titulares de ações ordinárias. Saiba mais
#mercadofinanceiro #investimentos 
https://t.co/dIEXZ3uEgw</t>
  </si>
  <si>
    <t>📊 China: maior incorporadora imobiliária cancela venda de ações. Confira
#mercadofinanceiro #Investimentos 
https://t.co/EDgXk1MQxM</t>
  </si>
  <si>
    <t>📊 Os rendimentos dos Treasuries avançaram nesta terça-feira, à medida que investidores interpretam dados negativos de indústria. Entenda
#mercadofinanceiro #Investimentos 
https://t.co/hOoTP4bG6C</t>
  </si>
  <si>
    <t>📊 O dólar australiano perdeu fôlego contra a moeda americana após decisão de política monetária do BC local. Veja
#mercadofinanceiro #Investimentos 
https://t.co/BqWqED02DL</t>
  </si>
  <si>
    <t>✍🏼 Novo colunista na área: Bruno Funchal, CEO da Bradesco Asset. Conheça
#mercadofinanceiro #investimentos
https://t.co/oK8TNJttCi</t>
  </si>
  <si>
    <t>📊 Com corte da Selic, pode ser o momento de investir na Bolsa e se posicionar, principalmente, em mid e small caps. Saiba mais
#mercadofinanceiro #Investimentos 
https://t.co/t4hafuRdGU</t>
  </si>
  <si>
    <t>👨‍⚖️ Na última segunda-feira (31) foi divulgada uma a decisão sobre a batalha judicial entre os jogadores Gustavo Henrique Furtado Scarpa e Willian Gomes de Siqueira (Willian Bigode). Veja
#mercadofinanceiro #investimentos
https://t.co/ymnUN5NEsQ</t>
  </si>
  <si>
    <t>👨‍🔧 O trabalhador nascido em agosto pode aderir ao saque-aniversário do Fundo de Garantia do Tempo de Serviço (FGTS). Saiba mais
#mercadofinanceiro #investimentos
https://t.co/KODjRWbemM</t>
  </si>
  <si>
    <t>📉 As três ações que mais desvalorizaram no dia foram: Sabesp (#SBSP3), Arezzo (#ARZZ3) e Petrobras (#PETR3)
#mercadofinanceiro #investimentos
https://t.co/rjV7tQEgtJ</t>
  </si>
  <si>
    <t>📈 As três ações que mais valorizaram no dia foram: Iguatemi (#IGTI11), Magazine Luiza (#MGLU3) e Petz (#PETZ3)
#mercadofinanceiro #investimentos
https://t.co/eUGe0Iheix</t>
  </si>
  <si>
    <t>💧📉 Após anunciar modelo escolhido para desestatização, ações da Sabesp (SBSP3) fecham em queda. Confira
#mercadofinanceiro #investimentos
https://t.co/rQYcddzmYr</t>
  </si>
  <si>
    <t>👨‍⚖️ Receita Federal promove mais um leilão com mercadorias apreendidas. Veja como participar
#mercadofinanceiro #investimentos
https://t.co/uJ2ODwdaXT</t>
  </si>
  <si>
    <t>📊🤔 Veja como operam #MagazineLuiza e Via na véspera do Copom
#mercadofinanceiro #investimentos
https://t.co/qhn6NBFBJ7</t>
  </si>
  <si>
    <t>🏭 Na última segunda-feira (31), a agência de classificação de risco Fitch elevou a nota de crédito de longo prazo da Petrobras (#PETR3; #PETR4). Confira
#mercadofinanceiro #investimentos
https://t.co/GbBIO5wv8r</t>
  </si>
  <si>
    <t>O processo funciona de forma simples através do pagamento via Pix. Confira 
#mercadofinanceiro #investimentos
https://t.co/g5Y0Toqz9D</t>
  </si>
  <si>
    <t>De acordo com a Fitch Ratings, o ambiente de negócios fraco e altas  taxas de juro podem impedir que as empresas emitam novos títulos de  dívida ainda em 2023. Entenda 
#mercadofinanceiro #investimentos
https://t.co/7HtsMmieMz</t>
  </si>
  <si>
    <t>Segundo o levantamento, o último mês do semestre registrou queda de  16,4% nos valores para o perfil feminino e de 14,8% para o masculino.  Veja o ranking
#mercadofinanceiro #investimentos
https://t.co/aFIy29Vt1o</t>
  </si>
  <si>
    <t>Ao E-Investidor, a Gocap Intermediação Inteligente de Ativos enviou uma nota se posicionando. Veja 
#mercadofinanceiro #investimentos
https://t.co/oYm3bRWByL</t>
  </si>
  <si>
    <t>📊 Mercado Intraday: Ibovespa volta a subir com bom humor externo. Confira 
#mercadofinanceiro #investimentos 
https://t.co/XuQzsSq9CO</t>
  </si>
  <si>
    <t>💰 Mega Sena: quanto rende o prêmio de 40 milhões na poupança? Confira
#mercadofinanceiro #investimentos 
https://t.co/t0AEb5Y2Og</t>
  </si>
  <si>
    <t>📊 Hidrovias do Brasil (HBSA3) revela preço de ações ofertadas
#mercadofinanceiro #investimentos 
https://t.co/mpRzfAAHYj</t>
  </si>
  <si>
    <t>🇧🇷 EDP Brasil (ENBR3) elege novo presidente do conselho
#mercadofinanceiro #investimentos 
https://t.co/DSqtAUCGe3</t>
  </si>
  <si>
    <t>💵 O Itaú Unibanco (#ITUB4) anunciou que os usuários do aplicativo de investimentos do banco passarão a contar com revisão de suas carteiras. Veja como
#mercadofinanceiro #investimentos 
https://t.co/6eot6klFte</t>
  </si>
  <si>
    <t>📊#Ibovespa hoje abre em queda em dia de baixa liquidez e pessimismo no exterior.
#mercadofinanceiro
https://t.co/YOlWnuN5yd</t>
  </si>
  <si>
    <t>📊Abertura de Mercado: pouca liquidez, agenda esvaziada e pessimismo no exterior pautam a bolsa nesta volta de 7 de setembro.
#mercadofinanceiro
https://t.co/35jgZw6FOT</t>
  </si>
  <si>
    <t>💰 No mês de setembro, até o momento, houve entrada de R$ 612,588 milhões. Confira quanto retiraram da #B3
#mercadofinanceiro #investimentos
https://t.co/PzBBYHGHl8</t>
  </si>
  <si>
    <t>📊🧐 Quase 2 milhões de investidores ainda têm BDRs, títulos que representam ativos no exterior, na carteira. Veja se há riscos para essa modalidade
#mercadofinanceiro #investimentos
https://t.co/35duvZyyqF</t>
  </si>
  <si>
    <t>📊💵 Quais ações que pagam dividendos são boas para investir em setembro? Confira
#mercadofinanceiro #investimentos
https://t.co/I5SIeAZ34r</t>
  </si>
  <si>
    <t>💵 A agência de classificação de risco Fitch Ratings Ratings deu nota “BBB-” para os títulos de dívida (bonds) que a JBS (#JBSS3) anunciou nesta terça-feira (5). Entenda
#mercadofinanceiro #investimentos
https://t.co/DlEyNbWWGN</t>
  </si>
  <si>
    <t>📉 Presidente da Petrobras (#PETR3; #PETR4), Jean Paul Prates, informou que os acordos assinados com empresas chinesas visam buscar possíveis parcerias com uma série de países. Veja
#mercadofinanceiro #investimentos
https://t.co/I89YpnyKNV</t>
  </si>
  <si>
    <t>👨‍⚖️ #Ronaldinho Gaúcho, se apresentou à Câmara dos Deputados para depor à Comissão Parlamentar de Inquérito (CPI), na manhã desta quinta-feira (31). Confira
#mercadofinanceiro #investimentos
https://t.co/AxSW6bQ8dN</t>
  </si>
  <si>
    <t>📊 O índice de referência da Bolsa de Valores brasileira terminou agosto com uma queda acumulada de 5,09% aos 115.741,81 pontos. Entenda
#mercadofinanceiro #investimentos
https://t.co/ybF77aBON9</t>
  </si>
  <si>
    <t>💵 Nos requisitos atuais para solicitar a aposentadoria, é importante que a carência de contribuição não ultrapasse 180 meses. Saiba detalhes
#mercadofinanceiro #investimentos
https://t.co/ejHcihZWof</t>
  </si>
  <si>
    <t>📈 As três ações que mais valorizaram no dia foram: CVC (#CVCB3), Dexco (#DXCO3) e CSN Mineração (#CMIN3)
#mercadofinanceiro #Investimentos
https://t.co/cW5zibEZl9</t>
  </si>
  <si>
    <t>💵 Mais de 6 milhões de contribuintes estão prestes a receber um total de R$ 7,5 milhões em restituições. Veja quando é depositada
#mercadofinanceiro #investimentos
https://t.co/3LD0qd3szd</t>
  </si>
  <si>
    <t>📉 CVC opera no prejuízo e sofre com um endividamento alto desde antes da pandemia. Confira
#mercadofinanceiro #investimentos
https://t.co/qyFrYCRQHq</t>
  </si>
  <si>
    <t>💵 Na última segunda-feira (28), a Azevedo &amp;amp; Travassos (#AZEV4) revelou que o seu conselho de administração aprovou um aumento de capital no montante de até R$ 215 milhões. Veja
#mercadofinanceiro #Investimentos 
https://t.co/USSuS7enuJ</t>
  </si>
  <si>
    <t>🏛 O Banco do Brasil (#BB) vai atualizar seu Plano de Sustentabilidade e se comprometer com um aumento de mais de 50% da carteira de crédito sustentável até 2030. Confira
#mercadofinanceiro #Investimentos 
https://t.co/RNoUoT3jqx</t>
  </si>
  <si>
    <t>📊 "Acreditamos que há um valor estratégico relevante por trás desse acordo para a Minerva”, avaliam Henrique Brustolin e Thiago Duarte. Veja
#mercadofinanceiro #Investimentos 
https://t.co/3dg9jKtemB</t>
  </si>
  <si>
    <t>🤔 É possível fazer um estorno de #Pix? Confira
#mercadofinanceiro #investimentos
https://t.co/hTJYns44NA</t>
  </si>
  <si>
    <t>📊 A aplicação inicial mínima do fundo é de R$ 100 e tem a proposta de superar a rentabilidade do Certificado de Depósito Interbancário (CDI) no longo prazo. Fique por dentro
#mercadofinanceiro #investimentos
https://t.co/kUkzBupVfP</t>
  </si>
  <si>
    <t>📉 COLUNA Marilia Fontes | Quão baixa a Selic pode chegar? Veja uma análise do mercado financeiro
#mercadofinanceiro #Investimentos 
https://t.co/MGKDnabUnW</t>
  </si>
  <si>
    <t>📊 COLUNA Erich Decat | Potencial de arrecadação das medidas de Haddad é algo incerto dentro do Congresso. Entenda
#mercadofinanceiro #investimentos
https://t.co/qcFhSLwmSd</t>
  </si>
  <si>
    <t>📉😐Mês do “desgosto”: pior agosto na Bolsa desde 2015 é oportunidade ou risco? Analistas opinam sobre o que esperar e como 🇨🇳China e 🇺🇸EUA são determinantes para seus #investimentos.
#mercadofinanceiro
https://t.co/4MdYfFT9W0</t>
  </si>
  <si>
    <t>💵 Vale citar que, também terão direito ao JCP todos os acionistas titulares de ações na data base de 27 de julho de 2023. Confira
#mercadofinanceiro #Investimentos 
https://t.co/aJA5TTnlvY</t>
  </si>
  <si>
    <t>💵 Na próxima sexta-feira (25), o Itaú (#ITUB4) vai efetuar o pagamento de JCP – juros sobre o capital próprio, no valor de R$ 0,2663 por ação. Veja
#mercadofinanceiro #Investimentos 
https://t.co/RuGMFEIqxc</t>
  </si>
  <si>
    <t>💵 Na próxima quarta-feira (23), a Irani (#RANI3), empresa no setor de celulose e que produz embalagens e chapas de papelão ondulado, pagará R$ 54,9 milhões em dividendos. Confira
#mercadofinanceiro #Investimentos 
https://t.co/kEvXoK9wVA</t>
  </si>
  <si>
    <t>💵 O conselho de administração da #Gerdau propôs o pagamento R$ 0,43 em dividendos por ação ordinária e preferencial, o equivalente a R$ 752,130 milhões. Veja
#mercadofinanceiro #investimentos 
https://t.co/FBkEcHP9Zx</t>
  </si>
  <si>
    <t>📉 A Gerdau (#GGBR4) registrou lucro líquido de R$ 2,143 bilhões no segundo trimestre de 2023, queda de 50,1%. Confira
#mercadofinanceiro #investimentos 
https://t.co/r5AMFSY6Cx</t>
  </si>
  <si>
    <t>📊 No documento, os diretores reforçaram que o ritmo de cortes da Selic em 0,50 ponto porcentual é apropriado. Saiba mais
#mercadofinanceiro #investimentos 
https://t.co/2TJEc8wuK8</t>
  </si>
  <si>
    <t>💵 O Goldman Sachs reiterou a recomendação de compra para a Petrobras (#PETR3;#PETR4) com base no que o banco considerou uma “extraordinária política de dividendos”. Veja
#mercadofinanceiro #investimentos 
https://t.co/dZJuzlrqMl</t>
  </si>
  <si>
    <t>📉 O Méliuz (#CASH3), empresa especializada em cashback, reportou prejuízo líquido consolidado de R$ 6,3 milhões. Confira
#mercadofinanceiro #investimentos 
https://t.co/U0JWHyOxx8</t>
  </si>
  <si>
    <t>💵 Um bolívar venezuelano equivale a R$ 0,16 na cotação atualizada. Dessa forma, R$ 100 no país representa 631,32 de bolívares. Saiba mais
#mercadofinanceiro #investimentos #Venezuela 
https://t.co/3V8GSllTFs</t>
  </si>
  <si>
    <t>📊 O ativo representa ações de companhias internacionais que são emitidas e negociadas na Bolsa de Valores brasileira, a B3. Saiba mais
#mercadofinanceiro #investimentos 
https://t.co/TUhcwtS8bu</t>
  </si>
  <si>
    <t>📊 Os juros dos #Treasuries operaram sob forte pressão na manhã desta terça-feira, em resposta à aversão ao risco nos mercados globais. Entenda
#mercadofinanceiro #investimentos 
https://t.co/ZI8ViqPJJo</t>
  </si>
  <si>
    <t>📊 Notas de crédito de 10 bancos regionais foram cortadas pela Moody's. Confira
#mercadofinanceiro #investimentos 
https://t.co/5JQ0hZW8pM</t>
  </si>
  <si>
    <t>📊💵 Para analistas, há alguns fatores que devem influenciar na performance do BTC, mas enxergam a possibilidade do ativo chegar a US$ 40 mil em 2023. Saiba mais
#mercadofinanceiro #investimentos 
https://t.co/9DuCtRa2VN</t>
  </si>
  <si>
    <t>📈 O #dólar avançou ante divisas fortes e emergentes nesta sessão, apoiado pela forte aversão ao risco após a divulgação de dados da balança comercial da China. Veja
#mercadofinanceiro #investimentos 
https://t.co/TNzcFaMqyR</t>
  </si>
  <si>
    <t>📈 Os BDRs do #Nubank terminaram o pregão em valorização de 1,89%, sendo negociados a R$ 6,46. Confira
#mercadofinanceiro #investimentos #BDR
https://t.co/xQQMCMP0ei</t>
  </si>
  <si>
    <t>📈 O contrato futuro mais líquido do ouro fechou em alta nesta segunda-feira (31), voltando à marca acima de US$ 2 mil por onça-troy. Confira
#mercadofinanceiro #Investimentos 
https://t.co/ggG7xPD3jL</t>
  </si>
  <si>
    <t>📊 Anúncio de estímulos na China norteiam fechamento do cobre. Veja
#mercadofinanceiro #investimentos 
https://t.co/TUMXIANrpa</t>
  </si>
  <si>
    <t>🏛 Banco do Brasil (BBAS3) é listado em índice de ESG da Bolsa de Londres. Confira
#mercadofinanceiro #investimentos 
https://t.co/kKRjbobyBY</t>
  </si>
  <si>
    <t>📊💵 Os primeiros produtos negociados são os títulos públicos federais indexados, pré-fixados e operações casadas. Veja como vai funcionar a nova plataforma de negociação
#mercadofinanceiro #investimentos 
https://t.co/C2gIqdUsaV</t>
  </si>
  <si>
    <t>💵 A #Petrobras pagará a primeira parcela da antecipação do exercício de 2023 no valor de R$ 0,946788. Veja o calendário do mês 
#mercadofinanceiro #investimentos
https://t.co/Zw4Hm22KHr</t>
  </si>
  <si>
    <t>📊 Chance de Fed manter juros em setembro tem leve alta
#mercadofinanceiro #investimentos 
https://t.co/7HtW00SvnL</t>
  </si>
  <si>
    <t>💰 São Martinho (SMTO3) anuncia emissão de dividendos. Veja o valor por ação
#mercadofinanceiro #investimentos 
https://t.co/BE09weyYeR</t>
  </si>
  <si>
    <t>Ainda no comunicado, a empresa descreveu que o Brasil tem “uma forte  valorização da moda” e há um “grande potencial de expansão no mercado”.  Confira 
#mercadofinanceiro #investimentos 
https://t.co/aOnnnXpG79</t>
  </si>
  <si>
    <t>🍷 COLUNA Quanto Custa por Róbson Martins | Quanto custa um rodízio de vinho na cidade de São Paulo? Veja opções
#mercadofinanceiro #investimentos
https://t.co/T4aGJF3TiY</t>
  </si>
  <si>
    <t>✈️💳 Para quem está se preparando para ir ao exterior, saber a melhor opção de pagamento é essencial. Confira
#mercadofinanceiro #investimentos
https://t.co/KDgkMbmVVP</t>
  </si>
  <si>
    <t>📊Mercado Intraday: Mercados operam de olho na inflação americana e dólar cai
#mercadofinanceiro #investimentos #inflação 
https://t.co/h1GeVjg1G4</t>
  </si>
  <si>
    <t>👩🏽⚽COPA DO MUNDO | O campeonato feminino começa no dia 20 de julho com sede na Austrália e Nova Zelândia. Saiba a melhor forma de viajar e usar seu dinheiro no exterior para vê-las jogar
#mercadofinanceiro #investimentos
https://t.co/uuMXXFEjeJ</t>
  </si>
  <si>
    <t>Como ficam as ações da Braskem (BRKM5) com a possível venda? Confira a análise de Gabriel Bassotto, analista chefe de ações do Simpla Club
#mercadofinanceiro #investimentos
https://t.co/y6hrODLG4A</t>
  </si>
  <si>
    <t>📊💰 Estoque de renda fixa ultrapassa R$ 4 trilhões. Veja quais produtos são destaque
#mercadofinanceiro #investimentos 
https://t.co/ZWyuZUs0yL</t>
  </si>
  <si>
    <t>💰 Direcional (DIRR3) divulga resultado histórico de vendas de lançamentos
#mercadofinanceiro #investimentos 
https://t.co/koMsODX34W</t>
  </si>
  <si>
    <t>🏦 Qual a expectativa do mercado para o início do corte da Selic? Confira
#mercadofinanceiro #investimentos 
https://t.co/4WFBmYLC5k</t>
  </si>
  <si>
    <t>📊 Fechamento de Mercado: IPCA alivia juros e sustenta Ibovespa. Confira
#mercadofinanceiro #investimentos
https://t.co/mfDwwWZQZ4</t>
  </si>
  <si>
    <t>✈️ Os papéis da Azul (#AZUL4) operam em alta de 0,73% nesta terça-feira (12), cotados a R$ 13,77, às 15h50. Entenda
#mercadofinanceiro #investimentos
https://t.co/DzJv62tchS</t>
  </si>
  <si>
    <t>🧐 COLUNA Erich Decat | Nova base de Lula atrapalha propostas que impactam o investidor? Entenda
#mercadofinanceiro #investimentos
https://t.co/O6OTnQLvJO</t>
  </si>
  <si>
    <t>📊 O banco considera que a política de preços da empresa é essencial para a potencial geração de caixa da empresa. Veja
#mercadofinanceiro #investimentos
https://t.co/nBYTRQ3OAx</t>
  </si>
  <si>
    <t>📈 A alta do metal nesta segunda-feira (11), porém, foi limitado pela escalada nos juros dos Estados Unidos. Entenda
#mercadofinanceiro #investimentos
https://t.co/vfMK4p4rDW</t>
  </si>
  <si>
    <t>🧐💵 Especialistas explicam aquilo que não deve ser feito para não depender exclusivamente da renda do trabalho. Confira
#mercadofinanceiro #Investimentos 
https://t.co/pm9QxXuNCK</t>
  </si>
  <si>
    <t>📊 O negócio teria sido acordado pelo home24, acionista controlador da Mobly, e o fundo de private equity Carlyle, controlador da Tok&amp;amp;Stok. Veja
#mercadofinanceiro #investimentos
https://t.co/VHe1trgTZE</t>
  </si>
  <si>
    <t>📊 COLUNA Vitor Miziara | A pesquisa é divulgada na segunda-feira e é importante para entendermos as projeções de indicadores econômicos. Confira
#mercadofinanceiro #investimentos
https://t.co/5UJRSWZYo7</t>
  </si>
  <si>
    <t>💵 O preço-alvo passou de R$ 74,9 para R$ 83,6 por ação, representando potencial valorização de 42% em relação ao último fechamento. Veja
#mercadofinanceiro #investimentos
https://t.co/TUMRo85NzL</t>
  </si>
  <si>
    <t>💵 Benefício funciona como uma forma de indenizar pelas dificuldades que o trabalho das 22h às 5h pode oferecer. Saiba como calcular
#mercadofinanceiro #investimentos
https://t.co/9zc86si8to</t>
  </si>
  <si>
    <t>💵 Moeda encerrou a sessão cotada a R$ 4,9511. Veja detalhes
#mercadofinanceiro #investimentos
https://t.co/RmbOSs2khy</t>
  </si>
  <si>
    <t>💵 Moeda americana recuou contra o iene, em meio à possível elevação de salários mínimos no Japão. Confira
#mercadofinanceiro #investimentos
https://t.co/3VlJuOmgV0</t>
  </si>
  <si>
    <t>📈 Os juros futuros emendaram a segunda sessão consecutiva de alta firme nesta quinta-feira, 31. Entenda
#mercadofinanceiro #investimentos
https://t.co/rDRocnpJUE</t>
  </si>
  <si>
    <t>📉 As três ações que mais desvalorizaram no dia foram: Grupo Pão de Açúcar (#PCAR3), Via (#VIIA3) e Méliuz (#CASH3)
#mercadofinanceiro #investimentos
https://t.co/Mo3uWcps1T</t>
  </si>
  <si>
    <t>📈 As três ações que mais valorizaram no dia foram: Minerva (#BEEF3), Marfrig (#MRFG3) e Itaú Unibanco (#ITUB4)
#mercadofinanceiro #investimentos
https://t.co/pjAW8pDtyZ</t>
  </si>
  <si>
    <t>👨‍⚖️ Fundos de previdência, fundos incentivados e até mesmo offshores são apontados por especialistas como os maiores beneficiados. Saiba mais
#mercadofinanceiro #investimentos #fundosuperricos
https://t.co/Kh0CTnx16c</t>
  </si>
  <si>
    <t>📊 Juros: taxas oscilam entre queda e estabilidade, após decisão do Fed. Confira
 #mercadofinanceiro #investimentos
https://t.co/jHKIiaCN2p</t>
  </si>
  <si>
    <t>💵📉 O dólar encerrou a sessão cotada a R$ 4,7282. Confira
#mercadofinanceiro #investimentos 
https://t.co/jGtyrcneui</t>
  </si>
  <si>
    <t>📊 As bolsas de Nova York fecharam mistas hoje, após o Federal Reserve (Fed) confirmar expectativa do mercado, aumentar juros em 25 pontos-base. Confira
#mercadofinanceiro #investimentos 
https://t.co/QMLkvCCkkn</t>
  </si>
  <si>
    <t>💵Dólar recua ante rivais, com novo rumo para os juros nos Estados Unidos. Confira 
#mercadofinanceiro #investimentos
https://t.co/UepAq2cDg4</t>
  </si>
  <si>
    <t>🏡 📊 Especialistas explicam se ainda vale a pena comprar um imóvel no País e quais fatores precisam ser analisados antes de tomar essa decisão
https://t.co/oOt11ruNQj
#mercadoimobiliário #investimentos #mercadofinanceiro</t>
  </si>
  <si>
    <t>💵 A Franklin #Templeton protocolou hoje (12) o fundo para acompanhar o desempenho do preço da criptomoeda. Entenda aqui
#mercadofinanceiro #investimentos
https://t.co/rco8i44OA6</t>
  </si>
  <si>
    <t>📊 COLUNA Carol Paiffer | Colunista e empresária explica o que você precisa saber para começar a investir como pessoa jurídica. Confira
#mercadofinanceiro #investimentos #educaçãofinanceira
https://t.co/55FPVZVIJl</t>
  </si>
  <si>
    <t>📉 O movimento ocorre após a empresa se posicionar sobre a notícia de uma possível fusão com a Tok&amp;amp;Stok. Veja
#mercadofinanceiro #investimentos
https://t.co/M5e3Medv7c</t>
  </si>
  <si>
    <t>💵 COLUNA Luis Claudio | Saiba quais investimentos podem trazer uma renda mensal 
#mercadofinanceiro #investimentos
https://t.co/fUjkBsdWg6</t>
  </si>
  <si>
    <t>📊 Os especialistas apontaram que “os pagamentos de dividendos permanecerão robustos". Veja detalhes
#mercadofinanceiro #investimentos
https://t.co/qczABKuLMw</t>
  </si>
  <si>
    <t>💵📲 O Banco Central divulgou nesta segunda-feira (4) o “Relatório de Gestão do Pix - Concepção e primeiros anos de funcionamento 2020-2022”, com planos para o futuro do Pix. Confira
#mercadofinanceiro #investimentos
https://t.co/0VPZme1vkL</t>
  </si>
  <si>
    <t>🧐 COLUNA Fabrizio Gueratto | Saiba a verdade sobre Warren Buffett, o maior investidor do mundo
#mercadofinanceiro #investimentos #warrenbuffett
https://t.co/sJnpPws8pm</t>
  </si>
  <si>
    <t>📊 O #cobre cedeu na sessão desta quinta-feira (31), pressionado pela força do #dólar ante rivais e após índice de gerente de compras (PMI, na sigla em inglês) da China. Veja
#mercadofinanceiro #investimentos
https://t.co/6PmRLzcRm8</t>
  </si>
  <si>
    <t>📊 Mercado Intraday: Risco fiscal volta ao radar e penaliza Ibovespa. Confira
#mercadofinanceiro #investimentos
https://t.co/Rwl7zP8PsY</t>
  </si>
  <si>
    <t>📊 Ao que tudo indica, Méliuz (#CASH3) deixará o Ibovespa a partir do dia 4 de setembro. Confira detalhes
#mercadofinanceiro #investimentos
https://t.co/jtnULjYF9I</t>
  </si>
  <si>
    <t>📱 Os interessados poderão dar lances até 4 de setembro pela plataforma Superbid Exchange ou pelo portal de imóveis da instituição financeira. Veja
#mercadofinanceiro #investimentos #santander
https://t.co/jPvUsje9z1</t>
  </si>
  <si>
    <t>💵 No último repasse, feito em maio, o estado recebeu R$ 9 bilhões, dos R$ 24,7 bilhões distribuídos. Fique por dentro
#mercadofinanceiro #investimentos #pretrobras
https://t.co/zKd4yvq7vO</t>
  </si>
  <si>
    <t>📊 Mercado Intraday: Ibovespa tenta sustentar os 118 mil pontos. Confira
#mercadofinanceiro #investimentos
https://t.co/jPvUsjdBJt</t>
  </si>
  <si>
    <t>📱 Coordenadores do estudo alertam sobre os perigos das apostas e destacam a importância da educação financeira para quem quer tentar a sorte. Confira
#mercadofinanceiro #investimentos
https://t.co/PEnTQtPhTE</t>
  </si>
  <si>
    <t>📦💵 Por meio do recurso, o #Nubank aplica os recursos do cliente em determinados tipos de investimento, que variam a depender do objetivo da utilização dos recursos. Saiba mais
#mercadofinanceiro #investimentos
https://t.co/qPtpOs2pkJ</t>
  </si>
  <si>
    <t>📉 As três ações que mais desvalorizaram no dia foram: Azul (#AZUL4), Gol (#GOLL4) e Grupo Soma (#SOMA3)
#mercadofinanceiro #investimentos
https://t.co/aPfDykKuYe</t>
  </si>
  <si>
    <t>📈 As três ações que mais valorizaram no dia foram: Raízen (#RAIZ4), Alpargatas (#ALPA4) e IRB Re (#IRBR3)
#mercadofinanceiro #investimentos
https://t.co/Dpb5dcd6HK</t>
  </si>
  <si>
    <t>📊 A partir da próxima segunda-feira (28), a parceria entre a corretora Avenue e a gestora #BlackRock para distribuição de ETFs chegará à televisão. Veja
#mercadofinanceiro #Investimentos 
https://t.co/tO03GIfxv1</t>
  </si>
  <si>
    <t>🏘 ‘Super Leilão de Imóveis’: há oportunidades para aquisição de casas, apartamentos, terrenos, estabelecimentos comerciais, e outros. Saiba mais
#mercadofinanceiro #investimentos #caixa
https://t.co/Xyam6IXCiB</t>
  </si>
  <si>
    <t>🎥 CPI das criptomoedas: as celebridades participaram de campanhas publicitárias de empresa acusada de envolvimento em fraudes. Veja quem são
#mercadofinanceiro #Investimentos 
https://t.co/sarieBavpz</t>
  </si>
  <si>
    <t>🍀 O sorteio da #Lotofácil será feito no dia 9 de setembro no Espaço da Sorte, em São Paulo. Confira
#mercadofinanceiro #Investimentos 
https://t.co/IWXE8RBICM</t>
  </si>
  <si>
    <t>📉 As três ações que mais desvalorizaram no dia foram: Hypera (#HYPE3), CVC (#CVCB3) e Rede D'or (#RDOR3)
#mercadofinanceiro #investimentos 
https://t.co/QDmkYR2TxJ</t>
  </si>
  <si>
    <t>📈 As três ações que mais valorizaram no dia foram: Carrefour (#CRFB3, Dexco (#DXCO3) e BRF (#BRFS3)
#mercadofinanceiro #investimentos 
https://t.co/ZM3PvDdiV0</t>
  </si>
  <si>
    <t>👨‍⚖️ COLUNA Erich Decat | Tributação de fundos exclusivos e dividendos não é um tabu na Câmara. Veja
#mercadofinanceiro #Investimentos 
https://t.co/Kvyb4AQwGH</t>
  </si>
  <si>
    <t>📊 Após acertar previsão sobre Bitcoin, analista prevê crescimento de outro criptoativo. Saiba mais 
#mercadofinanceiro #Investimentos 
https://t.co/D7HP5lNV38</t>
  </si>
  <si>
    <t>💵 Qual criptomoeda tem potencial para decolar com a Inteligência Artificial? O bilonário, Arthur Hayes, responde. Veja 
#mercadofinanceiro #investimentos
https://t.co/NvqD5XGzDs</t>
  </si>
  <si>
    <t>⏰⚽ O jogo contra a Jamaica pela Copa do Mundo será às 7h e o ponto facultativo se estende até às 11h. Veja se o horário de divulgação da Selic vai mudar devido ao jogo do Brasil
#mercadofinanceiro #Investimentos 
https://t.co/C2T1E8AQ0N</t>
  </si>
  <si>
    <t>📉🔓 Uma das principais carteiras descentralizadas de criptomoedas, Curve Finance, caiu 13% após ser hackeada. Veja
#mercadofinanceiro #investimentos 
https://t.co/mdncRltW7V</t>
  </si>
  <si>
    <t>💵⏰ Imposto de Renda 2023: Pagamento do terceiro lote foi liberado nesta segunda-feira (31). So todo, R$ 7,5 bilhões serão destinados a 5.632.036 contribuintes. Veja qual horário cai a restituição
#mercadofinanceiro #Investimentos 
https://t.co/mOJVJpLdES</t>
  </si>
  <si>
    <t>🏠🔑 Simulador mostra quanto seria o aporte mensal para comprar a casa própria. Confira
#mercadofinanceiro #Investimentos 
&amp;lt;!--td {border: 1px solid #cccccc;}br {mso-data-placement:same-cell;}--&amp;gt;https://t.co/JLzCXYJkyG</t>
  </si>
  <si>
    <t>Ao todo, o empreendimento tem potência instalada de 766 Megawatts-pico, o  equivalente ao consumo de uma cidade de 800 mil habitantes. Veja
#mercadofinanceiro #investimentos
https://t.co/a4fx0ITv03</t>
  </si>
  <si>
    <t>Veja os alimentos que ficaram mais caros e baratos no primeiro semestre de 2023 
#mercadofinanceiro #investimentos 
https://t.co/uj7BtIqfQw</t>
  </si>
  <si>
    <t>COLUNA Evandro Mello | O filme da Barbie e 5 ensinamentos sobre a vida financeira. Confira
#mercadofinanceiro #investimentos #BarbieMovie 
&amp;lt;!--td {border: 1px solid #cccccc;}br {mso-data-placement:same-cell;}--&amp;gt;https://t.co/lzws4FDopW</t>
  </si>
  <si>
    <t>COLUNA Espaço do Especialista | Os precatórios são uma boa alternativa de investimento sem assumir os riscos. Veja 
#mercadofinanceiro #investimentos
https://t.co/x172aqFGI8</t>
  </si>
  <si>
    <t>🖥️ Inteligência artificial elaborou planejamento financeiro, roteiro e cronograma para dez dias na Europa. Saiba como
#mercadofinanceiro #Investimentos 
https://t.co/WhArxyFTUA</t>
  </si>
  <si>
    <t>Inflação em queda: inquilino vai pagar menos aluguel? Confira
#mercadofinanceiro #investimentos 
https://t.co/OkRWfMBa8w</t>
  </si>
  <si>
    <t>Preço do aluguel sobe, mas rentabilidade para investidores cai. Entenda
#mercadofinanceiro #investimentos 
https://t.co/a1r1G3lHOh</t>
  </si>
  <si>
    <t>📊Mercado hoje: investidor se concentra em agenda externa com relatório da Opep, política monetária da Europa e inflação nos EUA; apetite por risco deve alavancar Ibovespa.
#mercadofinanceiro
https://t.co/EzQEGRCrx6</t>
  </si>
  <si>
    <t>📊 Ações do Grupo SBF (SBFG3) disparam após recomendação do Itaú BBA
#mercadofinanceiro #investimentos 
https://t.co/HShpLB2XKF</t>
  </si>
  <si>
    <t>💵A Metlife (#METB34) anunciou nesta quarta-feira (12), por meio de comunicado, que serão iniciados os pagamentos de dividendos aos acionistas da empresa. Confira 
#mercadofinanceiro #investimentos 
https://t.co/Lnv5iozOOr</t>
  </si>
  <si>
    <t>🏭💵 O petróleo avançou na sessão desta quarta-feira (12), com o #Brent (referência global do óleo) superando a marca de US$ 80 pela primeira vez desde maio. Entenda o porquê
#petroleo #mercadofinanceiro #investimentos 
https://t.co/3g8oZelyDT</t>
  </si>
  <si>
    <t>👩⚖️📊 A Comissão de Valores Mobiliários dos EUA (SEC) adotou nesta quarta-feira (12) emendas à regra que rege os fundos do mercado monetário americano. Veja quais são 
#mercadofinanceiro #investimentos
https://t.co/Xia090Qhag</t>
  </si>
  <si>
    <t>📊 Itaú BBA atualiza avaliação sobre as ações da Totvs (TOTS3)
#mercadofinanceiro #investimentos
https://t.co/ng5OPIvwnf</t>
  </si>
  <si>
    <t>💰 Dimed (PNVL3) anuncia que pagará R$ 8 milhões de JCP este ano
#mercadofinanceiro #investimentos 
https://t.co/KjSreJx1Hw</t>
  </si>
  <si>
    <t>🏭🇧🇷Combustível, Odebrecht e Braskem: o que pode afetar os dividendos da Petrobras (PETR3; PETR4)? Confira 
#mercadofinanceiro #investimentos
https://t.co/Gieoy2hrTt</t>
  </si>
  <si>
    <t>🏛O Nubank (#NASDAQ: NU) fechou parceria com a plataforma #Fireblocks, que oferece infraestrutura segura para a movimentação, armazenamento e emissão de ativos digitais. Confira 
#mercadofinanceiro #investimentos
https://t.co/06lQcAzZzl</t>
  </si>
  <si>
    <t>Ações do Grupo SBF (SBFG3) disparam após recomendação do Itaú BBA. Entenda
#mercadofinanceiro #investimentos 
https://t.co/bLCSjE5PcQ</t>
  </si>
  <si>
    <t>📊7 formas de entender o mercado e investir melhor, segundo a Oaktree. Confira
#mercadofinanceiro #investimentos
https://t.co/u0OzMRaTsH</t>
  </si>
  <si>
    <t>📊 Fechamento de Mercado: inflação do consumidor desacelera nos EUA e impulsiona os mercados
#mercadofinanceiro #investimentos
https://t.co/uI2xVsW4og</t>
  </si>
  <si>
    <t>✈Anúncio faz ação da Azul (#AZUL4) aprofundar queda na Bolsa, a qual figura hoje entre as maiores baixas da ibovespa. Entenda
#mercadofinanceiro #investimentos
https://t.co/Yo8lWjCSA5</t>
  </si>
  <si>
    <t>Confira as novas provocações entre #Zuckerberg e #Musk, após alta das ações Meta (META) com o Threads 
#mercadofinanceiro #investimentos
https://t.co/0eRAlihLN3</t>
  </si>
  <si>
    <t>📉 As três ações que mais desvalorizaram na semana foram: Grupo Pão de Açúcar (#PCAR3), Meliuz (#CASH3) e Azul (#AZUL4)
#mercadofinanceiro #investimentos
https://t.co/vsOdEfRL7S</t>
  </si>
  <si>
    <t>📈 As três ações que mais valorizaram no dia foram: JBS (#JBSS3), B3 (#B3SA3) e Petrorio (#PRIO3)
#mercadofinanceiro #investimentos
https://t.co/TghU9w26Bj</t>
  </si>
  <si>
    <t>🤔📊COLUNA Einar Rivero | Raio-X da B3 em 2023: Como investidores têm encarado o mercado brasileiro?
#mercadofinanceiro #investimentos
https://t.co/gJBJJxhZKj</t>
  </si>
  <si>
    <t>📉 As três ações que mais desvalorizaram no dia foram: Casas Bahia (#BHIA3), Azul (#AZUL4) e Pão de Açúcar (#PCAR3)
#mercadofinanceiro #investimentos
https://t.co/srjBWFWA7c</t>
  </si>
  <si>
    <t>Bolsas da Europa refletem falta de consenso sobre juros no continente.
🇪🇺Stoxx: +0,16%
🇬🇧FTSE: +0,69%
🇫🇷CAC: +0,06%
🇩🇪DAX:  0,0%
#mercadofinanceiro
https://t.co/xTXv9b9mWx</t>
  </si>
  <si>
    <t>Bolsas da Ásia: mercados promovem virada após alívio vindo dos EUA.
🇯🇵Nikkei: +1,41%
🇭🇰Hang Seng: +0,21%
🇨🇳Xangai: +0,11%
🇨🇳Shenzen: -0,64%
🇰🇷Kospi: +1,51%
🇹🇼Taiex: +1,36%
#mercadofinanceiro https://t.co/6ohcBZwY09</t>
  </si>
  <si>
    <t>📉 Em dia de lançamento da linha do iPhone 15, os papéis da Apple (#Nasdaq: AAPL) fecharam em queda de 1,71% no valor de US$ 176,30 – o equivalente a R$ 872,69. Veja
#mercadofinanceiro #investimentos
https://t.co/tTQxZh0rtw</t>
  </si>
  <si>
    <t>👨‍⚖️ O fundador da #OneCoin, Karl Greenwood, foi condenado a 20 anos de prisão por sua orquestração do enorme esquema de fraude. Fique por dentro
#mercadofinanceiro #investimentos
https://t.co/YRSWQhF0rI</t>
  </si>
  <si>
    <t>💵 A prática de pagamento do provento é amplamente adotada pela empresa
#mercadofinanceiro #investimentos
https://t.co/fDEaytVoZr</t>
  </si>
  <si>
    <t>💵 O valor da pensão por morte, pago mensalmente, funciona como uma substituição da quantia que o finado recebia a título de aposentadoria ou de salário. Saiba mais
#mercadofinanceiro #investimentos
https://t.co/LvipvZrHby</t>
  </si>
  <si>
    <t>📊Mercado hoje: bolsas são guiadas por cautela no exterior nesta sexta-feira; inflação chinesa fica no radar.
#mercadofinanceiro
https://t.co/wPr8j86LEA</t>
  </si>
  <si>
    <t>Bolsas da Europa operam em queda com incertezas econômicas.
🇪🇺Stoxx 600: -0,52%
🇬🇧FTSE100: -0,39%
🇩🇪DAX:  -0,54%
🇫🇷CAC 40: -0,71%
#mercadofinanceiro #euro
https://t.co/rhXt9pWaha</t>
  </si>
  <si>
    <t>📊E a ‘publi’? Autorreguladora BSM Supervisão de Mercado anuncia nova orientação para relação entre influencers de #investimentos e corretoras e gestoras.
#mercadofinanceiro 
https://t.co/KBZvOwR864</t>
  </si>
  <si>
    <t>Bolsas da Europa operam em baixa na manhã desta terça-feira em meio a dados fracos da região, mas de olho em inflação e juros na zona do #Euro.
🇪🇺Stoxx 600: -0,77%
🇬🇧FTSE 100: -0,75%
🇩🇪DAX: -0,33%
🇫🇷CAC 40: -0,70%
#mercadofinanceiro
https://t.co/m4Ou7TeXKq</t>
  </si>
  <si>
    <t>Bolsas da Ásia fecham sem direção única, mas setor imobiliário chinês recupera perdas com disparada recorde da Evergrande.
🇯🇵Nikkei: +0,62%
🇭🇰Hang Seng: -0,04%
🇨🇳Xangai: +0,12%
🇨🇳Shenzen: +0,08%
🇰🇷Kospi: -0,73%
🇹🇼Taiex: -0,32%
#mercadofinanceiro
https://t.co/Nzobo7EFaZ</t>
  </si>
  <si>
    <t>📊 As bolsas de Nova York fecharam em alta pela quarta sessão consecutiva, apoiadas por nova bateria de dados dos Estados Unidos que reforçou apostas, Confira
#mercadofinanceiro #investimentos
https://t.co/xfXn29MTtg</t>
  </si>
  <si>
    <t>📈 O #dólar encerrou a sessão cotada a R$ 4,8692, avanço de 0,30%. Veja
#mercadofinanceiro #investimentos
https://t.co/fNcQIrhS4B</t>
  </si>
  <si>
    <t>💵 O dólar fechou em queda ante o euro e a libra, em meio a expectativa pelo fim do ciclo de aperto do Federal Reserve (Fed) após dados de emprego e atividade abaixo do esperado. Veja
#mercadofinanceiro #investimentos
https://t.co/YLVtwtmth6</t>
  </si>
  <si>
    <t>📊 O gatilho para a virada dos juros futuros veio às 14h30, quando o Tesouro Nacional informou que o governo central teve déficit primário de R$ 35,933 bilhões em julho. Entenda
#mercadofinanceiro #investimentos
https://t.co/gou60Batlw</t>
  </si>
  <si>
    <t>💵 Na próxima sexta-feira (1º), a Vale (#VALE3) distribuirá proventos aos seus acionistas, sendo a primeira do mês de setembro. Confira
#mercadofinanceiro #investimentos
https://t.co/F3KrS5jjQz</t>
  </si>
  <si>
    <t>📱 “O serviço é novo, não há como avaliar a segurança nesse caso específico”, afirma João Azevedo e Azeredo, sócio do Moraes Pitombo Advogados. Veja
#mercadofinanceiro #investimentos
https://t.co/AJM9PeGI6e</t>
  </si>
  <si>
    <t>🧠💵 COLUNA Ana Paula Hornos | Você possui inteligência emocional financeira? Faça o teste e descubra
#mercadofinanceiro #investimentos
https://t.co/R9RSNEsECm</t>
  </si>
  <si>
    <t>📊 Fechamento de Mercado: Cautela predomina sobre os ativos domésticos antes de agenda carregada. Confira
#mercadofinanceiro #investimentos 
https://t.co/itGnEHkVFW</t>
  </si>
  <si>
    <t>📊 Até às 15h20 do horário de Brasília, os papéis Irani (#RANI3) avançavam 1,86%, cotados a R$ 10,94. Entenda
#mercadofinanceiro #investimentos 
https://t.co/A6BBzyn8xq</t>
  </si>
  <si>
    <t>📉 As três ações que mais desvalorizaram no dia foram: Méliuz (#CASH3), CVC (#CVCB3) e Lojas Renner (#LREN3)
#mercadofinanceiro #investimentos 
https://t.co/sV6BVGbQ3f</t>
  </si>
  <si>
    <t>✅ No total, 3.217.633 CPFs reportaram operações junto à Receita Federal, um avanço de 66% ante o observado em maio (1.932.068 CPFs). Veja
#mercadofinanceiro #investimentos 
https://t.co/z9gIVb69nX</t>
  </si>
  <si>
    <t>📈 As três ações que mais valorizaram no dia foram: BB Seguridade (#BBSE3), Embraer (#EMBR3) e Dexco (#DXCO3)
#mercadofinanceiro #investimentos 
https://t.co/zMFauXIHXc</t>
  </si>
  <si>
    <t>💵 Ele lembrou também que a avaliação da disposição a pagar foi o que a Standard and Poors (S&amp;amp;P) usou em 2011 para rebaixar a nota de crédito dos Estados Unidos. Fique por dentro
#mercadofinanceiro #investimentos 
https://t.co/oiAvrxnbRf</t>
  </si>
  <si>
    <t>📉 Entre os índices setoriais, o SMLL referente as small caps registra maior queda, a -0,81%. Entenda
#mercadofinanceiro #investimentos 
https://t.co/GE5olJhBcB</t>
  </si>
  <si>
    <t>💵 O pagamento do quarto lote da Restituição do Imposto de Renda 2023 irá ocorrer no final deste mês. Veja quando consultar
#mercadofinanceiro #investimentos 
https://t.co/iCMef7pFLM</t>
  </si>
  <si>
    <t>📊 COLUNA Marcos Saravalle | Resultado fiscal pode acabar com festa de curto prazo na Bolsa. Confira
#mercadofinanceiro #investimentos 
https://t.co/7OZlGp9wtY</t>
  </si>
  <si>
    <t>💵 O concurso 2615 da Mega-Sena irá sortear um prêmio estimado em R$ 33 milhões nesta quinta-feira (27). Veja quanto rende o prêmio na poupança
#mercadofinanceiro #Investimentos 
https://t.co/y3voppiUme</t>
  </si>
  <si>
    <t>📊 Decisões dos bancos centrais dos EUA e da Europa impactam preço do cobre. Confira 
#mercadofinanceiro #investimentos 
https://t.co/bOs8xDtOoL</t>
  </si>
  <si>
    <t>🚛 10ª colocada no Prêmio Broadcast Empresas: Santos Brasil (STBP3), com destaque em disciplina na gestão. Confira 
#mercadofinanceiro #Investimentos 
https://t.co/eIdNNgVxw7</t>
  </si>
  <si>
    <t>🚜 9º lugar no Prêmio Broadcast Empresas: Kepler Weber (KEPL3) o segredo da receita recorde. Confira 
#mercadofinanceiro #investimentos 
https://t.co/loboGJuAmd</t>
  </si>
  <si>
    <t>📊 8º lugar no Prêmio Broadcast Empresas: A B3 (B3SA3), que concentrou esforços em aumentar a oferta de produtos e serviços em seus principais negócios. Veja
#mercadofinanceiro #investimentos
https://t.co/3oF1VKw2gr</t>
  </si>
  <si>
    <t>7ª posição no ranking do Prêmio Broadcast Empresas: Hypera Pharma (HYPE3), a qual investe em expansão de produtos. Confira 
#mercadofinanceiro #investimentos
https://t.co/oQNNghWvsE</t>
  </si>
  <si>
    <t>📉 O Ibovespa opera em queda nesta quinta-feira (27), em uma realização de lucros após cinco sessões de alta seguidas. Confira
#mercadofinanceiro #investimentos
https://t.co/D3cuDBLQ6n</t>
  </si>
  <si>
    <t>💵 O Fundo de Garantia do Tempo de Serviço (FGTS) vai distribuir R$ 12,7 bilhões. Veja quem pode receber
#mercadofinanceiro #investimentos
https://t.co/QwzVa4xosY</t>
  </si>
  <si>
    <t>📊 O que aprendemos? Segundo especialistas, o caso do fundo #Pátria ensina aos investidores a necessidade de expor até 2% do patrimônio em ativos de alto risco. Confira 
#mercadofinanceiro #investimentos
https://t.co/KjtI4dOeIK</t>
  </si>
  <si>
    <t>📊 Mercado Intraday: Ibovespa descola do exterior e recua. Confira
#mercadofinanceiro #investimentos
https://t.co/AkHQEzD07f</t>
  </si>
  <si>
    <t>🏭 A estatal protocolou os pedidos visando a implantação de usinas eólicas offshore. Entenda
#mercadofinanceiro #investimentos
https://t.co/thI1L3L5dC</t>
  </si>
  <si>
    <t>💵O ativo é uma criação da Kanna, empresa que une o mercado do cânhamo com a tecnologia blockchain. Saiba detalhes
#mercadofinanceiro #Investimentos 
https://t.co/jH0LoXkOAq</t>
  </si>
  <si>
    <t>📊 Veja detalhes sobre a aprovação que foi comunicada ao mercado
#mercadofinanceiro #investimentos
https://t.co/7mH3olqz4F</t>
  </si>
  <si>
    <t>👍 O #Itaú BBA avalia como positiva a parceria da Oncoclínicas (ONCO3) com a Unimed Recife. Veja
#mercadofinanceiro #investimentos
https://t.co/dBS15c2kqS</t>
  </si>
  <si>
    <t>📊 Previsibilidade e variação baixa são aspectos que atraem os investidores de rendas fixas. Veja como funciona essa modalidade
#mercadofinanceiro #investimentos</t>
  </si>
  <si>
    <t>🤔 Vale destacar que a reforma tributária ainda está aberta para votação e pode sofrer alterações no Senado. Veja o que é o ICMS
#mercadofinanceiro #investimentos
https://t.co/owLwdLyTqJ</t>
  </si>
  <si>
    <t>📊 Mercado Intraday: China volta a animar bolsas e puxa o Ibovespa
#mercadofinanceiro #investimentos
https://t.co/dAOaX2DWCP</t>
  </si>
  <si>
    <t>📊 Mercado Intraday: Exterior pesa novamente e Ibovespa recua. Confira
#mercadofinanceiro #investimentos
https://t.co/fcdkAAL5RO</t>
  </si>
  <si>
    <t>📊Mercado hoje: Pnad Contínua, inflação nos EUA e bancos centrais no exterior devem guiar investidores; Orçamento de 2024 fica no radar.
#mercadofinanceiro
https://t.co/sMVkyuSeOK</t>
  </si>
  <si>
    <t>📊Mercado hoje: China traz fôlego às bolsas antes do payroll e PIB dos EUA; agenda política fica no radar no Brasil.
#mercadofinanceiro #investimentos
https://t.co/ieCxUAYdT9</t>
  </si>
  <si>
    <t>🏦 Quem deseja abrir uma conta poupança na #Caixa Econômica Federal não precisa mais recorrer às agências físicas. Saiba as novas opções
#mercadofinanceiro #Investimentos 
https://t.co/A9J8IAtmBK</t>
  </si>
  <si>
    <t>📊 Nesta sexta-feira (18), foi revelado que o SoftBank Group (#TYO: 9984) adquiriu a participação de mais 25% na #Arm. Confira
#mercadofinanceiro #Investimentos 
https://t.co/gXWMQBAsyb</t>
  </si>
  <si>
    <t>💵 O próximo pagamento do Bolsa Família 2023 referente ao mês de agosto têm início nesta sexta-feira (18). Saiba mais
#mercadofinanceiro #Investimentos 
https://t.co/kG1pOGmeWW</t>
  </si>
  <si>
    <t>🏛 A criação de uma conta em alguma instituição financeira pode ser um processo confuso, por isso, é importante saber a diferença entre a conta #corrente e conta #poupança. Veja
#mercadofinanceiro #Investimentos 
https://t.co/Wrf4gR1mg5</t>
  </si>
  <si>
    <t>📊 COLUNA Fernanda Camargo | Veja a lição do visionário Ignacy Sachs para o futuro dos investidores
#mercadofinanceiro #investimentos #Ignacy
https://t.co/dOyQgUX1nP</t>
  </si>
  <si>
    <t>💳 O termo inadimplência serve para designar uma dívida não paga. No Brasil, em julho de 2023, foram registrados 71 milhões de inadimplentes, de acordo com dados do Serasa. Veja as dicas para evitar a situação
#mercadofinanceiro #Investimentos 
https://t.co/7WR9P6NJjV</t>
  </si>
  <si>
    <t>📊 Mercado Intraday: Trégua no exterior apoia recuperação do Ibovespa. Confira
#mercadofinanceiro #Investimentos 
https://t.co/GQSSSmt3Au</t>
  </si>
  <si>
    <t>📊 O que é mercado de capitais? A gente te explica!
#mercadofinanceiro #investimentos 
https://t.co/2UdG1Ey6xO https://t.co/sGHQM2r1Hj</t>
  </si>
  <si>
    <t>📊 A Prio (#PRIO3) divulgou na terça-feira (2), seu balanço do segundo trimestre de 2023, que agradou o Goldman Sachs. Saiba mais
#mercadofinanceiro #investimentos 
https://t.co/Odr3rpEWtM</t>
  </si>
  <si>
    <t>📊 Prio (#PRIO3) e 3R Petroleum (#RRP3) se destacaram em julho, avançando 23,03% e 19,10% respectivamente. Confira
#mercadofinanceiro #investimentos 
https://t.co/iJKM25x0rW</t>
  </si>
  <si>
    <t>📈 O contrato futuro mais líquido do ouro fechou com ganho nesta sexta-feira (4), favorecido pela fraqueza do dólar e dos retornos dos Treasuries. Veja
#mercadofinanceiro #investimentos 
https://t.co/jEHdPlevQo</t>
  </si>
  <si>
    <t>👨‍⚖️ "[...] gerou uma pequena turbulência ontem e que, na minha opinião, foi indevidamente atribuída à decisão do Banco Central de cortar a Selic em 0,50 ponto”, afirmou o ministro #Haddad. Confira
#mercadofinanceiro #investimentos
https://t.co/xAJ1QsB50P</t>
  </si>
  <si>
    <t>📉 As ações do Bradesco (#BBDC4; #BBDC3) e Petrobras (#PETR4; #PETR3) lideram as perdas no Ibovespa hoje, após resultados trimestrais positivos. Entenda
#mercadofinanceiro #investimentos 
https://t.co/fiIR3DC0mI</t>
  </si>
  <si>
    <t>🤔 COLUNA Luis Cláudio Freitas | O que é CRI? Entenda como funciona e suas principais vantagens
#mercadofinanceiro #investimentos 
https://t.co/Qh8Fv2HXa5</t>
  </si>
  <si>
    <t>📊 COLUNA Eduardo Mira | Os setores da Bolsa que se beneficiam com a queda da #Selic. Confira
#mercadofinanceiro #investimentos 
https://t.co/aufIQRUvTj</t>
  </si>
  <si>
    <t>📉 As ações da Petrobras (#PETR4) recuavam 3,03% por volta das 13h30 desta sexta-feira (04), a R$ 30,20. Entenda
#mercadofinanceiro #investimentos 
https://t.co/min69MbYzO</t>
  </si>
  <si>
    <t>📊 Mercado Intraday: Ibovespa sobe na linha das bolsas internacionais
#mercadofinanceiro #investimentos 
https://t.co/PxvQbvHxeO</t>
  </si>
  <si>
    <t>💵 O valor médio das cotas é de R$ 2,3 mil, mas o saldo individual de cada pessoa depende do salário e tempo trabalhado. Confira
#mercadofinanceiro #investimentos
https://t.co/4jcf2vmjFd</t>
  </si>
  <si>
    <t>✈️ Aéreas lideram quedas do Ibovespa. Saiba como estão as ações
#mercadofinanceiro #investimentos 
https://t.co/HcqxIJVVQ1</t>
  </si>
  <si>
    <t>Lucro do FGTS: serão distribuidos R$ 12,7 bilhões entre os trabalhadores cotistas. Veja quem vai receber e até quando
#mercadofinanceiro #investimentos 
https://t.co/2POZ5qbzCB</t>
  </si>
  <si>
    <t>🤔O que é tokenização e por que ela pode revolucionar os investimentos. Saiba 
#mercadofinanceiro #investimentos 
https://t.co/O7VPlnm9gy</t>
  </si>
  <si>
    <t>🏦💳 Empresas que não fazem parte do setor bancário também aumentaram o número de negociações de dívidas desde a semana passada. Confira
#mercadofinanceiro #investimentos
https://t.co/USvlIiKIex</t>
  </si>
  <si>
    <t>📊 Mercado Intraday: Inflação e China impulsionam nova alta do Ibovespa
#mercadofinanceiro #investimentos 
https://t.co/Ha3Q4fnJqf</t>
  </si>
  <si>
    <t>Banco Neon anuncia CDB com rentabilidade de 113% do CDI. Veja os detalhes
#mercadofinanceiro #investimentos
https://t.co/XpmE0Ye0sT</t>
  </si>
  <si>
    <t>💰 Receita da 3M do 2°trimestre supera projeção: veja como ações reagiram
#mercadofinanceiro #investimentos
https://t.co/nRLFcRzyme</t>
  </si>
  <si>
    <t>🏠 Confira os fundos imobiliários recomendados por 6 corretoras para a queda da Selic
#mercadofinanceiro #investimentos 
https://t.co/zpHtimJnR4</t>
  </si>
  <si>
    <t>📊💰 Órama Investimentos vê Ibovespa aos 136 mil pontos daqui 1 ano. Saiba como
#mercadofinanceiro #investimentos
https://t.co/ehZ4lWApV8</t>
  </si>
  <si>
    <t>🏠 Calote de fazendas faz FII do BTG cortar dividendos em 30%
#mercadofinanceiro #investimentos 
https://t.co/XtE1qMKb5M</t>
  </si>
  <si>
    <t>✅ Prio (PRIO3) atinge nível de produção marcante. Saiba mais detalhes
#mercadofinanceiro #investimentos https://t.co/0pqarUR2xp</t>
  </si>
  <si>
    <t>📊A EDP Brasil (#ENBR3) investirá R$ 530 milhões em projetos de geração de energia solar e transmissão no Estado de Goiás nos próximos quatro anos. #investimentos #mercadofinanceiro
https://t.co/Exi17hpSfY</t>
  </si>
  <si>
    <t>📊 O E-Investidor conversou com especialistas para elencar os melhores papéis abaixo de R$ 10 para uma carteira de #investimentos.
https://t.co/i8jjWuDYg3
#mercadofinanceiro</t>
  </si>
  <si>
    <t>📊 A venda da referida participação societária não resultará em alteração na estrutura de controle da companhia. Entenda
#mercadofinanceiro #investimentos
https://t.co/VmtrN0mkqI</t>
  </si>
  <si>
    <t>📈 As três ações que mais valorizaram no dia foram: Bradespar (#BRAP4), Vale (#VALE3) e CSN (#CSNA3)
#mercadofinanceiro #investimentos
https://t.co/o6CY7imlAO</t>
  </si>
  <si>
    <t>📉 Os juros futuros fecharam em baixa moderada, acompanhando de perto o alívio nos rendimentos dos Treasuries e a queda do dólar. Confira
#mercadofinanceiro #Investimentos 
https://t.co/lNg8svwbdi</t>
  </si>
  <si>
    <t>📊💵 O #dólar subiu ante o #iene e oscilou perto da estabilidade ante euro e libra, com investidores avaliando os números do índice de preços ao consumidor dos Estados Unidos. Veja
#mercadofinanceiro #investimentos #moedas
https://t.co/sqQj49Yrhb</t>
  </si>
  <si>
    <t>📉 O lançamento do novo #iPhone não empolgou e a Apple encerrou o pregão no vermelho. Veja
#mercadofinanceiro #investimentos
https://t.co/xrwvWnK5u3</t>
  </si>
  <si>
    <t>📊 No fim da tarde em Nova York, o retorno da T-note de 2 anos subia a 5,024%, o da T-note de 10 anos baixava a 4,267% e o do T-bond de 30 anos recuava a 4,342%. Confira
#mercadofinanceiro #investimentos
https://t.co/sdd6rcXORh</t>
  </si>
  <si>
    <t>💵 A renda fixa vem puxando o crescimento de captações no mercado de capitais brasileiro, num volume de R$ 35,2 bilhões emitidos em agosto. Veja
#mercadofinanceiro #investimentos #rendafixa
https://t.co/ZdRtrBIAAG</t>
  </si>
  <si>
    <t>📊 O #Santander enxerga oportunidades no médio e longo prazo na renda variável local, apesar de reconhecer desafios no ambiente macroeconômico. Entenda
#mercadofinanceiro #investimentos
https://t.co/tHNTlvm3IK</t>
  </si>
  <si>
    <t>🍀 A aposta mínima da modalidade, que permite ao jogador marcar 15 números, custa R$ 3,00. Saiba detalhes
#mercadofinanceiro #investimentos
https://t.co/Gh6UCZwCAw</t>
  </si>
  <si>
    <t>📊 A Genial incluiu #BDRs e ações ordinárias, além de aumentar de peso na carteira os papéis de outras empresas. Entenda
#mercadofinanceiro #investimentos
https://t.co/zg2tf3zmuS</t>
  </si>
  <si>
    <t>📈 As três ações que mais valorizaram no dia foram: Minerva (#BEEF3), Méliuz (#CASH3) e IRB Re (#IRBR3)
#mercadofinanceiro #investimentos
https://t.co/umnOmzNkl6</t>
  </si>
  <si>
    <t>📈 Em um pregão de baixa liquidez, #Minerva se destaca na quinta posição entre as ações mais negociadas e puxa os maiores ganhos do Ibovespa, com valorização de 4,32%. Veja
#mercadofinanceiro #investimentos
https://t.co/y0lz9ajoFM</t>
  </si>
  <si>
    <t>📊 Os recursos também devem ser utilizados para financiar parcialmente a aquisição de outras unidades da #Marfrig. Veja
#mercadofinanceiro #investimentos
https://t.co/DjXUxTfBf1</t>
  </si>
  <si>
    <t>💵 Se preencher os requisitos, o trabalhador solicitante tem direito a receber R$ 59,82 por filho ou dependentes até 14 anos. Saiba detalhes
#mercadofinanceiro #investimentos #salariofamilia
https://t.co/vxWsZqZtvU</t>
  </si>
  <si>
    <t>📊 Mesmo com temor de investidores após a correção das estimativas da empresa para 2023, o banco está otimista. Veja
#mercadofinanceiro #investimentos #localiza
https://t.co/KXRLEpxeBb</t>
  </si>
  <si>
    <t>💵 Em julho, o INSS havia informado que o prazo previsto para o retorno do empréstimo seria no final de agosto. Mas agora a retomada da modalidade depende do Supremo Tribunal Federal (STF). Confira
#mercadofinanceiro #Investimentos 
https://t.co/erCrSEOal9</t>
  </si>
  <si>
    <t>💳 Como a fintech #Nubank não possui agências físicas, existem algumas maneiras de realizar os depósitos na conta digital. Conheça
#mercadofinanceiro #investimentos
https://t.co/PYPUdnStlD</t>
  </si>
  <si>
    <t>📊 COLUNA Fabrizio Gueratto | Confira 3 FIIS que pagam mais de 1% ao mês e muito investidor não conhece
#mercadofinanceiro #Investimentos 
https://t.co/icfrLVOTc8</t>
  </si>
  <si>
    <t>💳 Vale destacar que o cartão do #PicPay, ou PicPay Card, é exclusivo para os usuários da plataforma. Veja os benefícios
#mercadofinanceiro #Investimentos 
https://t.co/lNlxDZh5T8</t>
  </si>
  <si>
    <t>📈 As ações da Prio (#PRIO3), 3R Petroleum (#RRRP3) e Petrobras (#PETR3;PETR4) passaram a subir após a queda desta manhã, em que acompanhavam o recuo do petróleo. Veja
#mercadofinanceiro #investimentos
https://t.co/JBiPXL3xJ5</t>
  </si>
  <si>
    <t>📊 Os mercados acionários da Europa fecharam sem direção única nesta quinta-feira (24), influenciados por Wall Street. Confira
#mercadofinanceiro #investimentos
https://t.co/qi21N27LAV</t>
  </si>
  <si>
    <t>💵 É importante ressaltar que alguns trabalhadores não são obrigados a declarar o imposto. Veja
#mercadofinanceiro #investimentos
https://t.co/YclhYY5Er4</t>
  </si>
  <si>
    <t>💵 Governo quer compensar a ampliação da faixa de isenção do IR para R$ 2.640 com a arrecadação sobre super-ricos. Fique por dentro
#mercadofinanceiro #investimentos #Haddad
https://t.co/1yQJPjkgd9</t>
  </si>
  <si>
    <t>💵 O Santander Brasil (#SANB11) pagará R$ 1,5 bilhão em Juros sobre Capital Próprio (JCP). Confira
#mercadofinanceiro #investimentos 
https://t.co/d1OAVn1D78</t>
  </si>
  <si>
    <t>💵 Para os microempreendedores individuais (#MEIs) a emissão do documento é facultativa em alguns casos. Entenda
#mercadofinanceiro #investimentos 
https://t.co/Ihd4bANMeR</t>
  </si>
  <si>
    <t>💵 Nesta quarta-feira (16), o Banco ABC Brasil (#ABCB4) vai realizar o pagamento de R$ 184.839.283,16 em juros a título de remuneração sobre o capital próprio (JCP). Veja
#mercadofinanceiro #investimentos 
https://t.co/kdES4EyIqA</t>
  </si>
  <si>
    <t>💵 Além disso, a WEG também paga nesta terça os juros sobre capital próprio anunciados em 20 de junho. O valor é de R$ 0,058294118 por ação. Saiba mais
#mercadofinanceiro #investimentos 
https://t.co/BFszMkkByk</t>
  </si>
  <si>
    <t>🏭 O presidente da estatal, Jean Paul Prates, reforçou a autonomia da empresa em relação à política de preços adotada e negou pressão do governo federal. Veja
#mercadofinanceiro #investimentos 
https://t.co/wDuYak34jN</t>
  </si>
  <si>
    <t>📊 Ativos de renda fixa são, com frequência, as opções favoritas dos investidores mais novos, devido à maior segurança e previsibilidade que oferecem. Conheça
#mercadofinanceiro #investimentos #rendafixa
https://t.co/a4XOlAZDTN</t>
  </si>
  <si>
    <t>📊 Mercado Intraday: Ibovespa tenta interromper sequência negativa. Confira
#mercadofinanceiro #investimentos 
https://t.co/th2aNGTawA</t>
  </si>
  <si>
    <t>📈 Até às 16h55 desta terça-feira (08), as ações da Apple (#AAPL34) estavam com alta de 0,73% e os papéis eram assinados a R$44,04. Veja mais
#mercadofinanceiro #investimentos 
https://t.co/y8J2OPT5dv</t>
  </si>
  <si>
    <t>📊 Fechamento de Mercado: Aversão ao risco no exterior contamina Ibovespa. Confira
#mercadofinanceiro #investimentos
https://t.co/lAi0WjBd4V</t>
  </si>
  <si>
    <t>📊 O fundo de Luis Stuhlberger comenta também expectativas sobre o portfólio do investidor brasileiro. Confira
#mercadofinanceiro #investimentos 
https://t.co/3wxsdAmsCb</t>
  </si>
  <si>
    <t>📉 As três ações que mais desvalorizaram no dia foram: Petz (#PETZ3), Dexco (#DXCO3) e Méliuz (#CASH3)
#mercadofinanceiro #investimentos 
https://t.co/KhQZ9cURhx</t>
  </si>
  <si>
    <t>📈 As três ações que mais valorizaram no dia foram: Hapvida (#HAPV3), Yduqs (#YDUQ3) e Alpargatas (#ALPA4)
#mercadofinanceiro #investimentos 
https://t.co/b3VWKk66zj</t>
  </si>
  <si>
    <t>👨‍⚖️ Márcio Cruz Meirelles e José Timótheo de Barros: ambos foram acusados de fraude em relatório feito por assessores jurídicos da varejista. Confira
#mercadofinanceiro #investimentos #americanas
https://t.co/cGtM0eyj9E</t>
  </si>
  <si>
    <t>🗺️ “Brasil e Índia, por exemplo, tem um peso muito grande na cadeia de suprimentos”, afirma Catherine Kress, head de geopolítica e estratégia da BlackRock. Veja
#mercadofinanceiro #investimentos 
https://t.co/E1ZFfATKR5</t>
  </si>
  <si>
    <t>📊 O economista Marcio Pochmann deve assumir o comando do IBGE, principal provedor de dados econômicos do País. A indicação repercutiu mal no mercado e foi um dos motivos por trás da baixa de 2,10% do Ibovespa nesta quinta (27) https://t.co/winFs10qZs
#mercadofinanceiro</t>
  </si>
  <si>
    <t>💵 O empréstimo consignado, ou crédito consignado, é um tipo de crédito cujo valor das parcelas é descontado diretamente no contracheque, holerite ou benefício. Saiba mais
#mercadofinanceiro #Investimentos 
https://t.co/9gSRJtw3rt</t>
  </si>
  <si>
    <t>🚨💵 Vale ressaltar que, na mínima da sessão, o dólar bateu R$ 4,7615, o menor nível desde 3 de julho. Veja
#mercadofinanceiro #investimentos #dolar
https://t.co/kk3O3aMV20</t>
  </si>
  <si>
    <t>📊 Poucos papéis operam em baixa no Ibovespa nesta sexta-feira (21). Confira
#mercadofinanceiro #investimentos
https://t.co/1Flh0mrxVC</t>
  </si>
  <si>
    <t>🎲 Até esta quinta-feira (20), foram realizados 6191 sorteios da Quina e alguns dos 80 números no volante da loteria apareceram no momento do sorteio mais de 400 vezes.
Veja quais 
#mercadofinanceiro #investimentos
https://t.co/vREuzpCSsi</t>
  </si>
  <si>
    <t>✅ Sinqia (SQIA3) aceita venda para Evertec. Entenda o que muda para os acionistas
#mercadofinanceiro #investimentos 
https://t.co/BTwdhBBeBO</t>
  </si>
  <si>
    <t>📊 Empresa de software alemã, SAP, decepciona com resultados, ação cai na sessão
#mercadofinanceiro #investimentos 
https://t.co/pS6mGLho1n</t>
  </si>
  <si>
    <t>📊 Mercado Intraday: Ibovespa reage e busca os 120 mil pontos
#mercadofinanceiro #investimentos
https://t.co/GWYOIMSPhb</t>
  </si>
  <si>
    <t>Bolsas da Ásia: recuperação da China repercute de forma diferente nos mercados
 🇯🇵Nikkei: +1,10%
🇭🇰Hang Seng: +0,75%
🇨🇳Xangai: -0,28%
🇨🇳Shenzen: -0,31%
🇰🇷Kospi: +1,10%
🇹🇼Taiex: +0,67%
#mercadofinanceiro
https://t.co/YJndk7UGl1</t>
  </si>
  <si>
    <t>💵 O dólar encerrou a sessão cotado a R$ 4,9173. Entenda
#mercadofinanceiro #Investimentos 
https://t.co/zsx5wXy5E2</t>
  </si>
  <si>
    <t>🤔 Fechamento de empresas e medo de medidas severas por parte de reguladores impactaram o mercado. Entenda
#mercadofinanceiro #investimentos #NFT 
https://t.co/FRYVGDncYY</t>
  </si>
  <si>
    <t>🍀 A ex-BBB acabou de vencer a Lotofácil da Independência e ganhou quase R$ 3 milhões. Veja os números revelados por Paulinha
#mercadofinanceiro #investimentos
https://t.co/ymm2Mnz83x</t>
  </si>
  <si>
    <t>📊 Morgan Stanley, Credit Suisse e Guide lideram compras; #BTG Pactual, UBS e JPMorgan são os principais vendedores. Veja
#mercadofinanceiro #investimentos 
https://t.co/irxSPnXngJ</t>
  </si>
  <si>
    <t>🐾 Gastos com o animal podem turbinar as despesas e até desalinhar as finanças de uma família. Veja como organizar as finanças
#mercadofinanceiro #investimentos #educaçãofinanceira
https://t.co/fdzQ2iPIWK</t>
  </si>
  <si>
    <t>📊 Em vista de dados que indicam uma desaceleração econômica no país, a gestora fez suas apostas sobre o BC. Veja
#mercadofinanceiro #investimentos
https://t.co/pLgjuj4EVb</t>
  </si>
  <si>
    <t>📊 O Bank of America (BofA) elevou o peso da Petrobras (#PETR4;#PETR3) na carteira LatAm, de 5% para 9%. Entenda
#mercadofinanceiro #investimentos
https://t.co/oSjHvSdM95</t>
  </si>
  <si>
    <t>📊🤔Depois do tombo da Bolsa em agosto e ainda em ambiente volátil, o que esperar dos #investimentos para setembro?  Otimistas, especialistas indicam alternativas.
#mercadofinanceiro
https://t.co/aZwylRQwjN</t>
  </si>
  <si>
    <t>💵 O Imposto Sobre Serviços de Qualquer Natureza (ISSQN) é cobrado de empresas e profissionais autônomos. Saiba mais
#mercadofinanceiro #investimentos
https://t.co/gOjnSoF8HR</t>
  </si>
  <si>
    <t>💵 Uma única pessoa sacou o montante de R$ 2,8 milhões em recursos “esquecidos” nos bancos pelo Sistema de Valores a Receber (#SVR) do Banco Central. Saiba mais
#mercadofinanceiro #investimentos
https://t.co/0shnfZhix8</t>
  </si>
  <si>
    <t>🏭 A Petrobras (#PETR3; #PETR4) informou que entrou na primeira carteira do Idiversa B3, o novo índice de diversidade da B3. Veja
#mercadofinanceiro #investimentos
https://t.co/wrDillfEkB</t>
  </si>
  <si>
    <t>💵 Um grupo de investidores da Tesla deve recuperar uma média de aproximadamente US$ 12 mil cada um pelos prejuízos decorrentes do famoso tuíte de 2018 de Elon #Musk. Veja
#mercadofinanceiro #investimentos
https://t.co/xRx4UAMAwV</t>
  </si>
  <si>
    <t>📉 Às 14h50, os papéis #BEEF3 se desvalorizavam 16,51% cotados a R$ 9,10 e os ativos MRFG3 subiam 9,06%, valendo R$ 7,34. Entenda
#mercadofinanceiro #investimentos
https://t.co/SGEuV1QV3R</t>
  </si>
  <si>
    <t>👨‍⚖️ O ministro da Fazenda, Fernando #Haddad, justificou que a tributação de fundos fechados e offshores no Brasil é norteada pela busca por “justiça social” e práticas internacionais. Confira
#mercadofinanceiro #investimentos
https://t.co/dxFpTVSbV4</t>
  </si>
  <si>
    <t>📊 O JPMorgan Chase (#NYSE: JPM) anunciou nesta terça-feira (29) que irá aumentar a sua participação no banco brasileiro C6 Bank de 40% para 46%. Saiba mais
#mercadofinanceiro #investimentos
https://t.co/RRUXcu452v</t>
  </si>
  <si>
    <t>📊 Prefixados com vencimento em 2029 e 2033 têm desempenho similar ao de junho. Veja as cotações
#mercadofinanceiro #Investimentos 
https://t.co/VSyAbxUcB0</t>
  </si>
  <si>
    <t>📉 As três ações que mais desvalorizaram no dia foram: Marfrig (#MRFG3), Petz (#PETZ3) e Carrefour (#CRFB3)
#mercadofinanceiro #Investimentos 
https://t.co/oJ6oMMjxzn</t>
  </si>
  <si>
    <t>📈 As três ações que mais valorizaram no dia foram: IRB Re (#IRBR3), Vibra (#VBBR3) e Minerva (#BEEF3)
#mercadofinanceiro #Investimentos 
https://t.co/UCf6LnjYtC</t>
  </si>
  <si>
    <t>⚽ COLUNA Espaço do Especialista com Felipe Lebovits Barreto | Investimento no futebol: as primeiras partidas das SAFs. Confira
#mercadofinanceiro #investimentos
https://t.co/OSUQnfB9Fo</t>
  </si>
  <si>
    <t>📊 A #inflação é o aumento dos preços de bens e serviços, o que implica na diminuição do poder de compra da população. Veja como ela afeta os investimentos
#mercadofinanceiro #investimentos
https://t.co/thDUZmECSV</t>
  </si>
  <si>
    <t>📊 “Desde o ano passado, o Magazine Luiza não consegue encerrar um único trimestre com lucro”, afirma Leandro Petrokas, diretor de research, mestre em finanças e sócio da Quantzed.
#mercadofinanceiro #Investimentos 
https://t.co/qJiDkMd6qh</t>
  </si>
  <si>
    <t>💵#Dólar atinge patamar dos R$ 5 com cautela com China e aperto monetário nos EUA no radar.
#câmbio #mercadofinanceiro
https://t.co/N7HPpgS2Fs</t>
  </si>
  <si>
    <t>🛫 Há alguns anos, as milhas aéreas vêm se popularizando como uma ferramenta para reduzir os custos de um dos sonhos mais comuns entre os brasileiros: viajar cada vez mais. Confira
#mercadofinanceiro #Investimentos 
https://t.co/H0ys4613Es</t>
  </si>
  <si>
    <t>❄️ COLUNA Valéria Bretas | Como montar um roteiro de 3 dias em Campos do Jordão. Veja os valores
#mercadofinanceiro #Investimentos #lazer #camposdejordao
https://t.co/XfTmqTG1gx</t>
  </si>
  <si>
    <t>👨‍👦 COLUNA Renato Indica | Veja 6 atrações por até R$ 32 para pais e filhos aproveitarem juntos
#mercadofinanceiro #Investimentos #lazer
https://t.co/RkY3Wnhldp</t>
  </si>
  <si>
    <t>🛫📉 Setor aéreo em queda no Ibovespa: Gol e Azul enfrentam desafios com quedas de 26,8% e 19,03% respectivamente em julho.
#MercadoFinanceiro #Ações #investimentos https://t.co/X4RMT4Qrrb</t>
  </si>
  <si>
    <t>🏘 Até a última sexta-feira (4), 1 euro equivalia a cerca de R$ 5,36. Com este valor, é possível comprar um “cafézinho” no Brasil - ou adquirir um imóvel na Itália. Confira
#mercadofinanceiro #Investimentos 
https://t.co/nupFwF38GP</t>
  </si>
  <si>
    <t>🥃 As novas garrafas de alta qualidade são vendidas a preços inexplicáveis há três anos, mas não foi a bebida em si que mudou. Entenda
#mercadofinanceiro #investimentos 
https://t.co/tTc7a0O5zL</t>
  </si>
  <si>
    <t>📊 Chance de Fed manter juros em setembro tem leve alta #mercadofinanceiro #investimentos
https://t.co/7HtW00T3dj</t>
  </si>
  <si>
    <t>💰 São Martinho (SMTO3) anuncia emissão de dividendos. Veja o valor por ação #mercadofinanceiro #investimentos
https://t.co/BE09weyYeR</t>
  </si>
  <si>
    <t>🥧 COLUNA Renato Indica | Dia dos pais: Veja 7 restaurantes em SP que irão servir pratos até R$ 130
#mercadofinanceiro #investimentos #lazer #restaurantesp
https://t.co/hNt2qsh2YV</t>
  </si>
  <si>
    <t>🌍 Taurus (TASA4) dá novo passo rumo à Arábia Saudita. Entenda 
#mercadofinanceiro #investimentos 
https://t.co/pnPfq7NAyz</t>
  </si>
  <si>
    <t>🇧🇷Após melhorar nota do Brasil, Fitch atualiza lista de avaliação de empresas. Confira #mercadofinanceiro #investimentos 
https://t.co/SsHOAUcirh</t>
  </si>
  <si>
    <t>🤔 De maneira geral, a recomendação para aqueles que se animaram com o início do corte de juros é para se manterem animados, mas, se possível, aguardarem pelos próximos capítulos. Entenda
#mercadofinanceiro #investimentos 
https://t.co/i1pqmea4Lc</t>
  </si>
  <si>
    <t>📉 Os juros dos Treasuries tiveram queda firme nesta sexta-feira, após o payroll apontar geração de emprego mais fraca que o esperado nos Estados Unidos. Veja
#mercadofinanceiro #investimentos 
https://t.co/Tx3mkDSSy4</t>
  </si>
  <si>
    <t>🇪🇸🏦A receita total do maior banco da Espanha aumentou para 14,09 bilhões de euros no último trimestre, de 12,81 bilhões de euros um ano antes.
#mercadofinanceiro 
https://t.co/gosWs5BX3p</t>
  </si>
  <si>
    <t>📊 Ricardo Jorge, especialista em renda fixa e sócio da Quantzed, concorda que é preciso corrigir distorções no #JCP, mas a forma como o debate está sendo feito pode prejudicar as empresas
#mercadofinanceiro 
https://t.co/lGc31G3YOx</t>
  </si>
  <si>
    <t>📊 Juros: IPCA-15 estimula apostas de corte da Selic e taxas recuam. Confira
#mercadofinanceiro #Investimentos 
https://t.co/CNFEDNi6Wj</t>
  </si>
  <si>
    <t>📉🎧 Ações do Spotify caem após divulgação de resultados e alta de planos. Confira 
#mercadofinanceiro #investimentos
https://t.co/MVIR0t7MF9</t>
  </si>
  <si>
    <t>Quais são os bancos brasileiros com maior número de reclamações? Veja a lista 
#mercadofinanceiro #investimentos
https://t.co/tlmOAZcs5T</t>
  </si>
  <si>
    <t>Elon #Musk quer WEG (WEGE3) como parceira da SpaceX? Entenda
#mercadofinanceiro #investimentos
https://t.co/2Pf0W9M377</t>
  </si>
  <si>
    <t>Visa registra lucro líquido bilionáro no 3° tri fiscal e ação sobe em NY. Entenda 
#mercadofinanceiro #investimentos
https://t.co/cgvPuSa46z</t>
  </si>
  <si>
    <t>💵 O Fundo de Garantia do Tempo de Serviço (FGTS) vai distribuir R$ 12,7 bilhões. Veja quando serão liberados
#mercadofinanceiro #Investimentos 
https://t.co/M153H3bHXK</t>
  </si>
  <si>
    <t>Dólar fecha no segundo menor nível do ano, com mercado à espera do Fed. Confira 
#mercadofinanceiro #investimentos
https://t.co/ry1ayI1dTF</t>
  </si>
  <si>
    <t>📈🖥 A empresa teve lucro de US$ 2,69 ajustado por ação, acima da previsão de analistas de US$ 2,55. Confira
#mercadofinanceiro #Investimentos 
https://t.co/ASC6vt66gM</t>
  </si>
  <si>
    <t>💵 O dólar se valorizou frente ao euro, mas não firmou sinal único diante de outras divisas principais. Veja
#mercadofinanceiro #Investimentos 
https://t.co/DoDtaojLLp</t>
  </si>
  <si>
    <t>Treasuries: juros longos sobem moderadamente, na véspera de mais um passo no aperto do Fed
#mercadofinanceiro #investimentos
https://t.co/cQaby0Hns9</t>
  </si>
  <si>
    <t>Bolsas de Nova York fecham com balanços em foco. Confira
#mercadofinanceiro #investimentos
https://t.co/R4XZeixGlj</t>
  </si>
  <si>
    <t>📊 O lucro por ação ajustado ficou em US$ 1,44, acima da previsão dos analistas. Confira
#mercadofinanceiro #Investimentos 
https://t.co/PyIPbCafc9</t>
  </si>
  <si>
    <t>Previsão do FMI impacta fechamento do petróleo. Confira 
#mercadofinanceiro #investimentos
https://t.co/XLHs9QLcWo</t>
  </si>
  <si>
    <t>🏦 O Nubank chegou a 80 milhões de clientes no Brasil neste mês de julho. Confira
#mercadofinanceiro #Investimentos 
https://t.co/0Mp6cHx8bN</t>
  </si>
  <si>
    <t>Restituição Imposto de Renda 2023: 3º lote sofre nova correção no valor. Confira 
#mercadofinanceiro #investimentos
https://t.co/vkR09AIrOs</t>
  </si>
  <si>
    <t>Bolsas da Europa reagem a juros do BCE e ampliam ganhos de ontem.
🇪🇺Stoxx: +0,81%
🇬🇧FTSE: +0,67%
🇫🇷CAC: +1,49%
🇩🇪DAX:  +0,99%
#mercadofinanceiro
https://t.co/EU8KV7vUOI</t>
  </si>
  <si>
    <t>📊 A XP considera que os números operacionais de agosto da B3 vieram dentro do esperado, mas são “pouco inspiradores”. Fique por dentro
#mercadofinanceiro #investimentos
https://t.co/btXXf8puxa</t>
  </si>
  <si>
    <t>🤝 Nesta semana, a Sony Network Communications (#SNEC34) anunciou parceria com a Startale Labs para desenvolver uma infraestrutura de blockchain própria. Saiba mais
#mercadofinanceiro #investimentos
https://t.co/C50lZdaFok</t>
  </si>
  <si>
    <t>📊 O retorno da T-note de 2 anos caía a 4,998%, o da T-note de 10 anos regredia a 4,260% e o do T-bond de 30 anos ficou próximo da estabilidade, avançando a 4,343%. Veja
#mercadofinanceiro #Investimentos 
https://t.co/oPFk3mpn8O</t>
  </si>
  <si>
    <t>📉 As três ações que mais desvalorizaram no dia foram: Braskem (#BRKM5), Locaweb (#LWSA3) e CSN Mineração (#CMIN3)
#mercadofinanceiro #investimentos
https://t.co/Q2ZIx23abL</t>
  </si>
  <si>
    <t>📈 As três ações que mais valorizaram no dia foram: Petz (#PETZ3), Assaí (#ASAI3) e Hapvida (#HAPV3)
#mercadofinanceiro #investimentos
https://t.co/gHsyTMxCqP</t>
  </si>
  <si>
    <t>💵📲 Clientes agora vão poder antecipar até 12 parcelas anuais aplicativo do banco digital. Veja como
#mercadofinanceiro #investimentos #fgts
https://t.co/YDbgxNKup5</t>
  </si>
  <si>
    <t>💥 Tesla e #Musk entraram em conflito com as regulamentações federais que exigem a divulgação de benefícios dos executivos. Entenda o caso
#mercadofinanceiro #Investimentos 
https://t.co/kKc6jpxu4k</t>
  </si>
  <si>
    <t>📉 As três ações que mais desvalorizaram no dia foram: Via (#VIIA3), CVC (#CVCB3) e Azul (#AZUL4)
#mercadofinanceiro #investimentos
https://t.co/L1oSuuk7r1</t>
  </si>
  <si>
    <t>📈 As três ações que mais valorizaram no dia foram: Petrobras (#PETR3), Assaí (#ASAI3) e Raízen (#RAIZ4)
#mercadofinanceiro #investimentos
https://t.co/1Qxmz7CSQ8</t>
  </si>
  <si>
    <t>🍀 No próximo sábado (09), a #Lotofácil da Independência 2023 de setembro vai sortear R$ 200 milhões para quem acertar todos os 15 números. Vejo os horários
#mercadofinanceiro #investimentos
https://t.co/yIrYugCtvo</t>
  </si>
  <si>
    <t>💵 A Resolução estabelece os procedimentos para que as autoridades competentes tenham acesso, exclusivamente, aos dados cadastrais para apurar irregularidades. Saiba mais
#mercadofinanceiro #investimentos
https://t.co/Qx22QlOxSn</t>
  </si>
  <si>
    <t>💵 Dentre os ativos com um valor de mercado de mais de US$ 1 bilhão, apenas três criptos conseguiram fechar os trinta e um dias no positivo. Confira
#mercadofinanceiro #investimentos
https://t.co/ztA6e0G5hr</t>
  </si>
  <si>
    <t>📈#Ibovespa hoje em alta com noticiário positivo vindo da China e PL Orçamentária no Congresso.
#mercadofinanceiro
https://t.co/3JzVs7Dj8q</t>
  </si>
  <si>
    <t>📊 Mercado Intraday: Ibovespa avança com melhora no exterior. Confira
#mercadofinanceiro #investimentos
https://t.co/YPkKdnSaTi</t>
  </si>
  <si>
    <t>📊 A Westwing (#WEST3) reportou prejuízo líquido de R$ 9,1 milhões, valor 4% superior ao reportado no mesmo intervalo de 2022. Veja as ações
#mercadofinanceiro #investimentos 
https://t.co/VzpLOkXbjR</t>
  </si>
  <si>
    <t>📊 O mercado repercute o prejuízo líquido de R$ 302 milhões da empresa durante o período, o que representa uma alta de 123% em relação ao mesmo período do ano passado. Confira
#mercadofinanceiro #investimentos 
https://t.co/SBhYPH1bCc</t>
  </si>
  <si>
    <t>📉 As bolsas de Nova York fecharam em baixa de mais de 1% hoje, após dados indicarem fraqueza na indústria e no setor imobiliário nos #EUA e desaceleração econômica na #China. Entenda
#mercadofinanceiro #investimentos 
https://t.co/VXV4d4kTDj</t>
  </si>
  <si>
    <t>📊 A pressão foi particularmente intensa sobre o peso argentino, em novo recorde no câmbio paralelo. Entenda
#mercadofinanceiro #investimentos 
https://t.co/3YEvF0NdBM</t>
  </si>
  <si>
    <t>🏗 As ações da Petrobras (#PETR3;#PETR4) encerraram a terça-feira, dia em que foi anunciado o reajuste no preço dos combustíveis, em direções distintas. Saiba mais
#mercadofinanceiro #investimentos 
https://t.co/PSHyFZ6BjX</t>
  </si>
  <si>
    <t>📊 Apesar do combo negativo tanto aqui quanto no exterior, a alta das taxas foi limitada, porque a curva já tinha mostrado ontem abertura relevante e, ainda os preços das commodities caíram. Confira
#mercadofinanceiro #investimentos 
https://t.co/pHDFciCVr1</t>
  </si>
  <si>
    <t>📊 Os rendimentos dos #Treasuries operam sem direção única nesta terça-feira, seguindo dados mistos de varejo, indústria e setor imobiliário dos Estados Unidos. Saiba
#mercadofinanceiro #investimentos 
https://t.co/fhzTjUxI70</t>
  </si>
  <si>
    <t>💵 O #dólar à vista emendou a terceira sessão consecutiva de alta no mercado doméstico de câmbio e voltou a se aproximar do nível de R$ 5,00. Veja
#mercadofinanceiro #investimentos 
https://t.co/fbajWHIcMb</t>
  </si>
  <si>
    <t>📉 Dos 16 papéis que compõem o índice, apenas EGIE3 operava em uma leve alta de 0,48% às 15h30. O IEEX marcava 1,4% no terreno negativo, enquanto o Ibov operava com leve alta de 0,22%. Entenda
#mercadofinanceiro #investimentos 
https://t.co/FfxQz0TL96</t>
  </si>
  <si>
    <t>📈 As ações da Vibra Energia (#VBBR3) operam em forte alta nesta terça-feira (15) na B3, estando entre os maiores ganhos do Ibovespa. Veja
#mercadofinanceiro #investimentos 
https://t.co/849lQ7PVbH</t>
  </si>
  <si>
    <t>📊 A CVC Corp (#CVCB3) apresentou prejuízo líquido de R$ 167 milhões no segundo trimestre de 2023, montante 76,1% maior do que no mesmo período de 2022. Veja
#mercadofinanceiro #investimentos 
https://t.co/PDire4MlVe</t>
  </si>
  <si>
    <t>Bolsas de NY fecham em queda diante de proposta do Federal Reserve. Veja 
#mercadofinanceiro #investimentos 
https://t.co/OiU8fYTSNv</t>
  </si>
  <si>
    <t>Dólar sobe ante euro e libra, em dia de PIB dos Estados Unidos. Confira 
#mercadofinanceiro #investimentos 
https://t.co/MlYo1yo3ya</t>
  </si>
  <si>
    <t>📊🔒 Há meios de proteger o patrimônio e evitar situações complicadas como a do fundo do Pátria. Confira
#mercadofinanceiro #Investimentos 
https://t.co/SdBlq0Vpxw</t>
  </si>
  <si>
    <t>📊 Fechamento de Mercado: Ibovespa interrompe sequência de alta e realiza lucros
#mercadofinanceiro #Investimentos 
https://t.co/KA6p5XBVw9</t>
  </si>
  <si>
    <t>Vou deixar de pagar imposto na Shein e Shopee? Veja o que muda para o bolso do consumidor com a nova portaria publicada pelo governo 
#mercadofinanceiro #investimentos 
https://t.co/1cJILnf2ia</t>
  </si>
  <si>
    <t>Juros dos Treasuries sobem após estimativa do PIB dos Estados Unidos. Veja 
#mercadofinanceiro #investimentos
https://t.co/mrqmw3tzLd</t>
  </si>
  <si>
    <t>📉 As três ações que mais desvalorizaram no dia foram: Gol (#GOLL4), Petrobras (#PETR3) e Petrobras (#PETR4)
#mercadofinanceiro #Investimentos 
https://t.co/vrJh5MTNz9</t>
  </si>
  <si>
    <t>📈 As três ações que mais valorizaram no dia foram: Assaí (#ASAI3), SLC Agrícola (#SLCE3 e Magazine Luiza (#MGLU3)
#mercadofinanceiro #Investimentos 
https://t.co/bRmYjndFcM</t>
  </si>
  <si>
    <t>📉 O Ibovespa fechou o dia em queda nesta quinta-feira (27), em realização de lucros após ter cinco sessões de alta seguidas e alcançar o maior nível em quase dois anos. Veja
#mercadofinanceiro #investimentos
https://t.co/ABjgUO7rCk</t>
  </si>
  <si>
    <t>📊 O movimento se contrapôs aos ganhos no setor financeiro e da Johnson &amp;amp; Johnson (J&amp;amp;J). Confira
#mercadofinanceiro #investimentos
https://t.co/PhWdkYnqKr</t>
  </si>
  <si>
    <t>📊Com a manutenção da agenda doméstica esvaziada, o mercado de juros continuou operando a partir de ajustes técnicos e do exterior. Entenda
#mercadofinanceiro #investimentos
https://t.co/cEiNShOD2s</t>
  </si>
  <si>
    <t>💵O dólar à vista avançou 0,36% em relação ao real nesta quinta-feira (20), a R$ 4,8029
#mercadofinanceiro #investimentos #dolar 
https://t.co/DBZD6n4Juq</t>
  </si>
  <si>
    <t>🏦 O Bank of America (BofA) acredita que as vendas do dólar devem “começar” de fato no terceiro trimestre, embora mantenha inalteradas suas perspectivas para moedas do G10. Confira
#mercadofinanceiro #investimentos #dolar
https://t.co/0QmmVqXLhQ</t>
  </si>
  <si>
    <t>📊 A leitura veio abaixo que o esperado por analistas e, segundo a High Frequency Economics (HFE), sinalizou resiliência do mercado de trabalho. Confira
#mercadofinanceiro #investimentos
https://t.co/b7H0XKbIzT</t>
  </si>
  <si>
    <t>🎲Conheça as dezenas mais sorteadas da Lotofácil e aumente suas chances de vencer o prêmio principal do sorteio
#mercadofinanceiro #investimentos
https://t.co/DkMis0YdKF</t>
  </si>
  <si>
    <t>📈 O petróleo fechou em alta nesta quinta-feira (20) após sessão marcada pela volatilidade. Entenda
#mercadofinanceiro #investimentos #petroleo
https://t.co/6Z7gJZfMhh</t>
  </si>
  <si>
    <t>📉 O ouro fechou em baixa nesta quinta-feira (20), pressionado pela alta dos juros dos Treasuries e do dólar ante rivais. Entenda
#mercadofinanceiro #investimentos #Ouro
https://t.co/NsltP63h0c</t>
  </si>
  <si>
    <t>🎬Mesmo com a greve de Hollywood, companhia vira top pick para bancos como Goldman Sachs. Confira
#mercadofinanceiro #investimentos #barbiemovie #warner
https://t.co/tzqTYaeBRD</t>
  </si>
  <si>
    <t>📊 O Itaú BBA divulgou nesta quinta-feira, 20, que a Amazon entrou no lugar da Coca-Cola na lista de recomendações para a carteira de Brazilian Depositary Receipts (BDRs). Entenda
#mercadofinanceiro #investimentos #AMAZON
https://t.co/l6kdiAkoMq</t>
  </si>
  <si>
    <t>📈👠 O longa, que estreou nesta quinta-feira (20), também impulsionou as ações da Mattel (MAT), dona da marca associada à boneca mais famosa do mundo. Veja o desempenho
#mercadofinanceiro #investimentos #barbie
https://t.co/RgzTYdzJzC</t>
  </si>
  <si>
    <t>📊 Fechamento de Mercado: Ibovespa interrompe sequência negativa
#mercadofinanceiro #investimentos
https://t.co/D7KLVeAeZS</t>
  </si>
  <si>
    <t>📉 As três ações que mais desvalorizaram no dia foram: Locaweb (#LWSA3), Gol (#GOLL4) e Eneva (#ENEV3)
#mercadofinanceiro #investimentos
https://t.co/dx2Gka3vsP</t>
  </si>
  <si>
    <t>📈 As três ações que mais valorizaram no dia foram: Natura (#NTCO3), Ambev (#ABEV3) e Itaú Unibanco (#ITUB4)
#mercadofinanceiro #investimentos
https://t.co/eX7E6JC0hJ</t>
  </si>
  <si>
    <t>📉 Os BDRs da Uber Technologies (U1BE34) na B3 operavam em forte queda de 1,61% na sessão desta sexta-feira (15), às 16h16, cotados a R$ 57,94. Entenda o caso
#mercadofinanceiro #investimentos
https://t.co/83eoPBBHFl</t>
  </si>
  <si>
    <t>🤝 Ontem, a empresa anunciou parceria com a Petrobras (#PETR4;#PETR3) para atuarem juntas no desenvolvimento de uma nova turbina eólica onshore de 7 MW no Brasil. Confira
#mercadofinanceiro #investimentos
https://t.co/lPibzVsCkF</t>
  </si>
  <si>
    <t>🤔💵 Com a Reforma da Previdência, em 2019, algumas regras foram modificadas. Fique por dentro
#mercadofinanceiro #Investimentos 
https://t.co/LvipvZr9m0</t>
  </si>
  <si>
    <t>👨‍⚖️ Mudança aprovada pela Câmara dos Deputados ainda depende de apreciação pelo Senado. Veja
#mercadofinanceiro #investimentos
https://t.co/gRH4UnJWVm</t>
  </si>
  <si>
    <t>💵 Para Robinson Barreirinhas, o juros sobre capital próprio foi criado com um propósito que nunca funcionou no País. Veja detalhes
#mercadofinanceiro #investimentos
https://t.co/HT94BvlDtP</t>
  </si>
  <si>
    <t>📈 Possível recuperação econômica da China faz cobre fechar em alta. Confira  
#mercadofinanceiro #investimentos
https://t.co/H1q73gZxyH</t>
  </si>
  <si>
    <t>🧐 A #XP Investimentos iniciou a cobertura da Unipar (UNIP6) e da Braskem (BRKM5) com recomendações de compra e neutra. Veja
#mercadofinanceiro #investimentos
https://t.co/MrntXI1ChY</t>
  </si>
  <si>
    <t>📊 Entraram PetroReconcavo ON (RECV3) e Grupo Vamos ON (VAMO3). Já a Meliuz ON (CASH3) ficou de fora. Saiba mais
#mercadofinanceiro #investimentos #B3
https://t.co/IhEivz29nf</t>
  </si>
  <si>
    <t>📊 A empresa segue com o objetivo de ampliar cada vez mais o portfólio de produtos de investimento. Confira 
#mercadofinanceiro #investimentos
https://t.co/tR2MJ1qApN</t>
  </si>
  <si>
    <t>📉 Com o feriado do Dia do Trabalho nos Estados Unidos, a Bolsa brasileira operou sem os índices acionários americanos. Veja detalhes
#mercadofinanceiro #investimentos
https://t.co/0IieyD3v45</t>
  </si>
  <si>
    <t>📈 As três ações que mais valorizaram no dia foram: Petz (#PETZ3), 3R Petroleum (#RRRP3) e Petrorio (#PRIO3)
#mercadofinanceiro #investimentos
https://t.co/ZfOBXJIq8A</t>
  </si>
  <si>
    <t>📉 Ações menos rentáveis de agosto: GPA (#PCAR3) e da VIA (#VIIA3). Veja mais
#mercadofinanceiro #investimentos
https://t.co/4gzv9HSV8x</t>
  </si>
  <si>
    <t>📈 Ações mais rentáveis de agosto: São Martinho (SMTO3) e Vibra Energia (VBBR3). Veja mais #mercadofinanceiro #investimentos
https://t.co/aGusFMK6P7</t>
  </si>
  <si>
    <t>📊 "Investidores vão precisar fazer mais investimentos para ter ganhos de capital", diz analista. Confira
#mercadofinanceiro #investimentos #JCP
https://t.co/eCA3BwPfaF</t>
  </si>
  <si>
    <t>👨‍⚖️ O projeto veda a dedução de juros pagos ou creditados a título de remuneração do capital próprio na apuração do lucro real. Confira
#mercadofinanceiro #investimentos
https://t.co/PqsgwlAFKU</t>
  </si>
  <si>
    <t>💵 Quem ainda não teve os valores debitados, deve checar se é preciso reparar algum problema em relação à declaração. Veja o passo a passo
#mercadofinanceiro #investimentos
https://t.co/JSh9tv65NI</t>
  </si>
  <si>
    <t>📊 Mercado Intraday: Ibovespa sobe apoiado por avanço na pauta fiscal do Brasil. Confira
#mercadofinanceiro #investimentos
https://t.co/QHPGxasB4f</t>
  </si>
  <si>
    <t>📊 O UBS BB rebaixou a recomendação da Braskem (#BRKM5) de neutra para venda e cortou o preço-alvo da ação de R$ 26 para R$ 20. Confira
#mercadofinanceiro #investimentos
https://t.co/uyfFrX4krm</t>
  </si>
  <si>
    <t>📊 Os papéis da Americanas (#AMER3) registravam queda de 0,99% às 15h31 desta terça-feira (22) cotados a R$ 1,00. Entenda
#mercadofinanceiro #investimentos
https://t.co/SV2pImOYvF</t>
  </si>
  <si>
    <t>💵 A consulta para saber se possui saldo a receber do FGTS pode ser feita por meio do aplicativo oficial do e de forma gratuita. Saiba mais
#mercadofinanceiro #investimentos
https://t.co/TqIXxBXs1z</t>
  </si>
  <si>
    <t>📊💧 “Não achamos que o preço das ações da Sabesp implique grandes melhorias operacionais (seja pela atual gestão ou por uma privatização) [...]", escrevem Antonio Junqueira e Guilherme Bosso; Veja
#mercadofinanceiro #investimentos
https://t.co/kWDvyPAa71</t>
  </si>
  <si>
    <t>🏡COLUNA Vitor Miziara | Como o Airbnb impactou o mercado imobiliário americano - Estadão E-Investidor? Entenda
#mercadofinanceiro #investimentos
https://t.co/6ACdP8QZE3</t>
  </si>
  <si>
    <t>👨‍👩‍👧💵 Como a carreira de #Sandy e #Junior começou na infância, a cantora deu detalhes de como o pai os ensinou sobre investimentos. Fique por dentro
#mercadofinanceiro #investimentos
https://t.co/rE7NJznlXe</t>
  </si>
  <si>
    <t>🍀 O prêmio da #megasena estimado em R$ 3 milhões será sorteado às 20h, nesta terça-feira (22). Saiba mais
#mercadofinanceiro #investimentos
https://t.co/kjm8377tZN</t>
  </si>
  <si>
    <t>📈 Às 14h05, os papéis da IRB Re sobem 8,06% cotados a R$ 42,90, após oscilar entre máxima a R$ 43,69 e mínima a R$ 39,34. Veja
#mercadofinanceiro #investimentos
https://t.co/7By2wIGfKy</t>
  </si>
  <si>
    <t>💵 Mercado espera que Nubank (#BUNR33) reporte lucro entre R$ 900 milhões e R$ 1,2 bilhão no 2T23. Confira
#mercadofinanceiro #investimentos 
https://t.co/mRTOrd1iV6</t>
  </si>
  <si>
    <t>🍀 A #Quina, concurso 6215, foi sorteada na última segunda-feira (14) em São Paulo, no Espaço da Sorte. Duas apostas gabaritaram os cinco números e garantiram um prêmio de R$ 4.029.015,42. Veja
#mercadofinanceiro #investimentos 
https://t.co/iWkKJv7KlW</t>
  </si>
  <si>
    <t>📉 Ferreira Jr., que foi por anos um importante ator na companhia e decisivo para que a privatização vingasse, deixa o posto menos de um ano. Veja como ficaram as ações
#mercadofinanceiro #investimentos 
https://t.co/GClLaWTNA5</t>
  </si>
  <si>
    <t>📊💡 Saída do CEO Wilson Ferreira faz papel operar no terreno negativo nesta terça (15). Embora a saída de Ferreira seja sentida pelo mercado, #Eletrobras tem tem estratégia mais clara. Confira
#mercadofinanceiro #investimentos 
https://t.co/IGDO81pVGJ</t>
  </si>
  <si>
    <t>📱 COLUNA Espaço do Especialista com Ricardo Pacheco, Diretor de fundos da Sinqia | Veja se a inteligência artificial pode ajudar a turbinar os ganhos com investimentos
#mercadofinanceiro #Investimentos #inteligenciaarticial
https://t.co/sQoVXzmxq4</t>
  </si>
  <si>
    <t>📈 A Petrobras (#PETR4) anunciou nesta terça-feira (15) um reajuste no preço dos combustíveis em suas refinarias, medida bem recebida no mercado. Veja
#mercadofinanceiro #investimentos 
https://t.co/xnwmM0Xq3Z</t>
  </si>
  <si>
    <t>💻COLUNA Karina Saad | A inteligência artificial chegou ao mundo dos investimentos. E agora? Entenda 
#mercadofinanceiro #Investimentos 
https://t.co/jcqPLH5R0f</t>
  </si>
  <si>
    <t>📊 Mercado Intraday: Ibovespa segue em queda em dia de cautela nos mercados. Confira
#mercadofinanceiro #Investimentos
https://t.co/4DIytfnj7X</t>
  </si>
  <si>
    <t>📊 Mercado Intraday: Com exterior misto, Ibovespa recua e dólar avança. Confira
#mercadofinanceiro #investimentos 
https://t.co/A3163sPUbz</t>
  </si>
  <si>
    <t>✅ Rico vai oferecer ‘investback’ para novos clientes de renda fixa. Entenda
#mercadofinanceiro #investimentos
https://t.co/U5XQQw3E7U</t>
  </si>
  <si>
    <t>💰 Assaí apresenta lucro líquido de R$ 156 milhões no segundo trimestre de 2023
#mercadofinanceiro #investimentos
https://t.co/OqAZ65JmO0</t>
  </si>
  <si>
    <t>🏠 Leilão de imóveis em 10 Estados oferece descontos de quase 60%
#mercadofinanceiro #investimentos 
https://t.co/dzCyW8c69B</t>
  </si>
  <si>
    <t>Quando vale a pena amortizar a parcela do financiamento imobiliário? Entenda
#mercadofinanceiro #investimentos 
https://t.co/6zoPDVon51</t>
  </si>
  <si>
    <t>🏠 Veja quanto investir para comprar um imóvel à vista em 5 ou 10 anos
#mercadofinanceiro #investimentos 
https://t.co/4qAEsClUY5</t>
  </si>
  <si>
    <t>📱 O processo funciona de forma simples através do pagamento via Pix. Confira 
#mercadofinanceiro #investimentos
https://t.co/g5Y0Toq1k5</t>
  </si>
  <si>
    <t>De acordo com a Fitch Ratings, o ambiente de negócios fraco e altas  taxas de juro podem impedir que as empresas emitam novos títulos de  dívida ainda em 2023
#mercadofinanceiro #investimentos
https://t.co/7HtsMmieMz</t>
  </si>
  <si>
    <t>Terceiro lugar no ranking geral do Prêmio Broadcast Empresas: Weg  (WEGE3), uma das principais empresas do ramo industrial brasileiro.  Confira
#mercadofinanceiro #investimentos
https://t.co/M4dNo8u8XG</t>
  </si>
  <si>
    <t>Segundo colocado no Prêmio Broadcast Empresas 2023: Assai (ASAI3)  acumulou alta de cerca de 50% em suas ações no ano de 2022. Confira 
#mercadofinanceiro #investimentos
https://t.co/3dxhqNh8Zs</t>
  </si>
  <si>
    <t>Campeã do Prêmio Broadcast Empresas: BB Seguros teve um crescimento de 53,7% no lucro líquido em 2022. Confira 
#mercadofinanceiro #investimentos 
https://t.co/T1KFRLW2h7</t>
  </si>
  <si>
    <t>🚗 Segundo o levantamento, o último mês do semestre registrou queda de  16,4% nos valores para o perfil feminino e de 14,8% para o masculino.  Veja o ranking
#mercadofinanceiro #investimentos
https://t.co/aFIy29Vt1o</t>
  </si>
  <si>
    <t>Ministro Fernando Haddad disse nesta terça-feira, 18, que nova etapa deve acontecer "mais para o fim do ano". Confira
#mercadofinanceiro #investimentos
https://t.co/NIqgSdqB66</t>
  </si>
  <si>
    <t>🐔 Ministério da Agricultura informou frigoríficos brasileiros sobre a  suspensão da exportação de produtos avícolas por Santa Catarina para o  Japão, por conta de caso de gripe aviária. Veja o impacto 
#mercadofinanceiro #investimentos
https://t.co/gLe3CS4wMZ</t>
  </si>
  <si>
    <t>Jean Paul Prates, revelou que a empresa manterá os investimentos totais previstos para o próximo plano estratégico 2024-28
#mercadofinanceiro #investimentos
https://t.co/kHjr14mUsy</t>
  </si>
  <si>
    <t>A fabricante de carrocerias de ônibus paga na próxima quinta-feira, 20,  juros sobre o capital próprio (JCP) anunciados no último dia 3 de  julho. Veja
#mercadofinanceiro #investimentos
https://t.co/p7LLURuoox</t>
  </si>
  <si>
    <t>Ao todo, o empreendimento tem potência instalada de 766 Megawatts-pico, o  equivalente ao consumo de uma cidade de 800 mil habitantes
#mercadofinanceiro #investimentos
https://t.co/a4fx0ISXav</t>
  </si>
  <si>
    <t>Foram eleitos quatro novos nomes e mantidos cinco dos que já faziam parte do colegiado. Confira 
#mercadofinanceiro #investimentos
https://t.co/OtxK8v88CH</t>
  </si>
  <si>
    <t>🍎 Veja os alimentos que ficaram mais caros e baratos no primeiro semestre de 2023 
#mercadofinanceiro #investimentos 
https://t.co/uj7BtIpI0Y</t>
  </si>
  <si>
    <t>A medida modifica a maneira como será recolhido o benefício. Entenda 
#mercadofinanceiro #investimentos
https://t.co/urhGUqQgyO</t>
  </si>
  <si>
    <t>📉 As ações da varejista agora são chamadas de penny stocks, por serem negociadas abaixo de R$ 1. Saiba detalhes
#mercadofinanceiro #investimentos #VIIA3
https://t.co/IHRuZq8DHR</t>
  </si>
  <si>
    <t>📊 Taxas refletiram aumentos nos rendimentos dos Treasuries às vésperas da próxima "super quarta". Confira
#mercadofinanceiro #investimentos
https://t.co/DvFVbefN6b</t>
  </si>
  <si>
    <t>🚙 Se as fabricantes como estas não investirem agressivamente em veículos elétricos, arriscam-se a perder uma grande parcela de mercado. Entenda
#mercadofinanceiro #investimentos #carroeletrico
https://t.co/CcjW7UdGjK</t>
  </si>
  <si>
    <t>👨‍💼 Em sessão morna e de liquidez moderada, o #dólar à vista encerrou o pregão desta sexta-feira, 15, em baixa de 0,03%, cotado a R$ 4,8712.
#mercadofinanceiro #investimentos
https://t.co/4bDW496dEh</t>
  </si>
  <si>
    <t>📉 As três ações que mais desvalorizaram no dia foram: Energisa (#ENGI11), Equatorial (#EQTL3) e Rumo (#RAIL3)
#mercadofinanceiro #investimentos
https://t.co/X4Ve6ygYRS</t>
  </si>
  <si>
    <t>📈 As três ações que mais valorizaram no dia foram: Energisa (#ENGI11), São Martinho (#SMTO3) e Eneva (#ENEV3)
#mercadofinanceiro #investimentos
https://t.co/DL0mKPBRu3</t>
  </si>
  <si>
    <t>📊 Os dados constam na pesquisa da consultoria para o 1º semestre de 2023, realizada com 43 empresas. Confira
#mercadofinanceiro #investimentos
https://t.co/odZLPzyJQA</t>
  </si>
  <si>
    <t>👨‍💼 COLUNA Karina Saade | Veja porque a educação financeira é fundamental para a democratização de investimentos e sua importância
#mercadofinanceiro #investimentos
https://t.co/g6PC10Lr8T</t>
  </si>
  <si>
    <t>📊 A a empresa é beneficiada por relatório do Itaú BBA que a destaca como 'top pick' do setor de saúde. Entenda
#mercadofinanceiro #investimentos
https://t.co/eOGsjZueOJ</t>
  </si>
  <si>
    <t>📱 O analista do Barclays, Tim Long, em uma nota revisada pela ABC News, afirmou que o preço do #iPhone 15 Pro subirá até US$ 100. Veja o valor
#mercadofinanceiro #investimentos
https://t.co/5XYN0DyLlS</t>
  </si>
  <si>
    <t>💵 A linha de crédito consignada chamada Empréstimo Bolsa Família está suspensa desde 12 de janeiro. Saiba detalhes
#mercadofinanceiro #investimentos #bolsafamilia
https://t.co/TiYrVVHtvx</t>
  </si>
  <si>
    <t>💵🧐 Além da aposentadoria, o trabalhador recebe diversos benefícios, como auxílios e licenças. Veja quanto é o desconto do #INSS
#mercadofinanceiro #investimentos
https://t.co/lLkIXX4eDY</t>
  </si>
  <si>
    <t>📊 Mercado Intraday: IPCA alivia juros e sustenta Ibovespa. Confira
#mercadofinanceiro #investimentos
https://t.co/wrKuIzSYsr</t>
  </si>
  <si>
    <t>📊🏠 COLUNA Espaço do Especialista com Ariel Frankel, CEO da Vitacon | É hora de investir em imóveis? Veja
#mercadofinanceiro #investimentos
https://t.co/k6j53kwLAl</t>
  </si>
  <si>
    <t>📈 Para o Bradesco (#BBDC4), o PIB não deve retroceder mesmo com uma possível desaceleração da economia no segundo semestre. Veja
#mercadofinanceiro #investimentos
https://t.co/mixLeOMnGT</t>
  </si>
  <si>
    <t>💻 Até empresas de tecnologia, que prometiam flexibilidade a longo prazo, tornaram-se rígidas para condenar o trabalho remoto. Veja
#mercadofinanceiro #investimentos
https://t.co/c0zKcpmqSD</t>
  </si>
  <si>
    <t>👨‍⚖️ A CPI das Pirâmides Financeiras pode trazer o CEO da Infinity Asset para prestar depoimento. Entenda
#mercadofinanceiro #investimentos
https://t.co/iHrfAjPMeh</t>
  </si>
  <si>
    <t>📈 Os rendimentos dos Treasuries avançaram nesta terça-feira, na volta de feriado que manteve os mercados americanos fechados ontem. Veja
#mercadofinanceiro #investimentos
https://t.co/768D6Pwxd3</t>
  </si>
  <si>
    <t>📊 Fundo Imobiliário CPTS11 anuncia desdobramento de cotas na razão de um para 10. Confira
#mercadofinanceiro #investimentos
https://t.co/rW76VKZhiy</t>
  </si>
  <si>
    <t>💵 O fundo funciona como um "seguro da Bolsa", devolvendo aos investidores o dinheiro perdido em virtude de falhas de corretoras. Veja mais #mercadofinanceiro #investimentos
https://t.co/xEenyDIyxQ</t>
  </si>
  <si>
    <t>📊 As empresas que não levam o ESG a sério podem encarar um futuro pouco animador. Entenda
#mercadofinanceiro #investimentos
https://t.co/z9ikNy522B</t>
  </si>
  <si>
    <t>💵 Qualquer cidadão pode abrir uma conta poupança, desde que apresente os documentos necessários. Veja quais são aqui
#mercadofinanceiro #investimentos #caixabank 
https://t.co/TVVcK01GpI</t>
  </si>
  <si>
    <t>🍀 De acordo com a Caixa Econômica Federal, os sorteios da Mega-Sena são realizados duas vezes por semana, às quartas-feiras e aos sábados, a partir das 20h. Confira
#mercadofinanceiro #investimentos #megasena
https://t.co/7Zfxux8c43</t>
  </si>
  <si>
    <t>📊 Fechamento de Mercado: Ibovespa recua em dia de pouco fôlego no exterior. Confira
#mercadofinanceiro #investimentos
https://t.co/VJNQOBVbQx</t>
  </si>
  <si>
    <t>📊 COLUNA Bruno Funchal | A melhora do rating sinaliza o retorno ao grau de investimento? Entenda
#mercadofinanceiro #investimentos
https://t.co/SJps1vZEof</t>
  </si>
  <si>
    <t>💵 Novo arcabouço fiscal: A medida proposta por Fernando #Haddad irá substituir o teto de gastos. Saiba mais sobre a medida e seu impacto
#mercadofinanceiro #investimentos
https://t.co/XtUfVngfIr</t>
  </si>
  <si>
    <t>🥖 COLUNA Renato Indica | Veja 5 petiscos servidos em restaurantes de SP por até R$ 80
#mercadofinanceiro #investimentos 
https://t.co/XYk9hjm16P</t>
  </si>
  <si>
    <t>📉 As três ações que mais desvalorizaram no dia foram: Yduqs (#YDUQ3), Via (#VIIA3) e Petz (#PETZ3)
#mercadofinanceiro #Investimentos 
https://t.co/TtwHHHtwmV</t>
  </si>
  <si>
    <t>📈 As três ações que mais valorizaram no dia foram: Alpargatas (#ALPA4), Suzano (#SUZB3) e CPFL Energia (#CPFE3)
#mercadofinanceiro #investimentos
https://t.co/Wq3YlnvpNX</t>
  </si>
  <si>
    <t>⚽️💵 Para se ter um parâmetro de valores, em dois anos, o #Neymar irá ganhar mais do que o lucro líquido em doze meses de empresas como Banrisul, Copasa e São Martinho. Confira o cálculo
#mercadofinanceiro #Investimentos 
https://t.co/MTVZg9YPD5</t>
  </si>
  <si>
    <t>💵 Os bens constituídos pelo filho e administrados pelos pais devem ser usados obrigatoriamente em favor do menor, explica Luiz Kignel, advogado da área de direito da família. Veja
#mercadofinanceiro #Investimentos #LarissaManoela 
https://t.co/BEh0XiJwDM</t>
  </si>
  <si>
    <t>📱 O movimento ocorreu após uma oscilação atípica do token, que tem despertado a atenção de muitos usuários na internet. Saiba mais
#mercadofinanceiro #Investimentos #nubank
https://t.co/wwKVMuAvsb</t>
  </si>
  <si>
    <t>📉 Entre os destaques negativos do pregão, estão as ações da Vale (VALE3), que possuem o maior peso para a composição do Ibovespa. Veja
#mercadofinanceiro #investimentos
https://t.co/rdokbLq73H</t>
  </si>
  <si>
    <t>💵 Com os Certificados de Depósito Bancário (CDB), o rendimento do salário do #Neymar seria de R$ 140 milhões, com o total chegando a pouco mais de R$ 1 bilhão. Confira
#mercadofinanceiro #investimentos 
https://t.co/IsMyZqsv0T</t>
  </si>
  <si>
    <t>📉 As ações de educação operam em bloco no terreno negativo, diante das incertezas sobre como o MEC irá cumprir a decisão do STF para expandir cursos de medicina. Fique por dentro
#mercadofinanceiro #Investimentos
https://t.co/u0h3QVFfjJ</t>
  </si>
  <si>
    <t>📉 O peso argentino continuou em baixa, em quadro de expectativa por primárias eleitorais neste mês. Saiba mais
#mercadofinanceiro #investimentos 
https://t.co/LDOJqISLed</t>
  </si>
  <si>
    <t>📊 As bolsas de Nova York reverteram os ganhos de mais cedo e fecharam em baixa, após se deteriorarem à tarde, com a piora da ação da #Apple. Confira
#mercadofinanceiro #investimentos 
https://t.co/6uom0YM632</t>
  </si>
  <si>
    <t>💳 Nesta sexta-feira (04), foi anunciado que a Amazon (#AMZO34) vai lançar um cartão de crédito no Brasil, em parceria com o banco Bradesco (#BBDC4). Veja
#mercadofinanceiro #investimentos 
https://t.co/vaHU2sn0Ni</t>
  </si>
  <si>
    <t>📊 Fechamento de Mercado: Queda das bolsas de NY pressiona o Ibovespa. Confira
#mercadofinanceiro #investimentos 
https://t.co/0vz7E3L3MT</t>
  </si>
  <si>
    <t>📉 Os papéis ordinários (#BBDC3) fecharam com queda de 4,77%, enquanto os preferenciais (#BBDC4) recuavam 6,65%. Confira
#mercadofinanceiro #investimentos 
https://t.co/kSp8L36iYF</t>
  </si>
  <si>
    <t>💵 Quem deseja conferir o seu saldo do PIS/Pasep para verificar se tem direito às cotas, pode acessar o aplicativo FGTS. Saiba mais
#mercadofinanceiro #investimentos 
https://t.co/FFHg2NRD8B</t>
  </si>
  <si>
    <t>📉 As três ações que mais desvalorizaram na semana foram: Via (#VIIA3), Cielo (#CIEL3) e Bradesco (#BBDC4)
#mercadofinanceiro #investimentos 
https://t.co/YXDEArJM7G</t>
  </si>
  <si>
    <t>📈 As três ações que mais valorizaram na semana foram: Dexco (DXCO3), Marfrig (MRFG3) e BRF (BRFS3)
#mercadofinanceiro #investimentos 
https://t.co/bOYw1fPRs9</t>
  </si>
  <si>
    <t>📉 As três ações que mais desvalorizaram no dia foram : Carrefour (CRFB3), Bradesco PN (BBDC4) e Embraer (EMBR3)
#mercadofinanceiro #investimentos 
https://t.co/bLbbFfDTO8</t>
  </si>
  <si>
    <t>📈 As três ações que mais valorizaram no dia foram: Dexco (DXCO3), BRF (BRFS3) e Renner (LREN3)
#mercadofinanceiro #investimentos 
https://t.co/5DaxiCelFS</t>
  </si>
  <si>
    <t>🏭📈 O petróleo fechou em alta nesta sexta-feira (3), diante de sinais renovados de restrição na oferta e aumento na demanda global. Confira
#mercadofinanceiro #investimentos 
https://t.co/coP7t95QOA</t>
  </si>
  <si>
    <t>🎲 Os números sorteados foram: 01-02-03-05-06-07-09-10-12-16-17-20-21-23-25. Saiba mais
#mercadofinanceiro #investimentos
https://t.co/isBcBSC8Kr</t>
  </si>
  <si>
    <t>📊 Em webinar realizado nesta terça-feira (25), a S&amp;amp;P Global avaliou o quadro do setor. Confira
#mercadofinanceiro #investimentos
https://t.co/bVTeF26CKt</t>
  </si>
  <si>
    <t>👨‍💼 “Crédito mais caro significa menos consumo e investimento, menos crescimento econômico, menos renda e mais desemprego.”, disse a Febraban. Confira
#mercadofinanceiro #investimentos
https://t.co/2keML0sKyW</t>
  </si>
  <si>
    <t>💵 Os pagamentos do 3˚ lote da Restituição do Imposto de Renda 2023 será feito na próxima segunda-feira (31). Acesse a lista de contribuintes
#mercadofinanceiro #investimentos
https://t.co/SWYCjvl41A</t>
  </si>
  <si>
    <t>👨‍⚖️💵 Conselho Curador do FGTS aprovou a distribuição de R$ 12,7 bilhões entre os trabalhadores cotistas. Veja como consultar
#mercadofinanceiro #Investimentos 
https://t.co/NBH7FDpc2H</t>
  </si>
  <si>
    <t>Weg (#WEGE3); veja a opinião do Itaú BBA sobre as ações da empresa
#mercadofinanceiro #investimentos
https://t.co/xOh5BWeKPk</t>
  </si>
  <si>
    <t>💵 A distribuição de resultados alcançará cerca de 217,7 milhões de contas vinculadas ao fundo. Confira o valor
#mercadofinanceiro #Investimentos 
https://t.co/H5AAvQ2Pqo</t>
  </si>
  <si>
    <t>👨‍⚖️ Conselho Curador decidiu nesta terça-feira (25) distribuir 99% dos ganhos em 2022. Confira quem vai receber
#mercadofinanceiro #Investimentos 
https://t.co/ZbL9TSVata</t>
  </si>
  <si>
    <t>📊 Fechamento de Mercado: Inflação mais baixa e alta das blue chips impulsionam Ibovespa
#mercadofinanceiro #Investimentos 
https://t.co/YbW0Y5qd0v</t>
  </si>
  <si>
    <t>📉 As três ações que mais desvalorizaram no dia foram: Gol #(GOLL4), Minerva (#BEEF3) e Petrorio (#PRIO3)
#mercadofinanceiro #Investimentos 
https://t.co/K13LHRB1ME</t>
  </si>
  <si>
    <t>📈 As três ações que mais valorizaram no dia foram: Eztec (#EZTC3), CSN (#CSNA3)2 e Meliuz #(CASH3)
#mercadofinanceiro #Investimentos 
https://t.co/UvFz4mPid7</t>
  </si>
  <si>
    <t>📊 O cobre avançou nesta terça-feira (25), em meio a esperança por mais estímulos na China. Confira
#mercadofinanceiro #Investimentos 
https://t.co/ZL5JksfbF4</t>
  </si>
  <si>
    <t>Plano que chega a R$ 80 bilhões busca tornar a empresa mais competitiva no setor elétrico. Confira
#mercadofinanceiro #Investimentos 
https://t.co/ONAQXwYDW7</t>
  </si>
  <si>
    <t>Restituição Imposto de Renda 2023: 3º lote sofre nova correção no valor. Confira
#mercadofinanceiro #investimentos 
https://t.co/BbdlQb4LpT</t>
  </si>
  <si>
    <t>COLUNA Vitor Miziara | Como o investidor pode se proteger de conflitos de interesse? Saiba
#mercadofinanceiro #Investimentos 
https://t.co/KEDo7leRYT</t>
  </si>
  <si>
    <t>Ouro fecha de olho na decisão sobre juros dos EUA. Confira
#mercadofinanceiro #investimentos
https://t.co/9bmXbLwd94</t>
  </si>
  <si>
    <t>👨‍⚖️ Haddad confirma que Fazenda estuda acabar com JCP (juros sobre capital) . Saiba mais
#mercadofinanceiro #Investimentos 
https://t.co/DcumJW6Ihw</t>
  </si>
  <si>
    <t>Petrobras (PETR3; PETR4) bate recorde de redução de emissões e ações sobem. Confira 
#mercadofinanceiro #investimentos
https://t.co/JzkhcMkwWm</t>
  </si>
  <si>
    <t>Ibovespa tenta ultrapassar os 122 mil pontos com resultado do IPCA-15
#mercadofinanceiro #investimentos
https://t.co/uPEI1nT4Zz</t>
  </si>
  <si>
    <t>📈 A Telefônica (dona da #Vivo) chegaram a disputar as máximas do Ibovespa. Confira
#mercadofinanceiro #investimentos
https://t.co/Mmq0gHjFbs</t>
  </si>
  <si>
    <t>🧐📊 A varejista anunciou nesta segunda-feira (18) sua reformulação de negócio de crédito e cartões. Fique por dentro
#mercadofinanceiro #investimentos #AMAR3 #marisa
https://t.co/5hNLKtcIzW</t>
  </si>
  <si>
    <t>📈 As três ações que mais valorizaram no dia foram: Braskem (#BRKM5), Yduqs (#YDUQ3) e BRF (#BRFS3)
#mercadofinanceiro #investimentos
https://t.co/Ei2XZTHcFF</t>
  </si>
  <si>
    <t>📈 As ações da Azul (#AZUL4) figuram entre as maiores altas do Ibovespa nesta segunda-feira (18), enquanto os papéis da Gol (#GOLL4) sobem 1,98% cotados a R$ 6,71. Veja
#mercadofinanceiro #investimentos
https://t.co/zgXmcwVKmH</t>
  </si>
  <si>
    <t>🧐 Jorge Viana avaliou que o país é hoje "sinônimo de oportunidades" durante participação em painel em Nova York. Entenda
#mercadofinanceiro #investimentos
https://t.co/PhSneLDarW</t>
  </si>
  <si>
    <t>💳 As instituições financeiras retiraram do negativo cerca de 6 milhões de registros de clientes que tinham dívidas bancárias de até R$ 100,00. Veja
#mercadofinanceiro #investimentos #desenrola
https://t.co/TXGW5I4o1p</t>
  </si>
  <si>
    <t>📊 Após dados do #IPCA, o índice de inflação oficial, as estimativas do relatório continuam acima da meta. Confira
#mercadofinanceiro #investimentos #boletimfocus
https://t.co/pr4jzIHXbp</t>
  </si>
  <si>
    <t>🤝 A ideia é gerar mais benefícios aos usuários a partir das compras efetuadas pelo site. Entenda
#mercadofinanceiro #investimentos
https://t.co/uq5ipo6xJ0</t>
  </si>
  <si>
    <t>✈️💳 A novidade recompensará clientes #Smiles que abrirem suas contas #Nomad com cashback em dólar e 3 milhas a cada dólar convertido. Veja mais
#mercadofinanceiro #investimentos
https://t.co/doLAHWFhCh</t>
  </si>
  <si>
    <t>📊 Mercado Intraday: Em dia de agenda esvaziada, Ibovespa tem leve avanço. Confira
#mercadofinanceiro #investimentos
https://t.co/spqvGscFIA</t>
  </si>
  <si>
    <t>🇫🇷📊Société Générale revela projeções de receita menos ambiciosas entre 2022 e 2026. Ações tombam em Paris.
#mercadofinanceiro
https://t.co/mxqKeH1hY4</t>
  </si>
  <si>
    <t>Bolsas da Europa reagem com tombos de Casino e Société Générale em Paris.
🇬🇧FTSE: -0,37%
🇫🇷CAC: -1,03%
🇩🇪DAX:  -0,58%
#mercadofinanceiro
https://t.co/3EB7f3Iq6k</t>
  </si>
  <si>
    <t>💵 Da renda fixa a variável, são diversas formas de conseguir bons investimentos através da moeda americana. Saiba aqui
#mercadofinanceiro #investimentos #rendafixa #rendavariavel
https://t.co/8tE5Hyj4wn</t>
  </si>
  <si>
    <t>💵 O #real apresentou o melhor desempenho entre as principais moedas globais, incluindo divisas fortes e emergentes. Veja
#mercadofinanceiro #investimentos
https://t.co/eLJlSJVm3E</t>
  </si>
  <si>
    <t>📊🧐 Código de Defesa do Consumidor (CDC) condena a cobrança de juros abusivos. Saiba como identificá-los
#mercadofinanceiro #investimentos
https://t.co/9TzjCfZVU0</t>
  </si>
  <si>
    <t>🧐 O Fundo de Garantia do Tempo de Serviço (#FGTS) é um direito garantido aos trabalhadores com carteira assinada. Veja o que fazer se está bloqueado
#mercadofinanceiro #investimentos
https://t.co/XY9TxMMMwm</t>
  </si>
  <si>
    <t>📊 O euro caiu ante o dólar e bateu mínimas em seis meses após o Banco Central Europeu (BCE) determinar um aumento de juros “dovish”. Entenda
#mercadofinanceiro #investimentos
https://t.co/kgLenQLnQy</t>
  </si>
  <si>
    <t>🏭📈 A alta da commodity nesta quinta-feira (14) acompanhou a expectativa de mais aperto no mercado. Confira
#mercadofinanceiro #investimentos
https://t.co/uudt0lGBAX</t>
  </si>
  <si>
    <t>📊 Fechamento de Mercado: Ibovespa sobe impulsionado por estímulo chinês e avanço das commodities. Confira
#mercadofinanceiro #investimentos
https://t.co/6vPNQB86b1</t>
  </si>
  <si>
    <t>📈 O índice Dow Jones fechou com alta de 0,96%, aos 34.907,11 pontos. Veja
#mercadofinanceiro #investimentos</t>
  </si>
  <si>
    <t>🍀 Desta vez, o prêmio da faixa principal da #Quina está acumulado em R$ 9,5 milhões. Saiba como participar
#mercadofinanceiro #investimentos
https://t.co/WzcGGmAweU</t>
  </si>
  <si>
    <t>🧐 Empresa reafirmou o compromisso de que eventuais decisões a serem tomadas por sua administração continuarão sendo pautadas no melhor interesse da companhia e de seus stakeholders. Veja
#mercadofinanceiro #investimentos #LIGT3
https://t.co/JHOzvLAk00</t>
  </si>
  <si>
    <t>📊 Entre as maiores beneficiadas, está a Vale (#VALE3), segundo análise do Banco do Brasil em relatório setorial nesta sexta-feira, dia 8. Confira
#mercadofinanceiro #investimentos
https://t.co/niJZldCmxf</t>
  </si>
  <si>
    <t>💵 A Weg (#WEGE3) anunciou nesta sexta-feira, 08, o aporte de R$ 70 milhões para a expansão da capacidade de produção de tintas líquidas industriais no Brasil até 2024. Entenda
#mercadofinanceiro #investimentos
https://t.co/05a0fqfz4M</t>
  </si>
  <si>
    <t>🧐 Analistas explicam por que temem a marca e dizem o que o investidor deve fazer; cripto não alcança os US$ 30 mil. Confira
#mercadofinanceiro #investimentos #Bitcoin 
https://t.co/Of6CaMzhOb</t>
  </si>
  <si>
    <t>📊 Mercado Intraday: Ibovespa recua em ambiente de baixa liquidez
#mercadofinanceiro #investimentos #educaçãofinanceira
https://t.co/PoQx5kcuGe</t>
  </si>
  <si>
    <t>📈 O portfólio sugerido pelo Inter (#INBR32), que fechou o mês passado com queda de 3,76%, liderou o ranking, seguido pelo Santander (#BCSA34). Veja
#mercadofinanceiro #investimentos #educaçãofinanceira
https://t.co/pmBDilSZ0H</t>
  </si>
  <si>
    <t>💵 Tarcísio de Freitas pretende apresentar o projeto de lei da privatização até o começo de 2024. Confira
#mercadofinanceiro #investimentos
https://t.co/GIadua5BTA</t>
  </si>
  <si>
    <t>💰 De acordo com um levantamento feito pelo E-Investidor, uma quantia de R$ 10 mil geraria um ganho de R$ 2,07 mil. Veja projeções
#mercadofinanceiro #investimentos
https://t.co/tFInKBFQOn</t>
  </si>
  <si>
    <t>📊 Mercado Intraday: Atividade global preocupa, mas petróleo sustenta Ibovespa. Confira
#mercadofinanceiro #investimentos
https://t.co/B3aVQGWLJa</t>
  </si>
  <si>
    <t>📊Mercado hoje: 🛢️Prio (#PRIO3) registra queda na produção de petróleo e CPI das 🛒Americanas (#AMER3) vota relatório; 🥩Minerva (#BEEF3) e 👷‍♂️CSN (#CSNA3) buscam captar dólares no exterior.
#mercadofinanceiro
https://t.co/bya3lT9CNs</t>
  </si>
  <si>
    <t>📊Mercado hoje: bolsas ficam atentas aos PMIs no Brasil e exterior; reforma ministerial e falas de Campos Neto ficam no radar.
#mercadofinanceiro
https://t.co/bPdMDNfrt1</t>
  </si>
  <si>
    <t>📊Bolsas da Ásia fecham impactadas por dados de PMI da China e ações de tecnologia e incorporadoras sob pressão.
🇯🇵Nikkei: +0,30%
🇭🇰Hang Seng: -2,06%
🇨🇳Xangai: -0,71%
🇨🇳Shenzen: -0,58%
🇰🇷Kospi: -0,09%
🇹🇼Taiex: +0,01%
#mercadofinanceiro
https://t.co/OgwQC0gfyR</t>
  </si>
  <si>
    <t>📈 As três ações que mais valorizaram no semana foram: Hypera São Martinho (#SMTO3), Alpargatas (#ALPA4) e Raízen (#RAIZ4)
#mercadofinanceiro #investimentos
https://t.co/CBSyWIcBoB</t>
  </si>
  <si>
    <t>💵 O #dólar americano segue como a moeda estrangeira mais operada no mês de julho no Brasil, mas registrou queda na comparação com o mês de junho de 7%. Veja mais
#mercadofinanceiro #investimentos
https://t.co/pANVqIARo5</t>
  </si>
  <si>
    <t>📉 Nesta sexta-feira (25), às 14h35, as criptomoedas Bitcoin (#BTC) e Ethereum (#ETH) recuavam, respectivamente, 1,07% e 1,37%. Confira
#mercadofinanceiro #investimentos 
https://t.co/SIVpsuMr4f</t>
  </si>
  <si>
    <t>📉 As três ações que mais desvalorizaram no dia foram: Grupo Pão de Açúcar (#PCAR3), CVC (#CVCB3) e MRV (#MRVE3)
#mercadofinanceiro #investimentos
https://t.co/Aiejye5SXE</t>
  </si>
  <si>
    <t>📈 As três ações que mais valorizaram no dia foram: São Martinho (#SMTO3), SLC Agrícola (#SLCE3) e Raízen (#RAIZ4)
#mercadofinanceiro #investimentos 
https://t.co/KfkNHLznY1</t>
  </si>
  <si>
    <t>💵 Para realizar o cálculo, é necessário levar em conta a remuneração do colaborador no mês anterior, acrescido de um terço do valor do salário. Saiba aqui
#mercadofinanceiro #investimentos
https://t.co/JMooenek2i</t>
  </si>
  <si>
    <t>💳 Clientes do #Nubank podem bloquear o cartão diretamente pelo aplicativo da fintech. Confira o passo a passo
#mercadofinanceiro #investimentos
https://t.co/8hRId89I5s</t>
  </si>
  <si>
    <t>✈ O caso #123Milhas fez muita gente se lembrar uma velha e conhecida lição popular: o barato, muitas vezes, pode sair caro. Veja como não cair em ciladas
#mercadofinanceiro #investimentos
https://t.co/PjNGkt5sfU</t>
  </si>
  <si>
    <t>💵 Prêmio da #Lotofácil está estimado em R$ 200 milhões e não acumula. Veja quando começa
#mercadofinanceiro #investimentos
https://t.co/XfllaCYHfN</t>
  </si>
  <si>
    <t>📊 Para tentar entender como o mercado está analisando as ações da Petrobras (#PETR3;#PETR4), o E-Investidor ouviu as recomendações de 8 bancos. Veja
#mercadofinanceiro #investimentos
https://t.co/JpM5yKGgA7</t>
  </si>
  <si>
    <t>🏦 A #Ágora Investimentos e o Bradesco BBI elevaram nesta sexta-feira (25) a recomendação dos papéis de São Martinho (#SMTO3) e Jalles Machado (#JALL3). Entenda
#mercadofinanceiro #investimentos
https://t.co/u78K17r2FN</t>
  </si>
  <si>
    <t>📊 Mais de 140 mil brasileiros podem ter valores a receber referente a poupança confiscada em 1990. Consulte o site do TJ do seu Estado para verificar processos. #poupança #investimentos #mercadofinanceiro https://t.co/3qvFvW9olW</t>
  </si>
  <si>
    <t>🛫 Viagens com milhas: “Já viajei para Maldivas duas vezes, reservei hotéis na Europa, Ásia e Caribe e fiz passeios entre cidades em viagens internacionais só com os pontos que acumulei”. Confira
#mercadofinanceiro #Investimentos 
https://t.co/HPinZ92Ga3</t>
  </si>
  <si>
    <t>👨‍👩‍👧‍👧COLUNA Ana Paula Hornos | Alienação parental pode deixar danos mentais e materiais como herança. Entenda
#mercadofinanceiro #Investimentos 
https://t.co/Inbsfg5Q1P</t>
  </si>
  <si>
    <t>📱 A Apple registrou lucro líquido de US$ 19,88 bilhões e lucro por ação (EPS, na sigla em inglês) no terceiro trimestre fiscal, o que representa um crescimento de 2,3%. Entenda
#mercadofinanceiro #investimentos 
https://t.co/s6oRwMJUvp</t>
  </si>
  <si>
    <t>📊 O Bradesco (BBDC4) encerrou o segundo trimestre deste ano com lucro líquido recorrente de R$ 4,518 bilhões, de acordo com balanço divulgado nesta quinta-feira (3). Entenda
#mercadofinanceiro #investimentos 
https://t.co/qHfHaeIGne</t>
  </si>
  <si>
    <t>📈 O lucro líquido do #Fleury totalizou R$ 117,7 milhões no segundo trimestre de 2023, valor 66,9% superior na comparação com o mesmo período de 2022. Entenda
#mercadofinanceiro #investimentos 
https://t.co/edtdE5m5Fj</t>
  </si>
  <si>
    <t>📉 A Lojas #Renner apresentou lucro líquido de R$ 230 milhões no segundo trimestre de 2023. O resultado foi 36% menor do que o visto no mesmo período de 2023. Entenda
#mercadofinanceiro #investimentos 
https://t.co/gjPOSJY5sJ</t>
  </si>
  <si>
    <t>📊 O lucro líquido ajustado da CCR (#CCRO3) caiu 30,2% no segundo trimestre de 2023 em relação a igual intervalo de 2022, para R$ 203,3 milhões. Entenda
#mercadofinanceiro #investimentos 
https://t.co/wsl7JcSe0F</t>
  </si>
  <si>
    <t>📊😁 Confira os motivos que estão levando os investidores a se animarem com o País
#mercadofinanceiro #investimentos 
https://t.co/VNjDvg2W0C</t>
  </si>
  <si>
    <t>📊 Os juros dos títulos públicos americanos começaram o dia operando em baixa, na esteira da divulgação do PIB chinês com avanço menor que o projetado por analistas. Entenda 
#mercadofinanceiro #investimentos 
https://t.co/Jl3IxEGd40</t>
  </si>
  <si>
    <t>📉💵 “Seguimos frustrados com a fraqueza em curso do dólar, que vemos como contrária aos fundamentos”, ressalta o BBH. Confira 
#mercadofinanceiro #investimentos #dolar 
https://t.co/yQtbocDet2</t>
  </si>
  <si>
    <t>👨💼🇧🇷 Rogério Ceron, secretário do Tesouro, não enxerga um grande impacto da aprovação da reforma sobre os títulos públicos. Confira 
#mercadofinanceiro #investimentos #tesouronacional 
https://t.co/jJW0L1Ezwb</t>
  </si>
  <si>
    <t>👨💼📉 O CEO da empresa disse na última sexta-feira que poderia haver demissões adicionais. Confira 
#mercadofinanceiro #investimentos 
https://t.co/kXWvxc0P5H</t>
  </si>
  <si>
    <t>💳 Veja como negociar sua dívida no Banco do Brasil, #Bradesco, Caixa Econômica Federal, #Itaú, #PagBank e #Santander
#mercadofinanceiro #investimentos #bancodobrasil #caixaeconomica 
https://t.co/IYly2tt4Fk</t>
  </si>
  <si>
    <t>🛒 Ainda no comunicado, a empresa descreveu que o Brasil tem “uma forte valorização da moda” e há um “grande potencial de expansão no mercado”. Confira 
#mercadofinanceiro #investimentos 
https://t.co/aOnnnXpG79</t>
  </si>
  <si>
    <t>📊🇧🇷 No contexto doméstico, foi divulgado o Índice de Atividade Econômica do Banco Central (IBC-BR), considerado a prévia do Produto Interno Bruto (PIB) do Brasil. Confira 
#mercadofinanceiro #investimentos #bancocentral 
https://t.co/i70avjo4bQ</t>
  </si>
  <si>
    <t>📊 Ações de varejo disparam na bolsa e balanços do segundo trimestre também compõe o radar. Entenda os motivos 
#mercadofinanceiro #investimentos
https://t.co/32TCrX6Saq</t>
  </si>
  <si>
    <t>📊 O contrato futuro mais líquido do ouro fechou em baixa na sessão desta segunda-feira (17), pressionado pela alta dos juros dos Treasuries. Entenda 
#mercadofinanceiro #investimentos #ouro 
https://t.co/xxalXn01EM</t>
  </si>
  <si>
    <t>📊 Fechamento de Mercado: Com liquidez restrita, Ibovespa segue NY e fecha em alta
#mercadofinanceiro #investimentos 
https://t.co/36RXVQzmAv</t>
  </si>
  <si>
    <t>📉 As três ações que mais desvalorizaram na semana foram: IRB (IRBR3), BRF (BRFS3) e Weg (#WEGE3)
#mercadofinanceiro #investimentos
https://t.co/2HowkwnxxF</t>
  </si>
  <si>
    <t>📈 As três ações que mais valorizaram no dia foram: Raizen (#RAIZ4), BTG Pactual (#BPAC11) e MRV (#MRVE3) 
#mercadofinanceiro #investimentos
https://t.co/qY6bVUM4RL</t>
  </si>
  <si>
    <t>📊 O TD Securities pontua que uma “recuperação potencial impulsionada por estímulos será cada vez mais difícil de alcançar”. Veja 
#mercadofinanceiro #investimentos
https://t.co/uZ3d5DWDnj</t>
  </si>
  <si>
    <t>COLUNA Erich Decat | Reforma tributária: Lula repete com Lira e o Centrão o que vez com o PMDB há 20 anos? Veja 
#mercadofinanceiro #investimentos #ReformaTributária 
https://t.co/BGqSt53hPw</t>
  </si>
  <si>
    <t>📊🛒 A empresa fechou um total de 88 lojas com geração de caixa negativo – das 92 previstas no final do primeiro trimestre de 2023 – , investindo R$44,5 milhões na operação. Confira o relatório divulgado 
#mercadofinanceiro #investimentos #Marisa 
https://t.co/c4gbC9Hm1q</t>
  </si>
  <si>
    <t>📊 A Petrobras (#PETR3;#PETR4) acompanha o recuo da cotação do petróleo Brent no exterior. Já as ações da Vale (#VALE3), também de grande peso para o Ibovespa, têm perdas de 1,15%. Entenda 
#mercadofinanceiro #investimentos
https://t.co/JANDMgbZNF</t>
  </si>
  <si>
    <t>📊 O setor de commodities sofreu muito no início do pregão com dados da China, diz especialista. Confira a análise 
#mercadofinanceiro #investimentos #petrobras 
https://t.co/hJHFSl8ebH</t>
  </si>
  <si>
    <t>💵 O sorteio é feito pela loteria Mega Millions dos Estados Unidos, mas os brasileiros também podem apostar. Confira 
#mercadofinanceiro #investimentos #MegaMillions 
https://t.co/3GLLfYvqZV</t>
  </si>
  <si>
    <t>💳 Na avaliação de especialistas em educação financeira, os consumidores devem aproveitar a oportunidade para organizar as finanças pessoais. Veja as dicas
#mercadofinanceiro #investimentos #dicasfinanceiras 
https://t.co/xGPOyEiBP3</t>
  </si>
  <si>
    <t>📈 O fôlego que a bolsa de valores vem mostrando nas últimas semanas tem levado alguns investidores a analisar se já é o momento de voltar a olhar para renda variável. Confira em quais apostar 
#mercadofinanceiro #investimentos
https://t.co/lR4lAnKlVr</t>
  </si>
  <si>
    <t>📊Mercado hoje: de olho nos juros, atenções se concentram nas decisões de política monetária no Brasil e nos EUA.
#investimentos #mercadofinanceiro
https://t.co/PS1KePgX9C https://t.co/1JsV8100EC</t>
  </si>
  <si>
    <t>📈 Após a publicação, por volta das 13h50 desta terça-feira (19), as ações #SBSP3 estavam com alta de 0,45% a R$ 60,84. Fique por dentro
#mercadofinanceiro #investimentos
https://t.co/Bb1JzSwyTJ</t>
  </si>
  <si>
    <t>📉 Os papéis da Vale (#VALE3) operavam em queda de 0,13% às 13h38 desta terça-feira (19), cotados a R$ 68,63. Veja
#mercadofinanceiro #investimentos
https://t.co/hT03ZLmrnX</t>
  </si>
  <si>
    <t>📉 Os papéis da Marfrig (#MRFG3) caem 2,48%, cotados a R$ 7,08, puxando as perdas dos frigoríficos, que operam sem direção única. Saiba mais
#mercadofinanceiro #investimentos
https://t.co/QKBYTtgDrH</t>
  </si>
  <si>
    <t>💵 O seguro-desemprego é um dos principais benefícios da Seguridade Social disponibilizado pelo governo federal. Veja como calcular
#mercadofinanceiro #investimentos #educaçãofinanceira #segurodesemprego
https://t.co/vUfhA5dJlZ</t>
  </si>
  <si>
    <t>📊 Os #juros futuros fecharam a segunda-feira perto da estabilidade, após passarem o dia ora com viés de alta, ora de baixa, sem se afastarem dos ajustes da sexta-feira. Saiba mais
#mercadofinanceiro #investimentos
https://t.co/6FqShM0DdA</t>
  </si>
  <si>
    <t>📉 As três ações que mais desvalorizaram no dia foram: Via (#VIIA3), Vamos (#VAMO3) e Totvs (#TOTS3)
#mercadofinanceiro #investimentos
https://t.co/AU6UUd0XfL</t>
  </si>
  <si>
    <t>👨‍⚖️ Os dados fazem parte do relatório de atividade sancionadora divulgado nesta segunda-feira (18). Veja
#mercadofinanceiro #investimentos #CVM
https://t.co/xbjHYxEpxu</t>
  </si>
  <si>
    <t>👨‍⚖️ Inclui ainda a produção da capa de gás através da reativação de 10 poços, além de estudos de reservatórios (incluindo oportunidades exploratórias). Confira
#mercadofinanceiro #investimentos #RRRP3
https://t.co/EAz7wXHzzk</t>
  </si>
  <si>
    <t>💵 A #Órama analisou o desempenho dos últimos 12 meses de 470 fundos imobiliários listados na Bolsa. Confira os 10 FIIs mais baratos e rentáveis
#mercadofinanceiro #investimentos 
https://t.co/qEZaW8aKdg</t>
  </si>
  <si>
    <t>📊Mercado hoje: decisão sobre juros na Europa e dados econômicos dos EUA pautam as bolsas nesta quinta-feira; alta de commodities e em Wall Street podem animar o Ibovespa.
#mercadofinanceiro
https://t.co/baGQPjMxrz</t>
  </si>
  <si>
    <t>💳🧐 O score de crédito é uma pontuação atribuída por empresas que reúnem dados sobre o histórico financeiro das pessoas. Saiba detalhes
#mercadofinanceiro #investimentos
https://t.co/LQPGJca1GL</t>
  </si>
  <si>
    <t>👨‍⚖️ O problema é que a extinção do #JCP pode impactar de 15% a 20% no lucro das empresas do setor financeiro. Veja detalhes
#mercadofinanceiro #investimentos
https://t.co/VtNv0PhI4O</t>
  </si>
  <si>
    <t>👨‍⚖️ A Confederação Nacional da Indústria (CNI) manifestou nesta sexta-feira (1) que vê com preocupação a extinção dos Juros sobre Capital Próprio (JCP). Fique por dentro
#mercadofinanceiro #investimentos
https://t.co/xwUDKVxJsa</t>
  </si>
  <si>
    <t>📊 Mercado Intraday: Ibovespa avança com PIB e estímulos na China. Confira
#mercadofinanceiro #investimentos
https://t.co/xCHl7XcNeE</t>
  </si>
  <si>
    <t>📉 As taxas chegaram a operar com viés de alta na etapa matutina, mas se consolidaram em terreno negativo após o relatório Jolts, do Departamento do Trabalho americano. Entenda
#mercadofinanceiro #investimentos
https://t.co/e2AhqPTCTj</t>
  </si>
  <si>
    <t>📉 Mercado puniu #Minerva com uma queda de 18,26% no valor de suas ações. Confira
#mercadofinanceiro #investimentos
https://t.co/fnVRKHsTBR</t>
  </si>
  <si>
    <t>💡 A S&amp;amp;P Global Ratings atribuiu o rating ‘brAAA’ na Escala Nacional Brasil à 4ª emissão de debêntures da Eletrobras (#ELET6), que tem valor total de até R$ 7 bilhões. Veja
#mercadofinanceiro #investimentos
https://t.co/X70lpBVrXb</t>
  </si>
  <si>
    <t>📈 O bitcoin salta 6% após a Justiça nos Estados Unidos julgar que a Securities and Exchange Comission (#SEC, a CVM americana) agiu de maneira arbitrária. Fique por dentro
#mercadofinanceiro #investimentos
https://t.co/VfDT0evaKD</t>
  </si>
  <si>
    <t>📈 No setor de companhias aéreas, o Itaú BBA projeta um segundo semestre positivo para a Azul (#AZUL4) após a oferta e demanda da companhia subirem 5%. Confira
#mercadofinanceiro #investimentos
https://t.co/SZl5lrmQlq</t>
  </si>
  <si>
    <t>📈 A commodity é apoiada pela desvalorização do dólar ante pares, que tende a estimular a demanda, e por perspectiva de aperto na oferta. Entenda
#mercadofinanceiro #investimentos #petroleo
https://t.co/xsFZjo3vmB</t>
  </si>
  <si>
    <t>📉 No fim da tarde em Nova York, o retorno da T_note de 2 anos caía a 4,904%, o da T-note de 10 anos baixava a 4,111% e o do T-bond de 30 anos cedia a 4,222%. Saiba mais
#mercadofinanceiro #investimentos
https://t.co/4clun7nKKx</t>
  </si>
  <si>
    <t>📊 O índice Dow Jones fechou com elevação de 0,85%, aos 34.852,87 pontos e o S&amp;amp;P 500 ganhou 1,45% aos 4.497,77 pontos. Veja
#mercadofinanceiro #investimentos
https://t.co/qDoaTzKLJG</t>
  </si>
  <si>
    <t>💵 O #dólar à vista apresentou queda firme na sessão desta terça-feira, 29, e fechou na casa de R$ 4,85, em meio ao sinal predominante de baixa da moeda americana no exterior. Confira
#mercadofinanceiro #investimentos
https://t.co/u7Xp0lLIf0</t>
  </si>
  <si>
    <t>📈 O setor opera majoritariamente no campo positivo, liderado por Santander (+3,13%) e Itaú (+2,12%). Confira
#mercadofinanceiro #Investimentos 
https://t.co/09KVmFfC0t</t>
  </si>
  <si>
    <t>💵 Segundo o #BC, os brasileiros ainda podem sacar R$ 7,178 bilhões em recursos esquecidos nos bancos. Veja como consultar a informação
#mercadofinanceiro #Investimentos 
https://t.co/sD3E2f8t1G</t>
  </si>
  <si>
    <t>📊 Fechamento de Mercado: Ibovespa avança com melhora fiscal e exterior positivo. Confira
#mercadofinanceiro #investimentos
https://t.co/MV4QJaZEku</t>
  </si>
  <si>
    <t>📉 As três ações que mais desvalorizaram no dia foram: Minerva (#BEEF3), Grupo Pão de Açúcar (#PCAR3) e Petz (#PETZ3)
#mercadofinanceiro #investimentos
https://t.co/bhrdStCUrK</t>
  </si>
  <si>
    <t>📈 As três ações que mais valorizaram no dia foram: Marfrig (#MRFG3), CVC (#CVCB3) e Locaweb (#LWSA3)
#mercadofinanceiro #investimentos
https://t.co/upZ3bxB7k3</t>
  </si>
  <si>
    <t>💵 Nesta semana, David Vélez, CEO do #Nubank, vendeu 25 milhões de ações da companhia, o equivalente à quantia de R$ 952,4 milhões. Veja outros exemplos
#mercadofinanceiro #Investimentos 
https://t.co/2jodWQSgaJ</t>
  </si>
  <si>
    <t>📈 De acordo com o The Wall Street Journal, os analistas da Raymond James elevaram o preço-alvo da Nvidia (#NVDC34) para US$ 500 por ação. Confira
#mercadofinanceiro #Investimentos 
https://t.co/qjrxpMBJ8E</t>
  </si>
  <si>
    <t>📊 Já os BDRs do #Nubank negociados na B3 caem 5,83%, cotados a R$ 5,98. Veja
#mercadofinanceiro #Investimentos 
https://t.co/linJwr08nF</t>
  </si>
  <si>
    <t>📈 COLUNA Fabrizio Gueratto | Veja os 3 investimentos que pagam mais de 1% ao mês e quase ninguém conhece
#mercadofinanceiro #Investimentos 
https://t.co/oDKYblgVZd</t>
  </si>
  <si>
    <t>💵 O Nucoin (#NCN), token do #Nubank, ganhou destaque na última semana após uma disparada de mais de 2.000% e ter sua negociação interrompida. Saiba mais
#mercadofinanceiro #Investimentos 
https://t.co/iJun9vWdsV</t>
  </si>
  <si>
    <t>👷‍♀️ O colaborador contratado no regime #CLT possui direitos e deveres definidos por lei, abrangendo temas como salário mínimo, jornada de trabalho, férias, 13º salário, entre outros. Confira
#mercadofinanceiro #Investimentos 
https://t.co/sl8yJl8gnc</t>
  </si>
  <si>
    <t>☀️ De acordo com um levantamento realizado pela Solfácil, o sistema de energia solar pode gerar uma economia para o consumidor de até R$ 97 mil. Saiba mais
#mercadofinanceiro #investimentos #energiasolarbrasil
https://t.co/hWbG8f1kIw</t>
  </si>
  <si>
    <t>💵 De acordo com a #XP, nesse período foram devolvidos aos clientes mais de R$ 200 milhões em forma de investimento, por meio da estratégia do Investback. Veja
#mercadofinanceiro #Investimentos 
https://t.co/BhYInitE5Q</t>
  </si>
  <si>
    <t>📊 Ainda, analistas apontam para respingos das incertezas da economias chinesa nos mercados europeus. Fique por dentro
#mercadofinanceiro #Investimentos 
https://t.co/XszSaat8jm</t>
  </si>
  <si>
    <t>💳 O conglomerado Banco do Brasil (#BBAS3) renegociou R$ 850 milhões em dívidas em um mês do Programa #Desenrola. Saiba mais
#mercadofinanceiro #Investimentos 
https://t.co/nLnrJPPSdv</t>
  </si>
  <si>
    <t>🚪 A BitRecife alegou que a queda no volume de negociações na plataforma, somada a dificuldades operacionais. Veja
#mercadofinanceiro #Investimentos 
https://t.co/146KKVB1Te</t>
  </si>
  <si>
    <t>⚽💵 Para completar o álbum, o colecionador precisaria, no mínimo, de R$ 464, considerando que não precise realizar trocas – situação praticamente improvável. Saiba mais
#mercadofinanceiro #investimentos #albumdacopa
https://t.co/ulUt0rNG5K</t>
  </si>
  <si>
    <t>📊 Os títulos de renda fixa permanecem com bons rendimentos reais, mas com tendência de queda da taxa básica de juros. Entenda e se prepare
#mercadofinanceiro #investimentos #rendafixa
https://t.co/iaYC6y7e2v</t>
  </si>
  <si>
    <t>🏠🚗 Para especialistas, aumento do apetite pelo produto é derivado das altas taxas de financiamento disponibilizadas pelos bancos, por conta da Selic até então em 13,75%. Saiba mais
#mercadofinanceiro #investimentos 
https://t.co/LWDN3HAhZF</t>
  </si>
  <si>
    <t>💳 Agora todos os clientes do Inter podem aproveitar as ofertas de renegociação de dívidas do banco. Veja como
#mercadofinanceiro #investimentos 
https://t.co/8QttIhHU6y</t>
  </si>
  <si>
    <t>📉 De acordo com o relatório de Divulgação de Resultados 2T23 do grupo SBF (#SBFG3), o dono da marca Centauro, registrou prejuízo líquido de R$ 32,6 milhões. Confira
#mercadofinanceiro #investimentos 
https://t.co/1al7CkgdYh</t>
  </si>
  <si>
    <t>💵 De acordo com o banco, o preço-alvo é de R$40 para os papéis preferenciais e de US$18,30 para as ADRs listadas nos Estados Unidos. Veja
#mercadofinanceiro #investimentos 
https://t.co/sm0CgtHBZL</t>
  </si>
  <si>
    <t>🎁👨‍👦‍👦 O prazer de ver que seu filho entendeu as lições que lhe foram dadas ao longo da vida, por exemplo, é algo que vale muito. A educação financeira é um bom exemplo disso. Veja aqui
#mercadofinanceiro #investimentos 
https://t.co/GGMsTs5rKb</t>
  </si>
  <si>
    <t>🎁 Um estudo da OLX, divulgado com exclusividade para o E-Investidor, mostra que menos da metade das pessoas (38%) pretendem dar presentes no Dia dos Pais. Veja
#mercadofinanceiro #investimentos 
https://t.co/RV73lVZOBo</t>
  </si>
  <si>
    <t>📊 O movimento ocorre em meio à recuperação dos preços do petróleo. No radar dos investidores está o aumento da projeção do valor do Brent. Confira
#mercadofinanceiro #investimentos 
https://t.co/UFzJZC1L7E</t>
  </si>
  <si>
    <t>💻 Spiegel é um dos participantes do TAG Summit. Para ele, o mercado de IA deve chegar ao valor de US$ 1,3 trilhão até 2032 e ter impacto na sociedade comparado ao da Revolução Industrial. Veja
#mercadofinanceiro #investimentos 
https://t.co/ioObckPqrM</t>
  </si>
  <si>
    <t>🛫 Gol Linhas Aéreas (#GOLL4) divulga números prévios de tráfego: o total de assentos cresceu em 10,4% e o número de decolagens avançou 10,6%. Saiba mais
#mercadofinanceiro #investimentos
https://t.co/Rn6NzRX4J0</t>
  </si>
  <si>
    <t>📉 As três ações que mais desvalorizaram no dia foram: Usiminas (#USIM5), Vale  (VALE3) e Gpa (#PCAR3)
#mercadofinanceiro #investimentos
https://t.co/TrzM5DkDNR</t>
  </si>
  <si>
    <t>📈 As três ações que mais valorizaram no dia foram: Meliuz (#CASH3, Brf  (#BRFS3) e Yduqs  (#YDUQ3)
#mercadofinanceiro #investimentos
https://t.co/Dt2rJoslMg</t>
  </si>
  <si>
    <t>Ágora atualiza carteira ‘top 10’ ações para agosto. Confira
#mercadofinanceiro #investimentos
https://t.co/M71jB04YeK</t>
  </si>
  <si>
    <t>📈 O setor educacional sobe em bloco: #Yduqs (+4,43%) puxa os ganhos entre os pares e #Cogna (+2,14%) também figura entre maiores altas do Ibovespa. Veja
#mercadofinanceiro #investimentos
https://t.co/miqSPhEeFC</t>
  </si>
  <si>
    <t>💵📱 acordo foi feito com a Apple (#AAPL34) e já afetou os preços dos celulares no site da TIM (#TIMS3). Confira
#mercadofinanceiro #investimentos
https://t.co/6jO7uFaRpH</t>
  </si>
  <si>
    <t>📈🥣 Ações da Tupperware (#NYSE: TUP), sediada na Flórida (EUA), subiram cerca de 350%. Entenda
#mercadofinanceiro #investimentos
https://t.co/aiWkSpOTaQ</t>
  </si>
  <si>
    <t>📊 Ibovespa perde os 120 mil pontos em dia negativo para a Vale (#VALE3). Confira
#mercadofinanceiro #investimentos
https://t.co/LzaXEQLoVt</t>
  </si>
  <si>
    <t>💰 Mega-Sena: apostadores das cidades de Tubarão (SC), Lages (SC) e Maravilha (SC), conquistaram o valor de R$ 37.333,91 cada. Veja os números
#mercadofinanceiro #investimentos 
https://t.co/QZaoqQ2lWO</t>
  </si>
  <si>
    <t>💰 Mega-Sena: 82 apostas levam prêmio de R$ 30 mil. Veja os números sorteados
#mercadofinanceiro #investimentos 
https://t.co/OOhNjkNUKH</t>
  </si>
  <si>
    <t>💰 Um apostador de Indaiatuba (SP) levou sozinho o prêmio de R$ 3.189.282,44 após acertar os cinco números sorteados. Veja quais são
#mercadofinanceiro #investimentos 
https://t.co/cAA95fzy7z</t>
  </si>
  <si>
    <t>📊 B3 anuncia nova parceria com foco em análise de crédito. Saiba mais detalhes
#mercadofinanceiro #investimentos
https://t.co/QF6CnFSr7h</t>
  </si>
  <si>
    <t>✅ Alliança Saúde (AALR3): conselho aprova oferta pública de aquisição. Confira os detalhes
#mercadofinanceiro #investimentos
https://t.co/DDBYVGjdv6</t>
  </si>
  <si>
    <t>📊 Mercado Intraday: Ibovespa tenta sustentar os 120 mil pontos na última sessão da semana. Veja
#mercadofinanceiro #investimentos
https://t.co/NfBuq64SvR</t>
  </si>
  <si>
    <t>💰🤑Dupla Sena | Confira quando será o próximo sorteio de R$ 2,5 milhões! 
#mercadofinanceiro #investimentos
https://t.co/LXkWkxK5vi</t>
  </si>
  <si>
    <t>📋💵O relatório do banco Standard Chartered com as projeções do bitcoin foi divulgado nesta segunda-feira (10). Nele, foi anunciado quando a moeda pode bater 120 mil dólares. Confira
#mercadofinanceiro #investimentos
https://t.co/1eG0A6BVZq</t>
  </si>
  <si>
    <t>💰🏛Veja quanto foi investido no Tesouro RendA+ desde janeiro. O título do Tesouro Nacional foi criado para funcionar como uma renda adicional à aposentadoria.
#mercadofinanceiro #investimentos
https://t.co/w0x6xQF2JV</t>
  </si>
  <si>
    <t>📊O Fundo Verde, de Luis Stuhlberger, apresentou alta de 1,62% em junho. Veja como e entenda a motivação de carta mensal da gestora
#mercadofinanceiro #investimentos
https://t.co/UpS0PGvl9a</t>
  </si>
  <si>
    <t>📊💰 Suzano (SUZB3) revela valor total de recompra de ações. Confira
#mercadofinanceiro #investimentos 
https://t.co/AAv8ZVUAjj</t>
  </si>
  <si>
    <t>📊 Fechamento de Mercado: Ibovespa realiza lucros, sem grandes direcionadores
#mercadofinanceiro #investimentos 
https://t.co/1R0piFgLj5</t>
  </si>
  <si>
    <t>📉 As três ações que mais desvalorizaram na semana foram: Lojas Renner (#LREN3), Magazine Luiza (#MGLU3) e Via (#VIIA3)
#mercadofinanceiro #investimentos
https://t.co/hOcSGh2rTk</t>
  </si>
  <si>
    <t>📈 As três ações que mais valorizaram no dia foram: Azul (#AZUL4), Ambev (#ABEV3) e Raizen (#RAIZ4)
#mercadofinanceiro #investimentos
https://t.co/CfToQX9f0f</t>
  </si>
  <si>
    <t>🧑‍⚖️ O diretor relator, Otto Lobo, diz que o processo não trouxe embasamento suficiente para apoiar as acusações. Veja
#mercadofinanceiro #investimentos #CVM 
https://t.co/sP1jUjuWd8</t>
  </si>
  <si>
    <t>📈Apesar do aumento na cotação hoje, os papéis da empresa sofrem um recuo de 8,33% no mês de setembro. Entenda
#mercadofinanceiro #investimentos #MGLU3
https://t.co/OUldKjpH8C</t>
  </si>
  <si>
    <t>💵 Em setembro, até o dia 15, o canal financeiro apresentou saídas líquidas de US$ 1 bilhão. Confira
#mercadofinanceiro #investimentos
https://t.co/03vUQVUKYA</t>
  </si>
  <si>
    <t>📊Bolsas da Europa reagem após queda inesperada da inflação no Reino Unido e reajuste de expectativas sobre juros no país.
🇪🇺Stoxx 600: +0,52%
🇬🇧FTSE: +0,69%
🇩🇪DAX: +0,64%
🇫🇷CAC: +0,35%
#mercadofinanceiro
https://t.co/g1YKPpGVJP https://t.co/SFmBD0lwrW</t>
  </si>
  <si>
    <t>📉 Em contrapartida do apresentado na sessão da segunda-feira (18), as ações da varejista Magazine Luiza (#MGLU3) caíam 0,78% na sessão desta terça-feira (19) às 14h03. Veja
#mercadofinanceiro #investimentos
https://t.co/uiATpx6RA4</t>
  </si>
  <si>
    <t>📈 Embora a qualidade dos ativos tenha piorado, as margens vieram acima do que o mercado e o #BofA projetavam. Confira
#mercadofinanceiro #investimentos
https://t.co/O1BsTNV5xs</t>
  </si>
  <si>
    <t>📊🧐 O banco diz que o crescimento da companhia está desacelerando após resultados fracos no 2º trimestre de 2023. Veja
#mercadofinanceiro #investimentos
https://t.co/0vGEA3gNl6</t>
  </si>
  <si>
    <t>💳 Existe o cartão virtual temporário e o permanente. Saiba como emitir e quando usar cada um deles
#mercadofinanceiro #investimentos #nubank 
https://t.co/4x38IANybS</t>
  </si>
  <si>
    <t>💰 Milhares de dólares estão sendo arrecadados por TikTokers que, basicamente, resolveram fingir serem #NPC ’s. Entenda
#mercadofinanceiro #investimentos
https://t.co/S7a27HwU0n</t>
  </si>
  <si>
    <t>📊 Antes de sair emprestando, o investidor precisa se atentar para alguns aspectos da análise fundamentalista das empresas. Confira a análise de especialistas em renda fixa
#mercadofinanceiro #investimentos #rendafixa
https://t.co/lq5xnmzYHc</t>
  </si>
  <si>
    <t>🧐 Ao empreender nesta categoria, o trabalhador terá que voltar a contribuir com o #INSS. Fique por dentro
#mercadofinanceiro #investimentos
https://t.co/HSDKB0YW4h</t>
  </si>
  <si>
    <t>📊 ENTREVISTA | Carlos Martins  falou sobre as oportunidades dos FIIs em um cenário de queda de juros. Confira
#mercadofinanceiro #investimentos
https://t.co/D91WffwXf8</t>
  </si>
  <si>
    <t>💵 O euro se valorizou ante o dólar hoje, em uma recuperação da queda da véspera, quando foi punido pela sinalização do Banco Central Europeu (BCE). Fique por dentro
#mercadofinanceiro #investimentos
https://t.co/xWpRuBV0LK</t>
  </si>
  <si>
    <t>📉 As bolsas de Nova York fecharam em baixa hoje, em dia notadamente negativo para o setor de tecnologia. Confira
#mercadofinanceiro #investimentos
https://t.co/wy3d2yiTYK</t>
  </si>
  <si>
    <t>📊 Por volta das 17h (de Brasília), o retorno da T-note de 2 anos subia a 5,028%, ante patamar em torno de 5,011% perto desse mesmo horário ontem. Veja
#mercadofinanceiro #investimentos
https://t.co/pdpG9gTTRu</t>
  </si>
  <si>
    <t>📊 Fechamento de Mercado: Ibovespa realiza lucros na sessão, pressionado por mercados americanos. Confira
#mercadofinanceiro #investimentos
https://t.co/wfuh1d90B8</t>
  </si>
  <si>
    <t>📉 As três ações que mais desvalorizaram na semana foram: Via (#VIIA3), IRB Re (#IRBR3) e Carrefour (#CRFB3)
#mercadofinanceiro #investimentos
https://t.co/q0pKgAGb88</t>
  </si>
  <si>
    <t>📈 As três ações que mais valorizaram na semana foram: Energisa (#ENGI11), Equatorial (#EQTL3) e Rumo (#RAIL3)
#mercadofinanceiro #investimentos
https://t.co/2OSlIRWUCF</t>
  </si>
  <si>
    <t>💵 No dia da publicação da aprovação da compra, por volta das 17h10 as ações ITUB4 estavam com baixa de 0,14% a R$ 27,60. Veja
#mercadofinanceiro #investimentos
https://t.co/xPN80fmshy</t>
  </si>
  <si>
    <t>💵 A #Fitch manteve inalteradas as previsões para os preços do petróleo este ano, embora espere um contínuo déficit de oferta ao longo do segundo semestre. Entenda
#mercadofinanceiro #Investimentos 
https://t.co/W4ilo9zeLp</t>
  </si>
  <si>
    <t>💵 O #BTG Pactual seguiu com a recomendação de compra das ações do Assaí (#ASAI3) e descreveu a companhia como “o maior player puro no segmento de cash and carry atualmente”. Saiba mais
#mercadofinanceiro #Investimentos 
https://t.co/erjIU3L0MB</t>
  </si>
  <si>
    <t>📈 Nesta quarta-feira (13), as ações da WEG (#WEGE3) estão disparando com alta de 3,70% e os papéis sendo negociados a R$ 36,97. Entenda
#mercadofinanceiro #Investimentos 
https://t.co/nKFMQHCM6o</t>
  </si>
  <si>
    <t>💵 Na última terça-feira (12), o BTG Pactual manteve sua recomendação de compra para as ações da Minerva (#BEEF3). Confira detalhes
#mercadofinanceiro #Investimentos 
https://t.co/KZ02OFARKs</t>
  </si>
  <si>
    <t>📊 Fechamento de Mercado: Ibovespa fecha praticamente estável em dia de inflação nos EUA. Confira
#mercadofinanceiro #Investimentos 
https://t.co/taBec1GiR9</t>
  </si>
  <si>
    <t>📉 As três ações que mais desvalorizaram no dia foram: Via (#VIIA3), Ultrapar (#UGPA3) e Petrorencôncavo (#RECV3)
#mercadofinanceiro #Investimentos 
https://t.co/yIfP9M4MPy</t>
  </si>
  <si>
    <t>📈 As três ações que mais valorizaram no dia foram: Carrefour (#CRFB3), BTG Pactual (#BPAC11) e Weg (#WEGE3)
#mercadofinanceiro #Investimentos 
https://t.co/f5sKPvwT9L</t>
  </si>
  <si>
    <t>📈 A alta da commodity nesta quarta-feira (6) se deu em meio a notícias de cancelamento na produção no Alasca. Veja
#mercadofinanceiro #investimentos #petroleo 
https://t.co/WWENhMmCvN</t>
  </si>
  <si>
    <t>📊 A Santander Corretora considera que o desempenho da Bolsa brasileira em agosto (-5,09%) derivou em “80% a 90%” de fatores externos. Veja detalhes
#mercadofinanceiro #investimentos
https://t.co/MxhwgTtSaO</t>
  </si>
  <si>
    <t>📊 Houve um aumento da posição vendida em dólar contra o real, mas a exposição a bolsas globais permanece neutra. Veja
#mercadofinanceiro #investimentos
https://t.co/YvCgCe4YI3</t>
  </si>
  <si>
    <t>📊 Fechamento de Mercado: exterior pesa novamente e Ibovespa recua. Confira
#mercadofinanceiro #Investimentos 
https://t.co/GY7D0f74oK</t>
  </si>
  <si>
    <t>📉 As três ações que mais desvalorizaram no dia foram: CVC (#CVCB3), IRB Re (#IRBR3) e Carrefour (#CRFB3)
#mercadofinanceiro #Investimentos 
https://t.co/2Mp4qfUw5j</t>
  </si>
  <si>
    <t>📈 As três ações que mais valorizaram no dia foram: Braskem (#BRKM5), Yduqs (#YDUQ3) e Eneva (#ENEV3)
#mercadofinanceiro #investimentos
https://t.co/VtR0YWUWk0</t>
  </si>
  <si>
    <t>📊💸Tributação de fundo exclusivo e offshore: qual o impacto para o investidor? Medidas do governo para aumentar arrecadação atingem em cheio o topo da pirâmide.
#mercadofinanceiro #impostoso
https://t.co/E34aWK6qfl</t>
  </si>
  <si>
    <t>Bolsas da Ásia fecham em alta com estímulos na China e setor imobiliário no radar.
🇯🇵Nikkei: +0,18%
🇭🇰Hang Seng: +1,95%
🇨🇳Xangai: +1,20%
🇨🇳Shenzen: +2,69%
🇰🇷Kospi: +0,34%
🇹🇼Taiex: +0,69%
#mercadofinanceiro
https://t.co/sRQ0zwGe29</t>
  </si>
  <si>
    <t>🙏Fim da novela do arcabouço fiscal destrava a Bolsa? Enquanto o governo já estuda medidas para aumentar a arrecadação com #impostos, eis o que o mercado espera.📊🤔
#mercadofinanceiro #arcabouçofiscal
https://t.co/coq7gjwnEy</t>
  </si>
  <si>
    <t>📊 Fechamento de Mercado: Ibovespa ensaia recuperação apoiado em bom humor externo. Confira
#mercadofinanceiro #investimentos
https://t.co/mNsDUK3UV0</t>
  </si>
  <si>
    <t>💵 O Nubank anunciou na noite de hoje lucro líquido de US$ 224,9 milhões no segundo trimestre de 2023, revertendo prejuízo de US$ 29,9 milhões. Saiba mais
#mercadofinanceiro #investimentos 
https://t.co/kTxNa8KBWF</t>
  </si>
  <si>
    <t>📊 Os investidores vão precisar colocar um pouco mais de risco na carteira a partir de agora. Confira
#mercadofinanceiro #investimentos 
https://t.co/3i3pI2Mokz</t>
  </si>
  <si>
    <t>💡 “Não descartamos a possibilidade de que o novo CEO busque estreitar o relacionamento com o governo federal”, escreveram os analistas Giuliano Ajeje e Gustavo Cunha. Saiba mais
#mercadofinanceiro #investimentos 
https://t.co/jXDP59LJJi</t>
  </si>
  <si>
    <t>📊 O Banrisul (BRSR6) fechou o segundo trimestre do ano com lucro líquido de R$ 226,5 milhões, queda de 0,6% em relação ao segundo trimestre do ano passado. Saiba mais
#mercadofinanceiro #investimentos 
https://t.co/Ornf2g0rNX</t>
  </si>
  <si>
    <t>📊 A Natura &amp;amp;Co (#NTCO3) reportou resultados sólidos no segundo trimestre, segundo avaliação da XP, com expansão da marca Natura e da margem bruta como destaques, mas com maiores custos de transformação. Veja
#mercadofinanceiro #investimentos 
https://t.co/Lrwv1e2sCM</t>
  </si>
  <si>
    <t>📊 A Localiza (#RENT3) reportou resultados pressionados no segundo trimestre de 2023, segundo avaliação da XP. Confira
#mercadofinanceiro #investimentos 
https://t.co/GBbr3A77Aq</t>
  </si>
  <si>
    <t>📋 O Idiversa #B3 faz parte da família de 10 índices de sustentabilidade, sendo o principal é o ISE, composto por empresas que têm compromissos relacionados ao meio-ambiente, sociais e de governança. Saiba mais
#mercadofinanceiro #investimentos 
https://t.co/weEcBMa7mZ</t>
  </si>
  <si>
    <t>📊 As vendas, estáveis no comparativo anual, ficaram 4% abaixo das projeções do banco, com Valor Bruto de Mercadoria online 3% menor do que o previsto e o offline, 2% abaixo da projeção. Entenda
#mercadofinanceiro #investimentos 
https://t.co/K9Unqnbm4U</t>
  </si>
  <si>
    <t>📉 As ações da IRB Re (#IRBR3) recuam 1,57%, mas mostram movimento de arrefecimento dessas perdas. O fraco desempenho dos papéis reflete a reação do mercado ao balanço reportado pela empresa. Veja
#mercadofinanceiro #investimentos 
https://t.co/URFq5uVqhb</t>
  </si>
  <si>
    <t>📉 Às 14h06, os papéis da companhia aérea despencavam 14%, cotados a R$ 8,05. Confira
#mercadofinanceiro #investimentos 
https://t.co/WIJJJuMo7e</t>
  </si>
  <si>
    <t>Bolsas da Ásia: balança comercial da China força quedas no continente.
🇯🇵Nikkei (+0,386%)
🇭🇰Hang Seng (-1,81%)
🇨🇳Xangai (-0,25%)
🇨🇳Shenzen (-0,33%)
🇰🇷Kospi (-0,26%)
🇹🇼Taiex (-0,70%)
#mercadofinanceiro
https://t.co/uZFUkyOSr6</t>
  </si>
  <si>
    <t>💳 Estudo da Febraban mostra que a eliminação do parcelamento sem juros no cartão de crédito poderia reduzir pela metade o custo com o pagamento de juros nominais no País. Veja
#mercadofinanceiro #investimentos 
https://t.co/geWnm4lbfE</t>
  </si>
  <si>
    <t>📈 A cautela externa e a agenda da semana puxaram para cima os juros futuros em toda a extensão da curva a termo. Veja
#mercadofinanceiro #investimentos 
https://t.co/ozI5q324wy</t>
  </si>
  <si>
    <t>💵 COLUNA Espaço do Especialista por Lorena Botelho e Diego Orenstein | Saiba quais são os desafios que o Drex, o real digital, deve enfrentar
#mercadofinanceiro #investimentos
https://t.co/4qxtwndA2M</t>
  </si>
  <si>
    <t>📈 O movimento ocorre enquanto os investidores se posicionam para leitura de inflação dos EUA nesta semana. Veja
#mercadofinanceiro #investimentos 
https://t.co/uFT1AFkwHT</t>
  </si>
  <si>
    <t>💵👨‍⚖️ O presidente da distrital de Nova York, John Williams, afirmou esperar que o aperto monetário esteja próximo do seu pico e que os juros possam começar a cair no próximo ano. Saiba
#mercadofinanceiro #investimentos 
https://t.co/Gw67o2kAjM</t>
  </si>
  <si>
    <t>📊 Analistas do Rabobank avaliam que os dados do CPI dos EUA serão o ponto de “maior foco” para o dólar e a ponta curta dos Treasuries nesta semana. Confira
#mercadofinanceiro #investimentos 
https://t.co/6N50VPqNrd</t>
  </si>
  <si>
    <t>💵 A companhia paga R$ 97,2 milhões em dividendos, ou R$ 0,094 por ação, e R$ 216,2 milhões em juros sobre capital próprio (JCP), ambos no dia 29 de agosto. Confira
#mercadofinanceiro #investimentos 
https://t.co/Xu7DculEZ7</t>
  </si>
  <si>
    <t>💵 A WLM (#WLMM3)distribuirá R$ 8 milhões em juros sobre capital próprio (JCP) aos acionistas com posição final de ações da companhia em 8 de agosto. Saiba mais
#mercadofinanceiro #investimentos 
https://t.co/ExPlS4YGrr</t>
  </si>
  <si>
    <t>💳👨‍👩‍👧‍👦 Ontem, a presidente do banco público, Rita Serrano, disse ao Broadcast que o banco já limpou os nomes de 225 mil clientes no âmbito do programa. Confira 
#mercadofinanceiro #investimentos
https://t.co/CxCi9fjxih</t>
  </si>
  <si>
    <t>📊 É possível decidir entre três opções: trocar os BDRs nível III por BDRs nível I, por ações do banco na Bolsa de NY, ou receber o valor do ativos. Confira a melhor opção
#mercadofinanceiro #investimentos
https://t.co/RUWr34AzMR</t>
  </si>
  <si>
    <t>💳 Quem paga através da maquininha pode estar sujeito a golpes como clonagem de cartão, descobrimento de senhas, compras duplicadas, etc. Fique por dentro dos recentes golpes e como prevenir
#mercadofinanceiro #investimentos
https://t.co/wEZfYRf4Il</t>
  </si>
  <si>
    <t>📈 A Blackstone está muito à frente de seus rivais de capital aberto quando se trata de ativos. Confira 
#mercadofinanceiro #investimentos
https://t.co/4UeiuKh9u6</t>
  </si>
  <si>
    <t>📊 Na Comex, divisão para metais da New York Mercantile Exchange (Nymex), o cobre com entrega prevista para setembro subiu 0,58%, a US$ 3,8345 por libra-peso. Veja 
#mercadofinanceiro #investimentos 
https://t.co/nPlqBptYv9</t>
  </si>
  <si>
    <t>📊 Bolsas dos EUA operam mistas após resultados da Netflix e da Tesla. Confira 
#mercadofinanceiro #investimentos
https://t.co/3jqkQ3BsZ9</t>
  </si>
  <si>
    <t>📊 Mercado Intraday: Ibovespa tenta recuperação em dia de exterior sem definição. Confira 
#mercadofinanceiro #investimentos
https://t.co/3l8utrTs34</t>
  </si>
  <si>
    <t>💵👨⚖️O objetivo do governo em estabelecer um tributo para essa classe de ativos trata-se de uma forma de elevar a arrecadação. Entenda 
#mercadofinanceiro #investimentos
https://t.co/Ap8vcU0F39</t>
  </si>
  <si>
    <t>💳De acordo com a instituição, quem está com nome sujo por dívida de até R$ 100 ou menos será desnegativado. Confira 
#mercadofinanceiro #investimentos #nubank
https://t.co/jZdfGXUorf</t>
  </si>
  <si>
    <t>💸 Saiba tudo sobre o golpe que desviou R$ 1 bilhão de 30 mil investidores
#mercadofinanceiro #investimentos 
https://t.co/4ZfSzzgGaT</t>
  </si>
  <si>
    <t>📊 Acontece que a empresa está em recuperação judicial e, para amenizar a situação, obteve um financiamento de R$ 1,5 bilhão  junto ao BTG Pactual (BPAC11). Entenda
#mercadofinanceiro #investimentos
https://t.co/SvNng6pONK https://t.co/5LbnrDkvYF</t>
  </si>
  <si>
    <t>👨‍💼 Luiz Figueiredo, presidente do conselho da Jive Investments, vê a situação econômica melhor do que o esperado. Confira
#mercadofinanceiro #investimentos
https://t.co/w94taMsMJ6 https://t.co/TCu5h3W6lp</t>
  </si>
  <si>
    <t>📊 Fechamento de Mercado: Sem sinal de alívio, Ibovespa confirma quarta queda consecutiva. Confira
#mercadofinanceiro #investimentos
https://t.co/zk4UXrpLC7</t>
  </si>
  <si>
    <t>📊 Mercado Intraday: Dinâmica de “juros pra cima e bolsas pra baixo” se repete. Confira
#mercadofinanceiro #investimentos
https://t.co/L9ysI0EUZp https://t.co/Q5fJSnelaJ</t>
  </si>
  <si>
    <t>📊 No fim da tarde em Nova York, o #dólar subia a 148,83 #ienes, o #euro recuava a US$ 1,0592 e a libra tinha baixa a US$ 1,2210. Entenda
#mercadofinanceiro #investimentos #moedas
https://t.co/n68e1LRmel</t>
  </si>
  <si>
    <t>💵 O #dólar perdeu parte do fôlego nas horas finais de negociação e fechou em alta de 0,68%, cotado a R$ 4,9662 – maior valor de fechamento desde o último dia 8. Confira
#mercadofinanceiro #investimentos
https://t.co/KJSzksdaWq</t>
  </si>
  <si>
    <t>🤓 A iniciativa busca antecipar o processo de solicitação por meio do portal Atestmed. Fique por dentro
#mercadofinanceiro #investimentos #inss
https://t.co/6PqeQPt7va https://t.co/H36QcCA6tc</t>
  </si>
  <si>
    <t>📊Mercado hoje: investidores esperam relatório de receitas e despesas no Brasil, fechando semana de decisões de política monetária.
#mercadofinanceiro
https://t.co/4FSo4LVaAl https://t.co/PIGxhz0Ktn</t>
  </si>
  <si>
    <t>🛒📊Santander rebaixa recomendação para ações do Grupo Pão de Açúcar (#PCAR3). Entenda os motivos.
#varejo #mercadofinanceiro
https://t.co/e4n1I9ubxq</t>
  </si>
  <si>
    <t>📊Bolsas da Europa operam majoritariamente em baixa na manhã desta sexta-feira (22) com perspectiva de juros altos e após PMIs.
🇪🇺Stoxx 600: -0,11%
🇬🇧FTSE: +0,60%
🇫🇷CAC: -0,50%
🇩🇪DAX: -0,15%
#mercadofinanceiro 
https://t.co/vHcYcwqn8Y https://t.co/9YeC4yqCxy</t>
  </si>
  <si>
    <t>Bolsas da Ásia fecham mistas, com incentivos na China e política monetária no Japão no radar.
🇯🇵Nikkei: -0,52%
🇭🇰Hang Seng: +2,28%
🇨🇳Xangai: +1,55%
🇨🇳Shenzen: +1,91%
🇰🇷Kospi: -0,27%
🇹🇼Taiex: +0,17%
#mercadofinanceiro 
https://t.co/zF2nVz53MJ https://t.co/e3OP58CxWJ</t>
  </si>
  <si>
    <t>📊 Papéis de empresas desse setor estão baratos, mas isso pode não significar um ponto de entrada. Entenda
#mercadofinanceiro #investimentos #BTG 
https://t.co/MkDpSXwbLd</t>
  </si>
  <si>
    <t>💵 O programa pode ser paralisado se o relator decidir apresentar o parecer sobre a matéria em 30 dias. Confira
#mercadofinanceiro #investimentos
https://t.co/3rYk544Igs</t>
  </si>
  <si>
    <t>📈 Os papéis da Vale (#VALE3) apresentam alta na sessão desta quarta-feira (20). Às 14h23, os ativos subiam 0,56%, cotados a R$ 34,40. Veja
#mercadofinanceiro #investimentos
https://t.co/KOEeWXvzV9</t>
  </si>
  <si>
    <t>💳 Só poderão participar clientes que tenham pelo menos uma fatura vencida há, no mínimo, 61 dias. Saiba detalhes
#mercadofinanceiro #investimentos
https://t.co/n5u7JIt475</t>
  </si>
  <si>
    <t>📈 Na última terça-feira (19), a Disney (#DISB34) revelou que planeja investir cerca de US$ 60 bilhões em sua unidade que abriga seus parques temáticos. Veja
#mercadofinanceiro #investimentos
https://t.co/ni172zCQRF</t>
  </si>
  <si>
    <t>💰 Uma única aposta gabaritou todos os quinze números e levou, sozinha, R$ 1.595.626,13. Veja resultado
#mercadofinanceiro #investimentos #lotofacil
https://t.co/ACwpADcpGt</t>
  </si>
  <si>
    <t>📊 O petróleo Brent para novembro está em baixa de 0,47%, a US$ 93,89 ou seja, R$ 455,37. Veja
#mercadofinanceiro #investimentos
https://t.co/FN1te2SVGn</t>
  </si>
  <si>
    <t>📊 Mercado Intraday: Ibovespa retoma os 119 mil pontos. Confira
#mercadofinanceiro #investimentos
https://t.co/AV6v1JYVpn</t>
  </si>
  <si>
    <t>📈 De acordo com o Broadcast, a empresa prevê voltar a investir em crescimento de forma mais clara em 2025. Entenda
#mercadofinanceiro #investimentos #BHIA3 
https://t.co/Nr4XhMk6EV</t>
  </si>
  <si>
    <t>💵 Quem quiser negociar dívidas pelo programa na próxima etapa, deverá se cadastrar na plataforma https://t.co/A8zxQ7Bhym, já que sem isso não será possível acessar o sistema. Veja o passo a passo
#mercadofinanceiro #investimentos
https://t.co/yHqAlhId8C</t>
  </si>
  <si>
    <t>💵 Além da aposentadoria, a contribuição permite o acesso a diversos benefícios sempre que houver necessidade. Veja o desconto do #INSS no salário
#mercadofinanceiro #investimentos
https://t.co/gMC671AkNn</t>
  </si>
  <si>
    <t>📉 Para se ter ideia, por volta das 15h10 desta sexta-feira (15) o papel recuava 15,56%, cotado a R$ 0,76. Entenda
#mercadofinanceiro #investimentos
https://t.co/qhZRkJQdVs</t>
  </si>
  <si>
    <t>💵 A Companhia informou também que, caso aprovada a proposta de redução do dividendo obrigatório, será assegurado o direito de recesso aos acionistas dissidentes. Veja
#mercadofinanceiro #investimentos
https://t.co/SQMknddi3Z</t>
  </si>
  <si>
    <t>💵 Na última quinta-feira (14), a Caixa Econômica Federal sorteou o prêmio válido pelo concurso 2632 da #MEGA Sena. Veja quais foram as dezenas sorteadas no concurso 2632
#mercadofinanceiro #investimentos
https://t.co/tLKe4pWPw0</t>
  </si>
  <si>
    <t>📊 #Bradesco BBI vê os principais riscos já precificados e considera o papel com preço atrativo. Confira
#mercadofinanceiro #investimentos
https://t.co/Y2pLnK1fL8</t>
  </si>
  <si>
    <t>🧐 COLUNA Fabricio Tota | A CPI tem emergido na defesa dos consumidores, visando a transparência e a ética no universo das criptomoedas. Saiba mais
#mercadofinanceiro #investimentos
https://t.co/7VoORhs3OR</t>
  </si>
  <si>
    <t>💵🚗 A Tesla (#TSLA34) prepara uma securitização de pelo menos US$ 1,021 bilhão de títulos lastreados em ativos. Entenda
#mercadofinanceiro #investimentos
https://t.co/gaYEJTEd14</t>
  </si>
  <si>
    <t>📊Mercado hoje: Eletrobras (#ELET3) implementa plano de demissões, Vale (#VALE3) confirma recuperação judicial da #Samarco e Anatel suspende julgamento de interesse da Telefônica (#VIVT3).
#mercadofinanceiro
https://t.co/Up7fL7HqER</t>
  </si>
  <si>
    <t>Bolsas da Europa operam em alta na manhã desta quinta-feira (24) após balanço da Nvidia.
🇪🇺Stoxx 600: +0,45%
🇬🇧FTSE 100: +0,29%
🇩🇪DAX: +0,24%
🇫🇷CAC 40: +0,31%
#mercadofinanceiro
https://t.co/eV54GHZ3DD</t>
  </si>
  <si>
    <t>👨‍⚖️ A Comissão Parlamentar de Inquérito (CPI) que investiga pirâmides financeiras de criptomoedas aprovou a convocação do ator Cauã Reymond e da atriz e humorista Tatá Werneck. Veja
#mercadofinanceiro #investimentos 
https://t.co/2j252r4odz</t>
  </si>
  <si>
    <t>🔒Vale destacar que o governo federal, na última semana, chegou a determinar que o Facebook e o Google retirassem do ar anúncios falsos envolvendo o Desenrola. Veja
#mercadofinanceiro #investimentos 
https://t.co/blDpsEqpqX</t>
  </si>
  <si>
    <t>📊💵 Para quem deseja comprar ações que pagam bons dividendos, entre as dez corretoras e bancos consultados pelo E-Investidor, oito recomendam os papéis da Vale (#VALE3). Veja a lista completa
#mercadofinanceiro #investimentos 
https://t.co/2yZn6Nt8ya</t>
  </si>
  <si>
    <t>💵 O dólar à vista encerrou a sessão desta quinta-feira, 3, em alta firme e tocou o nível de R$ 4,90 na máxima, sob impacto da decisão do Copom de cortar a taxa Selic. Confira
#mercadofinanceiro #investimentos 
https://t.co/hEqoNB1zZc</t>
  </si>
  <si>
    <t>📉 Os três principais índices acionários de Nova York oscilaram entre ganhos e perdas ao longo do pregão de hoje, mas encerraram em queda. Entenda
#mercadofinanceiro #investimentos 
https://t.co/mBA7o090xA</t>
  </si>
  <si>
    <t>💵 No fim da tarde em Nova York, o dólar caía a 142,66 ienes, o euro ficou estável, em US$ 1,0944 e a libra recuava a US$ 1,2703. Saiba mais
#mercadofinanceiro #investimentos 
https://t.co/F6Dj248HmI</t>
  </si>
  <si>
    <t>📊 Analistas e operadores apontaram que o mercado ainda digere o rebaixamento do rating soberano dos Estados Unidos. Veja
#mercadofinanceiro #investimentos 
https://t.co/iQ1ZWatO2k</t>
  </si>
  <si>
    <t>🧐 A SEC também descobriu que algumas empresas eram inconsistentes na implementação de políticas e procedimentos destinados a deter os criminosos financeiros. Saiba mais
#mercadofinanceiro #investimentos 
https://t.co/bRySsGLQjK</t>
  </si>
  <si>
    <t>📊 Fechamento de Mercado: Ibovespa cai após corte da Selic
#mercadofinanceiro #investimentos 
https://t.co/IVtH4CUPQa</t>
  </si>
  <si>
    <t>📈 O dólar encerrou o pregão em alta de 1,94%, cotado a R$ 4,89, na esteira da decisão do corte da taxa básica de juros, a Selic. Confira
#mercadofinanceiro #investimentos 
https://t.co/E9QQ0gsYfw</t>
  </si>
  <si>
    <t>📈 As ações Vale (#VALE3) ganharam tração (+0,95%) na tarde desta quinta-feira (3), chegando a tocar um dígito instantes atrás. Confira
#mercadofinanceiro #investimentos
https://t.co/u1Y1yQb9vt</t>
  </si>
  <si>
    <t>📉 As três ações que mais desvalorizaram no dia foram : Via (#VIIA3), Méliuz (#CASH3) e Alpargatas (#ALPA4)
#mercadofinanceiro #investimentos 
https://t.co/XNzrND2Kzn</t>
  </si>
  <si>
    <t>📈 As três ações que mais valorizaram no dia foram: Dexco (#DXCO3), Prio (#PRIO3) e Suzano (#SUZB3)
#mercadofinanceiro #investimentos 
https://t.co/RxhZb2ZiST</t>
  </si>
  <si>
    <t>👨‍⚖️ Nova resolução deve evitar casos como o do investimento do Fundo do Pátria, que colapsou e deixou cotistas no negativo. Veja
#mercadofinanceiro #investimentos 
https://t.co/h1rAwE4Oi3</t>
  </si>
  <si>
    <t>📉 As bolsas da Europa fecharam a quinta-feira (3) em queda, depois de um pregão marcado pelos dados fracos de atividade do setor de serviços. Saiba mais
#mercadofinanceiro #investimentos 
https://t.co/jolfzPt17F</t>
  </si>
  <si>
    <t>📊 CEO da empresa americana Berkshire Hathaway, Warren Buffett, afirmou que ele não está preocupado com o rebaixamento do rating dos Estados Unidos pela Fitch. Entenda
#mercadofinanceiro #investimentos 
https://t.co/WzDbA1jsml</t>
  </si>
  <si>
    <t>✈️ A Empiricus Research não recomenda a compra das ações, devido ao alto nível de endividamento. Entenda
#mercadofinanceiro #investimentos 
https://t.co/vNyQJSDT1T</t>
  </si>
  <si>
    <t>🌳 CSN (CSNA3): após multa ambiental, companhia anuncia novas medidas
#mercadofinanceiro #investimentos 
https://t.co/g6FZn9Pnin</t>
  </si>
  <si>
    <t>🏠 Fundo imobiliário com 42% de desconto anuncia pagamento de dividendos
#mercadofinanceiro #investimentos 
https://t.co/fPu8XaidBq</t>
  </si>
  <si>
    <t>🏠 Fundo imobiliário pagará milhões por ativos de FII que abriga o Assaí Atacadista
#mercadofinanceiro #investimentos https://t.co/GEDorMQmvC</t>
  </si>
  <si>
    <t>📊 O índice #Ibovespa futuro abriu em queda de 0,08%, chegando aos 118.880 pontos. O recuo no começo da semana reflete os resultados do PIB chinês, que ficou abaixo das expectativas de investidores ao redor do mundo. https://t.co/mxOr3KBRbM
#mercadofinanceiro</t>
  </si>
  <si>
    <t>📈 O #dólar conseguiu romper a barreira dos R$ 5 nesta quarta-feira (27) e fechar o dia no maior nível desde junho, cotado agora a R$ 5,05. Entenda
#mercadofinanceiro #investimentos
https://t.co/oX9kqG60Id https://t.co/HvPGANqUYJ</t>
  </si>
  <si>
    <t>🏗 COLUNA Thiago de Aragão | A siderurgia diz muito sobre a capacidade de um país de se revelar e se posicionar nas relações internacionais. Veja
#mercadofinanceiro #investimentos
https://t.co/MTRBHlLb6u https://t.co/CbqLR0hpDK</t>
  </si>
  <si>
    <t>📈 Segundo dados da Economatica, dos 109 fundos imobiliários que compõem o #IFIX, 22 possuem os maiores DY nos últimos 12 meses. Veja quais
#mercadofinanceiro #investimentos #fundoimobiliario
https://t.co/pVHuC8hoqs https://t.co/woxdONGocw</t>
  </si>
  <si>
    <t>📊Mercado hoje: encontro de Lula e Haddad com presidente do BC e agenda política do País ficam no radar dos investidores nesta quarta-feira (27).
#mercadofinanceiro
https://t.co/NLzeoLnBmP</t>
  </si>
  <si>
    <t>📊 O Banco do Japão fez ajustes importantes na sua política de controle da curva de rendimentos. Entenda
#mercadofinanceiro #investimentos
https://t.co/ko0HdiFI49 https://t.co/suMYvPlTZ5</t>
  </si>
  <si>
    <t>📊Em recuperação judicial, Oi (#OIBR3, #OIBR4) fecha acordo milionário com BTG Pactual (#BPAC11).
#mercadofinanceiro
https://t.co/qnJ9lnZy0k</t>
  </si>
  <si>
    <t>📊Mercado hoje: Oi (#OIBR4) notifica credores sobre pagamento de dívida, Eletrobras (#ELET3) pretende quitar valor de notas comerciais e Taesa (#TAEE11) recebe licença prévia do Ibama. 
#mercadofinanceiro
https://t.co/kJVvsIA6GW https://t.co/wQslGnuiBi</t>
  </si>
  <si>
    <t>📊Mercado hoje: ata do Copom, dados da inflação e falas de Galípolo movimentam o dia.
#mercadofinanceiro
https://t.co/GoQE5a6MFJ</t>
  </si>
  <si>
    <t>Bolsas da Europa operam em baixa influenciadas por juros altos nos EUA e fraqueza na China.
🇪🇺Stoxx 600: -0,32%
🇬🇧FTSE: +0,15%
🇩🇪DAX: -0,43%
🇫🇷CAC:  -0,56%
#mercadofinanceiro
https://t.co/4RO06Lf44P https://t.co/GcbUsjCont</t>
  </si>
  <si>
    <t>📊 Analista de bens de capital e logística da Levante Corp, Chrystian Matias de Oliveira afirma que no ano passado esses negócios geraram uma receita operacional líquida de US$ 541,5 milhões. Confira
#mercadofinanceiro #investimentos
https://t.co/YUyfv6x1ba https://t.co/XxpnGeAK1A</t>
  </si>
  <si>
    <t>💵 O Nubank (#ROXO34) informou que o empréstimo A/B, concedido pela International Finance Corporation (IFC), foi elevado para US$ 265,1 milhões. Entenda
#mercadofinanceiro #investimentos
https://t.co/Ak2Xt8eHuq</t>
  </si>
  <si>
    <t>📈 As ações do IRB (#IRBR3) operam em alta na sessão desta segunda-feira (25). Os papéis apresentavam alta de 2,12% às 14h42, cotadas a R$ 41,35. Veja
#mercadofinanceiro #investimentos
https://t.co/oL2ac0F0Dm https://t.co/MjBTjDmfRF</t>
  </si>
  <si>
    <t>🧐 Embora semelhantes, há diferenças importantes entre as opções que devem ser consideradas. Confira
#mercadofinanceiro #investimentos #consorcio #financiamento
https://t.co/jhpg2AHR5k</t>
  </si>
  <si>
    <t>📈 Pressionados pela escalada das taxas dos #Treasuries, os juros futuros subiram durante toda a sessão, sobretudo na ponta longa. Fique por dentro
#mercadofinanceiro #Investimentos 
https://t.co/UA31raDVae</t>
  </si>
  <si>
    <t>📈 Após uma manhã de troca de sinais, em que chegou a romper o piso de R$ 4,85, o #dólar à vista se firmou em alta ao longo da tarde e encerrou a sessão desta quarta-feira. Veja
#mercadofinanceiro #Investimentos 
https://t.co/8YtgMLyK63</t>
  </si>
  <si>
    <t>📉 As bolsas de Nova York fecharam em baixa hoje, à medida que o mercado se posiciona para a decisão monetária do Federal Reserve (#Fed) amanhã. Veja detalhes
#mercadofinanceiro #Investimentos 
https://t.co/HQndVOrwKv</t>
  </si>
  <si>
    <t>📊 O #dólar subiu ante o iene e o #euro, operando perto da estabilidade, e oscilou em pequena queda ante a libra. Veja aqui
#mercadofinanceiro #Investimentos 
https://t.co/SVrE9pdawY</t>
  </si>
  <si>
    <t>📊 Os rendimentos dos Treasuries tiveram alta generalizada nesta terça-feira, com a taxa da T-note de 5 e 10 anos tocando os maiores níveis desde 2007. Confira
#mercadofinanceiro #Investimentos 
https://t.co/A90tn4Lppz</t>
  </si>
  <si>
    <t>🤝 Os novos fundos da #BB Asset replicam carteiras da #Trígono em duas frentes: small caps e superação ativa da rentabilidade do Ibovespa. Confira
#mercadofinanceiro #Investimentos 
https://t.co/z4yKISM2GO</t>
  </si>
  <si>
    <t>💵 O Banco Nacional de Desenvolvimento Econômico e Social (#BNDES) aprovou financiamento de até R$ 150 milhões às exportações da Randon (#RAPT4). Veja
#mercadofinanceiro #Investimentos 
https://t.co/l3EeSWfZhV</t>
  </si>
  <si>
    <t>🤓 Confira o que significa cada estágio de processamento da declaração do Imposto de Renda
#mercadofinanceiro #investimentos #impostoderenda
https://t.co/mZ9NG9zFMv</t>
  </si>
  <si>
    <t>📊 De acordo com o Aviso aos Acionistas, o valor aprovado foi de USD 0,286079000, que corresponde a um valor prévio de R$ 1,136228098 por BDR. Veja
#mercadofinanceiro #investimentos #SonyLIV 
https://t.co/Y9JAQ9r8DP</t>
  </si>
  <si>
    <t>🍀 O prêmio para quem acertar todos os números está estimado em R$ 14,5 milhões. Veja
#mercadofinanceiro #Investimentos 
https://t.co/jX5nXsSjEk</t>
  </si>
  <si>
    <t>📊Abertura de Mercado: expectativas sobre a votação da Reforma Tributária e reuniões do Fed e do BC pautam as bolsas nesta segunda-feira (18).
#mercadofinanceiro
https://t.co/YcrumdEU2B</t>
  </si>
  <si>
    <t>📊Mercado hoje: Boletim Focus e dados da inflação no Brasil ficam no radar em semana de decisões de políticas monetárias pelo mundo.
#mercadofinanceiro
https://t.co/l0vve4pMif</t>
  </si>
  <si>
    <t>📊 Nesta quarta-feira (13), o BTG Pactual (#BPAC11) retomou a cobertura da Copel (#CPLE6), considerando sua nova condição de empresa privatizada. Veja
#mercadofinanceiro #Investimentos 
https://t.co/j39LCZZ3SQ</t>
  </si>
  <si>
    <t>🍀 Desta vez, o prêmio da faixa principal está avaliado em R$ 72 milhões. Confira
#mercadofinanceiro #investimentos 
https://t.co/FPztPsth3D</t>
  </si>
  <si>
    <t>🔒 Presidente da entidade enfatizou que o órgão busca incentivar o desenvolvimento do mercado de capitais no Brasil. Confira
#mercadofinanceiro #investimentos #cvm
https://t.co/ygC1arxCtc</t>
  </si>
  <si>
    <t>📊 Para a S&amp;amp;P Global Ratings em nota publicada hoje (13), riscos geopolíticos também complicam o panorama. Entenda 
#mercadofinanceiro #Investimentos 
https://t.co/XMWvejBB5X</t>
  </si>
  <si>
    <t>📊 Para o analista Marco Barbosa, da Mirae Asset, “o #BTG se beneficia bastante do fechamento da curva longa de juros [...]". Veja
#mercadofinanceiro #Investimentos 
https://t.co/H8D9nEDc6j</t>
  </si>
  <si>
    <t>🛒 Uma pesquisa realizada pela Méliuz em agosto registrou a intenção de compra para a Black Friday com mais de mil usuários da sua base. Confira
#mercadofinanceiro #investimentos
https://t.co/nZaBET3CFp</t>
  </si>
  <si>
    <t>🏠 Polêmica envolvendo a influenciadora #Dora Figueiredo esquentou o debate sobre o tema. Veja dicas financeiras para reformar seu apartamento
#mercadofinanceiro #Investimentos 
https://t.co/V40UG0wros</t>
  </si>
  <si>
    <t>🤝 Por maioria de votos, o acordo consta o compartilhamento de frequências de rede entre as duas empresas. Veja
#mercadofinanceiro #Investimentos 
https://t.co/ofVG1Bckvg</t>
  </si>
  <si>
    <t>📊 O BTG Pactual (#BPAC11) afirma que o PicPay passou, em pouco tempo, de uma empresa com prejuízos milionários para uma fase de crescimento exponencial. Veja como
#mercadofinanceiro #Investimentos 
https://t.co/08DGbECcmx</t>
  </si>
  <si>
    <t>📊🤔 A ampliação do horário ainda não foi definida, mas a medida busca atender as necessidades dos investidores. Veja
#mercadofinanceiro #Investimentos 
https://t.co/pi9NwHHFKK</t>
  </si>
  <si>
    <t>📊 Mercado Intraday: CPI dos EUA não assusta e Ibovespa avança. Confira
#mercadofinanceiro #Investimentos 
https://t.co/ByIjZCUZZS</t>
  </si>
  <si>
    <t>📊Mercado hoje: inflação nos EUA domina a atenção do investidor, mas agenda de Haddad também chama atenção.
#mercadofinanceiro
https://t.co/CSw28zLPCU</t>
  </si>
  <si>
    <t>Bolsas da Europa operam sob impacto de dado que pode definir juros americanos.
🇪🇺Stoxx: -0,86%
🇬🇧FTSE: -0,32%
🇫🇷CAC: -0,85%
🇩🇪DAX:  -0,87%
#mercadofinanceiro
https://t.co/iitf7q87R2</t>
  </si>
  <si>
    <t>📊Bolsas da Ásia: mercados acompanham quedas generalizadas em NY em dia de divulgação da inflação nos EUA.
🇯🇵Nikkei: -0,21%
🇭🇰Hang Seng: -0,09%
🇨🇳Xangai: -0,45%
🇨🇳Shenzen: -1,12%
🇰🇷Kospi: -0,07%
🇹🇼Taiex: +0,05%
#mercadofinanceiro
https://t.co/Se5YAKXVeq</t>
  </si>
  <si>
    <t>📊Mercado hoje: corte de juros na China repercute em semana de Cúpula dos Brics e votação do arcabouço fiscal.
#mercadofinanceiro
https://t.co/PQCdQ1TOcV</t>
  </si>
  <si>
    <t>💰 Investimento em artistas como Judith Lauand e Alfredo Volpi se tornou possível por meio de tecnologia cripto. Entenda
#mercadofinanceiro #Investimentos 
https://t.co/YIpcKxJifQ</t>
  </si>
  <si>
    <t>📊 Os juros futuros de curto prazo fecharam a sessão em alta e os demais, em queda, resultando em desinclinação para a curva. Entenda
#mercadofinanceiro #investimentos 
https://t.co/cwUsqOJU3L</t>
  </si>
  <si>
    <t>📊💻 O E-Investidor disponibiliza aos seus leitores um combo de cursos da Ágora Investimentos de graça. Nesse pacote, é explicado como iniciar seus investimentos no mercado. Confira
#mercadofinanceiro #investimentos 
https://t.co/YYqI93pTs0</t>
  </si>
  <si>
    <t>📊💵 Confira as ações favoritas de 5 corretoras para lucrar com a queda da Selic
#mercadofinanceiro #investimentos 
https://t.co/H0pAFvcgTT</t>
  </si>
  <si>
    <t>💵 A Petrobras (PETR3; PETR4) pode distribuir entre R$ 17 bilhões e R$ 21 bilhões em remuneração a acionistas referente ao segundo trimestre. Confira
#mercadofinanceiro #investimentos 
https://t.co/EyAOS8yEy5</t>
  </si>
  <si>
    <t>📉 As bolsas de Nova York fecharam em baixa e o índice Nasdaq sofreu a pior perda em cinco meses, com intensa aversão ao risco após a Fitch rebaixar o rating soberano dos Estados Unidos. Veja
#mercadofinanceiro #investimentos 
https://t.co/OSz7LPXNcD</t>
  </si>
  <si>
    <t>💵 Após ter superado o nível de R$ 4,82 pela manhã, o #dólar à vista arrefeceu o ritmo de alta ao longo da tarde e encerrou a sessão desta quarta-feira (2), cotado a R$ 4,8055. Veja
#mercadofinanceiro #investimentos 
https://t.co/PJHNeEC8U7</t>
  </si>
  <si>
    <t>📊 Os ativos de renda fixa são emitidos por um banco, pelo governo federal ou por empresas visando a captação de recursos. Saiba como investir
#mercadofinanceiro #investimentos 
https://t.co/wFQeacirGu</t>
  </si>
  <si>
    <t>📊💵 No fim da tarde em Nova York, o dólar operava estável, em 143,34 ienes, o euro recuava a US$ 1,0944 e a libra tinha baixa a US$ 1,2721. Confira
#mercadofinanceiro #investimentos 
https://t.co/eaKM5s4IDG</t>
  </si>
  <si>
    <t>📈 Os juros longos dos Treasuries avançaram nesta quarta-feira, após o crescimento do emprego no setor privado ainda forte se sobrepor à decisão da Fitch de rebaixar o rating soberano dos Estados Unidos. Veja
#mercadofinanceiro #investimentos</t>
  </si>
  <si>
    <t>📊 Embora o rendimento da poupança tenha correlação com a Selic, a taxa de juros ainda terá de cair bastante para que haja uma mudança na base de cálculo do rendimento da caderneta. Entenda
#mercadofinanceiro #investimentos 
https://t.co/8tjkHy7kHp</t>
  </si>
  <si>
    <t>🧑‍💼 O E-Investidor ouviu analistas para entender quais ações são as "top picks" para se beneficiar desse ambiente de queda dos juros. Confira 
#mercadofinanceiro #investimentos 
https://t.co/368hfXJ6ZR</t>
  </si>
  <si>
    <t>📊 Banco Central reduz a Selic em 0,50 ponto porcentual, para 13,25% ao ano: veja como ficam os investimentos
#mercadofinanceiro #investimentos #COPOM
https://t.co/FnbheOx9ua</t>
  </si>
  <si>
    <t>💵 De acordo com o Fisco, 5,63 milhões de contribuintes foram beneficiados nessa etapa, com valores que acumulam RS 7,5 bilhões. Veja datas e motivo de possível não recebimento
#mercadofinanceiro #Investimentos 
https://t.co/hLUAgMXnaU</t>
  </si>
  <si>
    <t>💵 O próximo pagamento do Bolsa Família 2023 está previsto para a segunda semana de agosto, com início no dia 18 e encerramento no dia 31. Veja
#mercadofinanceiro #Investimentos 
https://t.co/mrjKVDnqKN</t>
  </si>
  <si>
    <t>📊 Em mais um capítulo da crise da Americanas (#AMER3), a varejista e o fundo imobiliário RBR Log (#RBRL11) encerraram, no mês passado, o contrato de locação relativo ao Galpão Hortolândia II. Confira
#mercadofinanceiro #Investimentos 
https://t.co/DPREQEgPaD</t>
  </si>
  <si>
    <t>👨‍⚖️ A operação representa um dos principais negócios do mercado global de alimentos. Entenda
#mercadofinanceiro #Investimentos 
https://t.co/Glsmcs94cp</t>
  </si>
  <si>
    <t>📊 Fechamento de Mercado: Rebaixamento de rating dos EUA pesa nos mercados globais. Confira
#mercadofinanceiro #investimentos 
https://t.co/orBbSnkYWs</t>
  </si>
  <si>
    <t>📉 As três ações que mais desvalorizaram no dia foram :Cielo (#CIEL3, Locaweb (#LWSA3) e Magazine Luiza (#MGLU3)
#mercadofinanceiro #investimentos 
https://t.co/oThh3UBAG5</t>
  </si>
  <si>
    <t>📈 As três ações que mais valorizaram no dia foram: Cogna (#COGN3), JBS (#JBSS3) e Cyrela (#CYRE3)
#mercadofinanceiro #investimentos 
https://t.co/B7QG2M471N</t>
  </si>
  <si>
    <t>📊 As ações da B3 (B3SA3) abandonaram o zero a zero e operam firmes em alta moderada. Veja
#mercadofinanceiro #Investimentos 
https://t.co/111vNzqQI6</t>
  </si>
  <si>
    <t>📊 Mercado Intraday: Ibovespa caminha para terminar a semana em queda
#mercadofinanceiro #investimentos
https://t.co/r5nI0x7rzF</t>
  </si>
  <si>
    <t>✅ Fazenda: “Renegociação de dívidas poderá beneficiar 30 milhões de pessoas”
#mercadofinanceiro #investimentos 
https://t.co/Arb4GiNbag</t>
  </si>
  <si>
    <t>💰 Desenrola Brasil vai perdoar dívidas de até R$ 100. Onde aplicar esse dinheiro? Confira
#mercadofinanceiro #investimentos 
https://t.co/eCu9SW2q0S</t>
  </si>
  <si>
    <t>💰👀 Desenrola Brasil: saiba como aproveitar o programa para sair do endividamento 
#mercadofinanceiro #investimentos 
https://t.co/t0UpMDbW2t</t>
  </si>
  <si>
    <t>📊🇺🇸 A inflação agora é amiga da bolsa de valores nos Estados Unidos? Entenda
#mercadofinanceiro #investimentos 
https://t.co/3Odxk9NCuC</t>
  </si>
  <si>
    <t>🤔 O que a definição de receita anual da Aneel significa para a Equatorial (EQTL3)? Entenda
#mercadofinanceiro #investimentos
https://t.co/tL3sOWMIi3</t>
  </si>
  <si>
    <t>💰 O texto-base da Reforma Tributária abre caminho para um aumento de taxação sobre heranças - um tema espinhoso, que já foi alvo de muitas discussões. Entenda 
#mercadofinanceiro #investimentos #ReformaTributaria 
https://t.co/dd1LUkOFCJ</t>
  </si>
  <si>
    <t>📊 O descolamento dos juros em relação a seus pares já chamava a atenção pela manhã, quando os demais ativos tinham reação positiva ao índice de preços ao produtos (PPI, em inglês) nos Estados Unidos. Confira  
#mercadofinanceiro #investimentos 
https://t.co/8nfzhug2Lw</t>
  </si>
  <si>
    <t>🚗💵 Veja as dicas de especialistas ouvidos pelo E-Investidor para aqueles que ainda desejam comprar seus carros mais baratos sem o incentivo do governo
#carrobarato #mercadofinanceiro #investimentos 
https://t.co/MNJ47WALVF</t>
  </si>
  <si>
    <t>📈 As bolsas de Nova York fecharam em alta hoje, depois de o índice de preços ao produtor (PPI, na sigla em inglês) dos EUA apontar desaceleração da inflação. Confira as ações em destaque 
#mercadofinanceiro #investimentos 
https://t.co/ouTZR7h1Yc</t>
  </si>
  <si>
    <t>📊 A S&amp;amp;P Global Ratings avalia que o mercado de trabalho ainda forte justifica mais um aumento dos juros este mês. 
#juros #mercadofinanceiro #investimentos 
https://t.co/C54pD7oDYz</t>
  </si>
  <si>
    <t>🎆 O Conselho de Administração do grupo Disney (#DISB34) aprovou, por unanimidade, a renovação do contrato de Bob Iger por mais três anos. Confira 
#mercadofinanceiro #investimentos #disney #waltdisneyworld 
https://t.co/UWNF9n4Dws</t>
  </si>
  <si>
    <t>📊 O índice #S&amp;amp;P opera acima da marca de 4,5 mil pontos pela primeira vez desde abril do ano passado, enquanto o #Nasdaq renova máxima do mesmo período. Veja 
#mercadofinanceiro #investimentos
https://t.co/DLZJ43fiWL</t>
  </si>
  <si>
    <t>💡O “Investor Day” chamou a atenção do mercado por esclarecer as estratégias da companhia, depois de um primeiro semestre marcado por ruídos. Confira 
#privatização #mercadofinanceiro #investimentos #investorday 
https://t.co/U7GF7wNt2l</t>
  </si>
  <si>
    <t>🏘 🇧🇷 Confira as novas regras, sancionadas por Lula, para o programa social Minha Casa, Minha Vida. Entre elas aumento do valor máximo e qualidade das edificações 
#minhacasa #Lula #mercadofinanceiro #investimentos 
https://t.co/ZPABkp4DyD</t>
  </si>
  <si>
    <t>👩⚖️🇺🇸 A alegação aponta que o empresário teria levantado bilhões de dólares de investimento por meio de vendas “não registradas e fraudulentas” de títulos de criptoativos. Entenda
#mercadofinanceiro #investimentos #criptomoedas 
https://t.co/gHd3iYBtoR</t>
  </si>
  <si>
    <t>📊 Outra ação de destaque é a Vale (#VALE3), a mais negociada na sessão, que sobe 2,32% cotada a R$ 68,62 nesta tarde. Confira 
#mercadofinanceiro #investimentos 
https://t.co/bITDIum773</t>
  </si>
  <si>
    <t>🏭📊 Vale (VALE3) toca máxima com potenciais estímulos econômicos da China Confira a análise dos especialistas
#mercadofinanceiro #investimentos #acoes 
https://t.co/KJcqTKzThF</t>
  </si>
  <si>
    <t>📈 O cobre teve ganhos expressivos pela segunda sessão seguida nesta quinta-feira (13), com a demanda alimentada por dados de crédito melhores do que o esperado na China. Confira 
#mercadofinanceiro #investimentos #cobre 
https://t.co/9tzyLyWQAO</t>
  </si>
  <si>
    <t>💰 O preço da commodity sobe conforme a depreciação do dólar a torna relativamente mais barata, e à medida que o recuo nos retornos dos Treasuries amplia a atratividade do ouro, Eu. Confira 
#mercadofinanceiro #investimentos #ouro 
https://t.co/sR17bLXUzz</t>
  </si>
  <si>
    <t>📈💵A moeda digital #XRP disparou nesta quinta-feira (13) e apresenta maior alta do ano. Confira os valores
#mercadofinanceiro #investimentos #criptomoedas 
https://t.co/1g0A7nLQ3G</t>
  </si>
  <si>
    <t>🤔 A JBS (#JBSS3) oficializou o plano de levar suas ações para a bolsa de valores nos Estados Unidos, com uma proposta de dupla listagem dos papéis. Entenda 
#mercadofinanceiro #investimentos 
https://t.co/Jcj1JX5S9X</t>
  </si>
  <si>
    <t>📈 Ações da Gerdau (GGBR4) operam em alta após recomendação do BB Investimentos. Confira 
#mercadofinanceiro #investimentos
https://t.co/oHMoCaYTiC</t>
  </si>
  <si>
    <t>📉Até às 14h40 desta quinta-feira (13), as ações do Carrefour (#CRFB3) estavam em baixa de 1,05% e os papéis eram negociados a R$ 11,35
#mercadofinanceiro #investimentos
https://t.co/tpqsct6hHG</t>
  </si>
  <si>
    <t>🏭 A Vale (#VALE3) e a Wabtec Corporation anunciaram nesta quinta-feira (13) a compra de três locomotivas a bateria FLXdrive
#mercadofinanceiro #investimentos
https://t.co/Z3VwiUydy9</t>
  </si>
  <si>
    <t>🏛📲 O PicPay lançou o primeiro seguro para Pix, que interliga todas as contas bancárias do usuário, feito por meio do Open Finance. Entenda como funciona
#mercadofinanceiro #investimentos #picpay 
https://t.co/U7wSXXfeP8</t>
  </si>
  <si>
    <t>📊 Fechamento de Mercado: Ibovespa volta a subir com bom humor externo 
#mercadofinanceiro #investimentos
https://t.co/1vc9Fy1EEx</t>
  </si>
  <si>
    <t>📈 As ações preferenciais da Petrobras (#PETR4) operaram em alta nesta quarta-feira (27). Os ativos avançaram 2,66%, cotados a R$ 34,35. Veja
#mercadofinanceiro #investimentos
https://t.co/DDxkejmzQj https://t.co/fGhB9KeQaY</t>
  </si>
  <si>
    <t>💵 11 dos 16 consórcios participantes chegaram à etapa de cadastrar uma carteira de real digital no sistema. Confira
#mercadofinanceiro #investimentos
https://t.co/xBlez7L4BN https://t.co/bkkiFBBlcU</t>
  </si>
  <si>
    <t>📉 As três ações que mais desvalorizaram no dia foram: Casas Bahia (#BHIA3), Pão de Açúcar (#PCAR3) e Copel (#CPLE6)
#mercadofinanceiro #investimentos
https://t.co/ByoVsmB0tY</t>
  </si>
  <si>
    <t>📈 As três ações que mais valorizaram no dia foram: Gol (#GOLL4), PetroReconcavo (#RECV3) e Petrobras (#PETR3)
#mercadofinanceiro #Investimentos 
https://t.co/qfGqQ4DFRp</t>
  </si>
  <si>
    <t>🖥📊 Atualmente, o #Google/Alphabet vale mais de US$ 1,7 trilhão, atrás apenas de Apple, Microsoft e Saudi Aramco. Veja
#mercadofinanceiro #investimentos
https://t.co/jIkQR2R3Xk</t>
  </si>
  <si>
    <t>👨‍⚖️ Na terça-feira (26), foi aprovado o relatório final da CPI, com 18 votos favoráveis e 8 contrários, sem indicar possíveis culpados pelo rombo contábil da empresa. Veja
#mercadofinanceiro #investimentos #AMER3
https://t.co/leLFGK0Ixd</t>
  </si>
  <si>
    <t>📊 O novo fundo espelha a variação e a rentabilidade do índice #IDAP5, lançado na semana passada pela #B3. Fique por dentro
#mercadofinanceiro #investimentos
https://t.co/ye16u7Vk1c</t>
  </si>
  <si>
    <t>📊 Mercado Intraday: Ibovespa se apoia em China e petróleo, mas dólar acelera na alta. Confira
#mercadofinanceiro #investimentos
https://t.co/1VBHYpLWek</t>
  </si>
  <si>
    <t>Os retornos dos Treasuries subiram nessa sessão, e os juros do T-bond de 30 anos atingiram maior valor intraday desde fevereiro de 2011. Veja
#mercadofinanceiro #investimentos
https://t.co/xd4gkoLO9I</t>
  </si>
  <si>
    <t>📉 As bolsas de Nova York fecharam em queda hoje, com o #Nasdaq liderando o movimento, após novas máximas dos juros dos títulos longos dos #Treasuries. Veja
#mercadofinanceiro #investimentos
https://t.co/Eqi6SCkW7U https://t.co/hmFvnSMA7P</t>
  </si>
  <si>
    <t>📊 Mais de 4,1 milhões de pessoas físicas relataram operações com ativos digitais em julho deste ano. Veja
#mercadofinanceiro #investimentos
https://t.co/p8Rh8Wi1Vm</t>
  </si>
  <si>
    <t>📈 As bolsas de Nova York fecharam em alta nesta segunda-feira, com o S&amp;amp;P 500 conseguindo interromper quatro sessões consecutivas de queda. Veja
#mercadofinanceiro #investimentos
https://t.co/L0JwBhbf0w https://t.co/pxyfevT10C</t>
  </si>
  <si>
    <t>📊 COLUNA Erich Decat | A grande expectativa dos analistas é saber qual será o volume de receita que virá das propostas em discussão na Câmara e no Senado. Veja
#mercadofinanceiro #investimentos #economia #Haddad
https://t.co/tAIBKVEfdT</t>
  </si>
  <si>
    <t>💵 A Celesc (#CLSC3; #CLSC4) realizará a distribuição de R$ 48,7 milhões em juros sobre capital próprio (#JCP) aos seus acionistas, conforme divulgado pela companhia nesta segunda-feira (25). Entenda
#mercadofinanceiro #investimentos
https://t.co/0gv42UsqM5 https://t.co/JJUrEpWPYE</t>
  </si>
  <si>
    <t>📉 Na última sexta-feira (22), a Alliança Saúde e Participações (AARL3), antiga Alliar, anunciou que celebrou um contrato de Adiantamento para Futuro Aumento de Capital de R$ 200 milhões. Veja
#mercadofinanceiro #Investimentos
https://t.co/253kZoiHdO</t>
  </si>
  <si>
    <t>❄️ COLUNA Quanto custa? | Levantamento mostra custo médio do ar-condicionado, instalação e mão de obra, e gasto extra com energia
#mercadofinanceiro #investimentos #calor
https://t.co/ekSyIVBaZA</t>
  </si>
  <si>
    <t>📊Depois do ex-ministro Paulo Guedes, holding Legend Capital anuncia novos sócios Felipe Pecego e Luciana Souza Silva.
#mercadofinanceiro 
https://t.co/DfGJ0gD1Yh</t>
  </si>
  <si>
    <t>💵 COLUNA Espaço do Especialista com Marco Zanini | Com o Real Digital, estamos à frente da criação de um projeto que promete mudar o mercado brasileiro. Veja
#mercadofinanceiro #investimentos #realdigital #Drex
https://t.co/AsBJnLlLK4</t>
  </si>
  <si>
    <t>📈 Até o dia 18 de setembro o preço das ações #PETR4 estava em R$ 34,13, representando uma valorização de 73,05% ao longo do ano. Confira
#mercadofinanceiro #investimentos
https://t.co/au7COMxkuC</t>
  </si>
  <si>
    <t>📊 O gestor da Opportunity Total, Marcos Mollica, disse há pouco achar que o Copom poderia apertar o passo na sua trajetória de cortes da #Selic. Veja
#mercadofinanceiro #investimentos
https://t.co/Hxi6V2Q52M</t>
  </si>
  <si>
    <t>💵 Nesta quarta-feira (20), a #Petrobras vai pagar dividendos no valor de R$ 0,9467 por ação. Confira
#mercadofinanceiro #investimentos
https://t.co/b3gaaJIFfJ</t>
  </si>
  <si>
    <t>📊🧐 COLUNA Vitor Miziara | Não fazer nada em alguns cenários é a melhor opção possível. Entenda
#mercadofinanceiro #investimentos #educaçãofinanceira
https://t.co/8jV4q0gLdB</t>
  </si>
  <si>
    <t>📊 Mercado Intraday: Bolsas são impactadas pela alta dos juros futuros. Confira 
#mercadofinanceiro #investimentos
https://t.co/xg9SynVQOB</t>
  </si>
  <si>
    <t>✈️💵 SESSÃO Quanto Custa | A partir do dia 30 de setembro, os turistas brasileiros não precisam mais de visto para conhecer o país. Veja quanto custam as passagens
#mercadofinanceiro #investimentos
https://t.co/HCdM0mVut1</t>
  </si>
  <si>
    <t>💳 COLUNA Evandro Mello | Todo mundo tem uma pessoa próxima que está endividada, mas há como ajudar
#mercadofinanceiro #investimentos
https://t.co/S1mgtc8yvr</t>
  </si>
  <si>
    <t>📊Mercado hoje: China dá fôlego a mercados em expectativa por inflação no Brasil e nos EUA; juros na Europa também ficam no radar.
#mercadofinanceiro
https://t.co/4BZSGksOdc</t>
  </si>
  <si>
    <t>Bolsas da Ásia: declaração de presidente do banco central japonês e dados da economia chinesa pressionam mercados.
🇯🇵Nikkei: -0,43%
🇭🇰Hang Seng: -0,58%
🇨🇳Xangai: +0,84%
🇨🇳Shenzen: +0,90%
🇰🇷Kospi: +0,36%
🇹🇼Taiex: -0,86%
#mercadofinanceiro
https://t.co/NjVhT2xQc0</t>
  </si>
  <si>
    <t>📊E a ‘publi’? Autorreguladora BSM Supervisão de Mercado anuncia nova orientação para relação entre influencers de #investimentos e corretoras e gestoras. #mercadofinanceiro
https://t.co/KBZvOwR864</t>
  </si>
  <si>
    <t>📉 O C6 Bank encerrou o primeiro semestre deste ano com prejuízo ajustado de R$ 285,316 milhões. Entenda
#mercadofinanceiro #investimentos
https://t.co/bPu6spJzqK</t>
  </si>
  <si>
    <t>🐾 Gastos com o animal podem turbinar as despesas e até desalinhar as finanças de uma família. Veja como organizar as finanças
#mercadofinanceiro #investimentos #educaçãofinanceira #pet
https://t.co/fdzQ2iQgMi</t>
  </si>
  <si>
    <t>💵 O maior retorno deixaria investidor milionário em três décadas. Veja as simulações e conquiste o primeiro milhão
#mercadofinanceiro #investimentos #educaçãofinanceira
https://t.co/8i5HNbXudx</t>
  </si>
  <si>
    <t>📊💵 A #Amazon também participava da negociação pela compra de ações, mas decidiu sair. Veja
#mercadofinanceiro #investimentos
https://t.co/9YrLkYqryL</t>
  </si>
  <si>
    <t>Tarcísio de Freitas pretende apresentar o projeto de lei da privatização até o começo de 2024. Confira
#mercadofinanceiro #investimentos
https://t.co/GIadua5442</t>
  </si>
  <si>
    <t>📊 COLUNA Ana Paula Hornos | Há uma nova tendência viralizando, chamada de “recados sincerões” no ambiente de trabalho. Veja como envitar o "sincericídio"
#mercadofinanceiro #investimentos #educaçãofinanceira
https://t.co/TPAR85vfdN</t>
  </si>
  <si>
    <t>📊 Fundo Verde: houve um aumento da posição vendida em dólar contra o real, mas a exposição a bolsas globais permanece neutra.
#mercadofinanceiro #investimentos #fundoverde
https://t.co/YvCgCe4YI3</t>
  </si>
  <si>
    <t>📊 Após a trégua na última sexta-feira, os juros dos Treasuries retomaram a tendência de alta nesta segunda-feira. Veja
#mercadofinanceiro #investimentos 
https://t.co/KFCcQcUbT5</t>
  </si>
  <si>
    <t>📊 A gigante de semicondutores Nvidia saltou 8,47%, na expectativa para a publicação do seu balanço trimestral. Confira
#mercadofinanceiro #investimentos 
https://t.co/dRhEojb0KU</t>
  </si>
  <si>
    <t>📊 Após três sessões consecutivas de leve queda, o #dólar à vista encerrou o pregão desta segunda-feira, 21, em alta moderada no mercado doméstico de câmbio. Veja
#mercadofinanceiro #investimentos 
https://t.co/kYS5Mp5nmp</t>
  </si>
  <si>
    <t>✈️ COLUNA Valéria Bretas | Caso 123milhas ensina muito sobre o planejamento financeiro da sua próxima viagem. Fique por dentro
#mercadofinanceiro #investimentos #123MILHAS 
https://t.co/4VxYpZ2pMf</t>
  </si>
  <si>
    <t>📊 Fechamento de Mercado: Ibovespa não se sustenta e volta a cair. Confira
#mercadofinanceiro #investimentos 
https://t.co/wYWI7FcB3c</t>
  </si>
  <si>
    <t>🌿 A #Raízen também revelou que o SAF é capaz de reduzir cerca de 80% o volume total de emissões de gases de efeito estufa em comparação ao combustível fóssil de aviação. Veja
#mercadofinanceiro #investimentos 
https://t.co/0D1rCaW0VW</t>
  </si>
  <si>
    <t>🔎 Segundo a gestora, “ao longo da história”, diversos fundos optaram por pagar dividendos acima da geração de caixa dos negócios investidos pela aplicação. Fique por dentro aqui
#mercadofinanceiro #investimentos 
https://t.co/IOWhjsab3T</t>
  </si>
  <si>
    <t>📉 As três ações que mais desvalorizaram no dia foram: IRB Re (#IRBR3), Carrefour (#CRFB3) e Yduqs (#YDUQ3)
#mercadofinanceiro #investimentos 
https://t.co/NTYAgz95sF</t>
  </si>
  <si>
    <t>📈 As três ações que mais valorizaram no dia foram: Hypera Petz (#PETZ3), Cemig (#CMIG4) e Magazine Luiza (#MGLU3)
#mercadofinanceiro #investimentos 
https://t.co/ClOD3t4Lw3</t>
  </si>
  <si>
    <t>🏦 Entre as modalidades de crédito disponíveis para este público estão o empréstimo consignado e o cartão de crédito consignado. Confira os bancos que te tiram do negativo
#mercadofinanceiro #investimentos 
https://t.co/DDjH86yoaO</t>
  </si>
  <si>
    <t>📈 O #cobre futuro fechou em alta nesta segunda-feira(21) após o Banco do Povo da China reduzir a taxa de juros de referência de um ano. Entenda
#mercadofinanceiro #investimentos 
https://t.co/b3bWO0m8zp</t>
  </si>
  <si>
    <t>📊 Mudança nos juros na China e queda do dólar no exterior fazem #ouro se recuperar das perdas da semana passada. Confira
#mercadofinanceiro #investimentos 
https://t.co/vjL84tworp</t>
  </si>
  <si>
    <t>💵📲 A partir das 10h da próxima quinta-feira (24), o 4º lote de Restituição do Imposto de Renda 2023 estará disponível para consulta. Veja
#mercadofinanceiro #investimentos #impostoderenda
https://t.co/mYesZPaKrD</t>
  </si>
  <si>
    <t>🏭 COLUNA Marco Saravalle | Vale dar o benefício da dúvida para a Petrobras (#PETR3; #PETR4)? Confira
#mercadofinanceiro #investimentos
https://t.co/c8pUSzPFPU</t>
  </si>
  <si>
    <t>💵 Às 14h desta segunda-feira (21), a moeda norte-americana subia 0,27%, cotada a R$ 4,98. Veja o cálculo
#mercadofinanceiro #investimentos
https://t.co/TeyPQ6zhHR</t>
  </si>
  <si>
    <t>💵 No lote em questão, a Receita divulgou que 4.462.564 contribuintes serão beneficiados pela restituição, que tem valor total a ser distribuído em R$ 6 bilhões. Veja quem pode receber
#mercadofinanceiro #investimentos
https://t.co/t0fznYo1Cv</t>
  </si>
  <si>
    <t>📉 O ETH perdeu 8,42% de seu valor no último mês, sendo negociado a US$ 1.659,67. Veja
#mercadofinanceiro #investimentos #criptomoedas  
https://t.co/VX0VRasoI4</t>
  </si>
  <si>
    <t>💵 O Abono Salarial é um benefício previsto aos trabalhadores inscritos no Programa de Integração Social (#PIS) e no Programa de Formação do Patrimônio do Servidor Público (#Pasep). Saiba mais
#mercadofinanceiro #investimentos
https://t.co/vbuPFCANF8</t>
  </si>
  <si>
    <t>📊 Mercado Intraday: Ibovespa volta a recuar, enquanto o dólar avança. Confira
#mercadofinanceiro #investimentos
https://t.co/0qP7XU2Y9g</t>
  </si>
  <si>
    <t>📊 Desbancando o Ibovespa, o Índice de Fundos de Investimentos Imobiliários (#Ifix ) valoriza no acumulado do ano mais do que o dobro do principal índice acionário da B3. Veja se vale a pena investir
#mercadofinanceiro #investimentos
https://t.co/GYQCcAEi0C</t>
  </si>
  <si>
    <t>📉 O petróleo fechou em baixa de 2% nesta quarta-feira (2), prejudicado pela valorização do dólar e em ambiente de aversão a risco após rebaixamento do rating dos EUA. Saiba mais
#mercadofinanceiro #Investimentos 
https://t.co/vviwRW0wsH</t>
  </si>
  <si>
    <t>🎓 O Tesouro Direto lançou na terça-feira (1) o Tesouro Educa+, título com foco no planejamento financeiro dos pais para a educação dos filhos. Veja como investir
#mercadofinanceiro #Investimentos 
https://t.co/MdeQ9yNxWS</t>
  </si>
  <si>
    <t>🏭 O resultado da companhia será apresentado na quinta-feira, 3, após o fechamento do mercado. Saiba mais
#mercadofinanceiro #Investimentos 
https://t.co/oqoCPZGADG</t>
  </si>
  <si>
    <t>📈 A principal valorização de 2023 é a empresa do setor de educação Yduqs, com alta de 118%. Confira o ranking
#mercadofinanceiro #Investimentos 
https://t.co/q9a7ObIokm</t>
  </si>
  <si>
    <t>🔴 COLUNA Thiago de Aragão | O problema que a bolsa cria para o Partido Comunista Chinês. Veja
#mercadofinanceiro #Investimentos 
https://t.co/thWDAm2JEx</t>
  </si>
  <si>
    <t>📉 O cobre recuou na sessão desta quarta-feira (2) pelo segundo pregão consecutivo, após o rebaixamento do rating dos Estados Unidos pela Fitch. Veja
#mercadofinanceiro #Investimentos 
https://t.co/XDVol41Mp3</t>
  </si>
  <si>
    <t>📊 Entenda a tese de investimentos para a companhia médica cuja ação acumula valorização de 96% em 2023
#mercadofinanceiro #Investimentos 
https://t.co/CTBVP2rZEe</t>
  </si>
  <si>
    <t>👨‍👩‍👧 A inclusão de dependentes na declaração do Imposto de Renda dá direito a um abatimento de R$ 2.275,08 para cada dependente no cálculo do imposto a pagar. Veja
#mercadofinanceiro #Investimentos 
https://t.co/5ncd4EPCy2</t>
  </si>
  <si>
    <t>📊 Os mercados globais reagem, de forma negativa, à notícia de que os Estados Unidos, a maior economia do mundo, teve seu rating de crédito rebaixado pela agência Fitch. Entenda
#mercadofinanceiro #Investimentos 
https://t.co/g1sCXazjDy</t>
  </si>
  <si>
    <t>📊 Mercado Intraday: Ibovespa recua em meio a ambiente global negativo. Veja
#mercadofinanceiro #Investimentos 
https://t.co/QxpXrpeVuT</t>
  </si>
  <si>
    <t>🏦 Itaú BBA divulga relatório com expectativas para a Vale (VALE3)
#mercadofinanceiro #investimentos 
https://t.co/IH5ryWbOAR</t>
  </si>
  <si>
    <t>🥩 BRF (BRFS3) se aproxima de empreitada na Arábia Saudita
#mercadofinanceiro #investimentos 
https://t.co/OPR0ml9hU1</t>
  </si>
  <si>
    <t>👀 XP vê com bons olhos resultados do 2° trimestre do Iguatemi (IGTI11). Confira a recomendação
#mercadofinanceiro #investimentos 
https://t.co/uazEEkLDuj</t>
  </si>
  <si>
    <t>✅ Enauta (ENAT3) fecha venda da plataforma de Atlanta. Confira o valor da transação
#mercadofinanceiro #investimentos 
https://t.co/YAcbEtKa9p</t>
  </si>
  <si>
    <t>📊💰 Movida (MOVI3) anuncia nova recompra milionária de títulos. Entenda o motivo
#mercadofinanceiro #investimentos 
https://t.co/pbw1ZO8ASc</t>
  </si>
  <si>
    <t>📊 No fechamento dos negócios, a taxa do contrato de Depósito Interfinanceiro (DI) para janeiro de 2025 saltava de 10,702% para 10,895% e a de janeiro de 2026 subia de 10,51% para 10,76%. Veja
#mercadofinanceiro #investimentos #juros
https://t.co/OoEmBRBNG5 https://t.co/rJQPzurdxK</t>
  </si>
  <si>
    <t>💵📲 Agora, a modalidade está empatada com o cartão de crédito e é também um dos meios de pagamento mais disponibilizados pelo e-commerce aos clientes. Veja
#mercadofinanceiro #investimentos #PIX
https://t.co/2lPKij02Tf</t>
  </si>
  <si>
    <t>📉 As ações preferenciais da Petrobras (#PETR4) estão em baixa. Às 14h19, elas recuavam 1,55%, cotadas a R$ 33,72. Veja
#mercadofinanceiro #investimentos
https://t.co/gC6J4hUJ3p https://t.co/OWV4I3WSYM</t>
  </si>
  <si>
    <t>📊 O BB Investimentos elevou a recomendação da Natura (#NTCO3) de neutro para compra e subiu o preço-alvo de R$ 17,40 para R$ 18,20. Entenda
#mercadofinanceiro #investimentos
https://t.co/BQ3t0Cp2qu</t>
  </si>
  <si>
    <t>📉 As ações da Vale (#VALE3) operam em queda nesta terça-feira (26). Às 14h43, apresentavam baixa de 1,71%, cotadas a R$ 65,46. Confira
#mercadofinanceiro #investimentos
https://t.co/HQIdDp6x7n https://t.co/9FjL8aho2w</t>
  </si>
  <si>
    <t>📈 As ações preferenciais da Petrobras (#PETR4) fecharam o pregão em alta de 0,71% nesta segunda-feira (25), cotadas a R$ 34,27. Confira
#mercadofinanceiro #investimentos
https://t.co/7tXgt0tcyb</t>
  </si>
  <si>
    <t>📉 As ações do Magazine Luiza (#MGLU3) encerram em queda a sessão desta segunda-feira (25) em linha com as outras empresas do setor varejista. Entenda
#mercadofinanceiro #investimentos
https://t.co/yMndFi0edI</t>
  </si>
  <si>
    <t>📊⬆ O regulador de valores mobiliários do país restringiu recentemente as vendas de ações de acionistas controladores de empresas listadas. Saiba detalhes
#mercadofinanceiro #investimentos #China #economiachina
https://t.co/q9onRyk5m1</t>
  </si>
  <si>
    <t>📈 As ações preferenciais da Petrobras (#PETR4) estavam em alta de 0,32% às 13h52 desta segunda-feira (25), cotadas a R$ 34,14. Veja
#mercadofinanceiro #investimentos
https://t.co/eTLonj7sHX &amp;amp;utm_content=materia https://t.co/UYgGPyjp0Q</t>
  </si>
  <si>
    <t>📉 As ações da Vale (#VALE3) caem às 13h48 desta segunda-feira (25). Os ativos estão em baixa de 2,93%, cotados a R$ 66,01.
#mercadofinanceiro #investimentos
https://t.co/IsD7OLTCZP https://t.co/sF1rGDy5MT</t>
  </si>
  <si>
    <t>📊🛢️Goldman Sachs amplia participação no capital social da 3R Petroleum (#RRRP3).
#commodities #mercadofinanceiro
https://t.co/BjFkAodhso</t>
  </si>
  <si>
    <t>💰📱 Se a compra for substituída por uma estratégia de investimento, o valor do celular poderia render pelo menos R$ 1.009 em um ano. Veja aqui
#mercadofinanceiro #investimentos #iPhone15
https://t.co/MHjGAOZPk1</t>
  </si>
  <si>
    <t>🧐💵 O gestor diz que desde o pedido de recuperação judicial, Americanas nunca atrasou pagamento. Fique por dentro
#mercadofinanceiro #investimentos #AMER3
https://t.co/SRlMh6M0tm</t>
  </si>
  <si>
    <t>💵❌ A lei diz que os beneficiários de subsídios no valor de US$ 52 milhões terão de devolver o valor recebido caso construam ou aperfeiçoem fábricas de semicondutores fora dos EUA. Entenda
#mercadofinanceiro #investimentos #China #EUA
https://t.co/n8TT2PB7ox https://t.co/BPmBstuliL</t>
  </si>
  <si>
    <t>📈 Apesar de oscilações, as ações da varejista ficaram atrás apenas da Petrobras (#PETR4) e Vale (#VALE3). Veja
#mercadofinanceiro #investimentos #LREN3
https://t.co/lz63psssje</t>
  </si>
  <si>
    <t>📈 O metal subiu na última sessão de hoje (22), após divulgação de dados de índices de gerentes de compras. Veja
#mercadofinanceiro #investimentos #ouro
https://t.co/JHi9rmOBPI</t>
  </si>
  <si>
    <t>📈 Os metais fecharam majoritariamente em alta nesta sexta-feira (22), após medidas de estímulo anunciadas pela China. Confira
#mercadofinanceiro #investimentos
https://t.co/zKLa89G839 https://t.co/eJNzx1448O</t>
  </si>
  <si>
    <t>📉 As empresas de varejo estão entre as mínimas da bolsa, ignorando a tentativa de queda dos juros futuros espelhados nos contratos de depósito interfinanceiro (DIs) hoje. Veja
#mercadofinanceiro #Investimentos #MGLU3
https://t.co/cDn7dGmU94 https://t.co/TNg6Tf0Itk</t>
  </si>
  <si>
    <t>📊 Também diz que os detentores dos títulos e potenciais investidores da empresa devem ter “cautela” em suas operações. Veja
#mercadofinanceiro #Investimentos
https://t.co/0BvvXAhILZ https://t.co/cHCfq7EALK</t>
  </si>
  <si>
    <t>📈 As ações da Vale (#VALE3) operam em alta na sessão desta sexta-feira (22) do Ibovespa. Os ativos subiam 1,81% às 13h30, cotados a R$ 68,72. Entenda
#mercadofinanceiro #Investimentos
https://t.co/ZRpJgG5sn3</t>
  </si>
  <si>
    <t>📊 Multimercados representam meio do caminho entre o conservadorismo da renda fixa e a agressividade do mercado de ações. Veja
#mercadofinanceiro #investimentos #selic
https://t.co/cokUnPoxV0 https://t.co/Ue87Qk7OMY</t>
  </si>
  <si>
    <t>💵 O número corresponde a 3,1% do total de envios aos órgão entre os meses de março a setembro deste ano. Veja
#mercadofinanceiro #Investimentos #impostoderenda
https://t.co/SF7ZLy4GhG https://t.co/FuVQe2wJyE</t>
  </si>
  <si>
    <t>📊 Mercado Intraday: Bolsas corrigem parcialmente as perdas da semana. Confira
#mercadofinanceiro #Investimentos
https://t.co/2KhP6dXiCr</t>
  </si>
  <si>
    <t>📉 Nesta terça-feira (19), por volta das 15h05, as ações #ALPA4 enfrentavam queda de 1,10% a R$ 8,10. Entenda
#mercadofinanceiro #Investimentos 
https://t.co/pGhm54e5RR</t>
  </si>
  <si>
    <t>📊 Fechamento de Mercado: Juros futuros sobem e pressionam bolsas. Confira
#mercadofinanceiro #Investimentos 
https://t.co/SV05aCrukT</t>
  </si>
  <si>
    <t>📉 As três ações que mais desvalorizaram no dia foram: GPA (#PCAR3), Lojas Renner (#LREN3) e Totvs (#TOTS3)
#mercadofinanceiro #Investimentos 
https://t.co/k9dJ6HI8Ls</t>
  </si>
  <si>
    <t>📈 As três ações que mais valorizaram no dia foram: Marfrig (#MRFG3), Via (#VIIA3) e Hapvida (#HAPV3)
#mercadofinanceiro #Investimentos 
https://t.co/z3pVobdDK5</t>
  </si>
  <si>
    <t>📱💵 Segundo levantamento, o segmento de alimentação é o mais utilizado e corresponde a 17% das transações. Confira
#mercadofinanceiro #investimentos #pix
https://t.co/Q4WmiFspBd</t>
  </si>
  <si>
    <t>📈 Os papéis da Vale (#VALE3) operavam em alta de 0,19% às 16h07 desta terça-feira (19), cotados a R$ 68,85. Veja
#mercadofinanceiro #investimentos
https://t.co/bTSCjijub5</t>
  </si>
  <si>
    <t>🧐 O banco americano afirma que saiu das reuniões com uma visão mais positiva sobre as tendências operacionais do #BB. Entenda
#mercadofinanceiro #investimentos
https://t.co/KuvizBHGvF</t>
  </si>
  <si>
    <t>📉 Com exceção da #Vale, o setor de mineração e siderurgia acelerou o movimento de queda, pressionando o Ibovespa. Veja
#mercadofinanceiro #investimentos
https://t.co/31WBLeRRuc</t>
  </si>
  <si>
    <t>📈 A recuperação ocorre após os ativos da varejista acumularem uma queda superior a 33% nas últimas quatro sessões. Veja
#mercadofinanceiro #investimentos
https://t.co/56s25gHtyz</t>
  </si>
  <si>
    <t>Bolsas da Ásia fecham mistas com notícias sobre juros na região e nos EUA. Não houve pregão em Tóquio.
🇯🇵Nikkei: feriado
🇭🇰Hang Seng: -1,39%
🇨🇳Xangai: +0,26%
🇨🇳Shenzen: +0,54%
🇰🇷Kospi: -1,02%
🇹🇼Taiex: -1,32%
#mercadofinanceiro
https://t.co/Yb0cWS0oJ3</t>
  </si>
  <si>
    <t>💸📊#Proventos: com proposta de extinguir juros sobre capital próprio, ações das seis maiores pagadoras de #JCP podem perder quase uma Ambev em valor de mercado. Entenda.
#investimentos #mercadofinanceiro
https://t.co/HaZojKFPou</t>
  </si>
  <si>
    <t>🚙 A disponibilidade de taxas de juros mais competitivas para veículos elétricos ainda é limitada, mas deve aumentar à medida que a frota no Brasil for crescendo. Veja
#mercadofinanceiro #investimentos #carroeletrico
https://t.co/rkuuaveg37</t>
  </si>
  <si>
    <t>🧐 Mesmo com a tendência de queda de juros, permanece um cenário favorável para os investimentos em renda fixa
#mercadofinanceiro #investimentos
https://t.co/pLQZZGd7g3</t>
  </si>
  <si>
    <t>📊Mercado hoje: inflação no Brasil e relatório mensal da Opep ficam no radar dos investidores nesta terça-feira.
#mercadofinanceiro
https://t.co/lctTfZOL5Y</t>
  </si>
  <si>
    <t>Bolsas da Europa operam em compasso de espera por inflação nos EUA e juros do BCE.
🇪🇺Stoxx: +0,02%
🇬🇧FTSE: +0,54%
🇫🇷CAC: -0,55%
🇩🇪DAX:  -0,31%
#mercadofinanceiro
https://t.co/PaIvmXy09t</t>
  </si>
  <si>
    <t>Bolsas da Ásia: de olho em inflação e juros nos EUA, mercados fecham sem direção única.
🇯🇵Nikkei: +0,95%
🇭🇰Hang Seng: -0,39%
🇨🇳Xangai: -0,18%
🇨🇳Shenzen: -0,08%
🇰🇷Kospi: -0,79%
🇹🇼Taiex: +0,85%
#mercadofinanceiro
https://t.co/ltaMyDOZUK</t>
  </si>
  <si>
    <t>📊 As ações da Apple (#Nasdaq: AAPL) fecharam a sessão da bolsa americana deste segunda-feira (11) em crescimento de 0,66%, cotadas a US$ 179,36 – o equivalente a R$ 893,21. Veja
#mercadofinanceiro #Investimentos 
https://t.co/m94BoBPd1R</t>
  </si>
  <si>
    <t>📊 Os juros futuros fecharam a segunda-feira em baixa, influenciadas pelo impulso dos ativos no exterior e ajustes de posições antes do IPCA de agosto amanhã. Veja
#mercadofinanceiro #investimentos
https://t.co/AEyRVYc2UN</t>
  </si>
  <si>
    <t>📊 Para o CEO Walter Maciel, a precificação de risco está exagerada e refleta uma visão equivocada do arcabouço fiscal. Confira
#mercadofinanceiro #investimentos
https://t.co/0lBM2gfs2R</t>
  </si>
  <si>
    <t>📊💵 O dólar se desvalorizou ante outros pares importantes, pressionado sobretudo pelo #iene, após intervenção verbal do banco central japonês. Veja
#mercadofinanceiro #investimentos
https://t.co/mvZJOAhaRo</t>
  </si>
  <si>
    <t>💵 Em baixa desde a abertura dos negócios, o #dólar à vista acentuou o ritmo de queda ao longo da tarde em meio a máximas do Ibovespa. Entenda
#mercadofinanceiro #investimentos
https://t.co/2TOaLyi8Ld</t>
  </si>
  <si>
    <t>📊 Fechamento de Mercado: China renova esperança e dá fôlego ao Ibovespa. Confira
#mercadofinanceiro #Investimentos 
https://t.co/RlujpjmLEa</t>
  </si>
  <si>
    <t>📊 O índice Dow Jones fechou com alta de 0,25%, aos 34.663,72 pontos; o S&amp;amp;P 500 subiu 0,67%, aos 4.487,46 pontos; e o Nasdaq teve ganhos de 1,14%, aos 13.917,89 pontos. Veja
#mercadofinanceiro #investimentos
https://t.co/789c6oX6jo</t>
  </si>
  <si>
    <t>📈 Juros dos Treasuries sobem com apetite por risco após dados da China. Confira 
#mercadofinanceiro #investimentos
https://t.co/GkKb134ts4</t>
  </si>
  <si>
    <t>📉 As três ações que mais desvalorizaram no dia foram: Braskem (#BRKM5), Petz (#PETZ3) e Marfrig (#MRFG3)
#mercadofinanceiro #investimentos
https://t.co/mtom0NT1UE</t>
  </si>
  <si>
    <t>📈 As três ações que mais valorizaram no dia foram: Eztec (#EZTC3), Grupo Pão de Açúcar (#PCAR3) e CSN Mineração (#CMIN3)
#mercadofinanceiro #investimentos
https://t.co/o9Fu9EuVG4</t>
  </si>
  <si>
    <t>💵📱 Simulação mostra que o rendimento do produto é maior que o da poupança. Confira
#mercadofinanceiro #investimentos
https://t.co/eqM8GPEEGd</t>
  </si>
  <si>
    <t>💵 Dinheiro pode ser retirado em casos de demissão sem justa causa. Veja como resgatar
#mercadofinanceiro #investimentos
https://t.co/0CExG8e32F</t>
  </si>
  <si>
    <t>🍀 A ex-BBB faturou o prêmio máximo da Lotofácil da Independência 2023. Veja qual foi a 1ª vez que Paulinha Leite ganhou na loteria
#mercadofinanceiro #investimentos
https://t.co/E3DclSwdXs</t>
  </si>
  <si>
    <t>📊 Após caírem pela manhã, os #juros futuros zeraram a queda à tarde, acompanhando o movimento da curva dos Treasuries. Entenda
#mercadofinanceiro #investimentos 
https://t.co/4LpzEIjCDw</t>
  </si>
  <si>
    <t>💵🔒 O auxílio-reclusão é um benefício do Governo Federal pago aos dependentes do segurado do Instituto Nacional do Seguro Social (INSS). Veja os requisitos
#mercadofinanceiro #investimentos 
https://t.co/yIca9LKiwH</t>
  </si>
  <si>
    <t>📊 Diretor-gerente na #Fitch Ratings, James McCormack afirmou hoje que há chances de que a agência rebaixe o rating de crédito da #China. Saiba mais
#mercadofinanceiro #investimentos 
https://t.co/dgYtmo8ZTY</t>
  </si>
  <si>
    <t>🏢 A #Cemig informou que a #BlackRock, Inc. vendeu ações preferenciais da companhia e assim suas participações, de forma agregada, passaram a ser de 9,88% do capital total, Saiba mais
#mercadofinanceiro #investimentos 
https://t.co/DAtMx5PcZB</t>
  </si>
  <si>
    <t>📊💵 O ING acredita que uma pausa em setembro representará o fim do aperto monetário, embora as taxas provavelmente seguirão elevadas até o primeiro trimestre de 2024. Entenda
#mercadofinanceiro #investimentos 
https://t.co/qpFNhVrmi0</t>
  </si>
  <si>
    <t>📉 Os papéis da Eletrobras (#ELET3;#ELET6) fecharam em queda nesta quarta-feira (16) após  Augusto Aras emitir parecer favorável ao aumento do poder de voto da União na Eletrobras após a privatização. Veja
#mercadofinanceiro #investimentos #Eletrobras 
https://t.co/g8Ro59bZxe</t>
  </si>
  <si>
    <t>📊 Vários dirigentes e a equipe técnica apontaram que ainda persistem certas vulnerabilidades no sistema financeiro americano. Fique por dentro
#mercadofinanceiro #investimentos 
https://t.co/NPqwItocOD</t>
  </si>
  <si>
    <t>💵 O #dólar tocou pontualmente o terreno positivo nos últimos minutos da sessão e acabou terminando o dia cotado a R$ 4,9864. Saiba mais
#mercadofinanceiro #investimentos 
https://t.co/ZIVUP6bl1B</t>
  </si>
  <si>
    <t>📉 As bolsas de Nova York fecharam em baixa hoje, após a ata do Federal Reserve (Fed) sugerir possibilidade de mais aperto à frente. Veja
#mercadofinanceiro #investimentos 
https://t.co/3E0TStmrgz</t>
  </si>
  <si>
    <t>📊 Indicadores reforçaram os riscos de que o banco central dos EUA mantenha a postura agressiva contra a inflação. Confira
#mercadofinanceiro #investimentos #Juros
https://t.co/UESdUN8pOf</t>
  </si>
  <si>
    <t>📊 Fechamento de Mercado: Ata do fed adia recuperação do Ibovespa. Confira
#mercadofinanceiro #investimentos 
https://t.co/ecnEUAjxgx</t>
  </si>
  <si>
    <t>📊 O E-Investidor solicitou uma análise dos perfis das 47 corretoras de investimento presentes na plataforma. Veja o ranking das melhores
#mercadofinanceiro #investimentos 
https://t.co/popMjWWysR</t>
  </si>
  <si>
    <t>📊 As ações da Via (#VIIA3) saltavam 9,47%, cotadas a R$ 1,85, enquanto os papéis do Magazine Luiza (#MGLU3) subiam 8,30%  no valor de R$ 3,00. Veja
#mercadofinanceiro #investimentos 
https://t.co/PL2k6rhsRV</t>
  </si>
  <si>
    <t>📉 As três ações que mais desvalorizaram no dia foram: Natura (#NTCO3), Hapvida (#HAPV3) e Alpargatas (#ALPA4)
#mercadofinanceiro #investimentos 
https://t.co/34UQbboAvk</t>
  </si>
  <si>
    <t>📈 As três ações que mais valorizaram no dia foram: Hypera IRB Re (#IRBR3), Magazine Luiza (#MGLU3) e Via (#VIIA3)
#mercadofinanceiro #investimentos 
https://t.co/9QljlTF8K0</t>
  </si>
  <si>
    <t>📈 Segundo o #Itaú BBA, a publicação de um novo decreto é um marco importante para a privatização da empresa. Fique por dentro #mercadofinanceiro #investimentos 
https://t.co/aH5gvKH5DY</t>
  </si>
  <si>
    <t>💳 Ao todo, foram negociados 1,296 milhão de contratos, de 985 mil clientes bancários. Veja
#mercadofinanceiro #investimentos #DESENROLABRASIL 
https://t.co/zdIngXsloP</t>
  </si>
  <si>
    <t>“O mercado de capitais se organizou para criar condições propícias ao ciclo de crescimento”, declarou o presidente da CVM, referindo-se aos efeitos da diminuição dos juros. Confira
#mercadofinanceiro #investimentos 
https://t.co/GIMCRWjKgF</t>
  </si>
  <si>
    <t>📊 O valor é de R$ 0,04 por ação ordinária e preferencial de emissão da companhia, equivalente a R$ 0,12 por Unit. Veja
#mercadofinanceiro #investimentos 
https://t.co/OJZCF7EvRR</t>
  </si>
  <si>
    <t>💵 “Os dividendos serão pagos no dia 28.08.2023 e terão como base a posição acionária de 16.08.2023, sendo as ações negociadas ex-dividendos a partir de 17.08.2023”, diz o #BB no comunicado. Veja
#mercadofinanceiro #investimentos 
https://t.co/LleJqEiqdR</t>
  </si>
  <si>
    <t>📉 As ações da Neoenergia (#NEOE3) lideram as perdas da B3 nesta quarta-feira (26). Às 15h07, os papéis tombam 7,14% cotados a R$ 20,42. Confira
#mercadofinanceiro #investimentos 
https://t.co/AlhqY9IFSM</t>
  </si>
  <si>
    <t>📊 COLUNA Einar Rivero | Aluguel de ações: os papéis mais usados, os riscos e as oportunidades. Entenda
#mercadofinanceiro #investimentos 
https://t.co/HKyRpTdcNj</t>
  </si>
  <si>
    <t>Ibovespa perde os 122 mil pontos à espera de decisão de juros nos EUA. Confira 
#mercadofinanceiro #investimentos 
https://t.co/8nJD0HdVPU</t>
  </si>
  <si>
    <t>📉 Os mercados acionários europeus fecharam majoritariamente em queda hoje, cautelosos antes da decisões de Federal Reserve (Fed). Veja
#mercadofinanceiro #investimentos 
https://t.co/qJzkcBmyAy</t>
  </si>
  <si>
    <t>📉 Especialistas ainda tentam entender o que aconteceu, mas palpite principal é que o valor do ativo em que o fundo investia estava sendo superestimado pelo Pátria. Veja o que se sabe 
#mercadofinanceiro #investimentos 
https://t.co/geUG9jiLS5</t>
  </si>
  <si>
    <t>💵 Agência de classificação de risco Fitch elevou, nesta quarta-feira (26), nota de crédito do Brasil de BB- para BB. Confira a análise dos especialistas
#mercadofinanceiro #investimentos 
https://t.co/0ioOQjclO1</t>
  </si>
  <si>
    <t>Mercado Intraday: Em véspera de decisão do FED, Ibovespa opera em queda. Confira
#mercadofinanceiro #investimentos 
https://t.co/dkZK2jFDh5</t>
  </si>
  <si>
    <t>💰 Quais são as empresas que mais remuneram os acionistas com JCP? Confira
#mercadofinanceiro #investimentos
https://t.co/5RPrfQ5Yss</t>
  </si>
  <si>
    <t>✅ Gerdau (GGBR4) vai fornecer 330 toneladas de aço reciclável para o The Town
#mercadofinanceiro #investimentos
https://t.co/ySGlGQ1YR9</t>
  </si>
  <si>
    <t>✅ GPA anuncia passo importante rumo à segregação do Éxito
#mercadofinanceiro #investimentos 
https://t.co/6F6VwOcm3j</t>
  </si>
  <si>
    <t>💰 Isa Cteep (TRPL4) consegue sinal verde para projeto multimilionário. Saiba detalhes
#mercadofinanceiro #investimentos
https://t.co/mTtTSAVy83</t>
  </si>
  <si>
    <t>Bolsas da Europa: mercados em baixa com investidores à espera de CPI da Alemanha e PIB dos EUA.
🇪🇺Stoxx 600: -0,53%
🇬🇧FTSE: -0,66%
🇫🇷CAC: -0,44%
🇩🇪Dax: -0,16%
#mercadofinanceiro
https://t.co/mhmxrSq7Hx https://t.co/5xgurziMlz</t>
  </si>
  <si>
    <t>📊Abertura de Mercado: preocupação com a longevidade do ciclo de aperto monetário e dados econômicos fracos na Europa pautam as bolsas.
#mercadofinanceiro
https://t.co/0NKJsIc0p4</t>
  </si>
  <si>
    <t>📊 As taxas dos Treasuries de longo prazo voltaram a subir nesta quinta-feira, enquanto os rendimentos projetados em títulos de curto prazo acabaram corrigindo com queda. Confira
#mercadofinanceiro #investimentos #juros
https://t.co/JluKjEjUaA</t>
  </si>
  <si>
    <t>📉 As ações do IRB (#IRBR3)  encerraram a sessão desta quinta-feira (21) em queda de 2,12%, cotadas a R$ 39,63. Fique por dentro
#mercadofinanceiro #Investimentos
https://t.co/i3LauJfZMN https://t.co/w3sI7XkQxr</t>
  </si>
  <si>
    <t>💳 Em relação a agosto do ano passado, dados indicam uma acomodação da desaceleração vista nos últimos meses. Veja
#mercadofinanceiro #Investimentos
https://t.co/KVFf5Ec0gO</t>
  </si>
  <si>
    <t>📉 As ações da Magazine Luiza (#MGLU3) despencavam 5,95% nesta quinta-feira (21), cotadas a R$ 2,37 às 16h40. Confira
#mercadofinanceiro #Investimentos
https://t.co/eMxFG85Zm4</t>
  </si>
  <si>
    <t>💳 “O #Santander reduziu recentemente os juros do consignado para beneficiários do INSS e avalia constantemente a possibilidade de novas reduções em todos os convênios”, disse o banco. Veja
#mercadofinanceiro #investimentos
https://t.co/nvjM5oE76d https://t.co/sAWJ4KFIyp</t>
  </si>
  <si>
    <t>💵 Apesar disso, 85% dos brasileiros passaram por pelo menos uma situação de desequilíbrio financeiro nos últimos 12 meses. Fique por dentro
#mercadofinanceiro #Investimentos
https://t.co/866rpMvylO</t>
  </si>
  <si>
    <t>📊 Fechamento de Mercado: Ibovespa recua em meio a aversão ao risco global. Confira
#mercadofinanceiro #Investimentos 
https://t.co/weCwMFPHEo</t>
  </si>
  <si>
    <t>📉 As três ações que mais desvalorizaram no dia foram: Magazine Luiza (#MGLU3), Soma (#SOMA3) e Arezzo (#ARZZ3)
#mercadofinanceiro #Investimentos 
https://t.co/VRmnr9Y8YT</t>
  </si>
  <si>
    <t>📈 As três ações que mais valorizaram no dia foram: Suzano (#SUZB3), Sabesp (#SBSP3) e Natura (#NTCO3)
#mercadofinanceiro #Investimentos
https://t.co/qs32jT8bRH</t>
  </si>
  <si>
    <t>📉 As ações da Vale (#VALE3) estavam em baixa às 16h11 da sessão desta quarta-feira (20). Os ativos recuavam 2,18%, cotados a R$ 67,80.
#mercadofinanceiro #Investimentos
https://t.co/xMKqCIaQxT https://t.co/ryWwpwjiuF</t>
  </si>
  <si>
    <t>📉 As ações preferenciais da Petrobras (#PETR4) operam em baixa de 1,25% às 15h40 desta quinta-feira (21), cotadas a R$ 33,86. Entenda
#mercadofinanceiro #Investimentos
https://t.co/tDiUOYKovw https://t.co/M3TDzSA8fs</t>
  </si>
  <si>
    <t>📉 De acordo com a Reuters, o valor agregado dos negócios de private equity caiu 44%, para 302,7 bilhões de dólares, nos primeiros oito meses de 2023. Entenda
#mercadofinanceiro #investimentos #goldmansachs 
https://t.co/vCCaquvn1O https://t.co/yp5GGrU3re</t>
  </si>
  <si>
    <t>📉 As ações da CSN (#CSNA3) operavam em queda de 1,53%, cotadas a R$ 12,22 às 15h16 desta quinta-feira (21). Confira
#mercadofinanceiro #Investimentos
https://t.co/qT86PaIO91 https://t.co/h0UUVYTOw8</t>
  </si>
  <si>
    <t>📉 As ações do IRB (#IRBR3)  recuavam 0,99% às 14h50 desta quarta-feira (20), cotadas a R$40,09. Entenda
#mercadofinanceiro #Investimentos
https://t.co/9me2JLWB6T https://t.co/DkduDQB0cy</t>
  </si>
  <si>
    <t>👩🏼‍🦰 O “Women in Finance” é um evento promovido pela #Fin4She que reúne executivas do mercado financeiro para discutir equidade de gênero no ambiente de trabalho. Veja
#mercadofinanceiro #investimentos
https://t.co/J5TmwPl8pK</t>
  </si>
  <si>
    <t>👨🏻‍💻 COLUNA Fabrizio Gueratto | Através de app, o usuário poderá obter informações em tempo real de boas oportunidades e alertas de risco. Leia a coluna
#mercadofinanceiro #investimentos #educacaofinanceira
https://t.co/IIgoqKgQ9V https://t.co/PR3AWUOt2g</t>
  </si>
  <si>
    <t>💳 De acordo com a #XP, na primeira etapa, sete escritórios parceiros poderão oferecer os cartões aos seus clientes. Veja quais e mais detalhes aqui
#mercadofinanceiro #investimentos
https://t.co/dmAIQIahY2</t>
  </si>
  <si>
    <t>📉 Na tarde desta quinta-feira (21), as ações da Braskem (#BRKM5) estavam despencando após ter sua avaliação rebaixada pelo BTG Pactual (#BPAC11) para neutro. Veja
#mercadofinanceiro #investimentos
https://t.co/d5JAHdN4d7</t>
  </si>
  <si>
    <t>📉As ações da Vale (#VALE3) estavam em baixa às 13h45 desta quarta-feira (20). Os ativos recuavam 2,02%, cotados a R$ 67,91. Veja
#mercadofinanceiro #investimentos
https://t.co/p6urQ1hDNl</t>
  </si>
  <si>
    <t>📈 Sabesp ON (#SBSP3) sobe 1,79%, driblando a aversão a risco e figurando entre as únicas cinco ações em alta no Ibovespa. Veja 
#mercadofinanceiro #investimentos
https://t.co/gV0GQNnlI0 https://t.co/gRsz3xp0EJ</t>
  </si>
  <si>
    <t>💵 A Ásia, enquanto isso, está aprovando regras para os #criptoativos, exemplificadas no mês passado pelas primeiras licenças de Hong Kong para as plataformas de negociação. Veja
#mercadofinanceiro #investimentos
https://t.co/4QSlBQoqMb https://t.co/bpGzyoFltw</t>
  </si>
  <si>
    <t>📊 Mercado Intraday: Mercado corrige expectativa para juros e bolsas recuam. Veja
#mercadofinanceiro #investimentos
https://t.co/TeGbeM63NF</t>
  </si>
  <si>
    <t>📊 Com o corte da taxa #Selic para 12,75%, o rendimento da poupança é de 6,17% ao ano. Veja o rendimento de R$ 35 milhões da Mega-Sena
#mercadofinanceiro #investimentos #MegaSena
https://t.co/gHFyxQEdLq https://t.co/WbaOUoBHvt</t>
  </si>
  <si>
    <t>📉 As ações preferenciais da Petrobras (#PETR4) operam em baixa de 0,82% às 13h18 desta quarta-feira (20), cotadas a R$ 34,01. Veja 
#mercadofinanceiro #investimentos 
https://t.co/w9YUq28Gcb https://t.co/vX8wstaRlU</t>
  </si>
  <si>
    <t>📊BTG Pactual (#BPAC11) conclui compra do capital social do FIS Privatbank.
#einvestidor #mercadofinanceiro
https://t.co/GMVLzQPmuS</t>
  </si>
  <si>
    <t>📊Mercado hoje: Banco do Brasil (#BBAS3) e Caixa (#CXSE3) reduzem taxas após corte na Selic, Natura (#NTCO3) atrai interesse de compradores britânicos e Copel (#CPLE6) anuncia distribuição de JCP.
#mercadofinanceiro
https://t.co/Vr6YddORuM https://t.co/qOPuPLKv5E</t>
  </si>
  <si>
    <t>📊Mercado hoje: decisões de política monetária ficam no radar, após manutenção dos juros nos EUA e corte na Selic.
#mercadofinanceiro #einvestidor
https://t.co/Qc5hiSrVo9</t>
  </si>
  <si>
    <t>📊Além da Bolsa, em que outros ativos os clientes da XP estão interessados? Apesar de recuo em otimismo com a renda variável, pesquisa aponta vontade de aumentar exposição em ações.
#mercadofinanceiro
https://t.co/oTF1ujxesX https://t.co/ImuiP3IdE2</t>
  </si>
  <si>
    <t>📊Bolsas da Europa operam em queda na manhã desta quinta-feira (21) após Fed sinalizar alta de juros e à espera do BoE.
🇪🇺Stoxx 600: -0,97%
🇬🇧FTSE: -0,55%
🇫🇷CAC: -1,15%
🇩🇪DAX: -0,82%
#mercadofinanceiro
https://t.co/KCJio1gidJ</t>
  </si>
  <si>
    <t>Bolsas da Ásia fecham em baixa após sinalização do Fed sobre política monetária.
🇯🇵Nikkei: -1,37%
🇭🇰Hang Seng: -1,29%
🇨🇳Xangai: -0,77%
🇨🇳Shenzen: -0,83%
🇰🇷Kospi: -1,75%
🇹🇼Taiex: -1,32%
#mercadofinanceiro
https://t.co/1m4BErSLkr https://t.co/Tu21WQ3jXt</t>
  </si>
  <si>
    <t>💵 O #Bradesco BBI vê a venda da carteira de financiamento estudantil da Ânima (#ANIM3) para o Pravaler como marginalmente positiva devido à redução dos riscos de violação do pacto. Veja
#mercadofinanceiro #investimentos
https://t.co/ynSRHKig9Z</t>
  </si>
  <si>
    <t>📈 Esse movimento se deu em meio a ganhos da moeda americana no exterior, em especial em relação a divisas fortes. Entenda
#mercadofinanceiro #investimentos #Dolar 
https://t.co/2O6XMGz85f</t>
  </si>
  <si>
    <t>📈 As ações da Magazine Luiza (#MGLU3) encerraram em alta de 0,79% nesta quarta-feira (20), cotadas a R$ 2,54. Confira
#mercadofinanceiro #Investimentos 
https://t.co/eLgTZ9QDsU</t>
  </si>
  <si>
    <t>📉 O índice Nasdaq caiu 1,53%, para 13469,13 pontos, enquanto o Dow Jones recuou 0,22%, aos 34440,88 pontos, e o S&amp;amp;P 500 baixou 0,94%, para 4402,20 pontos. Veja
#mercadofinanceiro #Investimentos 
https://t.co/Bdiu2hIoMF</t>
  </si>
  <si>
    <t>📈 As ações da Vale (#VALE3) fecharam em alta na sessão desta quarta-feira (20). Os ativos avançaram 0,65%, cotados a R$ 69,30. Saiba mais
#mercadofinanceiro #investimentos
https://t.co/MOTpiNKoc0</t>
  </si>
  <si>
    <t>📊 As taxas dos Treasuries de curto prazo subiram com força ao final da tarde hoje, com o rendimento projetado no papel de 2 anos chegando ao pico desde 2006. Veja
#mercadofinanceiro #investimentos
https://t.co/WQoUAcytVG</t>
  </si>
  <si>
    <t>📈 As ações preferenciais da Petrobras (#PETR4) encerraram em alta de 0,23% nesta quarta-feira (20), cotadas a R$ 34,29. Confira
#mercadofinanceiro #investimentos
https://t.co/JkfxuyyxiV</t>
  </si>
  <si>
    <t>🧑‍⚖️ A AGE deveria modificar o objeto social da Springer, de acordo com a atividade efetivamente exercida pela empresa desde maio de 2018. Veja
#mercadofinanceiro #investimentos #CVM
https://t.co/0sWAdUZrMe</t>
  </si>
  <si>
    <t>📊 Os analistas comentam que a perspectiva de melhoria nos fundamentos do setor petroquímico não se concretizou. Confira aqui
#mercadofinanceiro #investimentos
https://t.co/6hoM816Msq</t>
  </si>
  <si>
    <t>📈 O programa oferece isenção federal a compras do exterior de até US$ 50 - o equivalente a R$ 244,00. Fique por dentro
#mercadofinanceiro #investimentos
https://t.co/47zbJtlKzc</t>
  </si>
  <si>
    <t>📉 O contrato do barril do WTI para novembro fechou em baixa 0,91%, a US$ 89,66 na New York Mercantile Exchange (#Nymex). Veja
#mercadofinanceiro #investimentos
https://t.co/dTX4Eq6E9G</t>
  </si>
  <si>
    <t>📊 Fechamento de Mercado: Fed mantém juros mas sinaliza que ciclo de aperto não acabou. Confira
#mercadofinanceiro #Investimentos 
https://t.co/0u4h7vLLGw</t>
  </si>
  <si>
    <t>📈 As ações da CSN (#CSNA3) operam em alta de 0,24% nesta quarta-feira (20), cotadas a R$ 12,44, às 16h18. Veja
#mercadofinanceiro #investimentos
https://t.co/c3zSrP9iID</t>
  </si>
  <si>
    <t>📉 As três ações que mais desvalorizaram no dia foram: GPA (#PCAR3), Braskem (#BRKM5) e PetroRecôncavo (#RECV3)
#mercadofinanceiro #Investimentos 
https://t.co/zXPjHP5mIU</t>
  </si>
  <si>
    <t>📈 As três ações que mais valorizaram no dia foram: Azul (#AZUL4), CVC (#CVCB3) e Gol (#GOLL4)
#mercadofinanceiro #Investimentos 
https://t.co/4V4K6ivQgL</t>
  </si>
  <si>
    <t>📊 Banco central dos EUA decidiu manter a taxa de juros inalterada, mas tom de cautela permanece. Veja
#mercadofinanceiro #investimentos
https://t.co/oEoT3NWX3r</t>
  </si>
  <si>
    <t>📉 A alta das ações segue em linha com o avanço do Ibovespa na espera da decisão do #Fed e #Copom. Veja
#mercadofinanceiro #investimentos
https://t.co/Bp30j8p3fC</t>
  </si>
  <si>
    <t>📊💰 A participação na promoção estará disponível até o dia 19 de dezembro e dará direito a prêmios de até R$ 50 mil. Veja
#mercadofinanceiro #investimentos #tesouros
https://t.co/AoudS4KKY2</t>
  </si>
  <si>
    <t>📊Mercado hoje: atenção de investidores se volta para o IBC-Br na véspera da decisão sobre juros no Brasil e nos EUA.
#mercadofinanceiro
https://t.co/v3dGry5nyY https://t.co/ICvEI7oJ3W</t>
  </si>
  <si>
    <t>🛒📊Casas Bahia (#BHIA3): aposta na recuperação judicial? O que explica o ‘short’ na ex-Via (#VIIA3).
#varejo #mercadofinanceiro
https://t.co/Nc8KtCsR3T https://t.co/61L0TTaNJo</t>
  </si>
  <si>
    <t>Bolsas da Ásia fecham impactadas por cautela pré-Fed e volta de Tóquio após feriado.
🇯🇵Nikkei: -0,87%
🇭🇰Hang Seng: +0,37%
🇨🇳Xangai: -0,03%
🇨🇳Shenzen: -0,88%
🇰🇷Kospi: -0,60%
🇹🇼Taiex: -0,37%
#mercadofinanceiro
https://t.co/JhMV5mAdS4 https://t.co/EYjnUSbXGL</t>
  </si>
  <si>
    <t>🧾 Créditos do programa permanecem à disposição dos consumidores por um ano a partir da data de liberação. Saiba como consultar
#mercadofinanceiro #investimentos #educaçãofinanceira
https://t.co/vO6Nd6otnq</t>
  </si>
  <si>
    <t>📊 Assim, o conjunto de veículos passa a deter 8.052.137 ações PN em empréstimos doadores e de 621.500 de ações ON. Veja
#mercadofinanceiro #investimentos
https://t.co/XXm5RufjbD</t>
  </si>
  <si>
    <t>📊🧐 Segundo especialistas, o mercado financeiro passa por uma era de digitalização da economia. Confira
#mercadofinanceiro #investimentos 
https://t.co/TmsNtShInm</t>
  </si>
  <si>
    <t>📊💵 Quais ações que pagam dividendos são boas para investir em setembro? Confira
#mercadofinanceiro #investimentos
https://t.co/I5SIeAYveT</t>
  </si>
  <si>
    <t>📊 Taesa (#TAEE11): especialistas apontaram que “os pagamentos de dividendos permanecerão robustos". Veja detalhes
#mercadofinanceiro #investimentos
https://t.co/uDMUxJFEHR</t>
  </si>
  <si>
    <t>👨🏼‍⚕️ Agência Nacional de Saúde Suplementar (ANS) divulgou dados operacionais e de lucro das empresas do setor. Fique por dentro
#mercadofinanceiro #Investimentos
https://t.co/Aquehv9Hj8</t>
  </si>
  <si>
    <t>📊 Entraram PetroReconcavo ON (RECV3) e Grupo Vamos ON (VAMO3). Já a Meliuz ON (CASH3) ficou de fora. Saiba mais
#mercadofinanceiro #investimentos #b3d 
https://t.co/IhEivz2HcN</t>
  </si>
  <si>
    <t>💵 A estimativa é de que o prêmio seja de R$ 200 milhões, o maior da história desse concurso. Saiba tudo para apostar na #Lotofácil da Independência
#mercadofinanceiro #investimentos
https://t.co/4CkD1QBd80</t>
  </si>
  <si>
    <t>COLUNA Marco Saravalle | PIB para acima e incertezas fiscais. Entenda como fica o mercado #mercadofinanceiro #investimentos
https://t.co/QULy8ED1Gk</t>
  </si>
  <si>
    <t>💳💵 Há situações nas quais o parcelamento é mais vantajoso e outras em que pagar à vista traz benefícios. Veja quais são elas
#mercadofinanceiro #investimentos
https://t.co/uiNcxJXuRh</t>
  </si>
  <si>
    <t>📈 Em documento, Petrobras (#PETR3, #PETR4) disse que desistiu de seguir com os desinvestimentos de ativos de exploração e produção de petróleo de sua subsidiária na Argentina. 
#mercadofinanceiro #investimentos
https://t.co/kNovTD16mz</t>
  </si>
  <si>
    <t>💵 O Banco Central (BC) informou nesta sexta-feira (8) que, em agosto, os os saques de recursos na caderneta de poupança excederam os depósitos em quase R$ 10,1 bilhões. Entenda
#mercadofinanceiro #investimentos
https://t.co/x014LrRU3J</t>
  </si>
  <si>
    <t>📉 As três ações que mais desvalorizaram na semana foram: Embraer (#EMBR3), Alpargatas (#ALPA4) e Magazine Luíza (#MGLU3)
#mercadofinanceiro #investimentos
https://t.co/DbBsKLxfhG</t>
  </si>
  <si>
    <t>📈 As três ações que mais valorizaram semana foram: Braskem (#BRKM5), o Martinho (#SMTO3) e Assaí (#ASAI3)
#mercadofinanceiro #investimentos
https://t.co/5rwUT8Brl9</t>
  </si>
  <si>
    <t>📊 Fechamento de Mercado: Ibovespa recua em ambiente de baixa liquidez. Confira
#mercadofinanceiro #investimentos
https://t.co/ATqoEUnglT</t>
  </si>
  <si>
    <t>📉 As três ações que mais desvalorizaram no dia foram: Embraer (#EMBR3), Alpargatas (#ALPA4) e Magazine Luíza (#MGLU3)
#mercadofinanceiro #investimentos 
https://t.co/DbBsKLxN7e</t>
  </si>
  <si>
    <t>📈 As três ações que mais valorizaram no dia foram: Petz (#PETZ3), Yduqs (#YDUQ3) e Petrorio (#PRIO3)
#mercadofinanceiro #investimentos 
https://t.co/QdhwgQ5VPY</t>
  </si>
  <si>
    <t>📊 A casa considerou que o acordo entre o Grupo Petrópolis pela locadora aluguel de caminhões é positivo. Confira
#mercadofinanceiro #investimentos
https://t.co/wo86UhvvHd</t>
  </si>
  <si>
    <t>📈 As ações da Round Hill Music Royalty Fund dispararam nesta sexta-feira (8) na Bolsa de Valores de Londres. O movimento ocorreu após uma oferta de compra da Alchemy Copyrights. Entenda
#mercadofinanceiro #investimentos #Beatles 
https://t.co/w006igVpNe</t>
  </si>
  <si>
    <t>📊 COLUNA Fabrizio Gueratto | Entenda como funciona a entidade criada para proteger recursos de investidores
#mercadofinanceiro #investimentos #educacaofinanceira
https://t.co/2odo5jcWnu</t>
  </si>
  <si>
    <t>📉 Os papéis da Petrobras (#PETR3;#PETR4) caíam nesta sexta-feira (08) mesmo com a divulgação de novo recorde na utilização das refinarias. Confira
#mercadofinanceiro #investimentos
https://t.co/A4yi9BBobq</t>
  </si>
  <si>
    <t>🍀 De acordo com o site da Caixa Econômica Federal, as chances de alguém acertar os 15 números da #Lotofácil é de 1 em 3.268.760. Confira
#mercadofinanceiro #investimentos
https://t.co/K5XpwBORA1</t>
  </si>
  <si>
    <t>📊 A #GPA atualmente detém uma participação societária indireta de 34% no capital social da Cnova. Veja
#mercadofinanceiro #investimentos
https://t.co/3iYTalqIuT</t>
  </si>
  <si>
    <t>💵 O E-Investidor com a ajuda da #Fincare N26, banco digital focado em cuidados financeiros, montou uma lista de dicas para te ajudar a terminar a saga de agosto no azul. Veja
#mercadofinanceiro #Investimentos 
https://t.co/LXn27Zk4oA</t>
  </si>
  <si>
    <t>📊 COLUNA Evandro Mello | Larissa Manoela: o que polêmica ensina sobre dinheiro, negócios e família? Confira
#mercadofinanceiro #investimentos #LarissaManoela 
https://t.co/17sfRNlTcB</t>
  </si>
  <si>
    <t>💵 Para alcançar o teto máximo, o trabalhador precisa ter um salário equivalente ao teto do ano vigente durante os anos de contribuição. Saiba mais
#mercadofinanceiro #Investimentos 
https://t.co/qheTL3X3fF</t>
  </si>
  <si>
    <t>🍀 A Caixa Econômica Federal anunciou nesta sexta-feira (18) que a #MegaSena passará a ter três sorteios semanais. Confira
#mercadofinanceiro #Investimentos 
https://t.co/TtyUOMhw06</t>
  </si>
  <si>
    <t>💵 Os grandes vencedores são de São Paulo (SP) e Juazeiro (BA) e levaram R$ 1.928.029,09 cada. Ambas foram apostas simples. Confira
#mercadofinanceiro #investimentos #megasena
https://t.co/ZporJDQelr</t>
  </si>
  <si>
    <t>📊 No Brasil, a movimentação em Brasília deu alguma esperança de que a pauta das reformas econômicas se desenrole. Entenda
#mercadofinanceiro #Investimentos 
https://t.co/jVSqb3b3wk</t>
  </si>
  <si>
    <t>📉 Os papéis da Vale (VALE3) fecharam a sexta-feira (18) em queda de 1,11%, cotados a R$ 61,22, enquanto o Ibovespa subiu 0,37%. Confira
#mercadofinanceiro #Investimentos 
https://t.co/woDzu4CEQi</t>
  </si>
  <si>
    <t>📊💵 O #dólar operou sem direção única ante boa parte das divisas fortes e emergentes, porém, o índice DXY indica que a moeda americana acumulou fortes ganhos semanais. Veja
#mercadofinanceiro #Investimentos 
https://t.co/fM3XgcvxV7</t>
  </si>
  <si>
    <t>💵 Após abrir em alta e registrar máxima a R$ 5,0020 o dólar perdeu força ainda no fim da manhã e operou em terreno negativo ao longo da tarde. Veja
#mercadofinanceiro #Investimentos 
https://t.co/Zp4yoFQrQg</t>
  </si>
  <si>
    <t>📊 Quadro geral, no entanto, ainda é de incertezas em relação aos planos futuros do Federal Reserve (Fed). Entenda
#mercadofinanceiro #Investimentos 
https://t.co/bvltyQpDi1</t>
  </si>
  <si>
    <t>📊 A desvalorização ocorre em meio a um quadro de cautela com a economia global, sobretudo diante da crise imobiliária na China que se acentuou nos últimos dias. Confira
#mercadofinanceiro #Investimentos 
https://t.co/g19atbu9XM</t>
  </si>
  <si>
    <t>🚗💥 O Seguro de Danos Pessoais Causados por Veículos Automotores de Via Terrestre, DPVAT, tem como finalidade amparar as vítimas de acidentes de trânsito em todo o território nacional. Saiba mais
#mercadofinanceiro #Investimentos 
https://t.co/Qt9ILMiDLA</t>
  </si>
  <si>
    <t>📉 As notícias de estímulo econômico na China deram fôlego para a commodity desde ontem, mas não foram suficientes para contornar o pessimismo diante da crise no setor imobiliário chinês. Veja
#mercadofinanceiro #investimentos #petroleo
https://t.co/peGMpWcjbr</t>
  </si>
  <si>
    <t>📊 COLUNA Espaço do Especialista | Você conhece o Santo Graal dos investimentos? Confira
#mercadofinanceiro #Investimentos 
https://t.co/Hz7RveuxL3</t>
  </si>
  <si>
    <t>📉 As ações da Méliuz (#CASH3) reduziram os ganhos nesta terça-feira (01) na B3. Confira
#mercadofinanceiro #Investimentos 
https://t.co/vybN4ExOPk</t>
  </si>
  <si>
    <t>📉 O Ibovespa opera em queda nesta terça-feira (01), no primeiro pregão de agosto. Confira
#mercadofinanceiro #Investimentos 
https://t.co/AXCfkDzZfH</t>
  </si>
  <si>
    <t>👨‍👩‍👧‍👦 Tesouro Educa+ terá incidência de Imposto de Renda? Confira quais tributos serão cobrados
#mercadofinanceiro #Investimentos 
https://t.co/4bJkSROSaw</t>
  </si>
  <si>
    <t>💧📉 As ações da Sabesp (#SBSP3) acumulam as maiores perdas do Ibovespa #Tarcísio de Freitas anunciar o modelo de privatização da companhia. Veja
#mercadofinanceiro #Investimentos 
https://t.co/FbqdtwbVHr</t>
  </si>
  <si>
    <t>📊👨‍⚖️ BlackRock e MSCI são acusadas de facilitar investimentos na China. Entenda
#mercadofinanceiro #Investimentos 
https://t.co/noT8fpFMCN</t>
  </si>
  <si>
    <t>💵⚽ Entre os apostadores brasileiros, a perspectiva é de vitória do Brasil. O E-Investidor sondou com 4 sites de apostas esportivas quanto os palpites estão pagando em odds. Veja
#mercadofinanceiro #Investimentos 
https://t.co/Rlz9Gg8A7x</t>
  </si>
  <si>
    <t>📲 A BIA, Inteligência Artifical do #Bradesco, foi lançada em 2016, e faz consultas para os clientes, como saldos e extratos, entre outros. Confira
#mercadofinanceiro #Investimentos 
https://t.co/qsKqodEfNR</t>
  </si>
  <si>
    <t>📊 Mercado Intraday: Ibovespa recua em meio a exterior negativo. Veja
#mercadofinanceiro #Investimentos 
https://t.co/OLIKj4nN4v</t>
  </si>
  <si>
    <t>✅ Isa CTEEP (TRPL4) duplica lucro líquido no 2º trimestre. Confira os detalhes
#mercadofinanceiro #investimentos 
https://t.co/BVJzXBKMTt</t>
  </si>
  <si>
    <t>💰 Caterpillar (CATP34) registra lucro acima do previsto no 2º trimestre. Veja
#mercadofinanceiro #investimentos 
https://t.co/va8xU5bg7g</t>
  </si>
  <si>
    <t>📚 Tesouro Educa+: confira tudo o que você precisa saber sobre o novo título
#mercadofinanceiro #investimentos 
https://t.co/D4xOO1tRZm</t>
  </si>
  <si>
    <t>📊 Avenue reduz aplicação mínima em títulos do Tesouro americano. Entenda
#mercadofinanceiro #investimentos 
https://t.co/NRkPB9qX5i</t>
  </si>
  <si>
    <t>Real e imediato: mercado financeiro vê com unanimidade ajuste da #Selic pelo #Copom, mas de quanto será o corte da taxa básica de #juros? Confira as projeções e os fundamentos das casas.
#mercadofinanceiro 
https://t.co/jCxgBbRUiF</t>
  </si>
  <si>
    <t>🏭📈 O atual presidente da #Petrobras foi para o Twitter expor sua opinião sobre um assunto importante. Veja as ações
#mercadofinanceiro #investimentos
https://t.co/d2NCghl5Pz</t>
  </si>
  <si>
    <t>📉 Após mudanças nos dividendos, ações da Petrobras (#PETR3;#PETR4) decolam. Entenda
#mercadofinanceiro #investimentos
https://t.co/Rg4SZklF9t</t>
  </si>
  <si>
    <t>🎲 Mega-Sena: próximo concurso sorteia R$ 50 milhões. Veja quanto o valor renderia na poupança
#mercadofinanceiro #investimentos
https://t.co/epvq135p7b</t>
  </si>
  <si>
    <t>💵 Os trabalhadores que recolheram o Pis/Pasep entre 1971 e 1988 têm direito a resgatar o valor considerado “esquecido”, até o próximo sábado (5). Saiba mais
#mercadofinanceiro #investimentos 
https://t.co/2rONlFdomR</t>
  </si>
  <si>
    <t>📊 Os rendimentos dos Treasuries oscilaram entre ganhos e perdas ao longo da sessão desta segunda-feira e chegaram ao fim da tarde com viés negativo. Veja
#mercadofinanceiro #investimentos 
https://t.co/gUyO6zErM9</t>
  </si>
  <si>
    <t>💵 Dólar avança ante rivais, de olho em diferencial de juros entre EUA e Europa. Confira
#mercadofinanceiro #investimentos 
https://t.co/Yu91mjmq9O</t>
  </si>
  <si>
    <t>🏭 A nota de crédito internacional (IDR, na sigla em inglês) de longo prazo da empresa foi elevada a BB. Entenda
#mercadofinanceiro #investimentos 
https://t.co/9GumNomiYW</t>
  </si>
  <si>
    <t>Petrobras (#PETR3; #PETR4) comenta preços internacionais e eventuais ajustes internos. Veja 
#mercadofinanceiro #investimentos
https://t.co/v3fOQ1ymWE</t>
  </si>
  <si>
    <t>📈 A ação da Sabesp (#SBSP3) tocou a máxima de 2,01%, com o mercado à espera de novidades acerca do processo de privatização. Saiba mais
#mercadofinanceiro #investimentos 
https://t.co/TVY7z3UAYZ</t>
  </si>
  <si>
    <t>🗓️ O prazo de adesão ao Programa de Redução de Litigiosidade Fiscal (PRLF), mais conhecido como Litígio Zero, foi prorrogado para as 19h do dia 28 de dezembro de 2023. Saiba mais
#mercadofinanceiro #investimentos 
https://t.co/Fd84pFrmG8</t>
  </si>
  <si>
    <t>💳 O Banco do Brasil (BBAS3) vai ampliar a conciliação de vendas de todas as maquininhas após fazer testes da solução, lançada em meados de junho. Veja
#mercadofinanceiro #investimentos 
https://t.co/uHMaOy1mXy</t>
  </si>
  <si>
    <t>💵 Petróleo encerra julho com o maior ganho mensal em um ano e meio. Confira 
#mercadofinanceiro #investimentos
https://t.co/EJKI2xClPb</t>
  </si>
  <si>
    <t>📈 O Ibovespa registrou o seu quarto melhor desempenho do ano no mês de julho. Veja as ações que mais valorizaram no mês
#mercadofinanceiro #investimentos 
https://t.co/cYCg8jZpit</t>
  </si>
  <si>
    <t>📉 As ações menos rentáveis do Ibovespa em julho: Gol e Azul foram os principais destaques negativos do Ibovespa. Veja o ranking
#mercadofinanceiro #Investimentos 
https://t.co/1DeGXmDgKG</t>
  </si>
  <si>
    <t>📈 As ações mais rentáveis do Ibovespa de julho: Méliuz e PRIO foram os principais destaque do mês. Veja o ranking
#mercadofinanceiro #Investimentos 
https://t.co/D1B9DCzqwr</t>
  </si>
  <si>
    <t>📊🤔A Bolsa vai continuar em alta? Mercado espera que o índice siga a tendência de valorização. Confira
#mercadofinanceiro #investimentos 
https://t.co/DaTreyWOu9</t>
  </si>
  <si>
    <t>💵 Quanto #Bolsonaro ganha em rendimentos ao investir R$ 17 mi na renda fixa? Valores podem estar relacionados a "vaquinha" criada para o ex-presidente pagar multas judiciais. Veja
#mercadofinanceiro #Investimentos 
https://t.co/jtjTRGaPc7</t>
  </si>
  <si>
    <t>🤝💵 O Fundo de Garantia do Tempo de Serviço (FGTS) é um fundo criado com o objetivo de proteger o trabalhador demitido sem justa causa. Veja se você tem direito
#mercadofinanceiro #Investimentos 
https://t.co/pECanLOFtV</t>
  </si>
  <si>
    <t>📊 Fechamento de Mercado: Ibovespa confirma o quarto mês consecutivo de alta. Veja
#mercadofinanceiro #investimentos 
https://t.co/omh6JEzz0e</t>
  </si>
  <si>
    <t>📊Mercado hoje: falas de Campos Neto e Powell ficam no radar em dia de dados econômicos de Brasil e EUA.
#mercadofinanceiro
https://t.co/UTSWOkPJUw https://t.co/stlqJfqTUo</t>
  </si>
  <si>
    <t>📈 As ações do IRB (#IRBR3) encerraram em alta de 0,02% nesta terça-feira (26), cotadas a R$ 41,44. Veja
#mercadofinanceiro #investimentos
https://t.co/2coAToFaZ8</t>
  </si>
  <si>
    <t>📊 A mudança no marco regulatório deve entrar em vigor em 2 de outubro, disse o presidente da comissão. Veja
#mercadofinanceiro #investimentos
https://t.co/LvMNPrhi3U https://t.co/tBKo8o7Re6</t>
  </si>
  <si>
    <t>📉 As três ações que mais desvalorizaram no dia foram: Petz (#PETZ3), Pão de Açúcar (#PCAR3) e Locaweb (#LWSA3)
#mercadofinanceiro #investimentos
https://t.co/rX6lwBBvCv https://t.co/UbDcjdkR4T</t>
  </si>
  <si>
    <t>📈 As três ações que mais valorizaram no dia foram: BRF (#BRFS3), Eletrobras PN (#ELET6) e Eletrobras ON (#ELET3)
#mercadofinanceiro #investimentos
https://t.co/KaVchtctFr https://t.co/7AIkaw73Ow</t>
  </si>
  <si>
    <t>📊Abertura de Mercado: dados do IPCA, ata do Copom e mau humor no exterior puxado pela China e juros dos EUA pautam as bolsas nesta terça-feira.
#mercadofinanceiro
https://t.co/mFQCplO88c https://t.co/QO27ugbkAZ</t>
  </si>
  <si>
    <t>📉 As ações da Vale (#VALE3) encerraram o pregão desta segunda-feira (25) em queda de 1,88%, cotadas a R$ 66,72. Confira
#mercadofinanceiro #investimentos
https://t.co/GWTTs5qhuB https://t.co/1lPWeXNnpa</t>
  </si>
  <si>
    <t>📊 É a terceira sessão consecutiva em que a curva local registra aumento da inclinação, acompanhando com grande aderência o comportamento dos yields dos #Treasuries. Veja
#mercadofinanceiro #investimentos
https://t.co/HBNdDhrWHv https://t.co/yw9UucZM9s</t>
  </si>
  <si>
    <t>📊 Fechamento de Mercado: Ibovespa tem início de semana fraco com baixo giro financeiro. Confira
#mercadofinanceiro #Investimentos 
https://t.co/Y5DN5vFZdQ</t>
  </si>
  <si>
    <t>📉 As três ações que mais desvalorizaram no dia foram: Magazine Luiza (#MGLU3), Gol (#GOLL4) e Azul (#AZUL4)
#mercadofinanceiro #Investimentos 
https://t.co/nkCE4hnRYN</t>
  </si>
  <si>
    <t>📈 As três ações que mais valorizaram no dia foram: CVC (#CVCB3), WEG (#WEGE3) e IRB (#IRBR3)
#mercadofinanceiro #Investimentos
https://t.co/lV8jmhniiR</t>
  </si>
  <si>
    <t>Mercado hoje: palestra de Haddad na FGV e falas da presidente do BC europeu ficam no radar.
#mercadofinanceiro
https://t.co/AlVd2aJjRG https://t.co/rXCVfvujME</t>
  </si>
  <si>
    <t>Bolsas da Ásia fecham mistas de olho no setor imobiliário chinês.
🇯🇵Nikkei: +0,85%
🇭🇰Hang Seng: -1,82%
🇨🇳Shanghai: -0,54%
🇨🇳Shenzen: -0,47%
🇰🇷Kospi: -0,49%
🇹🇼Taiex: +0,66%
#mercadofinanceiro
https://t.co/FVSjZrckWV https://t.co/SvOwMFZ3PY</t>
  </si>
  <si>
    <t>💵 Saiba de onde vem as fortunas de Bernard Arnault, Elon Musk, Jeff Bezos, Larry Ellison e Warren Buffett
#mercadofinanceiro #investimentos #warrenbuffett 
https://t.co/Wi2NT3OsRv</t>
  </si>
  <si>
    <t>💵📲 O vírus possui uma tecnologia que não precisa de comandos diretos dos fraudadores para roubar o saldo da conta. Fique por dentro
#mercadofinanceiro #investimentos #pix
https://t.co/iuhdrdt4RK https://t.co/0nMcxAyCz6</t>
  </si>
  <si>
    <t>📈 O #dólar à vista encerrou a sessão desta quinta-feira, 21, em alta de 1,13%, cotado a R$ 4,9352, perto da máxima, a R$ 4,9362. Confira
#mercadofinanceiro #Investimentos
https://t.co/kfXOkKX7Ns</t>
  </si>
  <si>
    <t>📊 As ações preferenciais da Petrobras (#PETR4) fecham em baixa de 1,25% nesta quinta-feira (21), cotadas a R$ 33,86. Veja
#mercadofinanceiro #Investimentos
https://t.co/Orn0LplRNR</t>
  </si>
  <si>
    <t>📉 As bolsas de Nova York fecharam em baixa, com pressão dos juros dos Treasuries. Veja
#mercadofinanceiro #Investimentos
https://t.co/soE3KXZ2lZ https://t.co/c74X2lTnCr</t>
  </si>
  <si>
    <t>💵 O BTG Pactual (#BPAC11) rebaixou a Braskem (#BRKM5) para neutro, com preço-alvo de R$ 26, por considerar que o segundo semestre de 2023 pode ser ainda mais fraco. Fique por dentro
#mercadofinanceiro #investimentos
https://t.co/v7Tkp2AGOi</t>
  </si>
  <si>
    <t>🍀 Os sorteios acontecem às quartas-feiras e aos sábados, a partir das 20h, em transmissão ao vivo no canal do YouTube da Caixa. Veja como funciona
#mercadofinanceiro #investimentos
https://t.co/YHOBbvBUKI</t>
  </si>
  <si>
    <t>📊Abertura de Mercado: com Lula na ONU, os investidores ficam à espera das decisões sobre a política monetária dos EUA e do Brasil na Super Quarta.
#mercadofinanceiro
https://t.co/Mx0KLXCFzy https://t.co/KvNnYydB1I</t>
  </si>
  <si>
    <t>📊 A análise da empresa foi feita após a divulgação de dados econômicos nos Estados Unidos. Fique por dentro
#mercadofinanceiro #investimentos
https://t.co/olFDOEvLWL</t>
  </si>
  <si>
    <t>📊 Mercado Intraday: Ibovespa realiza lucros na última sessão da semana. Confira
#mercadofinanceiro #investimentos
https://t.co/Vu5Ysd00rL</t>
  </si>
  <si>
    <t>📊 Além de aproveitar o momento de valorização dos FIIs, o investidor pode conseguir renda passiva mensal. Veja
#mercadofinanceiro #investimentos
https://t.co/jYVU93WbUW</t>
  </si>
  <si>
    <t>🤔🛒Novo nome, novo preço: agora Grupo Casas Bahia (#BHIA3), por que ações da ex-Via (#VIIA3 -- que antes era Via Varejo) virou uma penny stock.
#einvestidor #mercadofinanceiro #varejo
https://t.co/eVeeCP0fS5</t>
  </si>
  <si>
    <t>📊🏢CVM toma decisão sobre pedido da BR Properties (#BRPR3) para sair da Bolsa de valores.
#mercadofinanceiro
https://t.co/2j16gT84sU</t>
  </si>
  <si>
    <t>📊#Ibovespa hoje: índice abre em alta de 0,3% puxado pelo corte de juros na China e dados do varejo no Brasil.
#mercadofinanceiro
https://t.co/qpkusmDwyC</t>
  </si>
  <si>
    <t>📊Abertura de Mercado: China carrega o humor das bolsas nesta sexta-feira com corte de juros, incentivos ao consumo e dados econômicos.
#mercadofinanceiro
https://t.co/9CZGG4J3va</t>
  </si>
  <si>
    <t>👨🏼‍⚕️ Agência Nacional de Saúde Suplementar (ANS) divulgou dados operacionais e de lucro das empresas do setor. Fique por dentro
#mercadofinanceiro #Investimentos 
https://t.co/Aquehvaf8G</t>
  </si>
  <si>
    <t>🛒 O relatório afirma não ter sido possível identificar “de forma precisa” os autores dafraude contábil bilionária. As ações da Americanas (#AMER3) fecharam em recuo de 2,04%. Veja
#mercadofinanceiro #investimentos
https://t.co/495t8ntipo</t>
  </si>
  <si>
    <t>📈 Os #juros futuros encerraram com viés de alta a sessão desta segunda-feira, marcada pela ausência dos negócios em Wall Street e que secou a liquidez do mercado. Veja
#mercadofinanceiro #investimentos
https://t.co/DtVjiIkl58</t>
  </si>
  <si>
    <t>📊 Levantamento mostra que é possível encontrar taxas entre 72% a 133% do CDI, a depender da instituição emissora. Confira
#mercadofinanceiro #investimentos
https://t.co/jORMTwcpOm</t>
  </si>
  <si>
    <t>💵 Dia foi de liquidez limitada devido a feriado nos Estados Unidos. Fique por dentro
#mercadofinanceiro #investimentos
https://t.co/hRHRD7IQMs</t>
  </si>
  <si>
    <t>💵 Em pregão morno, o #dólar à vista encerrou a sessão desta segunda-feira 4, em baixa de 0,12%, cotado a R$ 4,9348. Veja
#mercadofinanceiro #investimentos
https://t.co/jGZFlgBQZ4</t>
  </si>
  <si>
    <t>💰 De acordo com um Comunicado ao Mercado divulgado pela companhia o valor é de R$ 3,5 bilhões. Veja mais
#mercadofinanceiro #investimentos #ELET3
https://t.co/S6U7l3Dyd3</t>
  </si>
  <si>
    <t>📊 O Pagbank anunciou a saída das ações da Eletrobras (#ELET6) e a substituição pela Copel (#CPLE6). Confira
#mercadofinanceiro #investimentos
https://t.co/hhFPCpxz2r</t>
  </si>
  <si>
    <t>🏗 A Copel (#CPLE6) e a Petrobras (#PETR4) anunciaram que pretendem seguir, de forma conjunta, com o processo de desinvestimento da UEG Araucária (UEGA). Entenda
#mercadofinanceiro #investimentos
https://t.co/uW67qiICTM</t>
  </si>
  <si>
    <t>🏭 A estatal informou que desistiu de seguir com os desinvestimentos de ativos de exploração e produção de petróleo e de sua subsidiária na Argentina. Veja as ações
#mercadofinanceiro #investimentos #petr4
https://t.co/eLFvX3TLVt</t>
  </si>
  <si>
    <t>📊 Mercado Intraday: Ibovespa recua em ambiente de volatilidade global. Confira
#mercadofinanceiro #investimentos
https://t.co/GeNojKPx7Z</t>
  </si>
  <si>
    <t>📊Em leve alta, #Ibovespa Futuro repercute IPCA-15 de olho em Jackson Hole.
#mercadofinanceiro
https://t.co/CHQ60qppVZ</t>
  </si>
  <si>
    <t>📊Com receita líquida retraindo 2% para R$ 3,83 bi, PagBank divulga lucro líquido para o 2T23.
#mercadofinanceiro
https://t.co/wGvyAXCW9d</t>
  </si>
  <si>
    <t>📊Mercado hoje: expectativas por falas do presidente do Fed em Jackson Hole e IPCA-15 no Brasil guiam investidores.
#mercadofinanceiro
https://t.co/SrhrlbkOc2</t>
  </si>
  <si>
    <t>Bolsas da Europa ganham fôlego com indicadores fracos da Alemanha.
🇪🇺Stoxx 600: +0,25%
🇬🇧FTSE 100: +0,37%
🇩🇪DAX: +0,37%
🇫🇷CAC 40: +0,60%
#mercadofinanceiro
https://t.co/ak8UWtmZSq</t>
  </si>
  <si>
    <t>🏦 O crédito #CaixaTem é um empréstimo que pode ser contratado por pessoa física ou microempreendedor individual (MEI). Veja
#mercadofinanceiro #investimentos
https://t.co/axeomsvqeu</t>
  </si>
  <si>
    <t>✈️ De acordo com analistas, ouvidos pelo E-investidor, com uma crise de desconfiança instaurada, os clientes podem voltar a utilizar a agência de viagens tradicional. Veja
#mercadofinanceiro #investimentos #cvc #123milhas
https://t.co/fwYC6lHw9w</t>
  </si>
  <si>
    <t>🌍 B3 anuncia negociação de três novos BDRs de empresas brasileiras 
#mercadofinanceiro #investimentos 
https://t.co/Al2LlrqIR7</t>
  </si>
  <si>
    <t>💰👀 Benefício oferecido por empresas ajuda funcionários com as finanças
#mercadofinanceiro #investimentos
https://t.co/jpo8nyldtk</t>
  </si>
  <si>
    <t>👨‍💼 Victor Natal, estrategista do banco, conta que a maior parte da recuperação da Bolsa já aconteceu. Confira #mercadofinanceiro #investimentos
https://t.co/oEwS66ZoYX</t>
  </si>
  <si>
    <t>✅ Qual é a criptomoeda mais negociada pelos brasileiros? Receita responde #mercadofinanceiro #investimentos 
https://t.co/ieBH2hlQ6q</t>
  </si>
  <si>
    <t>🎤 COLUNA Renato Indica | Confira 6 shows que você pode assistir em São Paulo por até R$ 50 
#mercadofinanceiro #investimentos #sãopaulo 
https://t.co/YBVbvi9bs8</t>
  </si>
  <si>
    <t>🤑 Quais são as 6 ações preferidas dos bilionários? A gente te conta!  #mercadofinanceiro #investimentos 
https://t.co/neowDSSPbf</t>
  </si>
  <si>
    <t>💵💄 Uma boneca barbie original, fabricada em 1959, pode custar mais de R$ 100 mil. Se você tem uma, confira quanto custam as edições antigas e limitadas.
#mercadofinanceiro #investimentos #barbiedoll 
https://t.co/E7pi7dwgQy</t>
  </si>
  <si>
    <t>🏗 Vale (#VALE3): novo negócio confirma tese de valor da empresa. A mineradora vendeu parte da sua unidade de metais básicos. Confira
#mercadofinanceiro #Investimentos 
https://t.co/UeeKeJDvPN</t>
  </si>
  <si>
    <t>🤝 GPA: Casino e consórcio já tem prazo para firmar acordo definitivo. Operação busca reestruturar dívidas da companhia. Veja
#mercadofinanceiro #Investimentos 
https://t.co/mBTRIbk8UG</t>
  </si>
  <si>
    <t>💵📊 Fechamento do dólar: em queda com aposta por pausa do Fed e otimismo local. Veja
#mercadofinanceiro #Investimentos 
https://t.co/OsPuEllYLM</t>
  </si>
  <si>
    <t>💵 Dólar recua ante euro, com indicador de inflação nos Estados Unidos. Confira
#mercadofinanceiro #Investimentos 
https://t.co/oGsIIX2jER</t>
  </si>
  <si>
    <t>📊 Os rendimentos dos Treasuries recuaram hoje, após dados indicarem desaceleração na inflação de gastos com o consumo (PCE) dos Estados Unidos. Saiba mais
#mercadofinanceiro #Investimentos 
https://t.co/6zIXDFa1qg</t>
  </si>
  <si>
    <t>📊 Fechamento de Mercado: Com leve alta, Ibovespa encerra a semana aos 120 mil pontos. Confira
#mercadofinanceiro #Investimentos 
https://t.co/uYMaJCoM8L</t>
  </si>
  <si>
    <t>Bolsas da Ásia fecham mistas de olho no setor imobiliário chinês.
🇯🇵Nikkei: -1,54%
🇭🇰Hang Seng: -1,36%
🇨🇳Xanghai: +0,10%
🇨🇳Shenzen: +0,44%
🇰🇷Kospi: feriado
🇹🇼Taiex: +0,27%
#mercadofinanceiro
https://t.co/qQLd3DNuAT https://t.co/YBPRX6DpKn</t>
  </si>
  <si>
    <t>📈 Os rendimentos dos títulos do Tesouro dos Estados Unidos tiveram nova rodada de alta nesta quarta-feira, com a taxa do papel de vencimento de 30 anos cravando seu nível mais alto desde 2011. Veja
#mercadofinanceiro #investimentos
https://t.co/XSZtY50p78</t>
  </si>
  <si>
    <t>📉 As ações do Magazine Luiza (#MGLU3) operavam em queda de 1,90% às 16h24 desta quarta-feira (27), cotadas a R$ 2,06.
#mercadofinanceiro #investimentos
https://t.co/dJJ600jeNr https://t.co/hKQyc8j0gI</t>
  </si>
  <si>
    <t>📉 As ações da CSN (#CSNA3) encerraram em queda nesta quarta-feira (27). Os papéis recuaram 0,58%, cotados a R$ 11,93. Confira
#mercadofinanceiro #investimentos
https://t.co/CBHU5JBtXk</t>
  </si>
  <si>
    <t>📊 Fechamento de Mercado: Em dia de volatilidade global, Ibovespa tem leve alta. Confira
#mercadofinanceiro #Investimentos 
https://t.co/XTPLps1kBN</t>
  </si>
  <si>
    <t>💳 Para negociar as dívidas existentes com companhias parceiras, os consumidores podem acessar o Serasa Limpa Nome, com descontos de até 90%. Veja
#mercadofinanceiro #investimentos
https://t.co/RYBhqyBMVd https://t.co/GjP0GtRa08</t>
  </si>
  <si>
    <t>📊 COLUNA Bruno Funchal | As maiores fontes de incerteza do mercado têm gerado instabilidade dos preços dos ativos. Entenda
#mercadofinanceiro #investimentos
https://t.co/npepZGYxOm https://t.co/upajeuouyn</t>
  </si>
  <si>
    <t>📈 Abel Ornelas Vieira renunciou após atuar durante quatro anos como vice-presidente Comercial e de Operações da companhia. Veja as ações
#mercadofinanceiro #investimentos #BHIA3
https://t.co/NMTM1rY6qT https://t.co/Ao6WdF6VU9</t>
  </si>
  <si>
    <t>Bolsas da Ásia fecham em alta após recuperação de dado chinês.
🇯🇵Nikkei: +0,18%
🇭🇰Hang Seng: +0,83%
🇨🇳Xanghai: +0,16%
🇨🇳Shenzen: +0,39%
🇰🇷Kospi: +0,09%
🇹🇼Taiex: +0,21%
#mercadofinanceiro
https://t.co/4OlJzQLb0v https://t.co/L9kPGbLTyS</t>
  </si>
  <si>
    <t>📊🌱 COLUNA Espaço do Especialista com Carolina Volcov, Sócia fundadora Da Semeare Investimentos | É preciso repensar questões sobre a segurança e longevidade do dinheiro que conseguimos acumular ao longo da vida. Entenda
#mercadofinanceiro #investimentos
https://t.co/Vt35Qrx8jP</t>
  </si>
  <si>
    <t>🤓📊 COLUNA Marilia Fontes | Muita gente hesita em investir nos títulos devido a dúvidas ou falta de informação. Tire suas dúvidas aqui
#mercadofinanceiro #investimentos #economia #tesourodireto
https://t.co/t9oP0e2DVG https://t.co/VYc9PjgSVA</t>
  </si>
  <si>
    <t>🏢 A #China tornou-se um lugar muito mais difícil para as empresas americanas ganharem dinheiro. Entenda
#mercadofinanceiro #investimentos
https://t.co/RFHhpHMZMK</t>
  </si>
  <si>
    <t>Bolsas da Ásia fecham em baixa em meio a preocupações com a China e possível paralisação do governo dos EUA.
🇯🇵Nikkei: -1,11%
🇭🇰Hang Seng: -1,48%
🇨🇳Xanghai: -0,43%
🇨🇳Shenzen: -0,52%
🇰🇷Kospi: -1,31%
🇹🇼Taiex: -1,07%
#mercadofinanceiro
https://t.co/uryi2NFSnG https://t.co/MWUCtOXAXi</t>
  </si>
  <si>
    <t>💐💍 Após o anúncio de #divórcio de #Sandy, os diferentes tipos de “separação” entraram em pauta entre os internautas. Confira
#mercadofinanceiro #investimentos
https://t.co/Bxkf3ObE77 https://t.co/U8KhIbjeyf</t>
  </si>
  <si>
    <t>📱 No X (antigo Twitter), o tema “#Nubank” chegou a ficar entre os assuntos mais comentados do dia, com as queixas de usuários sobre problemas para realizar transações. Entenda
#mercadofinanceiro #investimentos #PIX
https://t.co/h1hsVVAYOr https://t.co/Y7QieRhKyO</t>
  </si>
  <si>
    <t>💳 O uso do cartão de crédito é intransferível e a cobrança da dívida pode dificultar a situação financeira de algum herdeiro. Saiba como proceder em caso de falecimento
#mercadofinanceiro #investimentos
https://t.co/S58EMJqYYK</t>
  </si>
  <si>
    <t>💵 Apesar do crescimento do iene, o dólar americano continua sendo a moeda mais comercializada no país. Entenda
#mercadofinanceiro #investimentos
https://t.co/PaQLzFR2P7</t>
  </si>
  <si>
    <t>📊 Mercado Intraday: Tensão global permanece e pressiona bolsas; Ibovespa cai. Confira
#mercadofinanceiro #investimentos #economiacircular
https://t.co/Gjk93SIBvW</t>
  </si>
  <si>
    <t>📈 Analistas observam se resultados positivos serão recorrentes, para ajustar recomendação. Entenda
#mercadofinanceiro #investimentos #irbr3
https://t.co/emk4KOx2wT https://t.co/Ot5MQXqetN</t>
  </si>
  <si>
    <t>📊💵 COLUNA Carol Paiffer | A renda fixa ainda é uma boa opção e que ela é necessária em uma carteira. Confira
#mercadofinanceiro #investimentos #rendafixa #selic
https://t.co/5xu3urjikw https://t.co/D6NF5sTv0t</t>
  </si>
  <si>
    <t>💵 Além disso, a companhia também revelou o reajuste dos valores atribuídos por ação relacionados ao pagamento de juros sobre capital próprio. Confira
#mercadofinanceiro #investimentos #B3SA3
https://t.co/mgYmD9QckL</t>
  </si>
  <si>
    <t>📊 Fechamento de Mercado: Bolsas não resistem à pressão vendedora e voltam a recuar. Confira
#mercadofinanceiro #investimentos
https://t.co/xhEOzY60Bf</t>
  </si>
  <si>
    <t>💰 Sendo assim, a partir do dia 27 de setembro as ações passam a ser negociadas sem direito aos #JCP. Fique por dentro
#mercadofinanceiro #investimentos #CSUD3
https://t.co/7dyLQWTQcs https://t.co/29jonlCn8I</t>
  </si>
  <si>
    <t>💵 Por meio de um Aviso aos Acionistas, a companhia informou que o valor total será de R$16.795.440,49 a serem creditados aos acionistas no dia 27 de outubro de 2023. Veja
#mercadofinanceiro #investimentos #MILS3
https://t.co/tRz2uDemEb</t>
  </si>
  <si>
    <t>📉 As três ações que mais desvalorizaram no dia foram: Pão de Açúcar (#PCAR3), Grupo Soma (#SOMA3) e Petz (#PETZ3)
#mercadofinanceiro #investimentos
https://t.co/qbKJ8IJlFn</t>
  </si>
  <si>
    <t>📈 As três ações que mais valorizaram no dia foram: BRF (#BRFS3), Azul (#AZUL4) e Suzano (#SUZB3)
#mercadofinanceiro #investimentos
https://t.co/DUYotKWQ5u</t>
  </si>
  <si>
    <t>Bolsas da Ásia fecham em baixa, após China manter juros e à espera do Fed.
🇯🇵Nikkei: -0,66%
🇭🇰Hang Seng: -0,62%
🇨🇳Xangai: -0,52%
🇨🇳Shenzen: -0,59%
🇰🇷Kospi: +0,02%
🇹🇼Taiex: -0,61%
#mercadofinanceiro
https://t.co/esxtZ4F6qj https://t.co/8zvHPb241I</t>
  </si>
  <si>
    <t>🥩 Redução no preço de alguns alimentos é positiva e impacta na vida das famílias, mas, saber escolher os itens é o que vai fazer a diferença no orçamento. Veja como
#mercadofinanceiro #investimentos
https://t.co/oyzKl64AzR</t>
  </si>
  <si>
    <t>👩‍⚖️ A Via (#VIIA3) aprovou, em Assembleia Geral Extraordinária (AGE), a possibilidade de aumentar o capital social para até 3 bilhões de ações ordinárias. Veja
#mercadofinanceiro #investimentos
https://t.co/HWUWH3eKTL</t>
  </si>
  <si>
    <t>📊 O BTG Pactual manteve sua recomendação de compra para as ações da Eletrobras (#ELET6) e reafirmou sua perspectiva de que o preço está subavaliado. Veja
#mercadofinanceiro #investimentos
https://t.co/9RhiuuNJFj</t>
  </si>
  <si>
    <t>👩‍⚖️ A Oi (#OIBR4) informou há pouco que o Juízo da 7ª Vara Empresarial da Comarca da Capital do Estado do Rio de Janeiro aprovou a prorrogação do ‘stay period’. Entenda
#mercadofinanceiro #investimentos
https://t.co/FNmLEYCyxE</t>
  </si>
  <si>
    <t>👨‍💼 Foi informado que Flavio de Capua apresentou carta-renúncia para a partir de 15/09. Veja quem vai substituir
#mercadofinanceiro #investimentos
https://t.co/7DXo0eWHfD</t>
  </si>
  <si>
    <t>📱💰 COLUNA Fabrizio Gueratto | O investidor pode transformar R$ 13 mil em mais de R$ 23 mil. Veja como
#mercadofinanceiro #investimentos
https://t.co/x0OiDy2PIG</t>
  </si>
  <si>
    <t>📊 Mercado Intraday: Estímulos na China e juros no exterior apoiam avanço do Ibovespa. Confira
#mercadofinanceiro #investimentos
https://t.co/z5c0I62zoN</t>
  </si>
  <si>
    <t>🧐 COLUNA Evandro Mello | Confira 5 hábitos do dia a dia que podem afetar o seu bolso
#mercadofinanceiro #investimentos
https://t.co/uwc5PJmGoq</t>
  </si>
  <si>
    <t>📊 Confira a análise de Michael Mauboussin, chefe de uma das áreas de pesquisa da Counterpoint Global, no evento Expert XP 2023
#mercadofinanceiro #investimentos #educaçãofinanceira
https://t.co/ndTOPaiGU8</t>
  </si>
  <si>
    <t>🎤 Blog Renato Indica | Sem grana pro The Town? Veja shows por até R$ 90
#mercadofinanceiro #investimentos
https://t.co/gyLs2mzkOT</t>
  </si>
  <si>
    <t>💵 A possibilidade de receber parte do valor gasto em compras de volta, o #cashback, tem atraído cada vez mais pessoas. Confira
#mercadofinanceiro #investimentos
https://t.co/iJMWx07yIQ</t>
  </si>
  <si>
    <t>📊 Ele disse que o brasileiro não recorre a bolsa porque, como o País tem juros mais altos, prefere a renda fixa. Saiba mais
#mercadofinanceiro #investimentos #WarrenBuffett 
https://t.co/GacBklEgzT</t>
  </si>
  <si>
    <t>🏆 O #SVN Investimentos foi eleito o melhor escritório de investimentos do Brasil credenciado à XP Investimentos, durante a premiação Brazil Advisor Awards. Veja detalhes
#mercadofinanceiro #investimentos
https://t.co/E5ZsLfwstH</t>
  </si>
  <si>
    <t>👩‍💼 Fundadora do Ações Garantem o Futuro (AGF), ela participou do painel Viver de Renda, no Expert XP 2023, em SP. Confira
#mercadofinanceiro #investimentos
https://t.co/3CPCpWPPGe</t>
  </si>
  <si>
    <t>💳 A sigla vem do termo em inglês “Card Verification Value”, que na tradução livre significa “valor de verificação do cartão”. Veja mais
#mercadofinanceiro #investimentos
https://t.co/4dAPNnxK0j</t>
  </si>
  <si>
    <t>💵 Uso da moeda desenvolvida pelo Banco Central com previsão de lançamento em 2024 foi tema de painel no Expert XP. Confira
#mercadofinanceiro #investimentos
https://t.co/fUC7zdSnXN</t>
  </si>
  <si>
    <t>📊 COLUNA Eduardo Mira | A expansão do BRICS e os reflexos na sua carteira de investimentos. Entenda
#mercadofinanceiro #investimentos
https://t.co/ICI4VdJJON</t>
  </si>
  <si>
    <t>📉 A Energisa (#ENGI11) teve lucro líquido ajustado recorrente de R$ 343 milhões no segundo trimestre deste ano, queda de 14,2% em relação ao mesmo período de 2022. Saiba mais
#mercadofinanceiro #Investimentos 
https://t.co/w49zmQyDeJ</t>
  </si>
  <si>
    <t>💵 O conselho de administração da Energisa (ENGI11) aprovou a distribuição de R$ 301.776.242,48 em dividendos apurados no balanço levantado até 30 de junho de 2023. Veja
#mercadofinanceiro #Investimentos 
https://t.co/YDAVxCOvdk</t>
  </si>
  <si>
    <t>💰 Ouro 18k: quanto custa a grama hoje? Confira aqui
#mercadofinanceiro #investimentos 
https://t.co/g1F7wpoUHQ https://t.co/l0GBMZmnO3</t>
  </si>
  <si>
    <t>📊 Mercado Intraday: Ibovespa volta a recuar nessa sexta-feira, dólar avança. Confira
#mercadofinanceiro #Investimentos 
https://t.co/cXiWzXYbaQ</t>
  </si>
  <si>
    <t>📉Fluxo de capital estrangeiro some da Bolsa brasileira após corte na Selic. #Ibovespa em queda e alta do #dólar são alerta para o mercado?
#mercadofinanceiro
https://t.co/91SEfR0oEG</t>
  </si>
  <si>
    <t>📉 A Goldman revelou que o lucro líquido ajustado, por sua vez, somou R$ 102,1 milhões, montante 21,9% menor que o apurado um ano antes. Veja
#mercadofinanceiro #Investimentos 
https://t.co/lTcUfoBupB</t>
  </si>
  <si>
    <t>📊 A companhia reporta receita líquida de R$ 57,5 milhões, aumento de 15% no comparativo ao ano anterior. Veja as ações
#mercadofinanceiro #Investimentos 
https://t.co/bFbDzPu3gD</t>
  </si>
  <si>
    <t>📚📊 Me Poupe!, de Nathalia Arcuri, lança MBA em planejamento financeiro
#mercadofinanceiro #investimentos
https://t.co/XDsgEAN2Ol</t>
  </si>
  <si>
    <t>📈 Entre as ações mais negociadas na B3, com volume financeiro de R$ 902 milhões, Weg renova máxima do dia. Confira
#mercadofinanceiro #investimentos
https://t.co/nmgosYHXTu</t>
  </si>
  <si>
    <t>📉 Após fala de Haddad sobre JCP, Ibovespa recua. Fique por dentro
#mercadofinanceiro #investimentos
https://t.co/rfxvKAS8yQ</t>
  </si>
  <si>
    <t>🏭 O petróleo fechou em alta de mais de 2% nesta segunda-feira (24). As expectativas permanecem apertadas para o mercado de petróleo, apesar dos dados. Confira
#mercadofinanceiro #investimentos
https://t.co/pjoNeZ7dCn</t>
  </si>
  <si>
    <t>📊 Fechamento de Mercado: Petróleo e bolsas em Nova York impulsionam o Ibovespa
#mercadofinanceiro #investimentos
https://t.co/wQy1mR1mde</t>
  </si>
  <si>
    <t>📊 Empresas ligadas a petróleo em alto mar disparam na bolsa de Nova York. Entenda
#mercadofinanceiro #investimentos
https://t.co/von5NsQ0P0</t>
  </si>
  <si>
    <t>📊 O cobre avançou na sessão desta segunda-feira (24), favorecido pelo otimismo do Ocidente. Veja
#mercadofinanceiro #investimentos
https://t.co/QaLZor1fXM</t>
  </si>
  <si>
    <t>📉 As três ações que mais desvalorizaram no dia foram: IRB Re (#IRBR3), Minerva (#BEEF3) e Marfrig (#MRFG3)
#mercadofinanceiro #investimentos
https://t.co/GN24SI29ZT</t>
  </si>
  <si>
    <t>📈 As três ações que mais valorizaram no dia foram: Weg (#WEGE3), Eneva (#ENEV3) e Embraer (#EMBR3)
#mercadofinanceiro #investimentos
https://t.co/1aFozN93CD</t>
  </si>
  <si>
    <t>📈 O contrato futuro mais líquido do ouro fechou em queda nesta segunda-feira (24), pressionado pela alta do dólar. Veja
#mercadofinanceiro #investimentos
https://t.co/UWTHRlXdic</t>
  </si>
  <si>
    <t>👠📈 Além dos fãs, o longa também impulsionou as ações da Mattel após estreia nesta última quinta-feira (20). Veja
#mercadofinanceiro #investimentos #mattel
https://t.co/RCOWSqOycD</t>
  </si>
  <si>
    <t>💵 O 3° lote é o primeiro que não inclui pessoas com prioridades previstas nas regras da Receita Federal. Veja
#mercadofinanceiro #Investimentos 
https://t.co/mQbqGFD1Us</t>
  </si>
  <si>
    <t>📊 Ibovespa alcança maior máxima diária em quase dois anos: ações da Weg (#WEGE3) lideram os ganhos da sessão. Confira
#mercadofinanceiro #Investimentos 
https://t.co/X0PBUA067b</t>
  </si>
  <si>
    <t>🍀 Os interessados em concorrer ao prêmio têm até às 19h de hoje para realizar suas apostas nas lotéricas credenciadas ou no site oficial da Caixa. Veja
#mercadofinanceiro #Investimentos 
https://t.co/DYIXj3Gt2k</t>
  </si>
  <si>
    <t>👨‍💼 Victor Natal, estrategista do banco, conta que a maior parte da recuperação da Bolsa já aconteceu. Confira
#mercadofinanceiro #investimentos 
https://t.co/mHzKsTGZp7</t>
  </si>
  <si>
    <t>6ª colocada no Prêmio Broadcast Empresas: Ambev (ABEV3), que terminou o ano de 2022 com uma alta de 19,8% na receita líquida. Veja 
#mercadofinanceiro #investimentos 
https://t.co/N3s59VJ3sp</t>
  </si>
  <si>
    <t>🗓️ O calendário de restituição anunciado pela Receita Federal prevê cinco lotes e segue até setembro. Veja as datas
#mercadofinanceiro #Investimentos 
https://t.co/bHtMxFaLdh</t>
  </si>
  <si>
    <t>5º lugar no Prêmio Broadcast Empresas: RaiaDrogasil, com expansão geográfica, digitalização e atendimento de qualidade nos últimos anos. Veja 
#mercadofinanceiro #investimentos
https://t.co/wZphpWZguK</t>
  </si>
  <si>
    <t>RT @EInvestidor: 📊Em recuperação judicial, Oi (#OIBR3, #OIBR4) fecha acordo milionário com BTG Pactual (#BPAC11).
#mercadofinanceiro
https:…</t>
  </si>
  <si>
    <t>O papel das mulheres no mercado financeiro: 
 Estão transformando o cenário do marketing digital com inovação e empreendedorismo. 👩‍💼💼 #MulheresEmpreendedoras #MercadoFinanceiro #MarketingDigital https://t.co/0gb95k49GV</t>
  </si>
  <si>
    <t>Mundo do trader: um comerciante financeiro que especula e negocia ativos para lucros de curto prazo, trazendo liquidez e movimento ao mercado. #Trader #MercadoFinanceiro https://t.co/P6yXxC87jg</t>
  </si>
  <si>
    <t>"Ibovespa fecha em alta acima dos 118 mil pontos, impulsionado pelo Itaú Unibanco e vencimento de opções sobre ações. Índice subiu 0,45%, atingindo máxima de 118.290,29 pontos." #Ibovespa #BolsaDeValores #ItaúUnibanco #VencimentoDeOpções #MercadoFinanceiro https://t.co/fGjYiGiJLQ</t>
  </si>
  <si>
    <t>"Dólar fecha em alta no Brasil, seguindo tendência externa após dados do mercado de trabalho dos EUA e de olho no conflito Rússia-Ucrânia. Cotação: R$ 4,8015." #Dólar #MercadoFinanceiro #Câmbio #Economia #dolar https://t.co/rBIp8EsC32</t>
  </si>
  <si>
    <t>Pontos relevantes dólar futuro! #dolar #traders #mercadofinanceiro #mercadofinanceiroBR https://t.co/sPFWcNxeb7</t>
  </si>
  <si>
    <t>💡💥 A Petrobras (PETR4) anuncia novo plano estratégico para 2024-2028! Com um aporte de 78 bilhões de dólares, destaque para a transição energética. O presidente Jean Paul Prates revela à Reuters. Preparados para a revolução energética? 🔋🌍 #Petrobras #b3 #mercadofinanceiro https://t.co/zRbWSvqFoU</t>
  </si>
  <si>
    <t>O Japão suspendeu temporariamente a importação de aves vivas e carne de aves de Santa Catarina devido à gripe aviária. Ministério da Agricultura e Pecuária confirma caso em produção de subsistência. #GripeAviária #Agricultura #mercadofinanceiro https://t.co/SGLy1JucR9</t>
  </si>
  <si>
    <t>O Ibovespa encerrou em alta nesta segunda-feira (17), impulsionado pelo otimismo em Wall Street. Destaque para o Índice de Atividade Econômica (IBC-Br) divulgado pelo Banco Central. Bolsa fechou com valorização de 0,43%, nos 118,219 mil pontos. #Ibovespa #MercadoFinanceiro https://t.co/pgAJuaTQC9</t>
  </si>
  <si>
    <t>Dólar cai 0,90% frente ao real, atingindo R$ 4,8180, após inflação americana abaixo do esperado. Expectativas de corte de juros antecipado pelo Federal Reserve (Fed) impulsionam o mercado. #Dólar #Inflação #FederalReserve #MercadoFinanceiro https://t.co/MKiXlRRoW4</t>
  </si>
  <si>
    <t>O Ibovespa fecha em alta, impulsionado pelo otimismo em Wall Street após a inflação nos EUA ficar abaixo do esperado. No Brasil, reação aos dados do setor de serviços. Bolsa encerra com +0,09% nos 117,666 pontos. #Ibovespa #MercadoFinanceiro https://t.co/fBJcKVNhkH</t>
  </si>
  <si>
    <t>📢 Últimas notícias! A Alupar (ALUP11) obteve autorização para operação comercial da Eólica do Agreste Potiguar, com parque eólico no RN 🍃💨. São 6 unidades geradoras de 4,2 MW, totalizando 25,2 MW de potência. #EnergiaRenovável #MercadoFinanceiro https://t.co/S6FEbqSfvF</t>
  </si>
  <si>
    <t>🚀📈 Ótimas notícias para a Gol (GOLL4)! No segundo trimestre de 2023 (2T23), a empresa registrou lucro líquido de R$ 556,3 milhões, revertendo prejuízo do ano anterior. #Resultados #Aviação #GOL #MercadoFinanceiro https://t.co/I9T4NV1QWm</t>
  </si>
  <si>
    <t>"Ibovespa recua -0,23%, fechando em 120.585 pontos, seguindo pressão dos rendimentos dos títulos e decisão de corte de juros do Banco Central. Investidores avaliam o cenário global e doméstico. #Ibovespa #MercadoFinanceiro #BolsadeValores" https://t.co/ecTwJSvGmc</t>
  </si>
  <si>
    <t>"🚀 Ótimas notícias! 🇧🇷 O Brasil teve sua nota de crédito elevada de BB- para BB pela agência Fitch, com perspectiva estável. Um sinal positivo para o mercado financeiro! 📈💪 #Brasil #dolar #MercadoFinanceiro https://t.co/j9LixRlDJn</t>
  </si>
  <si>
    <t>"📈 Mais um dia positivo na bolsa! O Ibovespa fechou com alta de +0,45%, atingindo os 122.560 pontos. O mercado está otimista com a elevação do rating do Brasil pela Fitch. 🇧🇷💹 #Ibovespa #DowJones #MercadoFinanceiro #Rating #Otimismo #BolsadeValores. https://t.co/y5ZTHryDWc</t>
  </si>
  <si>
    <t>"A notícia da melhoria da classificação de risco do Brasil pela Fitch impulsionou o mercado financeiro. O dólar segue em queda, aproximando-se de R$ 4,70, atingindo a menor cotação do ano. A bolsa emenda a quinta alta consecutiva. 💹📉 #MercadoFinanceiro #Dólar #BolsadeValores https://t.co/C3pSsfnlDm</t>
  </si>
  <si>
    <t>📈 O Ibovespa fechou em alta nesta terça-feira (25), acompanhando o otimismo de Wall Street e atento aos balanços nos EUA. No cenário nacional, o IPCA-15 de julho também repercutiu. #Ibovespa #BolsaDeValores #MercadoFinanceiro #Economia #Investimentos https://t.co/v3L2K8QwlU</t>
  </si>
  <si>
    <t>Pontos importantes índice futuro, hoje o respeito estava on #indicefuturo #ibov #mercadofinanceiro #traders https://t.co/kOzRZMLEIz</t>
  </si>
  <si>
    <t>📉 O Ibovespa fechou com uma leve queda, enquanto Wall Street teve ganhos após resultados positivos das empresas, como a Berkshire Hathaway. 📊🏛️ No Brasil, o desempenho das commodities influenciou. O Ibovespa encerrou com -0,11%, aos 119,379 pontos. #MercadoFinanceiro #Bolsa #b3 https://t.co/Y9iJduchai</t>
  </si>
  <si>
    <t>"Dólar fecha o dia praticamente estável a R$ 4,9864 após oscilações. Semana com ganhos de 1,68% e aumento de 5,43% no mês. 💹📈 #Dólar #MercadoFinanceiro" https://t.co/HZX2HNQF1N</t>
  </si>
  <si>
    <t>"O Ibovespa encerrou em queda nesta quarta (16), seguindo Wall Street após divulgação da ata do Fomc que aponta medidas futuras contra a inflação. No cenário doméstico, o foco foi nas questões fiscais. Fechou em -0,50% aos 115.591 pontos." #mercadofinanceiro #b3 #Dollar https://t.co/jcm7DvHQSv</t>
  </si>
  <si>
    <t>Expectativas econômicas se alinham: inflação estável para 2023 e PIB avançando a 2,29%. Em 2024, projeção cai levemente para 4,35%, 2025 mantém em 3,76% e 2026 permanece em 3,50%. #Economia2023 #mercadofinanceiro #dolar https://t.co/7WN65j6ggU</t>
  </si>
  <si>
    <t>"Em um dia de otimismo no mercado, o Ibovespa fechou com alta de 0,94%, acompanhando a tendência positiva do índice Dow Jones e atento à decisão do Federal Reserve (Fed). #Ibovespa #MercadoFinanceiro #Investimentos" https://t.co/Cmv1osohnv</t>
  </si>
  <si>
    <t>"Tempestade nos mercados! A bolsa amargou 10 quedas consecutivas, sua pior sequência em 39 anos. O dólar subiu e beirou os R$ 5, registrando o valor mais alto em 2 meses. Ibovespa fechou em 116.810 pontos, queda de 1,06%. #MercadoFinanceiro" https://t.co/NYBwsg7UfY</t>
  </si>
  <si>
    <t>🛢️📉 A Petrobras (PETR4) anuncia mudança na política de dividendos, o que pode impactar os ganhos dos acionistas. Além disso, a nova política permitirá a recompra de ações pela própria companhia. Fique por dentro das novidades! #Petrobras #Dividendos #MercadoFinanceiro https://t.co/3Pg7Gu4vp9</t>
  </si>
  <si>
    <t>"Ibovespa dispara com otimismo global! Acompanhando o Dow Jones, que conquistou sua 10ª alta seguida, o mercado brasileiro fechou em alta de +1,81% aos 120.216 pontos. Sólidos resultados e aumento de commodities animam investidores. #Ibovespa #MercadoFinanceiro #Economia" https://t.co/eX7VSIZn50</t>
  </si>
  <si>
    <t>O Ibovespa fechou o dia em alta significativa nesta terça-feira (22). No Brasil, a votação do arcabouço fiscal na Câmara dos Deputados é o destaque. A bolsa encerrou com valorização de +1,51%, atingindo 116,156 mil pontos. 📈🇧🇷 #MercadoFinanceiro #b3 #ibovespa</t>
  </si>
  <si>
    <t>Alguém pegou os últimos pontos, todo domingo analiso os principais pontos do índice e do dólar, sigam para não perder as chances! #trader #Indices #dolar #MercadoFinanceiro</t>
  </si>
  <si>
    <t>#ipca #inflacão #Economia #b3 #mercadofinanceiro https://t.co/ovGkiC9NIg</t>
  </si>
  <si>
    <t>"Ibovespa terminou em baixa leve hoje, devido ao feriado nos EUA. No Brasil, olhares atentos ao Congresso. Fechamento em 117,776 pontos. 📉📊 #MercadoFinanceiro #Dollar #b3 https://t.co/xTalAY57Jm</t>
  </si>
  <si>
    <t>"Setembro trouxe desafios, e o mercado brasileiro segue em busca de estabilidade. Ontem, o Ibovespa teve um leve recuo de -0,07%, enquanto Wall Street segue sua própria dança. Os investidores aguardam ansiosos pela ata do Copom. 💼📈 #MercadoFinanceiro #Copom #Ibovespa" https://t.co/ebe9TJ731t</t>
  </si>
  <si>
    <t>"Ibovespa ganha fôlego, subindo +0,12% nesta quarta-feira (27), impulsionado pelo aumento do preço do petróleo. Destaque para GOLL4, com incríveis +7,19% de valorização. 📈💹 #Ibovespa #MercadoFinanceiro" https://t.co/iJ8yArAcSe</t>
  </si>
  <si>
    <t>#mercadofinanceiro #b3 https://t.co/Ch7xHnfyDT</t>
  </si>
  <si>
    <t>#Macroeconomía | El viceministro de @MinHacienda , Diego Guevara, habló con Valora Analitik para anunciar que, a partir de mañana 5 de septiembre, comenzarán las reuniones con los ponentes del proyecto de Presupuesto General de la Nación (PGN) para la vigencia 2024.…</t>
  </si>
  <si>
    <t>#Macroeconomía | El ministro de Hacienda, Ricardo Bonilla, habló sobre las inflexibilidades que tiene el proyecto de Presupuesto General de la Nación. Estas son:
@MinHacienda 
https://t.co/fZ3NTETAP4</t>
  </si>
  <si>
    <t>#Macroeconomía | ¿Alto endeudamiento preocupa al sistema financiero colombiano?
@MinHacienda 
https://t.co/bQpHkdCWkA</t>
  </si>
  <si>
    <t>#Macroeconomía | MinHacienda desmiente que subsidio de gasolina a taxistas saldrá del Fondo de Combustibles
@MinHacienda 
https://t.co/7L7kfe0VDl https://t.co/PNGqXMy2ZQ</t>
  </si>
  <si>
    <t>#Macroeconomía | El precio de la gasolina en Colombia, para el mes de septiembre del 2023, subió $400, con lo que el valor promedio escaló hasta los $13.964 en el país.
@MinHacienda 
https://t.co/JgyQjIlRu9</t>
  </si>
  <si>
    <t>#Macroeconomía | Ministro Bonilla advierte: por aumento del petróleo, gasolina podría subir hasta $16.000
@MinHacienda
https://t.co/1HdQ3ZD7vF https://t.co/TsfDfjcQm3</t>
  </si>
  <si>
    <t>#Macroeconomía | “Crecimos solamente 0,3 %. Pero ahí es donde prácticamente tocamos fondo y ahora el proceso es recuperarnos”, afirmó el ministro de Hacienda, Ricardo Bonilla.
@MinHacienda 
https://t.co/pjAu0WObBH</t>
  </si>
  <si>
    <t>#Macroeconomía | ¿Qué posibilidad hay de que el dólar en Colombia llegue a $3.400?
https://t.co/cJOJuODFen</t>
  </si>
  <si>
    <t>#Macroeconomía | Uno de los indicadores más relevantes para la economía colombiana es el del crecimiento de su Producto Interno Bruto (PIB) y la entidad proyecta cambios para el mismo.
https://t.co/CSqesmFMf8</t>
  </si>
  <si>
    <t>#Macroeconomía | El exministro de Hacienda, José Antonio Ocampo, pidió al Banco de la República que reduzca sus tasas de interés
https://t.co/Jk6aMVpFSY</t>
  </si>
  <si>
    <t>#Macroeconomía | La subgerencia de estudios económicos del Banco de la República realizó un informe acerca de la informalidad y los efectos que tienen los impuestos sobre el empleo. Esto es lo que dice:
https://t.co/XvkXENCVzZ</t>
  </si>
  <si>
    <t>#Macroeconomía | ¿Qué ha pasado con la ejecución en Colombia del Presupuesto General de la Nación?
https://t.co/ZQt4nv6S2Q</t>
  </si>
  <si>
    <t>#Macroeconomía |  El  ministro de Hacienda de Colombia, Ricardo Bonilla, aseguró que con el cierre de la vía al Llano se va a presentar un problema de abastecimiento y subiría el precio de algunos alimentos.
https://t.co/4O2K25Tjzm</t>
  </si>
  <si>
    <t>#Macroeconomía | El  DANE,  reveló que durante junio de 2023 se licenciaron 1.674.876 metros cuadrados para construcción en Colombia. Una caída del 41,4 % en comparación con el mismo mes del año anterior.
https://t.co/fLVtyg0js8</t>
  </si>
  <si>
    <t>#Macroeconomía | En un convenio que realizó el Ministerio de Agricultura, Seguros Bolívar y Davivienda se acordó entregar 14.000 seguros para campesinos y pequeños productores en el país, los cuales tendrán una cobertura del 100 %.
https://t.co/uaQGNsX15p</t>
  </si>
  <si>
    <t>#Macroeconomía | Gobierno Petro se gastaría $100 billones más en 2023 sin tomar en cuenta fondo de combustibles. 
https://t.co/1meyNfUs2B https://t.co/p93CuEJdWx</t>
  </si>
  <si>
    <t>#Macroeconomía | Con un dólar por debajo de los $4.000 algunos expertos señalan los beneficios que tiene que la moneda extranjera baje en Colombia.
https://t.co/exh6VQKaCT</t>
  </si>
  <si>
    <t>#Macroeconomía |  La Corporación de Abastos de Bogotá (Corabastos) entregó su más reciente balance sobre las afectaciones que ha tenido debido a la situación que se vive en las vías que conectan a la capital del país con el departamento del Meta.
https://t.co/u6n9cqukuB</t>
  </si>
  <si>
    <t>#Macroeconomía | En las comisiones económicas conjuntas del Congreso de la República, el ministro de Hacienda, Ricardo Bonilla, fue citado para presentar el proyecto de Presupuesto General de la Nación correspondiente al 2024.
https://t.co/dDhxCcYWkC</t>
  </si>
  <si>
    <t>#Macroeconomía | ¿Qué tan bueno es renegociar TLC con Estados Unidos? Esto piensan gremios y colombianos
https://t.co/sXKopRVJcy</t>
  </si>
  <si>
    <t>#Macroeconomía |  En el mes de agosto de 2023, el peso colombiano perdió su liderazgo en comparación con las monedas que más se devaluaron de la región.
https://t.co/9ngJG0ArEu</t>
  </si>
  <si>
    <t>#Macroeconomía | Davivienda Corredores entregó el informe detallado sobre el comportamiento de los tenedores de deuda pública. Estas son sus conclusiones: 
https://t.co/LRIeHDuGxq</t>
  </si>
  <si>
    <t>#Macroeconomía | MinHacienda de Colombia retomó venta de dólares en junio después de ocho meses
https://t.co/mQpqlRC7W2</t>
  </si>
  <si>
    <t>#Macroeconomía |  El Ministerio de Hacienda resaltó que actualmente el precio de los combustibles como gasolina y diésel siguen estando dentro del grupo de los de menor valor en Latinoamérica.
https://t.co/jsqBqiHXDD</t>
  </si>
  <si>
    <t>#Macroeconomía  |  El presidente de Colpensiones, Jaime Dussan, reveló que el Gobierno no concertará la reforma pensional a pesar de las recomendaciones de expertos del sector.
https://t.co/N0aVVzM2Ga</t>
  </si>
  <si>
    <t>#Macroeconomía |  La Dirección de Crédito Público del Ministerio de Hacienda autorizó a Ecopetrol sacar crédito con banca internacional por hasta US$1.000 millones.
https://t.co/BcwR5LlmCZ</t>
  </si>
  <si>
    <t>#Macroeconomía | Ya se superó un mes desde que empezaron los cierres en la vía que conecta a Bogotá con el departamento del Meta. Por lo tanto, esto es lo que prevé el ministro de Hacienda sobre impacto en la inflación de agosto.
https://t.co/gRKsRMYDKI</t>
  </si>
  <si>
    <t>#Macroeconomía | En las últimas semanas el dólar en Colombia ha presentado una amplia volatilidad. La divisa ha estado fluctuando entre los $4.000 y los $4.200. Algunos expertos señalan los impactos en los presupuestos de las empresas para el otro año.
https://t.co/7dmZq8QZt7</t>
  </si>
  <si>
    <t>#Macroeconomía |  BNP Paribas revisó previsión de inflación y tasas de interés para Colombia; fenómeno de El Niño, moderado. En el caso de la tasa de interés desde la entidad prevén que haya un recorte en Colombia en el cuarto trimestre.
https://t.co/nwDZuEvzzN</t>
  </si>
  <si>
    <t>#Macroeconomía |  Luego de la radicación sin previo aviso de la reforma laboral en Colombia, se conocieron varios cambios que tendría el articulado al presentado en la primera parte de este año.
https://t.co/jBEwjbI5Rg</t>
  </si>
  <si>
    <t>#Macroeconomía | Al 2024 ya hay expectativas de un dólar en Colombia a $3.500
https://t.co/Gmw7wHR13i</t>
  </si>
  <si>
    <t>#Macroeconomía | Gobierno de Estados Unidos: El #TLC con Colombia ha fomentado el crecimiento
https://t.co/wUviPGL8k5</t>
  </si>
  <si>
    <t>#Macroeconomía I Ministro de Hacienda no descarta realizar nuevos ajustes a la Regla Fiscal de Colombia
https://t.co/GsquIIRyHD</t>
  </si>
  <si>
    <t>#Macroeconomía | El Dane reportó que el desempleo en Colombia se ubicó en el 9,6 % en el séptimo mes de este año. Conozca las razones por las que cayó el indicador.
https://t.co/z3ywsH8ApY</t>
  </si>
  <si>
    <t>#Macroeconomía | La confianza de los empresarios en el país tuvo un leve repunte en julio de 2023, como lo mostró el Índice de Confianza Sectorial (#ICS) de la firma de investigaciones económicas Sectorial. co
https://t.co/bEmLROOY05</t>
  </si>
  <si>
    <t>#Macroeconomía |  El  Dane  reveló que en julio el Indicador de Seguimiento a la Economía (ISE) creció 1,18 % respecto al mismo mes del 2022. https://t.co/Bi8C6FZ9LX</t>
  </si>
  <si>
    <t>#Macroeconomía | Consumo en Colombia solo creció 0,1 % en primer semestre de 2023
https://t.co/D96v25e3re https://t.co/JTvLlTcsZn</t>
  </si>
  <si>
    <t>#Macroeconomía | Inversión inmobiliaria para segundo semestre de 2023 abre con buen panorama
https://t.co/dICHalJ4M7</t>
  </si>
  <si>
    <t>#Macroeconomía | Para julio de 2023, el peso colombiano siguió siendo la moneda más revaluada en comparación con todas las de la región
https://t.co/wNhmEX1apZ</t>
  </si>
  <si>
    <t>#Macroeconomía | Inversionistas extranjeros volvieron a vender deuda pública de Colombia en junio
https://t.co/X84YlG2ZH4</t>
  </si>
  <si>
    <t>#Macroeconomía |  Expertos señalan que pobreza monetaria debió haber caído más en 2022, debido al crecimiento de la economía del 7 % que se presentó ese año.
https://t.co/7GwQLNoNgn</t>
  </si>
  <si>
    <t>#Macroeconomía | El sector lácteo en Colombia ha tenido, durante todo este 2023, reducciones importantes en la producción que hacen que su nivel esté todavía muy por debajo de cero
https://t.co/Rh0U3KpevG</t>
  </si>
  <si>
    <t>#Macroeconomía |  Desde la Asociación Colombiana de Industrias Plásticas (Acoplásticos) señalaron que la decisión del Consejo de Estado de suspender provisionalmente los conceptos de la Dian  ha generado confusión en las empresas del sector.
https://t.co/b8wcaAVdlV</t>
  </si>
  <si>
    <t>O nosso processo inicia-se com uma compreensão profunda de quem você é e quais são seus objetivos financeiros. A partir dessa análise personalizada, combinamos suas aspirações com nossa vasta experiência no setor. Saiba mais! Link na bio. 
#telos #ai #ia #aai #mercadofinanceiro https://t.co/wKkXz9uXrn</t>
  </si>
  <si>
    <t>#LinhaDeFrente | Pesquisa Genial/Quaest: Campos Neto é o líder político mais confiável do mercado financeiro; comentaristas opinam 
📺 Confira na JP News
#MercadoFinanceiro #CamposNeto https://t.co/2RWyvAXhZs</t>
  </si>
  <si>
    <t>#JornaldaManhã | Mercado tem instabilidade com fim do acordo de grãos 
Alan Ghani: "O mercado futuro já abriu em alta, e isso pega na inflação de alimentos [...] É um sinal amarelo para a política monetária"
📺 Confira na JP News 
#MercadoFinanceiro #grãos #Rússia https://t.co/ZkCilOI3dr</t>
  </si>
  <si>
    <t>#JornaldaManhã | Minuto Touro de Ouro: após seis dias de queda, as bolsas na Europa amanhecem subindo; governo da Itália tranquilizou os investidores ao esclarecer novo imposto aos bancos
📺 Confira na JP News
#MercadoFinanceiro #Investidores #bolsasdevalores https://t.co/IzR8fQB24O</t>
  </si>
  <si>
    <t>#DiálogoJP | Autonomia do Banco Central é fundamental; instituição precisa atuar de forma técnica e não política
📺 Confira na JP News
#BancoCentral #Economia #MercadoFinanceiro https://t.co/5Y1cFI4SJF</t>
  </si>
  <si>
    <t>#JornaldaManhã | Minuto Touro de Ouro: as bolsas amanhecem contagiadas pela bomba-relógio imobiliária prestes a explodir na China; autoridades afirmaram que 'farão de tudo para conter o alastramento da crise'
📺 Confira na JP News
#JovemPan #PabloSpyer #MercadoFinanceiro https://t.co/964AjFrLnB</t>
  </si>
  <si>
    <t>#JornaldaManhã | Minuto Touro de Ouro: as bolsas amanhecem zeradas com os investidores esperando a divulgação de resultados das maiores empresas do mundo; no Brasil, destaque para o IPCA-15
📺 Confira na JP News 
#Economia #MercadoFinanceiro #Bolsas #PabloSpyer https://t.co/h7no3E8R0D</t>
  </si>
  <si>
    <t>#JornaldaManhã | Minuto Touro de Ouro: as bolsas amanhecem em queda, mesmo após China fazer corte de juros surpresa para estimular a economia; único impactado positivamente com a decisão foi o minério de ferro
📺 Confira na JP News
#Economia #MercadoFinanceiro #PabloSpyer https://t.co/rvvURm1Nni</t>
  </si>
  <si>
    <t>#ShowBusiness | Patrick Burnett , presidente do Inove Banco, fala sobre trajetória de vida e dificuldades financeiras;   empresário cita as mudanças nas estruturas bancárias e futuro do setor
📺 Confira na JP News
 #PatrickBurnett  #MercadoFinanceiro https://t.co/2CWobRack5</t>
  </si>
  <si>
    <t>#JornaldaManhã | Minuto Touro de Ouro: as bolsas amanhecem em queda após Fitch rebaixar a nota da dívida dos EUA; no Brasil, expectativa para reunião do Copom, que deve iniciar o ciclo de corte de juros no país
📺 Confira na JP News
#PabloSpyer #Economia #MercadoFinanceiro https://t.co/EdjZ82koYL</t>
  </si>
  <si>
    <t>@ZattarRafael Na negociação, cautela é fundamental. Os mercados são imprevisíveis - continue informado e faça suas jogadas de acordo. #MercadoFinanceiro</t>
  </si>
  <si>
    <t>@Dantas452637111 Na negociação, cautela é fundamental. Os mercados são imprevisíveis - continue informado e faça suas jogadas de acordo. #MercadoFinanceiro</t>
  </si>
  <si>
    <t>Insieme a Pasquale Diana, Senior Macro Economist di Finisterre Capital, scopriamo quali sono gli obiettivi e le sfide di un #Macroeconomist e come sono cambiati negli anni 🎯
🔗 Ascolta la nuova puntata: https://t.co/bB4ldkUM1J
#economia #edufin #podcast #gimme5 #macroeconomia https://t.co/Dp3Aq1Bslf</t>
  </si>
  <si>
    <t>3. **Mercado Financeiro Nacional:** Investidores estrangeiros retiram recursos da B3 após decisão do Copom. Ibovespa enfrenta volatilidade, com setores como bancos e Petrobras influenciando índice. Dólar flerta com R$ 5,00 devido a mudanças nas forças do fluxo. #MercadoFinanceiro…</t>
  </si>
  <si>
    <t>3. **Ata do FOMC nos EUA:** A ata do último FOMC, a ser divulgada às 15h, pode trazer pistas sobre as futuras decisões de taxas de juros nos EUA. #MercadoFinanceiro</t>
  </si>
  <si>
    <t>5. **Mercado Financeiro Nacional:** Queda dos bancos e influência nos índices de ações (Ibovespa) devido aos balanços. Dólar reage após payroll e cenário de incertezas impacta mercado cambial. #MercadoFinanceiro #Ibovespa #Dólar</t>
  </si>
  <si>
    <t>7. **Efeitos na economia doméstica:** Ibovespa registra 12ª queda consecutiva, impactado por Treasuries e incertezas globais, levando investidores a se ajustarem. #MercadoFinanceiro #EconomiaGlobal</t>
  </si>
  <si>
    <t>**5. Mercado Financeiro Reage Positivamente ao Alívio Fiscal**
O mercado reage positivamente ao alívio fiscal proporcionado pelas votações, resultando em alta do Ibovespa e queda do dólar. #MercadoFinanceiro #AlívioFiscal #Ibovespa #Dólar</t>
  </si>
  <si>
    <t>Olá pessoal, bom dia!
A nossa sala ao vivo com o analista CNPI Rafael Lage já está no ar.
Bora acompanhar!
https://t.co/5kLIZIlwLc
#SomosTraders #investimentos #noticias #mercadofinanceiro</t>
  </si>
  <si>
    <t>🇺🇸 Abertura de Mercado - EUA
🟢 Dow +0,28% (34.442,42)
🟢 S&amp;amp;P +0,44% (4.491,96)
🟢 Nasdaq +0,73% (14.020,26)
#SomosTraders #Trader #investimentos #noticias #mercadofinanceiro</t>
  </si>
  <si>
    <t>🇧🇷📊 Ibovespa encerra os leilões em alta de 0,13%, aos 117.814,78 pontos.
#SomosTraders #Trader #investimentos #noticias #mercadofinanceiro</t>
  </si>
  <si>
    <t>Morning Call – Principais mercados mundiais amanhecem em alta
Seguem os principais highlights para o dia de hoje 13/07/2023:
https://t.co/jCM4vVDGvu
#SomosTraders #Trader #investimentos #noticias #mercadofinanceiro</t>
  </si>
  <si>
    <t>🇺🇸 Pedidos de auxílio-desemprego da semana até 08/07 somam 237 mil, ante projeção de 250 mil.
#SomosTraders #Trader #investimentos #noticias #mercadofinanceiro</t>
  </si>
  <si>
    <t>Mercado em andamento - Europa
🇬🇧 Londres — FTSE100: +0,21%
🇩🇪 Frankfurt — DAX: +0,47%
🇫🇷 Paris — CAC 40: +0,54%
🇪🇸 Madrid — Ibex 35: +0,31%
🇪🇺 Europa — Stoxx 600: +0,52%
#SomosTraders #Trader #investimentos #noticias #mercadofinanceiro</t>
  </si>
  <si>
    <t>Fechamento de Mercado - Ásia
🇯🇵 Tóquio — Nikkei: +1,49%
🇭🇰 Hong Kong — Hang Seng: +2,60%
🇹🇼 Taiwan — Taiex: +0,59%
🇰🇷 Coreia — Kospi: +0,64%
🇨🇳 China — Xangai: +1,26%
🇨🇳 China — Shenzhen: +1,39%
#SomosTraders #Trader #investimentos #noticias #mercadofinanceiro</t>
  </si>
  <si>
    <t>🇲🇽 PIB do México avança +0,9% no 2º Tri 23 na comparação com o primeiro trimestre.
#SomosTraders #Trader #investimentos #noticias #mercadofinanceiro</t>
  </si>
  <si>
    <t>🇧🇷📊 Ibovespa em alta de 0,42%, aos 120.692,69 pontos.
#SomosTraders #Trader #investimentos #noticias #mercadofinanceiro</t>
  </si>
  <si>
    <t>🇺🇸 Abertura de Mercado - EUA
🔴 Dow Jones -0,02% (35.451,20)
🟢 S&amp;amp;P +0,12% (4.587,90)
🟢 Nasdaq +0,19% (14.344,15)
#SomosTraders #Trader #investimentos #noticias #mercadofinanceiro</t>
  </si>
  <si>
    <t>Boa tarde pessoal! Em breve, estará no ar o nosso boletim de fechamento. 😊
https://t.co/N0k2s3u9lI
#SomosTraders #Trader #investimentos #noticias #mercadofinanceiro</t>
  </si>
  <si>
    <t>🛢️ Petróleo amplia perdas antes do fechamento: WTI para agosto cai 1,16%, a US$ 73,00.
Brent para setembro recua 1,02% a US$ 77,62.
🚢 Balança comercial tem superávit de US$ 2,9 bi na 1ª semana de julho.
#SomosTraders #Trader #investimentos #noticias #mercadofinanceiro</t>
  </si>
  <si>
    <t>Boa tarde, pessoal! Daqui a pouco começará o nosso fechamento de mercado com o nosso analista CNPI-Pleno Rafael Lage.
https://t.co/OVeEHwOki6
Aguardamos todos vocês lá! 💚🚀
#SomosTraders #Trader #investimentos #noticias #mercadofinanceiro</t>
  </si>
  <si>
    <t>🇧🇷🏦 Banco Central define nome da primeira moeda digital oficial do país: Drex.
#SomosTraders #Trader #investimentos #noticias #mercadofinanceiro</t>
  </si>
  <si>
    <t>🇺🇸 EUA/S&amp;amp;P Global: PMI Industrial (preliminar) sobe a 49 em julho, ante consenso de 46.
#SomosTraders #investimentos #noticias #mercadofinanceiro</t>
  </si>
  <si>
    <t>🇺🇸 Abertura de Mercado - EUA
🟢 Dow Jones +0,11%
🟢 S&amp;amp;P +0,29% (4.549,30)
🟢 Nasdaq +0,37% (14.084,33)
#SomosTraders #investimentos #noticias #mercadofinanceiro</t>
  </si>
  <si>
    <t>🇧🇷 📊 Notícias do mercado
💵 Em aviso aos acionistas, a JHSF (JHSF3) informou que vai distribuir R$90 milhões em dividendos em 2023, em três parcelas iguais.
#SomosTraders #investimentos #noticias #mercadofinanceiro</t>
  </si>
  <si>
    <t>Mercado em Andamento
🇬🇧 Londres — FTSE100: +0,07%
🇩🇪 Frankfurt — DAX: +0,13%
🇫🇷 Paris — CAC 40: -0,19%
🇪🇸 Madrid — Ibex 35: -0,64
🇪🇺 Europa — Stoxx 600: +0,14%
#SomosTraders #investimentos #noticias #mercadofinanceiro</t>
  </si>
  <si>
    <t>Fechamento de mercado - Ásia
🇯🇵 Tóquio — Nikkei: +1,23%
🇭🇰 Hong Kong — Hang Seng: -2,13%
🇹🇼Taiwan — Taiex: +0,02%
🇰🇷 Coreia — Kospi: +0,72%
🇨🇳 China — Xangai: -0,11%
🇨🇳 China — Shenzhen: -0,37%
#SomosTraders #investimentos #noticias #mercadofinanceiro</t>
  </si>
  <si>
    <t>Daqui a pouco começará o nosso fechamento de mercado com o nosso analista CNPI-Pleno Rafael Lage.
https://t.co/8ewYLtN5qt
Aguardamos todos vocês lá! 💚🚀
#SomosTraders #Trader #investimentos #noticias #mercadofinanceiro</t>
  </si>
  <si>
    <t>Boa tarde pessoal! Em breve, estará no ar o nosso boletim de fechamento. 😊
https://t.co/LtazuQAjht
#SomosTraders #Trader #investimentos #noticias #mercadofinanceiro</t>
  </si>
  <si>
    <t>👨‍👩‍👧‍👦 Minha Casa, Minha Vida: Lula sanciona nova lei do programa. O programa vai atender famílias com renda mensal de até R$ 8 mil, em áreas urbanas, e de até R$ 96 mil no ano, na zona rural.
#SomosTraders #Trader #investimentos #noticias #mercadofinanceiro</t>
  </si>
  <si>
    <t>👨‍🌾 A Companhia Nacional de Abastecimento (Conab) informou, nesta quinta-feira (13), em Brasília, que a previsão da safra brasileira de grãos 2022/23 será a maior já produzida no país: 317,6 milhões de toneladas
#SomosTraders #Trader #investimentos #noticias #mercadofinanceiro</t>
  </si>
  <si>
    <t>🇺🇸 Abertura de Mercado - EUA
🟢 Dow Jones sobe 0,03% (35.293,03);
🔴 S&amp;amp;P -0,16% (4.457,63);
🔴 Nasdaq -0,16% (13.604,25)
#SomosTraders #Trader #investimentos #noticias #mercadofinanceiro</t>
  </si>
  <si>
    <t>🇧🇷 Ibovespa em queda de 0,60%, aos 117.354,31 pontos.
#SomosTraders #Trader #investimentos #noticias #mercadofinanceiro</t>
  </si>
  <si>
    <t>🇪🇺 Fechamento de Mercado - Europa
🟢🇩🇪 Frankfurt + 0,39%;
🟢🏴󠁧󠁢󠁥󠁮󠁧󠁿 Londres +0,47%;
🟢🇫🇷 Paris +0,75%;
🟢🇪🇸 Madri +0,67%;
🟢🇪🇺 Stoxx 600 +0,29% ( 459.24)
#SomosTraders #Trader #investimentos #noticias #mercadofinanceiro</t>
  </si>
  <si>
    <t>Fechamento de Mercado - Europa
🟢🇩🇪 Frankfurt +0,35%
🟢🇬🇧 Londres +0,64%
🟢🇫🇷 Paris +0,38%
🟢🇪🇸 Madri +0,16%
🟢🇪🇺 Stoxx 600 +0,69% (461.08)
#SomosTraders #Trader #investimentos #noticias #mercadofinanceiro</t>
  </si>
  <si>
    <t>🚗 Volkswagen anuncia layoff de 800 funcionários uma semana após fim de subsídio a carros.
🪙 Desenrola: Dívidas de até R$ 100 serão “perdoadas” pelos bancos.
🛍️ Marisa prevê nova injeção financeira de R$ 30 milhões.
#SomosTraders  #investimentos #noticias #mercadofinanceiro</t>
  </si>
  <si>
    <t>🇺🇸 Abertura de mercado - EUA
🔴 Dow Jones -0,08% (34.558,96)
🔴 S&amp;amp;P -0,08% (4.519,07)
🔴 Nasdaq -0,21% (14.215,20)
#SomosTraders #Trader #investimentos #noticias #mercadofinanceiro</t>
  </si>
  <si>
    <t>💰 Dividendos do dia - Ações
📞 VIVT3 - Pagará hoje R$ 1,09 por ação
#SomosTraders #Trader #investimentos #noticias #mercadofinanceiro</t>
  </si>
  <si>
    <t>🇺🇸 produção industrial de junho cai 0,5%, de -0,2% em maio.
#SomosTraders #Trader #investimentos #noticias #mercadofinanceiro</t>
  </si>
  <si>
    <t>🇧🇷 Ibovespa inicia em queda de 0,08%, aos 118.123,98 pontos.
#SomosTraders #Trader #investimentos #noticias #mercadofinanceiro</t>
  </si>
  <si>
    <t>🇨🇳 Fitch estima que PIB chinês ainda vai crescer 5,6% em 2023, desacelerando em 2024 (+4,8%) e 2025 (+4,7%).
#SomosTraders #Trader #investimentos #noticias #mercadofinanceiro</t>
  </si>
  <si>
    <t>🇺🇸 Deptº do Comércio: Vendas no varejo em junho sobem 0,2%, ante projeção de 0,6%.
#SomosTraders #Trader #investimentos #noticias #mercadofinanceiro</t>
  </si>
  <si>
    <t>Morning Call – IPC-S teve alta de 0,07% na segunda quadrissemana de julho
Seguem os principais highlights para o dia de hoje 18/07/2023.
https://t.co/IJFZBBZq3v
#SomosTraders #Trader #investimentos #noticias #mercadofinanceiro</t>
  </si>
  <si>
    <t>Abertura de Mercado - Europa
🇬🇧 Londres — FTSE100: +0,18%
🇩🇪 Frankfurt — DAX: +0,09%
🇫🇷 Paris — CAC 40: +0,05%
🇪🇸 Madrid — Ibex 35: -0,31%
🇪🇺 Europa — Stoxx 600: +0,30%
#SomosTraders #Trader #investimentos #noticias #mercadofinanceiro</t>
  </si>
  <si>
    <t>Fechamento de Mercado - Ásia
🇯🇵 Tóquio — Nikkei: +0,32%
🇭🇰 Hong Kong — Hang Seng: -2,05%
🇹🇼 Taiwan — Taiex: -0,61%
🇰🇷 Coreia — Kospi: -0,43%
🇨🇳 China — Xangai: -0,37%
🇨🇳 China — Shenzhen: -0,26%
#SomosTraders #Trader #investimentos #noticias #mercadofinanceiro</t>
  </si>
  <si>
    <t>A nossa sala ao vivo com o analista CNPI Rafael Lage já está no ar.
https://t.co/AeFlPYRiHr
#SomosTraders #Trader #investimentos #noticias #mercadofinanceiro</t>
  </si>
  <si>
    <t>Bom dia pessoal, nosso boletim diário já está no ar.
https://t.co/0IgyMIYUCm
#SomosTraders #Trader #investimentos #noticias #mercadofinanceiro</t>
  </si>
  <si>
    <t>🇧🇷 📊 Notícias do mercado
👕 O Grupo Soma (SOMA3) apresentou lucro líquido de R$85,4 milhões no segundo trimestre deste ano, recuo de 27,6% frente igual período do ano passado.
#SomosTraders #Trader #investimentos #noticias #mercadofinanceiro</t>
  </si>
  <si>
    <t>🇺🇸 Abertura de Mercado - EUA
🟢 Dow Jones +0,81% (35.406,56);
🟢 S&amp;amp;P +0,70% (4.500,13);
🟢 Nasdaq +0,81% (13.833,29)
#SomosTraders #Trader #investimentos #noticias #mercadofinanceiro</t>
  </si>
  <si>
    <t>🇮🇳 BC da Índia mantém taxa básica de juros em 6,50% ao ano.
#SomosTraders #Trader #investimentos #noticias #mercadofinanceiro</t>
  </si>
  <si>
    <t>Mercado em Andamento - Europa
🏴󠁧󠁢󠁥󠁮󠁧󠁿 Londres — FTSE100: +0,01%
🇩🇪 Frankfurt — DAX: +0,39%
🇫🇷 Paris — CAC 40: +0,91%
🇪🇸 Madrid — Ibex 35: +1,04%
🇪🇺 Europa — Stoxx 600: +0,41%
#SomosTraders #Trader #investimentos #noticias #mercadofinanceiro</t>
  </si>
  <si>
    <t>Fechamento de Mercado - Ásia
🇯🇵 Tóquio — Nikkei: +0,84%
🇭🇰 Hong Kong — Hang Seng: +0,01%
🇹🇼 Taiwan — Taiex: -1,40%
🇰🇷 Coreia — Kospi: -0,14%
🇨🇳 China — Xangai: +0,31%
🇨🇳 China — Shenzhen: +0,13%
#SomosTraders #Trader #investimentos #noticias #mercadofinanceiro</t>
  </si>
  <si>
    <t>A nossa sala ao vivo com o analista CNPI Rafael Lage já está no ar.
https://t.co/AuspdqqHwn
Ótimos negócios a todos. 🚀💚
#SomosTraders #Trader #investimentos #noticias #mercadofinanceiro</t>
  </si>
  <si>
    <t>Bom dia pessoal, nosso boletim diário já está no ar.
https://t.co/YoDRNhzEfP
#SomosTraders #Trader #investimentos #noticias #mercadofinanceiro</t>
  </si>
  <si>
    <t>Morning Call – Atenções se voltam para as articulações em torno do arcabouço fiscal
Seguem os principais highlights para o dia de hoje 14/08/2023:
https://t.co/Ml701lmJ8a
#SomosTraders #Trader #investimentos #noticias #mercadofinanceiro</t>
  </si>
  <si>
    <t>🇪🇺 Mercado em Andamento - Europa
🏴󠁧󠁢󠁥󠁮󠁧󠁿 Londres — FTSE100: -0,28%
🇩🇪 Frankfurt — DAX: +0,50%
🇫🇷 Paris — CAC 40: +0,27%
🇪🇸 Madrid — Ibex 35: +0,21%
🇪🇺 Europa — Stoxx 600: +0,22%
#SomosTraders #Trader #investimentos #noticias #mercadofinanceiro</t>
  </si>
  <si>
    <t>Fechamento de Mercado - Ásia
🇯🇵 Tóquio — Nikkei: -1,21%
🇭🇰 Hong Kong — Hang Seng: -1,97%
🇹🇼 Taiwan — Taiex: -0,04%
🇰🇷 Coreia — Kospi: -0,79%
🇨🇳 China — Xangai: -0,42%
🇨🇳 China — Shenzhen: -0,50%
#SomosTraders #Trader #investimentos #noticias #mercadofinanceiro</t>
  </si>
  <si>
    <t>A nossa sala ao vivo com o analista CNPI Rafael Lage já está no ar.
https://t.co/7bFzZ26jwW
Ótimos negócios a todos. 🚀💚
#SomosTraders #Trader #investimentos #noticias #mercadofinanceiro</t>
  </si>
  <si>
    <t>Bom dia pessoal, nosso boletim diário já está no ar.
https://t.co/nF1hA9oBQI
#SomosTraders #Trader #investimentos #noticias #mercadofinanceiro</t>
  </si>
  <si>
    <t>Reunião do Copom de 4ªF começará mais tarde, mas sem efeito no horário da decisão.
#SomosTraders #Trader #investimentos #noticias #mercadofinanceiro</t>
  </si>
  <si>
    <t>Daqui a pouco, começa o Conference Call com Alex Piske!
Não perca! É às 17h, na Comunidade do SST!
PARTICIPE!
https://t.co/vbZFRPgpk0
#SomosTraders #Trader #investimentos #noticias #mercadofinanceiro https://t.co/hiWUwNLZXb</t>
  </si>
  <si>
    <t>Boa tarde pessoal! Em breve, estará no ar o nosso boletim de fechamento. 😊
https://t.co/WpIIlQlNcq
#SomosTraders #Trader #investimentos #noticias #mercadofinanceiro</t>
  </si>
  <si>
    <t>🇪🇺 Fechamento de Mercado - Europa
🟢🇩🇪 Frankfurt +1,47%;
🟢🇬🇧 Londres +1,83%;
🟢🇫🇷 Paris +1,57%;
🟢🇪🇸 Madri +1,35%;
🟢🇪🇺 Stoxx 600 +1,55% (458.74)
#SomosTraders #Trader #investimentos #noticias #mercadofinanceiro</t>
  </si>
  <si>
    <t>🇺🇸 Abertura de Mercado - EUA
🟢 Dow Jones +0,71% (34.503,51)
🟢 S&amp;amp;P +0,87% (4.477,66)
🟢 Nasdaq +1,16% (13.920,42)
#SomosTraders #Trader #investimentos #noticias #mercadofinanceiro</t>
  </si>
  <si>
    <t>Morning Call – Inflação registra deflação de 0,08% em junho
Seguem os principais highlights para o dia de hoje 12/07/2023:
https://t.co/CI1QQQVLc6
#SomosTraders #Trader #investimentos #noticias #mercadofinanceiro</t>
  </si>
  <si>
    <t>Mercado em andamento - Europa
🇬🇧 Londres — FTSE100: +1,09%
🇩🇪 Frankfurt — DAX: +0,84%
🇫🇷 Paris — CAC 40: +0,76%
🇪🇸 Madrid — Ibex 35: +0,54%
🇪🇺 Europa — Stoxx 600: +0,85%
#SomosTraders #Trader #investimentos #noticias #mercadofinanceiro</t>
  </si>
  <si>
    <t>Fechamento de Mercado - Ásia
🇯🇵 Tóquio — Nikkei: -0,81%
🇭🇰 Hong Kong — Hang Seng: +1,08%
🇹🇼 Taiwan — Taiex: +0,37%
🇰🇷 Coreia — Kospi: +0,48%
🇨🇳 China — Xangai: -0,78%
🇨🇳 China — Shenzen: -1,08%
#SomosTraders #Trader #investimentos #noticias #mercadofinanceiro</t>
  </si>
  <si>
    <t>🇺🇸 CPI de junho sobe 0,2%, ante projeção de +0,3%; em maio, +0,1%.
#SomosTraders #Trader #investimentos #noticias #mercadofinanceiro</t>
  </si>
  <si>
    <t>Em breve, estará no ar o nosso boletim de fechamento. 😊
https://t.co/AnRUG9G6I4
#DeTraderParaTrader #Trader #investimentos #noticias #mercadofinanceiro #economia #açoes #b3</t>
  </si>
  <si>
    <t>🛢️ Petróleo/fechamento: Brent outubro cai 1,51%, a US$ 84,89 por barril, na ICE.
WTI para setembro recua 1,84%, a US$ 80,99 por barril, na Nymex.
#DeTraderParaTrader #Trader #investimentos #noticias #mercadofinanceiro #economia</t>
  </si>
  <si>
    <t>🇪🇺 Fechamento de Mercado - Europa
🔴🇩🇪 Frankfurt -0,02%;
🔴🇬🇧 Londres -0,14%;
🟢🇫🇷 Paris +0,07%;
🔴🇪🇸 Madri -0,17%;
🟢🇪🇺 Stoxx 600 +0,09% (459.68)
#SomosTraders #Trader #investimentos #noticias #mercadofinanceiro</t>
  </si>
  <si>
    <t>🇺🇸 Abertura de Mercado
🟢 Dow Jones +0,49% (35.235,99);
🟢 S&amp;amp;P +0,44% (4.497,81);
🟢 Nasdaq +0,44% (13.969,80)
#SomosTraders #Trader #investimentos #noticias #mercadofinanceiro</t>
  </si>
  <si>
    <t>🇧🇷 📊 Notícias do mercado
✈️ A Gol (GOLL4) reportou um lucro líquido de R$ 556,3 milhões no segundo trimestre de 2023, revertendo o prejuízo líquido de R$ 2,85 bilhões reportado em igual intervalo de 2022.
#SomosTraders #Trader #investimentos #noticias #mercadofinanceiro</t>
  </si>
  <si>
    <t>🇧🇷 📊 Notícias do mercado
🤖 Weg (WEGE3) anuncia aquisição da totalidade das ações da BirminD, empresa de tecnologia atuante no mercado de inteligência artificial para processos industriais.
#SomosTraders #Trader #investimentos #noticias #mercadofinanceiro</t>
  </si>
  <si>
    <t>🇺🇸 Abertura de Mercado - EUA
🟢 Dow Jones +0,13% (35.565,07)
🟢 S&amp;amp;P +0,72% (4.599,85)
🟢 Nasdaq +1,27% (14.306,73)
#SomosTraders #Trader #investimentos #noticias #mercadofinanceiro</t>
  </si>
  <si>
    <t>🇧🇷📊 Ibovespa em queda de 0,12%, aos 122.408,80 pontos.
#SomosTraders #Trader #investimentos #noticias #mercadofinanceiro</t>
  </si>
  <si>
    <t>🇪🇺 BCE eleva taxa de juros em 25 pb, a 4,25%.
🇺🇸 PIB do 2TRI (anualizado) cresce 2,4% ante projeção de +1,8% (base trimestral); no 1TRI, 2%.
#SomosTraders #Trader #investimentos #noticias #mercadofinanceiro</t>
  </si>
  <si>
    <t>Morning Call – Índice Nacional de Custo da Construção recua para 0,06% em julho
Seguem os principais highlights para o dia de hoje 27/07/2023.
https://t.co/lglVAVV6Lz
#SomosTraders #Trader #investimentos #noticias #mercadofinanceiro</t>
  </si>
  <si>
    <t>🇧🇷 Governo dá sinal verde para taxar apostas esportivas.
⛽ Petrobras anuncia redução de 7,1% no preço do gás natural.
#SomosTraders #Trader #investimentos #noticias #mercadofinanceiro</t>
  </si>
  <si>
    <t>🛢️ Estoques de petróleo caem 708 mil barris na semana, ante previsão de -1,8 milhão.
#SomosTraders #Trader #investimentos #noticias #mercadofinanceiro</t>
  </si>
  <si>
    <t>💰 Dividendos do dia - FII's
CPTS11- Pagará R$0,88 por cota
MCCI11- Pagará R$0,95 por cota
MCHF11- Pagará R$0,10 por cota
VGIP11- Pagará R$1,00 por cota
VGIR11- Pagará R$0,13 por cota
#SomosTraders #Trader #investimentos #noticias #mercadofinanceiro</t>
  </si>
  <si>
    <t>🇺🇸 Abertura de Mercado - EUA
🟢 Dow Jones +0,33% (35.066,02)
🟢 S&amp;amp;P +0,28% (4.567,86)
🟢 Nasdaq +0,31% (14.397,73)
#SomosTraders #Trader #investimentos #noticias #mercadofinanceiro</t>
  </si>
  <si>
    <t>🇪🇺 Fechamento de Mercado - Europa
🔴🇩🇪 Frankfurt -0,65%;
🔴🏴󠁧󠁢󠁥󠁮󠁧󠁿 Londres -0,65%;
🔴🇫🇷 Paris -0,38%;
🔴🇪🇸 Madri -0,19%;
🔴🇪🇺 Stoxx 600 -0,59% (448,58)
#DeTraderParaTrader #investimentos #mercadofinanceiro #economia</t>
  </si>
  <si>
    <t>🇺🇸 Abertura de Mercado - EUA
🔴 Dow Jones cai 0,61% (34.265,23);
🔴 S&amp;amp;P -0,52% (4.346,98);
🔴 Nasdaq -0,86% (13.203,37)
#DeTraderParaTrader #investimentos #mercadofinanceiro #economia #dolar</t>
  </si>
  <si>
    <t>💰 Dividendos do dia - Ações
🛢️ PETR3 e PETR4 - Pagará hoje R$ 0,27 por ação e R$ 0,66 de JCP
💰 Dividendos do dia - FII's
MORE11 - Pagará R$0,60 por cota
#DeTraderParaTrader #investimentos #mercadofinanceiro #economia #dividendos #açoes #fiis</t>
  </si>
  <si>
    <t>🔴🇧🇷 Ibovespa em leve queda de 0,03%, aos 114.948,15 pontos.
#DeTraderParaTrader #investimentos #mercadofinanceiro #economia #ibovespa</t>
  </si>
  <si>
    <t>Fechamento de Mercado - Ásia
🇯🇵 Tóquio — Nikkei: -0,55%
🇭🇰 Hong Kong — Hang Seng: -2,05%
🇹🇼 Taiwan — Taiex: -0,82%
🇰🇷 Coreia — Kospi: -0,61%
🇨🇳 China — Xangai: -1,00%
🇨🇳 China — Shenzhen: -1,72%
#DeTraderParaTrader #investimentos #mercadofinanceiro #economia</t>
  </si>
  <si>
    <t>Mercado em Andamento - Europa
🏴󠁧󠁢󠁥󠁮󠁧󠁿 Londres — FTSE100: -0,74%
🇩🇪 Frankfurt — DAX: -0,52%
🇫🇷 Paris — CAC 40: -0,72%
🇪🇸 Madrid — Ibex 35: -0,34%
🇪🇺 Europa — Stoxx 600: -0,72%
#DeTraderParaTrader #investimentos #mercadofinanceiro #economia</t>
  </si>
  <si>
    <t>A nossa sala ao vivo com o analista CNPI Rafael Lage já está no ar.
https://t.co/YjW2ivABGa
Ótimos negócios a todos. 🚀💚
#DeTraderParaTrader #investimentos #mercadofinanceiro #economia #dolar #ibovespa</t>
  </si>
  <si>
    <t>🇺🇸 Abertura de Mercado - EUA
🔴 Dow Jones -0,36% (35.311,19);
🔴 S&amp;amp;P -0,19% (4.558,81);
🔴 Nasdaq -0,14% (14.124,53)
#SomosTraders #Trader #investimentos #noticias #mercadofinanceirO</t>
  </si>
  <si>
    <t>Fechamento de Mercado - Ásia
🇯🇵 Tóquio — Nikkei: -0,04%
🇭🇰 Hong Kong — Hang Seng: -0,36%
🇹🇼 Taiwan — Taiex: -0,21%
🇰🇷 Coreia — Kospi: -1,67%
🇨🇳 China — Xangai: -0,26%
🇨🇳 China — Shenzhen: -0,52%
#SomosTraders #Trader #investimentos #noticias #mercadofinanceiro</t>
  </si>
  <si>
    <t>Mercado em Andamento - Europa
🇬🇧 Londres — FTSE100: -0,45%
🇩🇪 Frankfurt — DAX: -0,63%
🇫🇷 Paris — CAC 40: -1,63%
🇪🇸 Madrid — Ibex 35: +0,03%
🇪🇺 Europa — Stoxx 600: -0,65%
#SomosTraders #Trader #investimentos #noticias #mercadofinanceiro</t>
  </si>
  <si>
    <t>🤝 Fitch sobre a elevação do rating do Brasil de BB- para BB, com perspectiva estável.
#SomosTraders #Trader #investimentos #noticias #mercadofinanceiro</t>
  </si>
  <si>
    <t>⚠️😱 Fitch: previsão de crescimento do PIB do Brasil em 2023 sobe de 0,7% para 2,3%.
#SomosTraders #Trader #investimentos #noticias #mercadofinanceiro</t>
  </si>
  <si>
    <t>🇧🇷 Ibovespa em alta de 0,78%, aos 115.318,68 pontos.
#DeTraderParaTrader #investimentos #mercadofinanceiro #economia</t>
  </si>
  <si>
    <t>Morning Call – IGP-M recua 0,06% na segunda prévia de agosto
Seguem os principais highlights para o dia de hoje 22/08/2023:
https://t.co/kCHNQI9R3Q
#DeTraderParaTrader #investimentos #mercadofinanceiro #economia</t>
  </si>
  <si>
    <t>🇦🇷 O governo argentino aprovou um novo contrato de empréstimo com o Banco Internacional de Reconstrução e Desenvolvimento (BIRD), no valor total de US$ 400 milhões.
#DeTraderParaTrader #Trader #investimentos #noticias #mercadofinanceiro #economia</t>
  </si>
  <si>
    <t>Fechamento de Mercado - Europa
🇩🇪 Frankfurt -0,87%;
🏴󠁧󠁢󠁥󠁮󠁧󠁿 Londres -1,57%;
🇫🇷 Paris -1,14%;
🇪🇸 Madri -0,94%;
🇪🇺 Stoxx 600 -0,97% (455,39)
#DeTraderParaTrader #Trader #investimentos #noticias #mercadofinanceiro #economia</t>
  </si>
  <si>
    <t>💰 Dividendos do dia - FII's
BCRI11 - R$0,69 por cota
CVBI11 - R$0,85 por cota
RBFF11 - R$0,50 por cota
RBVA11 - R$1,00 por cota
RCRB11 - R$0,76 por cota
VRTA11 - R$0,70 por cota
#DeTraderParaTrader #investimentos #noticias #mercadofinanceiro #economia #fiis #dividendos</t>
  </si>
  <si>
    <t>🇧🇷 📊 Atualizações de mercado
Maiores altas no momento📈
CSNA3 +6.28% R$ 13,87
EZTC3 +5.46% R$ 21,23
MGLU3 +5.32% R$ 3,17
Maiores baixas no momento📉
PRIO3 -1.86% R$ 45,31
BEEF3 -0.83% R$ 9,52
TAEE11 -0.73% R$ 36,48
#SomosTraders #investimentos #noticias #mercadofinanceiro</t>
  </si>
  <si>
    <t>🇺🇸 Abertura de Mercado - EUA
🔴 Dow Jones -0,04% (35.396,20)
🔴 S&amp;amp;P -0,01% (4.554,14)
🟢 Nasdaq +0,30% (14.100,77)
#SomosTraders #Trader #investimentos #noticias #mercadofinanceiro</t>
  </si>
  <si>
    <t>💰 Dividendos do dia - FII's
ALZR11 - Pagará R$0,82 por cota
BTLG11 - Pagará R$0,76 por cota
SNCI11 - Pagará R$1,10 por cota
SNFF11 - Pagará R$0,65 por cota
XPIN11 - Pagará R$0,65 por cota
XPML11 - Pagará R$0,83 por cota
#SomosTraders #investimentos #noticias #mercadofinanceiro</t>
  </si>
  <si>
    <t>⚠️ IPCA-15 foi de -0,07% em julho.
#SomosTraders #Trader #investimentos #noticias #mercadofinanceiro</t>
  </si>
  <si>
    <t>A nossa sala ao vivo com o analista CNPI Rafael Lage já está no ar.
Bora acompanhar!
https://t.co/Ij1N6Mp2XA
#SomosTraders #Trader #investimentos #noticias #mercadofinanceiro</t>
  </si>
  <si>
    <t>⁎Morning Call – Câmara dos Deputados aprova projeto de lei que trata do novo arcabouço fiscal⁎
Seguem os principais highlights para o dia de hoje 23/08/2023:
https://t.co/Tfrt1sS6gw
#DeTraderParaTrader #investimentos #mercadofinanceiro #economia #trader</t>
  </si>
  <si>
    <t>A nossa sala ao vivo com o analista CNPI Rafael Lage, já está no ar.
Bons negócios a todos.
https://t.co/n45PNDAJRM
#DeTraderParaTrader #investimentos #mercadofinanceiro #economia #trader</t>
  </si>
  <si>
    <t>🛢️ Commodities:
Petróleo Brent teve uma queda de 0,82%
Minério de Ferro negociado em Dalian, fechou com uma alta de 3,68%. 
#DeTraderParaTrader #investimentos #mercadofinanceiro #economia</t>
  </si>
  <si>
    <t>🔴🇧🇷 Ibovespa em queda de 0,08%, aos 115.312,63 pontos.
#DeTraderParaTrader #investimentos #mercadofinanceiro #economia</t>
  </si>
  <si>
    <t>🇪🇺 Fechamento de Mercado - Europa
🟢🇩🇪 Frankfurt +0,14%;
🔴🏴󠁧󠁢󠁥󠁮󠁧󠁿 Londres -0,44%;
🔴🇫🇷 Paris -0,10%;
🟢🇪🇸 Madri +0,04%;
🔴🇪🇺 Stoxx 600 -0,06% (455,29)
#DeTraderParaTrader #Trader #investimentos #noticias #mercadofinanceiro #economia #açoes</t>
  </si>
  <si>
    <t>🛢️ Estoques de petróleo recuam 5,96 milhões de barris na semana; previsão -1,7 milhão.
#DeTraderParaTrader #Trader #investimentos #noticias #mercadofinanceiro #economia #açoes</t>
  </si>
  <si>
    <t>🇺🇸 Abertura de Mercado - EUA
🟢 Dow Jones +0,01% (34.950,62);
🔴 S&amp;amp;P -0,13% (4.432,69);
🔴 Nasdaq cai -0,37% (13.577,82)
#DeTraderParaTrader #Trader #investimentos #noticias #mercadofinanceiro #economia #açoes #b3 #dividendos</t>
  </si>
  <si>
    <t>Morning Call – Monitor do PIB aponta expansão de 0,2% na atividade econômica
Seguem os principais highlights para o dia de hoje 16/08/2023:
https://t.co/B6KZttUdwZ
#DeTraderParaTrader #Trader #investimentos #noticias #mercadofinanceiro #economia #açoes #b3 #dividendos</t>
  </si>
  <si>
    <t>💰 Dividendos do dia - FII's
CPFF11 - R$0,70 por cota
HCTR11 - R$0,50 por cota
IRDM11 - R$0,80 por cota
MGFF11 - R$0,55 por cota
RBRF11 - R$0,63 por cota
RBRR11 - R$0,70 por cota
RBRY11 - R$1,20 por cota
#DeTraderParaTrader  #investimentos #mercadofinanceiro #açoes #dividendos</t>
  </si>
  <si>
    <t>🇪🇺 Fechamento de Mercado - Europa
🟢🇩🇪 Frankfurt +0,91%;
🟢🏴󠁧󠁢󠁥󠁮󠁧󠁿 Londres +0,41%;
🟢🇫🇷 Paris +1,52%;
🟢🇪🇸 Madri +1,54%;
🟢🇪🇺 Stoxx 600 +0,75% (464,04)
#SomosTraders #Trader #investimentos #noticias #mercadofinanceiro</t>
  </si>
  <si>
    <t>Morning Call – Depois de quase três anos, taxa Selic é reduzida para 13,25% ao ano
Seguem os principais highlights para o dia de hoje 03/08/2023.
https://t.co/IvLSXkS8Xn
#SomosTraders #Trader #investimentos #noticias #mercadofinanceiro</t>
  </si>
  <si>
    <t>🇧🇷 S&amp;amp;P Global: PMI de Serviços de julho fica em 50,2, de 53,4 em junho.
#SomosTraders #Trader #investimentos #noticias #mercadofinanceiro</t>
  </si>
  <si>
    <t>Fechamento de Mercado - Ásia
🇯🇵 Tóquio — Nikkei: -1,68%
🇭🇰 Hong Kong — Hang Seng: -0,49%
🇹🇼 Taiwan — Taiex: feriado
🇰🇷 Coreia — Kospi: -0,42%
🇨🇳 China — Xangai: +0,58%
🇨🇳 China — Shenzhen: +0,27%
#SomosTraders #Trader #investimentos #noticias #mercadofinanceiro</t>
  </si>
  <si>
    <t>Mercado em Andamento - Europa
🏴󠁧󠁢󠁥󠁮󠁧󠁿 Londres — FTSE100: -0,86%
🇩🇪 Frankfurt — DAX: -0,65%
🇫🇷 Paris — CAC 40: -0,68%
🇪🇸 Madrid — Ibex 35: -0,28%
🇪🇺 Europa — Stoxx 600: -0,69%
#SomosTraders #Trader #investimentos #noticias #mercadofinanceiro</t>
  </si>
  <si>
    <t>🏴󠁧󠁢󠁥󠁮󠁧󠁿 BoE eleva taxa de juros em 25 pontos base, a 5,25%.
#SomosTraders #Trader #investimentos #noticias #mercadofinanceiro</t>
  </si>
  <si>
    <t>⛽ A Petrobras obteve autorização da ANP para a comercialização de um novo asfalto sustentável, ideal para serviços de reciclagem na pavimentação: o chamado CAP Pro AP (Cimento Asfáltico de Petróleo de Alta Penetração).
#SomosTraders #investimentos #noticias #mercadofinanceiro</t>
  </si>
  <si>
    <t>👨‍🌾 Governo faz ajustes em programas de concessão de crédito rural. As mudanças atingem o Pronamp, Pronaf, Proagro e Proagro Mais.
#SomosTraders #investimentos #noticias #mercadofinanceiro</t>
  </si>
  <si>
    <t>Boa tarde, pessoal! Daqui a pouco começará o nosso fechamento de mercado com o nosso analista CNPI-Pleno Rafael Lage.
https://t.co/OrAoHehS5P
Aguardamos todos vocês lá! 💚🚀
#SomosTraders #Trader #investimentos #noticias #mercadofinanceiro</t>
  </si>
  <si>
    <t>🛢️ Brent para setembro cai 1,83%, a US$ 79,87 por barril, na ICE. Na semana, sobe 1,78%.
WTI para agosto recua 1,91%, a US$ 75,42 por barril, na Nymex. Na semana, avança 2,11%.
#SomosTraders #Trader #investimentos #noticias #mercadofinanceiro</t>
  </si>
  <si>
    <t>💰 Desenrola Brasil: renegociação de dívidas da Faixa 2 começa na segunda.
✈️ Programa Voa Brasil poderá ter 1,5 milhão de passagens por mês.
#SomosTraders #Trader #investimentos #noticias #mercadofinanceiro</t>
  </si>
  <si>
    <t>Morning Call – PIB do segundo trimestre é o destaque para semana
Seguem os principais highlights para o dia de hoje 28/08/2023:
https://t.co/Je64HBetZI
#DeTraderParaTrader #investimentos #mercadofinanceiro #economia #trader #noticias</t>
  </si>
  <si>
    <t>🇧🇷 📊 Notícias do mercado
✈️ A CVC (CVCB3) reportou prejuízo líquido de R$167 milhões no segundo trimestre deste ano, uma piora de 76,1% frente ao também resultado negativo de um ano antes.
#SomosTraders #Trader #investimentos #noticias #mercadofinanceiro</t>
  </si>
  <si>
    <t>🇧🇷 📊 Notícias do mercado
⚡ A empresa de energia Engie (EGIE3) apresentou lucro líquido de R$733 milhões no segundo trimestre deste ano, uma variação anual positiva de 85,6%.
#SomosTraders #Trader #investimentos #noticias #mercadofinanceiro</t>
  </si>
  <si>
    <t>A nossa sala ao vivo com o analista CNPI Rafael Lage já está no ar.
https://t.co/0SV5wNVRZX
Ótimos negócios a todos. 🚀💚
#SomosTraders #Trader #investimentos #noticias #mercadofinanceiro</t>
  </si>
  <si>
    <t>Bom dia pessoal, nosso boletim diário já está no ar.
https://t.co/LPGdKa0Pgl
#SomosTraders #Trader #investimentos #noticias #mercadofinanceiro</t>
  </si>
  <si>
    <t>Desempenho do mercado futuro
BITCOIN
Bitcoin, -1,64% a US$ 27.441,00 (em relação à cotação de 24 horas atrás)
#DeTraderParaTrader #investimentos #mercadofinanceiro #economia #trader #noticias #bitcoin</t>
  </si>
  <si>
    <t>Desempenho dos mercado futuro
EUROPA:
FTSE 100 (Reino Unido), +0,13%
DAX (Alemanha), -0,33%
CAC 40 (França), -0,28%
FTSE MIB (Itália), +0,23%
STOXX 600, -0,19%
#DeTraderParaTrader #investimentos #mercadofinanceiro #economia #trader #noticias</t>
  </si>
  <si>
    <t>Em breve, estará no ar o nosso boletim de fechamento. 😊
https://t.co/yAoySMpwGX
#DeTraderParaTrader #Trader #investimentos #noticias #mercadofinanceiro #economia #açoes</t>
  </si>
  <si>
    <t>🇧🇷 📊 Notícias do mercado
💰 Em relatório gerencial, o fundo imobiliário XPML11 anunciou um resultado mensal de R$ 18,895 milhões em junho, a partir da geração de R$ 22,82 milhões em receitas e R$ 3,927 milhões em despesas.
#Trader #investimentos #noticias #mercadofinanceiro</t>
  </si>
  <si>
    <t>🇧🇷 📊 Notícias do mercado
💎 A Vivara (VIVA3), maior rede de joalherias da América Latina, reportou no segundo trimestre deste ano um lucro líquido de R$109,98 milhões, uma alta anual de 23,5%.
#SomosTraders #Trader #investimentos #noticias #mercadofinanceiro</t>
  </si>
  <si>
    <t>🇧🇷 📊 Notícias do mercado
⚽ Grupo SBF (SBFG3), dono da rede de lojas de artigos esportivos Centauro reportar um prejuízo líquido ajustado de 15,09 milhões de reais, revertendo lucro líquido de 36,36 milhões de reais um ano antes.
#investimentos #noticias #mercadofinanceiro</t>
  </si>
  <si>
    <t>🇺🇸 Fechamento de Mercado - EUA
🔴 Dow Jones cai 0,45% (35.314,75 pontos);
🔴 S&amp;amp;P500 recua 0,42% (4.499,33);
🔴 Nasdaq perde 0,79% (13.884,32)
#SomosTraders #Trader #investimentos #noticias #mercadofinanceiro</t>
  </si>
  <si>
    <t>🇧🇷 Ibovespa fecha com queda de 0,24%, aos 119.090,24 pontos.
💰 Volume financeiro do dia foi de R$ 21,9 bilhões.
💵 Dólar à vista fecha em alta de 0,06%, a R$ 4,8976.2
#SomosTraders #Trader #investimentos #noticias #mercadofinanceiro</t>
  </si>
  <si>
    <t>Daqui a pouco começará o nosso fechamento de mercado com o nosso analista CNPI-Pleno Rafael Lage.
https://t.co/kpkxzqxgKW
Aguardamos todos vocês lá! 💚🚀
#SomosTraders #Trader #investimentos #noticias #mercadofinanceiro</t>
  </si>
  <si>
    <t>Morning Call – IGP-M teve nova deflação em julho, desta vez de 0,72%
Seguem os principais highlights para o dia de hoje 28/07/2023.
https://t.co/OldQwyPpKV
#SomosTraders #Trader #investimentos #noticias #mercadofinanceiro</t>
  </si>
  <si>
    <t>Fechamento de Mercado - Ásia
🇯🇵 Tóquio — Nikkei: -0,40%
🇭🇰 Hong Kong — Hang Seng: +1,41%
🇹🇼 Taiwan — Taiex: +0,30%
🇰🇷 Coreia — Kospi: +0,17%
🇨🇳 China — Xangai: +1,84%
🇨🇳 China — Shenzhen: +1,62%
#SomosTraders #Trader #investimentos #noticias #mercadofinanceiro</t>
  </si>
  <si>
    <t>🇪🇺 Mercado em Andamento - Europa
🇬🇧 Londres — FTSE100: +0,20%
🇩🇪 Frankfurt — DAX: -0,10%
🇫🇷 Paris — CAC 40: -0,29%
🇪🇸 Madrid — Ibex 35: +0,24%
🇪🇺 Europa — Stoxx 600: -0,27%
#SomosTraders #Trader #investimentos #noticias #mercadofinanceiro</t>
  </si>
  <si>
    <t>Bom dia!
A nossa sala ao vivo com o analista CNPI Rafael Lage já está no ar.
https://t.co/EXL5c7tczX
#SomosTraders #Trader #investimentos #noticias #mercadofinanceiro</t>
  </si>
  <si>
    <t>🇧🇷📊 Petróleo/fechamento: Brent para setembro sobe 1,80%, a US$ 81,07 por barril, na ICE. Na semana, avança 1,50%.
WTI para setembro tem alta de 1,88%, a US$ 77,07 por barril, na Nymex. Na semana, sobe 2,32%.
#SomosTraders #investimentos #noticias #mercadofinanceiro</t>
  </si>
  <si>
    <t>Fechamento de Mercado - Europa
🔴🇩🇪 Frankfurt -0,17%;
🟢🇬🇧 Londres +0,20%;
🟢🇫🇷 Paris +0,65%:
🟢🇪🇸 Madri +0,50%;
🟢🇪🇺 Stoxx 600 +0,31% (465.36)
#SomosTraders #investimentos #noticias #mercadofinanceiro</t>
  </si>
  <si>
    <t>🇧🇷📊 Atualizações de mercado
Maiores altas no momento📈
AZUL4 +5.65% R$ 17,96
HAPV3 +4.33% R$ 4,34
GOLL4 +4.15% R$ 10,05
Maiores baixas no momento📉
GGBR4 -1.96% R$ 26,98
GOAU4 -1.63% R$ 12,68
BRKM5 -1.22% R$ 24,28
#SomosTraders #investimentos #noticias #mercadofinanceiro</t>
  </si>
  <si>
    <t>🇺🇸 Abertura de Mercado - EUA
🟢 Dow Jones +0,19% (35.291,41)
🟢 S&amp;amp;P +0,36% (4.551,09)
🟢 Nasdaq +0,60% (14.147,87)
#SomosTraders #investimentos #noticias #mercadofinanceiro</t>
  </si>
  <si>
    <t>💰 Dividendos do dia - FII's
AFHI11- Pagará R$1,10 por cota
BARE11- Pagará R$0,93 por cota
RZAK11- Pagará R$1,20 por cota
RZAT11- Pagará R$0,90 por cota
#SomosTraders #investimentos #noticias #mercadofinanceiro #fiis #dividendos</t>
  </si>
  <si>
    <t>🇧🇷📊 Ibovespa em alta de 0,20%, aos 118.322,39 pontos.
#SomosTraders #investimentos #noticias #mercadofinanceiro</t>
  </si>
  <si>
    <t>Mercado em andamento - Europa
🇬🇧 Londres — FTSE100: -0,02%
🇩🇪 Frankfurt — DAX: -0,41%
🇫🇷 Paris — CAC 40: +0,22%
🇪🇸 Madrid — Ibex 35: +0,05%
🇪🇺 Europa — Stoxx 600: +0,06%
#SomosTraders #investimentos #noticias #mercadofinanceiro</t>
  </si>
  <si>
    <t>🇷🇺 BC eleva juro em 1 ponto percentual.
Taxa básica sobe a 8,5% ao ano.
#SomosTraders #investimentos #noticias #mercadofinanceiro</t>
  </si>
  <si>
    <t>Fechamento de Mercado - Ásia
🇯🇵 Tóquio — Nikkei: -0,57%
🇭🇰 Hong Kong — Hang Seng: +0,78%
🇹🇼 Taiwan — Taiex: -0,78%
🇰🇷 Coreia — Kospi: +0,37%
🇨🇳 China — Xangai: -0,06%
🇨🇳 China — Shenzhen: -0,19%
#SomosTraders #investimentos #noticias #mercadofinanceiro</t>
  </si>
  <si>
    <t>A nossa sala ao vivo com o analista CNPI Rafael Lage já está no ar.
Bora acompanhar!
https://t.co/hEMpRrFLv0
#SomosTraders #investimentos #noticias #mercadofinanceiro</t>
  </si>
  <si>
    <t>Nosso boletim diário já está no ar.
Venha conferir e ficar antenado sobre as principais informações do início do dia.
https://t.co/gINzm1vepX
#SomosTraders #investimentos #noticias #mercadofinanceiro</t>
  </si>
  <si>
    <t>Na China, saem os Índices de Gerentes de Compras (PMIs, na sigla em inglês) referentes a agosto, que podem dar maior clareza sobre a tendência de crescimento no atual semestre.
#DeTraderParaTrader #investimentos #mercadofinanceiro #economia #trader #noticias</t>
  </si>
  <si>
    <t>A Brown-Forman, dona do uísque Jack Daniel’s, divulga resultados trimestrais antes da abertura, seguida pelas ações de tecnologia Salesforce, CrowdStrike e Okta depois do fechamento dos mercados.
#DeTraderParaTrader #investimentos #mercadofinanceiro #economia #trader #noticias</t>
  </si>
  <si>
    <t>💰 Dividendos do dia - Ações
💳 CIEL3 - Pagará hoje R$ 0,07 por ação
#DeTraderParaTrader #investimentos #mercadofinanceiro #economia #ações #dividendos</t>
  </si>
  <si>
    <t>A nossa sala ao vivo com o analista CNPI Rafael Lage já está no ar.
https://t.co/5pqZyFQs2w
Ótimos negócios a todos. 🚀💚
#SomosTraders #Trader #investimentos #noticias #mercadofinanceiro</t>
  </si>
  <si>
    <t>Bom dia pessoal, nosso boletim diário já está no ar.
https://t.co/RF1PbCnSlI
#SomosTraders #Trader #investimentos #noticias #mercadofinanceiro</t>
  </si>
  <si>
    <t>🇧🇷📊 Notícias do mercado
🍺 A Ambev (ABEV3) apresentou lucro líquido consolidado de R$ 2,597 bilhões no segundo trimestre de 2023, o que representa uma queda de 15,2% em relação ao mesmo período do ano passado.
#SomosTraders #Trader #investimentos #noticias #mercadofinanceiro</t>
  </si>
  <si>
    <t>🇧🇷 📊 Notícias do mercado
🌾 A Kepler Weber (KEPL3) obteve lucro líquido de R$ 33,4 milhões no segundo trimestre deste ano, queda de 44,6% ante os R$ 60,2 milhões apurados em igual período do ano passado.
#SomosTraders #Trader #investimentos #noticias #mercadofinanceiro</t>
  </si>
  <si>
    <t>🇧🇷 📊 Notícias do mercado
🛢️ Prio (PRIO3) reportou lucro líquido de US$184,571 milhões entre abril e junho, elevação de 32% na comparação anual.
#SomosTraders #Trader #investimentos #noticias #mercadofinanceiro</t>
  </si>
  <si>
    <t>🇺🇸 Abertura de Mercado - EUA
🔴 Dow Jones -0,22% (35.206,38);
🔴 S&amp;amp;P -0,45% (4.493,30);
🔴 Nasdaq -0,50% (13.904,03)
#SomosTraders #Trader #investimentos #noticias #mercadofinanceiro</t>
  </si>
  <si>
    <t>Desempenho do mercados futuro
EUA:
Dow Jones Futuro (EUA), -0,02%
S&amp;amp;P 500 Futuro (EUA), -0,15%
Nasdaq Futuro (EUA), -0,24%
#DeTraderParaTrader #investimentos #mercadofinanceiro #economia #trader #noticias</t>
  </si>
  <si>
    <t>Fechamento de Mercado - Ásia
🇯🇵 Tóquio — Nikkei: +0,92%
🇭🇰 Hong Kong — Hang Seng: +0,95%
🇹🇼 Taiwan — Taiex: +0,34%
🇰🇷 Coreia — Kospi: +0,28%
🇨🇳 China — Xangai: +0,88%
🇨🇳 China — Shenzhen: +0,47%
#DeTraderParaTrader #investimentos #mercadofinanceiro #economia</t>
  </si>
  <si>
    <t>Mercado em Andamento - Europa
🏴󠁧󠁢󠁥󠁮󠁧󠁿 Londres — FTSE100: +0,64%
🇩🇪 Frankfurt — DAX: +1,03%
🇫🇷 Paris — CAC 40: +1,23%
🇪🇸 Madrid — Ibex 35: +1,10%
🇪🇺 Europa — Stoxx 600: +1,11%
#DeTraderParaTrader #investimentos #mercadofinanceiro #economia</t>
  </si>
  <si>
    <t>🔴💵 Dólar à vista fecha em baixa de 0,10%, a R$ 4,9814.
🇺🇸 Fechamento de Mercado - EUA
🔴 Dow Jones cai 0,84% (34.473,90 pontos);
🔴 S&amp;amp;P500 recua 0,78% (4.370,13);
🔴 Nasdaq perde 1,17% (13.316,93)
#DeTraderParaTrader #investimentos #mercadofinanceiro #economia #dolar</t>
  </si>
  <si>
    <t>🇧🇷🔴 Ibovespa fecha com queda de 0,53%, aos 114.982,30 pontos
#DeTraderParaTrader #Trader #investimentos #noticias #mercadofinanceiro #economia #dolar</t>
  </si>
  <si>
    <t>Daqui a pouco começará o nosso fechamento de mercado com o nosso analista CNPI-Pleno Rafael Lage.
https://t.co/5y4YgsLWo4
#DeTraderParaTrader #Trader #investimentos #noticias #mercadofinanceiro #economia #dolar</t>
  </si>
  <si>
    <t>Fechamento de Mercado - Ásia
🇯🇵 Tóquio — Nikkei: -0,53%
🇭🇰 Hong Kong — Hang Seng: +0,34%
🇹🇼 Taiwan — Taiex: -0,04%
🇰🇷 Coreia — Kospi: +1,21%
🇨🇳 China — Xangai: -0,49%
🇨🇳 China — Shenzhen: -0,60%
#SomosTraders #Trader #investimentos #noticias #mercadofinanceiro</t>
  </si>
  <si>
    <t>Abertura de Mercado - Europa
🏴󠁧󠁢󠁥󠁮󠁧󠁿 Londres — FTSE100: +0,94%
🇩🇪 Frankfurt — DAX: +1,21%
🇫🇷 Paris — CAC 40: +1,36%
🇪🇸 Madrid — Ibex 35: +1,10%
🇪🇺 Europa — Stoxx 600: +0,92%
#SomosTraders #Trader #investimentos #noticias #mercadofinanceiro</t>
  </si>
  <si>
    <t>IBGE: Vendas do varejo ficam estáveis em junho ante maio (projeção era -0,2%) e +1,3% na base anual (projeção era +0,9%).
#SomosTraders #Trader #investimentos #noticias #mercadofinanceiro</t>
  </si>
  <si>
    <t>🇧🇷🔴 Ibovespa em baixa de 0,23%, aos 118.821,09 pontos.
#SomosTraders #Trader #investimentos #noticias #mercadofinanceiro</t>
  </si>
  <si>
    <t>🇺🇸 Abertura de Mercado - EUA
🟢 Dow Jones +0,03% (35.324,28);
🔴 S&amp;amp;P -0,02% (4.498,81);
🟢 Nasdaq +0,02% (13.887,24)
#SomosTraders #Trader #investimentos #noticias #mercadofinanceiro</t>
  </si>
  <si>
    <t>⚠️ Vencimentos: DOLQ23 e WDOQ23 - Novos DOLU23 e WDOU23
#SomosTraders #Trader #investimentos #noticias #mercadofinanceiro</t>
  </si>
  <si>
    <t>Olá pessoal, bom dia!
A nossa sala ao vivo com o analista CNPI Rafael Lage já está no ar.
Vem pra cá acompanhar!
https://t.co/APcgbyI445
#SomosTraders #Trader #investimentos #noticias #mercadofinanceiro</t>
  </si>
  <si>
    <t>Fechamento de Mercado - Ásia
🇯🇵 Tóquio — Nikkei: +1,26%
🇭🇰 Hong Kong — Hang Seng: +0,82%
🇹🇼 Taiwan — Taiex: -0,85%
🇰🇷 Coreia — Kospi: +0,93%
🇨🇳 China — Xangai: +0,46%
🇨🇳 China — Shenzhen: +0,82%
#SomosTraders #Trader #investimentos #noticias #mercadofinanceiro</t>
  </si>
  <si>
    <t>Desempenho dos mercados futuro
Ásia-Pacífico:
Shanghai SE (China), +0,04%
Nikkei (Japão), +0,33%
Hang Seng Index (Hong Kong), -0,01%
Kospi (Coreia do Sul), +0,35%
ASX 200 (Austrália), +1,21%
#DeTraderParaTrader #investimentos #mercadofinanceiro #economia #trader #noticias</t>
  </si>
  <si>
    <t>Em breve, estará no ar o nosso boletim de fechamento. 😊
https://t.co/gasNeHzH16
#DeTraderParaTrader #Trader #investimentos #noticias #mercadofinanceiro #economia #dolar</t>
  </si>
  <si>
    <t>🇦🇷 Argentina fixa taxa de câmbio por 90 dias após desvalorização de 22%.
🪙 Previdência propõe que teto do juro do consignado do INSS caia para 1,91%.
#DeTraderParaTrader #Trader #investimentos #noticias #mercadofinanceiro #economia #dolar</t>
  </si>
  <si>
    <t>💰 Dividendos do dia - Ações
🏦 BPAC11 - Pagará hoje R$ 0,40 de JCP por ação
🪵 KLBN11 - Pagará hoje R$ 0,24 por ação
⚡ SMTO3 - Pagará hoje R$ 0,24 por ação
#DeTraderParaTrader #Trader #investimentos #noticias #mercadofinanceiro #economia #açoes #b3</t>
  </si>
  <si>
    <t>🇺🇸 Abertura de Mercado - EUA
🔴 Dow Jones recua 0,42% (35.160,55);
🔴 S&amp;amp;P -0,43% (4.471,13);
🔴 Nasdaq -0,30% (13.745,62)
#SomosTraders #Trader #investimentos #noticias #mercadofinanceiro</t>
  </si>
  <si>
    <t>🇧🇷 Ibovespa em alta de 0,55%, aos 117.457,32 pontos.
#SomosTraders #Trader #investimentos #noticias #mercadofinanceiro</t>
  </si>
  <si>
    <t>🇷🇺 Rússia eleva taxa básica de juros em 35 pontos, de 8,5% para 12,0% ao ano.
#SomosTraders #Trader #investimentos #noticias #mercadofinanceiro</t>
  </si>
  <si>
    <t>Mercado em Andamento - Europa
🏴󠁧󠁢󠁥󠁮󠁧󠁿 Londres — FTSE100: -1,45%
🇩🇪 Frankfurt — DAX: -1,04%
🇫🇷 Paris — CAC 40: -1,13%
🇪🇸 Madrid — Ibex 35: -0,97%
🇪🇺 Europa — Stoxx 600: -0,97%
#SomosTraders #Trader #investimentos #noticias #mercadofinanceiro</t>
  </si>
  <si>
    <t>Fechamento de Mercado - Ásia
🇯🇵 Tóquio — Nikkei: +0,56%
🇭🇰 Hong Kong — Hang Seng: -1,03%
🇹🇼 Taiwan — Taiex: +0,37%
🇰🇷 Coreia — Kospi: -0,79%
🇨🇳 China — Xangai: -0,07%
🇨🇳 China — Shenzhen: -0,66%
#SomosTraders #Trader #investimentos #noticias #mercadofinanceiro</t>
  </si>
  <si>
    <t>Daqui a pouco, começa o Conference Call com Eduardo Garufi e João Homem!
Não perca! É às 17h30, na Comunidade do SST!
PARTICIPE! 
https://t.co/vbZFRPgpk0
#SomosTraders #Trader #investimentos #noticias #mercadofinanceiro https://t.co/cidgvWC2Uo</t>
  </si>
  <si>
    <t>Daqui a pouco começará o nosso fechamento de mercado com o nosso analista CNPI-Pleno Rafael Lage.
https://t.co/apghD91QYg
Aguardamos todos vocês lá! 💚🚀
#SomosTraders #Trader #investimentos #noticias #mercadofinanceiro</t>
  </si>
  <si>
    <t>Boa tarde pessoal! Em breve, estará no ar o nosso boletim de fechamento. 😊
https://t.co/eCp1McmxQR
#SomosTraders #Trader #investimentos #noticias #mercadofinanceiro</t>
  </si>
  <si>
    <t>Volume de serviços no país subiu 0,5%
Seguem os principais highlights para o dia de hoje 14/09/2023.
https://t.co/wulFd19B5N
#DeTraderParaTrader #investimentos #mercadofinanceiro #economia #trader #noticias</t>
  </si>
  <si>
    <t>🇺🇸 Abertura de Mercado - EUA
🔴 Dow Jones cai 0,32% (35.063,54);
🔴 S&amp;amp;P -0,44% (4.450,13);
🔴 Nasdaq -0,71% (13.640,16)
#SomosTraders #Trader #investimentos #noticias #mercadofinanceiro</t>
  </si>
  <si>
    <t>Morning Call – IPCA tem alta de 0,12% em julho
Seguem os principais highlights para o dia de hoje 11/08/2023:
https://t.co/bUeLnLlmcu
#SomosTraders #Trader #investimentos #noticias #mercadofinanceiro</t>
  </si>
  <si>
    <t>Fechamento de Mercado - Ásia
🇯🇵 Tóquio — Nikkei: feriado
🇭🇰 Hong Kong — Hang Seng: -0,90%
🇹🇼 Taiwan — Taiex: -0,20%
🇰🇷 Coreia — Kospi: -0,40%
🇨🇳 China — Xangai: -2,01%
🇨🇳 China — Shenzhen: -1,92%
#SomosTraders #Trader #investimentos #noticias #mercadofinanceiro</t>
  </si>
  <si>
    <t>🇪🇺 Mercado em Andamento - Europa
🏴󠁧󠁢󠁥󠁮󠁧󠁿 Londres — FTSE100: -1,00%
🇩🇪 Frankfurt — DAX: -0,35%
🇫🇷 Paris — CAC 40: -0,72%
🇪🇸 Madrid — Ibex 35: -0,30%
🇪🇺 Europa — Stoxx 600: -0,70%
#SomosTraders #Trader #investimentos #noticias #mercadofinanceiro</t>
  </si>
  <si>
    <t>📊 IPCA de julho sobe 0,12%, após recuo de 0,08% em junho.
#SomosTraders #Trader #investimentos #noticias #mercadofinanceiro</t>
  </si>
  <si>
    <t>🏗️ Em julho, Índice Nacional da Construção Civil é de 0,23%.
#SomosTraders #Trader #investimentos #noticias #mercadofinanceiro</t>
  </si>
  <si>
    <t>Em breve, estará no ar o nosso boletim de fechamento. 😊
https://t.co/VTPpMuVy4f
#SomosTraders #Trader #investimentos #noticias #mercadofinanceiro</t>
  </si>
  <si>
    <t>🛢️ Petróleo/fechamento: Brent para setembro sobe 2,05%, a US$ 82,74 por barril, na ICE
WTI para setembro sobe 2,16%, a US$ 78,74 por barril, na Nymex.
#SomosTraders #Trader #investimentos #noticias #mercadofinanceiro</t>
  </si>
  <si>
    <t>🦁 Receita Federal divulga amanhã, às 10h30, a arrecadação de junho.
#SomosTraders #Trader #investimentos #noticias #mercadofinanceiro</t>
  </si>
  <si>
    <t>https://t.co/hZVVvl21A7
A nossa sala ao vivo com o analista CNPI Rafael Lage já começou.
Bons negócios a todos!
#DeTraderParaTrader #investimentos #mercadofinanceiro #economia #trader #noticias</t>
  </si>
  <si>
    <t>Mercado em Andamento - Europa
🏴󠁧󠁢󠁥󠁮󠁧󠁿 Londres — FTSE100: -0,13%
🇩🇪 Frankfurt — DAX: +0,01%
🇫🇷 Paris — CAC 40: -0,06%
🇪🇸 Madrid — Ibex 35: -0,06%
🇪🇺 Europa — Stoxx 600: -0,19%
#DeTraderParaTrader #Trader #investimentos #noticias #mercadofinanceiro #economia</t>
  </si>
  <si>
    <t>Fechamento de Mercado - Ásia
🇯🇵 Tóquio — Nikkei: -0,44%
🇭🇰 Hong Kong — Hang Seng: -0,01%
🇹🇼 Taiwan — Taiex: +0,42%
🇰🇷 Coreia — Kospi: -0,23%
🇨🇳 China — Xangai: +0,43%
🇨🇳 China — Shenzhen: +0,85%
#DeTraderParaTrader  #investimentos #mercadofinanceiro #economia</t>
  </si>
  <si>
    <t>A nossa sala ao vivo com o analista CNPI Rafael Lage já está no ar.
https://t.co/gHIZDpVa9i
Ótimos negócios a todos. 🚀💚
#DeTraderParaTrader #Trader #investimentos #noticias #mercadofinanceiro #economia #açoes</t>
  </si>
  <si>
    <t>Bom dia pessoal, nosso boletim diário já está no ar.
https://t.co/zc8ESfh6jp
#DeTraderParaTrader #Trader #investimentos #noticias #mercadofinanceiro #economia #açoes</t>
  </si>
  <si>
    <t>Daqui a pouco começará o nosso fechamento de mercado com o nosso analista CNPI-Pleno Rafael Lage.
https://t.co/xUklD8Dfwq
Aguardamos todos vocês lá! 💚🚀
#SomosTraders #Trader #investimentos #noticias #mercadofinanceiro</t>
  </si>
  <si>
    <t>🇺🇸 Pedidos de auxílio-desemprego na semana até 15/7 ficam em 228 mil.
#SomosTraders #investimentos #noticias #mercadofinanceiro</t>
  </si>
  <si>
    <t>⚠️ Estrangeiros ingressam com R$ 695,638 milhões na B3 no dia 18/07.
#SomosTraders #investimentos #noticias #mercadofinanceiro</t>
  </si>
  <si>
    <t>🇹🇷 Banco Central da Turquia eleva juros em 2,5 pontos percentuais.
Taxa básica anual vai a 17,5%.
#SomosTraders #investimentos #noticias #mercadofinanceiro</t>
  </si>
  <si>
    <t>Fechamento de Mercado - Ásia
🇯🇵 Tóquio — Nikkei: -1,23%
🇭🇰 Hong Kong — Hang Seng: -0,13%
🇹🇼 Taiwan — Taiex: +0,28%
🇰🇷 Coreia — Kospi: -0,31%
🇨🇳 China — Xangai: -0,92%
🇨🇳 China — Shenzhen: -1,05%
#SomosTraders #investimentos #noticias #mercadofinanceiro</t>
  </si>
  <si>
    <t>Mercado em andamento - Europa
🇬🇧 Londres — FTSE100: +0,69%
🇩🇪 Frankfurt — DAX: +0,24%
🇫🇷 Paris — CAC 40: +0,31%
🇪🇸 Madrid — Ibex 35: +0,69%
🇪🇺 Europa — Stoxx 600: +0,23%
#SomosTraders #investimentos #noticias #mercadofinanceiro</t>
  </si>
  <si>
    <t>A nossa sala ao vivo com o analista CNPI Rafael Lage já está no ar.
https://t.co/H7XXvwHPNF
#SomosTraders #investimentos #noticias #mercadofinanceiro</t>
  </si>
  <si>
    <t>🇧🇷 📊 Atualizações de mercado
Maiores altas no momento 📈
WEGE3 +4.42% R$ 37,53
CIEL3 +3.87% R$ 4,83
NTCO3 +2.82% R$ 16,03
Maiores baixas no momento 📉
ALPA4 -6.80% R$ 8,64
PCAR3 -4.53% R$ 21,48
LWSA3 -4.20% R$ 7,29
#SomosTraders #investimentos #noticias #mercadofinanceiro</t>
  </si>
  <si>
    <t>Boa tarde pessoal! Em breve, estará no ar o nosso boletim de fechamento. 😊
https://t.co/wFAwINDLdq
#SomosTraders #Trader #investimentos #noticias #mercadofinanceiro</t>
  </si>
  <si>
    <t>💱 BC: Fluxo cambial total na semana passada (10 a 14/7) ficou positivo em US$ 3,17 bilhões.
#SomosTraders #Trader #investimentos #noticias #mercadofinanceiro</t>
  </si>
  <si>
    <t>https://t.co/69D3BO4JyZ
A nossa sala ao vivo com o analista CNPI Rafael Lage já começou.
Bons negócios a todos!
#DeTraderParaTrader #investimentos #mercadofinanceiro #economia #trader #noticias #trade</t>
  </si>
  <si>
    <t>Bom Dia, pessoal!!!
Não deixem de assistir o nosso BOLETIM DIÁRIO!
https://t.co/RTSjGgRvc4
#DeTraderParaTrader #investimentos #mercadofinanceiro #economia #trader #noticias</t>
  </si>
  <si>
    <t>🇺🇸 Abertura de Mercado - EUA
🟢 Dow Jones +0,25% (35.851,75);
🟢 S&amp;amp;P +0,31% (4.418,42);
🟢 Nasdaq +0,30% (13.514,99)
#DeTraderParaTrader #Trader #investimentos #noticias #mercadofinanceiro #economia #dolar</t>
  </si>
  <si>
    <t>💰 Dividendos do dia - FII's
CPTS11 - Pagará R$0,89 por cota
MCCI11 - Pagará R$0,90 por cota
MCHF11 - Pagará R$0,09 por cota
VGIP11 - Pagará R$0,85 por cota
VGIR11 - Pagará R$0,12 por cota
#DeTraderParaTrader #investimentos #fiis #mercadofinanceiro #economia #dividendos</t>
  </si>
  <si>
    <t>Em breve, estará no ar o nosso boletim de fechamento. 😊
https://t.co/7wXjQkIEk9
#SomosTraders #Trader #investimentos #noticias #mercadofinanceiro</t>
  </si>
  <si>
    <t>🇪🇺 Fechamento de Mercado - Europa
🔴🇩🇪 Frankfurt -1,10%;
🔴🏴󠁧󠁢󠁥󠁮󠁧󠁿 Londres -0,36%;
🔴🇫🇷 Paris -0,69%;
🔴🇪🇸 Madri -0,73%;
🔴🇪🇺 Stoxx 600 -0,24% (458,57)
#SomosTraders #Trader #investimentos #noticias #mercadofinanceiro</t>
  </si>
  <si>
    <t>🌳 BNDES e BID anunciam R$ 4,5 bi para pequeno empresário da Amazônia.
🪙 Imposto sobre lucros e dividendos tem boas chances de aprovação no Congresso.
🏦 Cancelado debate sobre possibilidade de fim do saque-aniversário do FGTS.
#investimentos #noticias #mercadofinanceiro</t>
  </si>
  <si>
    <t>💰 Dividendos do dia - FII's
BCIA11 - Pagará R$0,80 por cota
#SomosTraders #Trader #investimentos #noticias #mercadofinanceiro</t>
  </si>
  <si>
    <t>🇺🇸 Abertura de Mercado - EUA
🟢 Dow Jones +0,63% (35.506,40);
🟢 S&amp;amp;P +0,77% (4.572,43);
🟢 Nasdaq +1,09% (14.203,74)
#SomosTraders #Trader #investimentos #noticias #mercadofinanceiro</t>
  </si>
  <si>
    <t>🇧🇷📊 Ibovespa em alta de 0,23%, aos 120.263,80 pontos.
#SomosTraders #Trader #investimentos #noticias #mercadofinanceiro</t>
  </si>
  <si>
    <t>Bom dia pessoal, a nossa sala ao vivo com o analista CNPI Rafael Lage já está no ar.
https://t.co/wY7mJQmICu
Ótimos negócios a todos. 🚀💚
#SomosTraders #Trader #investimentos #noticias #mercadofinanceiro</t>
  </si>
  <si>
    <t>Fechamento de Mercado - EUA
🔴 Dow Jones sobe 0,63% (33.946,25 pontos);
🟢 S&amp;amp;P500 avança 0,24% (4.409,72);
🟢 Nasdaq ganha 0,18% (13.685,48)
#SomosTraders #Trader #investimentos #noticias #mercadofinanceiro</t>
  </si>
  <si>
    <t>Atualizações do mercado 📊
🇪🇺 Juros futuros nos EUA sobem à espera do Fomc na quarta e gestoras se posicionam para novas altas
🇧🇷 Fazenda eleva de 2,5% para 3,2% projeção de evolução do PIB em 2023 e mantém estimativa do IPCA
#mercadofinanceiro #economia #noticias</t>
  </si>
  <si>
    <t>A nossa sala ao vivo com o analista CNPI Rafael Lage já está no ar.
https://t.co/Mq8x0XHXSq
Ótimos negócios a todos. 🚀💚
#DeTraderParaTrader #investimentos #mercadofinanceiro #economia</t>
  </si>
  <si>
    <t>💰 Dividendos do dia - Ações
🏦 SANB11 - Pagará hoje R$ 0,40 de JCP por ação
⚙️ WEGE3 - Pagará hoje R$ 0,11 de JCP por ação
⚙️ WEGE3 - Pagará hoje R$ 0,14 por ação
#DeTraderParaTrader #Trader #investimentos #noticias #mercadofinanceiro #economia #açoes #b3 #dividendos</t>
  </si>
  <si>
    <t>Fechamento de Mercado - Ásia
🇯🇵 Tóquio — Nikkei: -1,46%
🇭🇰 Hong Kong — Hang Seng: -1,36%
🇹🇼 Taiwan — Taiex: -0,05%
🇰🇷 Coreia — Kospi: -1,76%
🇨🇳 China — Xangai: -0,82%
🇨🇳 China — Shenzhen: -0,95%
#DeTraderParaTrader #investimentos #mercadofinanceiro #economia</t>
  </si>
  <si>
    <t>🇪🇺 Mercado em Andamento - Europa
🏴󠁧󠁢󠁥󠁮󠁧󠁿 Londres — FTSE100: -0,33%
🇩🇪 Frankfurt — DAX: +0,11%
🇫🇷 Paris — CAC 40: +0,09%
🇪🇸 Madrid — Ibex 35: +0,18%
🇪🇺 Europa — Stoxx 600: -0,01%
#DeTraderParaTrader #Trader #investimentos #noticias #mercadofinanceiro #economia</t>
  </si>
  <si>
    <t>A nossa sala ao vivo com o analista CNPI Rafael Lage já está no ar.
https://t.co/QLpL4EcLCm
Ótimos negócios a todos. 🚀💚
#DeTraderParaTrader #Trader #investimentos #noticias #mercadofinanceiro #economia #açoes #b3</t>
  </si>
  <si>
    <t>Bom dia pessoal, nosso boletim diário já está no ar.
https://t.co/r7pu9eke9i
#DeTraderParaTrader #Trader #investimentos #noticias #mercadofinanceiro #economia #açoes #b3</t>
  </si>
  <si>
    <t>Abertura de Mercado - Europa
🏴󠁧󠁢󠁥󠁮󠁧󠁿 Londres — FTSE100: -0,46%
🇩🇪 Frankfurt — DAX: -0,37%
🇫🇷 Paris — CAC 40: -0,17%
🇪🇸 Madrid — Ibex 35: -0,63%
🇪🇺 Europa — Stoxx 600: -0,21%
#SomosTraders #Trader #investimentos #noticias #mercadofinanceiro</t>
  </si>
  <si>
    <t>Fechamento de Mercado - Ásia
🇯🇵 Tóquio — Nikkei: +0,19%
🇭🇰 Hong Kong — Hang Seng: -0,01%
🇹🇼 Taiwan — Taiex: +0,90%
🇰🇷 Coreia — Kospi: -0,85%
🇨🇳 China — Xangai: -0,59%
🇨🇳 China — Shenzhen: -0,66%
#SomosTraders #Trader #investimentos #noticias #mercadofinanceiro</t>
  </si>
  <si>
    <t>A nossa sala ao vivo com o analista CNPI Rafael Lage já está no ar.
https://t.co/UbNBnVdbAK
Ótimos negócios a todos. 🚀💚
#SomosTraders #Trader #investimentos #noticias #mercadofinanceiro</t>
  </si>
  <si>
    <t>Bom dia pessoal, nosso boletim diário já está no ar.
https://t.co/xN14gkCdPx
#SomosTraders #Trader #investimentos #noticias #mercadofinanceiro</t>
  </si>
  <si>
    <t>🇧🇷📊 Atualizações de mercado
Maiores altas no momento📈
RRRP3 +1.31% R$ 33,94
WEGE3 +1.03% R$ 36,31
SLCE3 +0.79% R$ 41,07
Maiores baixas no momento📉
PCAR3 -2.89% R$ 21,85
CPFE3 -1.98% R$ 34,65
ALPA4 -1.83% R$ 9,10
#SomosTraders #investimentos #noticias #mercadofinanceiro</t>
  </si>
  <si>
    <t>🇧🇷📊 Ibovespa se encontra em queda de 0,35%, aos 17.425,73 pontos.
#SomosTraders #Trader #investimentos #noticias #mercadofinanceiro</t>
  </si>
  <si>
    <t>Morning Call – Indústria registrou declínio no desempenho em junho
Seguem os principais highlights para o dia de hoje 19/07/2023:
https://t.co/yFjDdALq8w
#SomosTraders #Trader #investimentos #noticias #mercadofinanceiro</t>
  </si>
  <si>
    <t>Mercado em Andamento - Europa
🇬🇧 Londres — FTSE100: +1,42%
🇩🇪 Frankfurt — DAX: +0,09%
🇫🇷 Paris — CAC 40: +0,49%
🇪🇸 Madrid — Ibex 35: +0,11%
🇪🇺 Europa — Stoxx 600: +0,32%
#SomosTraders #Trader #investimentos #noticias #mercadofinanceiro</t>
  </si>
  <si>
    <t>Fechamento de Mercado - Ásia
🇯🇵 Tóquio — Nikkei: +1,24%
🇭🇰 Hong Kong — Hang Seng: -0,33%
🇹🇼 Taiwan — Taiex: -0,65%
🇰🇷 Coreia — Kospi: +0,02%
🇨🇳 China — Xangai: +0,03%
🇨🇳 China — Shenzhen: -0,26%
#SomosTraders #Trader #investimentos #noticias #mercadofinanceiro</t>
  </si>
  <si>
    <t>A nossa sala ao vivo com o analista CNPI Rafael Lage já está no ar.
https://t.co/XASqZnZ8uT
#SomosTraders #Trader #investimentos #noticias #mercadofinanceiro</t>
  </si>
  <si>
    <t>Bom dia pessoal! Nosso boletim diário já está no ar.
Bora conferir e ficar antenado sobre as principais informações do início do dia.
https://t.co/0704ct8SER
#SomosTraders #Trader #investimentos #noticias #mercadofinanceiro</t>
  </si>
  <si>
    <t>Bom Dia, pessoal!!!
Não deixem de assistir o nosso BOLETIM DIÁRIO!
https://t.co/VS3vBssTuA
#DeTraderParaTrader #investimentos #mercadofinanceiro #economia #trader #noticias #trade #daytrade</t>
  </si>
  <si>
    <t>XP tem lucro líquido de R$ 977 milhões no 2TRI23, alta de 7% s/ 2TRI22.
Receita bruta aumenta 3%, para R$ 3,7 bi; Ativos totais superam R$ 1 tri no 2TRI23.
#SomosTraders #Trader #investimentos #noticias #mercadofinanceiro</t>
  </si>
  <si>
    <t>Em breve, estará no ar o nosso boletim de fechamento. 😊
https://t.co/eZaQyKmR1f
#SomosTraders #Trader #investimentos #noticias #mercadofinanceiro</t>
  </si>
  <si>
    <t>🛢️ Petróleo/fechamento: Brent para outubro recua 0,69%, a US$ 86,21 por barril, na ICE.
Petróleo WTI para setembro cai 0,80%, a US$ 82,51 por barril, na Nymex.
#SomosTraders #Trader #investimentos #noticias #mercadofinanceiro</t>
  </si>
  <si>
    <t>Daqui a pouco começará o nosso fechamento de mercado com o nosso analista CNPI-Pleno Rafael Lage.
https://t.co/BmLNd9eTVe
Aguardamos todos vocês lá! 💚🚀
#SomosTraders #Trader #investimentos #noticias #mercadofinanceiro</t>
  </si>
  <si>
    <t>Boa tarde pessoal! Em breve, estará no ar o nosso boletim de fechamento. 😊
https://t.co/LzJvl01fDo
#SomosTraders #Trader #investimentos #noticias #mercadofinanceiro</t>
  </si>
  <si>
    <t>🇧🇷📊 Atualizações de mercado
Maiores altas no momento 📈
EZTC3 +6.76% R$ 21,49
CSNA3 +5.06% R$ 13,71
GGBR4 +4.18% R$ 29,19
Maiores baixas no momento 📉
GOLL4 -3.35% R$ 10,10
BEEF3 -3.23% R$ 9,29
COGN3 -2.56% R$ 3,43
#SomosTraders #investimentos #noticias #mercadofinanceiro</t>
  </si>
  <si>
    <t>🇧🇷 Ibovespa fecha com queda de 0,40%, aos 118.288 pontos.
🇺🇸 Dólar à vista fecha em queda de 0,31%, a R$ 4,85.
#DeTraderParaTrader #mercadofinanceiro #economia #trader #noticias #trade #daytrade #dolar #ibovespa</t>
  </si>
  <si>
    <t>🇺🇸 Abertura de Mercado - EUA
🟢 Dow Jones +0,37% (35.345,25);
🟢 S&amp;amp;P +0,40% (4.519,95);
🟢 Nasdaq +0,65% (14.051,12)
#SomosTraders #Trader #investimentos #noticias #mercadofinanceiro</t>
  </si>
  <si>
    <t>Morning Call – Investidores repercutem os balanços de Bradesco e Petrobras
Seguem os principais highlights para o dia de hoje 04/08/2023:
https://t.co/tvU5zv8sZE
#SomosTraders #Trader #investimentos #noticias #mercadofinanceiro</t>
  </si>
  <si>
    <t>⚠️🇺🇸 Payroll de julho aponta criação de 187 mil empregos, ante consenso de 200 mil; em junho, +209 mil.
#SomosTraders #Trader #investimentos #noticias #mercadofinanceiro</t>
  </si>
  <si>
    <t>⚠️ Mercados antes do Payroll
🇧🇷 Ibovespa futuro -0,56% (120.030)
🇺🇸 Futuros de NY: Dow Jones -0,05%; S&amp;amp;P +0,08% e Nasdaq +0,10%
💵 Dólar a R$ 4,9090 (+0,21%)
#SomosTraders #Trader #investimentos #noticias #mercadofinanceiro</t>
  </si>
  <si>
    <t>Fechamento de Mercado - Ásia
🇯🇵 Tóquio — Nikkei: +0,10%
🇭🇰 Hong Kong — Hang Seng: +0,61%
🇹🇼 Taiwan — Taiex: -0,30%
🇰🇷 Coreia — Kospi: -0,10%
🇨🇳 China — Xangai: +0,23%
🇨🇳 China — Shenzhen: +0,48%
#SomosTraders #Trader #investimentos #noticias #mercadofinanceiro</t>
  </si>
  <si>
    <t>Abertura de Mercado - Europa
🏴󠁧󠁢󠁥󠁮󠁧󠁿 Londres — FTSE100: +0,02%
🇩🇪 Frankfurt — DAX: +0,08%
🇫🇷 Paris — CAC 40: +0,57%
🇪🇸 Madrid — Ibex 35: +0,27%
🇪🇺 Europa — Stoxx 600: +0,16%
#SomosTraders #Trader #investimentos #noticias #mercadofinanceiro</t>
  </si>
  <si>
    <t>A nossa sala ao vivo com o analista CNPI Rafael Lage já está no ar.
https://t.co/orHqYLJIRG
Ótimos negócios a todos. 🚀💚
#SomosTraders #Trader #investimentos #noticias #mercadofinanceiro</t>
  </si>
  <si>
    <t>Bom dia pessoal, nosso boletim diário já está no ar.
https://t.co/UTimsicZeT
#SomosTraders #Trader #investimentos #noticias #mercadofinanceiro</t>
  </si>
  <si>
    <t>Daqui a pouco começará o nosso fechamento de mercado com o nosso analista CNPI-Pleno Rafael Lage.
https://t.co/UcOTcRCqlX
#SomosTraders #Trader #investimentos #noticias #mercadofinanceiro</t>
  </si>
  <si>
    <t>Boa tarde pessoal! Em breve, estará no ar o nosso boletim de fechamento. 😊
https://t.co/GnBDxseXJO
#SomosTraders #Trader #investimentos #noticias #mercadofinanceiro</t>
  </si>
  <si>
    <t>🛢️ Petróleo/fechamento: Brent para setembro cai 1,71%, a US$ 78,50 por barril, na ICE.
WTI para agosto recua 1,68%, a US$ 74,15 por barril, na Nymex.
#SomosTraders #Trader #investimentos #noticias #mercadofinanceiro</t>
  </si>
  <si>
    <t>⚓ Balança comercial tem superávit de US$ 1,559 bi na 2ª semana de julho.
#SomosTraders #Trader #investimentos #noticias #mercadofinanceiro</t>
  </si>
  <si>
    <t>A nossa sala ao vivo com o analista CNPI Rafael Lage já começou.
Bons negócios a todos! 🚀
https://t.co/09AdvKTuJp
#DeTraderParaTrader #investimentos #mercadofinanceiro #economia #trader #noticias #trade #daytrade</t>
  </si>
  <si>
    <t>Bom Dia, pessoal!!!
Não deixem de assistir o nosso BOLETIM DIÁRIO!
https://t.co/n5SGIVIeW2
#DeTraderParaTrader #investimentos #mercadofinanceiro #economia #trader #noticias #trade #daytrade</t>
  </si>
  <si>
    <t>A nossa sala ao vivo com o analista CNPI Rafael Lage já começou.
Bons negócios a todos! 🚀
https://t.co/ysz6zzlKIB
#DeTraderParaTrader #investimentos #mercadofinanceiro #economia #trader #noticias #trade #daytrade</t>
  </si>
  <si>
    <t>💰 Dividendos do dia - FII's
AIEC11 - Pagará R$ 0,76 por cota
CACR11 - Pagará R$ 1,42 por cota
GGRC11 - Pagará R$ 0,95 por cota
PATL11 - Pagará R$ 0,60 por cota
QAGR11 - Pagará R$ 0,52 por cota
VTLT11 - Pagará R$ 0,88 por cota
#Trader #investimentos #noticias #mercadofinanceiro</t>
  </si>
  <si>
    <t>Morning Call – Ata do Copom avalia ciclo gradual de flexibilização monetária
Seguem os principais highlights para o dia de hoje 08/08/2023.
https://t.co/qSeQyW4Wbj
#SomosTraders #Trader #investimentos #noticias #mercadofinanceiro</t>
  </si>
  <si>
    <t>Banco Central divulga Ata da 256ª Reunião do Comitê de Política Monetária — Copom.
https://t.co/jYTCtlZjfF
#SomosTraders #Trader #investimentos #noticias #mercadofinanceiro #economia #copom #selic</t>
  </si>
  <si>
    <t>Abertura de Mercado - Europa
🏴󠁧󠁢󠁥󠁮󠁧󠁿 Londres — FTSE100: -0,48%
🇩🇪 Frankfurt — DAX: -0,94%
🇫🇷 Paris — CAC 40: -0,76%
🇪🇸 Madrid — Ibex 35: -1,03%
🇪🇺 Europa — Stoxx 600: -0,46%
#SomosTraders #Trader #investimentos #noticias #mercadofinanceiro</t>
  </si>
  <si>
    <t>🇩🇪 inflação anual em julho sobe +6,2%, em linha com as expectativas.
#SomosTraders #Trader #investimentos #noticias #mercadofinanceiro</t>
  </si>
  <si>
    <t>Fechamento de Mercado - Ásia
🇯🇵 Tóquio — Nikkei: +0,38%
🇭🇰 Hong Kong — Hang Seng: -1,81%
🇹🇼 Taiwan — Taiex: -0,70%
🇰🇷 Coreia — Kospi: -0,26%
🇨🇳 China — Xangai: -0,25%
🇨🇳 China — Shenzhen: -0,33%
#SomosTraders #Trader #investimentos #noticias #mercadofinanceiro</t>
  </si>
  <si>
    <t>A nossa sala ao vivo com o analista CNPI Rafael Lage já está no ar.
https://t.co/Ox4lWkS9Up
Ótimos negócios a todos. 🚀💚
#SomosTraders #Trader #investimentos #noticias #mercadofinanceiro</t>
  </si>
  <si>
    <t>Bom dia pessoal, nosso boletim diário já está no ar.
https://t.co/QJqD7OgGAs
#SomosTraders #Trader #investimentos #noticias #mercadofinanceiro</t>
  </si>
  <si>
    <t>🇺🇸 Fechamento de Mercado - EUA
🟢 Dow Jones sobe 0,47% (35.224,43 pontos);
🔴 S&amp;amp;P500 cai 0,68% (4.534,80);
🔴 Nasdaq recua 2,05% (14.063,31)
💵 Dólar à vista fecha com alta de 0,36%, a R$ 4,8029.
#SomosTraders #investimentos #noticias #mercadofinanceiro</t>
  </si>
  <si>
    <t>Daqui a pouco começará o nosso fechamento de mercado com o nosso analista CNPI-Pleno Rafael Lage.
https://t.co/8vihzqEDMp
#SomosTraders #investimentos #noticias #mercadofinanceiro</t>
  </si>
  <si>
    <t>🛢️ Petróleo/fechamento: Brent para setembro sobe 0,23%, a US$ 79,64 por barril, na ICE.
WTI para setembro tem alta de 0,48%, a US$ 75,65 por barril, na Nymex.
#SomosTraders #investimentos #noticias #mercadofinanceiro</t>
  </si>
  <si>
    <t>Boa tarde pessoal! Em breve, estará no ar o nosso boletim de fechamento. 😊
https://t.co/21GSos7xLC
#SomosTraders #investimentos #noticias #mercadofinanceiro</t>
  </si>
  <si>
    <t>🛍️Prevista para entrar em vigor em agosto, a isenção de tributos federais para compras online de até US$ 50 poderá causar até 2,5 milhões de demissões.
#SomosTraders #investimentos #noticias #mercadofinanceiro</t>
  </si>
  <si>
    <t>👨‍👩‍👧‍👦 O governador do Rio de Janeiro, Cláudio Castro, encerrou o Programa Supera RJ, cartão de distribuição de renda para famílias carentes lançado durante a pandemia de covid-19, com valor mensal de R$ 280.
#SomosTraders #investimentos #noticias #mercadofinanceiro</t>
  </si>
  <si>
    <t>🇧🇷 O ministro da Fazenda, Fernando Haddad, afirmou hoje que a arrecadação prevista com a chamada MP das apostas deve ser de R$ 2 bilhões.
#SomosTraders #investimentos #noticias #mercadofinanceiro</t>
  </si>
  <si>
    <t>🇪🇺 Fechamento de Mercado - Europa
🟢🇩🇪 Frankfurt +0,60%;
🟢🇬🇧 Londres +0,65%;
🟢🇫🇷 Paris + 0,82%;
🟢🇪🇸 Madri +0,70%;
🟢🇪🇺 Stoxx 600 +0,43% (463,98)
#SomosTraders #investimentos #noticias #mercadofinanceiro</t>
  </si>
  <si>
    <t>Fed inicia sistema de pagamento instantâneo FedNow, similar ao Pix.
#SomosTraders #investimentos #noticias #mercadofinanceiro</t>
  </si>
  <si>
    <t>💰 Dividendos do dia - FII's
MORE11- Pagará R$0,62 por cota
#SomosTraders #investimentos #noticias #mercadofinanceiro</t>
  </si>
  <si>
    <t>🇺🇸 Abertura de Mercado - EUA
🟢 Dow Jones +0,25% (35.149,81)
🔴 S&amp;amp;P 500 -0,19% (4.556,84)
🔴 Nasdaq -0,61% (14.270,30)
#SomosTraders #investimentos #noticias #mercadofinanceiro</t>
  </si>
  <si>
    <t>🇧🇷📊 Ibovespa em alta de 0,50%, aos 118.140,21 pontos.
🇿🇦 BC mantém taxa de juros estável, a 8,25%.
#SomosTraders #investimentos #noticias #mercadofinanceiro</t>
  </si>
  <si>
    <t>A nossa sala ao vivo com o analista CNPI Rafael Lage já começou.
Bons negócios a todos! 🚀
https://t.co/klMhqvKGZE
#DeTraderParaTrader #investimentos #mercadofinanceiro #economia #trader #noticias #trade #daytrade</t>
  </si>
  <si>
    <t>Bom Dia, pessoal!!!
Não deixem de assistir o nosso BOLETIM DIÁRIO!
https://t.co/rtiHCdPAmW
#DeTraderParaTrader #investimentos #mercadofinanceiro #economia #trader #noticias #trade #daytrade</t>
  </si>
  <si>
    <t>https://t.co/M2yca1ks74
A nossa sala ao vivo com o analista CNPI Rafael Lage já começou.
Bons negócios a todos!
#DeTraderParaTrader #investimentos #mercadofinanceiro #economia #trader #noticias</t>
  </si>
  <si>
    <t>Bom Dia, pessoal!!!
Não deixem de assistir o nosso BOLETIM DIÁRIO!
https://t.co/In5txPDaNy
#DeTraderParaTrader #investimentos #mercadofinanceiro #economia #trader #noticias</t>
  </si>
  <si>
    <t>Boa tarde, pessoal! Está no ar, o nosso boletim de fechamento. 💚
https://t.co/i312wjsFw5
#SomosTraders #Trader #investimentos #noticias #mercadofinanceiro</t>
  </si>
  <si>
    <t>🛢️ Petróleo/fechamento: Brent para outubro cai 2,01%, a US$ 83,20 por barril, na ICE.
WTI para setembro recua 2,31%, a US$ 79,49 por barril, na Nymex.
#SomosTraders #Trader #investimentos #noticias #mercadofinanceiro</t>
  </si>
  <si>
    <t>✈️ CCR vai investir R$ 1,8 bilhão em 15 aeroportos.
💰 Caixa conclui distribuição de lucros do FGTS.
#SomosTraders #Trader #investimentos #noticias #mercadofinanceiro</t>
  </si>
  <si>
    <t>🇺🇸 Abertura de Mercado - EUA
🔴 Dow Jones -0,35% (35.505,50)
🔴 S&amp;amp;P -0,68% (4.545,56)
🔴 Nasdaq -1,07% (14.130,82)
#SomosTraders #Trader #investimentos #noticias #mercadofinanceiro</t>
  </si>
  <si>
    <t>🇧🇷 📊 Notícias do mercado
💰 O fundo imobiliário KNRI11 registrou um resultado de R$ 31,043 milhões. A receita vinda de aluguel somou R$ 21,124 milhões, enquanto o lucro com a venda de ativos foi de R$ 11,814 milhões.
#Trader #investimentos #noticias #mercadofinanceiro</t>
  </si>
  <si>
    <t>🇧🇷 📊 Notícias do mercado
👨🏻‍💼 A Alper Consultoria (APER3) e Corretora de Seguros reportou lucro líquido ajustado de R$8,160 milhões no segundo trimestre, mais que o dobro do valor apurado no 2T22, de R$3,821 milhões.
#Trader #investimentos #noticias #mercadofinanceiro</t>
  </si>
  <si>
    <t>🇧🇷 📊 Notícias do mercado
💵 Em aviso aos acionistas, a Klabin (KLBN11) informou que o Conselho de Administração aprovou o pagamento de dividendos intermediários no valor total de R$269 milhões.
#SomosTraders #Trader #investimentos #noticias #mercadofinanceiro</t>
  </si>
  <si>
    <t>🇧🇷 Ibovespa fecha com queda de 2,15%, aos 116.145 pontos.
🇺🇸 Dólar à vista fecha em alta de 1,13%, a R$ 4,93.
#DeTraderParaTrader #mercadofinanceiro #economia #trader #noticias #trade #daytrade #dolar #ibovespa</t>
  </si>
  <si>
    <t>A nossa sala ao vivo com o analista CNPI Rafael Lage já começou.
Bons negócios a todos! 🚀
https://t.co/1UK07nRufT
#DeTraderParaTrader #investimentos #mercadofinanceiro #economia #trader #noticias #trade #daytrade</t>
  </si>
  <si>
    <t>Bom Dia, pessoal!!!
Não deixem de assistir o nosso BOLETIM DIÁRIO!
https://t.co/L829eqtzYK
#DeTraderParaTrader #investimentos #mercadofinanceiro #economia #trader #noticias #trade #daytrade</t>
  </si>
  <si>
    <t>Em queda!
O Comitê de Política Monetária segue em seu ciclo de baixa da taxa básica de juros do Brasil.
Continue acompanhando nossos perfis oficiais e não perca nada.
#DeTraderParaTrader #mercadofinanceiro #economia  #noticias  #ibovespa #selic #copom #brasil #inflaçāo https://t.co/0D9PXh5obw</t>
  </si>
  <si>
    <t>🇧🇷 Ibovespa fecha com alta de 0,72%, aos 118.695 pontos.
🇺🇸 Dólar à vista fecha em alta de 0,15%, a R$ 4,88.
#DeTraderParaTrader #mercadofinanceiro #economia #trader #noticias #trade #daytrade #dolar #ibovespa</t>
  </si>
  <si>
    <t>🇧🇷 Ibovespa fecha com com queda de 0,12%, aos 116.008 pontos.
🇺🇸 Dólar à vista fecha em queda de 0,06%, a R$ 4,93.
#DeTraderParaTrader #mercadofinanceiro #economia #trader #noticias #trade #daytrade #dolar #ibovespa</t>
  </si>
  <si>
    <t>🇧🇷 Ibovespa fecha com queda de 0,37%, aos 117.845 pontos.
🇺🇸 Dólar à vista fecha em alta de 0,35%, a R$ 4,87.
#DeTraderParaTrader #mercadofinanceiro #economia #trader #noticias #trade #daytrade #dolar #ibovespa</t>
  </si>
  <si>
    <t>O fechamento de mercado com o nosso analista CNPI-Pleno Rafael Lage começara em breve!
https://t.co/l9jhc48cIV
Aguardamos todos vocês lá! 💚🚀
#DeTraderParaTrader #investimentos #mercadofinanceiro #economia #trader #noticias</t>
  </si>
  <si>
    <t>Conheça 7 lições Trader que vão melhorar suas operações
Ao conhecer as principais lições Trader, você consegue se preparar de forma adequada e aumenta a lucratividade.
Confira: https://t.co/aMBDxKCMq6
#DeTraderParaTrader #investimentos #mercadofinanceiro #trader #noticias</t>
  </si>
  <si>
    <t>Daqui a pouco começará o nosso fechamento de mercado com o nosso analista CNPI-Pleno Rafael Lage.
https://t.co/hGzNYvxG6n
#DeTraderParaTrader #Trader #investimentos #noticias #mercadofinanceiro #economia #açoes</t>
  </si>
  <si>
    <t>👨‍👩‍👧‍👦 Caixa paga novo Bolsa Família a beneficiários com NIS de final 7. Parcela tem adicional de R$ 50 a gestantes e filhos de 7 a 18 anos.
#SomosTraders #Trader #investimentos #noticias #mercadofinanceiro</t>
  </si>
  <si>
    <t>🇧🇷 A agência de classificação de risco Fitch elevou, nesta quarta-feira (26), a nota de crédito do Brasil de BB- para BB, com perspectiva estável.
#SomosTraders #Trader #investimentos #noticias #mercadofinanceiro</t>
  </si>
  <si>
    <t>⚡Copel fará oferta de até R$ 5 bilhões para privatizar empresa.
#SomosTraders #Trader #investimentos #noticias #mercadofinanceiro</t>
  </si>
  <si>
    <t>Fechamento de Mercado - Europa
🔴🇩🇪 Frankfurt -0,50%;
🔴🇬🇧 Londres -0,19%;
🔴🇫🇷 Paris -1,35%;
🟢🇪🇸 Madri +0,84%;
🔴🇪🇺 Stoxx 600 -0,57% (465.26)
#SomosTraders #Trader #investimentos #noticias #mercadofinanceiro</t>
  </si>
  <si>
    <t>🛢️ EUA/DoE: estoques de petróleo da semana até 21/7 caem 600 mil barris (previsão de -2,2 milhões).
#SomosTraders #Trader #investimentos #noticias #mercadofinanceiro</t>
  </si>
  <si>
    <t>💰 Dividendos do dia - FII's
BTAL11 - Pagará R$0,73 por cota
MORC11 - Pagará R$1,10 por cota
#SomosTraders #Trader #investimentos #noticias #mercadofinanceiro</t>
  </si>
  <si>
    <t>💰 Dividendos do dia - Ações
🛍️ ALSO3 - Pagará hoje R$ 0,25 por ação
⚡ EGIE3 - Pagará hoje JCP R$ 0,24 por ação
#SomosTraders #Trader #investimentos #noticias #mercadofinanceiro</t>
  </si>
  <si>
    <t>🇧🇷📊 Atualizações de mercado
Maiores altas no momento📈
CRFB3 +7.65% R$ 12,38
ASAI3 +2.84% R$ 13,03
VIVT3 +2.01% R$ 42,21
Maiores baixas no momento📉
MRVE3 -1.98% R$ 13,84
SOMA3 -1.68% R$ 11,10
CYRE3 -1.57% R$ 23,13
#SomosTraders #investimentos #noticias #mercadofinanceiro</t>
  </si>
  <si>
    <t>Bom Dia, pessoal!!!
Não deixem de assistir o nosso BOLETIM DIÁRIO!
https://t.co/97htuP1laR
#DeTraderParaTrader #investimentos #mercadofinanceiro #economia #trader #noticias #trade #daytrade</t>
  </si>
  <si>
    <t>⚡ REUNIÃO DO COPOM
Qual é a expectativa de vocês para a nova taxa Selic?
Alta, queda ou manutenção?
#DeTraderParaTrader #mercadofinanceiro #economia  #noticias  #ibovespa #selic #copom</t>
  </si>
  <si>
    <t>A nossa sala ao vivo com o analista CNPI Rafael Lage já começou.
Bons negócios a todos! 🚀
https://t.co/W5hpwfkG67
#DeTraderParaTrader #investimentos #mercadofinanceiro #economia #trader #noticias #trade #daytrade</t>
  </si>
  <si>
    <t>Bom Dia, pessoal!!!
Não deixem de assistir o nosso BOLETIM DIÁRIO!
https://t.co/vUVhe0dz55
#DeTraderParaTrader #investimentos #mercadofinanceiro #economia #trader #noticias #trade #daytrade</t>
  </si>
  <si>
    <t>Morning Call – IPCA-15, a prévia da inflação oficial do País, avança 0,28% em agosto
Seguem os principais highlights para o dia de hoje 25/08/2023:
https://t.co/C016LPx53O
#DeTraderParaTrader #investimentos #mercadofinanceiro #economia #trader #noticias</t>
  </si>
  <si>
    <t>⁎📊 Noticiário Corporativo⁎
#VALE3 #CMIN3 - Estoques de minério de ferro nos portos chineses aumentaram 1,5%, atingindo 118,6 milhões de toneladas na semana até 25 de agosto.
#DeTraderParaTrader #investimentos #mercadofinanceiro #economia #trader #noticias</t>
  </si>
  <si>
    <t>📊 Noticiário Corporativo
#EQTL3 - Aneel autoriza reajuste de 10,85% nas tarifas da Equatorial Maranhão, válido a partir de 28 de agosto.
#DeTraderParaTrader #investimentos #mercadofinanceiro #economia #trader #noticias</t>
  </si>
  <si>
    <t>📊 Noticiário Corporativo
#CPLE6 - Copel introduz programa de demissão voluntária com orçamento de R$ 300 mi. Oferece indenização de 30 salários, mínimo de R$ 150 mil. Adesões aceitas de 28/ago a 15/set.
#DeTraderParaTrader #investimentos #mercadofinanceiro #economia #noticias</t>
  </si>
  <si>
    <t>A nossa sala ao vivo com o analista CNPI Rafael Lage, já está no ar.
https://t.co/D2TJOKJw4L
Bons negócios a todos.
#DeTraderParaTrader #investimentos #mercadofinanceiro #economia #trader #noticias</t>
  </si>
  <si>
    <t>Bom Dia, pessoal!!
Não deixe de assistir o nosso BOLETIM DIÁRIO! - https://t.co/xxJKzg9aYu
#DeTraderParaTrader #investimentos #mercadofinanceiro #economia #trader #noticias</t>
  </si>
  <si>
    <t>🇪🇺 Fechamento de mercado - Europa
🟢🇩🇪 Frankfurt +0,73%;
🔴🇬🇧 Londres -0,09%;
🟢🇫🇷 Paris +1,07%;
🟢🇪🇸 Madri +0,45%;
🟢🇪🇺 Stoxx 600 +0,70% (451,62)
#SomosTraders #Trader #investimentos #noticias #mercadofinanceiro</t>
  </si>
  <si>
    <t>⚡ Copel (#CPLE6): pedido do BNDES sobre retirar de pauta migração da companhia para o Novo Mercado é aceita.
🪙 Inflação oficial de junho fica negativa em 0,08%.
#SomosTraders #Trader #investimentos #noticias #mercadofinanceiro</t>
  </si>
  <si>
    <t>🇧🇷 📊 Notícias do mercado
🏦 Nubank (NUBR33) divulga datas para o plano de descontinuação de BDRs na Bolsa brasileira detentores de BDRs. O período é de 13 de julho e 11 de agosto para se manifestar e optar por uma das alternativas oferecidas.
#noticias #mercadofinanceiro</t>
  </si>
  <si>
    <t>🇧🇷 📊 Notícias do mercado
🪙 Aura Minerals (AURA33) tem produção no 2º tri impactada principalmente pela menor produção de EPP.
📉 O FII HGCR11 divulgou resultado menor em junho, de R$ 16,9 milhões comparado a maio (R$ 18,28 milhões).
#investimento #noticia #mercadofinanceiro</t>
  </si>
  <si>
    <t>Morning Call – IPC-S registrou variação nula na primeira quadrissemana de julho
Seguem os principais highlights para o dia de hoje 11/07/2023:
https://t.co/5AA0hy1Y0R
#SomosTraders #Trader #investimentos #noticias #mercadofinanceiro</t>
  </si>
  <si>
    <t>⚠️ IGP-M recua -1,29% na primeira previa de julho após -1,95% na mesma leitura de junho.
#SomosTraders #Trader #investimentos #noticias #mercadofinanceiro</t>
  </si>
  <si>
    <t>Mercado em andamento - Europa
🇬🇧 Londres — FTSE100: -0,13%
🇩🇪 Frankfurt — DAX: +0,46%
🇫🇷 Paris — CAC 40: +0,90%
🇪🇸 Madrid — Ibex 35: +0,42%
🇪🇺 Europa — Stoxx 600: +0,50%
#SomosTraders #Trader #investimentos #noticias #mercadofinanceiro</t>
  </si>
  <si>
    <t>Fechamento de Mercado - Ásia
🇯🇵 Tóquio — Nikkei: +0,04%
🇭🇰 Hong Kong — Hang Seng: +0,97%
🇹🇼 Taiwan — Taiex: +1,48%
🇰🇷 Coreia — Kospi: +1,66%
🇨🇳 China — Xangai: +0,55%
🇨🇳 China — Shenzhen: +0,79%
#SomosTraders #Trader #investimentos #noticias #mercadofinanceiro</t>
  </si>
  <si>
    <t>O fechamento de mercado com o nosso analista CNPI-Pleno Rafael Lage começara em breve!
https://t.co/iZISfSn8eU
Aguardamos todos vocês lá!🚀
#DeTraderParaTrader #investimentos #mercadofinanceiro #economia #trader #noticias</t>
  </si>
  <si>
    <t>Morning Call – Índice Nacional da Construção Civil avança 0,18% em agosto
Seguem os principais highlights para o dia de hoje 13/09/2023:
https://t.co/C7KwGn3Hp1
#DeTraderParaTrader #investimentos #mercadofinanceiro #economia #trader #noticias</t>
  </si>
  <si>
    <t>Mercado em Andamento - Europa
🏴󠁧󠁢󠁥󠁮󠁧󠁿 Londres — FTSE100: +0,72%
🇩🇪 Frankfurt — DAX: +0,80%
🇫🇷 Paris — CAC 40: +1,27%
🇪🇸 Madrid — Ibex 35: +1,01%
🇪🇺 Europa — Stoxx 600: +0,84%
#DeTraderParaTrader #investimentos #mercadofinanceiro #economia</t>
  </si>
  <si>
    <t>Fechamento de Mercado - Ásia
🇯🇵 Tóquio — Nikkei: +0,37%
🇭🇰 Hong Kong — Hang Seng: -1,82%
🇹🇼 Taiwan — Taiex: estável
🇰🇷 Coreia — Kospi: +0,17%
🇨🇳 China — Xangai: -1,24%
🇨🇳 China — Shenzhen: -0,99%
#DeTraderParaTrader #investimentos #mercadofinanceiro #economia</t>
  </si>
  <si>
    <t>A nossa sala ao vivo com o analista CNPI Rafael Lage já está no ar.
https://t.co/FUizPrXGI9
Ótimos negócios a todos. 🚀💚
#DeTraderParaTrader #investimentos #mercadofinanceiro #economia</t>
  </si>
  <si>
    <t>Bom dia pessoal, nosso boletim diário já está no ar.
https://t.co/zLf3gLlltU
#DeTraderParaTrader #investimentos #mercadofinanceiro #economia</t>
  </si>
  <si>
    <t>🇺🇸 Os empréstimos emergenciais do FED para aumento de liquidez de bancos americanos caíram US$ 400 milhões na semana encerrada em 12 de julho, para US$ 104,9 bilhões.
#SomosTraders #Trader #investimentos #noticias #mercadofinanceiro</t>
  </si>
  <si>
    <t>🇪🇺 Fechamento de Mercado - Europa
🔴🇩🇪 Frankfurt -0,21%;
🔴🇬🇧 Londres -0,02%;
🟢🇫🇷 Paris +0,06%;
🔴🇪🇸 Madri -0,44%;
🔴🇪🇺 Stoxx 600 -0,20% (460.46)
#SomosTraders #Trader #investimentos #noticias #mercadofinanceiro</t>
  </si>
  <si>
    <t>🇺🇸 Abertura de Mercado - EUA
🟢 Down Jones sobe 0,47% (34.557,41)
🟢 S&amp;amp;P +0,21% (4.519,40)
🟢 Nasdaq +0,20% (14.166,62)
🇧🇷 Abertura de Mercado - Brasil
🔴 Ibovespa em queda de 0,23%, aos 118.990,18 pontos
#SomosTraders #Trader #investimentos #noticias #mercadofinanceiro</t>
  </si>
  <si>
    <t>Morning Call – Confederação Nacional da Indústria elevou sua projeção para o crescimento do PIB
Seguem os principais highlights para o dia de hoje 14/07/2023:
https://t.co/ZJJuHGqxfZ
#SomosTraders #Trader #investimentos #noticias #mercadofinanceiro</t>
  </si>
  <si>
    <t>🇺🇸 Balanços EUA
BlackRock (BLK) tem lucro líquido de US$ 1,366 bilhão no 2TRI.
JPMorgan (JPM) tem lucro líquido de US$ 14,5 bilhões no 2TRI.
Wells Fargo (WFC) tem lucro líquido de US$ 4,9 bilhões no 2TRI.
#SomosTraders #Trader #investimentos #noticias #mercadofinanceiro</t>
  </si>
  <si>
    <t>Mercado em Andamento - Europa
🇬🇧 Londres — FTSE100: +0,12%
🇩🇪 Frankfurt — DAX: -0,38%
🇫🇷 Paris — CAC 40: +0,23%
🇪🇸 Madrid — Ibex 35: -0,03%
🇪🇺 Europa — Stoxx 600: -0,05%
#SomosTraders #Trader #investimentos #noticias #mercadofinanceiro</t>
  </si>
  <si>
    <t>Fechamento de Mercado - Ásia
🇯🇵 Tóquio — Nikkei: -0,09%
🇭🇰 Hong Kong — Hang Seng: +0,33%
🇹🇼 Taiwan — Taiex: +1,30%
🇰🇷 Coreia — Kospi: +1,43%
🇨🇳 China — Xangai: +0,04%
🇨🇳 China — Shenzhen: -0,04%
#SomosTraders #Trader #investimentos #noticias #mercadofinanceiro</t>
  </si>
  <si>
    <t>A nossa sala ao vivo com o analista CNPI Rafael Lage já está no ar.
https://t.co/EQf6nrp2RY
Ótimos negócios a todos. 🚀💚
#SomosTraders #Trader #investimentos #noticias #mercadofinanceiro</t>
  </si>
  <si>
    <t>Bom dia pessoal, nosso boletim diário já está no ar.
https://t.co/o3YnoDFHhK
#SomosTraders #Trader #investimentos #noticias #mercadofinanceiro</t>
  </si>
  <si>
    <t>🇧🇷 Ibovespa fecha com com queda de 0,07%, aos 115.924 pontos.
🇺🇸 Dólar à vista fecha em queda de 0,68%, a R$ 4,96.
#DeTraderParaTrader #mercadofinanceiro #economia #trader #noticias #trade #daytrade #dolar #ibovespa</t>
  </si>
  <si>
    <t>Moody’s quer arcabouço cumprido antes de mudar nota do Brasil!
Ela diz que é necessário observar a efetiva execução do arcabouço fiscal antes de qualquer alteração na nota de crédito ou na perspectiva do país. 
#investimentos #mercadofinanceiro #economia  #noticias</t>
  </si>
  <si>
    <t>⁎Morning Call – Câmara dos Deputados aprova medida provisória de reajuste para salário mínimo⁎
Seguem os principais highlights para o dia de hoje 24/08/2023.
https://t.co/kxmJCtLtEi
#DeTraderParaTrader #investimentos #mercadofinanceiro #economia #trader #noticias</t>
  </si>
  <si>
    <t>🏦 Brics aprovam a entrada de seis novos países membros
A partir de janeiro do ano que vem, serão membros permanentes Argentina, Egito, Etiópia, Irã, Arábia Saudita e Emirados Árabes Unidos
#DeTraderParaTrader #investimentos #mercadofinanceiro #economia #trader</t>
  </si>
  <si>
    <t>📊 Noticiário Corporativo
#SBSP3 - Governo de SP está em conversas com prefeituras sobre o modelo de privatização da Sabesp. Governador Tarcísio de Freitas projeta que a operação aconteça no 1º semestre de 2024.
#DeTraderParaTrader #investimentos #mercadofinanceiro #trader</t>
  </si>
  <si>
    <t>📊 Noticiário Corporativo
#PCAR3 #ITUB4 - Alterações em participações acionárias do Éxito: Itaú Unibanco detém 42,96% via BDRs; JP Morgan com 40,30% em ADRs; GPA com 8,26%; e GPA2 Empreendimentos possui 5%.
#DeTraderParaTrader #investimentos #mercadofinanceiro #economia #trader</t>
  </si>
  <si>
    <t>📊 Noticiário Corporativo
#PCAR3 - O Éxito finalizou a transferência de 1.08 bilhão de suas ações, 83.26% das ações em circulação detidas pelo GPA, para o programa de BDRs Nível II e ADRs Nível II.
#DeTraderParaTrader #investimentos #mercadofinanceiro #economia #trader</t>
  </si>
  <si>
    <t>📊 Noticiário Corporativo
#KEPL3 - Kepler Weber aprova pagamento de dividendos intermediários (R$ 0,1955/ação) e JCP (R$ 0,1156/ação). Ações serão negociadas "ex-juros" a partir de 29/08. Pagamento em 08/09
#DeTraderParaTrader #investimentos #mercadofinanceiro #economia #trader</t>
  </si>
  <si>
    <t>📊 Noticiário Corporativo 
#BRKM5 - Fitch revisa o outlook da Braskem para negativo, mantendo o rating de emissor de longo prazo em BBB
#DeTraderParaTrader #investimentos #mercadofinanceiro #economia #trader</t>
  </si>
  <si>
    <t>Política: 
A Câmara aprovou, a medida provisória que reajusta o salário mínimo para 1.320 neste ano e estabelece a mesma política de valorização que vigorou até 2015, além de corrigir a tabela do IRRF. 
#DeTraderParaTrader #investimentos #mercadofinanceiro #economia #trader</t>
  </si>
  <si>
    <t>🗓 Prévia do dia
EUA: Começa simpósio econômico de Jackson Hole
África do Sul: Cúpula do BRICS
#DeTraderParaTrader #investimentos #mercadofinanceiro #economia #trader</t>
  </si>
  <si>
    <t>Bom Dia, pessoal!!
Nosso Boletim Matinal já está no ar
https://t.co/NKeL8tkvxi
#DeTraderParaTrader #investimentos #mercadofinanceiro #economia #trader</t>
  </si>
  <si>
    <t>Daqui a pouco começará o nosso fechamento de mercado com o nosso analista CNPI-Pleno Rafael Lage.
https://t.co/bAJN1MvAPv
Aguardamos todos vocês lá! 💚🚀
#SomosTraders #Trader #investimentos #noticias #mercadofinanceiro</t>
  </si>
  <si>
    <t>Em breve, estará no ar o nosso boletim de fechamento. 😊
https://t.co/D8Uox07rwV
#SomosTraders #Trader #investimentos #noticias #mercadofinanceiro</t>
  </si>
  <si>
    <t>⛽ Opep não deve ajustar política de produção de petróleo.
#SomosTraders #Trader #investimentos #noticias #mercadofinanceiro</t>
  </si>
  <si>
    <t>🇪🇺 Fechamento de mercado - Europa
🔴🇩🇪 Frankfurt -0,19%;
🔴🇬🇧 Londres -0,36%;
🔴🇫🇷 Paris -1,12%;
🔴🇪🇸 Madri -0,10%;
🔴🇪🇺 Stoxx 600 -0,61% (458.02)
#SomosTraders #Trader #investimentos #noticias #mercadofinanceiro</t>
  </si>
  <si>
    <t>🇺🇸 Abertura de Mercado - EUA
🔴 Dow Jones -0,08% (34.480,28);
🟢 S&amp;amp;P +0,07% (4.508,75)
🟢 Nasdaq +0,29% (14.155,01)
#SomosTraders #Trader #investimentos #noticias #mercadofinanceiro</t>
  </si>
  <si>
    <t>💰 Dividendos do dia - FII's
CVBI11 - Pagará R$ 1,05 por cota
#SomosTraders #Trader #investimentos #noticias #mercadofinanceiro</t>
  </si>
  <si>
    <t>🇪🇺 Mercado em Andamento - Europa
🇬🇧 Londres — FTSE100: -0,43%
🇩🇪 Frankfurt — DAX: -0,53%
🇫🇷 Paris — CAC 40: -1,24%
🇪🇸 Madrid — Ibex 35: -0,15%
🇪🇺 Europa — Stoxx 600: -0,63%
#SomosTraders #Trader #investimentos #noticias #mercadofinanceiro</t>
  </si>
  <si>
    <t>Fechamento de Mercado- Ásia
🇯🇵 Tóquio — Nikkei: feriado
🇭🇰 Hong Kong — Hang Seng: suspenso por alerta de tufão
🇹🇼 Taiwan — Taiex: +0,29%
🇰🇷 Coreia — Kospi: -0,35%%
🇨🇳 China — Xangai: -0,87%
🇨🇳 China — Shenzhen: -0,51%
#SomosTraders #investimentos #mercadofinanceiro</t>
  </si>
  <si>
    <t>Bom dia pessoal, nosso boletim diário já está no ar.
https://t.co/JRiWOUXHFh
#SomosTraders #Trader #investimentos #noticias #mercadofinanceiro</t>
  </si>
  <si>
    <t>A nossa sala ao vivo com o analista CNPI Rafael Lage já está no ar.
https://t.co/qkHxWZ09Y3
#SomosTraders #Trader #investimentos #noticias #mercadofinanceiro</t>
  </si>
  <si>
    <t>#MACROECONOMIA Higher for longer
Nos Estados Unidos, O #FOMC subiu a #taxadejuros em 25 bps para o intervalo entre 5,25% – 5,50%, conforme amplamente esperado pelo mercado.
Leitura: 4 min. @modalmais #vemsermodalmais
🖱️💻📉📈⤵️
https://t.co/S5K4xyoyll</t>
  </si>
  <si>
    <t>Semana começando.
Decisão de política monetária dos EUA, Brasil, BoE, BoJ e PBoC. Sendo nomeia importante a decisão do FED na quarta-feira.
Dados de inflação na Europa e atividades econômicas pelo Mundo.
Semana bem agitada.
#investimento #mercadofinanceiro</t>
  </si>
  <si>
    <t>"Discurso de Powell en Jackson Hole, Affirm supera expectativas: 5 claves en Wall Street" - https://t.co/nE48lnUHmt #mercadocripto #seguimientoBTC #macroeconomia</t>
  </si>
  <si>
    <t>China Proíbe uso de IPHONE, Microsoft admite Ataque de Hacker Chineses, Bolsas são afetadas!
#apple #probiçãodachina #bolsadevalores #mercadofinanceiro #açõesdetecnologia
https://t.co/Ov0nxXPbQ9 via @YouTube</t>
  </si>
  <si>
    <t>Risco Inflacionário do Petróleo Reflexos Globais Após Extensão de Cortes...
#bolsadevalores #mercadofinanceiro #macroeconomia
 https://t.co/SBUp3iShpR via @YouTube</t>
  </si>
  <si>
    <t>Brasil e EUA Acelerando e o Resto do Mundo Desabando, Petróleo e Gás Nat... 
#Lula #bolsadevalores #Brasil #mercadofinanceiro
https://t.co/4mrjrGqLpO via @YouTube</t>
  </si>
  <si>
    <t>Bolsas se Animam com Dados Chineses e Brasil Pode Aproveitar, Declaraçõe...
#bolsadevalores #mercadofinanceiro
 https://t.co/p6A9ZFmuUR via @YouTube</t>
  </si>
  <si>
    <t>Taxação das Apostas, Incorporadoras Chinesas Respiram, Desemprego maior ... 
#apostasesportivas #taxação #mercadofinanceiro
https://t.co/O64j3HSDuW via @YouTube</t>
  </si>
  <si>
    <t>Apple Perde 1 Trilhão, Lula no G20 com Biden e Queda das Bolsas Mundiais! 
#bolsadevalores #MERCADOFINANCEIRO
https://t.co/o1MrrdH7fh via @YouTube</t>
  </si>
  <si>
    <t>Possível Shutdown nos EUA, China Piorando, Bolsas Caindo! https://t.co/l0BWBQ9b1M via @YouTube #eua #paralisação #mercadofinanceiro #bolsadevalores #Evergrande</t>
  </si>
  <si>
    <t>Petróleo DISPARA, Bolsas Derretem, PIB e Fala do Powell nos EUA https://t.co/65688P6wvT via @YouTube #bolsadevalores #economia #macroeconomia</t>
  </si>
  <si>
    <t>Em sua coluna mais recente para o @valorinveste , nosso CEO Guilherme Assis trouxe uma reflexão sobre o momento atual e o futuro do Open Finance no Brasil a partir de dados do mercado.
🔗 Confira o texto completo no link do primeiro comentário.
#OpenFinance #MercadoFinanceiro… https://t.co/Foz6YEe1b0</t>
  </si>
  <si>
    <t>investimentos mercadofinanceiro dinheiro</t>
  </si>
  <si>
    <t>gorilainvest economia mercadofinanceiro</t>
  </si>
  <si>
    <t>economia mercadofinanceiro</t>
  </si>
  <si>
    <t>investimentos economia mercadofinanceiro</t>
  </si>
  <si>
    <t>investimentos economia mercadofinanceiro china</t>
  </si>
  <si>
    <t>mercadofinanceiro tecnologia inteligenciaartificial tokenização</t>
  </si>
  <si>
    <t>habitossaudaveis mercadofinanceiro saudefinanceira financaspessoais planejamentofinanceiro dicasfinanceiras</t>
  </si>
  <si>
    <t>investimentos finanças mercadofinanceiro</t>
  </si>
  <si>
    <t>binaryoptions futurestrading mercadofinanceiro</t>
  </si>
  <si>
    <t>bancos fraudes mercadofinanceiro tecnologia seguranca</t>
  </si>
  <si>
    <t>neobanks openfinance tecnologia empresas fintechs mercadofinanceiro</t>
  </si>
  <si>
    <t>mercadofinanceiro pix segurança</t>
  </si>
  <si>
    <t>liveness biometria mercadofinanceiro case pesquisa onboarding</t>
  </si>
  <si>
    <t>mercadofinanceiro privatebanking varejo tecnologia</t>
  </si>
  <si>
    <t>macroeconomía</t>
  </si>
  <si>
    <t>investimentos mercadofinanceiro diversificação dolar</t>
  </si>
  <si>
    <t>atrio atrioinvestimentos grupoatrio atriogestão atriocorporate atrioempresas investimentos finançaspessoais mercadofinanceiro</t>
  </si>
  <si>
    <t>atrio atrioinvestimentos grupoatrio atriogestão atriocorporate atrioempresas investimentos finançaspessoais mercadofinanceiro previdênciaprivada</t>
  </si>
  <si>
    <t>atrio grupoatrio atrioinvestimentos atriocorporate atrgestão ações bolsadevalores economia finanças investimentos mercadoacionário mercadofinanceiro rendafixa startup trading rendavariável notascompromissadas derivativos fundosdeinvestimentos</t>
  </si>
  <si>
    <t>atrio atrioinvestimentos investimentos mercadofinanceiro xp</t>
  </si>
  <si>
    <t>atrio atrioinvestimentos investimentos mercadofinanceiro xp xpinvestimentos</t>
  </si>
  <si>
    <t>investimentos fundosimobiliarios fiis financaspessoais investir mercadofinanceiro bolsadevalores educaçãofinanceira</t>
  </si>
  <si>
    <t>mercadofinanceiro trade daytrade dolar usd</t>
  </si>
  <si>
    <t>mercadofinanceiro daytrade bolsadevalores</t>
  </si>
  <si>
    <t>daytrade mercadofinanceiro finanças investimento</t>
  </si>
  <si>
    <t>daytrading mercadofinanceiro</t>
  </si>
  <si>
    <t>mercadofinanceiro investimentos</t>
  </si>
  <si>
    <t>daytrading trader bolsadevalores mercadofinanceiro investimentos</t>
  </si>
  <si>
    <t>agênciafitch classificaçãoderiscodobrasil mercadofinanceiro</t>
  </si>
  <si>
    <t>boletimfocusdobancocentral cotaçãododólar inflação mercadofinanceiro</t>
  </si>
  <si>
    <t>mercadofinanceiro forex trader investir bolsadevalores trade sucesso conquista money</t>
  </si>
  <si>
    <t>economia investimentos mercadofinanceiro b3 educa</t>
  </si>
  <si>
    <t>mercadofinanceiro</t>
  </si>
  <si>
    <t>jorgebacacampodonio macroeconomía tasadedesempleo inflación caser</t>
  </si>
  <si>
    <t>mercado economia politica mercadofinanceiro</t>
  </si>
  <si>
    <t>mercadofinanceiro fed economia</t>
  </si>
  <si>
    <t>mercadofinanceiro ibovespa dólar</t>
  </si>
  <si>
    <t>mercadofinanceiro mercado ibovespa federalreserve fed copom</t>
  </si>
  <si>
    <t>mercadofinanceiro ibovespa dólar mercados</t>
  </si>
  <si>
    <t>crise lehmanbrothers mercadofinanceiro mercados markets stocks ibovespa dolar</t>
  </si>
  <si>
    <t>pib inflación empleo tipodecambio macroeconomía</t>
  </si>
  <si>
    <t>mercadofinanceiro opções vinytrader b3</t>
  </si>
  <si>
    <t>investimento mercadofinanceiro</t>
  </si>
  <si>
    <t>payroll economia jornadacapital finanças mercadofinanceiro bolsadevalores moneytimes infomoney valoreconômico ibovespa investingcom xpinvestimentos btgpactual cnnbrasil</t>
  </si>
  <si>
    <t>finanças investimentos política economia economiabrasileira mercadofinanceiro taxaselic podcast brasil bolsadevalores moneytimes infomoney valoreconômico bolsab3 educaçãofinanceira</t>
  </si>
  <si>
    <t>taxaselic jornadacapital finanças investimentos política economia mercadofinanceiro xpinvestimentos brasil bolsadevalores copom bolsa</t>
  </si>
  <si>
    <t>reedjobs yosemite jornadacapital finanças investimentos política economia economiabrasileira mercadofinanceiro taxaselic brasil bolsadevalores</t>
  </si>
  <si>
    <t>forex forextrading mercadocambiario mercadofinanceiro</t>
  </si>
  <si>
    <t>forex forextrading mercadocambiario mercadofinanceiro forexprofit forexstrategy b3 bolsadevalores investimento</t>
  </si>
  <si>
    <t>finance liberdadefinanceira personalfinance mercadofinanceiro finances educacaofinanceira ipo refinance</t>
  </si>
  <si>
    <t>btgtalks economia mercado mercadofinanceiro</t>
  </si>
  <si>
    <t>investimentos kleplerweber agro empresas mercadofinanceiro fintwit</t>
  </si>
  <si>
    <t>investimentos sfa empresas segurança mercadofinanceiro fintwit</t>
  </si>
  <si>
    <t>macroeconomia financeira online modelos dsge</t>
  </si>
  <si>
    <t>macroeconomia</t>
  </si>
  <si>
    <t>mentoria mentoring mercadofinanceiro mestrado metaverso minasgerais</t>
  </si>
  <si>
    <t>bancocentral pib mercadofinanceiro câmbio juros selic pactu pactubancários seebumuarama umuarama</t>
  </si>
  <si>
    <t>ibovespa mercadofinanceiro juros</t>
  </si>
  <si>
    <t>cripto mercadofinanceiro</t>
  </si>
  <si>
    <t>mercadofinanceiro mesa everest medo</t>
  </si>
  <si>
    <t>trader errar mercadofinanceiro</t>
  </si>
  <si>
    <t>finanças mercadofinanceiro put</t>
  </si>
  <si>
    <t>finanças mercadofinanceiro</t>
  </si>
  <si>
    <t>cobrança mercadofinanceiro</t>
  </si>
  <si>
    <t>mercadofinanceiro investimentos dinheiro b3</t>
  </si>
  <si>
    <t>trade corona mercadofinanceiro</t>
  </si>
  <si>
    <t>brasilmineral mercadofinanceiro mineração</t>
  </si>
  <si>
    <t>marcomori macroeconomia mariodraghi</t>
  </si>
  <si>
    <t>macroeconomia macrofinanzas</t>
  </si>
  <si>
    <t>criptomoedas mercadofinanceiro crypto coinex cripto</t>
  </si>
  <si>
    <t>macroeconomía educaciónfinanciera</t>
  </si>
  <si>
    <t>daytrader miniindice minidolar mercadofinanceiro bolsadevalores</t>
  </si>
  <si>
    <t>ibov trends twitter mercadofinanceiro</t>
  </si>
  <si>
    <t>daytrade miniindice minidolar bolsadevalores mercadofinanceiro meta</t>
  </si>
  <si>
    <t>daytrader trader miniindice minidolar mercadofinanceiro b3 bolsadevalores dolar indice</t>
  </si>
  <si>
    <t>daytrader trader miniindice minidolar b3 ibov ibovespa mercadofinanceiro indice dolar</t>
  </si>
  <si>
    <t>daytrade trader mercadofinanceiro b3 bolsadevalores miniindice minidolar ibov ibovespa</t>
  </si>
  <si>
    <t>ibov ibovespa b3 miniindice minidolar indice dolar wdofut winfut daytrade mercadofinanceiro bolsadevalores trader</t>
  </si>
  <si>
    <t>ibov ibovespa miniindice minidolar dolar indice wdofut winfut bolsadevalores mercadofinanceiro metabatida b3</t>
  </si>
  <si>
    <t>ibov ibovespa miniindice minidolar dolar dolarfuturo wdofut mercadofinanceiro bolsadevalores</t>
  </si>
  <si>
    <t>miniindice minidolar b3 mercadofinanceiro trader ibov ibovespa daytrade</t>
  </si>
  <si>
    <t>footlocker mercadofinanceiro economia</t>
  </si>
  <si>
    <t>ações mercadofinanceiro</t>
  </si>
  <si>
    <t>dividendos investimentos ações rendapassiva investidores finançaspessoais bolsadevalores independênciafinanceira mercadofinanceiro educaçãofinanceira</t>
  </si>
  <si>
    <t>mercadofinanceiro profit ethereum bitcoinmining traders motivation forexlife dinheiro forexmarket financialfreedom bitcoins binary</t>
  </si>
  <si>
    <t>mercadofinanceiro volatilidade</t>
  </si>
  <si>
    <t>bolsadevalores mercadofinanceiro macroeconomia investimentos</t>
  </si>
  <si>
    <t>mercadofinanceiro miniindice minidolar</t>
  </si>
  <si>
    <t>mercadofinanceiro bdr bolsadevalores vale3</t>
  </si>
  <si>
    <t>itub4 mercadofinanceiro bolsadevalores daytrade swingtrade</t>
  </si>
  <si>
    <t>mercadofinanceiro bolsadevalores macroeconomia tributaçãojusta</t>
  </si>
  <si>
    <t>mercadofinanceiro bolsadevalores meta m1ta34</t>
  </si>
  <si>
    <t>daytrade bolsadevalores mercadofinanceiro macroeconomia</t>
  </si>
  <si>
    <t>mercadofinanceiro bolsadevalores</t>
  </si>
  <si>
    <t>petr4 mercadofinanceiro bolsadevalores daytrade swingtrade</t>
  </si>
  <si>
    <t>elet6 mercadofinanceiro bolsadevalores eletrobras swingtrade ações</t>
  </si>
  <si>
    <t>mercadofinanceiro bolsadevalores miniindice swingtrade daytrade</t>
  </si>
  <si>
    <t>saf bolsadevalores mercadofinanceiro</t>
  </si>
  <si>
    <t>bolsadevalores mercadofinanceiro daytrade swingtrade</t>
  </si>
  <si>
    <t>mercadofinanceiro bolsadevalores swingtrade petr4 petrobras</t>
  </si>
  <si>
    <t>bolsadevalores mercadofinanceiro byd daytrade swingtrade</t>
  </si>
  <si>
    <t>mercadofinanceiro bolsadevalores swingtrade daytrade</t>
  </si>
  <si>
    <t>bolsadevalores mercadofinanceiro 123milhas</t>
  </si>
  <si>
    <t>mercadofinanceiro bolsadevalores miniindice minidolar</t>
  </si>
  <si>
    <t>mercadofinanceiro selic copom bolsadevalores</t>
  </si>
  <si>
    <t>mercadofinanceiro daytrade swingtrade miniindice</t>
  </si>
  <si>
    <t>mercadofinanceiro bolsadevalores miniindice minidolar daytrade swingtrade</t>
  </si>
  <si>
    <t>mercadofinanceiro bolsadevalores miniindice minidola</t>
  </si>
  <si>
    <t>bbdc4 finanças bradesco resultadostrimestrais mercadofinanceiro</t>
  </si>
  <si>
    <t>mercadofinanceiro bolsadevalores daytrade swingtrade</t>
  </si>
  <si>
    <t>mercadofinanceiro bolsadevalores ações swingtrade dividendos</t>
  </si>
  <si>
    <t>mercadofinanceiro bolsadevalores u1be34</t>
  </si>
  <si>
    <t>mercadofinanceiro swingtrade daytrade</t>
  </si>
  <si>
    <t>mercadofinanceiro mattel bolsadevalores ações</t>
  </si>
  <si>
    <t>mercadofinanceiro bolsadevalores daytrade</t>
  </si>
  <si>
    <t>mercadofinanceiro swingtrade bolsadevalores</t>
  </si>
  <si>
    <t>mercadofinanceiro bolsadevalores b3</t>
  </si>
  <si>
    <t>rendavariavel investimentosinteligentes mercadofinanceiro</t>
  </si>
  <si>
    <t>mercadofinanceiro investimentos pensamentodoinvestidor</t>
  </si>
  <si>
    <t>mercadofinanceiro swingtrade b3</t>
  </si>
  <si>
    <t>mulheresnabolsa mercadofinanceiro bolsadevalores miniindice elaetrader rico</t>
  </si>
  <si>
    <t>mercadofinanceiro ibovespa mulheresnabolsa mercadofuturo ibov</t>
  </si>
  <si>
    <t>reporterbrasilia soja cerrado agronegocio mercadofinanceiro desmatamento grilagem</t>
  </si>
  <si>
    <t>imoveis mercadofinanceiro</t>
  </si>
  <si>
    <t>macroeconomia mercados maravillas realidad</t>
  </si>
  <si>
    <t>copom selic reduçãodejuros taxabásicadejuros bc economia mercadofinanceiro brasil análiseeconômica políticamonetária taxadejuros economiabrasileira</t>
  </si>
  <si>
    <t>mercadofinanceiro investidor georgesoros</t>
  </si>
  <si>
    <t>trading</t>
  </si>
  <si>
    <t>ibov dolar saldoestrangeiro mercadofinanceiro</t>
  </si>
  <si>
    <t>ibov dolar mercadofinanceiro estrategiafox</t>
  </si>
  <si>
    <t>ibov dolar mercadofinanceiro</t>
  </si>
  <si>
    <t>sonartrade investimentos finançaspessoais educaçãofinanceira diversificação mercadofinanceiro</t>
  </si>
  <si>
    <t>sonartrade investimentos finançaspessoais educaçãofinanceira diversificação mercadofinanceiro sucessofinanceiro trading trader swingtrade</t>
  </si>
  <si>
    <t>sonartrade sonartradelion lion trading daytrade swingtrade gain finanças mercadofinanceiro ibov ibovespa</t>
  </si>
  <si>
    <t>sonartrade trading swingtrade trade finanças mercadofinanceiro ibov cripto gain finance ibovespa</t>
  </si>
  <si>
    <t>sonartrade scalping finanças mercadofinanceiro tradestyle</t>
  </si>
  <si>
    <t>sonartrade investimentos finançaspessoais educaçãofinanceira diversificação mercadofinanceiro sucessofinanceiro trading trader swingtrade fintwit</t>
  </si>
  <si>
    <t>sonartrade investimento investimentointeligente finanças mercadofinanceiro perfildeinvestimento</t>
  </si>
  <si>
    <t>sonartrade lvltrading trading liveaovivo finanças mercadofinanceiro ibov cripto analise criptomoedas</t>
  </si>
  <si>
    <t>sonartrade carteirarecomendada finanças mercadofinanceiro ibov benndorfresearch</t>
  </si>
  <si>
    <t>taxadejuros bancocentral políticamonetária economiabrasileira inflação desenvolvimentoeconômico mercadofinanceiro cenárioeconômico investimentos estabilidadefinanceira</t>
  </si>
  <si>
    <t>empreendedorismo empreender emprendedores ton tacomtontacomtudo marketing mercadofinanceiro ultraton vendasonline</t>
  </si>
  <si>
    <t>opções mercadofinanceiro bolsadevalores investimentos</t>
  </si>
  <si>
    <t>daytrade opções mercadofinanceiro bolsadevalores investimentos</t>
  </si>
  <si>
    <t>daytrade mercadofinanceiro bolsadevalores investimentos</t>
  </si>
  <si>
    <t>mercadofinanceiro opçõesibov</t>
  </si>
  <si>
    <t>dividendo mercadofinanceiro finanzas</t>
  </si>
  <si>
    <t>governolula macroeconomia</t>
  </si>
  <si>
    <t>mercadofinanceiro educaçãofinanceira</t>
  </si>
  <si>
    <t>mercadofinanceiro btg investing dolar ibov bovespa</t>
  </si>
  <si>
    <t>economia dólarfuturo brasil igpm mercadofinanceiro investimentos</t>
  </si>
  <si>
    <t>mercadofinanceiro dolarfuturo</t>
  </si>
  <si>
    <t>firstposition escritórionamochila sanfrancisco california googlebrasil mulhernabolsa tradesdodia análisetécnica análisegráfica mercadofinanceiro ibov ibovespa bitcoin btc winfut dolfut</t>
  </si>
  <si>
    <t>mercadofinanceiro traderlifestyle traderlife daytrade daytraderbrasil</t>
  </si>
  <si>
    <t>mercadofinanceiro traderlifestyle daytrade daytraderbrasil iqoptionbrasil quotex opcoesbinarias</t>
  </si>
  <si>
    <t>mercadofinanceiro traderbrasil daytraderbrasil traderlifestyle daytrader opcoesbinarias iqoption iqoptionbrasil</t>
  </si>
  <si>
    <t>daytrade traderlifestyle traderbrasil traderlife mercadofinanceiro forextrader</t>
  </si>
  <si>
    <t>mercadofinanceiro daytrade daytraderbrasil opcoesbinarias daytraderlife traderlifestyle</t>
  </si>
  <si>
    <t>mercadofinanceiro opcoesbinarias iqoption iqoptionbrasil daytrade daytraderbrasil</t>
  </si>
  <si>
    <t>mercadofinanceiro daytrade daytradebrasil opcoesbinarias iqoptionbrasil traderlifestyl</t>
  </si>
  <si>
    <t>mercadofinanceiro traderbrasil traderlifestyle daytrade</t>
  </si>
  <si>
    <t>mercadofinanceiro traderbrasil</t>
  </si>
  <si>
    <t>mercadofinanceiro traderbrasil daytraderbrasil traderlifestyle iqoptionbrasil opcoesbinarias</t>
  </si>
  <si>
    <t>mercadofinanceiro opcoesbinarias daytrade traderbrasil traderlifestyle</t>
  </si>
  <si>
    <t>portalig mercadofinanceiro</t>
  </si>
  <si>
    <t>mercadofinanceiro networking bitcoin marketing investimento</t>
  </si>
  <si>
    <t>macroeconomía brics dólar</t>
  </si>
  <si>
    <t>estaofinanceiros empresas mercadofinanceiro</t>
  </si>
  <si>
    <t>investir dolar mercadofinanceiro bolsadevalores investimentos comoinvestir financas finanças educaçãofinanceira</t>
  </si>
  <si>
    <t>mercadofinanceiro finanças financeiro contabilidade ingles</t>
  </si>
  <si>
    <t>datimacroeconomici finanza guadagno indicezew indicimanifatturieri investimenti investireperguadagnare ipg macroeconomia mercatifinanziari opportunita pil produzione</t>
  </si>
  <si>
    <t>crescita economia fondamentali guadagno investimenti ipg macroeconomia mercatifinanziari numeri opportunita pil recessione</t>
  </si>
  <si>
    <t>raspay fintechs meiosdepagamento pix mercadofinanceiro criptomoedas formasdepagamento</t>
  </si>
  <si>
    <t>certificação anbima cpa10 cpa20 mercadofinanceiro</t>
  </si>
  <si>
    <t>mepoupe mercadodetrabalho mercadofinanceiro mercadointerno</t>
  </si>
  <si>
    <t>tonodiarinho mercadofinanceiro investimentos itajaí</t>
  </si>
  <si>
    <t>fumep eep administração ciênciascontábeis ptgpactual investimentos mercadofinanceiro</t>
  </si>
  <si>
    <t>trading mercadofinanceiro forextradin</t>
  </si>
  <si>
    <t>camposneto economia bc politica keynes selic mercadofinanceiro b3 tiktok</t>
  </si>
  <si>
    <t>federalreserve mercadofinanceiro investing money economia economy stocks ações trading bitcoin ibovespa nasdaq</t>
  </si>
  <si>
    <t>mercadofinanceiro forexbrasil</t>
  </si>
  <si>
    <t>segueagente follome follow followus mercadofinanceiro criptomoedas hotdoggirls eth bnb cryptotwitter crypto market cryptocurrencies</t>
  </si>
  <si>
    <t>segueagente follome follow followus</t>
  </si>
  <si>
    <t>b3 mercadofinanceiro daytrade</t>
  </si>
  <si>
    <t>python webscraping mercadofinanceiro b3 investimentos</t>
  </si>
  <si>
    <t>datascience mercadofinanceiro</t>
  </si>
  <si>
    <t>petr4</t>
  </si>
  <si>
    <t>manipulacion mercadofinanceiro</t>
  </si>
  <si>
    <t>futurodocdi mercadofinanceiro</t>
  </si>
  <si>
    <t>mercadofinanceiro educaçãofinanceira mindset criptomoedas investimentos</t>
  </si>
  <si>
    <t>mercadofinanceiro bitcoin ethereum mercadofinanceiro</t>
  </si>
  <si>
    <t>mercadofinanceiro bolsadevalores investir ibovespa daytrade</t>
  </si>
  <si>
    <t>mercadofinanceiro ipca inflação bancocentral portalvgv mercadoimobiliario</t>
  </si>
  <si>
    <t>mercadofinanceiro ipca bancocentral</t>
  </si>
  <si>
    <t>bolsadevalores mercadofinanceiro investimentos trading</t>
  </si>
  <si>
    <t>sp500 trading mercadofinanceiro</t>
  </si>
  <si>
    <t>trading ibov investimentos mercadofinanceiro</t>
  </si>
  <si>
    <t>dólar trading investimentos mercadofinanceiro</t>
  </si>
  <si>
    <t>mercadofinanceiro trading investimentos</t>
  </si>
  <si>
    <t>ibov trading mercadofinanceiro</t>
  </si>
  <si>
    <t>investimentos mercadofinanceiro economia criptomoedas</t>
  </si>
  <si>
    <t>business finanzas economia negocios empresas mercadofinanceiro</t>
  </si>
  <si>
    <t>deficit brasil mercadofinanceiro ibov impostos</t>
  </si>
  <si>
    <t>proeducacional mercadofinanceiro bolsadevalores cnpi certificacao</t>
  </si>
  <si>
    <t>proeducacional mercadofinanceiro cnpi certificacao</t>
  </si>
  <si>
    <t>proeducacional certificacao mercadofinanceiro cnpi bolsadevalores ações fundos</t>
  </si>
  <si>
    <t>proeducacional mercadofinanceiro bolsadevalores cnpi certificacao fundosdeinvestimento ações swap</t>
  </si>
  <si>
    <t>analistadeinvestomento proeducacional bolsadevalores certificacao mercadofinanceiro</t>
  </si>
  <si>
    <t>vemserproedu analistadeinvestimentos consultordeinvestimentos correlacaoentreativos bolsadevalores mercadofinanceiro certificacaofinanceira</t>
  </si>
  <si>
    <t>nfp forex investimentos mercadofinanceiro nonfarmpayroll gold</t>
  </si>
  <si>
    <t>dicadolukao studiomadehits investidoresdaquebrada tvmadehits investimento educaçãofinanceira mercadofinanceiro financaspessoais empreendimento finanças favelado podcastproduction radioshow fyp popular likeforlikes funnyvideos</t>
  </si>
  <si>
    <t>studiomadehits investidoresdaquebrada tvmadehits investimento educaçãofinanceira mercadofinanceiro empreendimento finanças favelados podcastlifestyle podcastproduction radioshow fyp popular likeforlikes funnyvideos foryou</t>
  </si>
  <si>
    <t>fotografa fotografia foto fotografar fotografando investimento educaçãofinanceira mercadofinanceiro financas fyp popular likeforlikes</t>
  </si>
  <si>
    <t>bancocentral boletimfocus economia mercadofinanceiro guarulhosonline</t>
  </si>
  <si>
    <t>investimentos mercadofinanceiro bolsadevalores daytrade miniindice minidolar</t>
  </si>
  <si>
    <t>fce udea macroeconomía</t>
  </si>
  <si>
    <t>mercadofinanceiro investidorinteligente</t>
  </si>
  <si>
    <t>finanças economia inovação tecnologia drex sistemafinanceiro mercadofinanceiro negócios</t>
  </si>
  <si>
    <t>ibovespa mercadofinanceiro noticias brasilperfil</t>
  </si>
  <si>
    <t>dolar economiachinesa mercadofinanceiro</t>
  </si>
  <si>
    <t>brasil crescimento economia mercadofinanceiro pib</t>
  </si>
  <si>
    <t>bolsa mercadofinanceiro</t>
  </si>
  <si>
    <t>correiodeminas fimdeumaera analista previsão colapso mercadofinanceiro correiodeminasonline</t>
  </si>
  <si>
    <t>correiodeminas empresa empresabrasileira geração bilionarios mercadofinanceiro correiodeminasonline</t>
  </si>
  <si>
    <t>elonmusk tesla billgates stockmarkets ações mercado mercadofinanceiro ibovespa</t>
  </si>
  <si>
    <t>viesdanoticia mercadofinanceiro economia</t>
  </si>
  <si>
    <t>tradingdefuturos trading daytrader earn2tradebrasil mercadofinanceiro traders</t>
  </si>
  <si>
    <t>earn2tradebrasil mercadofinanceiro traders</t>
  </si>
  <si>
    <t>tradingdefuturos trading daytrader earn2tradebrasil mercadofinanceiro</t>
  </si>
  <si>
    <t>earn2tradebrasil mercadofinanceiro</t>
  </si>
  <si>
    <t>daytrader earn2tradebrasil mercadofinanceiro</t>
  </si>
  <si>
    <t>earn2tradebrasil mercadofinanceiro trader</t>
  </si>
  <si>
    <t>bancario mercadofinanceiro bancocentral</t>
  </si>
  <si>
    <t>macroeconomia petro inflacion desempleo colombia</t>
  </si>
  <si>
    <t>macroeconomia btc quedainfinita</t>
  </si>
  <si>
    <t>investimentos investimento bolsadevalores bovespa rendavariavel ações mercadofinanceiro liberdadefinanceira finanças planejamentofinanceiro trader stocks dinheiro henleinvestimentos economia dividendos ibovespa agro agronegocio soja milho keplerweber</t>
  </si>
  <si>
    <t>estimativa portaldeprefeitura mercadofinanceiro bancocentral economia brasil</t>
  </si>
  <si>
    <t>economia portaldeprefeitura economia brasil mercadofinanceiro projeção crescimentoeconomico</t>
  </si>
  <si>
    <t>fitch bb brasil risco macroeconomia economia economics</t>
  </si>
  <si>
    <t>industria economia macroeconomia confianca cni empresario</t>
  </si>
  <si>
    <t>investimentos b3 estratégia datadriven análisededados mercadofinanceiro d4business</t>
  </si>
  <si>
    <t>economia economics finanzas macroeconomia microeconomia</t>
  </si>
  <si>
    <t>mercadofinanceiro investimentos finanças</t>
  </si>
  <si>
    <t>governance mercadofinanceiro loteamento investimento caruaru pernambuco</t>
  </si>
  <si>
    <t>suno mercadofinanceiro economia agendadasemana ipca15 igpm pce caged pnad</t>
  </si>
  <si>
    <t>ações bolsadevalores mercadofinanceiro investidoriniciante educacaofinanceira dinheiro rendavariavel rendapassiva dinheiroonline</t>
  </si>
  <si>
    <t>economíadl diariolibre macroeconomía gastos capital ejecución</t>
  </si>
  <si>
    <t>economíadl diariolibre huracanes perdidas economía macroeconomía</t>
  </si>
  <si>
    <t>economíadl diariolibre economíadl macroeconomía dinero crecimiento dominicanos politicas bancocentral</t>
  </si>
  <si>
    <t>economíadl diariolibre economía macroeconomía crecimiento</t>
  </si>
  <si>
    <t>economíadl diariolibre cepal macroeconomía inflación región</t>
  </si>
  <si>
    <t>economíadl diariolibre ministrodeeconomía desarrollosostenible macroeconomía</t>
  </si>
  <si>
    <t>economíadl diariolibre economía macroeconomía gsd santodomingo gransantodomingo pibnacional productointernobruto pib</t>
  </si>
  <si>
    <t>trading rendaextra oportunidadefinanceira aprimoramentopessoal mercadofinanceiro sucessofinanceiro olymptrade</t>
  </si>
  <si>
    <t>mercadofinanceiro avisoimportante</t>
  </si>
  <si>
    <t>mercadofinanceiro tendências dólarreal</t>
  </si>
  <si>
    <t>ibov mercadofinanceiro s dólarreal ibov</t>
  </si>
  <si>
    <t>mercadofinanceiro projeções bolsabrasileira</t>
  </si>
  <si>
    <t>educaçãofinanceira mercadofinanceiro</t>
  </si>
  <si>
    <t>educaçãofinanceira mercadofinanceiro dólarreal investimentos economiadoseua bolsadevalores consumo dadoseconômicos</t>
  </si>
  <si>
    <t>investircomsabedoria diversificação mercadofinanceiro</t>
  </si>
  <si>
    <t>mercadofinanceiro economia</t>
  </si>
  <si>
    <t>investimentos commodities mercadofinanceiro</t>
  </si>
  <si>
    <t>mercadofinanceiro políticaeconômica confiança</t>
  </si>
  <si>
    <t>mercadofinanceiro análise tendências</t>
  </si>
  <si>
    <t>melhoriamercadodetrabalho mercadofinanceiro</t>
  </si>
  <si>
    <t>ia fakenews mercadofinanceiro</t>
  </si>
  <si>
    <t>mercadofinanceiro commodities petróleo minériodeferro dólar bolsadevalores</t>
  </si>
  <si>
    <t>economicanalysis financialmarkets economiamundial análiseeconômica dadosfinanceiros investimentos mercadofinanceiro</t>
  </si>
  <si>
    <t>investimentos mercadofinanceiro</t>
  </si>
  <si>
    <t>mercadofinanceiro governolula perspectivas</t>
  </si>
  <si>
    <t>economia indicadoreseconômicos consumo investimentos inflação emprego poderdecompra turismo inovação mercadofinanceiro educação bolsa</t>
  </si>
  <si>
    <t>bancodeportugal bdp conjuntura economía macroeconomia negóciosefinanças portugal</t>
  </si>
  <si>
    <t>conselhodeestado economía macroeconomia negóciosefinanças orçamentodoestadoeimpostos parlamento partidosemovimentos política portugal ques</t>
  </si>
  <si>
    <t>asae consumo economía indústriatransformadora inspetores jmj macroeconomia negóciosefinanças questõessociais segurançaalimentar</t>
  </si>
  <si>
    <t>a at autoridadetributária economía fisco informaçãosobreempresas irc irs macroeconomia malta negóciosefinanças orçamentodoestadoeimpostos política</t>
  </si>
  <si>
    <t>economía macroeconomia mercadocambial negóciosefinanças política prr</t>
  </si>
  <si>
    <t>correiodamanhãcmtv economía euribor intercampus jornaldenegócios macroeconomia mercadomonetário negóciosefinanças</t>
  </si>
  <si>
    <t>conjuntura economía estado irs iva macroeconomia negóciosefinanças orçamentodoestadoeimpostos política</t>
  </si>
  <si>
    <t>bancocentraleuropeu christinelagarde conselhodobce economía macroeconomia negóciosefinanças</t>
  </si>
  <si>
    <t>dgeg direçãogeraldeenergiaegeologia economía energia macroeconomia negóciosefinanças preços</t>
  </si>
  <si>
    <t>bruxelas comissãoeuropeia economía macroeconomia mecanismoderecuperação negóciosefinanças portugal prr resiliencia</t>
  </si>
  <si>
    <t>ajudaexterna conselhodefinançaspúblicas economía governosistema macroeconomia negóciosefinanças política</t>
  </si>
  <si>
    <t>bce christinelagarde economía macroeconomia negóciosefinanças orçamentodoestadoeimpostos política</t>
  </si>
  <si>
    <t>cmtv economía economiageral intercampus macroeconomia negóciosefinanças questõessociais var</t>
  </si>
  <si>
    <t>bancodeportugal bdp certificadosdeaforro economía euribor macroeconomia mercadodedívida mercadofinanceiro negóciosefinanças política</t>
  </si>
  <si>
    <t>bairroalto economía lisboa macroeconomia negóciosefinanças ruadodiáriodenotícias</t>
  </si>
  <si>
    <t>bolivia macroeconomia economia</t>
  </si>
  <si>
    <t>mercadofinanceiro bolsadevalores bancocentral</t>
  </si>
  <si>
    <t>macroeconomia oltrelebanchecentrali inflazione disuguaglianza</t>
  </si>
  <si>
    <t>fidoeduca fidocomvc fido investimento comecarainvestir mercadofinanceiro desenrola</t>
  </si>
  <si>
    <t>usd volatilidadebrasil dolar mercadofinanceiro cambio analisetecnica advancedcorretora</t>
  </si>
  <si>
    <t>bbnaijaallstars jorgelosa bitcoin dolar trading mercadofinanceiro</t>
  </si>
  <si>
    <t>bancocentral taxaselic mercadofinanceiro</t>
  </si>
  <si>
    <t>taxaselic bancocentral fed mercadofinanceiro</t>
  </si>
  <si>
    <t>mercadofinanceiro economia trade</t>
  </si>
  <si>
    <t>ia avanços tecnológicos séculoxxi setores mundo mercadofinanceiro economiaglobal</t>
  </si>
  <si>
    <t>econômico china mercadofinanceiro</t>
  </si>
  <si>
    <t>cripto mercadofinanceiro inovações investimento valores</t>
  </si>
  <si>
    <t>macroeconomía culturaeconómica</t>
  </si>
  <si>
    <t>abiliodiniz experiencias conhecimento economia investimentos mercados dinheiro mercadofinanceiro frasedodia pensamentos</t>
  </si>
  <si>
    <t>cryptomarket mercadofinanceiro investment</t>
  </si>
  <si>
    <t>mercadofinanceiro mercadodecapitais dólar bolsadevalores futuros índice technicalanalysis</t>
  </si>
  <si>
    <t>mercadofinanceiro mercadodecapitais mercados data dataanalysis datascience data dados ibov ibovespa dólar índice futuros futures derivatives wti petróleo oil markets trader traderlifestyle traderlife</t>
  </si>
  <si>
    <t>blogimpacto fgveaesp mercadofinanceiro</t>
  </si>
  <si>
    <t>bancocentral crecimiento inflación macroeconomía estabilidad políticamonetaria reserva economíaglobal políticaeconómica</t>
  </si>
  <si>
    <t>mercadofinanceiro ações investimentos índia</t>
  </si>
  <si>
    <t>cbdc dólardigital russellbrand poderdogoverno criptomoedas bitcoin dólardigital moedasdigitais tecnologiafinanceira governança políticamonetária economiadigital inovaçãofinanceira blockchain mercadofinanceiro</t>
  </si>
  <si>
    <t>btc etf exchangetradedfunds bitcoins cyptocurrency mercadofinanceiro bolsadevalores wallstreet invesment yinyang</t>
  </si>
  <si>
    <t>leitura mercadofinanceiro investimentos bolsadevalores</t>
  </si>
  <si>
    <t>mercados macroeconomía criptomonedas entrevista</t>
  </si>
  <si>
    <t>mercadofinanceiro conhecimento carteira</t>
  </si>
  <si>
    <t>mercadofinanceiro dinheiro</t>
  </si>
  <si>
    <t>selic b3 bolsadevalores mercadofinanceiro</t>
  </si>
  <si>
    <t>mercadofinanceiro investimentos dinheiro</t>
  </si>
  <si>
    <t>cliente mercadofinanceiro risco</t>
  </si>
  <si>
    <t>ações investidor mercadofinanceiro</t>
  </si>
  <si>
    <t>mercadofinanceiro dinheiro dólar</t>
  </si>
  <si>
    <t>ações mercadofinanceiro dinheiro pobreza</t>
  </si>
  <si>
    <t>bolsa mercadofinanceiro caixinhas objetivo</t>
  </si>
  <si>
    <t>devendo investir mercadofinanceiro</t>
  </si>
  <si>
    <t>medo mercadofinanceiro dinheiro</t>
  </si>
  <si>
    <t>mercadofinanceiro disciplina dinheiro</t>
  </si>
  <si>
    <t>devendo investir</t>
  </si>
  <si>
    <t>milionarios investimentos mercadofinanceiro</t>
  </si>
  <si>
    <t>macroeconomia fomc tassi pil economia</t>
  </si>
  <si>
    <t>fundos finançaspessoais mercadofinanceiro investimentofinanceiro contabilidade tributação direitotributário</t>
  </si>
  <si>
    <t>finançaspessoais investimentos investimentofinanceiro mercadofinanceiro familyoffice gestaofinanceira</t>
  </si>
  <si>
    <t>fundos investimento finançaspessoais mercadofinanceiro investimentofinanceiro contabilidade tributação direitotributário fundosdeinvestimento bancos</t>
  </si>
  <si>
    <t>investimentofinanceiro empresas offshore tributação mercadofinanceiro contabilidade finançaspessoais direito direitotributario</t>
  </si>
  <si>
    <t>eu</t>
  </si>
  <si>
    <t>económicas alternativas dependencia macroeconomía sectoresproductivos trigoimportado</t>
  </si>
  <si>
    <t>económicas periódicoeldía alternativas dependencia macroeconomía sectoresproductivos trigo</t>
  </si>
  <si>
    <t>viverderenda educacaofinanceira comoinvestir mercadofinanceiro investimentos liberdadefinanceira ipca cdi igpm hgru hgru11 cshg creditsuisse rendimentos hibrido rendaurbana varejo</t>
  </si>
  <si>
    <t>pib previsiónpib macroeconomia proyecciones</t>
  </si>
  <si>
    <t>mundo fmi latinoamerica economia finanzas finanzaspublicas macroeconomia</t>
  </si>
  <si>
    <t>mundo latinoamerica economia finanzas macroeconomia fmi imf</t>
  </si>
  <si>
    <t>uh ultimahora fmi economia finanzas macroeconomia</t>
  </si>
  <si>
    <t>hermescapital safra safrainvest investimentos mercadofinanceiro petroleo commodities empresas dolar juros economia</t>
  </si>
  <si>
    <t>hermescapital safra safrainvest investimentos mercadofinanceiro bancocentral cambio pib selic ipca inflação</t>
  </si>
  <si>
    <t>mercadofinanceiro bancocentral cambio pib selic ipca inflação</t>
  </si>
  <si>
    <t>tvcultura haddad mercadofinanceiro</t>
  </si>
  <si>
    <t>macroeconomía políticafiscal</t>
  </si>
  <si>
    <t>macroeconomía comerciointeracional</t>
  </si>
  <si>
    <t>lucyscientificinc mercadofinanceiro forextrading business daytrading stocks cryptocurrency money</t>
  </si>
  <si>
    <t>previsão mercadofinanceiro economiabrasileira forumservicopublicoceara</t>
  </si>
  <si>
    <t>mercadofinanceiro economiabrasileira forumservicopublicoceara</t>
  </si>
  <si>
    <t>anbimasummit2023 mercadofinanceiro investimentos inovação inteligênciaartificial tokenização futurofinanceiro</t>
  </si>
  <si>
    <t>recuerda muyimportante macroeconomia</t>
  </si>
  <si>
    <t>macroeconomia oro dolar</t>
  </si>
  <si>
    <t>empregosustentável mercadofinanceiro rendapassiva educaçãofinanceira investirfuturo</t>
  </si>
  <si>
    <t>grupoayonel lucroverde b3 investimento reciclagem empredimento meioambiente empresas oportunidadesfinanceira investir financeiro btc dinheiro rendapassiva mercadofinanceiro finançaspessoais investirfuturo</t>
  </si>
  <si>
    <t>economíafinanzas macroeconomía</t>
  </si>
  <si>
    <t>anbima mercadofinanceiro summit tokenização</t>
  </si>
  <si>
    <t>macroeconomía python</t>
  </si>
  <si>
    <t>ouro investimentos mercadofinanceiro</t>
  </si>
  <si>
    <t>crypto macro macroeconomía</t>
  </si>
  <si>
    <t>lançamento livro macroeconomia dividapublica inflação gestão</t>
  </si>
  <si>
    <t>ibovespa mercadofinanceiro economiabrasileira</t>
  </si>
  <si>
    <t>anbima anbimasummit anbimasummit2023 mercadofinanceiro mercadodecapitais ativosdigitais evento titanium titaniumasset</t>
  </si>
  <si>
    <t>tecnologia mercadofinanceiro fundosdeinvestimento investimentos titanium titaniumasset</t>
  </si>
  <si>
    <t>ras raspay fintechs meiosdepagamento pix bitcoin mercadofinanceiro</t>
  </si>
  <si>
    <t>riobravoinvestimentos asinstituiçõesestãofuncionando funcionamentodasinstituições mercadofinanceiro liderança gustavofranco educaçãofinanceira bancocentral economia</t>
  </si>
  <si>
    <t>riobravoinvestimentos fundodeinvestimento mercadofinanceiro fundosimobiliários investimentos seuinvestimentotempoder soluçõesdeinvestimento</t>
  </si>
  <si>
    <t>riobravoinvestimentos asinstituiçõesestãofuncionando mercadofinanceiro liderança gustavofranco educaçãofinanceira economia bancocentral</t>
  </si>
  <si>
    <t>riobravoinvestimentos asinstituiçõesestãofuncionando mercadofinanceiro liderança mauríciozanoide educaçãofinanceira</t>
  </si>
  <si>
    <t>peña dolar peña macroeconomia mexicana</t>
  </si>
  <si>
    <t>mercadofinanceiro direitosocietario investimento</t>
  </si>
  <si>
    <t>direitobancario pirmidesfinanceiras 123milhas investimentos mercadofinanceiro</t>
  </si>
  <si>
    <t>finance trading mercadofinanceiro forextrading</t>
  </si>
  <si>
    <t>lucyscientificinc stockmarket finance trading mercadofinanceiro forextrading business</t>
  </si>
  <si>
    <t>lucyscientificinc trading mercadofinanceiro forextrading business</t>
  </si>
  <si>
    <t>trading mercadofinanceiro forextrading business</t>
  </si>
  <si>
    <t>lucyscientificinc mercadofinanceiro forextrading business daytrading stocks cryptocurrency money daytrader</t>
  </si>
  <si>
    <t>bancocentral bc boletimfocus mercadofinanceiro pib inflacao ipca taxadejuro selic cambio dolar</t>
  </si>
  <si>
    <t>bancocenrtal bc boletimfocus mercadofinanceiro inflacao ipca taxadejuro selic pib cambio dolar</t>
  </si>
  <si>
    <t>bancocentral bc boletimfocus mercadofinanceiro ipca pib taxadejuro selic cambio dolar</t>
  </si>
  <si>
    <t>fintwit cdi rendafixa tokensderecebiveis mercadofinanceiro financas bolsadevalores rendapassiva</t>
  </si>
  <si>
    <t>macroeconomia masteraemc aemc tweetoftheday frasedeldia ironiasdelavida consejosdevida preguntadeldia xtwitter barbenheimer macroeconomiaenmexico edomex wakeupmexico</t>
  </si>
  <si>
    <t>macroeconomia masteraemc aemc seoyceo seo ceo preguntadeldia negocios negociosinternacionales dinero dinerofácil inversionbancariaacortoplazo armenia nuevolaredo</t>
  </si>
  <si>
    <t>radiomassa token2049 tupan pauloguedes pablomarçal mercadofinanceiro money1bstreamproject elonmusk tupan amazonas brazil bioeconomia btg xpinvestimentos b3 eua meioambiente safra dinheiro novaeconomia bolsonaro bnb</t>
  </si>
  <si>
    <t>súperpeso dólar</t>
  </si>
  <si>
    <t>mercadofinanceiro investimentos educaçãofinanceira</t>
  </si>
  <si>
    <t>bhia3 viia3 varejo</t>
  </si>
  <si>
    <t>filme mercadofinanceiro crise subprime</t>
  </si>
  <si>
    <t>filme mercadofinanceiro</t>
  </si>
  <si>
    <t>daytrade mercadofinanceiro investimentos trader bolsadevalores</t>
  </si>
  <si>
    <t>pyme mercadofinanceiro bolsa pymes derechomercantil</t>
  </si>
  <si>
    <t>mercadofinanceiro juros europe</t>
  </si>
  <si>
    <t>brasil dolar mercadofinanceiro</t>
  </si>
  <si>
    <t>lifetrader mercadofinanceiro bolsadevalores investimentos liberdadefinanceira</t>
  </si>
  <si>
    <t>bolsadevalores investimentoemações mercadofinanceiro</t>
  </si>
  <si>
    <t>commodities diversificação investimentos mercadofinanceiro retornofinanceiro</t>
  </si>
  <si>
    <t>sp500 tradingview mercadofinanceiro trader</t>
  </si>
  <si>
    <t>mercadofinanceiro b3</t>
  </si>
  <si>
    <t>investimentos inflação preços mercadofinanceiro</t>
  </si>
  <si>
    <t>investimento correlação mercadofinanceiro gestão</t>
  </si>
  <si>
    <t>objetivo investimentos sonho mercadofinanceiro</t>
  </si>
  <si>
    <t>sabedoria investimento mercadofinanceiro ouro</t>
  </si>
  <si>
    <t>esg investimentos mercadofinanceiro brasil</t>
  </si>
  <si>
    <t>investimentos inflação dinheiro mercadofinanceiro</t>
  </si>
  <si>
    <t>planejamento investimentos gestão mercadofinanceiro</t>
  </si>
  <si>
    <t>oportunidade economia investimento mercadofinanceiro</t>
  </si>
  <si>
    <t>planejamento investimentos mercadofinanceiro lei</t>
  </si>
  <si>
    <t>lei investimento mercadofinanceiro economia</t>
  </si>
  <si>
    <t>másquenumeros macroeconomía inflación crecimiento dólar</t>
  </si>
  <si>
    <t>noticiasedn edntv brics cumbre bloqueeconómico macroeconomía</t>
  </si>
  <si>
    <t>mercadoimobiliario imoveis seguranca liquidez rentabilidade mercadofinanceiro bauru brasil andersonalvescorretor</t>
  </si>
  <si>
    <t>mercadofinanceiro ibovespa</t>
  </si>
  <si>
    <t>daytrade trader trading trade mercadofinanceiro</t>
  </si>
  <si>
    <t>smartmoneyconcepts trading daytrading daytrade bitcoin btc mercadofinanceiro</t>
  </si>
  <si>
    <t>energía importar insumos bcra swap sira macroeconomía dlsarcher dólar</t>
  </si>
  <si>
    <t>etf investimento mercadofinanceiro</t>
  </si>
  <si>
    <t>projeto4ciclos b3 daytradebrasil minindice ibovespa ibov fintech startup crowdfunding economiacolaborativa mercadofinanceiro trading investimentos investidoresanjos investidoranjo financiamentocoletivo</t>
  </si>
  <si>
    <t>projeto4ciclos b3 daytradebrasil minindice ibovespa ibov fintech startup crowdfunding economiacolaborativa mercadofinanceiro trading</t>
  </si>
  <si>
    <t>finanzmarkt zoll</t>
  </si>
  <si>
    <t>mercadofinanceiro aduanas</t>
  </si>
  <si>
    <t>tasasdeinterés bcr macroeconomía</t>
  </si>
  <si>
    <t>perú china macroeconomía semanaeconómica</t>
  </si>
  <si>
    <t>tidcs mercadofinanceiro</t>
  </si>
  <si>
    <t>sopadeletrinhas token tokenizacao ativosdigitais mercadofinanceiro cripto</t>
  </si>
  <si>
    <t>sopadeletrinhas cvm valormobiliario mercadofinanceiro investimentos</t>
  </si>
  <si>
    <t>ahora economia programasahora créditos macroeconomia actualidaddiaria</t>
  </si>
  <si>
    <t>daytrading bolsadevalores mercadofinanceiro investimento</t>
  </si>
  <si>
    <t>amlat macroeconomia</t>
  </si>
  <si>
    <t>sucesso politica brasil mercadofinanceiro</t>
  </si>
  <si>
    <t>investimentos ações bolsadevalores intelbras intb3 economia mercadofinanceiro ibovespa analisedeações</t>
  </si>
  <si>
    <t>fpmarkets gráficodehoy fx forex mercadosfinancieros audusd graficododia mercadofinanceiro aud usd</t>
  </si>
  <si>
    <t>inteligênciaartificial macroeconomia tecnologia</t>
  </si>
  <si>
    <t>agronegócio brasil macroeconomia</t>
  </si>
  <si>
    <t>macroeconomia ahorro</t>
  </si>
  <si>
    <t>forex mercadofinanceiro forexlifestyle day lifegoals lifestyle forexmarket</t>
  </si>
  <si>
    <t>investimentos ações mercadofinanceiro finanças</t>
  </si>
  <si>
    <t>ecuador macroeconomía</t>
  </si>
  <si>
    <t>opções delta gregas mercadofinanceiro</t>
  </si>
  <si>
    <t>macroeconomia taxadejuros rendavariavel commodities dolar</t>
  </si>
  <si>
    <t>btgpactual economia macroeconomia juros inflação rendafixa</t>
  </si>
  <si>
    <t>selic ibov mercadofinanceiro</t>
  </si>
  <si>
    <t>novidade educaçãofinanceira mercadofinanceiro metodocgd parceriacgd cursoscgd plataformacgd</t>
  </si>
  <si>
    <t>b3 bolsadevalores mercadofinanceiro bpmoney</t>
  </si>
  <si>
    <t>acoes mercadofinanceiro mercadodeacoes ibovespa dolar bpmoney</t>
  </si>
  <si>
    <t>aliexpress acoes investimentos mercadofinanceiro bpmoney</t>
  </si>
  <si>
    <t>irb irbr3 economia mercadofinanceiro bpmoney</t>
  </si>
  <si>
    <t>ipo investimentos economia mercadofinanceiro bpmoney</t>
  </si>
  <si>
    <t>inflacion europa macroeconomia fmi eurozona estadosunidos francia españa economia entrevistas noticias negociostv juantugores</t>
  </si>
  <si>
    <t>mercados inmobiliaria china precios volatilidad macroeconomia europa estadosunidos españa entrevistas noticiasenespañol livenews negociostv</t>
  </si>
  <si>
    <t>pib europa bolsas indicadores macroeconomia recesion alemania francia italia eurozona entrevistas noticiasenespañol negociostv</t>
  </si>
  <si>
    <t>euro dolar divisas mercadosfinancieros indices macroeconomia crisiseconomica crisisfinanciera entrevistas noticiasenespañol negociostv samuelplaza</t>
  </si>
  <si>
    <t>bancocentral</t>
  </si>
  <si>
    <t>criptomoedas economia mercadofinanceiro</t>
  </si>
  <si>
    <t>criptomoedas mercadofinanceiro oportunidades mmnprofissional</t>
  </si>
  <si>
    <t>inflazione investimenti obbligazioni macroeconomia mercatifinanziari</t>
  </si>
  <si>
    <t>investimenti macroeconomia mercatifinanziari</t>
  </si>
  <si>
    <t>lapiensoladigo unap2023 macroeconomia visitaelblog</t>
  </si>
  <si>
    <t>comenta lapiensoyladigo visitaelblog macroeconomia unap2023</t>
  </si>
  <si>
    <t>poesia abpoeta metropole cidadegrande megalopole sãopaulo sp centrosp spcapital financeirizacao mercadofinanceiro cracolandia moradorderua trabalhador tripalium indústria burguês desemprego prostituição menorabandonado antrópica</t>
  </si>
  <si>
    <t>mercadofinanceiro pib</t>
  </si>
  <si>
    <t>mercadofinanceiro bitcoin gold</t>
  </si>
  <si>
    <t>macroeconomía avanzaelcambio colombiavabien gobiernodelcambio</t>
  </si>
  <si>
    <t>mercadofinanceiro dinheiro financas grana</t>
  </si>
  <si>
    <t>canaleconomico economia canale argentina dolar estressfinanciero macroeconomia</t>
  </si>
  <si>
    <t>mercadofinanceiro cnpi ações swingtrading investimentos analistacnpi analisetecnicaclassica analisetecnica</t>
  </si>
  <si>
    <t>somosinsper pós finanças gestãofinanceira mercadofinanceiro finançascorporativas gestão</t>
  </si>
  <si>
    <t>braskem ações mercadofinanceiro</t>
  </si>
  <si>
    <t>mercadofinanceiro independênciafinanceira</t>
  </si>
  <si>
    <t>b3 mercadofinanceiro investimentos bolsadevalores economia trading</t>
  </si>
  <si>
    <t>olainvestidor entrevista podcast jornalismo mercadofinanceiro habito</t>
  </si>
  <si>
    <t>lucyscientificinc mercadofinanceiro forextrading business daytrading stocks cryptocurrency</t>
  </si>
  <si>
    <t>tesouro finanças mercadofinanceiro</t>
  </si>
  <si>
    <t>investimentos mercadofinanceiro economia ai</t>
  </si>
  <si>
    <t>taxaselic mercadofinanceiro mercadodeações investimentos</t>
  </si>
  <si>
    <t>macroeconomía mercadofinanceir</t>
  </si>
  <si>
    <t>mercadofinanceiro combustivel diesel</t>
  </si>
  <si>
    <t>petroleo pib powell mercadofinanceiro</t>
  </si>
  <si>
    <t>investimentos mercadofinanceiro ricardoamorim economia</t>
  </si>
  <si>
    <t>ações dólar economia economicnewsbrasil ibovespa investimento mercadofinanceiro negócios noticias selic</t>
  </si>
  <si>
    <t>economia economicnewsbrasil investimento mercadofinanceiro nasdaq</t>
  </si>
  <si>
    <t>bancocentral dólar economicnewsbrasil mercadofinanceiro noticias selic</t>
  </si>
  <si>
    <t>b3 dólar economia economicnewsbrasil ibovespa investimento mercadofinanceiro negócios notícias</t>
  </si>
  <si>
    <t>ações b3 dólar economia economicnewsbrasil investimento mercadofinanceiro</t>
  </si>
  <si>
    <t>dólar economicnewsbrasil mercadofinanceiro notícias</t>
  </si>
  <si>
    <t>bancos carreiraprofissional ceo economicnewsbrasil executivo mercadofinanceiro notícias sistemafinanceiro</t>
  </si>
  <si>
    <t>b3 dólar economia economicnewsbrasil ibovespa inflação investimento mercadofinanceiro</t>
  </si>
  <si>
    <t>criptomoeda economia economicnewsbrasil impostos investimento mercadofinanceiro negócios notícias</t>
  </si>
  <si>
    <t>ações b3 dólar economia economicnewsbrasil ibovespa investimento mercadofinanceiro noticias</t>
  </si>
  <si>
    <t>b3 dólar economia economicnewsbrasil ibovespa investimento mercadofinanceiro</t>
  </si>
  <si>
    <t>índices materiasprimas bonos divisas macroeconomía pmi fed bce brent wti inflación bitcoin cripto ibex35 usa europa metales tops flops energía</t>
  </si>
  <si>
    <t>índices materiasprimas bonos divisas macroeconomía pmi fed bce brent wti inflación bitcoin cripto ibex35 usa europa tops flops</t>
  </si>
  <si>
    <t>bitcoin criptomonedas fed macroeconomía inversiones</t>
  </si>
  <si>
    <t>podcastsabidao ensinomedio fuvest ensinosuperior fisicaaplicada fisicacomputacional biomoleculares fisicamedica biofotonica cancer mercadofinanceiro</t>
  </si>
  <si>
    <t>mercadofinanceiro mercadoamericano mercadobrasileiro wagnergeremia investimento valuation ações fundosinvestimentos</t>
  </si>
  <si>
    <t>mercadofinanceiro mercadoamericano mercadobrasileiro wagnergeremia investimento valuation ações fundosinvestimentos tesourodireto rendafixa rendimentos</t>
  </si>
  <si>
    <t>economia macroeconomia financas</t>
  </si>
  <si>
    <t>vagas mercadofinanceiro mercadodecapitais carreira</t>
  </si>
  <si>
    <t>justiciafiscalfeminista justiciafiscal feminista macroeconomía clima digitalización democracia</t>
  </si>
  <si>
    <t>economia finanças investimentos dinheiro negócios mercadofinanceiro gestãofinanceira educaçãofinanceira empreendedorismo planejamentofinanceiro crescimentoeconômico</t>
  </si>
  <si>
    <t>finance liberdadefinanceira personalfinance mercadofinanceiro finances educacaofinanceira independenciafinanceira planejamentofinanceiro refinance sucessofinanceiro financeiro financetips inteligenciafinanceira gestaofinanceira carfinance</t>
  </si>
  <si>
    <t>pdtc3 padtec mercadofinanceiro</t>
  </si>
  <si>
    <t>padtec mercadofinanceiro acoes</t>
  </si>
  <si>
    <t>mercadofinanceiro eua investimento</t>
  </si>
  <si>
    <t>economia bolsadevalores taxadejuros investimentos eua mercadofinanceiro</t>
  </si>
  <si>
    <t>rbinvestimentos mercadofinanceiro estudiosflow flownews tamercomunicacao</t>
  </si>
  <si>
    <t>economia macroeconomia bancocentral juros</t>
  </si>
  <si>
    <t>dívida empréstimo investimento economia macroeconomia dinheiro</t>
  </si>
  <si>
    <t>enocomia macroeconomia aeroportogaleão finanças</t>
  </si>
  <si>
    <t>gold oro macroeconomía</t>
  </si>
  <si>
    <t>kinvo pistaskinvo investimentos mercadofinanceiro</t>
  </si>
  <si>
    <t>world brasil economy economia mercadofinanceiro</t>
  </si>
  <si>
    <t>mercadofinanceiro mercadodecapitais</t>
  </si>
  <si>
    <t>mercadofinanceiro bitcoin</t>
  </si>
  <si>
    <t>mercadodecapitais mercadofinanceiro bitcoin</t>
  </si>
  <si>
    <t>tradingtips trading tradingmotivation economíasustentable intags tradingcrypto tradingstrategy swingtrading daytrading intradaytrading cryptotrading bitcointrading macroeconomía fxtrading forextrading goldtrading tradinggold economía tradingforex</t>
  </si>
  <si>
    <t>problemas macroeconomía frágil fiesta</t>
  </si>
  <si>
    <t>magíndíaz macroeconomía finanzaspúblicas economia crecimientoeconomico republicadominicana</t>
  </si>
  <si>
    <t>mercadofinanceiro newharbour fusoeseaquisicoes tech</t>
  </si>
  <si>
    <t>economia fed mercadofinanceiro emprego varejo</t>
  </si>
  <si>
    <t>ipca pib selic dolar mercadofinanceiro investimentos inflação</t>
  </si>
  <si>
    <t>ipca pib selic dolar mercadofinanceiro</t>
  </si>
  <si>
    <t>mercadofinanceiro investimentos inflação bancocentral fgv bolsadevalores fyp trending</t>
  </si>
  <si>
    <t>ibovespa investimento ações mercadofinanceiro bolsadevalores</t>
  </si>
  <si>
    <t>witinvest morningcall noticias mercadofinanceiro economia indicadores brasil mundo taxasdejuros bolsadevalores investimentos</t>
  </si>
  <si>
    <t>investimentos noticias mercadofinanceiro witinvest assessoria morningcall economia indicadores bolsadevalores</t>
  </si>
  <si>
    <t>witinvest morningcall noticias relevantes mercadofinanceiro investimentos rentabilidade bolsadevalores taxadejuros economia indicadores</t>
  </si>
  <si>
    <t>morningcall witinvest noticias mercadofinanceiro economia taxadejuros copom selic news investimentos</t>
  </si>
  <si>
    <t>morningcall podcast noticias news investimentos assessoria witinvest xp economia mercadofinanceiro indicadores</t>
  </si>
  <si>
    <t>witinvest noticias mercadofinanceiro economia taxadejuros selic copom bolsadevalores investimentos</t>
  </si>
  <si>
    <t>morningcall witinvest assessoria investimentos noticias news economia bolsadevalores copom taxadejuros selic mercadofinanceiro</t>
  </si>
  <si>
    <t>morningcall witinvest investimentos noticias mercadofinanceiro indicadores resultados bolsadevalores taxadejuros</t>
  </si>
  <si>
    <t>witinvest morningcall noticias mercadofinanceiro brasil mundo economia news investimentos</t>
  </si>
  <si>
    <t>witinvest mercadofinanceiro notícias news brasil mundo fed taxadejuros indicadores resultados investimentos</t>
  </si>
  <si>
    <t>morningcall witinvest noticias mercadofinanceiro economia brasil mundo indicadores bolsadevalores investimentos</t>
  </si>
  <si>
    <t>witinvest morningcall noticias mercadofinanceiro economia investimentos indicadores</t>
  </si>
  <si>
    <t>witinvest morningcall noticias mercadofinanceiro brasil mundo economia news bolsadevalores indicadores informacao</t>
  </si>
  <si>
    <t>witinvest mercadofinanceiro noticias resumo morningcall news brasil mundo investimentos taxadejuros bolsadevalores</t>
  </si>
  <si>
    <t>morningcall witinvest notícias news mercadofinanceiro economia news indicadores bolsadevalores investimentos</t>
  </si>
  <si>
    <t>witinvest noticias mercadofinanceiro bolsadevalores economia indicadores investimentos morningcall</t>
  </si>
  <si>
    <t>witinvest morningcall noticias mercadofinanceiro investimentos global mercados economia indicadores bolsadevalores</t>
  </si>
  <si>
    <t>witinvest morningcall noticias mercadofinanceiro brasil mundo economia news bolsadevalores superquarta copom fomc taxadejuros selic</t>
  </si>
  <si>
    <t>witinvest assessoriadeinvestimentos morningcall mercadofinanceiro noticias economia indicadores resultados investimentos</t>
  </si>
  <si>
    <t>mercadofinanceiro bitcoin btc ethereum trading tradingsignals criptomoedas</t>
  </si>
  <si>
    <t>macroeconomía argentina políticamonetaria políticafiscal</t>
  </si>
  <si>
    <t>empreendedorismo mercado mercadofinanceiro bolsadevalores negocios</t>
  </si>
  <si>
    <t>daytrade lucyscientific stockmarket finance trading mercadofinanceiro forextrading</t>
  </si>
  <si>
    <t>investir investimento ações mercadofinanceiro ativos renda educaçãofinanceira</t>
  </si>
  <si>
    <t>dinheiro economia investimentos ativos ações educaçãofinanceira rendapassiva mercadofinanceiro bolsadevalores</t>
  </si>
  <si>
    <t>trading loss mercadofinanceiro</t>
  </si>
  <si>
    <t>economia governo macroeconomia</t>
  </si>
  <si>
    <t>mooc macroeconomía urjcx online gratis</t>
  </si>
  <si>
    <t>economía mooc macroeconomía urjcx online gratis</t>
  </si>
  <si>
    <t>mooc macroeconomía online gratis urjcx economía</t>
  </si>
  <si>
    <t>bbse3 bbseguridade ibovespa finance earningsseason daytrader insurance brasil mercadofinanceiro recession trading dolar emergingmarkets</t>
  </si>
  <si>
    <t>mercadofuturo mercadodeopções derivativos investimentos educaçãofinanceira finanças prosperidade prosperidadefinanceira liberdadefinanceira macroeconomia bolsadechicago mercadoamericano</t>
  </si>
  <si>
    <t>mercadofinanceiro mercadofuturo mercadodeopções derivativos investimentos educaçãofinanceira finanças prosperidade prosperidadefinanceira liberdadefinanceira macroeconomia</t>
  </si>
  <si>
    <t>mercadofinanceiro mercadofuturo mercadodeopções derivativos investimentos educaçãofinanceira finanças prosperidade prosperidadefinanceira liberdadefinanceira macroeconomia bolsadechicago mercadoamericano</t>
  </si>
  <si>
    <t>mercadodeopções derivativos investimentos educaçãofinanceira finanças prosperidade prosperidadefinanceira liberdadefinanceira macroeconomia bolsadechicago mercadoamericano</t>
  </si>
  <si>
    <t>investimentos educaçãofinanceira finanças prosperidade prosperidadefinanceira liberdadefinanceira macroeconomia bolsadechicago mercadoamericano</t>
  </si>
  <si>
    <t>mercadodeopções derivativos investimentos educaçãofinanceira finanças prosperidade prosperidadefinanceira liberdadefinanceira macroeconomia</t>
  </si>
  <si>
    <t>investimentos educaçãofinanceira finanças prosperidade prosperidadefinanceira liberdadefinanceira macroeconomia</t>
  </si>
  <si>
    <t>investimentos educaçãofinanceira finanças prosperidade prosperidadefinanceira liberdadefinanceira macroeconomia bolsadechicago mercadoamericano agrobrasil agronegocio</t>
  </si>
  <si>
    <t>planodetrading trading mercadofinanceiro gerenciamentoderisco stoploss controleemocional disciplina consistência estratégiasdetrading análisetécnica</t>
  </si>
  <si>
    <t>gestãoderisco trade trading stoploss alvosdelucro estratégia controleemocional regrado1porcento mercadofinanceiro traderlucrativo</t>
  </si>
  <si>
    <t>goldencross análisetécnica trading mercadofinanceiro investimentos gerenciamentoderisco comlucro</t>
  </si>
  <si>
    <t>deathcross cruzamentodamorte análisetécnica investimento médiasmóveis mercadofinanceiro reversãodetendência proteçãocontraquedas vendaadescoberto</t>
  </si>
  <si>
    <t>teoriadedow análisetécnica tendênciasdemercado princípiosdateoriadedow negociação investimento mercadofinanceiro charlesdow wallstreetjournal dowjones</t>
  </si>
  <si>
    <t>haramidealta candlestick padrãodereversão blackharami bullishharami compra confirmaçãodepadrão análisetécnica mercadofinanceiro operaçõesdetrading padrãocandlestick comlucro</t>
  </si>
  <si>
    <t>estrelacadente shootingstar padrãodereversão análisetécnica mercadofinanceiro gráficodecandlestick padrãodereversãobaixista pressãovendedora pressãocompradora tendênciadealta correçãodebaixa</t>
  </si>
  <si>
    <t>candlestick candle análisetécnica trader mercadofinanceiro padrõesdecandlestick açãodopreço gráficos</t>
  </si>
  <si>
    <t>candlestick candle análisetécnica trader mercadofinanceiro padrõesdecandlestick açãodopreço</t>
  </si>
  <si>
    <t>profitdanelogica trading análisetécnica mercadofinanceiro corretoradevalores educaçãofinanceira investimentos bolsadevalores trader comlucro</t>
  </si>
  <si>
    <t>gerenciamentoderisco profit nelogica trader mercadofinanceiro operaçõesperdedoras parâmetrosdegerenciamentoderisco</t>
  </si>
  <si>
    <t>morubozu candlestick análisetécnica trader mercadofinanceiro padrõesdecandlestick açãodopreço gráficos</t>
  </si>
  <si>
    <t>perfuracaodelinha piercingline candlestick análisetécnica trader mercadofinanceiro padrõesdecandlestick açãodopreço gráficos</t>
  </si>
  <si>
    <t>nuvemnegra darkcloud candlestick análisetécnica trader mercadofinanceiro padrõesdecandlestick açãodopreço gráficos</t>
  </si>
  <si>
    <t>padrõesdereversão candlestick análisetécnica negociaçõesfinanceiras mercadofinanceiro</t>
  </si>
  <si>
    <t>candlestick exaustão análisetécnica mercadofinanceiro tendência volumedenegociações</t>
  </si>
  <si>
    <t>peterlynch investimentos mercadofinanceiro fidelitymagellan estratégiasdeinvestimento longoprazo filantropia educaçãofinanceira livrosdeinvestimentos comlucro</t>
  </si>
  <si>
    <t>investimentos peterlynch oneuponwallstreet ações mercadofinanceiro estratégiasdeinvestimento gerenciamentoderisco dicasdeações crescimentodeempresas diversificações taxasdecrescimento dívidasefalências</t>
  </si>
  <si>
    <t>bebêabandonadodebaixa padrãocandlestick trading investimentos mercadofinanceiro candlestick tendênciaalta tendênciabaixa</t>
  </si>
  <si>
    <t>pinçadefundo tweezerbottom análisetécnica padrõesdereversão candlestick negociação investimento mercadofinanceiro gerenciamentoderisco zonadesuporte</t>
  </si>
  <si>
    <t>candlestick gapdebaixa análisetécnica trading mercadofinanceiro</t>
  </si>
  <si>
    <t>psicologiadoscandles fasededistribuição análisetécnica trading mercadofinanceiro investimentos tendênciadealta pressãovendedora gerenciamentoderisco candlestick</t>
  </si>
  <si>
    <t>psicologiadoscandles fasededesaceleração fasedeenfraquecimento mercadofinanceiro tendênciadealta tendênciadebaixa</t>
  </si>
  <si>
    <t>indicadorobv obv onbalancevolume análisetécnica trading mercadofinanceiro trader investidor tendências divergências volumedenegociação</t>
  </si>
  <si>
    <t>haramidebaixaemcruz harami padrãodereversão candlestick tendênciadealta tendênciadebaixa mercadofinanceiro padrãodoji gerenciamentoderisco petrobras bradesco</t>
  </si>
  <si>
    <t>haramidebaixa harami padrãodereversão candlestick análisetécnica trading mercadofinanceiro padrãobearish sextou coinbase</t>
  </si>
  <si>
    <t>haramidealtaemcruz padrãodereversão candlestick padrãoaltista análisegráfica trading mercadofinanceiro petrobras</t>
  </si>
  <si>
    <t>bulltrap armadilhadetouros trader mercadofinanceiro estratégiasdenegociação lucroconsistente</t>
  </si>
  <si>
    <t>beartrap armadilhadeurso trader mercadofinanceiro estratégiasdenegociação lucroconsistente</t>
  </si>
  <si>
    <t>candlestick matholddealta análisetécnica tendênciadealta padrãodecontinuação traders mercadofinanceiro</t>
  </si>
  <si>
    <t>candlestick trêspordentrodealta análisetécnica trading mercadofinanceiro comlucro investimento</t>
  </si>
  <si>
    <t>candlestick linhadecontraataquedebaixa trading mercadofinanceiro análisetécnica</t>
  </si>
  <si>
    <t>psicologiadoscandles fasedeacumulação mercadofinanceiro análisetécnica candlestick</t>
  </si>
  <si>
    <t>positiontrader tradingdeposição lucroconsistente mercadofinanceiro análisefundamental análisetécnica estratégia</t>
  </si>
  <si>
    <t>daytrader daytrading operaçõesintradiárias mercadofinanceiro lucroconsistente análisetécnica gestãoderisco habilidadesdetrading disciplinaemocional independênciafinanceira riscosfinanceiros</t>
  </si>
  <si>
    <t>scalper traderscalper mercadofinanceiro trading scalping análisetécnica curtoprazo habilidades riscos benefícios livros plataformadenegociação</t>
  </si>
  <si>
    <t>volumeprofile análisetécnica mercadofinanceiro trading indicadorestécnicos comlucro</t>
  </si>
  <si>
    <t>candlestick matholddebaixa análisetécnica trading padrõesdecandlestick bearishmathold mercadofinanceiro</t>
  </si>
  <si>
    <t>candlestick linhadeseparaçãodealta análisetécnica trading mercadofinanceiro itaú fintwit traders investimentos</t>
  </si>
  <si>
    <t>gapdebaixadetasuki análisetécnica trading mercadofinanceiro comlucro educaçãofinanceira padrãocandlestick itaú fintwit trader investimentos</t>
  </si>
  <si>
    <t>gapdealtadetasuki candlestick análisetécnica comlucro trading mercadofinanceiro itaú trader fintwit</t>
  </si>
  <si>
    <t>negociação mercadofinanceiro trader controleemocional gerenciamentoderisco estratégias aprendizado livros comlucro traderlucrativo finnifty itaú</t>
  </si>
  <si>
    <t>volatilidade trading garch opções risco correlação comlucro mercadofinanceiro educaçãofinanceira investimentos</t>
  </si>
  <si>
    <t>trading perdas drawdowns gerenciamentoderisco mercadofinanceiro investimentos diversificação resiliênciaemocional controleemocional bufferfinanceiro</t>
  </si>
  <si>
    <t>análisetécnica mercadofinanceiro investimentos trader análisedepreços gráficos indicadores tendências estratégias gestãoderisco comlucro sucessonomercadofinanceiro</t>
  </si>
  <si>
    <t>acumulaçãodistribuição indicadortécnico análisedevolume trading mercadofinanceiro petrobras vale itaú ibovespa</t>
  </si>
  <si>
    <t>williamsr análisetécnica trading mercadofinanceiro indicadorestécnicos petrobras vale itaú ibovespa</t>
  </si>
  <si>
    <t>osciladordevolume volumeoscillator indicadorestécnicos médiasmóveis mercadofinanceiro trading tendências ibovespa petrobras itaú</t>
  </si>
  <si>
    <t>gráficosdecandlestick análisetécnica trading mercadofinanceiro munehisahomma stevenison metatrader4 tradingview ninjatrader</t>
  </si>
  <si>
    <t>psicologiadoscandles fasedeaceleração fasedefortalecimento candledeforça mercadofinanceiro trading análisedegráficos</t>
  </si>
  <si>
    <t>candlestick análisetécnica mercadofinanceiro tendências investimento trader comlucro</t>
  </si>
  <si>
    <t>psicologiadoscandles candlestick análisetécnica mercadofinanceiro trader comlucro</t>
  </si>
  <si>
    <t>volatilidadeimplícita blackscholes opções precificação trader mercadofinanceiro comlucro investimentos educaçãofinanceira trading petrobras itaú</t>
  </si>
  <si>
    <t>volatilidadehistórica comlucro mercadofinanceiro desviopadrão negociação risco aprendizado traderlucrativo análisederegressão volatilidadeimplícita petr4 itaú</t>
  </si>
  <si>
    <t>chaikinmoneyflow indicadortécnico trading análisetécnica fluxodedinheiro pressãodecompra pressãodevenda mercadofinanceiro</t>
  </si>
  <si>
    <t>sarparabólico indicadortécnico tendências trading mercadofinanceiro comlucro</t>
  </si>
  <si>
    <t>supertrend indicadorestécnicos trading mercadofinanceiro análisetécnica tendências</t>
  </si>
  <si>
    <t>adx averagedirectionalindex indicadortécnico análisetécnica mercadofinanceiro trading tendências comlucro</t>
  </si>
  <si>
    <t>daytrade lucratividade pesquisafgv mercadofinanceiro estratégias análisetécnica comlucro petrobras itau vale ibovespa</t>
  </si>
  <si>
    <t>enforcado hangingman candlestick padrãodereversão análisetécnica negociação tendênciadebaixa mercadofinanceiro gráficodecandlestick padrãodereversãobaixista pressãovendedora</t>
  </si>
  <si>
    <t>doji dojiestreladebaixa bearishdojistar padrãodereversão candlestick mercadofinanceiro trading comlucro trader trading</t>
  </si>
  <si>
    <t>marketwizards regrasdetrading mikewebster mercadofinanceiro dicasdetraders comlucro trading mercadofinanceiro trader</t>
  </si>
  <si>
    <t>indicadortécnico tendência preçovolume análisetécnica trading mercadofinanceiro</t>
  </si>
  <si>
    <t>aroonoscillator indicadortécnico tendências trading mercadofinanceiro análisetécnica comlucro investimentos trading trader</t>
  </si>
  <si>
    <t>índicedevolatilidade vix sp500 volatilidadeimplícita mercadofinanceiro análisetécnica traders indicadorestécnicos investimentos petrobras itau trader</t>
  </si>
  <si>
    <t>osciladorchaikin trading indicadortécnico mercadofinanceiro análisetécnica médiamóvelexponencial acumulaçãodistribuição ibovespa petrobras trader</t>
  </si>
  <si>
    <t>candlestick chutedealta bullishkicking padrãodereversãoaltista marubozu mercadofinanceiro análisegráfica gap forçacompradora investimento</t>
  </si>
  <si>
    <t>comlucro trader trading investimentos ibovespa fintwit mercadofinanceiro daytrade swingtrade análisetécnica mentalidade crenças estratégia risco recompensa disciplina consistência objetividade preparação</t>
  </si>
  <si>
    <t>dojiquatropreços análisetécnica candlestick mercadofinanceiro padrãodereversão gerenciamentoderisco ações criptomoedas</t>
  </si>
  <si>
    <t>dojipernaslongas candlestick análisetécnica mercadofinanceiro padrãodereversão gerenciamentoderisco negociação</t>
  </si>
  <si>
    <t>mentalidadenotrading mercadofinanceiro estratégiasdetrading mentalidaderica mentalidadepobre aprendizadonotrading decisõesfinanceiras canalcomlucro tradingparainiciantes sucessonotrading</t>
  </si>
  <si>
    <t>janeladealta candlestick análisetécnica trading mercadofinanceiro padrõesdecandlestick comlucro trader investimentos petrobras itaú</t>
  </si>
  <si>
    <t>janeladebaixa candlestick análisetécnica trading mercadofinanceiro comlucro educaçãofinanceira trader investimentos petrobras itaú</t>
  </si>
  <si>
    <t>índicedemomento análisetécnica mercadofinanceiro trading gestãoderisco controleemocional traderlucrativo</t>
  </si>
  <si>
    <t>bandeiradealta bullishflag mercadofinanceiro análisetécnica padrõesgráficos rompimento consolidação volume osciladores comlucro trader trading investimentos fintwit</t>
  </si>
  <si>
    <t>doji padrãodojiestreladealta candlestick mercadofinanceiro comlucro</t>
  </si>
  <si>
    <t>análisetécnica tradingdesucesso padrõesdegráfico mercadofinanceiro traderlucrativo análisedetendências gerenciamentoderisco comlucro dicasparatraders investimentos bolsadevalores</t>
  </si>
  <si>
    <t>stoploss gerenciamentoderiscos proteçãodecapital investimentos estratégiasdeinvestimento volatilidade trailingstop gapsdepreço retornonecessário mercadofinanceiro ibovespa petrobras</t>
  </si>
  <si>
    <t>trader emoções operações mercadofinanceiro controleemocional gerenciamentoderisco medo ganância esperança</t>
  </si>
  <si>
    <t>warrenbuffett investimentos berkshirehathaway valueinvesting filantropia trader mercadofinanceiro sucessofinanceiro aprendercombuffett comlucro traderlucrativo</t>
  </si>
  <si>
    <t>commodities investimentos warrenbuffett mercadofinanceiro paciêncianoinvestimento vantagenscompetitivas ciclosdealta comlucro educaçãofinanceira</t>
  </si>
  <si>
    <t>métododewyckoff abreviações análisetécnica compositeman trader mercadofinanceiro análisedemercado comlucro tendênciadealta tendênciadebaixa acumulação distribuição diagramasdewyckoff aprendizadofinanceiro</t>
  </si>
  <si>
    <t>sqia3 mercadofinanceiro dolar b3 gain daytrading swingtrading analisegraficadagi</t>
  </si>
  <si>
    <t>economia negóciosefinanças bolsa macroeconomia</t>
  </si>
  <si>
    <t>economia macroeconomia conjuntura negociosefinanças</t>
  </si>
  <si>
    <t>economia macroeconomia negociosefinanças mercadodívida</t>
  </si>
  <si>
    <t>thiagonigro pauloguedes economia mercadofinanceiro</t>
  </si>
  <si>
    <t>finanzas macroeconomia criptomonedas btc irracional cisnenegro</t>
  </si>
  <si>
    <t>halving bitcoin bullmarket mercadofinanceiro</t>
  </si>
  <si>
    <t>setorenergético energiarenovável brasil investimentos mercadofinanceiro</t>
  </si>
  <si>
    <t>showbusiness</t>
  </si>
  <si>
    <t>bolsadevalores mercadocambiario ibovespa mercadofinanceiro tryd nelogica</t>
  </si>
  <si>
    <t>jeitogondim gondimadv evento mercadofinanceiro</t>
  </si>
  <si>
    <t>mercadofinanceiro ibov</t>
  </si>
  <si>
    <t>bookingcom mercadofinanceiro</t>
  </si>
  <si>
    <t>mercadofinanceiro fintwit</t>
  </si>
  <si>
    <t>independenciafinanciera dinero mercadofinanceiro</t>
  </si>
  <si>
    <t>winv23 wdov23 b3 thautobot dinheiro robos bolsadevalores sucesso daytrader daytrade cm mercadofinanceiro bmf investimentos traderlife bovespa tophedger trader</t>
  </si>
  <si>
    <t>ciclieconomici macroeconomia</t>
  </si>
  <si>
    <t>b3 eua asia economia inflação mercadofinanceiro bolsadevalores</t>
  </si>
  <si>
    <t>dolar inflação eua bc b3 mercadofinanceiro</t>
  </si>
  <si>
    <t>dolar investidores b3 mercadofinanceiro juros</t>
  </si>
  <si>
    <t>moeda dolar mercadofinanceiro ibovespa europa balanço</t>
  </si>
  <si>
    <t>dolar moeda eua bc mercadofinanceiro</t>
  </si>
  <si>
    <t>dolar mercadofinanceiro b3 investidores bolsadevalores</t>
  </si>
  <si>
    <t>cambio b3 mercadofinanceiro investidores bolsas</t>
  </si>
  <si>
    <t>investidores juros mercadofinanceiro bolsas china eua</t>
  </si>
  <si>
    <t>b3 ibovespa dolar mercadofinanceiro investidores juros</t>
  </si>
  <si>
    <t>b3 bolsas bc juros dolar mercadofinanceiro europa</t>
  </si>
  <si>
    <t>ibovespa ações mercadofinanceiro asia juros bolsas europa</t>
  </si>
  <si>
    <t>dolar b3 bolsas mercadofinanceiro investidores eua</t>
  </si>
  <si>
    <t>b3 dolar economia inflação mercadofinanceiro</t>
  </si>
  <si>
    <t>b3 juros inflação mercadofinanceiro ibovespa</t>
  </si>
  <si>
    <t>b3 investidores mercadofinanceiro cambio juros</t>
  </si>
  <si>
    <t>b3 ibovespa mercadofinanceiro bolsa investidores cambio dolar</t>
  </si>
  <si>
    <t>mercadofinanceiro b3 dolar juros investidores moedas</t>
  </si>
  <si>
    <t>b3 mercadofinanceiro bolsas dolar eua reservacambial</t>
  </si>
  <si>
    <t>b3 investidores mercadofinanceiro europa juros ibovespa</t>
  </si>
  <si>
    <t>dolar juros mercadofinanceiro b3 investidores alemanha</t>
  </si>
  <si>
    <t>b3 juros inflação mercadofinanceiro investidores moedas</t>
  </si>
  <si>
    <t>b3 mercadofinanceiro açoes investidores china inflação</t>
  </si>
  <si>
    <t>dolar b3 mercadofinanceiro inflação asia</t>
  </si>
  <si>
    <t>b3 mercadofinanceiro inflação investidores ipca15</t>
  </si>
  <si>
    <t>dolar b3 investidores mercadofinanceiro mexico pib inflação</t>
  </si>
  <si>
    <t>b3 dolar mercadofinanceiro investidores economia federalreserve inflação</t>
  </si>
  <si>
    <t>b3 investidores juros cambio bolsadevalores europa mercadofinanceiro</t>
  </si>
  <si>
    <t>indices b3 mercadofinanceiro setorimobiliário economia euro inflaçao ibovespa</t>
  </si>
  <si>
    <t>cambio b3 mercadofinanceiro dolar investidores alemanha eua</t>
  </si>
  <si>
    <t>dolar mercadofinanceiro b3 investidores bancocentral</t>
  </si>
  <si>
    <t>b3 bolsadevalores mercadofinanceiro investidores eua asia ibovespa</t>
  </si>
  <si>
    <t>cambio mercadofinanceiro investidores euro pmi juros inflação</t>
  </si>
  <si>
    <t>dolar mercadofinanceiro bolsas b3 bancocentral cambio</t>
  </si>
  <si>
    <t>dolar mercadofinanceiro ibovespa investidores juros inflação</t>
  </si>
  <si>
    <t>bolsas cpi eua asia b3 ibovespa mercadofinanceiro europa</t>
  </si>
  <si>
    <t>dolar investidores ptax b3 açoe inflação mercadofinanceiro</t>
  </si>
  <si>
    <t>cambio b3 mercadofinanceiro juros investidores ipca15</t>
  </si>
  <si>
    <t>b3 mercadofinanceiro investidores índices inflação ibovespa</t>
  </si>
  <si>
    <t>cambio mercadofinanceiro japao moeda economia reservacambial</t>
  </si>
  <si>
    <t>dolar investidores cambio mercadofinanceiro b3</t>
  </si>
  <si>
    <t>dolar mercadofinanceiro investidores inflação fed</t>
  </si>
  <si>
    <t>fed ibovespa mercadofinanceiro investidores selic inflação</t>
  </si>
  <si>
    <t>dolar mercadofinanceiro juros inflação bc fed investidores</t>
  </si>
  <si>
    <t>ibovespa bc taxadejuros mercadofinanceiro investidores b3</t>
  </si>
  <si>
    <t>dolar mercadofinanceiro investidores bolsas moedas</t>
  </si>
  <si>
    <t>b3 mercadofinanceiro investidores fed asia indice juros inflação</t>
  </si>
  <si>
    <t>b3 dolar inflação juros mercadofinanceiro investidores</t>
  </si>
  <si>
    <t>b3 bolsas juros investidores inflação ipca asia eua europa mercadofinanceiro</t>
  </si>
  <si>
    <t>dolar investidores economia inflação ipca eua mercadofinanceiro</t>
  </si>
  <si>
    <t>dolar mercadofinanceiro bolsas investidores inflação eua</t>
  </si>
  <si>
    <t>dolar investidores b3 mercadofinanceiro bancocentral</t>
  </si>
  <si>
    <t>ibovespa mercadofinanceiro dolar inflação investidores pce</t>
  </si>
  <si>
    <t>cambio mercadofinanceiro investidores juros inflaçao</t>
  </si>
  <si>
    <t>ibovespa dolar juros mercadofinanceiro investidores</t>
  </si>
  <si>
    <t>cambio b3 mercadofinanceiro investidores inflaçao juros</t>
  </si>
  <si>
    <t>cambio mercadofinanceiro inflação juros investidores</t>
  </si>
  <si>
    <t>ibovespa juros mercadofinanceiro investidores inflação</t>
  </si>
  <si>
    <t>cambio mercadofinanceiro inflação juros ações</t>
  </si>
  <si>
    <t>dolar mercadofinanceiro investidores fed juros</t>
  </si>
  <si>
    <t>dolar mercadofinanceiro inflação economia eua b3 investidores</t>
  </si>
  <si>
    <t>cpieua ibovespa mercadofinanceiro juros inflação bolsas</t>
  </si>
  <si>
    <t>dolar inflação mercadofinanceiro investidores eua</t>
  </si>
  <si>
    <t>dolar moeda b3 mercadofinanceiro investidores juros</t>
  </si>
  <si>
    <t>inflação mercadofinanceiro juros moeda ibovespa asia europa eua</t>
  </si>
  <si>
    <t>ibovespa investidores pib fed petroleo taxadejuros mercadofinanceiro</t>
  </si>
  <si>
    <t>ibovespa moedas mercadofinanceiro juros inflação</t>
  </si>
  <si>
    <t>dolar mercadofinanceiro inflação investidores juros</t>
  </si>
  <si>
    <t>mercadofinanceiro b3 economiaamericana bc inflação ibovespa</t>
  </si>
  <si>
    <t>cambio b3 mercadofinanceiro dolar juros inflação</t>
  </si>
  <si>
    <t>commodities b3 juros açoes investidores europa mercadofinanceiro</t>
  </si>
  <si>
    <t>b3 juros mercadofinanceiro inflação eua investidores</t>
  </si>
  <si>
    <t>b3 dolar inflação bc mercadofinanceiro investidores</t>
  </si>
  <si>
    <t>daytrade miniindice mercadofinanceiro trade wdo forex</t>
  </si>
  <si>
    <t>economia mercadofinanceiro investimentos impactoeconômico</t>
  </si>
  <si>
    <t>mercadofinanceiro icl eduardomoreira embrulhasemroteiro</t>
  </si>
  <si>
    <t>mercadofinanceiro acoes opcoes</t>
  </si>
  <si>
    <t>macroeconomía trm</t>
  </si>
  <si>
    <t>macroeconomía trm 13congresoamf</t>
  </si>
  <si>
    <t>macroeconomía fonpet</t>
  </si>
  <si>
    <t>emprendedores negociosdigitales trading mercadofinanceiro doctops mined</t>
  </si>
  <si>
    <t>gobierno feijoo pedrosanchez pge macroeconomía</t>
  </si>
  <si>
    <t>mercadofinanceiro daytrading quotex traderbrasil binaryoptionstrading traderlifestyle torneio gratissss freestyle dinheiroonline din</t>
  </si>
  <si>
    <t>criptoativos economiadigital mercadofinanceiro mercadobitcoin bitcoinbrasil btcusd ethereumnews bitcoinnews staking</t>
  </si>
  <si>
    <t>tradingview trading mercadofinanceiro plataforma</t>
  </si>
  <si>
    <t>พี่กบ memes noticias benbvolliefde salmonmabardibalikpapan อิงล็อต ปิ่นภักดิ์ zoeira nftcommunity nfts nftartists kkkk brasileirão mercadofinanceiro mercadocampesino mercado farmacia curadepressao</t>
  </si>
  <si>
    <t>petróleo energia mercadofinanceiro</t>
  </si>
  <si>
    <t>bitcoinetf mercadofinanceiro</t>
  </si>
  <si>
    <t>macroeconomía criptomercado criptoinversores invertir criptoactivos</t>
  </si>
  <si>
    <t>lsdi trading mercadofinanceiro forextradin</t>
  </si>
  <si>
    <t>trade trading mercadofinanceiro acoes indices ftmo</t>
  </si>
  <si>
    <t>petr4 vale3</t>
  </si>
  <si>
    <t>mercadofinanceiro valoretrending</t>
  </si>
  <si>
    <t>macroeconomía informalidad exclusión pobreza</t>
  </si>
  <si>
    <t>riesgos macroeconomía talóndeaquiles</t>
  </si>
  <si>
    <t>mercadofinanceiro forex</t>
  </si>
  <si>
    <t>merval acciones byma inversiones mercadofinanceiro</t>
  </si>
  <si>
    <t>sae prm yocreoenti estamoscambiando asuntoseconomicos economia yocreoenelprm macroeconomia</t>
  </si>
  <si>
    <t>macroeconomía pib</t>
  </si>
  <si>
    <t>mercadofinanceiro inflação selic taxadejuros</t>
  </si>
  <si>
    <t>economia dinheiro mercadofinanceiro dólar</t>
  </si>
  <si>
    <t>mercadofinanceiro opções derivativos investimentos trade</t>
  </si>
  <si>
    <t>mercadofinanceiro ibovespa inflação economia</t>
  </si>
  <si>
    <t>mercadofinanceiro investimentos crisefinanceira economia</t>
  </si>
  <si>
    <t>mercadofinanceiro investimento ações ibov</t>
  </si>
  <si>
    <t>taxadejuros selic bancocentral mercadofinanceiro economia</t>
  </si>
  <si>
    <t>mercadofinanceiro ibovespa bova11 investimentos economia</t>
  </si>
  <si>
    <t>mercadofinanceiro investimento ibovespa</t>
  </si>
  <si>
    <t>mercadofinanceiro investimentos resultados balanços</t>
  </si>
  <si>
    <t>investimentos jcp jurossobrecapitalproprio mercadofinanceiro economia</t>
  </si>
  <si>
    <t>ibovespa mercadofinanceiro</t>
  </si>
  <si>
    <t>fundosdeinvestimentos multimercados mercadofinanceiro cdb investimentos</t>
  </si>
  <si>
    <t>investimentos mercadofinanceiro economia</t>
  </si>
  <si>
    <t>ibovespa investimentos mercadofinanceiro</t>
  </si>
  <si>
    <t>mercadofinanceiro investimentos ibovespa bova11 economia</t>
  </si>
  <si>
    <t>vale vale3 metais mercadofinanceiro</t>
  </si>
  <si>
    <t>ibovespa mercadofinanceiro economia</t>
  </si>
  <si>
    <t>mercadofinanceiro economia ibovespa petr3 petr4 vale3</t>
  </si>
  <si>
    <t>economia china mercadofinanceiro</t>
  </si>
  <si>
    <t>b3 investimentos mercadofinanceiro</t>
  </si>
  <si>
    <t>china fundosdeinvestimentos mercadofinanceiro</t>
  </si>
  <si>
    <t>economia mercadofinanceiro ibovespa</t>
  </si>
  <si>
    <t>mercadofinanceiro ibovespa ações rendavariavel</t>
  </si>
  <si>
    <t>criptoativos bitcoin mercadofinanceiro piramidefinanceira</t>
  </si>
  <si>
    <t>ibovespa bova11 mercadofinanceiro investimentos ações lucrocomações</t>
  </si>
  <si>
    <t>economia mercadofinanceiro dinheiro carf</t>
  </si>
  <si>
    <t>mercadofinanceiro investimentos ibovespa</t>
  </si>
  <si>
    <t>mercadofinanceiro opções ações bbas3 egie3 itub4</t>
  </si>
  <si>
    <t>mercadofinanceiro ibovespa investimentos</t>
  </si>
  <si>
    <t>rrrp3 3rpetroleum petroleo mercadofinanceiro</t>
  </si>
  <si>
    <t>dividendos petrobras novapolíticadividendos petr3 petr4 mercadofinanceiro</t>
  </si>
  <si>
    <t>finanças executivo bancos mercadofinanceiro gratidão motivação resiliência bancodigital</t>
  </si>
  <si>
    <t>sardinhadomercado mercadofinanceiro</t>
  </si>
  <si>
    <t>bitcoin btc altcoins criptomoedas mercadofinanceiro</t>
  </si>
  <si>
    <t>forexcomhermiltondias forex mercadofinanceiro finanças investimento investidor trader</t>
  </si>
  <si>
    <t>fed macroeconomía inflacion crypto</t>
  </si>
  <si>
    <t>bolsadevalores mercadofinanceiro</t>
  </si>
  <si>
    <t>lucyscientific mercadofinanceiro forextrading daytrading stocks</t>
  </si>
  <si>
    <t>resiliente macroeconomía</t>
  </si>
  <si>
    <t>inflación macroeconomía</t>
  </si>
  <si>
    <t>optimismo macroeconomía</t>
  </si>
  <si>
    <t>reivindicación macroeconomía</t>
  </si>
  <si>
    <t>deterioro macroeconomía</t>
  </si>
  <si>
    <t>estancamiento macroeconomía</t>
  </si>
  <si>
    <t>deuda macroeconomía</t>
  </si>
  <si>
    <t>triunfo macroeconomía</t>
  </si>
  <si>
    <t>estabilidad macroeconomía</t>
  </si>
  <si>
    <t>impresionante macroeconomía</t>
  </si>
  <si>
    <t>ineficiencia macroeconomía</t>
  </si>
  <si>
    <t>decepcionante macroeconomía</t>
  </si>
  <si>
    <t>recuperación macroeconomía</t>
  </si>
  <si>
    <t>monetaria macroeconomía</t>
  </si>
  <si>
    <t>economía macroeconomía</t>
  </si>
  <si>
    <t>crecimiento macroeconomía</t>
  </si>
  <si>
    <t>aplazamiento macroeconomía</t>
  </si>
  <si>
    <t>fortalecimiento macroeconomía</t>
  </si>
  <si>
    <t>retroceso macroeconomía</t>
  </si>
  <si>
    <t>contradicción macroeconomía</t>
  </si>
  <si>
    <t>contrastes macroeconomía</t>
  </si>
  <si>
    <t>contracción macroeconomía</t>
  </si>
  <si>
    <t>financiamiento macroeconomía</t>
  </si>
  <si>
    <t>alza macroeconomía</t>
  </si>
  <si>
    <t>desempleo macroeconomía</t>
  </si>
  <si>
    <t>estable macroeconomía</t>
  </si>
  <si>
    <t>compromiso macroeconomía</t>
  </si>
  <si>
    <t>preocupación macroeconomía</t>
  </si>
  <si>
    <t>luto macroeconomía</t>
  </si>
  <si>
    <t>taxaselic selic mercadofinanceiro</t>
  </si>
  <si>
    <t>dolar lula mercadofinanceiro brasil china nbnparaíba</t>
  </si>
  <si>
    <t>nuvem próximonível mercadofinanceiro cloud</t>
  </si>
  <si>
    <t>próximonível mercadofinanceiro tecnologia</t>
  </si>
  <si>
    <t>financeiras segurança próximonível mercadofinanceiro</t>
  </si>
  <si>
    <t>ia mercadofinanceiro</t>
  </si>
  <si>
    <t>omnichannel próximonível mercadofinanceiro</t>
  </si>
  <si>
    <t>próximonível analytics finanças mercadofinanceiro</t>
  </si>
  <si>
    <t>tips inversion ahorro mercadofinanceiro</t>
  </si>
  <si>
    <t>lalibertadavanza</t>
  </si>
  <si>
    <t>macroeconomía mileivillarruel2023</t>
  </si>
  <si>
    <t>crashs crisesfinanceiras economia banco falenciabancaria financas sistemafinanceiro macroeconomia valdemar</t>
  </si>
  <si>
    <t>juros investimentos china financas mercadofinanceiro dolar real</t>
  </si>
  <si>
    <t>juros economia hipoteca eua macroeconomia valdemar imobiliarias imoveis</t>
  </si>
  <si>
    <t>btc bitcoin eth criptomonedas cripto altcoins dinero graficas noticias oro plata youtube twitter instagram facebook tiktok inflacion recesion macroeconomia nft shorts youtubeshorts</t>
  </si>
  <si>
    <t>eth bitcoin ethereum criptomonedas cripto altcoins dinero graficas noticias oro plata youtube twitter instagram facebook tiktok inflacion recesion macroeconomia nft shorts youtubeshorts</t>
  </si>
  <si>
    <t>xrp bitcoin ethereum criptomonedas cripto altcoins dinero graficas noticias oro plata youtube twitter tiktok inflacion recesion macroeconomia nft shorts youtubeshorts xrpcommunity xrparmy</t>
  </si>
  <si>
    <t>escritoriofmc francel fmc investimentos mercadofinanceiro</t>
  </si>
  <si>
    <t>fmc escritoriofmc francel análisegráfica mercadofinanceiro investimentos</t>
  </si>
  <si>
    <t>fmc escritoriofmc francel mercadofinanceiro investimentos</t>
  </si>
  <si>
    <t>fmc escritoriofmc francel investimentos mercadofinanceiro</t>
  </si>
  <si>
    <t>fmc escritoriofmc francel mercadofinanceiro</t>
  </si>
  <si>
    <t>fmc escritoriofmc francel investimento mercadofinanceiro</t>
  </si>
  <si>
    <t>felizmartes gobiernodelcambio macroeconomía</t>
  </si>
  <si>
    <t>petróleo mercadofinanceiro</t>
  </si>
  <si>
    <t>inflação mercadofinanceiro</t>
  </si>
  <si>
    <t>europa mercadofinanceiro</t>
  </si>
  <si>
    <t>mercadofinanceiro bolsasasiáticas</t>
  </si>
  <si>
    <t>selic mercadofinanceiro</t>
  </si>
  <si>
    <t>ibovespa mercadofinanceiro ações</t>
  </si>
  <si>
    <t>nassimtaleb mercadofinanceiro iludidospeloacaso</t>
  </si>
  <si>
    <t>expertxp2023 mercadofinanceiro xpinvestimentos gama</t>
  </si>
  <si>
    <t>spx spy qqq nasdaq futuros mercadoamericano mercadofinanceiro vix ibov</t>
  </si>
  <si>
    <t>recesion inflacion deflacion macroeconomia politicamonetaria bancoscentrales subidadetipos tiposdeinteres economia entrevistas noticiasenespañol negociostv miguelluzarraga</t>
  </si>
  <si>
    <t>tiposdeinteres macroeconomia estadosunidos desempleo economia inflacion europa crisiseconomica noticiasenespañol livenews negociostv</t>
  </si>
  <si>
    <t>wallstreet bolsadevalores economia analisis analisisfinanciero eeuu mercadoeeuu crisis crisiseconomica crisisfinanciera analisisbolsa mercadofinanceiro negociostv</t>
  </si>
  <si>
    <t>analisis bolsadevalores ibex35 alemania eeuu macroeconomia indices bancos bmw mercados mercadosfinancieros acciones inversiones</t>
  </si>
  <si>
    <t>brics china inversiones mercados rupia jacksonhole rand macroeconomia mercadofinanceiro xtb bonos europa wallstreet negociostv</t>
  </si>
  <si>
    <t>powell fed subidadetipos jacksonhole reservafederal eeuu economia vizner bolsadevalores tiposdeinteres negociostv actualidad mercadofinanceiro</t>
  </si>
  <si>
    <t>tiposdeinteres subidadetipos mercados acciones rentavariable europa eeuu mercadofinanceiro finanzas economia comercio macroeconomía bolsadevalores negociostv noticiasenespañol</t>
  </si>
  <si>
    <t>wallstreet bancos eeuu empresas sectorbancario rating mercadofinanceiro bolsadevalores economia financiacion rentabilidad credito</t>
  </si>
  <si>
    <t>alemania inflacion economia pmi europa inversiones bolsadevalores mercados mercadofinanceiro analisisfinanciero crisis crisiseconomica</t>
  </si>
  <si>
    <t>bce subidadetipos industria europa macroeconomia inflacion bancoscentrales recortes ipp crisiseconomica crisisfinanciera noticiasenespañol livenews negociostv</t>
  </si>
  <si>
    <t>xtb china inversiones mercados mercadofinanceiro consumo europa inflacion ibex35 dax recesion italia negociostv noticiasenespañol</t>
  </si>
  <si>
    <t>recesion inflacion comercio china economia alemania eeuu acciones nvidia bolsadevalores mercados mercadofinanceiro negociostv noticiasenespañol</t>
  </si>
  <si>
    <t>china economíachina divisas mercadointernacional dólares capital mercadofinanceiro economia negocios vizner</t>
  </si>
  <si>
    <t>euribor telefónica economiachina telecom stc divisas arabiasaudi mercadofinanceiro tiposdeinteres negociostv</t>
  </si>
  <si>
    <t>inflacion tiposdeinteres subidadetipos economia bolsa rentafija precios macroeconomía rentavariable oferta demanda negociostv</t>
  </si>
  <si>
    <t>trading bolsadevalores oro bolsa china divisas mercados inversiones invertir iturralde mercadofinanceiro bolsadevalores</t>
  </si>
  <si>
    <t>basquete cestas mercadofinanceiro estrategiapassiva verdades investimentos</t>
  </si>
  <si>
    <t>investimentos agenteautônomo mercadofinanceiro coe diversificação rnainvest</t>
  </si>
  <si>
    <t>mercadofinanceiro trader trade daytrade swingtrade</t>
  </si>
  <si>
    <t>insight stoploss trader forex bovespa mercadofinanceiro</t>
  </si>
  <si>
    <t>insight takeprofit mercadofinanceiro trader forex bovespa iqoption</t>
  </si>
  <si>
    <t>mercadofinanceiro euro divisas fondosdeinversion noticiaeconomica</t>
  </si>
  <si>
    <t>yodacoinswap jedals criptomoedas batalhas vitórias sucesso inteligênciafinanceira resiliência comunidade evolução mercadofinanceiro</t>
  </si>
  <si>
    <t>likeforlike bitcoin mercadofinanceiro benbvolliefde prigozhin gamescom2023 thegirls</t>
  </si>
  <si>
    <t>investimento ativosdigitais hedge mercadofinanceiro</t>
  </si>
  <si>
    <t>mercadofinanceiro investimentos bolsadevalores trading mercadoacões rendavariável rendafixa estratégia empreendedorismo tokenizacao</t>
  </si>
  <si>
    <t>mercadofinanceiro investimentos bolsadevalores trading mercadoacões rendavariável rendafixa estratégia analisetécnica</t>
  </si>
  <si>
    <t>mercadofinanceiro investimentos bolsadevalores trading mercadoacões rendavariável rendafixa estratégia analisetécnica analisefundamentalista daytrade swingtrade investidor</t>
  </si>
  <si>
    <t>bitcoin nft blockchain research criptomoedas crypto mercadofinanceiro</t>
  </si>
  <si>
    <t>macroeconomia infox economia</t>
  </si>
  <si>
    <t>mercadofinanceiro bolsadevalores dólar wdo daytrade b3 trader tradeaovivo</t>
  </si>
  <si>
    <t>ações mercadofinanceiro empresas dividendos</t>
  </si>
  <si>
    <t>imóveis setorimobiliário mercadofinanceiro sp empresas</t>
  </si>
  <si>
    <t>swingtrade agronegocio mercadofinanceiro moneytimes</t>
  </si>
  <si>
    <t>ações mercadofinanceiro empresas ibovespa b3</t>
  </si>
  <si>
    <t>empresas mercadofinanceiro energia ações</t>
  </si>
  <si>
    <t>ações mercadofinanceiro empresas varejo b3</t>
  </si>
  <si>
    <t>ações empresas jcp copasa mercadofinanceiro</t>
  </si>
  <si>
    <t>mercadofinanceiro daytrader investimento leiamoneytimes</t>
  </si>
  <si>
    <t>petrobras empresas mercadofinanceiro</t>
  </si>
  <si>
    <t>ações mercadofinanceiro ibovespa empresas azul leiamoneytimes</t>
  </si>
  <si>
    <t>mercadofinanceiro ações b3 ibovespa</t>
  </si>
  <si>
    <t>ações mercadofinanceiro empresas b3 leiamoneytimes</t>
  </si>
  <si>
    <t>empresas irbr3 seguros mercadofinanceiro leiamoneytimes</t>
  </si>
  <si>
    <t>daytrader finanças mercadofinanceiro leiamoneytimes</t>
  </si>
  <si>
    <t>daytrader mercadofinanceiro finanças leiamoneytimes</t>
  </si>
  <si>
    <t>mercadofinanceiro ações selic copom leiamoneytimes juros</t>
  </si>
  <si>
    <t>ações jcp copel mercadofinanceiro leiamoneytimes</t>
  </si>
  <si>
    <t>ibovespa acoes mercadofinanceiro moneytimes</t>
  </si>
  <si>
    <t>imoveis mercadofinanceiro leilao leiamoneytimes</t>
  </si>
  <si>
    <t>ações mercadofinanceiro energia leiamoneytimes</t>
  </si>
  <si>
    <t>ações mercadofinanceiro leiamoneytimes</t>
  </si>
  <si>
    <t>ações ibovespa mercadofinanceiro b3 leiamoneytimes</t>
  </si>
  <si>
    <t>ações mercadofinanceiro vale csn mineração</t>
  </si>
  <si>
    <t>ibovespa daytrade mercadofinanceiro moneytimes</t>
  </si>
  <si>
    <t>ações mercadofinanceiro seguros empresas leiamoneytimes</t>
  </si>
  <si>
    <t>ações mercadofinanceiro empresas energia leiamoneytimes</t>
  </si>
  <si>
    <t>finanças mercadofinanceiro ações leiamoneytimes</t>
  </si>
  <si>
    <t>empresas saneamento sp sabesp mercadofinanceiro</t>
  </si>
  <si>
    <t>investimentos rendafixa mercadofinanceiro selic</t>
  </si>
  <si>
    <t>ações mercadofinanceiro bancos empresas</t>
  </si>
  <si>
    <t>ações mercadofinanceiro ibovespa casasbahia varejo</t>
  </si>
  <si>
    <t>dividendos ações mercadofinanceiro empresas b3</t>
  </si>
  <si>
    <t>economia mercadofinanceiro bc copom juros</t>
  </si>
  <si>
    <t>ações mercadofinanceiro empresas magazineluiza varejo leiamoneytimes</t>
  </si>
  <si>
    <t>mercadofinanceiro ibovespa b3 leiamoneytimes</t>
  </si>
  <si>
    <t>mercadofinanceiro ibovespa b3 ações leiamoneytimes</t>
  </si>
  <si>
    <t>ações mercadofinanceiro vale3 cmin3 mineração leiamoneytimes</t>
  </si>
  <si>
    <t>ibovespa acoes vale3 mercadofinanceiro moneytimes</t>
  </si>
  <si>
    <t>macroeconomia españa bce pymes crédito ue economia</t>
  </si>
  <si>
    <t>lodijoenpolíticamentecorrecto macroeconomía</t>
  </si>
  <si>
    <t>tecnologia ai criptomoedas bitcoin educação sistema investimento mercadofinanceiro liberdade prospero evolução livre</t>
  </si>
  <si>
    <t>macroeconomia 4t amlo macroeconomia 4t amlo beneficiados cirogomezl</t>
  </si>
  <si>
    <t>macroeconomia 4t amlo macroeconomia 4tdeamlo beneficiados cirogomezl</t>
  </si>
  <si>
    <t>macroeconomia 4t amlo cirogomezl macroeconomia 4t amlo beneficiados</t>
  </si>
  <si>
    <t>macroeconomia 4t amlo macroeconomia 4t amlo beneficiados</t>
  </si>
  <si>
    <t>economia haddad mercadofinanceiro política</t>
  </si>
  <si>
    <t>empresas economia mercadofinanceiro ipo</t>
  </si>
  <si>
    <t>agendademercado agendasemanal mercado b3 ações mercadofinanceiro finanças flj</t>
  </si>
  <si>
    <t>ações bolsadevalors b3 mercadofinanceiro</t>
  </si>
  <si>
    <t>agendademercado agendasemanal mercado b3 ações mercadofinanceiro finanças</t>
  </si>
  <si>
    <t>agendademercado mercado b3 ações mercadofinanceiro</t>
  </si>
  <si>
    <t>bitcoin criptomonedas ethereum cardano viral trading tendencia inversion altcoin parati fypシ economia macroeconomia recesion bybit binance kukoin bitget bingx</t>
  </si>
  <si>
    <t>xpinvestimentos boletimfocus platinuminvest mercadofinanceiro assessoria</t>
  </si>
  <si>
    <t>daytrade investidor mercadofinanceiro</t>
  </si>
  <si>
    <t>s6investimentos xpinvestimentos assessoriaxp investimentos assessoriadeinvestimentos investimentoseguro mercadofinanceiro copom</t>
  </si>
  <si>
    <t>datosmacro macroeconomía empleo nóminas</t>
  </si>
  <si>
    <t>mercadofinanceiro políticaeconômica lula</t>
  </si>
  <si>
    <t>mercadofinanceiro sextafeira cautela infogain</t>
  </si>
  <si>
    <t>producción ipi españa macroeconomics businessintelligence macroeconomia industria data ine</t>
  </si>
  <si>
    <t>castillayleon soria avila macroeconomia businessintelligence macroeconomics export comercioexterior icex</t>
  </si>
  <si>
    <t>leon agroalimentario castillayleon palencia macroeconomia businessintelligence macroeconomics export comercioexterior icex</t>
  </si>
  <si>
    <t>andalucia almeria macroeconomia businessintelligence macroeconomics empresas data ine</t>
  </si>
  <si>
    <t>andalucia sociedadesmercantiles cadiz macroeconomia businessintelligence macroeconomics empresas data ine</t>
  </si>
  <si>
    <t>indicedeproducciónindustrial ipi bienes andalucia macroeconomics businessintelligence macroeconomia industria data ine</t>
  </si>
  <si>
    <t>turistas castillayleon gasto macroeconomics businessintelligence macroeconomia turismo</t>
  </si>
  <si>
    <t>contratosregistrados castillayleon valladolid palencia macroeconomics businessintelligence macroeconomia temporalidad empleo data sepe</t>
  </si>
  <si>
    <t>ipc madrid ocio businessintelligence macroeconomia precios inflacion data consumo ine</t>
  </si>
  <si>
    <t>tasadeparo epa cadiz guipuzcoa macroeconomia businessintelligence macroeconomics data ine</t>
  </si>
  <si>
    <t>hipotecas españa macroeconomia businessintelligence macroeconomics vivienda data ine tipos</t>
  </si>
  <si>
    <t>canarias macroeconomics businessintelligence macroeconomia precios inflacion consumo data ine</t>
  </si>
  <si>
    <t>comunidadautonoma ipc navarra macroeconomics businessintelligence macroeconomia precios inflacion consumo data ine</t>
  </si>
  <si>
    <t>madrid sociedadesmercantiles españa macroeconomia businessintelligence macroeconomics empresas data ine</t>
  </si>
  <si>
    <t>ipc andalucia vestido macroeconomics businessintelligence macroeconomia precios inflacion data ine</t>
  </si>
  <si>
    <t>andalucia sociedadesmercantiles macroeconomia bi macroeconomics empresas data ine</t>
  </si>
  <si>
    <t>mayores45 contratos edadismo empleo macroeconomics macroeconomia businessintelligence paro data sepe</t>
  </si>
  <si>
    <t>ipi andalucia macroeconomics businessintelligence macroeconomia industria data ine</t>
  </si>
  <si>
    <t>exportaciones castillayleon francia macroeconomics businessintelligence macroeconomia export mercadosexteriores data comercio</t>
  </si>
  <si>
    <t>indicedeproduccionindustrial ipi bienes madrid macroeconomics businessintelligence macroeconomia industria data ine</t>
  </si>
  <si>
    <t>castillayleon ipc soria macroeconomics businessintelligence macroeconomia precios inflacion data consumo ine</t>
  </si>
  <si>
    <t>avila macroeconomia businessintelligence macroeconomics empresas data ine</t>
  </si>
  <si>
    <t>contratos edadismo empleo macroeconomics macroeconomia businessintelligence data sepe</t>
  </si>
  <si>
    <t>andalucia sevilla macroeconomics businessintelligence macroeconomia precios inflacion data consumo ine</t>
  </si>
  <si>
    <t>andalucia ipc almeria cadiz granada malaga macroeconomics businessintelligence macroeconomia precios inflacion data consumo ine</t>
  </si>
  <si>
    <t>castillayleon salamanca data businessintelligence export mercadosexteriores macroeconomics macroeconomia comercio</t>
  </si>
  <si>
    <t>andalucia malaga macroeconomics businessintelligence macroeconomia precios inflacion data consumo ine</t>
  </si>
  <si>
    <t>andalucia ipc cadiz huelva macroeconomics businessintelligence macroeconomia precios inflacion data consumo ine</t>
  </si>
  <si>
    <t>andalucia cadiz macroeconomia businessintelligence macroeconomics empresas data ine</t>
  </si>
  <si>
    <t>andalucia sociedadesmercantiles almeria macroeconomia businessintelligence macroeconomics empresas data ine</t>
  </si>
  <si>
    <t>contratos españa macroeconomia businessintelligence macroeconomics empresas empleo paro data sepe</t>
  </si>
  <si>
    <t>andalucia cadiz macroeconomia businessintelligence macroeconomics export mercadosexteriores data icex comercio</t>
  </si>
  <si>
    <t>exportaciones andalucia alemania macroeconomics businessintelligence macroeconomia export mercadosexteriores data icex comercio</t>
  </si>
  <si>
    <t>ipc andalucia ocio macroeconomics businessintelligence macroeconomia precios inflacion data ine</t>
  </si>
  <si>
    <t>ipri madrid energia macroeconomia businessintelligence macroeconomics precios industrial data ine</t>
  </si>
  <si>
    <t>ipri españa macroeconomia businessintelligence macroeconomics precios industria data ine</t>
  </si>
  <si>
    <t>parados castillayleon macroeconomia businessintelligence macroeconomics paroregistrado empleo data sepe</t>
  </si>
  <si>
    <t>hipotecas viviendas andalucia macroeconomia businessintelligence macroeconomics preciovivienda data ine</t>
  </si>
  <si>
    <t>ipri andalucia energia macroeconomia businessintelligence macroeconomics precios industrial data ine</t>
  </si>
  <si>
    <t>soria macroeconomia businessintelligence empleo paro sepe</t>
  </si>
  <si>
    <t>castillayleon zamora macroeconomia businessintelligence macroeconomics vivienda data ine</t>
  </si>
  <si>
    <t>hipotecas españa macroeconomia businessintelligence macroeconomics vivienda data ine</t>
  </si>
  <si>
    <t>hipotecas madrid macroeconomia businessintelligence macroeconomics vivienda preciosvivienda data ine</t>
  </si>
  <si>
    <t>gasto turistas castillayleon negocios macroeconomia businessintelligence macroeconomics turismo data ine</t>
  </si>
  <si>
    <t>castillayleon contratos temporal macroeconomics bi macroeconomia empleo data paro sepe</t>
  </si>
  <si>
    <t>ipc madrid macroeconomics businessintelligence macroeconomia precios inflacion consumo data ine</t>
  </si>
  <si>
    <t>andalucia macroeconomia businessintelligence macroeconomics industria precios data ine</t>
  </si>
  <si>
    <t>comunidadautonoma ipri asturias macroeconomia businessintelligence macroeconomics industria precios data ine</t>
  </si>
  <si>
    <t>ipc españa macroeconomics businessintelligence macroeconomia precios inflacion data ine</t>
  </si>
  <si>
    <t>españa contratos macroeconomia empleo businessintelligence macroeconomics paro data sepe</t>
  </si>
  <si>
    <t>indicedeproducciónindustrial ipi castillayleon macroeconomics businessintelligence macroeconomia industria data ine</t>
  </si>
  <si>
    <t>ipri andalucia bienes macroeconomia businessintelligence macroeconomics precios industrial data ine</t>
  </si>
  <si>
    <t>indicedeproducciónindustrial ipi energia andalucia macroeconomics businessintelligence macroeconomia industria data ine</t>
  </si>
  <si>
    <t>andalucia sevilla macroeconomia businessintelligence macroeconomics vivienda data ine</t>
  </si>
  <si>
    <t>andalucia hipotecas malaga macroeconomia businessintelligence macroeconomics vivienda data ine</t>
  </si>
  <si>
    <t>exportaciones vino castillayleon macroeconomia businessintelligence macroeconomics exports comercioexterior data icex mercados</t>
  </si>
  <si>
    <t>andalucia jaen macroeconomia businessintelligence macroeconomics export mercadosexteriores data icex comercio</t>
  </si>
  <si>
    <t>canarias macroeconomia businessintelligence macroeconomics industria precios data ine</t>
  </si>
  <si>
    <t>comunidadautonoma ipri cantabria macroeconomia businessintelligence macroeconomics industria precios data ine</t>
  </si>
  <si>
    <t>contratosregistrados castillayleon leon palencia macroeconomics businessintelligence macroeconomia temporalidad empleo data sepe</t>
  </si>
  <si>
    <t>ipi madrid macroeconomics businessintelligence macroeconomia industria data ine</t>
  </si>
  <si>
    <t>contratosregistrados castillayleon segovia palencia macroeconomics businessintelligence macroeconomia temporalidad empleo data sepe</t>
  </si>
  <si>
    <t>castillayleon ipc leon macroeconomics businessintelligence macroeconomia precios inflacion data consumo ine</t>
  </si>
  <si>
    <t>castillayleon ipc avila burgos soria macroeconomics businessintelligence macroeconomia precios inflacion data consumo ine</t>
  </si>
  <si>
    <t>ipc madrid transporte businessintelligence macroeconomia precios inflacion data consumo ine</t>
  </si>
  <si>
    <t>ipc madrid transporte</t>
  </si>
  <si>
    <t>navarra macroeconomics businessintelligence macroeconomia precios inflacion consumo data ine</t>
  </si>
  <si>
    <t>comunidadautonoma ipc baleares macroeconomics businessintelligence macroeconomia precios inflacion consumo data ine</t>
  </si>
  <si>
    <t>castillayleon ipc salamanca macroeconomics businessintelligence macroeconomia precios inflacion data consumo ine</t>
  </si>
  <si>
    <t>soria macroeconomia</t>
  </si>
  <si>
    <t>ipc madrid</t>
  </si>
  <si>
    <t>ipc andalucia transporte macroeconomics businessintelligence macroeconomia precios inflacion data ine</t>
  </si>
  <si>
    <t>ipc andalucia transporte</t>
  </si>
  <si>
    <t>andalucia sociedadesmercantiles</t>
  </si>
  <si>
    <t>castillayleon ipc salamanca soria macroeconomics businessintelligence macroeconomia precios inflacion data consumo ine</t>
  </si>
  <si>
    <t>castillayleon ipc salamanca soria</t>
  </si>
  <si>
    <t>castillayleon ipc zamora macroeconomics businessintelligence macroeconomia precios inflacion data consumo ine</t>
  </si>
  <si>
    <t>castillayleon ipc zamora</t>
  </si>
  <si>
    <t>castillayleon sociedadesmercantiles burgos macroeconomia businessintelligence macroeconomics empresas data ine</t>
  </si>
  <si>
    <t>castillayleon sociedadesmercantiles</t>
  </si>
  <si>
    <t>soria macroeconomia businessintelligence macroeconomics empresas data ine</t>
  </si>
  <si>
    <t>tasadeparo epa andalucia paisvasco macroeconomia businessintelligence macroeconomics data ine</t>
  </si>
  <si>
    <t>epa tasadeparo españa macroeconomia businessintelligence data ine macroeconomics</t>
  </si>
  <si>
    <t>exportaciones andalucia alemania</t>
  </si>
  <si>
    <t>paroregistrado españa macroeconomia businessintelligence macroeconomics empleo data sepe</t>
  </si>
  <si>
    <t>burgos macroeconomia businessintelligence macroeconomics empresas data ine</t>
  </si>
  <si>
    <t>castillayleon sociedadesmercantiles soria macroeconomia businessintelligence macroeconomics empresas data ine</t>
  </si>
  <si>
    <t>andalucia cadiz</t>
  </si>
  <si>
    <t>ipc madrid vestido businessintelligence macroeconomia precios inflacion data consumo ine</t>
  </si>
  <si>
    <t>andalucia extremadura macroeconomics businessintelligence macroeconomia precios inflacion consumo data ine</t>
  </si>
  <si>
    <t>andalucia macroeconomia</t>
  </si>
  <si>
    <t>castillayleon soria macroeconomia businessintelligence macroeconomics vivienda data ine</t>
  </si>
  <si>
    <t>andalucia cadiz macroeconomia businessintelligence macroeconomics vivienda data ine</t>
  </si>
  <si>
    <t>andalucia hipotecas huelva macroeconomia businessintelligence macroeconomics vivienda data ine</t>
  </si>
  <si>
    <t>ipc castillayleon ocio macroeconomics businessintellingence macroeconomia precios inflacion data consumo ine</t>
  </si>
  <si>
    <t>comunidadautonoma ipri aragon macroeconomia businessintelligence macroeconomics industria precios data ine</t>
  </si>
  <si>
    <t>comunidadautonoma ipri</t>
  </si>
  <si>
    <t>castillayleon salamanca</t>
  </si>
  <si>
    <t>exportaciones castillayleon francia</t>
  </si>
  <si>
    <t>ipc castillayleon transporte macroeconomics businessintellingence macroeconomia precios inflacion data consumo ine</t>
  </si>
  <si>
    <t>ipc castillayleon vestido macroeconomics businessintellingence macroeconomia precios inflacion data consumo ine</t>
  </si>
  <si>
    <t>ipri castillayleon energia macroeconomia businessintelligence macroeconomics precios industria data ine</t>
  </si>
  <si>
    <t>exportaciones vino castillayleon</t>
  </si>
  <si>
    <t>ipri españa</t>
  </si>
  <si>
    <t>andalucia ipc almeria macroeconomics businessintelligence macroeconomia precios inflacion data consumo ine</t>
  </si>
  <si>
    <t>andalucia ipc almeria</t>
  </si>
  <si>
    <t>andalucia jaen macroeconomics businessintelligence macroeconomia precios inflacion data consumo ine</t>
  </si>
  <si>
    <t>andalucia jaen</t>
  </si>
  <si>
    <t>andalucia sociedadesmercantiles cordoba macroeconomia businessintelligence macroeconomics empresas data ine</t>
  </si>
  <si>
    <t>ibovespa bolsadevalores mercadofinanceiro</t>
  </si>
  <si>
    <t>juros selic bolsadevalores mercadofinanceiro</t>
  </si>
  <si>
    <t>economia inflação inflação2023 mercadofinanceiro</t>
  </si>
  <si>
    <t>ifoundtraders bolsa bolsadevalores mercadofinanceiro trader at analisetecnica</t>
  </si>
  <si>
    <t>finanças investimentos mercadofinanceiro</t>
  </si>
  <si>
    <t>contabilidade mercadofinanceiro perícia patrimonio educacaofinanceira</t>
  </si>
  <si>
    <t>bitypreço bitcoin cripto inovação mercadofinanceiro</t>
  </si>
  <si>
    <t>artículodeinvestigación políticafiscal bienestar buenvivir macroeconomía</t>
  </si>
  <si>
    <t>lançamento decorado imoveisdeluxo altopadrao bmw mercadofinanceiro</t>
  </si>
  <si>
    <t>contacripto paguecomcripto fintechs meiosdepagamento pix bitcoin mercadofinanceiro criptomoedas</t>
  </si>
  <si>
    <t>farnesina viadellaseta cina l macroeconomia</t>
  </si>
  <si>
    <t>projecoes mercadofinanceiro bcb selic pensaaí andreperfeito financas aposentadoria opcoes voudeixarissoaqui</t>
  </si>
  <si>
    <t>projecoes mercadofinanceiro bcb selic pensaaí andreperfeito financas aposentadoria opcoes</t>
  </si>
  <si>
    <t>finance libertadfinanciera liberdadefinanceira finances personalfinance financetips mercadofinanceiro educacionfinanciera educacaofinanceira planejamentofinanceiro independenciafinanceira educaçãofinanceira</t>
  </si>
  <si>
    <t>gestiónriesgos macroeconomía</t>
  </si>
  <si>
    <t>políticamonetaria macroeconomía</t>
  </si>
  <si>
    <t>macroeconomía políticamonetaria</t>
  </si>
  <si>
    <t>macroeconomía gestiónriesgos</t>
  </si>
  <si>
    <t>macroeconomía sectorfinanciero</t>
  </si>
  <si>
    <t>deuda pib bdeestadísticas bdeprensa cuentasfinancieras</t>
  </si>
  <si>
    <t>bdeestadísticas crédito</t>
  </si>
  <si>
    <t>deuda bdeestadísticas bdeprensa deudapública</t>
  </si>
  <si>
    <t>crédito bdeestadísticas morosidad</t>
  </si>
  <si>
    <t>depósitos bdeestadísticas ahorro</t>
  </si>
  <si>
    <t>deuda pib bdeestadísticas bdeprensa deudapública</t>
  </si>
  <si>
    <t>capacidaddefinanciación economíaespañola bdeestadísticas bdeprensa balanzadepagos</t>
  </si>
  <si>
    <t>bdeproyecciones bdeinformetrimestral bdepublicaciones</t>
  </si>
  <si>
    <t>riesgofinanciero macroeconomía</t>
  </si>
  <si>
    <t>macroeconomía geopolítica</t>
  </si>
  <si>
    <t>mercadofinanceiro acoes fundosimobiliarios rendafixa</t>
  </si>
  <si>
    <t>dia pais diadospais economia mercadofinanceiro ações tesouro finanças futuro longoprazo hoje</t>
  </si>
  <si>
    <t>bolsa stock b3 fintwit mercadofinanceiro trading</t>
  </si>
  <si>
    <t>bancocentral mercadofinanceiro fome emprego industrialização país mercado rentismo</t>
  </si>
  <si>
    <t>mercadofinanceiro boletimfocus economia bancocentral</t>
  </si>
  <si>
    <t>economia bancocentral boletimfocus inflação mercadofinanceiro</t>
  </si>
  <si>
    <t>economia mercadofinanceiro inflação pib bancocentral</t>
  </si>
  <si>
    <t>mercadofinanceiro economia crescimento inflação</t>
  </si>
  <si>
    <t>dinheiroextra rj ganhardinheiro mercadofinanceiro dinheironobolso trader economia dinheiroonline sp carros</t>
  </si>
  <si>
    <t>investimento etf mercadofinanceiro</t>
  </si>
  <si>
    <t>pcar3 viia3 brfs3 mercadofinanceiro investimentos</t>
  </si>
  <si>
    <t>dólar mercadofinanceiro investimentos</t>
  </si>
  <si>
    <t>mercadofinanceiro investimentos quina</t>
  </si>
  <si>
    <t>cple6 mercadofinanceiro investimentos</t>
  </si>
  <si>
    <t>irbr3 goll4 ciel3 mercadofinanceiro investimentos</t>
  </si>
  <si>
    <t>cash3 crfb3 petz3 mercadofinanceiro investimentos</t>
  </si>
  <si>
    <t>vale3 mercadofinanceiro investimentos</t>
  </si>
  <si>
    <t>mglu3 mercadofinanceiro investimentos</t>
  </si>
  <si>
    <t>locaweb mercadofinanceiro investimentos</t>
  </si>
  <si>
    <t>cpfl mercadofinanceiro investimentos</t>
  </si>
  <si>
    <t>tcsa3 mercadofinanceiro investimentos</t>
  </si>
  <si>
    <t>collor mercadofinanceiro investimentos</t>
  </si>
  <si>
    <t>b3 mercadofinanceiro investimentos</t>
  </si>
  <si>
    <t>haddad mercadofinanceiro investimentos</t>
  </si>
  <si>
    <t>ugpa3 cogn3 vbbr3 mercadofinanceiro investimentos</t>
  </si>
  <si>
    <t>cash3 crfb3 vivt3 mercadofinanceiro investimentos</t>
  </si>
  <si>
    <t>ouro mercadofinanceiro investimentos</t>
  </si>
  <si>
    <t>cash3 mercadofinanceiro investimentos</t>
  </si>
  <si>
    <t>2t23 mercadofinanceiro investimentos</t>
  </si>
  <si>
    <t>mercadofinanceiro investimentos viagens</t>
  </si>
  <si>
    <t>petrobras mercadofinanceiro investimentos</t>
  </si>
  <si>
    <t>viia3 smto3 mglu3 mercadofinanceiro investimentos</t>
  </si>
  <si>
    <t>ciel3 elet3 beef3 mercadofinanceiro investimentos</t>
  </si>
  <si>
    <t>c6 dólar mercadofinanceiro investimentos rendafixa</t>
  </si>
  <si>
    <t>azul4 mercadofinanceiro investimentos</t>
  </si>
  <si>
    <t>mercadofinanceiro investimentos saopaulo</t>
  </si>
  <si>
    <t>mercadofinanceiro investimentos tesla</t>
  </si>
  <si>
    <t>mercadofinanceiro investimentos nft</t>
  </si>
  <si>
    <t>mercadofinanceiro investimentos beyonce taylorswifttheerastour</t>
  </si>
  <si>
    <t>tasa4 mercadofinanceiro investimentos</t>
  </si>
  <si>
    <t>americanas mercadofinanceiro investimentos</t>
  </si>
  <si>
    <t>viia3 irbr3 alpa4 mercadofinanceiro investimentos</t>
  </si>
  <si>
    <t>eletrobras elet6 cvcb3 mercadofinanceiro</t>
  </si>
  <si>
    <t>ciel3 mercadofinanceiro investimentos</t>
  </si>
  <si>
    <t>cvcb3 petz3 azul4 mercadofinanceiro investimentos</t>
  </si>
  <si>
    <t>viia3 smto3 rail3 mercadofinanceiro investimentos</t>
  </si>
  <si>
    <t>csan3 also3 asai3 prio3 raiz4 mult3 mercadofinanceiro investimentos</t>
  </si>
  <si>
    <t>nubank mercadofinanceiro investimentos</t>
  </si>
  <si>
    <t>fundoverde investimentos mercadofinanceiro ibovespa</t>
  </si>
  <si>
    <t>mercadofinanceiro investimentos americanas</t>
  </si>
  <si>
    <t>mercadofinanceiro investimentos cobre</t>
  </si>
  <si>
    <t>mercadofinanceiro investimentos ouro</t>
  </si>
  <si>
    <t>lwsa3 cash3 brkm5 mercadofinanceiro investimentos</t>
  </si>
  <si>
    <t>yduq3 ciel3 ntco3 mercadofinanceiro investimentos</t>
  </si>
  <si>
    <t>ggbr4 goau4 usim5 mercadofinanceiro investimentos</t>
  </si>
  <si>
    <t>azul4 goll4 viia3 mercadofinanceiro investimentos</t>
  </si>
  <si>
    <t>santander mercadofinanceiro investimentos</t>
  </si>
  <si>
    <t>smto3 elet3 elet6 mercadofinanceiro investimentos</t>
  </si>
  <si>
    <t>bbse3 mercadofinanceiro investimentos</t>
  </si>
  <si>
    <t>cyre3 eztc3 mrve3 mercadofinanceiro investimentos</t>
  </si>
  <si>
    <t>mercadofinanceiro investimentos construçãocivil</t>
  </si>
  <si>
    <t>petr3 petr4 braskem brkm5 mercadofinanceiro</t>
  </si>
  <si>
    <t>soma3 petz3 cash3 mercadofinanceiro investimentos</t>
  </si>
  <si>
    <t>yduq3 hapv3 alpa4 mercadofinanceiro investimentos</t>
  </si>
  <si>
    <t>lwsa3 soma3 azul4 mercadofinanceiro investimentos</t>
  </si>
  <si>
    <t>yduq3 sbsp3 cple6 mercadofinanceiro investimentos</t>
  </si>
  <si>
    <t>ceab3 mercadofinanceiro investimentos</t>
  </si>
  <si>
    <t>raiz4 mercadofinanceiro investimentos</t>
  </si>
  <si>
    <t>mercadofinanceiro investimentos criptomoedas</t>
  </si>
  <si>
    <t>mercadofinanceiro investimentos feriasdejulho</t>
  </si>
  <si>
    <t>petr3 petr4 mercadofinanceiro investimentos</t>
  </si>
  <si>
    <t>mercadofinanceiro investimentos segurodesemprego</t>
  </si>
  <si>
    <t>pcar3 cvcb3 mrfg3 mercadofinanceiro investimentos</t>
  </si>
  <si>
    <t>aneel mercadofinanceiro investimentos</t>
  </si>
  <si>
    <t>mercadofinanceiro investimentos inteligenciaartificial</t>
  </si>
  <si>
    <t>gsgi34 mercadofinanceiro investimentos</t>
  </si>
  <si>
    <t>mercadofinanceiro investimentos larissamanoela</t>
  </si>
  <si>
    <t>engi11 mercadofinanceiro investimentos</t>
  </si>
  <si>
    <t>cyre3 usim5 rrrp3 mercadofinanceiro investimentos</t>
  </si>
  <si>
    <t>nu mercadofinanceiro investimentos nubankbrasil</t>
  </si>
  <si>
    <t>mercadofinanceiro investimentos deflação</t>
  </si>
  <si>
    <t>irbr3 vale3 prio3 mercadofinanceiro investimentos</t>
  </si>
  <si>
    <t>amazon mercadofinanceiro investimentos</t>
  </si>
  <si>
    <t>cvcb3 alpa4 pcar3 mercadofinanceiro investimentos</t>
  </si>
  <si>
    <t>bb mercadofinanceiro investimentos</t>
  </si>
  <si>
    <t>disney mercadofinanceiro investimentos</t>
  </si>
  <si>
    <t>mercadofinanceiro investimentos vale</t>
  </si>
  <si>
    <t>prio3 rrp3 mercadofinanceiro investimentos</t>
  </si>
  <si>
    <t>mercadofinanceiro investimentos criptomoedas criptoativos</t>
  </si>
  <si>
    <t>mercadofinanceiro investimentos desenrolabrasil</t>
  </si>
  <si>
    <t>gasolina mercadofinanceiro investimentos</t>
  </si>
  <si>
    <t>bradescobbi mercadofinanceiro investimentos</t>
  </si>
  <si>
    <t>goll4 petz3 lren3 mercadofinanceiro investimentos</t>
  </si>
  <si>
    <t>jbss3 prio3 vale3 mercadofinanceiro investimentos</t>
  </si>
  <si>
    <t>brfs3 azul4 goll4 mercadofinanceiro investimentos</t>
  </si>
  <si>
    <t>cash3 suzb3 cple6 mercadofinanceiro investimentos</t>
  </si>
  <si>
    <t>cvm mercadofinanceiro investimentos</t>
  </si>
  <si>
    <t>petr3 petr4 mercadofinanceiro investimentosemimoveis</t>
  </si>
  <si>
    <t>petroleo mercadofinanceiro investimentos</t>
  </si>
  <si>
    <t>ifcm3 mercadofinanceiro investimentos</t>
  </si>
  <si>
    <t>mglu3 yduq3 cogn3 mercadofinanceiro investimentos</t>
  </si>
  <si>
    <t>mercadofinanceiro investimentos warrenbuffett</t>
  </si>
  <si>
    <t>tots3 mercadofinanceiro investimentos</t>
  </si>
  <si>
    <t>mercadofinanceiro investimentos impostoderenda</t>
  </si>
  <si>
    <t>cobre mercadofinanceiro investimentos</t>
  </si>
  <si>
    <t>petróleo mercadofinanceiro investimentos</t>
  </si>
  <si>
    <t>mercadofinanceiro investimentos megasena</t>
  </si>
  <si>
    <t>lula mercadofinanceiro investimentos</t>
  </si>
  <si>
    <t>btg mercadofinanceiro investimentos</t>
  </si>
  <si>
    <t>mercadofinanceiro investimentos 123milhas</t>
  </si>
  <si>
    <t>fed mercadofinanceiro investimentos</t>
  </si>
  <si>
    <t>even mercadofinanceiro investimentos</t>
  </si>
  <si>
    <t>mei mercadofinanceiro investimentos</t>
  </si>
  <si>
    <t>fgts mercadofinanceiro investimentos</t>
  </si>
  <si>
    <t>nvidia stanley mercadofinanceiro investimentos</t>
  </si>
  <si>
    <t>tesla mercadofinanceiro investimentos</t>
  </si>
  <si>
    <t>mercadofinanceiro investimentos nubank</t>
  </si>
  <si>
    <t>mercadofinanceiro investimentos bolsafamilia</t>
  </si>
  <si>
    <t>sbsp3 arzz3 petr3 mercadofinanceiro investimentos</t>
  </si>
  <si>
    <t>igti11 mglu3 petz3 mercadofinanceiro investimentos</t>
  </si>
  <si>
    <t>magazineluiza mercadofinanceiro investimentos</t>
  </si>
  <si>
    <t>itub4 mercadofinanceiro investimentos</t>
  </si>
  <si>
    <t>jbss3 mercadofinanceiro investimentos</t>
  </si>
  <si>
    <t>ronaldinho mercadofinanceiro investimentos</t>
  </si>
  <si>
    <t>cvcb3 dxco3 cmin3 mercadofinanceiro investimentos</t>
  </si>
  <si>
    <t>azev4 mercadofinanceiro investimentos</t>
  </si>
  <si>
    <t>pix mercadofinanceiro investimentos</t>
  </si>
  <si>
    <t>rani3 mercadofinanceiro investimentos</t>
  </si>
  <si>
    <t>gerdau mercadofinanceiro investimentos</t>
  </si>
  <si>
    <t>ggbr4 mercadofinanceiro investimentos</t>
  </si>
  <si>
    <t>mercadofinanceiro investimentos venezuela</t>
  </si>
  <si>
    <t>treasuries mercadofinanceiro investimentos</t>
  </si>
  <si>
    <t>nubank mercadofinanceiro investimentos bdr</t>
  </si>
  <si>
    <t>mercadofinanceiro investimentos inflação</t>
  </si>
  <si>
    <t>pcar3 viia3 cash3 mercadofinanceiro investimentos</t>
  </si>
  <si>
    <t>beef3 mrfg3 itub4 mercadofinanceiro investimentos</t>
  </si>
  <si>
    <t>mercadofinanceiro investimentos fundosuperricos</t>
  </si>
  <si>
    <t>mercadoimobiliário investimentos mercadofinanceiro</t>
  </si>
  <si>
    <t>templeton mercadofinanceiro investimentos</t>
  </si>
  <si>
    <t>cobre dólar mercadofinanceiro investimentos</t>
  </si>
  <si>
    <t>mercadofinanceiro investimentos santander</t>
  </si>
  <si>
    <t>mercadofinanceiro investimentos pretrobras</t>
  </si>
  <si>
    <t>azul4 goll4 soma3 mercadofinanceiro investimentos</t>
  </si>
  <si>
    <t>raiz4 alpa4 irbr3 mercadofinanceiro investimentos</t>
  </si>
  <si>
    <t>blackrock mercadofinanceiro investimentos</t>
  </si>
  <si>
    <t>mercadofinanceiro investimentos caixa</t>
  </si>
  <si>
    <t>lotofácil mercadofinanceiro investimentos</t>
  </si>
  <si>
    <t>hype3 cvcb3 rdor3 mercadofinanceiro investimentos</t>
  </si>
  <si>
    <t>crfb3 dxco3 brfs3 mercadofinanceiro investimentos</t>
  </si>
  <si>
    <t>mercadofinanceiro investimentos cccccc</t>
  </si>
  <si>
    <t>mercadofinanceiro investimentos barbiemovie cccccc</t>
  </si>
  <si>
    <t>metb34 mercadofinanceiro investimentos</t>
  </si>
  <si>
    <t>brent petroleo mercadofinanceiro investimentos</t>
  </si>
  <si>
    <t>nasdaq fireblocks mercadofinanceiro investimentos</t>
  </si>
  <si>
    <t>zuckerberg musk mercadofinanceiro investimentos</t>
  </si>
  <si>
    <t>pcar3 cash3 azul4 mercadofinanceiro investimentos</t>
  </si>
  <si>
    <t>jbss3 b3sa3 prio3 mercadofinanceiro investimentos</t>
  </si>
  <si>
    <t>bhia3 azul4 pcar3 mercadofinanceiro investimentos</t>
  </si>
  <si>
    <t>nasdaq mercadofinanceiro investimentos</t>
  </si>
  <si>
    <t>onecoin mercadofinanceiro investimentos</t>
  </si>
  <si>
    <t>mercadofinanceiro euro</t>
  </si>
  <si>
    <t>euro mercadofinanceiro</t>
  </si>
  <si>
    <t>cash3 cvcb3 lren3 mercadofinanceiro investimentos</t>
  </si>
  <si>
    <t>bbse3 embr3 dxco3 mercadofinanceiro investimentos</t>
  </si>
  <si>
    <t>pátria mercadofinanceiro investimentos</t>
  </si>
  <si>
    <t>itaú mercadofinanceiro investimentos</t>
  </si>
  <si>
    <t>caixa mercadofinanceiro investimentos</t>
  </si>
  <si>
    <t>tyo arm mercadofinanceiro investimentos</t>
  </si>
  <si>
    <t>corrente poupança mercadofinanceiro investimentos</t>
  </si>
  <si>
    <t>mercadofinanceiro investimentos ignacy</t>
  </si>
  <si>
    <t>prio3 mercadofinanceiro investimentos</t>
  </si>
  <si>
    <t>bbdc4 bbdc3 petr4 petr3 mercadofinanceiro investimentos</t>
  </si>
  <si>
    <t>selic mercadofinanceiro investimentos</t>
  </si>
  <si>
    <t>petr4 mercadofinanceiro investimentos</t>
  </si>
  <si>
    <t>enbr3 investimentos mercadofinanceiro</t>
  </si>
  <si>
    <t>brap4 vale3 csna3 mercadofinanceiro investimentos</t>
  </si>
  <si>
    <t>dólar iene mercadofinanceiro investimentos moedas</t>
  </si>
  <si>
    <t>iphone mercadofinanceiro investimentos</t>
  </si>
  <si>
    <t>mercadofinanceiro investimentos rendafixa</t>
  </si>
  <si>
    <t>bdrs mercadofinanceiro investimentos</t>
  </si>
  <si>
    <t>beef3 cash3 irbr3 mercadofinanceiro investimentos</t>
  </si>
  <si>
    <t>minerva mercadofinanceiro investimentos</t>
  </si>
  <si>
    <t>marfrig mercadofinanceiro investimentos</t>
  </si>
  <si>
    <t>mercadofinanceiro investimentos salariofamilia</t>
  </si>
  <si>
    <t>mercadofinanceiro investimentos localiza</t>
  </si>
  <si>
    <t>picpay mercadofinanceiro investimentos</t>
  </si>
  <si>
    <t>prio3 rrrp3 petr3 mercadofinanceiro investimentos</t>
  </si>
  <si>
    <t>mercadofinanceiro investimentos haddad</t>
  </si>
  <si>
    <t>sanb11 mercadofinanceiro investimentos</t>
  </si>
  <si>
    <t>meis mercadofinanceiro investimentos</t>
  </si>
  <si>
    <t>abcb4 mercadofinanceiro investimentos</t>
  </si>
  <si>
    <t>aapl34 mercadofinanceiro investimentos</t>
  </si>
  <si>
    <t>petz3 dxco3 cash3 mercadofinanceiro investimentos</t>
  </si>
  <si>
    <t>hapv3 yduq3 alpa4 mercadofinanceiro investimentos</t>
  </si>
  <si>
    <t>mercadofinanceiro investimentos dolar</t>
  </si>
  <si>
    <t>petr4 petr3 mercadofinanceiro investimentos</t>
  </si>
  <si>
    <t>svr mercadofinanceiro investimentos</t>
  </si>
  <si>
    <t>musk mercadofinanceiro investimentos</t>
  </si>
  <si>
    <t>beef3 mercadofinanceiro investimentos</t>
  </si>
  <si>
    <t>nyse mercadofinanceiro investimentos</t>
  </si>
  <si>
    <t>mrfg3 petz3 crfb3 mercadofinanceiro investimentos</t>
  </si>
  <si>
    <t>irbr3 vbbr3 beef3 mercadofinanceiro investimentos</t>
  </si>
  <si>
    <t>inflação mercadofinanceiro investimentos</t>
  </si>
  <si>
    <t>dólar câmbio mercadofinanceiro</t>
  </si>
  <si>
    <t>mercadofinanceiro investimentos lazer camposdejordao</t>
  </si>
  <si>
    <t>mercadofinanceiro investimentos lazer</t>
  </si>
  <si>
    <t>mercadofinanceiro ações investimentos</t>
  </si>
  <si>
    <t>mercadofinanceiro investimentos lazer restaurantesp</t>
  </si>
  <si>
    <t>jcp mercadofinanceiro</t>
  </si>
  <si>
    <t>snec34 mercadofinanceiro investimentos</t>
  </si>
  <si>
    <t>brkm5 lwsa3 cmin3 mercadofinanceiro investimentos</t>
  </si>
  <si>
    <t>petz3 asai3 hapv3 mercadofinanceiro investimentos</t>
  </si>
  <si>
    <t>mercadofinanceiro investimentos fgts</t>
  </si>
  <si>
    <t>viia3 cvcb3 azul4 mercadofinanceiro investimentos</t>
  </si>
  <si>
    <t>petr3 asai3 raiz4 mercadofinanceiro investimentos</t>
  </si>
  <si>
    <t>west3 mercadofinanceiro investimentos</t>
  </si>
  <si>
    <t>eua china mercadofinanceiro investimentos</t>
  </si>
  <si>
    <t>vbbr3 mercadofinanceiro investimentos</t>
  </si>
  <si>
    <t>cvcb3 mercadofinanceiro investimentos</t>
  </si>
  <si>
    <t>goll4 petr3 petr4 mercadofinanceiro investimentos</t>
  </si>
  <si>
    <t>asai3 slce3 mglu3 mercadofinanceiro investimentos</t>
  </si>
  <si>
    <t>mercadofinanceiro investimentos petroleo</t>
  </si>
  <si>
    <t>mercadofinanceiro investimentos barbiemovie warner</t>
  </si>
  <si>
    <t>mercadofinanceiro investimentos amazon</t>
  </si>
  <si>
    <t>mercadofinanceiro investimentos barbie</t>
  </si>
  <si>
    <t>lwsa3 goll4 enev3 mercadofinanceiro investimentos</t>
  </si>
  <si>
    <t>ntco3 abev3 itub4 mercadofinanceiro investimentos</t>
  </si>
  <si>
    <t>xp mercadofinanceiro investimentos</t>
  </si>
  <si>
    <t>mercadofinanceiro investimentos b3</t>
  </si>
  <si>
    <t>petz3 rrrp3 prio3 mercadofinanceiro investimentos</t>
  </si>
  <si>
    <t>pcar3 viia3 mercadofinanceiro investimentos</t>
  </si>
  <si>
    <t>mercadofinanceiro investimentos jcp</t>
  </si>
  <si>
    <t>brkm5 mercadofinanceiro investimentos</t>
  </si>
  <si>
    <t>amer3 mercadofinanceiro investimentos</t>
  </si>
  <si>
    <t>sandy junior mercadofinanceiro investimentos</t>
  </si>
  <si>
    <t>megasena mercadofinanceiro investimentos</t>
  </si>
  <si>
    <t>bunr33 mercadofinanceiro investimentos</t>
  </si>
  <si>
    <t>quina mercadofinanceiro investimentos</t>
  </si>
  <si>
    <t>eletrobras mercadofinanceiro investimentos</t>
  </si>
  <si>
    <t>mercadofinanceiro investimentos inteligenciaarticial</t>
  </si>
  <si>
    <t>mercadofinanceiro investimentos viia3</t>
  </si>
  <si>
    <t>mercadofinanceiro investimentos carroeletrico</t>
  </si>
  <si>
    <t>engi11 eqtl3 rail3 mercadofinanceiro investimentos</t>
  </si>
  <si>
    <t>engi11 smto3 enev3 mercadofinanceiro investimentos</t>
  </si>
  <si>
    <t>inss mercadofinanceiro investimentos</t>
  </si>
  <si>
    <t>bbdc4 mercadofinanceiro investimentos</t>
  </si>
  <si>
    <t>mercadofinanceiro investimentos caixabank</t>
  </si>
  <si>
    <t>yduq3 viia3 petz3 mercadofinanceiro investimentos</t>
  </si>
  <si>
    <t>alpa4 suzb3 cpfe3 mercadofinanceiro investimentos</t>
  </si>
  <si>
    <t>neymar mercadofinanceiro investimentos</t>
  </si>
  <si>
    <t>apple mercadofinanceiro investimentos</t>
  </si>
  <si>
    <t>amzo34 bbdc4 mercadofinanceiro investimentos</t>
  </si>
  <si>
    <t>bbdc3 bbdc4 mercadofinanceiro investimentos</t>
  </si>
  <si>
    <t>viia3 ciel3 bbdc4 mercadofinanceiro investimentos</t>
  </si>
  <si>
    <t>wege3 mercadofinanceiro investimentos</t>
  </si>
  <si>
    <t>beef3 prio3 mercadofinanceiro investimentos</t>
  </si>
  <si>
    <t>eztc3 csna3 mercadofinanceiro investimentos</t>
  </si>
  <si>
    <t>vivo mercadofinanceiro investimentos</t>
  </si>
  <si>
    <t>mercadofinanceiro investimentos amar3 marisa</t>
  </si>
  <si>
    <t>brkm5 yduq3 brfs3 mercadofinanceiro investimentos</t>
  </si>
  <si>
    <t>azul4 goll4 mercadofinanceiro investimentos</t>
  </si>
  <si>
    <t>mercadofinanceiro investimentos desenrola</t>
  </si>
  <si>
    <t>ipca mercadofinanceiro investimentos boletimfocus</t>
  </si>
  <si>
    <t>smiles nomad mercadofinanceiro investimentos</t>
  </si>
  <si>
    <t>mercadofinanceiro investimentos rendafixa rendavariavel</t>
  </si>
  <si>
    <t>real mercadofinanceiro investimentos</t>
  </si>
  <si>
    <t>mercadofinanceiro investimentos ligt3</t>
  </si>
  <si>
    <t>mercadofinanceiro investimentos bitcoin</t>
  </si>
  <si>
    <t>inbr32 bcsa34 mercadofinanceiro investimentos educaçãofinanceira</t>
  </si>
  <si>
    <t>prio3 amer3 beef3 csna3 mercadofinanceiro</t>
  </si>
  <si>
    <t>smto3 alpa4 raiz4 mercadofinanceiro investimentos</t>
  </si>
  <si>
    <t>btc eth mercadofinanceiro investimentos</t>
  </si>
  <si>
    <t>pcar3 cvcb3 mrve3 mercadofinanceiro investimentos</t>
  </si>
  <si>
    <t>smto3 slce3 raiz4 mercadofinanceiro investimentos</t>
  </si>
  <si>
    <t>123milhas mercadofinanceiro investimentos</t>
  </si>
  <si>
    <t>ágora smto3 jall3 mercadofinanceiro investimentos</t>
  </si>
  <si>
    <t>poupança investimentos mercadofinanceiro</t>
  </si>
  <si>
    <t>fleury mercadofinanceiro investimentos</t>
  </si>
  <si>
    <t>renner mercadofinanceiro investimentos</t>
  </si>
  <si>
    <t>ccro3 mercadofinanceiro investimentos</t>
  </si>
  <si>
    <t>mercadofinanceiro investimentos tesouronacional</t>
  </si>
  <si>
    <t>bradesco itaú pagbank santander mercadofinanceiro investimentos bancodobrasil caixaeconomica</t>
  </si>
  <si>
    <t>mercadofinanceiro investimentos bancocentral</t>
  </si>
  <si>
    <t>raiz4 bpac11 mrve3 mercadofinanceiro investimentos</t>
  </si>
  <si>
    <t>mercadofinanceiro investimentos reformatributária</t>
  </si>
  <si>
    <t>mercadofinanceiro investimentos marisa</t>
  </si>
  <si>
    <t>petr3 petr4 vale3 mercadofinanceiro investimentos</t>
  </si>
  <si>
    <t>mercadofinanceiro investimentos petrobras</t>
  </si>
  <si>
    <t>mercadofinanceiro investimentos megamillions</t>
  </si>
  <si>
    <t>mercadofinanceiro investimentos dicasfinanceiras</t>
  </si>
  <si>
    <t>sbsp3 mercadofinanceiro investimentos</t>
  </si>
  <si>
    <t>mrfg3 mercadofinanceiro investimentos</t>
  </si>
  <si>
    <t>mercadofinanceiro investimentos educaçãofinanceira segurodesemprego</t>
  </si>
  <si>
    <t>juros mercadofinanceiro investimentos</t>
  </si>
  <si>
    <t>viia3 vamo3 tots3 mercadofinanceiro investimentos</t>
  </si>
  <si>
    <t>mercadofinanceiro investimentos cvm</t>
  </si>
  <si>
    <t>mercadofinanceiro investimentos rrrp3</t>
  </si>
  <si>
    <t>órama mercadofinanceiro investimentos</t>
  </si>
  <si>
    <t>jcp mercadofinanceiro investimentos</t>
  </si>
  <si>
    <t>elet6 mercadofinanceiro investimentos</t>
  </si>
  <si>
    <t>sec mercadofinanceiro investimentos</t>
  </si>
  <si>
    <t>bc mercadofinanceiro investimentos</t>
  </si>
  <si>
    <t>beef3 pcar3 petz3 mercadofinanceiro investimentos</t>
  </si>
  <si>
    <t>mrfg3 cvcb3 lwsa3 mercadofinanceiro investimentos</t>
  </si>
  <si>
    <t>nvdc34 mercadofinanceiro investimentos</t>
  </si>
  <si>
    <t>ncn nubank mercadofinanceiro investimentos</t>
  </si>
  <si>
    <t>clt mercadofinanceiro investimentos</t>
  </si>
  <si>
    <t>mercadofinanceiro investimentos energiasolarbrasil</t>
  </si>
  <si>
    <t>bbas3 desenrola mercadofinanceiro investimentos</t>
  </si>
  <si>
    <t>mercadofinanceiro investimentos albumdacopa</t>
  </si>
  <si>
    <t>sbfg3 mercadofinanceiro investimentos</t>
  </si>
  <si>
    <t>goll4 mercadofinanceiro investimentos</t>
  </si>
  <si>
    <t>usim5 pcar3 mercadofinanceiro investimentos</t>
  </si>
  <si>
    <t>cash3 brfs3 yduq3 mercadofinanceiro investimentos</t>
  </si>
  <si>
    <t>yduqs cogna mercadofinanceiro investimentos</t>
  </si>
  <si>
    <t>aapl34 tims3 mercadofinanceiro investimentos</t>
  </si>
  <si>
    <t>lren3 mglu3 viia3 mercadofinanceiro investimentos</t>
  </si>
  <si>
    <t>azul4 abev3 raiz4 mercadofinanceiro investimentos</t>
  </si>
  <si>
    <t>mercadofinanceiro investimentos mglu3</t>
  </si>
  <si>
    <t>bofa mercadofinanceiro investimentos</t>
  </si>
  <si>
    <t>npc mercadofinanceiro investimentos</t>
  </si>
  <si>
    <t>viia3 irbr3 crfb3 mercadofinanceiro investimentos</t>
  </si>
  <si>
    <t>fitch mercadofinanceiro investimentos</t>
  </si>
  <si>
    <t>btg asai3 mercadofinanceiro investimentos</t>
  </si>
  <si>
    <t>viia3 ugpa3 recv3 mercadofinanceiro investimentos</t>
  </si>
  <si>
    <t>crfb3 bpac11 wege3 mercadofinanceiro investimentos</t>
  </si>
  <si>
    <t>cvcb3 irbr3 crfb3 mercadofinanceiro investimentos</t>
  </si>
  <si>
    <t>brkm5 yduq3 enev3 mercadofinanceiro investimentos</t>
  </si>
  <si>
    <t>mercadofinanceiro impostoso</t>
  </si>
  <si>
    <t>impostos mercadofinanceiro arcabouçofiscal</t>
  </si>
  <si>
    <t>ntco3 mercadofinanceiro investimentos</t>
  </si>
  <si>
    <t>rent3 mercadofinanceiro investimentos</t>
  </si>
  <si>
    <t>irbr3 mercadofinanceiro investimentos</t>
  </si>
  <si>
    <t>wlmm3 mercadofinanceiro investimentos</t>
  </si>
  <si>
    <t>dólar ienes euro mercadofinanceiro investimentos moedas</t>
  </si>
  <si>
    <t>mercadofinanceiro investimentos inss</t>
  </si>
  <si>
    <t>pcar3 varejo mercadofinanceiro</t>
  </si>
  <si>
    <t>mercadofinanceiro investimentos btg</t>
  </si>
  <si>
    <t>disb34 mercadofinanceiro investimentos</t>
  </si>
  <si>
    <t>mercadofinanceiro investimentos lotofacil</t>
  </si>
  <si>
    <t>mercadofinanceiro investimentos bhia3</t>
  </si>
  <si>
    <t>mega mercadofinanceiro investimentos</t>
  </si>
  <si>
    <t>bradesco mercadofinanceiro investimentos</t>
  </si>
  <si>
    <t>tsla34 mercadofinanceiro investimentos</t>
  </si>
  <si>
    <t>elet3 vale3 samarco vivt3 mercadofinanceiro</t>
  </si>
  <si>
    <t>viia3 cash3 alpa4 mercadofinanceiro investimentos</t>
  </si>
  <si>
    <t>dxco3 prio3 suzb3 mercadofinanceiro investimentos</t>
  </si>
  <si>
    <t>ifix mercadofinanceiro investimentos fundoimobiliario</t>
  </si>
  <si>
    <t>oibr3 oibr4 bpac11 mercadofinanceiro</t>
  </si>
  <si>
    <t>oibr4 elet3 taee11 mercadofinanceiro</t>
  </si>
  <si>
    <t>roxo34 mercadofinanceiro investimentos</t>
  </si>
  <si>
    <t>mercadofinanceiro investimentos consorcio financiamento</t>
  </si>
  <si>
    <t>dólar euro mercadofinanceiro investimentos</t>
  </si>
  <si>
    <t>bb trígono mercadofinanceiro investimentos</t>
  </si>
  <si>
    <t>bndes rapt4 mercadofinanceiro investimentos</t>
  </si>
  <si>
    <t>mercadofinanceiro investimentos sonyliv</t>
  </si>
  <si>
    <t>bpac11 cple6 mercadofinanceiro investimentos</t>
  </si>
  <si>
    <t>dora mercadofinanceiro investimentos</t>
  </si>
  <si>
    <t>bpac11 mercadofinanceiro investimentos</t>
  </si>
  <si>
    <t>mercadofinanceiro investimentos copom</t>
  </si>
  <si>
    <t>amer3 rbrl11 mercadofinanceiro investimentos</t>
  </si>
  <si>
    <t>ciel3 lwsa3 mglu3 mercadofinanceiro investimentos</t>
  </si>
  <si>
    <t>cogn3 jbss3 cyre3 mercadofinanceiro investimentos</t>
  </si>
  <si>
    <t>mercadofinanceiro investimentos reformatributaria</t>
  </si>
  <si>
    <t>carrobarato mercadofinanceiro investimentos</t>
  </si>
  <si>
    <t>disb34 mercadofinanceiro investimentos disney waltdisneyworld</t>
  </si>
  <si>
    <t>s nasdaq mercadofinanceiro investimentos</t>
  </si>
  <si>
    <t>privatização mercadofinanceiro investimentos investorday</t>
  </si>
  <si>
    <t>minhacasa lula mercadofinanceiro investimentos</t>
  </si>
  <si>
    <t>mercadofinanceiro investimentos acoes</t>
  </si>
  <si>
    <t>xrp mercadofinanceiro investimentos criptomoedas</t>
  </si>
  <si>
    <t>crfb3 mercadofinanceiro investimentos</t>
  </si>
  <si>
    <t>mercadofinanceiro investimentos picpay</t>
  </si>
  <si>
    <t>bhia3 pcar3 cple6 mercadofinanceiro investimentos</t>
  </si>
  <si>
    <t>goll4 recv3 petr3 mercadofinanceiro investimentos</t>
  </si>
  <si>
    <t>google mercadofinanceiro investimentos</t>
  </si>
  <si>
    <t>mercadofinanceiro investimentos amer3</t>
  </si>
  <si>
    <t>idap5 b3 mercadofinanceiro investimentos</t>
  </si>
  <si>
    <t>nasdaq treasuries mercadofinanceiro investimentos</t>
  </si>
  <si>
    <t>mercadofinanceiro investimentos economia haddad</t>
  </si>
  <si>
    <t>clsc3 clsc4 jcp mercadofinanceiro investimentos</t>
  </si>
  <si>
    <t>mercadofinanceiro investimentos calor</t>
  </si>
  <si>
    <t>mercadofinanceiro investimentos realdigital drex</t>
  </si>
  <si>
    <t>mercadofinanceiro investimentos educaçãofinanceira pet</t>
  </si>
  <si>
    <t>mercadofinanceiro investimentos fundoverde</t>
  </si>
  <si>
    <t>raízen mercadofinanceiro investimentos</t>
  </si>
  <si>
    <t>irbr3 crfb3 yduq3 mercadofinanceiro investimentos</t>
  </si>
  <si>
    <t>petz3 cmig4 mglu3 mercadofinanceiro investimentos</t>
  </si>
  <si>
    <t>pis pasep mercadofinanceiro investimentos</t>
  </si>
  <si>
    <t>ifix mercadofinanceiro investimentos</t>
  </si>
  <si>
    <t>mercadofinanceiro investimentos juros</t>
  </si>
  <si>
    <t>mercadofinanceiro investimentos pix</t>
  </si>
  <si>
    <t>mercadofinanceiro investimentos china economiachina</t>
  </si>
  <si>
    <t>rrrp3 commodities mercadofinanceiro</t>
  </si>
  <si>
    <t>mercadofinanceiro investimentos iphone15</t>
  </si>
  <si>
    <t>mercadofinanceiro investimentos china eua</t>
  </si>
  <si>
    <t>petr4 vale3 mercadofinanceiro investimentos lren3</t>
  </si>
  <si>
    <t>mercadofinanceiro investimentos selic</t>
  </si>
  <si>
    <t>alpa4 mercadofinanceiro investimentos</t>
  </si>
  <si>
    <t>pcar3 lren3 tots3 mercadofinanceiro investimentos</t>
  </si>
  <si>
    <t>mrfg3 viia3 hapv3 mercadofinanceiro investimentos</t>
  </si>
  <si>
    <t>vale mercadofinanceiro investimentos</t>
  </si>
  <si>
    <t>proventos jcp investimentos mercadofinanceiro</t>
  </si>
  <si>
    <t>iene mercadofinanceiro investimentos</t>
  </si>
  <si>
    <t>brkm5 petz3 mrfg3 mercadofinanceiro investimentos</t>
  </si>
  <si>
    <t>eztc3 pcar3 cmin3 mercadofinanceiro investimentos</t>
  </si>
  <si>
    <t>fitch china mercadofinanceiro investimentos</t>
  </si>
  <si>
    <t>cemig blackrock mercadofinanceiro investimentos</t>
  </si>
  <si>
    <t>elet3 elet6 mercadofinanceiro investimentos eletrobras</t>
  </si>
  <si>
    <t>viia3 mglu3 mercadofinanceiro investimentos</t>
  </si>
  <si>
    <t>ntco3 hapv3 alpa4 mercadofinanceiro investimentos</t>
  </si>
  <si>
    <t>irbr3 mglu3 viia3 mercadofinanceiro investimentos</t>
  </si>
  <si>
    <t>neoe3 mercadofinanceiro investimentos</t>
  </si>
  <si>
    <t>mglu3 soma3 arzz3 mercadofinanceiro investimentos</t>
  </si>
  <si>
    <t>suzb3 sbsp3 ntco3 mercadofinanceiro investimentos</t>
  </si>
  <si>
    <t>mercadofinanceiro investimentos goldmansachs</t>
  </si>
  <si>
    <t>csna3 mercadofinanceiro investimentos</t>
  </si>
  <si>
    <t>fin4she mercadofinanceiro investimentos</t>
  </si>
  <si>
    <t>mercadofinanceiro investimentos educacaofinanceira</t>
  </si>
  <si>
    <t>brkm5 bpac11 mercadofinanceiro investimentos</t>
  </si>
  <si>
    <t>criptoativos mercadofinanceiro investimentos</t>
  </si>
  <si>
    <t>selic mercadofinanceiro investimentos megasena</t>
  </si>
  <si>
    <t>bpac11 einvestidor mercadofinanceiro</t>
  </si>
  <si>
    <t>bbas3 cxse3 ntco3 cple6 mercadofinanceiro</t>
  </si>
  <si>
    <t>mercadofinanceiro einvestidor</t>
  </si>
  <si>
    <t>bradesco anim3 mercadofinanceiro investimentos</t>
  </si>
  <si>
    <t>nymex mercadofinanceiro investimentos</t>
  </si>
  <si>
    <t>pcar3 brkm5 recv3 mercadofinanceiro investimentos</t>
  </si>
  <si>
    <t>azul4 cvcb3 goll4 mercadofinanceiro investimentos</t>
  </si>
  <si>
    <t>fed copom mercadofinanceiro investimentos</t>
  </si>
  <si>
    <t>mercadofinanceiro investimentos tesouros</t>
  </si>
  <si>
    <t>bhia3 viia3 varejo mercadofinanceiro</t>
  </si>
  <si>
    <t>taee11 mercadofinanceiro investimentos</t>
  </si>
  <si>
    <t>mercadofinanceiro investimentos b3d</t>
  </si>
  <si>
    <t>embr3 alpa4 mglu3 mercadofinanceiro investimentos</t>
  </si>
  <si>
    <t>brkm5 smto3 asai3 mercadofinanceiro investimentos</t>
  </si>
  <si>
    <t>petz3 yduq3 prio3 mercadofinanceiro investimentos</t>
  </si>
  <si>
    <t>mercadofinanceiro investimentos beatles</t>
  </si>
  <si>
    <t>gpa mercadofinanceiro investimentos</t>
  </si>
  <si>
    <t>fincare mercadofinanceiro investimentos</t>
  </si>
  <si>
    <t>sbsp3 tarcísio mercadofinanceiro investimentos</t>
  </si>
  <si>
    <t>selic copom juros mercadofinanceiro</t>
  </si>
  <si>
    <t>bolsonaro mercadofinanceiro investimentos</t>
  </si>
  <si>
    <t>petz3 pcar3 lwsa3 mercadofinanceiro investimentos</t>
  </si>
  <si>
    <t>brfs3 elet6 elet3 mercadofinanceiro investimentos</t>
  </si>
  <si>
    <t>mglu3 goll4 azul4 mercadofinanceiro investimentos</t>
  </si>
  <si>
    <t>cvcb3 wege3 irbr3 mercadofinanceiro investimentos</t>
  </si>
  <si>
    <t>bpac11 brkm5 mercadofinanceiro investimentos</t>
  </si>
  <si>
    <t>bhia3 viia3 einvestidor mercadofinanceiro varejo</t>
  </si>
  <si>
    <t>brpr3 mercadofinanceiro</t>
  </si>
  <si>
    <t>mercadofinanceiro investimentos elet3</t>
  </si>
  <si>
    <t>elet6 cple6 mercadofinanceiro investimentos</t>
  </si>
  <si>
    <t>cple6 petr4 mercadofinanceiro investimentos</t>
  </si>
  <si>
    <t>mercadofinanceiro investimentos petr4</t>
  </si>
  <si>
    <t>caixatem mercadofinanceiro investimentos</t>
  </si>
  <si>
    <t>mercadofinanceiro investimentos cvc 123milhas</t>
  </si>
  <si>
    <t>mercadofinanceiro investimentos sãopaulo</t>
  </si>
  <si>
    <t>mercadofinanceiro investimentos barbiedoll</t>
  </si>
  <si>
    <t>mercadofinanceiro investimentos economia tesourodireto</t>
  </si>
  <si>
    <t>china mercadofinanceiro investimentos</t>
  </si>
  <si>
    <t>divórcio sandy mercadofinanceiro investimentos</t>
  </si>
  <si>
    <t>nubank mercadofinanceiro investimentos pix</t>
  </si>
  <si>
    <t>mercadofinanceiro investimentos economiacircular</t>
  </si>
  <si>
    <t>mercadofinanceiro investimentos irbr3</t>
  </si>
  <si>
    <t>mercadofinanceiro investimentos rendafixa selic</t>
  </si>
  <si>
    <t>mercadofinanceiro investimentos b3sa3</t>
  </si>
  <si>
    <t>jcp mercadofinanceiro investimentos csud3</t>
  </si>
  <si>
    <t>mercadofinanceiro investimentos mils3</t>
  </si>
  <si>
    <t>pcar3 soma3 petz3 mercadofinanceiro investimentos</t>
  </si>
  <si>
    <t>brfs3 azul4 suzb3 mercadofinanceiro investimentos</t>
  </si>
  <si>
    <t>viia3 mercadofinanceiro investimentos</t>
  </si>
  <si>
    <t>oibr4 mercadofinanceiro investimentos</t>
  </si>
  <si>
    <t>cashback mercadofinanceiro investimentos</t>
  </si>
  <si>
    <t>svn mercadofinanceiro investimentos</t>
  </si>
  <si>
    <t>ibovespa dólar mercadofinanceiro</t>
  </si>
  <si>
    <t>irbr3 beef3 mrfg3 mercadofinanceiro investimentos</t>
  </si>
  <si>
    <t>wege3 enev3 embr3 mercadofinanceiro investimentos</t>
  </si>
  <si>
    <t>mercadofinanceiro investimentos mattel</t>
  </si>
  <si>
    <t>mulheresempreendedoras mercadofinanceiro marketingdigital</t>
  </si>
  <si>
    <t>trader mercadofinanceiro</t>
  </si>
  <si>
    <t>ibovespa bolsadevalores itaúunibanco vencimentodeopções mercadofinanceiro</t>
  </si>
  <si>
    <t>dólar mercadofinanceiro câmbio economia dolar</t>
  </si>
  <si>
    <t>dolar traders mercadofinanceiro mercadofinanceirobr</t>
  </si>
  <si>
    <t>petrobras b3 mercadofinanceiro</t>
  </si>
  <si>
    <t>gripeaviária agricultura mercadofinanceiro</t>
  </si>
  <si>
    <t>dólar inflação federalreserve mercadofinanceiro</t>
  </si>
  <si>
    <t>energiarenovável mercadofinanceiro</t>
  </si>
  <si>
    <t>resultados aviação gol mercadofinanceiro</t>
  </si>
  <si>
    <t>ibovespa mercadofinanceiro bolsadevalores</t>
  </si>
  <si>
    <t>ibovespa dowjones mercadofinanceiro rating otimismo bolsadevalores</t>
  </si>
  <si>
    <t>mercadofinanceiro dólar bolsadevalores</t>
  </si>
  <si>
    <t>ibovespa bolsadevalores mercadofinanceiro economia investimentos</t>
  </si>
  <si>
    <t>indicefuturo ibov mercadofinanceiro traders</t>
  </si>
  <si>
    <t>mercadofinanceiro bolsa b3</t>
  </si>
  <si>
    <t>dólar mercadofinanceiro</t>
  </si>
  <si>
    <t>mercadofinanceiro b3 dollar</t>
  </si>
  <si>
    <t>economia2023 mercadofinanceiro dolar</t>
  </si>
  <si>
    <t>ibovespa mercadofinanceiro investimentos</t>
  </si>
  <si>
    <t>petrobras dividendos mercadofinanceiro</t>
  </si>
  <si>
    <t>mercadofinanceiro b3 ibovespa</t>
  </si>
  <si>
    <t>trader indices dolar mercadofinanceiro</t>
  </si>
  <si>
    <t>ipca inflacão economia b3 mercadofinanceiro</t>
  </si>
  <si>
    <t>mercadofinanceiro dollar b3</t>
  </si>
  <si>
    <t>mercadofinanceiro copom ibovespa</t>
  </si>
  <si>
    <t>macroeconomía tlc</t>
  </si>
  <si>
    <t>macroeconomía ics</t>
  </si>
  <si>
    <t>telos ai ia aai mercadofinanceiro</t>
  </si>
  <si>
    <t>linhadefrente mercadofinanceiro camposneto</t>
  </si>
  <si>
    <t>jornaldamanhã mercadofinanceiro grãos rússia</t>
  </si>
  <si>
    <t>jornaldamanhã mercadofinanceiro investidores bolsasdevalores</t>
  </si>
  <si>
    <t>diálogojp bancocentral economia mercadofinanceiro</t>
  </si>
  <si>
    <t>jornaldamanhã jovempan pablospyer mercadofinanceiro</t>
  </si>
  <si>
    <t>jornaldamanhã economia mercadofinanceiro bolsas pablospyer</t>
  </si>
  <si>
    <t>jornaldamanhã economia mercadofinanceiro pablospyer</t>
  </si>
  <si>
    <t>showbusiness patrickburnett mercadofinanceiro</t>
  </si>
  <si>
    <t>jornaldamanhã pablospyer economia mercadofinanceiro</t>
  </si>
  <si>
    <t>macroeconomist economia edufin podcast gimme5 macroeconomia</t>
  </si>
  <si>
    <t>mercadofinanceiro economiaglobal</t>
  </si>
  <si>
    <t>mercadofinanceiro alíviofiscal ibovespa dólar</t>
  </si>
  <si>
    <t>somostraders investimentos noticias mercadofinanceiro</t>
  </si>
  <si>
    <t>somostraders trader investimentos noticias mercadofinanceiro</t>
  </si>
  <si>
    <t>detraderparatrader trader investimentos noticias mercadofinanceiro economia açoes b3</t>
  </si>
  <si>
    <t>detraderparatrader trader investimentos noticias mercadofinanceiro economia</t>
  </si>
  <si>
    <t>detraderparatrader investimentos mercadofinanceiro economia</t>
  </si>
  <si>
    <t>detraderparatrader investimentos mercadofinanceiro economia dolar</t>
  </si>
  <si>
    <t>detraderparatrader investimentos mercadofinanceiro economia dividendos açoes fiis</t>
  </si>
  <si>
    <t>detraderparatrader investimentos mercadofinanceiro economia ibovespa</t>
  </si>
  <si>
    <t>detraderparatrader investimentos mercadofinanceiro economia dolar ibovespa</t>
  </si>
  <si>
    <t>detraderparatrader investimentos noticias mercadofinanceiro economia fiis dividendos</t>
  </si>
  <si>
    <t>detraderparatrader investimentos mercadofinanceiro economia trader</t>
  </si>
  <si>
    <t>detraderparatrader trader investimentos noticias mercadofinanceiro economia açoes</t>
  </si>
  <si>
    <t>detraderparatrader trader investimentos noticias mercadofinanceiro economia açoes b3 dividendos</t>
  </si>
  <si>
    <t>detraderparatrader investimentos mercadofinanceiro açoes dividendos</t>
  </si>
  <si>
    <t>detraderparatrader investimentos mercadofinanceiro economia trader noticias</t>
  </si>
  <si>
    <t>detraderparatrader investimentos mercadofinanceiro economia trader noticias bitcoin</t>
  </si>
  <si>
    <t>trader investimentos noticias mercadofinanceiro</t>
  </si>
  <si>
    <t>investimentos noticias mercadofinanceiro</t>
  </si>
  <si>
    <t>somostraders investimentos noticias mercadofinanceiro fiis dividendos</t>
  </si>
  <si>
    <t>detraderparatrader investimentos mercadofinanceiro economia ações dividendos</t>
  </si>
  <si>
    <t>detraderparatrader trader investimentos noticias mercadofinanceiro economia dolar</t>
  </si>
  <si>
    <t>detraderparatrader investimentos mercadofinanceiro economia trader noticias trade</t>
  </si>
  <si>
    <t>detraderparatrader investimentos fiis mercadofinanceiro economia dividendos</t>
  </si>
  <si>
    <t>mercadofinanceiro economia noticias</t>
  </si>
  <si>
    <t>detraderparatrader investimentos mercadofinanceiro economia trader noticias trade daytrade</t>
  </si>
  <si>
    <t>detraderparatrader mercadofinanceiro economia trader noticias trade daytrade dolar ibovespa</t>
  </si>
  <si>
    <t>somostraders trader investimentos noticias mercadofinanceiro economia copom selic</t>
  </si>
  <si>
    <t>detraderparatrader mercadofinanceiro economia noticias ibovespa selic copom brasil inflaçāo</t>
  </si>
  <si>
    <t>detraderparatrader investimentos mercadofinanceiro trader noticias</t>
  </si>
  <si>
    <t>detraderparatrader mercadofinanceiro economia noticias ibovespa selic copom</t>
  </si>
  <si>
    <t>vale3 cmin3 detraderparatrader investimentos mercadofinanceiro economia trader noticias</t>
  </si>
  <si>
    <t>eqtl3 detraderparatrader investimentos mercadofinanceiro economia trader noticias</t>
  </si>
  <si>
    <t>cple6 detraderparatrader investimentos mercadofinanceiro economia noticias</t>
  </si>
  <si>
    <t>cple6 somostraders trader investimentos noticias mercadofinanceiro</t>
  </si>
  <si>
    <t>noticias mercadofinanceiro</t>
  </si>
  <si>
    <t>investimento noticia mercadofinanceiro</t>
  </si>
  <si>
    <t>investimentos mercadofinanceiro economia noticias</t>
  </si>
  <si>
    <t>sbsp3 detraderparatrader investimentos mercadofinanceiro trader</t>
  </si>
  <si>
    <t>pcar3 itub4 detraderparatrader investimentos mercadofinanceiro economia trader</t>
  </si>
  <si>
    <t>pcar3 detraderparatrader investimentos mercadofinanceiro economia trader</t>
  </si>
  <si>
    <t>kepl3 detraderparatrader investimentos mercadofinanceiro economia trader</t>
  </si>
  <si>
    <t>brkm5 detraderparatrader investimentos mercadofinanceiro economia trader</t>
  </si>
  <si>
    <t>somostraders investimentos mercadofinanceiro</t>
  </si>
  <si>
    <t>macroeconomia fomc taxadejuros vemsermodalmais</t>
  </si>
  <si>
    <t>mercadocripto seguimientobtc macroeconomia</t>
  </si>
  <si>
    <t>apple probiçãodachina bolsadevalores mercadofinanceiro açõesdetecnologia</t>
  </si>
  <si>
    <t>bolsadevalores mercadofinanceiro macroeconomia</t>
  </si>
  <si>
    <t>lula bolsadevalores brasil mercadofinanceiro</t>
  </si>
  <si>
    <t>apostasesportivas taxação mercadofinanceiro</t>
  </si>
  <si>
    <t>eua paralisação mercadofinanceiro bolsadevalores evergrande</t>
  </si>
  <si>
    <t>bolsadevalores economia macroeconomia</t>
  </si>
  <si>
    <t>openfinance mercadofinanceiro</t>
  </si>
  <si>
    <t>https://viuu.com.br/2023/07/27/agencia-fitch-entenda-seu-papel-no-mercado-financeiro/?feed_id=10905 https://viuu.com.br/2023/07/27/agencia-fitch-entenda-seu-papel-no-mercado-financeiro/?feed_id=10905</t>
  </si>
  <si>
    <t>https://viuu.com.br/2023/08/28/mercado-eleva-projecao-de-crescimento-da-economia/?feed_id=14146 https://viuu.com.br/2023/08/28/mercado-eleva-projecao-de-crescimento-da-economia/?feed_id=14146</t>
  </si>
  <si>
    <t>http://twitch.tv/yasdl https://www.twitch.tv/yasdl/v/1887683979?sr=a&amp;t=234s</t>
  </si>
  <si>
    <t>https://vortx.gupy.io/ https://vortxtech.gupy.io/</t>
  </si>
  <si>
    <t>http://construtordecapital.com.br https://www.instagram.com/reel/Cu0Vw8NJscr/?igshid=YTUzYTFiZDMwYg==</t>
  </si>
  <si>
    <t>http://Gov.br https://einvestidor.estadao.com.br/educacao-financeira/nova-fase-desenrola-comeca-setembro-como-participar/?utm_source=twitter&amp;utm_medium=organic&amp;utm_campaign=&amp;utm_content=materia</t>
  </si>
  <si>
    <t>bit.ly</t>
  </si>
  <si>
    <t>instagram.com</t>
  </si>
  <si>
    <t>com.br</t>
  </si>
  <si>
    <t>valoraanalitik.com</t>
  </si>
  <si>
    <t>youtu.be</t>
  </si>
  <si>
    <t>com.br com.br</t>
  </si>
  <si>
    <t>tradingview.com</t>
  </si>
  <si>
    <t>jornaldocomercio.com</t>
  </si>
  <si>
    <t>alertaeconomica.com</t>
  </si>
  <si>
    <t>linkedin.com</t>
  </si>
  <si>
    <t>acesse.one</t>
  </si>
  <si>
    <t>l1nk.dev</t>
  </si>
  <si>
    <t>youtube.com</t>
  </si>
  <si>
    <t>joaocostafilho.com</t>
  </si>
  <si>
    <t>x.gd</t>
  </si>
  <si>
    <t>twitch.tv</t>
  </si>
  <si>
    <t>twitch.tv twitch.tv</t>
  </si>
  <si>
    <t>s3wfg.com</t>
  </si>
  <si>
    <t>washingtonpost.com</t>
  </si>
  <si>
    <t>wsj.com</t>
  </si>
  <si>
    <t>businessinsider.es</t>
  </si>
  <si>
    <t>cnn.it</t>
  </si>
  <si>
    <t>elpais.com</t>
  </si>
  <si>
    <t>spreaker.com</t>
  </si>
  <si>
    <t>finanzasdehoy.com</t>
  </si>
  <si>
    <t>diarinho.net</t>
  </si>
  <si>
    <t>edu.br</t>
  </si>
  <si>
    <t>tiktok.com</t>
  </si>
  <si>
    <t>github.com</t>
  </si>
  <si>
    <t>hotmart.com</t>
  </si>
  <si>
    <t>perfil.com</t>
  </si>
  <si>
    <t>e2t.to</t>
  </si>
  <si>
    <t>thinkonomics.com</t>
  </si>
  <si>
    <t>ow.ly</t>
  </si>
  <si>
    <t>tinyurl.com</t>
  </si>
  <si>
    <t>substack.com</t>
  </si>
  <si>
    <t>com.py</t>
  </si>
  <si>
    <t>wordpress.com</t>
  </si>
  <si>
    <t>mla.bs</t>
  </si>
  <si>
    <t>dirigentesdigital.com</t>
  </si>
  <si>
    <t>trad3.co</t>
  </si>
  <si>
    <t>com.ar</t>
  </si>
  <si>
    <t>lnkd.in</t>
  </si>
  <si>
    <t>realinstitutoelcano.org</t>
  </si>
  <si>
    <t>com.do</t>
  </si>
  <si>
    <t>n9.cl</t>
  </si>
  <si>
    <t>bbc.com</t>
  </si>
  <si>
    <t>estrategiaynegocios.net</t>
  </si>
  <si>
    <t>iadb.org</t>
  </si>
  <si>
    <t>funcas.es</t>
  </si>
  <si>
    <t>org.br</t>
  </si>
  <si>
    <t>buff.ly</t>
  </si>
  <si>
    <t>meetup.com</t>
  </si>
  <si>
    <t>doi.org</t>
  </si>
  <si>
    <t>cuts2.com</t>
  </si>
  <si>
    <t>bravacapital.com</t>
  </si>
  <si>
    <t>infinita.cl</t>
  </si>
  <si>
    <t>dinamicarg.com</t>
  </si>
  <si>
    <t>investoetf.com</t>
  </si>
  <si>
    <t>semanaeconomica.com</t>
  </si>
  <si>
    <t>economiaempauta.com</t>
  </si>
  <si>
    <t>seudinheiro.com</t>
  </si>
  <si>
    <t>fb.watch</t>
  </si>
  <si>
    <t>kpages.online</t>
  </si>
  <si>
    <t>blogspot.com</t>
  </si>
  <si>
    <t>twitter.com</t>
  </si>
  <si>
    <t>marketscreener.com</t>
  </si>
  <si>
    <t>gupy.io gupy.io</t>
  </si>
  <si>
    <t>dlvr.it</t>
  </si>
  <si>
    <t>magindiaz.do</t>
  </si>
  <si>
    <t>globo.com</t>
  </si>
  <si>
    <t>amzn.to</t>
  </si>
  <si>
    <t>urjc.es</t>
  </si>
  <si>
    <t>diariodominho.pt</t>
  </si>
  <si>
    <t>shorturl.at</t>
  </si>
  <si>
    <t>tgrafi.co</t>
  </si>
  <si>
    <t>wix.to</t>
  </si>
  <si>
    <t>broker-qx.pro</t>
  </si>
  <si>
    <t>lamervaleta.com</t>
  </si>
  <si>
    <t>cromaticanoticias.com</t>
  </si>
  <si>
    <t>com.br instagram.com</t>
  </si>
  <si>
    <t>whatsapp.com</t>
  </si>
  <si>
    <t>wa.link</t>
  </si>
  <si>
    <t>publico.es</t>
  </si>
  <si>
    <t>bybit.com</t>
  </si>
  <si>
    <t>gov.br</t>
  </si>
  <si>
    <t>uv.es</t>
  </si>
  <si>
    <t>douglascorretordeimoveis.com</t>
  </si>
  <si>
    <t>esteri.it</t>
  </si>
  <si>
    <t>ft.com</t>
  </si>
  <si>
    <t>europapress.es</t>
  </si>
  <si>
    <t>bde.es</t>
  </si>
  <si>
    <t>eleconomista.es</t>
  </si>
  <si>
    <t>lavanguardia.com</t>
  </si>
  <si>
    <t>gov.br com.br</t>
  </si>
  <si>
    <t>sst.trade</t>
  </si>
  <si>
    <t>investing.com</t>
  </si>
  <si>
    <t>jraixelamarkets</t>
  </si>
  <si>
    <t>valoraanalitik minhacienda</t>
  </si>
  <si>
    <t>valoraanalitik petrogustavo luisfermejia</t>
  </si>
  <si>
    <t>lagacetachile darekmacpherson</t>
  </si>
  <si>
    <t>pablogiltrader xtbes</t>
  </si>
  <si>
    <t>tomi_l33 jaym_willy</t>
  </si>
  <si>
    <t>buskardsteve harpersimps</t>
  </si>
  <si>
    <t>farodevigo lara_grana</t>
  </si>
  <si>
    <t>infinitafm hegonzalb cata_edwards pato_eskenazi</t>
  </si>
  <si>
    <t>bancorepublica minhacienda</t>
  </si>
  <si>
    <t>c_lindner sergiimarchenk3</t>
  </si>
  <si>
    <t>ipeopinion cabecitaterri</t>
  </si>
  <si>
    <t>arielsayas adolfosafran</t>
  </si>
  <si>
    <t>tomasrodri mashirafael</t>
  </si>
  <si>
    <t>alvarosfrasson arthurlulam</t>
  </si>
  <si>
    <t>dawanhutt tangoyyc</t>
  </si>
  <si>
    <t>dawanhutt samuellandrysam</t>
  </si>
  <si>
    <t>teozorraquinzm ecos365</t>
  </si>
  <si>
    <t>ecos365 teozorraquinzm</t>
  </si>
  <si>
    <t>peqempresas valoreconomico</t>
  </si>
  <si>
    <t>valoraanalitik diancolombia</t>
  </si>
  <si>
    <t>miriadax juancaraguado urjc</t>
  </si>
  <si>
    <t>juancaraguado miriadax urjc</t>
  </si>
  <si>
    <t>miriadax urjc juancaraguado</t>
  </si>
  <si>
    <t>miriadax urjc</t>
  </si>
  <si>
    <t>amchamperu bcrpoficial</t>
  </si>
  <si>
    <t>szampa56 luciomalan</t>
  </si>
  <si>
    <t>minagricultura fedearrozgremio petrogustavo</t>
  </si>
  <si>
    <t>ricardobonillag petrogustavo alianzain1</t>
  </si>
  <si>
    <t>senadogovco camaracolombia mincomercioco infopresidencia</t>
  </si>
  <si>
    <t>minhacienda mirandabogota</t>
  </si>
  <si>
    <t>minhacienda federalreserve</t>
  </si>
  <si>
    <t>dane_colombia petrog</t>
  </si>
  <si>
    <t>minhacienda jpmorgan bvccolombia</t>
  </si>
  <si>
    <t>dane_colombia petro ricardobonillag</t>
  </si>
  <si>
    <t>jrobertoacosta1 ricardobonillag minhacienda</t>
  </si>
  <si>
    <t>ricardobonillag fenalconacional juangzuluaga</t>
  </si>
  <si>
    <t>camacolcolombia minvivienda petrogustavo</t>
  </si>
  <si>
    <t>acopi_nacional petrogustavo</t>
  </si>
  <si>
    <t>wmanzur petrogustavo ricardobonillag</t>
  </si>
  <si>
    <t>minhacienda andi_colombia brucemacmaster ocdeenespanol jrestrp</t>
  </si>
  <si>
    <t>velascoluisf mininterior petrogustavo</t>
  </si>
  <si>
    <t>mauriciocard petrogustavo carfcolombia</t>
  </si>
  <si>
    <t>petrogustavo consejogremial</t>
  </si>
  <si>
    <t>chelseafc_sp dane_colombia</t>
  </si>
  <si>
    <t>unidos_camara ricardobonillag petrogustavo</t>
  </si>
  <si>
    <t>josea_ocampo ricardobonillag</t>
  </si>
  <si>
    <t>petrogustavo prosperidadcol</t>
  </si>
  <si>
    <t>mincomercioco germanumanam</t>
  </si>
  <si>
    <t>dane_colombia anifco</t>
  </si>
  <si>
    <t>minagricultura jmojicaflorez fedecafeteros</t>
  </si>
  <si>
    <t>minagricultura jmojicaflorez</t>
  </si>
  <si>
    <t>andi_colombia brucemacmaster</t>
  </si>
  <si>
    <t>andi_colombia ricardobonillag minhacienda</t>
  </si>
  <si>
    <t>andi_colombia ricardobonillag</t>
  </si>
  <si>
    <t>ricardobonillag irenevelezt</t>
  </si>
  <si>
    <t>minhacienda ricardobonillag</t>
  </si>
  <si>
    <t>ricardobonillag minhacienda</t>
  </si>
  <si>
    <t>petrogustavo ricardobonillag</t>
  </si>
  <si>
    <t>ricardobonillag bancorepublica</t>
  </si>
  <si>
    <t>dane_colombia petrogustavo ricardobonillag</t>
  </si>
  <si>
    <t>minhacienda ricardobonillag petrogustavo</t>
  </si>
  <si>
    <t>dane_colombia ricardobonillag</t>
  </si>
  <si>
    <t>bancorepublica minhacienda ricardobonillag</t>
  </si>
  <si>
    <t>minhacienda bancorepublica petrogustavo ricardobonillag</t>
  </si>
  <si>
    <t>dane_colombia minhacienda</t>
  </si>
  <si>
    <t>minhacienda bancorepublica sfcsupervisor</t>
  </si>
  <si>
    <t>bancorepublica sfcsupervisor</t>
  </si>
  <si>
    <t>fasecoldaoficia sfcsupervisor</t>
  </si>
  <si>
    <t>senadogovco micheljanna</t>
  </si>
  <si>
    <t>cotelcolombia mincomercioco</t>
  </si>
  <si>
    <t>petrogustavo luisfermejia</t>
  </si>
  <si>
    <t>minhacienda petrogustavo</t>
  </si>
  <si>
    <t>petrogustavo bancorepublica</t>
  </si>
  <si>
    <t>valoraanalitik mauriciocard petrogustavo</t>
  </si>
  <si>
    <t>juanchoriva ottosonnenh</t>
  </si>
  <si>
    <t>https://t.co/LLSx1OmTIQ https://pbs.twimg.com/media/F6aGGdEWsAAMzXe.jpg</t>
  </si>
  <si>
    <t>https://t.co/7mkcUfT0dL https://pbs.twimg.com/media/F1BQnG9WwAQIfvA.jpg</t>
  </si>
  <si>
    <t>https://t.co/1EKAGlXuZE https://pbs.twimg.com/media/F2tljoWWUAAoSX8.jpg</t>
  </si>
  <si>
    <t>https://t.co/oeBlIj4kcJ https://pbs.twimg.com/media/F3RQ-joWsAA2UHg.jpg</t>
  </si>
  <si>
    <t>https://t.co/QPZ5y7CmrT https://pbs.twimg.com/media/F3LrCHcWoAAlTSC.jpg</t>
  </si>
  <si>
    <t>https://t.co/tQydy52a9X https://pbs.twimg.com/media/F4ZzKG8XcAILEJF.jpg</t>
  </si>
  <si>
    <t>https://t.co/Sis4loi3uF https://pbs.twimg.com/media/F31yjiRXEAIDJLo.jpg</t>
  </si>
  <si>
    <t>https://t.co/VQkYJFCFpn https://pbs.twimg.com/media/F56sGcXWUAAxNru.jpg</t>
  </si>
  <si>
    <t>https://t.co/NjugounsrU https://pbs.twimg.com/media/F49xS9vXQAA18t5.jpg</t>
  </si>
  <si>
    <t>https://t.co/IHcmjQ7p6U https://pbs.twimg.com/media/F2JLaEmXwAA0PKO.jpg</t>
  </si>
  <si>
    <t>https://t.co/NI5l25Kz84 https://pbs.twimg.com/media/F6FV4VlWAAAkwZU.jpg</t>
  </si>
  <si>
    <t>https://t.co/6NuxUepDEy https://pbs.twimg.com/ext_tw_video_thumb/1707088467098804225/pu/img/WxYVESabLSh4Qcso.jpg</t>
  </si>
  <si>
    <t>https://t.co/ftMBmDXP6Q https://pbs.twimg.com/media/F6qJqiOWgAIqW4p.jpg</t>
  </si>
  <si>
    <t>https://t.co/458xrsuUuE https://pbs.twimg.com/media/F30u1PLW8AEgNDY.jpg</t>
  </si>
  <si>
    <t>https://t.co/t1ah6Sr42S https://pbs.twimg.com/media/F0_FJOgXoAENy_4.jpg</t>
  </si>
  <si>
    <t>https://t.co/ikrTucnFYE https://pbs.twimg.com/media/F0v7NiQXoAArGMg.jpg</t>
  </si>
  <si>
    <t>https://t.co/TflYgUAzXR https://pbs.twimg.com/media/F0vxqhmXgAEeqIv.jpg</t>
  </si>
  <si>
    <t>https://t.co/j7yqzxDM73 https://pbs.twimg.com/media/F0voYx9WwAEJtiB.jpg</t>
  </si>
  <si>
    <t>https://t.co/uPRK0IeBS4 https://pbs.twimg.com/media/F2eZSjsaAAIsLby.jpg</t>
  </si>
  <si>
    <t>https://t.co/B1fvqXy3gL https://pbs.twimg.com/media/F27OxOAXIAAs6JV.jpg</t>
  </si>
  <si>
    <t>https://t.co/lQng8sjfwe https://pbs.twimg.com/media/F6QSXm2WEAAkHnk.jpg</t>
  </si>
  <si>
    <t>https://t.co/4SEMUir5dW https://pbs.twimg.com/amplify_video_thumb/1704139277167214592/img/wgi6FbGtCPtHOIhu.jpg</t>
  </si>
  <si>
    <t>https://t.co/ZChPsnsICf https://pbs.twimg.com/media/F2FLUl4WsAAfnEz.jpg</t>
  </si>
  <si>
    <t>https://t.co/7E9HMppGEB https://pbs.twimg.com/media/F1hFMxlXwAA2BtZ.jpg</t>
  </si>
  <si>
    <t>https://t.co/43sdt15cf9 https://pbs.twimg.com/media/F37fMPnWoAAga_F.jpg</t>
  </si>
  <si>
    <t>https://t.co/8fL2WTi6LH https://pbs.twimg.com/media/F6BaRiWXAAAzNgV.jpg</t>
  </si>
  <si>
    <t>https://t.co/dKVv1AK3fg https://pbs.twimg.com/media/F2yyGlOW4AAwtgc.jpg</t>
  </si>
  <si>
    <t>https://t.co/5NJDHPDsGK https://pbs.twimg.com/media/F1rz880WcAEsrdj.jpg</t>
  </si>
  <si>
    <t>https://t.co/hfbK1UDueX https://pbs.twimg.com/media/F6d4U15XAAANU2P.jpg</t>
  </si>
  <si>
    <t>https://t.co/JilsoMYOf0 https://pbs.twimg.com/media/F6HQy5ybQAAo6KI.jpg</t>
  </si>
  <si>
    <t>https://t.co/C3x9a5upfP https://t.co/C3x9a5upfP https://t.co/C3x9a5upfP https://t.co/C3x9a5upfP https://pbs.twimg.com/media/F1URyipXwAEkpj_.jpg https://pbs.twimg.com/media/F1URyipWIAEcP4M.jpg https://pbs.twimg.com/media/F1URyiqWYAAnUKr.jpg https://pbs.twimg.com/media/F1URyjJWYAQarGU.jpg</t>
  </si>
  <si>
    <t>https://t.co/xdYh2BYLVO https://pbs.twimg.com/media/F2r0UdtWQAAQQi8.jpg</t>
  </si>
  <si>
    <t>https://t.co/7QaTtFcbKm https://pbs.twimg.com/media/F2jE0A-XoAAumKX.jpg</t>
  </si>
  <si>
    <t>https://t.co/GVSPeb09FW https://pbs.twimg.com/media/F2m3sc5XgAET143.jpg</t>
  </si>
  <si>
    <t>https://t.co/o1sixHrqXq https://pbs.twimg.com/media/F2m24iVWkAAVcWz.jpg</t>
  </si>
  <si>
    <t>https://t.co/Gh1nGnOPtb https://pbs.twimg.com/media/F1b3oyrWYAAUMTB.png</t>
  </si>
  <si>
    <t>https://t.co/70mNRTqULV https://t.co/70mNRTqULV https://t.co/70mNRTqULV https://pbs.twimg.com/media/F1b2UolWcAEmxWm.png https://pbs.twimg.com/media/F1b2tnqXsAACGPF.png https://pbs.twimg.com/media/F1b2gb1XoAIkQQj.png</t>
  </si>
  <si>
    <t>https://t.co/xCjhXRGHKD https://pbs.twimg.com/media/F2bQUeVWMAAUv_U.png</t>
  </si>
  <si>
    <t>https://t.co/aIXX3LxxJR https://pbs.twimg.com/media/F2AWMvTXgAAPrna.png</t>
  </si>
  <si>
    <t>https://t.co/Vy7Y53QYUF https://pbs.twimg.com/media/F2G9WuTXUAAKxGv.png</t>
  </si>
  <si>
    <t>https://t.co/n8mNzOb2w8 https://pbs.twimg.com/media/F6Tq4PPXgAAmI_j.jpg</t>
  </si>
  <si>
    <t>https://t.co/3i0O4hrYvr https://pbs.twimg.com/media/F3wkTKVXgAA75Rn.jpg</t>
  </si>
  <si>
    <t>https://t.co/OAvsGACwZF https://t.co/OAvsGACwZF https://t.co/OAvsGACwZF https://t.co/OAvsGACwZF https://pbs.twimg.com/media/F51glK7WgAELXZT.jpg https://pbs.twimg.com/media/F51glK6WUAAp9vf.jpg https://pbs.twimg.com/media/F51glK9WMAAf4J8.jpg https://pbs.twimg.com/media/F51glK8XgAAkm3Y.jpg</t>
  </si>
  <si>
    <t>https://t.co/d1h1vLQM1s https://t.co/d1h1vLQM1s https://t.co/d1h1vLQM1s https://t.co/d1h1vLQM1s https://pbs.twimg.com/media/F65jVaUWUAArLqa.jpg https://pbs.twimg.com/media/F65jVaUXMAARl-B.jpg https://pbs.twimg.com/media/F65jVaTW4AAoRbE.jpg https://pbs.twimg.com/media/F65jVaTWwAEyBY5.jpg</t>
  </si>
  <si>
    <t>https://t.co/joKbPfOBHP https://pbs.twimg.com/media/F1fVFnTWwAQIpbW.jpg</t>
  </si>
  <si>
    <t>https://t.co/9jruw8SEWL https://pbs.twimg.com/media/F1066i3WIAAJ1cT.jpg</t>
  </si>
  <si>
    <t>https://t.co/rlk3qSqx7X https://pbs.twimg.com/media/F09O358XwAAUrQs.jpg</t>
  </si>
  <si>
    <t>https://t.co/7yaBFallWK https://pbs.twimg.com/media/F1Ps3-4WcAEU_y5.jpg</t>
  </si>
  <si>
    <t>https://t.co/TeqRUYP4sx https://pbs.twimg.com/media/F30EoRJXsAEptdx.png</t>
  </si>
  <si>
    <t>https://t.co/PxAF86C5Ah https://pbs.twimg.com/ext_tw_video_thumb/1678768933208469508/pu/img/vx7-YBB3T4XdLEA2.jpg</t>
  </si>
  <si>
    <t>https://t.co/Dkn0uvijJM https://pbs.twimg.com/ext_tw_video_thumb/1684258190525857822/pu/img/_MlmW1w7Gh10c5JQ.jpg</t>
  </si>
  <si>
    <t>https://t.co/efeHitFB5i https://pbs.twimg.com/ext_tw_video_thumb/1686810736373145601/pu/img/cfws1LK6e9UDXnEw.jpg</t>
  </si>
  <si>
    <t>https://t.co/nwuUjZ0sK8 https://pbs.twimg.com/ext_tw_video_thumb/1688944274807615488/pu/img/b0ZmwSILK2-AR0Sh.jpg</t>
  </si>
  <si>
    <t>https://t.co/q0f1Fg6V6R https://pbs.twimg.com/ext_tw_video_thumb/1688942293795897344/pu/img/Iz81U8Knhe_vQbV5.jpg</t>
  </si>
  <si>
    <t>https://t.co/pM9tpurw51 https://pbs.twimg.com/ext_tw_video_thumb/1681349506581905442/pu/img/p_TkMhf0CakgMqRx.jpg</t>
  </si>
  <si>
    <t>https://t.co/NG6lCv3tfz https://pbs.twimg.com/ext_tw_video_thumb/1694783547410665472/pu/img/InHSNA4QrCJwriK7.jpg</t>
  </si>
  <si>
    <t>https://t.co/goViJ26VVl https://pbs.twimg.com/ext_tw_video_thumb/1704155002120421376/pu/img/T3RMB_WOE6gN31SZ.jpg</t>
  </si>
  <si>
    <t>https://t.co/k7LbSET6Pr https://pbs.twimg.com/ext_tw_video_thumb/1682128851940384768/pu/img/d2Tid-GJ3ealUalg.jpg</t>
  </si>
  <si>
    <t>https://t.co/YofWVlEL3B https://pbs.twimg.com/ext_tw_video_thumb/1679892993162063873/pu/img/aYpMtxAe4hjv8koZ.jpg</t>
  </si>
  <si>
    <t>https://t.co/p6qXXGShGm https://pbs.twimg.com/ext_tw_video_thumb/1679545753809592322/pu/img/sPJoNJkq7KV8I_2_.jpg</t>
  </si>
  <si>
    <t>https://t.co/Pw0VDEFrdE https://pbs.twimg.com/media/F0yG-LXWIAIY9tS.jpg</t>
  </si>
  <si>
    <t>https://t.co/TIIk1fR0mn https://pbs.twimg.com/media/F0yGtM1WwAAZLuw.jpg</t>
  </si>
  <si>
    <t>https://t.co/1e1uVvofHu https://pbs.twimg.com/ext_tw_video_thumb/1678864569974812673/pu/img/H-I2y3q_Tdglx4Y9.jpg</t>
  </si>
  <si>
    <t>https://t.co/hFgYC375Ie https://pbs.twimg.com/ext_tw_video_thumb/1684229577550319618/pu/img/xOaYLkS9F_RdUeCf.jpg</t>
  </si>
  <si>
    <t>https://t.co/kHpQrMxlwI https://pbs.twimg.com/ext_tw_video_thumb/1684227847479611393/pu/img/VWFFhI1cNCuXznRQ.jpg</t>
  </si>
  <si>
    <t>https://t.co/TohlJtz8zO https://pbs.twimg.com/ext_tw_video_thumb/1683902712692211719/pu/img/S9x1BaRovxxrJJp0.jpg</t>
  </si>
  <si>
    <t>https://t.co/iTJqGIhe6y https://pbs.twimg.com/ext_tw_video_thumb/1683602105267830785/pu/img/ex7V7xEDU3CihxFN.jpg</t>
  </si>
  <si>
    <t>https://t.co/moQn4DdSID https://pbs.twimg.com/media/F4Ok6aUXIAA6goe.jpg</t>
  </si>
  <si>
    <t>https://t.co/FFZbPItQy8 https://pbs.twimg.com/ext_tw_video_thumb/1681329755667177473/pu/img/U9CtMrF84c0fzAmM.jpg</t>
  </si>
  <si>
    <t>https://t.co/IHD9CvKNzC https://pbs.twimg.com/ext_tw_video_thumb/1698788521471856641/pu/img/kcGhOE7UkeaPbq2y.jpg</t>
  </si>
  <si>
    <t>https://t.co/9Y9atMO8XS https://pbs.twimg.com/ext_tw_video_thumb/1678875493460762626/pu/img/T1HAdWUCnylz4OHI.jpg</t>
  </si>
  <si>
    <t>https://t.co/HWgFFEO5rS https://pbs.twimg.com/ext_tw_video_thumb/1679084945069817856/pu/img/ga48LamGI5p8iajS.jpg</t>
  </si>
  <si>
    <t>https://t.co/9GS0DFvrUU https://pbs.twimg.com/ext_tw_video_thumb/1683958165317058560/pu/img/XvH-oA-vi6vzCQdB.jpg</t>
  </si>
  <si>
    <t>https://t.co/OB4GOeq9mc https://pbs.twimg.com/ext_tw_video_thumb/1688710490246004736/pu/img/S1hiIM29M2dyZKc8.jpg</t>
  </si>
  <si>
    <t>https://t.co/GRNjggYP81 https://pbs.twimg.com/ext_tw_video_thumb/1685759890474565633/pu/img/9v8aAttywqfQekZY.jpg</t>
  </si>
  <si>
    <t>https://t.co/Ebt79oxgIS https://pbs.twimg.com/ext_tw_video_thumb/1684695482369536000/pu/img/4ygwlzvpT7HE-J8C.jpg</t>
  </si>
  <si>
    <t>https://t.co/VpcSViGv7d https://pbs.twimg.com/ext_tw_video_thumb/1682191640817987589/pu/img/uyV-KTZ-AZOa8Gpd.jpg</t>
  </si>
  <si>
    <t>https://t.co/DCqgfsz3mS https://pbs.twimg.com/ext_tw_video_thumb/1694862226497138688/pu/img/6io_ZAk1tTzofy82.jpg</t>
  </si>
  <si>
    <t>https://t.co/IGhyBsmrv2 https://pbs.twimg.com/ext_tw_video_thumb/1685311277210488832/pu/img/U6WS_IR1FBuDDxCz.jpg</t>
  </si>
  <si>
    <t>https://t.co/DsRS4PfGpS https://pbs.twimg.com/ext_tw_video_thumb/1688978841027411968/pu/img/oWDsRZG_VUEAFXM0.jpg</t>
  </si>
  <si>
    <t>https://t.co/KkR6z52iiK https://pbs.twimg.com/ext_tw_video_thumb/1678517156307247110/pu/img/564AqiRn783JHMo3.jpg</t>
  </si>
  <si>
    <t>https://t.co/gx7oN9NGmD https://pbs.twimg.com/ext_tw_video_thumb/1694468549564104704/pu/img/IWwQWJAP-H6fVupa.jpg</t>
  </si>
  <si>
    <t>https://t.co/hZJfioR2Co https://pbs.twimg.com/ext_tw_video_thumb/1680985910026878976/pu/img/r4_p81h5BhoTZIkT.jpg</t>
  </si>
  <si>
    <t>https://t.co/i8rwHcBWSo https://pbs.twimg.com/ext_tw_video_thumb/1689784197035040768/pu/img/iGMUNBS0x6uDCof_.jpg</t>
  </si>
  <si>
    <t>https://t.co/GtLZ8mWtPd https://pbs.twimg.com/ext_tw_video_thumb/1683536462350827527/pu/img/sRkq8u1ljRIQcUBB.jpg</t>
  </si>
  <si>
    <t>https://t.co/Bna0bkgHdU https://pbs.twimg.com/ext_tw_video_thumb/1680001521327456257/pu/img/1Ce0Wa-pxzArlEVU.jpg</t>
  </si>
  <si>
    <t>https://t.co/wMDSvflVdU https://pbs.twimg.com/ext_tw_video_thumb/1694097277713850368/pu/img/WSjoRMgCp3wrC8lH.jpg</t>
  </si>
  <si>
    <t>https://t.co/4JW4zvzOeq https://pbs.twimg.com/ext_tw_video_thumb/1701893511421792256/pu/img/RQSzJAAEa9Lr6jWq.jpg</t>
  </si>
  <si>
    <t>https://t.co/IMMOQ21vRw https://pbs.twimg.com/ext_tw_video_thumb/1686868181611163648/pu/img/6E_kJd_656np4Zgq.jpg</t>
  </si>
  <si>
    <t>https://t.co/Wdq4OXOA3G https://pbs.twimg.com/ext_tw_video_thumb/1679810269244018691/pu/img/G3FgWxhWM11luWAv.jpg</t>
  </si>
  <si>
    <t>https://t.co/ooAR0Sh3xm https://pbs.twimg.com/ext_tw_video_thumb/1679611256469110784/pu/img/-pudnHNTowIjJqcu.jpg</t>
  </si>
  <si>
    <t>https://t.co/bgdERJ79U6 https://pbs.twimg.com/ext_tw_video_thumb/1699002170652188672/pu/img/DuNRQML0MFjJN5kc.jpg</t>
  </si>
  <si>
    <t>https://t.co/ZLWP5XmUr3 https://pbs.twimg.com/ext_tw_video_thumb/1687255053696909312/pu/img/5Se5UIoUBXokAsr4.jpg</t>
  </si>
  <si>
    <t>https://t.co/LiFtUr9U5T https://pbs.twimg.com/ext_tw_video_thumb/1701174421975597056/pu/img/vBul5CAaVdibtPkj.jpg</t>
  </si>
  <si>
    <t>https://t.co/vQAR81QOm1 https://pbs.twimg.com/ext_tw_video_thumb/1693735995538067457/pu/img/07H9hKjG8NjMpSKp.jpg</t>
  </si>
  <si>
    <t>https://t.co/VNUKCjqcI1 https://pbs.twimg.com/ext_tw_video_thumb/1697341562873581568/pu/img/4puMLXrzKXWDf3ud.jpg</t>
  </si>
  <si>
    <t>https://t.co/xkhxyhmFUw https://pbs.twimg.com/ext_tw_video_thumb/1686489774650232832/pu/img/YgocBazk4ckQ11lN.jpg</t>
  </si>
  <si>
    <t>https://t.co/d6Y6KUlGgQ https://pbs.twimg.com/ext_tw_video_thumb/1698637535126167552/pu/img/HJsVgRrG9rDGJDG1.jpg</t>
  </si>
  <si>
    <t>https://t.co/wy3n6Z2Smi https://pbs.twimg.com/ext_tw_video_thumb/1696993656647909376/pu/img/AoQISzAO0EjXF6nI.jpg</t>
  </si>
  <si>
    <t>https://t.co/DQ3WARRkOE https://pbs.twimg.com/ext_tw_video_thumb/1680279097866346496/pu/img/4P2vhasKjI_meiY7.jpg</t>
  </si>
  <si>
    <t>https://t.co/S6rCjivISW https://pbs.twimg.com/ext_tw_video_thumb/1699361125672894464/pu/img/6lcHPGX-jFyvXPwp.jpg</t>
  </si>
  <si>
    <t>https://t.co/Qf1FZm1nJT https://pbs.twimg.com/ext_tw_video_thumb/1702265229235638275/pu/img/9PSsJg2lu3Tcxt6m.jpg</t>
  </si>
  <si>
    <t>https://t.co/5ZdlLHAFTx https://pbs.twimg.com/ext_tw_video_thumb/1681447538094686209/pu/img/7U2P32nrmYOozDxP.jpg</t>
  </si>
  <si>
    <t>https://t.co/Iy6spFkfAQ https://pbs.twimg.com/ext_tw_video_thumb/1702454700568719361/pu/img/zkLDsgAfR6HZ3WTp.jpg</t>
  </si>
  <si>
    <t>https://t.co/yxvsPCJyhK https://pbs.twimg.com/ext_tw_video_thumb/1702623103640014848/pu/img/17eotePo_rHe7nx9.jpg</t>
  </si>
  <si>
    <t>https://t.co/WEYJ080vMu https://pbs.twimg.com/ext_tw_video_thumb/1689025091496038401/pu/img/bj2lZBKc4LfW2wZe.jpg</t>
  </si>
  <si>
    <t>https://t.co/HUopWpRYm7 https://pbs.twimg.com/ext_tw_video_thumb/1703706036731838464/pu/img/sHAqx0tBREqN48in.jpg</t>
  </si>
  <si>
    <t>https://t.co/v3Pa1tI6M7 https://pbs.twimg.com/ext_tw_video_thumb/1701535361787162624/pu/img/NgZ_6EVr5Lw5Rj7a.jpg</t>
  </si>
  <si>
    <t>https://t.co/Cl9ff4c33R https://pbs.twimg.com/ext_tw_video_thumb/1691949563043553280/pu/img/BWFLqaNHCMn3T928.jpg</t>
  </si>
  <si>
    <t>https://t.co/TViNLzSX4d https://pbs.twimg.com/ext_tw_video_thumb/1704064859233464320/pu/img/fyFEPrYZiyRlvhtd.jpg</t>
  </si>
  <si>
    <t>https://t.co/fZu44RCjpa https://pbs.twimg.com/ext_tw_video_thumb/1707139205615202304/pu/img/rH6tO_wpH2IMRpbx.jpg</t>
  </si>
  <si>
    <t>https://t.co/uPomKJNra7 https://pbs.twimg.com/ext_tw_video_thumb/1706008486490873856/pu/img/-qJomMRwAtWWbSCF.jpg</t>
  </si>
  <si>
    <t>https://t.co/UMqrsfvHdz https://pbs.twimg.com/ext_tw_video_thumb/1704428849566560256/pu/img/z5flDySS_eYvY2k3.jpg</t>
  </si>
  <si>
    <t>https://t.co/DN2Ic7ATl8 https://pbs.twimg.com/ext_tw_video_thumb/1697727542419963904/pu/img/mpGpK7kXIv3fCTT7.jpg</t>
  </si>
  <si>
    <t>https://t.co/Nde5QekDy4 https://pbs.twimg.com/media/F1lOIYRWIAA4P1z.jpg</t>
  </si>
  <si>
    <t>https://t.co/3z08LhNBjd https://pbs.twimg.com/media/F1lOCwrWYAAecXr.jpg</t>
  </si>
  <si>
    <t>https://t.co/McRW7WMXHU https://pbs.twimg.com/tweet_video_thumb/F1Nyj0mWwAM3gtU.jpg</t>
  </si>
  <si>
    <t>https://t.co/dHGvtQTIT8 https://t.co/dHGvtQTIT8 https://pbs.twimg.com/media/F3LFYOHbgAA55XI.jpg https://pbs.twimg.com/media/F3LFYOFb0AcPXMe.jpg</t>
  </si>
  <si>
    <t>https://t.co/pMTImMJ9Jz https://pbs.twimg.com/media/F3nUnbZXgAAiNWv.jpg</t>
  </si>
  <si>
    <t>https://t.co/fTMddA8wsl https://t.co/fTMddA8wsl https://t.co/fTMddA8wsl https://pbs.twimg.com/media/F5grOOkX0AAj9M1.jpg https://pbs.twimg.com/media/F5grOOmW8AERVpU.jpg https://pbs.twimg.com/media/F5grOOpXQAAqaDj.jpg</t>
  </si>
  <si>
    <t>https://t.co/uJttH82Lic https://pbs.twimg.com/ext_tw_video_thumb/1685621331214127104/pu/img/7tUdBvQazNI1IimW.jpg</t>
  </si>
  <si>
    <t>https://t.co/3srNRV208N https://pbs.twimg.com/ext_tw_video_thumb/1690105934280863745/pu/img/NVVJpYPTvCKFjiev.jpg</t>
  </si>
  <si>
    <t>https://t.co/bW6wvlPfOX https://pbs.twimg.com/media/F4u5y58XAAABl2s.jpg</t>
  </si>
  <si>
    <t>https://t.co/ByaYlCwpHp https://pbs.twimg.com/ext_tw_video_thumb/1695194441961648128/pu/img/W8jjmD7HztVtH2Bz.jpg</t>
  </si>
  <si>
    <t>https://t.co/Qtao6mIs95 https://pbs.twimg.com/ext_tw_video_thumb/1697006366173401088/pu/img/3M7hgbtxjdntvXjo.jpg</t>
  </si>
  <si>
    <t>https://t.co/vrhNWuiCgP https://pbs.twimg.com/ext_tw_video_thumb/1687569202050207744/pu/img/YZeMzqahtoaT0qug.jpg</t>
  </si>
  <si>
    <t>https://t.co/OH9rgRO8Ww https://pbs.twimg.com/ext_tw_video_thumb/1699548115718529025/pu/img/z7oFCX40kz5kWn0s.jpg</t>
  </si>
  <si>
    <t>https://t.co/yGx1LDfHYM https://pbs.twimg.com/ext_tw_video_thumb/1702444110605434880/pu/img/EqtDqTqxdkZNtqXc.jpg</t>
  </si>
  <si>
    <t>https://t.co/Vf3WO93ZkW https://pbs.twimg.com/media/F58JLOTWUAAaCBn.jpg</t>
  </si>
  <si>
    <t>https://t.co/3m3gXhsQrD https://pbs.twimg.com/media/F3mbsI_XYAAU-Aw.jpg</t>
  </si>
  <si>
    <t>https://t.co/xfJHQ2637W https://pbs.twimg.com/media/F5bhg4AbsAA2qT8.jpg</t>
  </si>
  <si>
    <t>https://t.co/wLmNy0TQAG https://pbs.twimg.com/media/F1UaTvAXoAMc9u5.jpg</t>
  </si>
  <si>
    <t>https://t.co/zYPAenEEvk https://pbs.twimg.com/media/F0sk75kWIAYN3q_.jpg</t>
  </si>
  <si>
    <t>https://t.co/dJ6oEUYE11 https://pbs.twimg.com/media/F1pUFg0X0AE15pI.jpg</t>
  </si>
  <si>
    <t>https://t.co/tKuppmnk3G https://pbs.twimg.com/media/F2DeYk3X0AAHt2t.jpg</t>
  </si>
  <si>
    <t>https://t.co/ptDZ1A9yui https://t.co/ptDZ1A9yui https://pbs.twimg.com/media/F233fbsXoAYqrEl.jpg https://pbs.twimg.com/media/F23_Bi3XsAAXDmk.jpg</t>
  </si>
  <si>
    <t>https://t.co/gmqK6G9bAj https://pbs.twimg.com/tweet_video_thumb/F6WS9h5XQAAjKFy.jpg</t>
  </si>
  <si>
    <t>https://t.co/b5vpKWa0ep https://pbs.twimg.com/media/F3hFOM3WwAAQJD_.png</t>
  </si>
  <si>
    <t>https://t.co/R1IwIhwQAG https://t.co/R1IwIhwQAG https://pbs.twimg.com/media/F44LRT8aMAAuDM2.jpg https://pbs.twimg.com/media/F44LRb7aMAAoJBN.jpg</t>
  </si>
  <si>
    <t>https://t.co/gTyu3DDYzm https://t.co/gTyu3DDYzm https://t.co/gTyu3DDYzm https://pbs.twimg.com/media/F4H41aMX0AAnL5r.jpg https://pbs.twimg.com/media/F4H419IX0AA_OtL.jpg https://pbs.twimg.com/media/F4H43bIXoAAmoik.jpg</t>
  </si>
  <si>
    <t>https://t.co/clWMcC5U7w https://pbs.twimg.com/media/F4yrq9_XwAEKue4.jpg</t>
  </si>
  <si>
    <t>https://t.co/fv1mmf7DfE https://pbs.twimg.com/ext_tw_video_thumb/1696919618013609985/pu/img/GRkUumzQG_gsNtDi.jpg</t>
  </si>
  <si>
    <t>https://t.co/Qsm59DOrXQ https://pbs.twimg.com/ext_tw_video_thumb/1700036465588076544/pu/img/Cv9NoxCu73rg0Ev1.jpg</t>
  </si>
  <si>
    <t>https://t.co/UYxCSjJvpq https://pbs.twimg.com/ext_tw_video_thumb/1700036067338940416/pu/img/naW37Snr56MPqX_2.jpg</t>
  </si>
  <si>
    <t>https://t.co/QjJkbAkxjU https://pbs.twimg.com/ext_tw_video_thumb/1700034767607996416/pu/img/A5-rn94pQSBB6CmP.jpg</t>
  </si>
  <si>
    <t>https://t.co/n4HqaIy4cG https://pbs.twimg.com/ext_tw_video_thumb/1700034581829677056/pu/img/bnG7lMrVrXLfwrFE.jpg</t>
  </si>
  <si>
    <t>https://t.co/JqayQKt35S https://pbs.twimg.com/ext_tw_video_thumb/1700034086155259904/pu/img/5EOKmqEtzevMhUaj.jpg</t>
  </si>
  <si>
    <t>https://t.co/tOL4Qv8heS https://pbs.twimg.com/ext_tw_video_thumb/1700033841027534848/pu/img/9oHYhNWy9AiacML2.jpg</t>
  </si>
  <si>
    <t>https://t.co/D8GENChn48 https://t.co/D8GENChn48 https://pbs.twimg.com/ext_tw_video_thumb/1700033014351241216/pu/img/Y5Pf-d5W2t8PaQxs.jpg https://pbs.twimg.com/media/F5e7i5gXAAAIUH4.jpg</t>
  </si>
  <si>
    <t>https://t.co/8QnnIs2oto https://pbs.twimg.com/ext_tw_video_thumb/1704545990714265601/pu/img/2zZ6_9L1h4-TiO95.jpg</t>
  </si>
  <si>
    <t>https://t.co/4liCCClcxj https://pbs.twimg.com/ext_tw_video_thumb/1697715177704046592/pu/img/QYrG4wlU6T9YHwcG.jpg</t>
  </si>
  <si>
    <t>https://t.co/ywDzFVM5Y0 https://pbs.twimg.com/media/F4zpcHbaMAAqht3.jpg</t>
  </si>
  <si>
    <t>https://t.co/yZoWwLAnuU https://pbs.twimg.com/media/F1ls8YCWAAAR3F9.jpg</t>
  </si>
  <si>
    <t>https://t.co/TFqizaxo0c https://pbs.twimg.com/media/F4--M2DXsAADiye.jpg</t>
  </si>
  <si>
    <t>https://t.co/U53mfC1cct https://pbs.twimg.com/media/F3G6piJXgAIMNFQ.jpg</t>
  </si>
  <si>
    <t>https://t.co/QYUhHze9DG https://pbs.twimg.com/media/F1BAjqeWAAYynFb.jpg</t>
  </si>
  <si>
    <t>https://t.co/RiwF9Navsg https://pbs.twimg.com/media/F4318_3XMAA78mu.jpg</t>
  </si>
  <si>
    <t>https://t.co/bGDpLLSI2P https://pbs.twimg.com/ext_tw_video_thumb/1707070275089473536/pu/img/JeAwFlrVB0AihGMc.jpg</t>
  </si>
  <si>
    <t>https://t.co/dqBnTK3fb1 https://pbs.twimg.com/media/F5suQiZacAAgeE_.jpg</t>
  </si>
  <si>
    <t>https://t.co/RVBjTF95vj https://pbs.twimg.com/media/F6aw5DnX0AAWp2Q.png</t>
  </si>
  <si>
    <t>https://t.co/jbUJCoF4vL https://pbs.twimg.com/media/F63i1XwWQAA5eK2.jpg</t>
  </si>
  <si>
    <t>https://t.co/34ITok4sbW https://pbs.twimg.com/media/F27SsqvW8AACSr-.jpg</t>
  </si>
  <si>
    <t>https://t.co/VcULwKwlBT https://pbs.twimg.com/media/F4pcwmPWoAAaun7.png</t>
  </si>
  <si>
    <t>https://t.co/P6S2kFrMrx https://pbs.twimg.com/media/F4zv79-W0AAp1s4.png</t>
  </si>
  <si>
    <t>https://t.co/jKHZ9TwAJg https://pbs.twimg.com/media/F4umWOdWUAA9Mzf.png</t>
  </si>
  <si>
    <t>https://t.co/pYw1ih7yeV https://pbs.twimg.com/media/F5Nf4uZXwAEbt7k.png</t>
  </si>
  <si>
    <t>https://t.co/Sq2CwbW22v https://pbs.twimg.com/media/F445hrbWwAA4EJh.png</t>
  </si>
  <si>
    <t>https://t.co/9kB7SCPSuy https://pbs.twimg.com/media/F52sm0zW0AAFEAx.png</t>
  </si>
  <si>
    <t>https://t.co/ruWyRivJ9C https://pbs.twimg.com/media/F5c8qGfX0AAyhJz.png</t>
  </si>
  <si>
    <t>https://t.co/kERm0Sv0Mb https://pbs.twimg.com/media/F5SpemaXMAASCug.png</t>
  </si>
  <si>
    <t>https://t.co/fVor95asfL https://pbs.twimg.com/media/F6A_yKvXUAADR6g.png</t>
  </si>
  <si>
    <t>https://t.co/xvlx2EjY9X https://pbs.twimg.com/media/F6GJX3aWwAA2y1x.png</t>
  </si>
  <si>
    <t>https://t.co/6V2HQiLcea https://pbs.twimg.com/media/F6VmJKFXsAAMiJt.png</t>
  </si>
  <si>
    <t>https://t.co/f7PcdcTvcc https://pbs.twimg.com/media/F5XzEMQWwAAqFOe.png</t>
  </si>
  <si>
    <t>https://t.co/mQSqA6VUVN https://pbs.twimg.com/media/F6qMgFGWQAAsES0.png</t>
  </si>
  <si>
    <t>https://t.co/BDFnvdv6wu https://pbs.twimg.com/media/F4-DHc6XMAA8rOM.png</t>
  </si>
  <si>
    <t>https://t.co/esnDqdo7CP https://pbs.twimg.com/media/F6lC86gXEAA5GLL.png</t>
  </si>
  <si>
    <t>https://t.co/I2rE8FmFHh https://pbs.twimg.com/media/F6f5UvLWQAc8SC5.png</t>
  </si>
  <si>
    <t>https://t.co/0Urg0oUQDd https://pbs.twimg.com/media/F5iGPyMWoAAZzpy.png</t>
  </si>
  <si>
    <t>https://t.co/q6pxtRB5MV https://pbs.twimg.com/media/F65pRTxX0AAZ56v.png</t>
  </si>
  <si>
    <t>https://t.co/CouZUBgt8n https://pbs.twimg.com/media/F6-y3IDWwAIwtLa.png</t>
  </si>
  <si>
    <t>https://t.co/LrbV6cGrhg https://pbs.twimg.com/media/F572MZ8WQAAaPdj.png</t>
  </si>
  <si>
    <t>https://t.co/5lf3GgKnmZ https://pbs.twimg.com/media/F7EE5kfXAAAeeAe.png</t>
  </si>
  <si>
    <t>https://t.co/tBFZ6fQTJb https://pbs.twimg.com/media/F6avu5yXsAAwPWZ.png</t>
  </si>
  <si>
    <t>https://t.co/RwmXfdbfwK https://pbs.twimg.com/media/F5xjBEXWwAAvqLv.png</t>
  </si>
  <si>
    <t>https://t.co/hSxA7MWX9P https://pbs.twimg.com/media/F4jBDRNX0AAYo8F.jpg</t>
  </si>
  <si>
    <t>https://t.co/eNonPWxhS2 https://pbs.twimg.com/media/F31l2GIX0AABGz8.png</t>
  </si>
  <si>
    <t>https://t.co/5RxKdZ1f96 https://pbs.twimg.com/media/F31lvWOWQAASp2z.png</t>
  </si>
  <si>
    <t>https://t.co/Qx4XTcPRRs https://pbs.twimg.com/media/F31lZM0XUAAehMz.png</t>
  </si>
  <si>
    <t>https://t.co/LcbMSDb1MO https://pbs.twimg.com/media/F31lTrKXsAABTqZ.png</t>
  </si>
  <si>
    <t>https://t.co/WWIr1E6Qmg https://pbs.twimg.com/media/F31lA0vXAAA_0_T.png</t>
  </si>
  <si>
    <t>https://t.co/ukb8K1smTN https://pbs.twimg.com/media/F31k1ctWkAA5XlG.png</t>
  </si>
  <si>
    <t>https://t.co/RLOXrm10Ls https://pbs.twimg.com/media/F31kvrKWsAAIOUC.png</t>
  </si>
  <si>
    <t>https://t.co/m2lcxxH3OF https://pbs.twimg.com/media/F31kblhWgAAAT69.png</t>
  </si>
  <si>
    <t>https://t.co/T2NhZC1O6p https://pbs.twimg.com/media/F31kVVWWQAACPqJ.png</t>
  </si>
  <si>
    <t>https://t.co/Ra3xD0udxG https://pbs.twimg.com/media/F31kP6AWIAA1IwC.png</t>
  </si>
  <si>
    <t>https://t.co/jcZOInpCsb https://pbs.twimg.com/media/F2I9gMjWsAwEatv.jpg</t>
  </si>
  <si>
    <t>https://t.co/av9q9DdoR2 https://pbs.twimg.com/media/F2YhjS7XoAAQvyC.jpg</t>
  </si>
  <si>
    <t>https://t.co/K96DDWOGi5 https://pbs.twimg.com/media/F4E4DxEWkAAA3tJ.jpg</t>
  </si>
  <si>
    <t>https://t.co/7X0eVjbfrN https://pbs.twimg.com/media/F55g4fXXIAAt7tk.jpg</t>
  </si>
  <si>
    <t>https://t.co/TcVbb9pnHB https://pbs.twimg.com/ext_tw_video_thumb/1694876531644887040/pu/img/ZvyFnKNOo6y5ZslX.jpg</t>
  </si>
  <si>
    <t>https://t.co/L5cEjhRyPD https://pbs.twimg.com/media/F6zAqvGWIAATO--.jpg</t>
  </si>
  <si>
    <t>https://t.co/6pzKEore2Z https://pbs.twimg.com/media/F2JqTOjWkAATP46.jpg</t>
  </si>
  <si>
    <t>https://t.co/Y2JsUWxBIr https://pbs.twimg.com/media/F2ZIx_FWsAAm7pk.jpg</t>
  </si>
  <si>
    <t>https://t.co/yczyNxUen1 https://pbs.twimg.com/media/F2sdJZtWwAAf1V3.jpg</t>
  </si>
  <si>
    <t>https://t.co/jDZLkEjFx5 https://pbs.twimg.com/media/F3Qb17AWIAAybaG.jpg</t>
  </si>
  <si>
    <t>https://t.co/gi0fcfKzJF https://t.co/gi0fcfKzJF https://t.co/gi0fcfKzJF https://t.co/gi0fcfKzJF https://pbs.twimg.com/media/F5wVsY_WAAA9bCZ.jpg https://pbs.twimg.com/media/F5wVsvAWIAA2zbK.jpg https://pbs.twimg.com/media/F5wVtE8WcAAuwem.jpg https://pbs.twimg.com/media/F5wVtZfWwAEIRaO.jpg</t>
  </si>
  <si>
    <t>https://t.co/69LNJEUP2R https://t.co/69LNJEUP2R https://t.co/69LNJEUP2R https://t.co/69LNJEUP2R https://pbs.twimg.com/media/F5wUunmWcAAMZex.jpg https://pbs.twimg.com/media/F5wUu-MWEAEDahk.jpg https://pbs.twimg.com/media/F5wUvU0XMAAc1VA.jpg https://pbs.twimg.com/media/F5wUvzOWAAA4-Qb.jpg</t>
  </si>
  <si>
    <t>https://t.co/DLcfJxCZc2 https://pbs.twimg.com/ext_tw_video_thumb/1704655873711173632/pu/img/VyXUZYwyd-FnOSF5.jpg</t>
  </si>
  <si>
    <t>https://t.co/dgbnRxzo4J https://pbs.twimg.com/ext_tw_video_thumb/1702697879180103680/pu/img/C232UzaYoKDNJ_wJ.jpg</t>
  </si>
  <si>
    <t>https://t.co/iWjYeCPGmW https://pbs.twimg.com/ext_tw_video_thumb/1703060797914595328/pu/img/s7OEiO_JPEterJqJ.jpg</t>
  </si>
  <si>
    <t>https://t.co/g4rfskw6Zx https://pbs.twimg.com/ext_tw_video_thumb/1704152707106217984/pu/img/yoq5sqs4wgZ4Jbw2.jpg</t>
  </si>
  <si>
    <t>https://t.co/cvoZsvIDHK https://pbs.twimg.com/media/F23kxnOXoAAg4OZ.png</t>
  </si>
  <si>
    <t>https://t.co/KRQe0Irke9 https://pbs.twimg.com/media/F2d8-MBWIAADtPR.png</t>
  </si>
  <si>
    <t>https://t.co/8L7ls0aSCb https://pbs.twimg.com/media/F2yJcDjWUAAZXye.png</t>
  </si>
  <si>
    <t>https://t.co/SmAFFJuUP1 https://pbs.twimg.com/media/F2yJWSHWUAEaLsj.png</t>
  </si>
  <si>
    <t>https://t.co/TwezTUaaor https://pbs.twimg.com/media/F1qlifWWIAAjs4v.jpg</t>
  </si>
  <si>
    <t>https://t.co/8SCQEwTjpE https://pbs.twimg.com/media/F6GW-IMW8AAZTsX.jpg</t>
  </si>
  <si>
    <t>https://t.co/jdz0QGWMl3 https://pbs.twimg.com/media/F6FmsjSXQAA8CsP.jpg</t>
  </si>
  <si>
    <t>https://t.co/3SZEEexGmD https://pbs.twimg.com/media/F5yC-QyWAAArxCv.jpg</t>
  </si>
  <si>
    <t>https://t.co/tJQLNR3t7H https://pbs.twimg.com/media/F2H48m3WwAA65-w.jpg</t>
  </si>
  <si>
    <t>https://t.co/Ip7uhoiIrN https://pbs.twimg.com/media/F0rKdOmXsAItfb8.jpg</t>
  </si>
  <si>
    <t>https://t.co/mLyjl6PNlw https://pbs.twimg.com/media/F2fQvqlXgAE77xj.jpg</t>
  </si>
  <si>
    <t>https://t.co/CQ5j7w6USH https://pbs.twimg.com/media/F03GSX9X0AIhcd8.jpg</t>
  </si>
  <si>
    <t>https://t.co/jgxBWv4bir https://pbs.twimg.com/media/F3FXxEnXwAAe8P_.jpg</t>
  </si>
  <si>
    <t>https://t.co/LclAfbwwQC https://pbs.twimg.com/media/F2H5ff8WUAACwHn.jpg</t>
  </si>
  <si>
    <t>https://t.co/QPhbwwhWHQ https://pbs.twimg.com/media/F1a2wnBWwAQEO5T.jpg</t>
  </si>
  <si>
    <t>https://t.co/icIXN3ZCr6 https://pbs.twimg.com/media/F0yGkfxXoAMX7gW.jpg</t>
  </si>
  <si>
    <t>https://t.co/7yzQY9gUZ9 https://pbs.twimg.com/media/F3RxA65WgAA0bv2.jpg</t>
  </si>
  <si>
    <t>https://t.co/5WrSj19ckn https://pbs.twimg.com/media/F3RvWPzX0AEJjF8.jpg</t>
  </si>
  <si>
    <t>https://t.co/lzYnCjDPXW https://pbs.twimg.com/media/F3vxQMBXsAoNToa.jpg</t>
  </si>
  <si>
    <t>https://t.co/iIjIpVgpls https://pbs.twimg.com/media/F1kwCgOXgAAFxl2.jpg</t>
  </si>
  <si>
    <t>https://t.co/ptfbglnElT https://pbs.twimg.com/media/F4bjqH0XIAAjD3V.jpg</t>
  </si>
  <si>
    <t>https://t.co/P0yL2nB5oj https://pbs.twimg.com/ext_tw_video_thumb/1691170063728930816/pu/img/BYP1C9XpDjeKm_QS.jpg</t>
  </si>
  <si>
    <t>https://t.co/HwLtpIvm5q https://pbs.twimg.com/media/F4PRVBNXEAE3vkw.jpg</t>
  </si>
  <si>
    <t>https://t.co/6ajzlhuXkm https://pbs.twimg.com/media/F2zVlRDWAAA6etm.jpg</t>
  </si>
  <si>
    <t>https://t.co/8aMaoQOU8L https://pbs.twimg.com/media/F4keShsXIAAX9o3.jpg</t>
  </si>
  <si>
    <t>https://t.co/rDoys2EBJP https://pbs.twimg.com/media/F1Bj41YX0AIfZ0y.jpg</t>
  </si>
  <si>
    <t>https://t.co/EQm7ja5uxm https://pbs.twimg.com/media/F4tz_1tWkAEiKT8.jpg</t>
  </si>
  <si>
    <t>https://t.co/zuLM2iYR99 https://pbs.twimg.com/media/F3lsYBSWIA4mOil.jpg</t>
  </si>
  <si>
    <t>https://t.co/xPWRvZ0xuV https://pbs.twimg.com/media/F42TjJiWkAALiT_.jpg</t>
  </si>
  <si>
    <t>https://t.co/QPpZKex1mS https://pbs.twimg.com/media/F1VdTrBXwBYTjkG.jpg</t>
  </si>
  <si>
    <t>https://t.co/KeJSn4i2rX https://pbs.twimg.com/media/F40NHbwXgAA-V_k.jpg</t>
  </si>
  <si>
    <t>https://t.co/JJHMtxcOue https://pbs.twimg.com/media/F29cUupWcAAPo0I.jpg</t>
  </si>
  <si>
    <t>https://t.co/dhejBcsS8A https://pbs.twimg.com/media/F1a1dlLWwBIJMTR.jpg</t>
  </si>
  <si>
    <t>https://t.co/A2mZZwu7Tt https://pbs.twimg.com/media/F45oZnHWQAASFI1.jpg</t>
  </si>
  <si>
    <t>https://t.co/U4beWNeP9x https://pbs.twimg.com/ext_tw_video_thumb/1688478674478145536/pu/img/99Jib0I9jn3AfDIL.jpg</t>
  </si>
  <si>
    <t>https://t.co/zw0E144t0N https://pbs.twimg.com/media/F5SW867XgAASxPm.jpg</t>
  </si>
  <si>
    <t>https://t.co/VDrBJeHJ6O https://pbs.twimg.com/media/F2YdKFEWQAAwdUz.jpg</t>
  </si>
  <si>
    <t>https://t.co/1VejlxcDGK https://pbs.twimg.com/media/F1kvj-0XoAEH4N3.jpg</t>
  </si>
  <si>
    <t>https://t.co/L5XgIjNtDi https://pbs.twimg.com/media/F03FLuiXgAYPYr9.jpg</t>
  </si>
  <si>
    <t>https://t.co/Pf2UYP9KSI https://pbs.twimg.com/media/F5CnofQXAAAvsFt.jpg</t>
  </si>
  <si>
    <t>https://t.co/QtpQI61Aj7 https://pbs.twimg.com/media/F5NMlIGWoAA4y4b.jpg</t>
  </si>
  <si>
    <t>https://t.co/nUuB73CZ9e https://pbs.twimg.com/media/F4PRe4RWEAItHdb.jpg</t>
  </si>
  <si>
    <t>https://t.co/WCBmjsa6su https://pbs.twimg.com/media/F4JtgybW8AE33sb.jpg</t>
  </si>
  <si>
    <t>https://t.co/uxiAz1ZxIp https://pbs.twimg.com/media/F1BkxGuXoAAMsfs.jpg</t>
  </si>
  <si>
    <t>https://t.co/oGIPJ735WG https://pbs.twimg.com/media/F5dMt-tXcAAeMkU.jpg</t>
  </si>
  <si>
    <t>https://t.co/sE2j64bGmg https://pbs.twimg.com/media/F5hdsmQW4AAdSDI.jpg</t>
  </si>
  <si>
    <t>https://t.co/fDCDxRn8qA https://pbs.twimg.com/media/F4Zqvh4XAAAioyP.jpg</t>
  </si>
  <si>
    <t>https://t.co/d1GUOOf5pE https://pbs.twimg.com/media/F3RxODkXwAIbxdr.jpg</t>
  </si>
  <si>
    <t>https://t.co/ZEwp6iB54x https://pbs.twimg.com/media/F1QdIZqX0AEa-cL.jpg</t>
  </si>
  <si>
    <t>https://t.co/zQnhz8kxJh https://pbs.twimg.com/media/F52Yy0yWMAAR5xL.jpg</t>
  </si>
  <si>
    <t>https://t.co/WNAjvEc2C9 https://pbs.twimg.com/media/F3qyMwxXcAEt8J_.jpg</t>
  </si>
  <si>
    <t>https://t.co/nuopn5PyaX https://pbs.twimg.com/media/F1kvBi1XgAElf4y.jpg</t>
  </si>
  <si>
    <t>https://t.co/hZrKbYLTcz https://pbs.twimg.com/media/F6VId2VWkAAqomo.jpg</t>
  </si>
  <si>
    <t>https://t.co/1pBxkLNhmN https://pbs.twimg.com/media/F572jaCWoAArE5U.jpg</t>
  </si>
  <si>
    <t>https://t.co/Ts098NIro0 https://pbs.twimg.com/media/F5XVo9wWIAA01EL.jpg</t>
  </si>
  <si>
    <t>https://t.co/dokUmlQRfK https://pbs.twimg.com/media/F6kNo9PWMAAdoF9.jpg</t>
  </si>
  <si>
    <t>https://t.co/Gbno5HzxIW https://pbs.twimg.com/media/F6fEiZUXsAAixno.jpg</t>
  </si>
  <si>
    <t>https://t.co/ie14VXazVY https://pbs.twimg.com/media/F5lai8rWUAAILln.jpg</t>
  </si>
  <si>
    <t>https://t.co/JKMwB6K5ze https://pbs.twimg.com/media/F6vFL5uWIAAOhNa.jpg</t>
  </si>
  <si>
    <t>https://t.co/mIAuTquJn2 https://pbs.twimg.com/media/F6fEVwQXkAAyB67.jpg</t>
  </si>
  <si>
    <t>https://t.co/jpDJlksfP4 https://pbs.twimg.com/media/F2H5QYBW8AEM80-.jpg</t>
  </si>
  <si>
    <t>https://t.co/xCQAcfi5GV https://pbs.twimg.com/media/F6386uKXIAAMetE.jpg</t>
  </si>
  <si>
    <t>https://t.co/oKBs3uvsrQ https://pbs.twimg.com/media/F4T6zjIWIAAz9Rz.jpg</t>
  </si>
  <si>
    <t>https://t.co/ePkNiz0KHb https://pbs.twimg.com/media/F2oU4S1WoAA1IQv.jpg</t>
  </si>
  <si>
    <t>https://t.co/tnV6Zz2cRE https://pbs.twimg.com/media/F65fvp5WgAAS3jd.jpg</t>
  </si>
  <si>
    <t>https://t.co/KTPjaoPVDZ https://pbs.twimg.com/media/F61cLbqW4AApiPy.jpg</t>
  </si>
  <si>
    <t>https://t.co/UFUvFpLz4y https://pbs.twimg.com/media/F572ar0XwAAJAIX.jpg</t>
  </si>
  <si>
    <t>https://t.co/YMQeHhaxCK https://pbs.twimg.com/media/F36mWq0WEAAuPxW.jpg</t>
  </si>
  <si>
    <t>https://t.co/TduoqcVaG8 https://pbs.twimg.com/media/F6-Jhv9WMAAONgb.jpg</t>
  </si>
  <si>
    <t>https://t.co/Km6QEFikBE https://pbs.twimg.com/media/F6pYBtrW0AAR0YX.jpg</t>
  </si>
  <si>
    <t>https://t.co/xLF2dyyK2v https://pbs.twimg.com/media/F6Z7zH7WUAEgXMr.jpg</t>
  </si>
  <si>
    <t>https://t.co/CDu9vHAv0d https://pbs.twimg.com/media/F6NF4ZDWcAAMjsh.jpg</t>
  </si>
  <si>
    <t>https://t.co/obbHN6VlW0 https://pbs.twimg.com/media/F5laqKTW0AAaS3q.jpg</t>
  </si>
  <si>
    <t>https://t.co/vVuXpCYsCD https://pbs.twimg.com/media/F4FnblDWcAAXOVx.jpg</t>
  </si>
  <si>
    <t>https://t.co/lHLoUQqS2e https://pbs.twimg.com/media/F2hwxRzXwAA-_yT.jpg</t>
  </si>
  <si>
    <t>https://t.co/rUctDgcq0b https://pbs.twimg.com/media/F7De2avWIAAdutg.jpg</t>
  </si>
  <si>
    <t>https://t.co/SL4tEK1DoC https://pbs.twimg.com/media/F1zraeFXwAEMgzH.jpg</t>
  </si>
  <si>
    <t>https://t.co/Ne5lGLrfuW https://pbs.twimg.com/media/F7DfYmcXwAAskRx.jpg</t>
  </si>
  <si>
    <t>https://t.co/soPrhWZEWo https://pbs.twimg.com/media/F6NG9IvXwAAX7IZ.jpg</t>
  </si>
  <si>
    <t>https://t.co/0XhPQ1LzjA https://pbs.twimg.com/media/F5xYOmkWsAA5svm.jpg</t>
  </si>
  <si>
    <t>https://t.co/uyCW2DWIie https://pbs.twimg.com/media/F3qyzV3XcAkKrvN.jpg</t>
  </si>
  <si>
    <t>https://t.co/quOALkSGfT https://pbs.twimg.com/media/F1kZLawXwAI3OV5.jpg</t>
  </si>
  <si>
    <t>https://t.co/HstY4N2iDe https://pbs.twimg.com/media/F4YXokdXwAAPe27.jpg</t>
  </si>
  <si>
    <t>https://t.co/6OtaOVbeb4 https://pbs.twimg.com/media/F0t2x-IWYAArkil.jpg</t>
  </si>
  <si>
    <t>https://t.co/bRORfnstY5 https://pbs.twimg.com/media/F5_e6_pbMAA5N7k.jpg</t>
  </si>
  <si>
    <t>https://t.co/zT59Hvk9J1 https://pbs.twimg.com/media/F1VtywMWAA0ICHX.jpg</t>
  </si>
  <si>
    <t>https://t.co/gYldEfegPU https://pbs.twimg.com/media/F1mArvLXwAAOEuS.jpg</t>
  </si>
  <si>
    <t>https://t.co/tConM8axZR https://pbs.twimg.com/ext_tw_video_thumb/1682089242883661834/pu/img/dBUuLfkKvgJii2fQ.jpg</t>
  </si>
  <si>
    <t>https://t.co/3wNX35L9nT https://pbs.twimg.com/media/F4YLSwqXwAAic2q.jpg</t>
  </si>
  <si>
    <t>https://t.co/ukJgYm2Dsm https://pbs.twimg.com/media/F4IdWpTWgAAg6X9.jpg</t>
  </si>
  <si>
    <t>https://t.co/SHwcEjkFl4 https://t.co/SHwcEjkFl4 https://pbs.twimg.com/media/F4nW6fuWAAAFje5.jpg https://pbs.twimg.com/media/F4nW6eGWUAA5BzU.jpg</t>
  </si>
  <si>
    <t>https://t.co/cLdIH5Vzl4 https://pbs.twimg.com/media/F5LTcCHWkAA0cEH.jpg</t>
  </si>
  <si>
    <t>https://t.co/1il5KZYk54 https://pbs.twimg.com/media/F5V3gwKXYAAVCby.jpg</t>
  </si>
  <si>
    <t>https://t.co/lNbgOgPZgm https://pbs.twimg.com/media/F6QEkIRXQAAAp5O.jpg</t>
  </si>
  <si>
    <t>https://t.co/2ZvQnmrAEo https://pbs.twimg.com/media/F6tTpvhXQAAi47c.jpg</t>
  </si>
  <si>
    <t>https://t.co/J1Nnp5NHDV https://pbs.twimg.com/ext_tw_video_thumb/1704610673785806848/pu/img/Ch9YIbrQqwPw5rTy.jpg</t>
  </si>
  <si>
    <t>https://t.co/upnSXRSMV2 https://pbs.twimg.com/media/F06K1kHX0AAKfdJ.png</t>
  </si>
  <si>
    <t>https://t.co/6laI3aLLb5 https://pbs.twimg.com/media/F4hn-jvWgAAki1x.jpg</t>
  </si>
  <si>
    <t>https://t.co/PrYjgSqL4O https://pbs.twimg.com/ext_tw_video_thumb/1702665099163398144/pu/img/iuJXYx-9GIJA23Kc.jpg</t>
  </si>
  <si>
    <t>https://t.co/PrATXOYhlY https://pbs.twimg.com/media/F2IvztlXoAIhowm.jpg</t>
  </si>
  <si>
    <t>https://t.co/FHATYDPtd5 https://pbs.twimg.com/ext_tw_video_thumb/1704620135175139328/pu/img/EPEqpd36QG17A0ve.jpg</t>
  </si>
  <si>
    <t>https://t.co/KNugLNcZk6 https://pbs.twimg.com/ext_tw_video_thumb/1706794874844983296/pu/img/MT_aaxEl_6xihzBt.jpg</t>
  </si>
  <si>
    <t>https://t.co/4hHBHXppOK https://pbs.twimg.com/media/F28py8gXwAIEyLZ.jpg</t>
  </si>
  <si>
    <t>https://t.co/hryZ6GW0A8 https://pbs.twimg.com/media/F6KMJLhXQAA6DgC.jpg</t>
  </si>
  <si>
    <t>https://t.co/y5hM3RFMIU https://pbs.twimg.com/ext_tw_video_thumb/1707139543068016640/pu/img/yn83li-8qppyBQjJ.jpg</t>
  </si>
  <si>
    <t>https://t.co/P54Pj6g4se https://pbs.twimg.com/media/F4EMguqXsAAsyQI.jpg</t>
  </si>
  <si>
    <t>https://t.co/drpqI2F6Jv https://t.co/drpqI2F6Jv https://t.co/drpqI2F6Jv https://pbs.twimg.com/media/F0yvVdDXgAYPqil.png https://pbs.twimg.com/media/F0yvVdCXoAU8y8O.png https://pbs.twimg.com/media/F0yvVdLXoAEa0No.png</t>
  </si>
  <si>
    <t>https://t.co/gfeGsBG2R8 https://pbs.twimg.com/media/F4tSU3SbIAAGIzO.jpg</t>
  </si>
  <si>
    <t>https://t.co/TnLxXTsbla https://pbs.twimg.com/ext_tw_video_thumb/1681370420404944904/pu/img/tDz0dejSHkjkNlz2.jpg</t>
  </si>
  <si>
    <t>https://t.co/MfJsXCUFx7 https://pbs.twimg.com/media/F1bu4pIWwAAlnuH.jpg</t>
  </si>
  <si>
    <t>https://t.co/x5jMIPBhqp https://pbs.twimg.com/media/F1-tA4rWcAABn83.jpg</t>
  </si>
  <si>
    <t>https://t.co/IbCfdBqcUU https://pbs.twimg.com/ext_tw_video_thumb/1678476767969832978/pu/img/OKbq2xdFt7Ffwuwu.jpg</t>
  </si>
  <si>
    <t>https://t.co/isZw1dK3DA https://pbs.twimg.com/ext_tw_video_thumb/1681345085303144457/pu/img/c87q321-zc-NnXku.jpg</t>
  </si>
  <si>
    <t>https://t.co/0aDelPHadk https://pbs.twimg.com/media/F2SKvP7WQAAeZ3d.jpg</t>
  </si>
  <si>
    <t>https://t.co/FHY86DZbVY https://pbs.twimg.com/ext_tw_video_thumb/1680971037402451968/pu/img/wFaCoXSq8f_e32Ol.jpg</t>
  </si>
  <si>
    <t>https://t.co/tzqhF6qwwa https://pbs.twimg.com/ext_tw_video_thumb/1688625624133345280/pu/img/813Sx8PnIvoCrlmm.jpg</t>
  </si>
  <si>
    <t>https://t.co/5Cy7sgg6yY https://pbs.twimg.com/ext_tw_video_thumb/1691198522383831042/pu/img/Q2k3EeK_ZwLUZIyH.jpg</t>
  </si>
  <si>
    <t>https://t.co/b5uF3gXNQU https://pbs.twimg.com/ext_tw_video_thumb/1691209904353062913/pu/img/-C4KMqAUvNy_ApqJ.jpg</t>
  </si>
  <si>
    <t>https://t.co/JLmcnXAFFX https://pbs.twimg.com/ext_tw_video_thumb/1699487995642966016/pu/img/XIj7U7Q5xZeiif17.jpg</t>
  </si>
  <si>
    <t>https://t.co/42uSzSsVD0 https://pbs.twimg.com/ext_tw_video_thumb/1704154225125494784/pu/img/v-QK8KQehbWTa6nQ.jpg</t>
  </si>
  <si>
    <t>https://t.co/x64naTEipD https://pbs.twimg.com/ext_tw_video_thumb/1704183317057187840/pu/img/RmQmoZ94qlmqudda.jpg</t>
  </si>
  <si>
    <t>https://t.co/nH1IGBd5cL https://pbs.twimg.com/media/F31SYCnXsAAy_4z.jpg</t>
  </si>
  <si>
    <t>https://t.co/iDI0v3b3eU https://pbs.twimg.com/ext_tw_video_thumb/1686074502948536337/pu/img/hja_x7KfZFvu3lcR.jpg</t>
  </si>
  <si>
    <t>https://t.co/c1iAOCHog5 https://pbs.twimg.com/ext_tw_video_thumb/1678766009162039296/pu/img/0JmZnXWKMEmE5Rr9.jpg</t>
  </si>
  <si>
    <t>https://t.co/z3F8yka5Uy https://pbs.twimg.com/media/F3mDI94XoAIDmhX.jpg</t>
  </si>
  <si>
    <t>https://t.co/6lmD0F0KMr https://pbs.twimg.com/media/F4tO-V8bUAAhyfF.jpg</t>
  </si>
  <si>
    <t>https://t.co/d35Ixa0ZVI https://pbs.twimg.com/media/F1Z-Ex3XgAABGk0.jpg</t>
  </si>
  <si>
    <t>https://t.co/6bZqAs7FNs https://pbs.twimg.com/media/F4xwXrcXsAAIYpH.jpg</t>
  </si>
  <si>
    <t>https://t.co/rt416ASdF4 https://pbs.twimg.com/media/F10XTTFWwAorpE8.jpg</t>
  </si>
  <si>
    <t>https://t.co/g0lplwYhsL https://pbs.twimg.com/media/F6kmiqMWwAAii_J.jpg</t>
  </si>
  <si>
    <t>https://t.co/cgutIFdX9i https://pbs.twimg.com/media/F16S_OeWEAAO6-S.jpg</t>
  </si>
  <si>
    <t>https://t.co/emPUkkxA98 https://pbs.twimg.com/media/F16SU-3XsAE_IiE.jpg</t>
  </si>
  <si>
    <t>https://t.co/F5VdPSs71n https://t.co/F5VdPSs71n https://t.co/F5VdPSs71n https://t.co/F5VdPSs71n https://pbs.twimg.com/media/F01ojfIXwAAvFbU.jpg https://pbs.twimg.com/media/F01oejAXgAAXAck.jpg https://pbs.twimg.com/media/F01oei2X0AA2oSa.jpg https://pbs.twimg.com/media/F01oejkWwAE45xW.jpg</t>
  </si>
  <si>
    <t>https://t.co/CwR5hm9H0r https://t.co/CwR5hm9H0r https://t.co/CwR5hm9H0r https://t.co/CwR5hm9H0r https://pbs.twimg.com/media/F1e19LdXsAE_l5g.jpg https://pbs.twimg.com/media/F1e19LjWYAAnkgI.jpg https://pbs.twimg.com/media/F1e19MLWAAE9RiM.jpg https://pbs.twimg.com/media/F1e19MnXgAAQJKv.jpg</t>
  </si>
  <si>
    <t>https://t.co/eza7hgsE9a https://t.co/eza7hgsE9a https://t.co/eza7hgsE9a https://t.co/eza7hgsE9a https://pbs.twimg.com/media/F27uGQRWEAAzuXV.jpg https://pbs.twimg.com/media/F27uGQgWUAI9KLf.jpg https://pbs.twimg.com/media/F27uGRCXEAAmUsf.jpg https://pbs.twimg.com/media/F27uGRhWEAAjv4I.jpg</t>
  </si>
  <si>
    <t>https://t.co/55B4N5HLPm https://pbs.twimg.com/media/F27tr47XMAAn0Lz.jpg</t>
  </si>
  <si>
    <t>https://t.co/SZZwRM8St1 https://t.co/SZZwRM8St1 https://t.co/SZZwRM8St1 https://t.co/SZZwRM8St1 https://pbs.twimg.com/media/F2XimEAXQAAGneu.jpg https://pbs.twimg.com/media/F2XimEyW0AA7zGo.jpg https://pbs.twimg.com/media/F2XimFVWQAACpZj.jpg https://pbs.twimg.com/media/F2XimF6WsAE-m-T.jpg</t>
  </si>
  <si>
    <t>https://t.co/9ALvcZXl3d https://pbs.twimg.com/media/F2XhlDzXkAANloY.jpg</t>
  </si>
  <si>
    <t>https://t.co/RS6o35LufL https://t.co/RS6o35LufL https://t.co/RS6o35LufL https://t.co/RS6o35LufL https://pbs.twimg.com/media/F3QIQoAWwAM5YYF.jpg https://pbs.twimg.com/media/F3QIQoAXcAApG3h.jpg https://pbs.twimg.com/media/F3QIQosWYAEFk4A.jpg https://pbs.twimg.com/media/F3QIQpIX0AAvqkB.jpg</t>
  </si>
  <si>
    <t>https://t.co/RYYuYygy0w https://t.co/RYYuYygy0w https://t.co/RYYuYygy0w https://t.co/RYYuYygy0w https://pbs.twimg.com/media/F4IwYAAXoAEFM-z.jpg https://pbs.twimg.com/media/F4IwYBFWoAAQPoo.jpg https://pbs.twimg.com/media/F4IwYB-XcAAizfb.jpg https://pbs.twimg.com/media/F4IwYC5WEAEb7tg.jpg</t>
  </si>
  <si>
    <t>https://t.co/OqSL9HAlkj https://t.co/OqSL9HAlkj https://t.co/OqSL9HAlkj https://t.co/OqSL9HAlkj https://pbs.twimg.com/media/F1ZyjNlX0AAgy67.jpg https://pbs.twimg.com/media/F1ZyjMJXoAAThQX.jpg https://pbs.twimg.com/media/F1ZyjMiXgAUVup2.jpg https://pbs.twimg.com/media/F1ZyjNEWwAM_UuE.jpg</t>
  </si>
  <si>
    <t>https://t.co/WKhi83B8Bc https://t.co/WKhi83B8Bc https://t.co/WKhi83B8Bc https://t.co/WKhi83B8Bc https://pbs.twimg.com/media/F4N96OjWgAEgFQq.jpg https://pbs.twimg.com/media/F4N96OhWwAAWOqe.jpg https://pbs.twimg.com/media/F4N96OjWUAAiFct.jpg https://pbs.twimg.com/media/F4N96OnWQAAEFMD.jpg</t>
  </si>
  <si>
    <t>https://t.co/OjUj64ooyL https://t.co/OjUj64ooyL https://t.co/OjUj64ooyL https://t.co/OjUj64ooyL https://pbs.twimg.com/media/F4s0A-GWEAEPOzZ.jpg https://pbs.twimg.com/media/F4s0A-HXYAEVAtA.jpg https://pbs.twimg.com/media/F4s0A-iXgAAYc0l.jpg https://pbs.twimg.com/media/F4s0A_JXQAE2BAK.jpg</t>
  </si>
  <si>
    <t>https://t.co/TU0rKnqRre https://t.co/TU0rKnqRre https://t.co/TU0rKnqRre https://t.co/TU0rKnqRre https://pbs.twimg.com/media/F1zdoJjXsAERauq.jpg https://pbs.twimg.com/media/F1zdoJiXgAAwb6_.jpg https://pbs.twimg.com/media/F1zdoKCXwAAM3eq.jpg https://pbs.twimg.com/media/F1zdoKfXoAAflv6.jpg</t>
  </si>
  <si>
    <t>https://t.co/FJXwU6Y59d https://t.co/FJXwU6Y59d https://t.co/FJXwU6Y59d https://t.co/FJXwU6Y59d https://pbs.twimg.com/media/F4nwvepXEAAZXI2.jpg https://pbs.twimg.com/media/F4nwvfxXUAA1txV.jpg https://pbs.twimg.com/media/F4nwvgNXEAAaCDy.jpg https://pbs.twimg.com/media/F4nwvg8WIAAdype.jpg</t>
  </si>
  <si>
    <t>https://t.co/IJNJ2ftSVT https://t.co/IJNJ2ftSVT https://t.co/IJNJ2ftSVT https://t.co/IJNJ2ftSVT https://pbs.twimg.com/media/F4yEWLoXsAA7Uen.jpg https://pbs.twimg.com/media/F4yEWLtWUAA8rJQ.jpg https://pbs.twimg.com/media/F4yEWL-WsAA4y64.jpg https://pbs.twimg.com/media/F4yEWMsWEAAVYoR.jpg</t>
  </si>
  <si>
    <t>https://t.co/RLdc5J85iz https://pbs.twimg.com/media/F4nwfxnWoAAQLeW.jpg</t>
  </si>
  <si>
    <t>https://t.co/5zQXCtQNxy https://pbs.twimg.com/media/F5Lln7iWYAA91IC.jpg</t>
  </si>
  <si>
    <t>https://t.co/dTWin8ZBpv https://t.co/dTWin8ZBpv https://t.co/dTWin8ZBpv https://t.co/dTWin8ZBpv https://pbs.twimg.com/media/F5LjsBUXQAA_jb7.jpg https://pbs.twimg.com/media/F5LjsBRW8AAuGdg.jpg https://pbs.twimg.com/media/F5LjsBVXkAAYve8.jpg https://pbs.twimg.com/media/F5LjsCOXIAAM8Ko.jpg</t>
  </si>
  <si>
    <t>https://t.co/4jOetQ3l5Z https://t.co/4jOetQ3l5Z https://t.co/4jOetQ3l5Z https://t.co/4jOetQ3l5Z https://pbs.twimg.com/media/F4TEabzWEAA8JoU.jpg https://pbs.twimg.com/media/F4TEabzXYAMI-oB.jpg https://pbs.twimg.com/media/F4TEab0W0AAZNoR.jpg https://pbs.twimg.com/media/F4TEacfW0AAKpPm.jpg</t>
  </si>
  <si>
    <t>https://t.co/puKyyiNhhc https://t.co/puKyyiNhhc https://t.co/puKyyiNhhc https://t.co/puKyyiNhhc https://pbs.twimg.com/media/F5Q2_zxWAAAjzfO.jpg https://pbs.twimg.com/media/F5Q2_0nWkAAoWE1.jpg https://pbs.twimg.com/media/F5Q2_1LWMAAAa8m.jpg https://pbs.twimg.com/media/F5Q2_1vWwAA6W6Q.jpg</t>
  </si>
  <si>
    <t>https://t.co/AdXIqTfxrl https://t.co/AdXIqTfxrl https://t.co/AdXIqTfxrl https://t.co/AdXIqTfxrl https://pbs.twimg.com/media/F2sO5Q8XMAAPrRY.jpg https://pbs.twimg.com/media/F2sO5Q-WAAAx_hP.jpg https://pbs.twimg.com/media/F2sO5RWXEAAFPqT.jpg https://pbs.twimg.com/media/F2sO5R0WEAEOSyM.jpg</t>
  </si>
  <si>
    <t>https://t.co/15QubRuQzv https://t.co/15QubRuQzv https://t.co/15QubRuQzv https://t.co/15QubRuQzv https://pbs.twimg.com/media/F43CVBoWQAA84Gy.jpg https://pbs.twimg.com/media/F43CVBxXQAAJPKU.jpg https://pbs.twimg.com/media/F43CVCHXsAA2Qjq.jpg https://pbs.twimg.com/media/F43CVCuXwAAAmy6.jpg</t>
  </si>
  <si>
    <t>https://t.co/yH6Cu59lne https://t.co/yH6Cu59lne https://t.co/yH6Cu59lne https://t.co/yH6Cu59lne https://pbs.twimg.com/media/F3fwmAhWsAAAG6A.jpg https://pbs.twimg.com/media/F3fwmA-WQAETrJX.jpg https://pbs.twimg.com/media/F3fwmBmXoAAKdvw.jpg https://pbs.twimg.com/media/F3fwmCFWcAA07rC.jpg</t>
  </si>
  <si>
    <t>https://t.co/Si70AaZd0O https://pbs.twimg.com/media/F3fvt8zWgAExuAp.jpg</t>
  </si>
  <si>
    <t>https://t.co/UppAv1H4Sl https://t.co/UppAv1H4Sl https://t.co/UppAv1H4Sl https://t.co/UppAv1H4Sl https://pbs.twimg.com/media/F1UeAhKWAAEcjBl.jpg https://pbs.twimg.com/media/F1UeAhHWAAI68qN.jpg https://pbs.twimg.com/media/F1UeAhqX0AA0INg.jpg https://pbs.twimg.com/media/F1UeAiJWAAAaJjU.jpg</t>
  </si>
  <si>
    <t>https://t.co/JWAZhTcjKT https://t.co/JWAZhTcjKT https://t.co/JWAZhTcjKT https://t.co/JWAZhTcjKT https://pbs.twimg.com/media/F5gkN3GX0AEoB-h.jpg https://pbs.twimg.com/media/F5gkN3GWQAALsS3.jpg https://pbs.twimg.com/media/F5gkN3GWcAABnSY.jpg https://pbs.twimg.com/media/F5gkN3FWcAAOxie.jpg</t>
  </si>
  <si>
    <t>https://t.co/vhiytbMb1T https://t.co/vhiytbMb1T https://t.co/vhiytbMb1T https://t.co/vhiytbMb1T https://pbs.twimg.com/media/F1kA7wFWAAIdz5S.jpg https://pbs.twimg.com/media/F1kA7w3XoAESUpj.jpg https://pbs.twimg.com/media/F1kA7x2XgAAe3Jb.jpg https://pbs.twimg.com/media/F1kA7yTXgAAVot7.jpg</t>
  </si>
  <si>
    <t>https://t.co/70O9uzxtti https://t.co/70O9uzxtti https://t.co/70O9uzxtti https://t.co/70O9uzxtti https://pbs.twimg.com/media/F6TwxcyXQAA2MpP.jpg https://pbs.twimg.com/media/F6TwxdjXQAAd-zG.jpg https://pbs.twimg.com/media/F6TwxeNXEAA4MkX.jpg https://pbs.twimg.com/media/F6TwxfBWAAAxVqS.jpg</t>
  </si>
  <si>
    <t>https://t.co/3YfsmutiYG https://pbs.twimg.com/media/F6TwfOjXkAA5kae.jpg</t>
  </si>
  <si>
    <t>https://t.co/WAPT32fcLg https://pbs.twimg.com/media/F4Di73PWkAADDQZ.jpg</t>
  </si>
  <si>
    <t>https://t.co/eUmJqmepAb https://t.co/eUmJqmepAb https://t.co/eUmJqmepAb https://t.co/eUmJqmepAb https://pbs.twimg.com/media/F4DiyJhWMAE7z08.jpg https://pbs.twimg.com/media/F4DiyJiWkAAyi-1.jpg https://pbs.twimg.com/media/F4DiyJjWUAAqGpv.jpg https://pbs.twimg.com/media/F4DiyJ9XYAAw0j4.jpg</t>
  </si>
  <si>
    <t>https://t.co/KQ8A7BAq3r https://t.co/KQ8A7BAq3r https://t.co/KQ8A7BAq3r https://t.co/KQ8A7BAq3r https://pbs.twimg.com/media/F6d9Gg2XgAAbjg0.jpg https://pbs.twimg.com/media/F6d9GhuWgAA-sUC.jpg https://pbs.twimg.com/media/F6d9GidXIAArUDL.jpg https://pbs.twimg.com/media/F6d9GjrXUAAOfmr.jpg</t>
  </si>
  <si>
    <t>https://t.co/qk94c0EOtm https://t.co/qk94c0EOtm https://t.co/qk94c0EOtm https://t.co/qk94c0EOtm https://pbs.twimg.com/media/F4YH-_AXkAAXWDy.jpg https://pbs.twimg.com/media/F4YH-_AXYAACWP1.jpg https://pbs.twimg.com/media/F4YH_AJWsAECM4W.jpg https://pbs.twimg.com/media/F4YH_A7WQAEZ4RH.jpg</t>
  </si>
  <si>
    <t>https://t.co/VrFosmtbEH https://t.co/VrFosmtbEH https://t.co/VrFosmtbEH https://t.co/VrFosmtbEH https://pbs.twimg.com/media/F0wZoGkX0AQe7zM.jpg https://pbs.twimg.com/media/F0wZoGtWIAEAycR.jpg https://pbs.twimg.com/media/F0wZoGiWcAAOQEm.jpg https://pbs.twimg.com/media/F0wZoGtXwAE8Z3X.jpg</t>
  </si>
  <si>
    <t>https://t.co/F3xtMCUxRU https://t.co/F3xtMCUxRU https://t.co/F3xtMCUxRU https://t.co/F3xtMCUxRU https://pbs.twimg.com/media/F6Yu5fnWAAAknJm.jpg https://pbs.twimg.com/media/F6Yu5fnW4AA5VtI.jpg https://pbs.twimg.com/media/F6Yu5gKWEAALLRl.jpg https://pbs.twimg.com/media/F6Yu5g9W8AMQoaZ.jpg</t>
  </si>
  <si>
    <t>https://t.co/KzUarowGKl https://t.co/KzUarowGKl https://t.co/KzUarowGKl https://t.co/KzUarowGKl https://pbs.twimg.com/media/F2cw5WnbcAA2f3C.jpg https://pbs.twimg.com/media/F2cw5WuaQAA8XXi.jpg https://pbs.twimg.com/media/F2cw5XEasAAPatG.jpg https://pbs.twimg.com/media/F2cw5XUbcAAAdYI.jpg</t>
  </si>
  <si>
    <t>https://t.co/uDkW8cpQ0G https://pbs.twimg.com/media/F63z-TFXsAATFCp.jpg</t>
  </si>
  <si>
    <t>https://t.co/QJif8R4orE https://t.co/QJif8R4orE https://t.co/QJif8R4orE https://t.co/QJif8R4orE https://pbs.twimg.com/media/F63uw2pWEAAH-mX.jpg https://pbs.twimg.com/media/F63uw2nWsAAjUcJ.jpg https://pbs.twimg.com/media/F63uw2oXsAAe-3Y.jpg https://pbs.twimg.com/media/F63uw2uXoAE0xZO.jpg</t>
  </si>
  <si>
    <t>https://t.co/9gbUKmxDZ4 https://t.co/9gbUKmxDZ4 https://t.co/9gbUKmxDZ4 https://t.co/9gbUKmxDZ4 https://pbs.twimg.com/media/F5vkh75XYAArs1F.jpg https://pbs.twimg.com/media/F5vkh8bXkAAoGLf.jpg https://pbs.twimg.com/media/F5vkh87W4AAjUNL.jpg https://pbs.twimg.com/media/F5vkh9hWYAAwkS0.jpg</t>
  </si>
  <si>
    <t>https://t.co/6VoQy77JSP https://pbs.twimg.com/media/F5vkWYqWwAAKukA.jpg</t>
  </si>
  <si>
    <t>https://t.co/XNyIaZD03S https://t.co/XNyIaZD03S https://t.co/XNyIaZD03S https://t.co/XNyIaZD03S https://pbs.twimg.com/media/F2h16HcXAAEGLBp.jpg https://pbs.twimg.com/media/F2h16HeXMAAj5Pb.jpg https://pbs.twimg.com/media/F2h16HnWMAElVKs.jpg https://pbs.twimg.com/media/F2h16IJXEAAkqzc.jpg</t>
  </si>
  <si>
    <t>https://t.co/kACenYVv1g https://pbs.twimg.com/media/F4otegYXUAEOHVg.jpg</t>
  </si>
  <si>
    <t>https://t.co/TOhS5dqN50 https://pbs.twimg.com/media/F64tZyiXoAAMAcn.jpg</t>
  </si>
  <si>
    <t>https://t.co/sprAuVxW6Q https://pbs.twimg.com/media/F3rSuhLXYAA4heI.jpg</t>
  </si>
  <si>
    <t>https://t.co/lwN5Z1aAAK https://pbs.twimg.com/media/F32Mik1WkAA8AlG.jpg</t>
  </si>
  <si>
    <t>https://t.co/NruRDOs5RF https://pbs.twimg.com/media/F5HoMdTWQAA1rJA.jpg</t>
  </si>
  <si>
    <t>https://t.co/oI7IX5owU8 https://pbs.twimg.com/media/F6p-GI8XoAApo3s.jpg</t>
  </si>
  <si>
    <t>https://t.co/OAyBPzZpoj https://pbs.twimg.com/media/F48S0AFW8AALKQM.jpg</t>
  </si>
  <si>
    <t>https://t.co/aYYwQ8Rnjt https://t.co/aYYwQ8Rnjt https://t.co/aYYwQ8Rnjt https://t.co/aYYwQ8Rnjt https://pbs.twimg.com/media/F458kx_WkAEyjAq.png https://pbs.twimg.com/media/F458kzEXIAAMzMP.png https://pbs.twimg.com/media/F458k1UXsAA92ie.png https://pbs.twimg.com/media/F458k30WwAAWoJU.png</t>
  </si>
  <si>
    <t>https://t.co/QinWD8X07B https://pbs.twimg.com/media/F4D5ERLXIAAyViG.jpg</t>
  </si>
  <si>
    <t>https://t.co/jcZul6L8C1 https://pbs.twimg.com/media/F65ANf2XsAAjug4.jpg</t>
  </si>
  <si>
    <t>https://t.co/SsXxW2pEXb https://pbs.twimg.com/media/F5gK7nMWYAAG9X5.jpg</t>
  </si>
  <si>
    <t>https://t.co/PxVfxmvWsC https://pbs.twimg.com/media/F16GpRNXsAMvxmI.jpg</t>
  </si>
  <si>
    <t>https://t.co/RdW89WRp5N https://t.co/RdW89WRp5N https://t.co/RdW89WRp5N https://t.co/RdW89WRp5N https://pbs.twimg.com/media/F2ZHyHrWkAAUVhL.jpg https://pbs.twimg.com/media/F2ZHyHqWkAE6yJ_.jpg https://pbs.twimg.com/media/F2ZHyHZWEAAlste.jpg https://pbs.twimg.com/media/F2ZHyH7XMAAS6a2.jpg</t>
  </si>
  <si>
    <t>https://t.co/P33XyytW5q https://pbs.twimg.com/ext_tw_video_thumb/1686826572722954240/pu/img/Nwb8w6GkAE0tci4h.jpg</t>
  </si>
  <si>
    <t>https://t.co/QgVsgFj2d7 https://pbs.twimg.com/media/F6as8MKWIAAgJkZ.jpg</t>
  </si>
  <si>
    <t>https://t.co/8an6RXXOSc https://pbs.twimg.com/media/F2JZVoMWkAALoBV.jpg</t>
  </si>
  <si>
    <t>https://t.co/gEb0SgqZQA https://t.co/gEb0SgqZQA https://pbs.twimg.com/media/F02pdlcacAA-s1_.jpg https://pbs.twimg.com/media/F02pd3daIAABuBT.jpg</t>
  </si>
  <si>
    <t>https://t.co/nVgjVZ2eRr https://pbs.twimg.com/media/F0xliqWWcCEM8Nt.jpg</t>
  </si>
  <si>
    <t>https://t.co/1keLWoVg56 https://pbs.twimg.com/media/F0w7D9JaAAMn9XJ.jpg</t>
  </si>
  <si>
    <t>https://t.co/vS9V6fJ6Fq https://pbs.twimg.com/media/F0w0eQzaIAgLbwb.jpg</t>
  </si>
  <si>
    <t>https://t.co/1ysq2HxrPP https://pbs.twimg.com/media/F1QAMIbXsAEAJlr.jpg</t>
  </si>
  <si>
    <t>https://t.co/NLOzkErQl6 https://pbs.twimg.com/media/F2ZBTcmXYAAyTjQ.jpg</t>
  </si>
  <si>
    <t>https://t.co/cH7Oq1cnx8 https://pbs.twimg.com/media/F4FPbQmW0AARbPc.jpg</t>
  </si>
  <si>
    <t>https://t.co/1WB24RiIos https://pbs.twimg.com/media/F3gZZYBX0AkEOwR.jpg</t>
  </si>
  <si>
    <t>https://t.co/vBKqxIKhUf https://pbs.twimg.com/media/F6VF1MRWsAAQdyB.jpg</t>
  </si>
  <si>
    <t>https://t.co/5shSpF9Ahg https://pbs.twimg.com/media/F6G5788XIAAGoR3.jpg</t>
  </si>
  <si>
    <t>https://t.co/eGsMefLUSd https://pbs.twimg.com/media/F6VABGhWkAACXjL.jpg</t>
  </si>
  <si>
    <t>https://t.co/fzBeoQ0zMl https://pbs.twimg.com/media/F02hrO-agAEGYiN.jpg</t>
  </si>
  <si>
    <t>https://t.co/3riiL7swbb https://pbs.twimg.com/media/F6Fg1c-XEAA7qrP.jpg</t>
  </si>
  <si>
    <t>https://t.co/R3eX872x58 https://pbs.twimg.com/media/F6Fc5lzXEAE5Iqh.jpg</t>
  </si>
  <si>
    <t>https://t.co/jhwln214t3 https://pbs.twimg.com/media/F1EN386XwAAUX-M.jpg</t>
  </si>
  <si>
    <t>https://t.co/Vju2O7zmVT https://pbs.twimg.com/media/F2D8CH6WAAE5qIT.jpg</t>
  </si>
  <si>
    <t>https://t.co/3Moewl3Pu3 https://pbs.twimg.com/media/F1_gx7yWcAEp1EO.jpg</t>
  </si>
  <si>
    <t>https://t.co/xFS3POcvg9 https://pbs.twimg.com/media/F2KMX0DWgAANoCe.jpg</t>
  </si>
  <si>
    <t>https://t.co/yrAwuYFZco https://t.co/yrAwuYFZco https://pbs.twimg.com/media/F2wzDsqXcAAdjbu.jpg https://pbs.twimg.com/media/F2wzDsjWkAEUx5z.jpg</t>
  </si>
  <si>
    <t>https://t.co/8pgrXhgYa8 https://pbs.twimg.com/media/F5mWVcxWgAAFQZk.jpg</t>
  </si>
  <si>
    <t>https://t.co/2oJMCLIYcH https://pbs.twimg.com/media/F43gmTRasAAIRyO.jpg</t>
  </si>
  <si>
    <t>https://t.co/EUfxpGf8pN https://pbs.twimg.com/media/F55sOsaXcAAC6Fa.jpg</t>
  </si>
  <si>
    <t>https://t.co/KlU6zupFg3 https://pbs.twimg.com/media/F4ehgldXkAAZ3KL.jpg</t>
  </si>
  <si>
    <t>https://t.co/TjAROxAClg https://pbs.twimg.com/media/F5CkozxW0AADfqe.jpg</t>
  </si>
  <si>
    <t>https://t.co/pyDx8GqpDV https://pbs.twimg.com/media/F5mnxEEW0AAw4Ah.jpg</t>
  </si>
  <si>
    <t>https://t.co/xIBCxwKtrJ https://pbs.twimg.com/media/F6Kq5VdWkAAAaiT.jpg</t>
  </si>
  <si>
    <t>https://t.co/2zoqaHJkF2 https://pbs.twimg.com/media/F6uuBmwW0AIsDFe.jpg</t>
  </si>
  <si>
    <t>https://t.co/PQ9ypiv0i8 https://pbs.twimg.com/ext_tw_video_thumb/1695457427439632385/pu/img/_ysqqjNUoxF0Rmjd.jpg</t>
  </si>
  <si>
    <t>https://t.co/W3YWJut5Z4 https://pbs.twimg.com/ext_tw_video_thumb/1680946644014039046/pu/img/Px7IAD9x9jAVFxCZ.jpg</t>
  </si>
  <si>
    <t>https://t.co/UCuLflPfmZ https://pbs.twimg.com/ext_tw_video_thumb/1678581431470026755/pu/img/JVZ7mAdGOvzQ-eZj.jpg</t>
  </si>
  <si>
    <t>https://t.co/O4Y50XapKx https://t.co/O4Y50XapKx https://pbs.twimg.com/media/F0uE3NaXsAAuXfI.jpg https://pbs.twimg.com/media/F0uE33NXgAEoMqD.jpg</t>
  </si>
  <si>
    <t>https://t.co/alOxk8lInK https://pbs.twimg.com/ext_tw_video_thumb/1681417818070237188/pu/img/L3h3xioArPyGtl9o.jpg</t>
  </si>
  <si>
    <t>https://t.co/UDSXBmxz4V https://t.co/UDSXBmxz4V https://pbs.twimg.com/media/F1WYebzXwAEx0Yx.jpg https://pbs.twimg.com/media/F1WYfPfXgAAn3yj.jpg</t>
  </si>
  <si>
    <t>https://t.co/vwAWNRhm3F https://pbs.twimg.com/ext_tw_video_thumb/1681417500565676033/pu/img/r1Q_uBcu5NUocCK-.jpg</t>
  </si>
  <si>
    <t>https://t.co/55oGEJfw2e https://t.co/55oGEJfw2e https://pbs.twimg.com/media/F1WYMJXXwAIOMNd.jpg https://pbs.twimg.com/media/F1WYNLbX0AE-K3d.jpg</t>
  </si>
  <si>
    <t>https://t.co/Y0o5vPVWWH https://pbs.twimg.com/ext_tw_video_thumb/1679950862494449664/pu/img/TJQ8FltOQlHs2cno.jpg</t>
  </si>
  <si>
    <t>https://t.co/B1MpiuRKak https://t.co/B1MpiuRKak https://pbs.twimg.com/media/F1BiW5GXoAAHr6g.jpg https://pbs.twimg.com/media/F1BiXaQXwAINqfp.jpg</t>
  </si>
  <si>
    <t>https://t.co/FBhMN7lYhU https://pbs.twimg.com/ext_tw_video_thumb/1682135067512958978/pu/img/gZnWS-rvB9s2mZnE.jpg</t>
  </si>
  <si>
    <t>https://t.co/gCCfAux6qN https://t.co/gCCfAux6qN https://pbs.twimg.com/media/F1gk3xxWAAUo7HE.jpg https://pbs.twimg.com/media/F1gk4NqWIAIlV87.jpg</t>
  </si>
  <si>
    <t>https://t.co/S94rRseZsw https://pbs.twimg.com/ext_tw_video_thumb/1681808595581644802/pu/img/bPDgVy9Y2A53TLYE.jpg</t>
  </si>
  <si>
    <t>https://t.co/B924pr67EA https://t.co/B924pr67EA https://pbs.twimg.com/media/F1b77BcXwAAX0qV.jpg https://pbs.twimg.com/media/F1b77gqWYAIZetZ.jpg</t>
  </si>
  <si>
    <t>https://t.co/Y79UevZSSd https://pbs.twimg.com/ext_tw_video_thumb/1679593683669209089/pu/img/yzLq02fUdNRBPuyd.jpg</t>
  </si>
  <si>
    <t>https://t.co/tF8C0CKQcp https://t.co/tF8C0CKQcp https://pbs.twimg.com/media/F08dfcWWYAMcnDn.jpg https://pbs.twimg.com/media/F08df75XgAAjOhi.jpg</t>
  </si>
  <si>
    <t>https://t.co/9Q0Ze70S9f https://pbs.twimg.com/ext_tw_video_thumb/1678874807759151109/pu/img/kaoikdGu_rNXEcOD.jpg</t>
  </si>
  <si>
    <t>https://t.co/Vbm66KNiTS https://t.co/Vbm66KNiTS https://pbs.twimg.com/media/F0yPsogXsAUvtiV.jpg https://pbs.twimg.com/media/F0yPtDZXoAIXakS.jpg</t>
  </si>
  <si>
    <t>https://t.co/UzjjszXEH2 https://pbs.twimg.com/ext_tw_video_thumb/1683937590183972864/pu/img/AuU65FbK4cX4JKUJ.jpg</t>
  </si>
  <si>
    <t>https://t.co/kN8MjHpZpD https://t.co/kN8MjHpZpD https://pbs.twimg.com/media/F16MRpBXsAU7TEx.jpg https://pbs.twimg.com/media/F16MSDQXgAA6x4D.jpg</t>
  </si>
  <si>
    <t>https://t.co/OGrglzmNSS https://pbs.twimg.com/ext_tw_video_thumb/1680740401378885640/pu/img/fwhq9Wp1hJ1tBEJT.jpg</t>
  </si>
  <si>
    <t>https://t.co/FBYCFrJJqM https://t.co/FBYCFrJJqM https://pbs.twimg.com/media/F1MwalzWwAcRrJl.jpg https://pbs.twimg.com/media/F1MwbFxXsAAhDJa.jpg</t>
  </si>
  <si>
    <t>https://t.co/nre5TDCOwG https://pbs.twimg.com/ext_tw_video_thumb/1680337641399517186/pu/img/j91HcflrFd7eDqj9.jpg</t>
  </si>
  <si>
    <t>https://t.co/bfe9LJR3vE https://t.co/bfe9LJR3vE https://pbs.twimg.com/media/F1HCIUhWIAQT2YQ.jpg https://pbs.twimg.com/media/F1HCIw3XgAQFw-B.jpg</t>
  </si>
  <si>
    <t>https://t.co/f2MSPP8R19 https://pbs.twimg.com/ext_tw_video_thumb/1684293759222132738/pu/img/YONpOWSub3hmHZeb.jpg</t>
  </si>
  <si>
    <t>https://t.co/LPBj7stFJ3 https://t.co/LPBj7stFJ3 https://pbs.twimg.com/media/F1_QMPpX0AQF2Ug.jpg https://pbs.twimg.com/media/F1_QMv8XoAMbOEO.jpg</t>
  </si>
  <si>
    <t>https://t.co/So9Sba0hWo https://pbs.twimg.com/ext_tw_video_thumb/1686110436641398784/pu/img/9FgSeIffavSoJpE2.jpg</t>
  </si>
  <si>
    <t>https://t.co/T7OmZ0ZNsv https://t.co/T7OmZ0ZNsv https://pbs.twimg.com/media/F2ZEdJDXAAAfh0r.jpg https://pbs.twimg.com/media/F2ZEdl7W0AAGfoi.jpg</t>
  </si>
  <si>
    <t>https://t.co/upZU5FGWsx https://pbs.twimg.com/ext_tw_video_thumb/1679232335819026433/pu/img/OZJz5TuI3Q1NBtfQ.jpg</t>
  </si>
  <si>
    <t>https://t.co/ueyKwbaXAr https://t.co/ueyKwbaXAr https://pbs.twimg.com/media/F03U2xnWAAIfACU.jpg https://pbs.twimg.com/media/F03U3XXXgAIL78Y.jpg</t>
  </si>
  <si>
    <t>https://t.co/njFmRiqtDK https://pbs.twimg.com/ext_tw_video_thumb/1688591083154948104/pu/img/w4Puq6PPU4B0SDS-.jpg</t>
  </si>
  <si>
    <t>https://t.co/cmBChXYenv https://pbs.twimg.com/media/F28UnXZXwAIaw8j.jpg</t>
  </si>
  <si>
    <t>https://t.co/ts2gHqqeHh https://pbs.twimg.com/ext_tw_video_thumb/1690029884263825409/pu/img/Bu0v3FxbhtQjqN0I.jpg</t>
  </si>
  <si>
    <t>https://t.co/ays15jKy6U https://pbs.twimg.com/media/F3QxAJKWoAEKWHE.jpg</t>
  </si>
  <si>
    <t>https://t.co/v0tG2SzpQx https://pbs.twimg.com/ext_tw_video_thumb/1683585416153243650/pu/img/l_TIZYVKIk6u0aWO.jpg</t>
  </si>
  <si>
    <t>https://t.co/0bX2CkhrKn https://t.co/0bX2CkhrKn https://pbs.twimg.com/media/F11L5adWcAEyDy7.jpg https://pbs.twimg.com/media/F11L55BXwAE3gQy.jpg</t>
  </si>
  <si>
    <t>https://t.co/M9CZsj4mLY https://pbs.twimg.com/ext_tw_video_thumb/1691555014097973248/pu/img/3IcrfnlDvwsMK8oV.jpg</t>
  </si>
  <si>
    <t>https://t.co/Yf8LVfdNww https://pbs.twimg.com/media/F3mcShtXIAEzPA3.jpg</t>
  </si>
  <si>
    <t>https://t.co/tKCw8R3jJh https://pbs.twimg.com/media/F3f__C8WIAAd7gh.jpg</t>
  </si>
  <si>
    <t>https://t.co/y8IC8HY7Ee https://pbs.twimg.com/ext_tw_video_thumb/1688553649901830144/pu/img/2q9cdplXdth-nxhj.jpg</t>
  </si>
  <si>
    <t>https://t.co/iuonr6ETU0 https://pbs.twimg.com/ext_tw_video_thumb/1691104487279058944/pu/img/F83PVhKkx_jLXYSN.jpg</t>
  </si>
  <si>
    <t>https://t.co/3jOXqcMatk https://pbs.twimg.com/media/F1-XsPTXwAE63xx.jpg</t>
  </si>
  <si>
    <t>https://t.co/p6DdaSFTnq https://pbs.twimg.com/media/F1ZqS6-XoAEy1Cl.jpg</t>
  </si>
  <si>
    <t>https://t.co/1tsXQhaXRI https://pbs.twimg.com/media/F4VrXYnW4AAuNuZ.jpg</t>
  </si>
  <si>
    <t>https://t.co/Jcxqhg19lM https://pbs.twimg.com/ext_tw_video_thumb/1687209780727697408/pu/img/44E8b-BZYHxh4Ktb.jpg</t>
  </si>
  <si>
    <t>https://t.co/x9XMPdf9Cr https://pbs.twimg.com/media/F6i_zP3WgAAlE-a.jpg</t>
  </si>
  <si>
    <t>https://t.co/4bp90iE9OR https://pbs.twimg.com/media/F3GSaEhW8AAkrZe.jpg</t>
  </si>
  <si>
    <t>https://t.co/PJPZXmPZYX https://pbs.twimg.com/media/F5jnpc7WYAAecBI.jpg</t>
  </si>
  <si>
    <t>https://t.co/YkOE7A6Xlu https://pbs.twimg.com/amplify_video_thumb/1707069362182537218/img/Gya9zLKnnzLFUkym.jpg</t>
  </si>
  <si>
    <t>https://t.co/iWeTSbX8rg https://pbs.twimg.com/media/F7EGs6JXUAArQjW.jpg</t>
  </si>
  <si>
    <t>https://t.co/q0Ihm4XX5Y https://pbs.twimg.com/media/F1QUO73XsAAbDxJ.jpg</t>
  </si>
  <si>
    <t>https://t.co/KLXTi5RAOa https://pbs.twimg.com/media/F2HFy0TXsAArPMr.jpg</t>
  </si>
  <si>
    <t>https://t.co/LTPHmmiODo https://pbs.twimg.com/media/F3gneUhWMA88732.jpg</t>
  </si>
  <si>
    <t>https://t.co/aO7eqH9Rxs https://pbs.twimg.com/media/F3p3EkDXIAAjexE.jpg</t>
  </si>
  <si>
    <t>https://t.co/rZIe8qtsjZ https://pbs.twimg.com/media/F4r-_i6XUAAbqEm.jpg</t>
  </si>
  <si>
    <t>https://t.co/f9CI3TSnap https://pbs.twimg.com/media/F4r-_A3WYAAkE22.jpg</t>
  </si>
  <si>
    <t>https://t.co/EUJvkcazh2 https://pbs.twimg.com/media/F37nI6LXsAAxcbr.jpg</t>
  </si>
  <si>
    <t>https://t.co/OLX3aMamlw https://pbs.twimg.com/media/F3vq5fzW0AAD84H.jpg</t>
  </si>
  <si>
    <t>https://t.co/k25hGbomoW https://pbs.twimg.com/media/F1gZ2OXWAAEMKe8.jpg</t>
  </si>
  <si>
    <t>https://t.co/hgsvHJVndW https://pbs.twimg.com/media/F1gXF9XXgAAlq1l.jpg</t>
  </si>
  <si>
    <t>https://t.co/PTpoza0DGP https://pbs.twimg.com/media/F1gWi7PWIAIee66.jpg</t>
  </si>
  <si>
    <t>https://t.co/NKCiejpTqq https://pbs.twimg.com/amplify_video_thumb/1706284742755094528/img/UMiDlZdjvZuc1yL7.jpg</t>
  </si>
  <si>
    <t>https://t.co/owxxR7gsgw https://pbs.twimg.com/ext_tw_video_thumb/1679905311593725969/pu/img/o0D_Oo9j8gjcsk7D.jpg</t>
  </si>
  <si>
    <t>https://t.co/xiE5lJItTU https://t.co/xiE5lJItTU https://t.co/xiE5lJItTU https://pbs.twimg.com/media/F2ZyiInXsAAbPZW.jpg https://pbs.twimg.com/media/F2ZyiIlWoAA6vv_.jpg https://pbs.twimg.com/media/F2ZyiImWAAED4M2.jpg</t>
  </si>
  <si>
    <t>https://t.co/gyfwbSL2a0 https://t.co/gyfwbSL2a0 https://t.co/gyfwbSL2a0 https://pbs.twimg.com/media/F2ZwPxAWgAEXbOy.jpg https://pbs.twimg.com/media/F2ZwPxTWkAIYqeZ.jpg https://pbs.twimg.com/media/F2ZwPxmW0AAyEnw.jpg</t>
  </si>
  <si>
    <t>https://t.co/QNeq0Mg5We https://pbs.twimg.com/media/F5_n1PhbMAAVq1I.jpg</t>
  </si>
  <si>
    <t>https://t.co/wsY5dUFqEz https://pbs.twimg.com/ext_tw_video_thumb/1706424358850158592/pu/img/NUrEcWB6MBlv7I34.jpg</t>
  </si>
  <si>
    <t>https://t.co/VB6PLElm9b https://pbs.twimg.com/media/F0w5eNfaEAktYVD.jpg</t>
  </si>
  <si>
    <t>https://t.co/9J6cmZBfel https://pbs.twimg.com/media/F5w-N4QXMAANNtM.jpg</t>
  </si>
  <si>
    <t>https://t.co/hIoGTQEz0E https://pbs.twimg.com/ext_tw_video_thumb/1703754288441229312/pu/img/TrBbg7jeMR2L63Gx.jpg</t>
  </si>
  <si>
    <t>https://t.co/GAlGigzLfT https://pbs.twimg.com/media/F2e4SQFWUAASFW5.jpg</t>
  </si>
  <si>
    <t>https://t.co/LpFZeqvDKS https://pbs.twimg.com/media/F3sBXOZX0AEvQYN.jpg</t>
  </si>
  <si>
    <t>https://t.co/q5661v5KHS https://pbs.twimg.com/media/F3LbGbAa4AAaaVB.jpg</t>
  </si>
  <si>
    <t>https://t.co/8FBdzHeKoH https://pbs.twimg.com/media/F5YAGFnWAAAycBi.jpg</t>
  </si>
  <si>
    <t>https://t.co/zuNWq4ISQ1 https://pbs.twimg.com/media/F5X_8B9WQAEEfXQ.jpg</t>
  </si>
  <si>
    <t>https://t.co/jaEfthWKaf https://pbs.twimg.com/media/F53ApidXAAALKB9.jpg</t>
  </si>
  <si>
    <t>https://t.co/WhYyRV1IWR https://pbs.twimg.com/media/F2uXmrrWMAApkkg.jpg</t>
  </si>
  <si>
    <t>https://t.co/7wodUVO3uY https://pbs.twimg.com/media/F58iSmUW8AA2MF7.jpg</t>
  </si>
  <si>
    <t>https://t.co/TzgaKr20JU https://pbs.twimg.com/media/F1y0NAkX0AAw6sL.jpg</t>
  </si>
  <si>
    <t>https://t.co/hGrWccb9t3 https://pbs.twimg.com/media/F2YScTSWQAAYFFj.jpg</t>
  </si>
  <si>
    <t>https://t.co/nYHwUJgnC8 https://pbs.twimg.com/ext_tw_video_thumb/1683512830987837443/pu/img/B-KU7iEPbN2PyNUr.jpg</t>
  </si>
  <si>
    <t>https://t.co/f4foroqEDk https://pbs.twimg.com/ext_tw_video_thumb/1688972139792109580/pu/img/kLP1m99ME_Tljnfd.jpg</t>
  </si>
  <si>
    <t>https://t.co/NfmZCbCg3l https://pbs.twimg.com/media/F6qMv-dWoAAxtr0.jpg</t>
  </si>
  <si>
    <t>https://t.co/WGGWLpdBTY https://pbs.twimg.com/media/F5_5l1KWEAAppmC.jpg</t>
  </si>
  <si>
    <t>https://t.co/DsLTdwcNj1 https://pbs.twimg.com/media/F6ZZKTCb0AALCSI.jpg</t>
  </si>
  <si>
    <t>https://t.co/zMqXRcODqO https://t.co/zMqXRcODqO https://pbs.twimg.com/media/F3M8fHKX0AEGDvf.jpg https://pbs.twimg.com/media/F3M8fHOXIAA8qUf.jpg</t>
  </si>
  <si>
    <t>https://t.co/AS3qaUuN7M https://pbs.twimg.com/media/F5v5jSfXQAAPj5m.jpg</t>
  </si>
  <si>
    <t>https://t.co/W7ryCOi40X https://pbs.twimg.com/ext_tw_video_thumb/1687524608163844096/pu/img/orEpoKU4RhvEaeLV.jpg</t>
  </si>
  <si>
    <t>https://t.co/GLrFdRjhIX https://pbs.twimg.com/media/F2aYWwnX0AACT1m.jpg</t>
  </si>
  <si>
    <t>https://t.co/S7O8s5x2lF https://pbs.twimg.com/ext_tw_video_thumb/1690755108118650881/pu/img/uh7YEwAp6SUO1Bm6.jpg</t>
  </si>
  <si>
    <t>https://t.co/BvHa3rC0NI https://pbs.twimg.com/ext_tw_video_thumb/1697346484373438464/pu/img/6FnSbhBEi5xLQjCw.jpg</t>
  </si>
  <si>
    <t>https://t.co/PJuVUfhoKE https://pbs.twimg.com/ext_tw_video_thumb/1688940982929092608/pu/img/serkkZndB92agHKO.jpg</t>
  </si>
  <si>
    <t>https://t.co/nt1jJ6UTPg https://pbs.twimg.com/media/F1wGEZyXgAATTEZ.jpg</t>
  </si>
  <si>
    <t>https://t.co/bVgFxldIU2 https://pbs.twimg.com/media/F14RDjwX0AAcMQL.jpg</t>
  </si>
  <si>
    <t>https://t.co/o1AJ3RKOPA https://pbs.twimg.com/media/F4V_58gW0AA_Niv.jpg</t>
  </si>
  <si>
    <t>https://t.co/w7dqS5uyH8 https://pbs.twimg.com/media/F4HR0maa0AAfXPX.jpg</t>
  </si>
  <si>
    <t>https://t.co/H6tu9SU5N4 https://pbs.twimg.com/ext_tw_video_thumb/1696146939694231552/pu/img/i_1FzUko_8bMkY5F.jpg</t>
  </si>
  <si>
    <t>https://t.co/m9APMe2nIo https://pbs.twimg.com/ext_tw_video_thumb/1698667363749535744/pu/img/J6eCdlqqWMqxSKFj.jpg</t>
  </si>
  <si>
    <t>https://t.co/gRcfiC6aeD https://pbs.twimg.com/ext_tw_video_thumb/1696873216730419200/pu/img/BetP8nZ58qy9Hnim.jpg</t>
  </si>
  <si>
    <t>https://t.co/oQCEVyEOsO https://pbs.twimg.com/media/F5YsEyUXAAAJQQU.jpg</t>
  </si>
  <si>
    <t>https://t.co/4ertydvmRK https://pbs.twimg.com/ext_tw_video_thumb/1703741141986734080/pu/img/IuT6n1uzl_vdWcKF.jpg</t>
  </si>
  <si>
    <t>https://t.co/GUsWBmiZ0G https://pbs.twimg.com/ext_tw_video_thumb/1706287461897289728/pu/img/LUHtAg17luvct0XK.jpg</t>
  </si>
  <si>
    <t>https://t.co/CK1tE8VRbT https://pbs.twimg.com/ext_tw_video_thumb/1701202630163202048/pu/img/I5s8Wkp5xP7SRvd4.jpg</t>
  </si>
  <si>
    <t>https://t.co/O5OPc2T8tC https://pbs.twimg.com/media/F0yQcXUWAAA9e3N.png</t>
  </si>
  <si>
    <t>https://t.co/JX1a7pHdiM https://pbs.twimg.com/media/F0tG2rvXgAAqGJS.png</t>
  </si>
  <si>
    <t>https://t.co/M55UzyeXI4 https://pbs.twimg.com/media/F11NHLFWcAIA1P-.png</t>
  </si>
  <si>
    <t>https://t.co/paP65f6tUc https://pbs.twimg.com/media/F1lwV5mWwAEhkcp.png</t>
  </si>
  <si>
    <t>https://t.co/jOaZrJX7dh https://pbs.twimg.com/media/F2Ep4SZWkAAt30n.png</t>
  </si>
  <si>
    <t>https://t.co/p2bssPfcVU https://pbs.twimg.com/media/F1gmv-XWwAMGN6Y.png</t>
  </si>
  <si>
    <t>https://t.co/yopfzfo4oL https://pbs.twimg.com/media/F2JzdwyWAAE61da.png</t>
  </si>
  <si>
    <t>https://t.co/aU16kWRJvz https://pbs.twimg.com/media/F318218WYAAQcl7.png</t>
  </si>
  <si>
    <t>https://t.co/jjCXedhCHG https://pbs.twimg.com/media/F3HmjRdXsAE9i_X.png</t>
  </si>
  <si>
    <t>https://t.co/zmRmTcg205 https://pbs.twimg.com/media/F2eZ01aaAAEN-Yh.png</t>
  </si>
  <si>
    <t>https://t.co/KyK3crY1T7 https://pbs.twimg.com/media/F3rprW7W8AA-7Rz.png</t>
  </si>
  <si>
    <t>https://t.co/iggqFm74MA https://pbs.twimg.com/media/F29TXOxXIAAfwgP.png</t>
  </si>
  <si>
    <t>https://t.co/FfDFCwsWhd https://pbs.twimg.com/media/F1bdKU6XoAUhgCX.png</t>
  </si>
  <si>
    <t>https://t.co/JXOoV1UgNb https://pbs.twimg.com/media/F27UX-0XQAAQYVj.jpg</t>
  </si>
  <si>
    <t>https://t.co/nRjX12J4U1 https://pbs.twimg.com/media/F1WTkh2WYAAfIqL.png</t>
  </si>
  <si>
    <t>https://t.co/dtoI1mzP0u https://pbs.twimg.com/media/F3MwJCSWoAAAVO9.png</t>
  </si>
  <si>
    <t>https://t.co/tYDCWjDi5R https://pbs.twimg.com/media/F1BtNrtWIAEPVFW.png</t>
  </si>
  <si>
    <t>https://t.co/ICDMt1VSi1 https://pbs.twimg.com/media/F3Cc9LbXQAAaF1I.png</t>
  </si>
  <si>
    <t>https://t.co/9U74D3nYxt https://pbs.twimg.com/media/F3fXf4BWYAAUuEz.jpg</t>
  </si>
  <si>
    <t>https://t.co/cyydzaD0fT https://pbs.twimg.com/media/F3mgFmnWgAEcAJR.png</t>
  </si>
  <si>
    <t>https://t.co/V8FmOiSByZ https://pbs.twimg.com/media/F3hWfjkXcAAVU1M.png</t>
  </si>
  <si>
    <t>https://t.co/krBJp2lne8 https://pbs.twimg.com/media/F2t2mTTXwAAwJaO.png</t>
  </si>
  <si>
    <t>https://t.co/xjruhApXlI https://pbs.twimg.com/media/F16WtHFWEAIjulx.png</t>
  </si>
  <si>
    <t>https://t.co/29TRgcyPOL https://pbs.twimg.com/media/F3wzROcWgAcaf6g.png</t>
  </si>
  <si>
    <t>https://t.co/GAAwepT8lp https://pbs.twimg.com/media/F2XRRdoXoAER4tG.jpg</t>
  </si>
  <si>
    <t>https://t.co/mgRjD2CYid https://pbs.twimg.com/media/F4KjNt3WQAAgSfI.png</t>
  </si>
  <si>
    <t>https://t.co/kJ3sFUJK4t https://pbs.twimg.com/media/F4Z__GRWkAEcJcr.png</t>
  </si>
  <si>
    <t>https://t.co/j6uVCTchLL https://pbs.twimg.com/media/F1RJ-4sXwAAoCas.png</t>
  </si>
  <si>
    <t>https://t.co/yRB4HN7yHK https://pbs.twimg.com/media/F4PszelWgAALnzr.png</t>
  </si>
  <si>
    <t>https://t.co/3gLGNkv91M https://pbs.twimg.com/media/F3R5uT0XwAEPK8n.png</t>
  </si>
  <si>
    <t>https://t.co/vSivRzr92q https://pbs.twimg.com/media/F4U2ZjpXUAErN38.png</t>
  </si>
  <si>
    <t>https://t.co/LnXeqwb2Gf https://pbs.twimg.com/media/F2ZQPAnWkAAf9Fa.png</t>
  </si>
  <si>
    <t>https://t.co/eaLYHSU86F https://pbs.twimg.com/media/F03aCT5WcAIGflA.png</t>
  </si>
  <si>
    <t>https://t.co/PGYF7GtxBL https://pbs.twimg.com/media/F4ndwtqXgAAhYn9.jpg</t>
  </si>
  <si>
    <t>https://t.co/O9gEDZ6Ga2 https://pbs.twimg.com/media/F1_gSw3XoAA-Zxy.png</t>
  </si>
  <si>
    <t>https://t.co/Vv5VxFUpRk https://pbs.twimg.com/media/F5vkBpIXYAAwjY8.jpg</t>
  </si>
  <si>
    <t>https://t.co/kSStmmtRkZ https://pbs.twimg.com/media/F4FZoDiW4AE9L3W.png</t>
  </si>
  <si>
    <t>https://t.co/af4X42xrXO https://pbs.twimg.com/media/F6TnKLdWYAAa0XV.jpg</t>
  </si>
  <si>
    <t>https://t.co/oDKQmfvgoq https://pbs.twimg.com/media/F4DaphGWwAA6D4g.jpg</t>
  </si>
  <si>
    <t>https://t.co/Pskz6ZbPXK https://pbs.twimg.com/media/F2jjamsXMAEE4SD.png</t>
  </si>
  <si>
    <t>https://t.co/kuv8lh0ARA https://pbs.twimg.com/media/F08jn_uXwAI17j5.png</t>
  </si>
  <si>
    <t>https://t.co/fCRguJBlo0 https://pbs.twimg.com/media/F63qS7QWUAAkHzq.jpg</t>
  </si>
  <si>
    <t>https://t.co/YgdNatxR0b https://pbs.twimg.com/media/F5Lg5onWAAAhjY1.jpg</t>
  </si>
  <si>
    <t>https://t.co/EiQCjRo0tw https://pbs.twimg.com/media/F2otAkiXYAAW5kl.png</t>
  </si>
  <si>
    <t>https://t.co/7DuDTqqFlF https://pbs.twimg.com/media/F1PYzRxWAAE7iN2.jpg</t>
  </si>
  <si>
    <t>https://t.co/duCsTXNZz4 https://pbs.twimg.com/media/F6Y14IQWUAA4NfC.png</t>
  </si>
  <si>
    <t>https://t.co/eaiYQMGfem https://pbs.twimg.com/media/F2U1xYyXgAABcJs.jpg</t>
  </si>
  <si>
    <t>https://t.co/zUTSbnVeFz https://pbs.twimg.com/ext_tw_video_thumb/1689912129812307969/pu/img/KcdAXk4v0E0mTLlN.jpg</t>
  </si>
  <si>
    <t>https://t.co/HInuVYqiwj https://pbs.twimg.com/ext_tw_video_thumb/1699662589758722048/pu/img/8Qk8uaNL6YrsDEQh.jpg</t>
  </si>
  <si>
    <t>https://t.co/gLy1L5qOYm https://pbs.twimg.com/ext_tw_video_thumb/1701494966797676544/pu/img/WJ4Vw_mGo1gfTm6Q.jpg</t>
  </si>
  <si>
    <t>https://t.co/rPXEQMmXH0 https://pbs.twimg.com/ext_tw_video_thumb/1687011781988769792/pu/img/R6SdaJcmCizpVoVe.jpg</t>
  </si>
  <si>
    <t>https://t.co/dIeVsiGQnL https://pbs.twimg.com/ext_tw_video_thumb/1690999286329159680/pu/img/UZqPqKR6Gc8CjC0U.jpg</t>
  </si>
  <si>
    <t>https://t.co/9346ptrcND https://pbs.twimg.com/ext_tw_video_thumb/1684564295076691971/pu/img/ykCzJ9GVWnbIV_6o.jpg</t>
  </si>
  <si>
    <t>https://t.co/SmNDy7VvMC https://pbs.twimg.com/ext_tw_video_thumb/1693900881199091713/pu/img/wM_1xG9l56fmU54E.jpg</t>
  </si>
  <si>
    <t>https://t.co/ccR7tB4LNH https://pbs.twimg.com/ext_tw_video_thumb/1696801236417220608/pu/img/2DUs91F93aPmh1Jx.jpg</t>
  </si>
  <si>
    <t>https://t.co/zJgy6oHxWt https://pbs.twimg.com/ext_tw_video_thumb/1688573563656077312/pu/img/GFMga6TXJ6QlCd0q.jpg</t>
  </si>
  <si>
    <t>https://t.co/c6tvQ2nRUF https://pbs.twimg.com/media/F0xjH1UWcBQ1fpW.jpg</t>
  </si>
  <si>
    <t>https://t.co/ebOsbPFm2t https://pbs.twimg.com/media/F0xi6WzWcAQIvKe.jpg</t>
  </si>
  <si>
    <t>https://t.co/HmeWwa5h8T https://pbs.twimg.com/media/F070QnjWYAEMN7p.jpg</t>
  </si>
  <si>
    <t>https://t.co/URSqLRFOK8 https://pbs.twimg.com/media/F070FCfWIAYCBMw.jpg</t>
  </si>
  <si>
    <t>https://t.co/gvwdo7XJPH https://pbs.twimg.com/media/F07dG4RWcAMJwMe.jpg</t>
  </si>
  <si>
    <t>https://t.co/vXI8OMfqqT https://pbs.twimg.com/media/F2oJk_uW4AAG6ap.jpg</t>
  </si>
  <si>
    <t>https://t.co/7TnyHoQVOa https://pbs.twimg.com/media/F2n_Th2XQA4DUp-.jpg</t>
  </si>
  <si>
    <t>https://t.co/YgPBXifIzZ https://pbs.twimg.com/media/F1qUFSTWAAY4Itg.jpg</t>
  </si>
  <si>
    <t>https://t.co/fJ5Y9LbykT https://pbs.twimg.com/media/F1qTYGRWcAAMU4T.jpg</t>
  </si>
  <si>
    <t>https://t.co/Glq73RymJx https://pbs.twimg.com/media/F1p4DwMXoAMO-b_.jpg</t>
  </si>
  <si>
    <t>https://t.co/cgtQqshrzE https://pbs.twimg.com/media/F1p318cXoAAs9IC.jpg</t>
  </si>
  <si>
    <t>https://t.co/LEAxBZCbNz https://pbs.twimg.com/media/F1p3nzOWwAAL98B.jpg</t>
  </si>
  <si>
    <t>https://t.co/vITdcxRIsT https://pbs.twimg.com/media/F1p3PF5XgAU-02C.jpg</t>
  </si>
  <si>
    <t>https://t.co/59XUaWIpEB https://pbs.twimg.com/media/F1p3EOnXgAEzv8N.jpg</t>
  </si>
  <si>
    <t>https://t.co/QbIgmyCT9B https://pbs.twimg.com/media/F1p22_hXgAAvmlv.jpg</t>
  </si>
  <si>
    <t>https://t.co/Rky7wzNImL https://pbs.twimg.com/media/F017sJUXoAMI0Ty.jpg</t>
  </si>
  <si>
    <t>https://t.co/2Q0LYhATo3 https://pbs.twimg.com/media/F017h_JXoAES8KX.jpg</t>
  </si>
  <si>
    <t>https://t.co/BlrK2gu7bA https://pbs.twimg.com/media/F1-_5GsWYA88AG9.jpg</t>
  </si>
  <si>
    <t>https://t.co/VHYXbyFCJ1 https://pbs.twimg.com/media/F1-_vFgWcAEHHSU.jpg</t>
  </si>
  <si>
    <t>https://t.co/1nKWDEjxXc https://pbs.twimg.com/media/F1-_ktmWYBQAIRy.jpg</t>
  </si>
  <si>
    <t>https://t.co/XdUZpYLffv https://pbs.twimg.com/media/F1-_e6MWYBMw1NI.jpg</t>
  </si>
  <si>
    <t>https://t.co/d000NNMvZT https://pbs.twimg.com/media/F2JsD6xXoAArwaf.jpg</t>
  </si>
  <si>
    <t>https://t.co/MX9wicREBI https://pbs.twimg.com/media/F2JYFTfXkAAroAf.jpg</t>
  </si>
  <si>
    <t>https://t.co/MqEk98sVlp https://pbs.twimg.com/media/F2dvpmFWIAA-zCX.jpg</t>
  </si>
  <si>
    <t>https://t.co/EtJreYMcnW https://pbs.twimg.com/media/F2dk8vmXUAcpoPy.jpg</t>
  </si>
  <si>
    <t>https://t.co/mwh9hn9pbm https://pbs.twimg.com/media/F2dHfo_WAAA1bzd.jpg</t>
  </si>
  <si>
    <t>https://t.co/M1WdUUMSZX https://pbs.twimg.com/media/F2cZuf2WMAAJYN6.jpg</t>
  </si>
  <si>
    <t>https://t.co/zhKJ7E6uP2 https://pbs.twimg.com/media/F29HVATXUAYeS0Q.jpg</t>
  </si>
  <si>
    <t>https://t.co/J6ywWeTngZ https://pbs.twimg.com/media/F2EGiiTWIAAi4D8.jpg</t>
  </si>
  <si>
    <t>https://t.co/KkZDmP5Ejf https://pbs.twimg.com/media/F2D8P8-XkAAFf4H.jpg</t>
  </si>
  <si>
    <t>https://t.co/HqiVNXOKcH https://pbs.twimg.com/media/F1bHNJgWcAEu5dW.jpg</t>
  </si>
  <si>
    <t>https://t.co/SyqkJSPJPS https://pbs.twimg.com/media/F2stkkOWoAAleAE.jpg</t>
  </si>
  <si>
    <t>https://t.co/XWcu3ZIxsM https://pbs.twimg.com/media/F2so4N2WsAE88Ga.jpg</t>
  </si>
  <si>
    <t>https://t.co/s0OcgTphwQ https://pbs.twimg.com/media/F2sl_dRW8AAaKKD.jpg</t>
  </si>
  <si>
    <t>https://t.co/M3wc0TFAvu https://pbs.twimg.com/media/F1UIckpWcAIbNG7.jpg</t>
  </si>
  <si>
    <t>https://t.co/RUCqfNdBgH https://pbs.twimg.com/media/F1UILfMWIAU8XYY.jpg</t>
  </si>
  <si>
    <t>https://t.co/vW6SWP5Nrd https://pbs.twimg.com/media/F28k0rjXEAAoICO.jpg</t>
  </si>
  <si>
    <t>https://t.co/zcTObreNyd https://pbs.twimg.com/media/F28J2dgXoAITZAv.jpg</t>
  </si>
  <si>
    <t>https://t.co/83iBMBWgyJ https://pbs.twimg.com/media/F273p0cW0AAGZ76.jpg</t>
  </si>
  <si>
    <t>https://t.co/gcNkNWqMU1 https://pbs.twimg.com/media/F2Dy96BWAAsT7Ya.jpg</t>
  </si>
  <si>
    <t>https://t.co/kJ75fTRAHG https://pbs.twimg.com/media/F1aPuo6WYAESVCO.jpg</t>
  </si>
  <si>
    <t>https://t.co/QEGuo2dlRH https://pbs.twimg.com/media/F1aF4jsXwAMgWeZ.jpg</t>
  </si>
  <si>
    <t>https://t.co/n9DVHv6GSK https://pbs.twimg.com/media/F1Z_J5TXoAEnGnc.jpg</t>
  </si>
  <si>
    <t>https://t.co/26B9vUS21i https://pbs.twimg.com/media/F3gnTnAWMBkuuoK.jpg</t>
  </si>
  <si>
    <t>https://t.co/1PIBRLqScN https://pbs.twimg.com/media/F28qFZJXIAEcg6f.jpg</t>
  </si>
  <si>
    <t>https://t.co/I3jgvitF2P https://pbs.twimg.com/media/F070cpjXgAAf0Wa.jpg</t>
  </si>
  <si>
    <t>https://t.co/hwsUvxEM11 https://pbs.twimg.com/media/F3BlG5_XsAcMAGi.jpg</t>
  </si>
  <si>
    <t>https://t.co/ybtsHLw6dJ https://pbs.twimg.com/media/F3BTlZZXsAA0B1w.jpg</t>
  </si>
  <si>
    <t>https://t.co/7dfndkhpR7 https://pbs.twimg.com/media/F3BPbTgWIAEIYdq.jpg</t>
  </si>
  <si>
    <t>https://t.co/gVCJTeejpp https://pbs.twimg.com/media/F3AbFpGXcAAsKAQ.jpg</t>
  </si>
  <si>
    <t>https://t.co/ZZhWKWsQta https://pbs.twimg.com/media/F3RKwdiWoBUxw6c.jpg</t>
  </si>
  <si>
    <t>https://t.co/mUtuc0GGuN https://pbs.twimg.com/media/F11RiopXgAIvOa5.jpg</t>
  </si>
  <si>
    <t>https://t.co/YbFk6ca6aa https://pbs.twimg.com/media/F10q2u5WwAEHxDM.jpg</t>
  </si>
  <si>
    <t>https://t.co/IOPNYh5n5u https://pbs.twimg.com/media/F3pl8TUXkAI9DKb.jpg</t>
  </si>
  <si>
    <t>https://t.co/YCsai8BmQz https://pbs.twimg.com/media/F3pfoh4WYAAijCa.jpg</t>
  </si>
  <si>
    <t>https://t.co/GCWluYOyzT https://pbs.twimg.com/media/F3pbfAqWcAAXuQc.jpg</t>
  </si>
  <si>
    <t>https://t.co/9r8hFODc2K https://pbs.twimg.com/media/F2ClYpuWYAAjn2M.jpg</t>
  </si>
  <si>
    <t>https://t.co/frL1MmXDn0 https://pbs.twimg.com/media/F2ClJ6zWUAEHazC.jpg</t>
  </si>
  <si>
    <t>https://t.co/xugM35QeeK https://pbs.twimg.com/media/F2Ck7LsWIAACTi6.jpg</t>
  </si>
  <si>
    <t>https://t.co/bmaRi8Kx4Z https://pbs.twimg.com/media/F2Ckvy8XoAE07bk.jpg</t>
  </si>
  <si>
    <t>https://t.co/g4lZqBYoet https://pbs.twimg.com/media/F3Ruzo_WkAAAkoE.jpg</t>
  </si>
  <si>
    <t>https://t.co/Qe4xJKRfGL https://pbs.twimg.com/media/F3RuliZXwAAYiBr.jpg</t>
  </si>
  <si>
    <t>https://t.co/56AC8UKI4c https://pbs.twimg.com/media/F3gjq8qWMAQaUq5.jpg</t>
  </si>
  <si>
    <t>https://t.co/ZwEyzVPo4C https://pbs.twimg.com/media/F3gdxphX0BAgjmC.jpg</t>
  </si>
  <si>
    <t>https://t.co/djM3GbBJar https://pbs.twimg.com/media/F3gUfkLX0AcPx4y.jpg</t>
  </si>
  <si>
    <t>https://t.co/PQHlhlYg9E https://pbs.twimg.com/media/F3gUVW7WoAAzZFy.jpg</t>
  </si>
  <si>
    <t>https://t.co/B4cNgk4lWK https://pbs.twimg.com/media/F3kfuisXQAAwIvZ.jpg</t>
  </si>
  <si>
    <t>https://t.co/m4r1F4uksd https://pbs.twimg.com/media/F2n7Q6-XQA0dJ03.jpg</t>
  </si>
  <si>
    <t>https://t.co/ukTxGG3HCx https://pbs.twimg.com/media/F2nPuA3acAAtIxR.jpg</t>
  </si>
  <si>
    <t>https://t.co/pl2IxatKps https://pbs.twimg.com/media/F30rkrJXMAAgYe5.jpg</t>
  </si>
  <si>
    <t>https://t.co/0uH1h9n19K https://pbs.twimg.com/media/F3V7wVGXAAAlPcI.jpg</t>
  </si>
  <si>
    <t>https://t.co/45e0xh7EKe https://pbs.twimg.com/media/F4FhaRWXEAEXPaI.jpg</t>
  </si>
  <si>
    <t>https://t.co/9fYpgnBcw3 https://pbs.twimg.com/media/F4Fc1RnXsAAFNdC.jpg</t>
  </si>
  <si>
    <t>https://t.co/CEDHCZYHoh https://pbs.twimg.com/media/F4FZn6BXgAIS3jX.jpg</t>
  </si>
  <si>
    <t>https://t.co/lqqpeY0zth https://pbs.twimg.com/media/F2ib2xiXgAAh9Qq.jpg</t>
  </si>
  <si>
    <t>https://t.co/XuhiT4q7j4 https://pbs.twimg.com/media/F4UrVEaWcAAUtay.jpg</t>
  </si>
  <si>
    <t>https://t.co/Z0746ycOkV https://pbs.twimg.com/media/F2ZDtWSXgAAlfjt.jpg</t>
  </si>
  <si>
    <t>https://t.co/mzlM3CcWLA https://pbs.twimg.com/media/F2ZDaoDWEAE-_DX.jpg</t>
  </si>
  <si>
    <t>https://t.co/vcSyiMAQxA https://pbs.twimg.com/media/F4IVbfjXMAA6q_X.jpg</t>
  </si>
  <si>
    <t>https://t.co/S9WqOrXuEU https://pbs.twimg.com/media/F3Fi2R3XAAA6a4q.jpg</t>
  </si>
  <si>
    <t>https://t.co/I60B8VX9Wx https://pbs.twimg.com/media/F3FigBKWoAE3jct.jpg</t>
  </si>
  <si>
    <t>https://t.co/eeHdssBWS5 https://pbs.twimg.com/media/F1guExWWIAQ1iGo.jpg</t>
  </si>
  <si>
    <t>https://t.co/RxfCFP793U https://pbs.twimg.com/media/F4OOiN0WMAEZAR_.jpg</t>
  </si>
  <si>
    <t>https://t.co/lyB9ghOuJP https://pbs.twimg.com/media/F2nM2Dua4AAOeoB.jpg</t>
  </si>
  <si>
    <t>https://t.co/8fSdjY7pt7 https://pbs.twimg.com/media/F10qso5WIAk-Tpf.jpg</t>
  </si>
  <si>
    <t>https://t.co/3QUzTHmBnS https://pbs.twimg.com/media/F10n367WIAsdZ1z.jpg</t>
  </si>
  <si>
    <t>https://t.co/pOmCuJz4Pq https://pbs.twimg.com/media/F4y3gGfXQAAfxNk.jpg</t>
  </si>
  <si>
    <t>https://t.co/SxVBWX3nNB https://pbs.twimg.com/media/F2HxbQlW4AAFmGv.jpg</t>
  </si>
  <si>
    <t>https://t.co/RBoxwZVXwA https://pbs.twimg.com/media/F1knZsJWwAMmkXN.jpg</t>
  </si>
  <si>
    <t>https://t.co/BNppKyYr2c https://pbs.twimg.com/media/F1kZ-CqXgAQuH9a.jpg</t>
  </si>
  <si>
    <t>https://t.co/Z19B9wkUAa https://pbs.twimg.com/media/F1jvClXWcAMqoyg.jpg</t>
  </si>
  <si>
    <t>https://t.co/UDHNymg8fn https://pbs.twimg.com/ext_tw_video_thumb/1682402384511655937/pu/img/UfTsrOLAZZFHPzE8.jpg</t>
  </si>
  <si>
    <t>https://t.co/2TJn8nvtHd https://pbs.twimg.com/media/F49_fiHX0AAijVz.jpg</t>
  </si>
  <si>
    <t>https://t.co/6yEWE3gKzp https://pbs.twimg.com/media/F1AikDfWYAEOCyi.jpg</t>
  </si>
  <si>
    <t>https://t.co/Fp8fA7iinV https://pbs.twimg.com/media/F7G4BGeWMAAMSD0.jpg</t>
  </si>
  <si>
    <t>https://t.co/DRX7fpn4s0 https://t.co/DRX7fpn4s0 https://pbs.twimg.com/media/F4qMnTwWsAA_C8v.jpg https://pbs.twimg.com/media/F4qMnTuWUAE4--n.jpg</t>
  </si>
  <si>
    <t>https://t.co/UL04xxb2oX https://pbs.twimg.com/media/F5VLt38WwAARsRP.jpg</t>
  </si>
  <si>
    <t>https://t.co/Dp5pTWG28r https://pbs.twimg.com/media/F3hrq1-XAAANbji.jpg</t>
  </si>
  <si>
    <t>https://t.co/ntewftrHi8 https://pbs.twimg.com/media/F4dDHXfWsAATGFx.jpg</t>
  </si>
  <si>
    <t>https://t.co/aJ8nQVPllK https://pbs.twimg.com/media/F4nX1-gW0AAQDNj.jpg</t>
  </si>
  <si>
    <t>https://t.co/Js9FtpPTGU https://pbs.twimg.com/media/F691zJOXQAArorl.jpg</t>
  </si>
  <si>
    <t>https://t.co/gp7mK937x9 https://pbs.twimg.com/media/F6Fl8BYWAAACf18.jpg</t>
  </si>
  <si>
    <t>https://t.co/FfnizufM3R https://pbs.twimg.com/media/F6ALvOcXcAE0Rpi.jpg</t>
  </si>
  <si>
    <t>https://t.co/pncuD0BTAu https://pbs.twimg.com/media/F5XtCbkWwAASL-G.jpg</t>
  </si>
  <si>
    <t>https://t.co/biiDsqxWHb https://pbs.twimg.com/media/F5xRk7IX0AA31QS.jpg</t>
  </si>
  <si>
    <t>https://t.co/xBzaRY6cjW https://pbs.twimg.com/media/F52QnTAXgAAvJ7W.jpg</t>
  </si>
  <si>
    <t>https://t.co/DrVPGpzbsc https://pbs.twimg.com/media/F6pp2kIW4AAxsuj.jpg</t>
  </si>
  <si>
    <t>https://t.co/YiMdu3eLIE https://pbs.twimg.com/media/F6aitFtXgAAZ60i.jpg</t>
  </si>
  <si>
    <t>https://t.co/MWGzfIElv8 https://pbs.twimg.com/media/F6fwXmRWQAAk16p.jpg</t>
  </si>
  <si>
    <t>https://t.co/1CR4DBdEN2 https://pbs.twimg.com/media/F6k6ghIXAAA6P2H.jpg</t>
  </si>
  <si>
    <t>https://t.co/2cUAbZPY3X https://pbs.twimg.com/media/F7D2Qx7XIAAVkPX.jpg</t>
  </si>
  <si>
    <t>https://t.co/U8tthVSxtK https://pbs.twimg.com/media/F65iVyjWIAAHp9r.jpg</t>
  </si>
  <si>
    <t>https://t.co/GiAxU6lyIV https://pbs.twimg.com/media/F57heNsWoAADcif.jpg</t>
  </si>
  <si>
    <t>https://t.co/EPAd8feXFm https://t.co/EPAd8feXFm https://t.co/EPAd8feXFm https://t.co/EPAd8feXFm https://pbs.twimg.com/media/F3v4_bOXMBwMKl-.jpg https://pbs.twimg.com/media/F3v4_cWXMBU42xb.jpg https://pbs.twimg.com/media/F3v4_cEXMA4rnHU.jpg https://pbs.twimg.com/media/F3v4_ccXMA8cvmk.jpg</t>
  </si>
  <si>
    <t>https://t.co/P2Mlm0hD6b https://pbs.twimg.com/media/F5ZDIwxWoAAcVoO.jpg</t>
  </si>
  <si>
    <t>https://t.co/mqPAspJiUh https://pbs.twimg.com/media/F5YU56EW0AA_O2G.png</t>
  </si>
  <si>
    <t>https://t.co/rTE5EfUyqi https://pbs.twimg.com/media/F35-mAfXEAAS3sS.jpg</t>
  </si>
  <si>
    <t>https://t.co/sophbyzxFw https://pbs.twimg.com/media/F58PaCRXMAEEerB.png</t>
  </si>
  <si>
    <t>https://t.co/yKJR1wAAWc https://pbs.twimg.com/ext_tw_video_thumb/1701359045783752704/pu/img/GlmHS9GPHCKM6mXT.jpg</t>
  </si>
  <si>
    <t>https://t.co/5k5f2kTQ99 https://pbs.twimg.com/media/F4sOpaOWQAAua8O.jpg</t>
  </si>
  <si>
    <t>https://t.co/pflT7Gjjeb https://pbs.twimg.com/media/F5Ica1dWEAAraHp.jpg</t>
  </si>
  <si>
    <t>https://t.co/GM9uF5ZFvQ https://pbs.twimg.com/ext_tw_video_thumb/1692630551323168768/pu/img/4n2VQEJtCywTW8an.jpg</t>
  </si>
  <si>
    <t>https://t.co/JFDFOOPnhx https://pbs.twimg.com/media/F287i2pWEAAYyLm.jpg</t>
  </si>
  <si>
    <t>https://t.co/aSFzwP6Epu https://pbs.twimg.com/ext_tw_video_thumb/1682689808655630336/pu/img/xUcl_d5OhyaDIxvq.jpg</t>
  </si>
  <si>
    <t>https://t.co/fPKtKQazxi https://pbs.twimg.com/media/F5DWUMOWsAAgt5x.jpg</t>
  </si>
  <si>
    <t>https://t.co/8ddYYZqy3j https://pbs.twimg.com/media/F3l8zjYW0AEYUMm.jpg</t>
  </si>
  <si>
    <t>https://t.co/mnfU4BAzgs https://pbs.twimg.com/media/F3Cm5z8WkAAPasn.jpg</t>
  </si>
  <si>
    <t>https://t.co/NmbPpSLKtz https://pbs.twimg.com/media/F46pC-TWEAA4njL.jpg</t>
  </si>
  <si>
    <t>https://t.co/KueHlljYEY https://pbs.twimg.com/ext_tw_video_thumb/1696003611581390850/pu/img/F_Vjo88bOAofUkQ7.jpg</t>
  </si>
  <si>
    <t>https://t.co/pVhqIKOteK https://pbs.twimg.com/ext_tw_video_thumb/1682483382171623428/pu/img/dd6geWwILS_vH8I6.jpg</t>
  </si>
  <si>
    <t>https://t.co/p531EEkbYK https://pbs.twimg.com/ext_tw_video_thumb/1686892458674638848/pu/img/lqIPamhurhkDZzZd.jpg</t>
  </si>
  <si>
    <t>https://t.co/rYhrVB2n7n https://pbs.twimg.com/ext_tw_video_thumb/1687325376853258240/pu/img/InxBmIjtBfx8yDue.jpg</t>
  </si>
  <si>
    <t>https://t.co/FdeYnDbJfY https://t.co/FdeYnDbJfY https://t.co/FdeYnDbJfY https://t.co/FdeYnDbJfY https://pbs.twimg.com/media/F23ZRWMXIAAYhcI.jpg https://pbs.twimg.com/media/F23ZRtfWMAArrkY.jpg https://pbs.twimg.com/media/F23ZSB_WIAA3Iot.jpg https://pbs.twimg.com/media/F23ZSVcWoAESNLY.jpg</t>
  </si>
  <si>
    <t>https://t.co/pGEULOJl7E https://pbs.twimg.com/media/F1uGw5vWcAA_Ins.jpg</t>
  </si>
  <si>
    <t>https://t.co/1V909dKLTx https://pbs.twimg.com/media/F1tuRhLX0AAFz2O.jpg</t>
  </si>
  <si>
    <t>https://t.co/PszpZIMRyq https://pbs.twimg.com/media/F2C52mFX0AAhONP.jpg</t>
  </si>
  <si>
    <t>https://t.co/RqhCrqF7vp https://pbs.twimg.com/media/F1otdGmWcAEtYZm.jpg</t>
  </si>
  <si>
    <t>https://t.co/P6Ado6yltl https://pbs.twimg.com/media/F0zJcixXwAAmHei.jpg</t>
  </si>
  <si>
    <t>https://t.co/oMkNuELCol https://pbs.twimg.com/media/F3rY890WQAACQg9.jpg</t>
  </si>
  <si>
    <t>https://t.co/bVuhiT8L7R https://pbs.twimg.com/media/F23gkFaWIAAQwkz.jpg</t>
  </si>
  <si>
    <t>https://t.co/nb1J8LleUk https://pbs.twimg.com/media/F2YEYnMWMAATyLN.jpg</t>
  </si>
  <si>
    <t>https://t.co/2iVMSS0DIb https://pbs.twimg.com/media/F3nLEbfXIAIEskt.jpg</t>
  </si>
  <si>
    <t>https://t.co/uiCx3DSJ8e https://pbs.twimg.com/media/F1jO9qxX0AAmc9C.jpg</t>
  </si>
  <si>
    <t>https://t.co/b3xHvH6chE https://pbs.twimg.com/media/F3fDT24WEAE8kU5.jpg</t>
  </si>
  <si>
    <t>https://t.co/piTAzDb4Q2 https://pbs.twimg.com/media/F14xYJ4aAAEujOZ.jpg</t>
  </si>
  <si>
    <t>https://t.co/WKgiKIUgcz https://pbs.twimg.com/media/F3U6PTDXAAAVm4J.jpg</t>
  </si>
  <si>
    <t>https://t.co/dqZtVR9qnv https://pbs.twimg.com/media/F1LWQvGWYAAd4s1.jpg</t>
  </si>
  <si>
    <t>https://t.co/1182wkcE2i https://pbs.twimg.com/media/F1KWvxFWcAAEB3-.jpg</t>
  </si>
  <si>
    <t>https://t.co/VKh4pM3Xyy https://pbs.twimg.com/media/F1EbJXMXsAAQhRv.jpg</t>
  </si>
  <si>
    <t>https://t.co/dkyy5vZrUE https://pbs.twimg.com/media/F4csi-QWkAAznth.jpg</t>
  </si>
  <si>
    <t>https://t.co/8PnEBLi7Io https://pbs.twimg.com/media/F3zT7QHWEAAxZqw.jpg</t>
  </si>
  <si>
    <t>https://t.co/Guxg2PEa49 https://pbs.twimg.com/media/F37D4RgXoAAcNie.jpg</t>
  </si>
  <si>
    <t>https://t.co/PNRVqjhW1n https://pbs.twimg.com/media/F40L5PRXwAAd8QP.jpg</t>
  </si>
  <si>
    <t>https://t.co/HLwnHHqFAt https://pbs.twimg.com/media/F45nf9mWEAAaIsu.jpg</t>
  </si>
  <si>
    <t>https://t.co/RK341ueJyl https://pbs.twimg.com/media/F4pboN_WwAAV6vz.jpg</t>
  </si>
  <si>
    <t>https://t.co/41m7qMH8uE https://pbs.twimg.com/media/F4pbjAdWEAAYjNk.jpg</t>
  </si>
  <si>
    <t>https://t.co/t9UpolNQsh https://pbs.twimg.com/media/F5xL9onXgAAGfIi.jpg</t>
  </si>
  <si>
    <t>https://t.co/u2zvPV7dup https://pbs.twimg.com/media/F3VZTQ_XUAAjlT7.jpg</t>
  </si>
  <si>
    <t>https://t.co/uAWGMl44e1 https://pbs.twimg.com/media/F6JXESeXcAAX02c.jpg</t>
  </si>
  <si>
    <t>https://t.co/JwUNIEDpWK https://pbs.twimg.com/media/F5QLElSXYAAogOb.jpg</t>
  </si>
  <si>
    <t>https://t.co/T2QurcMart https://pbs.twimg.com/media/F3eprPMWkAEasvM.jpg</t>
  </si>
  <si>
    <t>https://t.co/iDFfGJSfeV https://pbs.twimg.com/media/F6L7ItvW8AAMEJ3.jpg</t>
  </si>
  <si>
    <t>https://t.co/2lmxppS3Z6 https://pbs.twimg.com/media/F6L2sV_WAAA7mqd.jpg</t>
  </si>
  <si>
    <t>https://t.co/fxII4oG7s6 https://pbs.twimg.com/media/F4FVib9WgAAkOzO.jpg</t>
  </si>
  <si>
    <t>https://t.co/zwRGXgcCAW https://pbs.twimg.com/media/F6zQ-v2WwAALt6o.jpg</t>
  </si>
  <si>
    <t>https://t.co/MUnGwap59p https://pbs.twimg.com/media/F5GYVx3WkAAHo10.jpg</t>
  </si>
  <si>
    <t>https://t.co/Y5T4n5p9sM https://pbs.twimg.com/media/F60nxEWXcAAvV10.jpg</t>
  </si>
  <si>
    <t>https://t.co/wGNvT526Vk https://pbs.twimg.com/media/F3-1YroXkAAqCS8.jpg</t>
  </si>
  <si>
    <t>https://t.co/NuBrQ6kbd6 https://pbs.twimg.com/media/F64D3CfXIAA3pAj.jpg</t>
  </si>
  <si>
    <t>https://t.co/DpKksgRQPJ https://pbs.twimg.com/media/F6n3Bn0X0AA0Rf0.jpg</t>
  </si>
  <si>
    <t>https://t.co/HIT8aJRBtW https://pbs.twimg.com/media/F69a9DGXcAAnjAz.jpg</t>
  </si>
  <si>
    <t>https://t.co/M2ZykDV5gO https://pbs.twimg.com/media/F2SHmtCXkAAsSS7.jpg</t>
  </si>
  <si>
    <t>https://t.co/NZZDG8c5N9 https://pbs.twimg.com/media/F2NuZ8WWwAASS54.jpg</t>
  </si>
  <si>
    <t>https://t.co/LzRA2pacnS https://pbs.twimg.com/media/F2NHK2xXUAA2MC_.jpg</t>
  </si>
  <si>
    <t>https://t.co/ihAv9kewQF https://pbs.twimg.com/media/F2jdAsmWsAIvUVt.jpg</t>
  </si>
  <si>
    <t>https://t.co/XqxIVdPC0g https://pbs.twimg.com/media/F6KwbFIXYAA3-YL.jpg</t>
  </si>
  <si>
    <t>https://t.co/KYBUGeRIh7 https://pbs.twimg.com/media/F1PLGdRXwAEwmf0.jpg</t>
  </si>
  <si>
    <t>https://t.co/QSUX4XCCyF https://pbs.twimg.com/media/F2zEud-W0AEZnvV.jpg</t>
  </si>
  <si>
    <t>https://t.co/mgFhKkWuXZ https://pbs.twimg.com/media/F4I3J_nWgAAeEQI.png</t>
  </si>
  <si>
    <t>https://t.co/xGI0EEA7hw https://pbs.twimg.com/ext_tw_video_thumb/1681278369126645760/pu/img/K_SdT2higTveRu8t.jpg</t>
  </si>
  <si>
    <t>https://t.co/7FyYWMH96U https://pbs.twimg.com/ext_tw_video_thumb/1678826552132268052/pu/img/aXezvikLo8lmqznT.jpg</t>
  </si>
  <si>
    <t>https://t.co/uUvczkGAK6 https://pbs.twimg.com/ext_tw_video_thumb/1684180077582450689/pu/img/Ta6LwIxxC-EpXQdk.jpg</t>
  </si>
  <si>
    <t>https://t.co/UpTRbjII0j https://pbs.twimg.com/ext_tw_video_thumb/1683532762580484096/pu/img/HZUEpMd1zlWh0QyO.jpg</t>
  </si>
  <si>
    <t>https://t.co/1WxSli9Z3G https://pbs.twimg.com/ext_tw_video_thumb/1686801245208539139/pu/img/JVW6-leMyUnnIqds.jpg</t>
  </si>
  <si>
    <t>https://t.co/3DwDCmL6AT https://pbs.twimg.com/ext_tw_video_thumb/1691801737194086401/pu/img/g4gNiNS4K9Rd42wK.jpg</t>
  </si>
  <si>
    <t>https://t.co/yqP3sw5DcZ https://pbs.twimg.com/ext_tw_video_thumb/1687591056643141633/pu/img/54fcYQ5ZOH4uwGx7.jpg</t>
  </si>
  <si>
    <t>https://t.co/aigyQC5Ova https://pbs.twimg.com/ext_tw_video_thumb/1691996845814304768/pu/img/VDvWM46ftyy0JVNB.jpg</t>
  </si>
  <si>
    <t>https://t.co/6FpzxAsutX https://pbs.twimg.com/media/F1fQ_cPaMAM6pyG.jpg</t>
  </si>
  <si>
    <t>https://t.co/hvbCh5yAeX https://pbs.twimg.com/media/F2DUHgXaQAExmXk.jpg</t>
  </si>
  <si>
    <t>https://t.co/pkDlrCXEEV https://pbs.twimg.com/media/F2nXPsQaMAA9a66.jpg</t>
  </si>
  <si>
    <t>https://t.co/USzs3CZvkz https://pbs.twimg.com/media/F3vdf9WWQAAIuqU.jpg</t>
  </si>
  <si>
    <t>https://t.co/nyglhFZ4DM https://pbs.twimg.com/media/F43jyv_bIAAw9T3.jpg</t>
  </si>
  <si>
    <t>https://t.co/LlpJc6rGmQ https://pbs.twimg.com/media/F5_qBfDboAADKIN.jpg</t>
  </si>
  <si>
    <t>https://t.co/PuvqWCLAgu https://pbs.twimg.com/media/F0yxB-BWAAE1aNz.png</t>
  </si>
  <si>
    <t>https://t.co/B3QAyUSrBG https://pbs.twimg.com/media/F1AChGjXsAIJBJG.png</t>
  </si>
  <si>
    <t>https://t.co/FEyS1Dv9Ds https://pbs.twimg.com/media/F0_4i0JX0AAsNhl.png</t>
  </si>
  <si>
    <t>https://t.co/4kXbHzlfKj https://pbs.twimg.com/media/F27wr8wW0AAMqWj.png</t>
  </si>
  <si>
    <t>https://t.co/ys7Hb0c2Hs https://pbs.twimg.com/ext_tw_video_thumb/1700562798747516928/pu/img/QG4vPz2VAP08t267.jpg</t>
  </si>
  <si>
    <t>https://t.co/Xg8X3UHEwL https://pbs.twimg.com/media/F1cQB4TaIAE0bxg.png</t>
  </si>
  <si>
    <t>https://t.co/wKGsV97g08 https://pbs.twimg.com/ext_tw_video_thumb/1694708400817647616/pu/img/zZ7dlC3lmHLC7mQZ.jpg</t>
  </si>
  <si>
    <t>https://t.co/Aj9SB1qHV2 https://pbs.twimg.com/media/F06OBkaXoAAB7PN.jpg</t>
  </si>
  <si>
    <t>https://t.co/QTIrv4h501 https://pbs.twimg.com/media/F2tGszLW0AAYSYo.jpg</t>
  </si>
  <si>
    <t>https://t.co/tjOsRKSGwH https://pbs.twimg.com/media/F4J-zh7WkAACog3.jpg</t>
  </si>
  <si>
    <t>https://t.co/ObLaPiBM2a https://pbs.twimg.com/media/F27nOPVXoAAapxj.jpg</t>
  </si>
  <si>
    <t>https://t.co/0wRxy8dDTt https://pbs.twimg.com/media/F4IwZ3QWcAAQdcD.jpg</t>
  </si>
  <si>
    <t>https://t.co/IrQ4dFO8IN https://pbs.twimg.com/media/F4YftGMWMAA0qCQ.jpg</t>
  </si>
  <si>
    <t>https://t.co/ub7l4wKhca https://pbs.twimg.com/media/F4YYTqxXwAArpHZ.jpg</t>
  </si>
  <si>
    <t>https://t.co/wA75vBfqub https://pbs.twimg.com/media/F4IqpW-WUAEC4K2.jpg</t>
  </si>
  <si>
    <t>https://t.co/1a20yxeZJX https://pbs.twimg.com/media/F4OCS2kW4AEPrgE.jpg</t>
  </si>
  <si>
    <t>https://t.co/0xARPqynnB https://pbs.twimg.com/media/F2m9_gHXwAA7wDV.jpg</t>
  </si>
  <si>
    <t>https://t.co/IRLTRwCbO9 https://pbs.twimg.com/media/F3Am_aPWUAIpr7A.jpg</t>
  </si>
  <si>
    <t>https://t.co/CNcsy6IHIu https://pbs.twimg.com/media/F4PCVsbWkAAMFdo.jpg</t>
  </si>
  <si>
    <t>https://t.co/PnE62V94Yt https://pbs.twimg.com/media/F6dVoG7XsAAI4B4.jpg</t>
  </si>
  <si>
    <t>https://t.co/56tmifVyVB https://pbs.twimg.com/media/F6dt3GyWwAADpJO.jpg</t>
  </si>
  <si>
    <t>https://t.co/fOvZ7l5O3i https://pbs.twimg.com/media/F6ohmQ4WQAEGx4h.jpg</t>
  </si>
  <si>
    <t>https://t.co/XNWNLHbv3K https://pbs.twimg.com/media/F6dM2_VWUAAaqLF.jpg</t>
  </si>
  <si>
    <t>https://t.co/5hgSZ23xnq https://pbs.twimg.com/media/F0vSciuXwAArQxD.jpg</t>
  </si>
  <si>
    <t>https://t.co/t1ILSL1v5w https://pbs.twimg.com/media/F07bp5kX0AATIkI.jpg</t>
  </si>
  <si>
    <t>https://t.co/WnoLUAeFx3 https://pbs.twimg.com/media/F1cU8HKXoAAKnN0.jpg</t>
  </si>
  <si>
    <t>https://t.co/GYfExj1BwZ https://pbs.twimg.com/media/F4Q1ADkbsAAHdcM.jpg</t>
  </si>
  <si>
    <t>https://t.co/yAnwjt9BSr https://pbs.twimg.com/media/F5wtyIEXEAEej2t.jpg</t>
  </si>
  <si>
    <t>https://t.co/3xeO75LqQ0 https://pbs.twimg.com/media/F5wrf3lXMAE_d86.jpg</t>
  </si>
  <si>
    <t>https://t.co/PHcgAjbGID https://pbs.twimg.com/media/F6WJTjGXIAAj8z2.jpg</t>
  </si>
  <si>
    <t>https://t.co/4I10fHXUBf https://pbs.twimg.com/media/F6WGmfqXUAArqeX.jpg</t>
  </si>
  <si>
    <t>https://t.co/ZpjpDNtMK2 https://pbs.twimg.com/media/F6u4WVlXEAA-lxj.jpg</t>
  </si>
  <si>
    <t>https://t.co/rOZRNiJm0j https://pbs.twimg.com/ext_tw_video_thumb/1689755121985437696/pu/img/HEn-NikJJ_WtTzke.jpg</t>
  </si>
  <si>
    <t>https://t.co/nhRhfwPCIP https://pbs.twimg.com/ext_tw_video_thumb/1702415883652440064/pu/img/vniG_CxY3CbTwXlg.jpg</t>
  </si>
  <si>
    <t>https://t.co/LYpxTNdOPO https://t.co/LYpxTNdOPO https://t.co/LYpxTNdOPO https://t.co/LYpxTNdOPO https://pbs.twimg.com/media/F1AcOf2WAAMKW3x.jpg https://pbs.twimg.com/media/F1AcPVsX0AECyTj.jpg https://pbs.twimg.com/media/F1AcQKaWAAAGIql.jpg https://pbs.twimg.com/media/F1AcRkiWIAIvi5I.jpg</t>
  </si>
  <si>
    <t>https://t.co/ibIPzApog1 https://t.co/ibIPzApog1 https://t.co/ibIPzApog1 https://t.co/ibIPzApog1 https://pbs.twimg.com/media/F1lipeiXsAY_Uv4.jpg https://pbs.twimg.com/media/F1liqIwXgAAcIU1.jpg https://pbs.twimg.com/media/F1liqxMXgAEiv7A.jpg https://pbs.twimg.com/media/F1lirYVWcAcw79L.jpg</t>
  </si>
  <si>
    <t>https://t.co/tO6mrteHNP https://t.co/tO6mrteHNP https://t.co/tO6mrteHNP https://t.co/tO6mrteHNP https://pbs.twimg.com/media/F2IzLtiXQAA3rpM.jpg https://pbs.twimg.com/media/F2IzMjaXUAA4XUt.jpg https://pbs.twimg.com/media/F2IzNZlXoA0xNEQ.jpg https://pbs.twimg.com/media/F2IzOUnXoAIr-ip.jpg</t>
  </si>
  <si>
    <t>https://t.co/QJQ5SY145F https://t.co/QJQ5SY145F https://t.co/QJQ5SY145F https://t.co/QJQ5SY145F https://pbs.twimg.com/media/F2taijAWQAAGLuS.jpg https://pbs.twimg.com/media/F2tajNdXIAIOBwh.jpg https://pbs.twimg.com/media/F2taj_0WUAA-2DJ.jpg https://pbs.twimg.com/media/F2tak0VXQAEsDfF.jpg</t>
  </si>
  <si>
    <t>https://t.co/hL1lkHuxjk https://t.co/hL1lkHuxjk https://t.co/hL1lkHuxjk https://t.co/hL1lkHuxjk https://pbs.twimg.com/media/F31n6GdXcAASF-S.jpg https://pbs.twimg.com/media/F31n6GiXAAA2X8G.jpg https://pbs.twimg.com/media/F31n6GZWYAA6piq.jpg https://pbs.twimg.com/media/F31n-nhWYAEvuKm.jpg</t>
  </si>
  <si>
    <t>https://t.co/MnQRmizPrG https://t.co/MnQRmizPrG https://t.co/MnQRmizPrG https://t.co/MnQRmizPrG https://pbs.twimg.com/media/F3Rw8wpW0AAXl_6.jpg https://pbs.twimg.com/media/F3Rw8wtWYAAGgCg.jpg https://pbs.twimg.com/media/F3Rw8wqW4AElCam.jpg https://pbs.twimg.com/media/F3Rw8wrXQAEVYRW.jpg</t>
  </si>
  <si>
    <t>https://t.co/pFbpqKwaJG https://t.co/pFbpqKwaJG https://t.co/pFbpqKwaJG https://t.co/pFbpqKwaJG https://pbs.twimg.com/media/F4ZrOjTWEAA9v7m.jpg https://pbs.twimg.com/media/F4ZrPahWkAA3x8r.jpg https://pbs.twimg.com/media/F4ZrSAfW0AAZjn8.jpg https://pbs.twimg.com/media/F4ZrSzXXYAATuPs.jpg</t>
  </si>
  <si>
    <t>https://t.co/zWVlQT1g6E https://t.co/zWVlQT1g6E https://t.co/zWVlQT1g6E https://t.co/zWVlQT1g6E https://pbs.twimg.com/media/F49jO2xWEAA54uO.jpg https://pbs.twimg.com/media/F49jPdrWoAAoTKs.jpg https://pbs.twimg.com/media/F49jQBCXEAA3amA.jpg https://pbs.twimg.com/media/F49jQhoXsAAShZ1.jpg</t>
  </si>
  <si>
    <t>https://t.co/LgtBp6Mymn https://t.co/LgtBp6Mymn https://t.co/LgtBp6Mymn https://t.co/LgtBp6Mymn https://pbs.twimg.com/media/F6pm9oRXMAAyHo0.jpg https://pbs.twimg.com/media/F6pm-ZZWUAA1ILC.jpg https://pbs.twimg.com/media/F6pm_KYXkAAD8E-.jpg https://pbs.twimg.com/media/F6pm_8-W4AAycPh.jpg</t>
  </si>
  <si>
    <t>https://t.co/M5gENPl80T https://t.co/M5gENPl80T https://t.co/M5gENPl80T https://t.co/M5gENPl80T https://pbs.twimg.com/media/F6FmoJwX0AEO7Va.jpg https://pbs.twimg.com/media/F6FmozTWwAA7dFQ.jpg https://pbs.twimg.com/media/F6FmpNhXkAA2jiC.jpg https://pbs.twimg.com/media/F6FmpqgXYAAogvR.jpg</t>
  </si>
  <si>
    <t>https://t.co/9IpRdUSSeU https://pbs.twimg.com/ext_tw_video_thumb/1690234020888555520/pu/img/W6rbhzFHKCiC-mFx.jpg</t>
  </si>
  <si>
    <t>https://t.co/1FAzbE2gRl https://t.co/1FAzbE2gRl https://pbs.twimg.com/media/F3lTjFwW8AEDNuy.jpg https://pbs.twimg.com/media/F3lTjFyXwAE8aPt.jpg</t>
  </si>
  <si>
    <t>https://t.co/ofxcOsqtCI https://t.co/ofxcOsqtCI https://t.co/ofxcOsqtCI https://pbs.twimg.com/media/F3xJNgyWIAA5Hc1.jpg https://pbs.twimg.com/media/F3xJNgyXQAEyqS9.jpg https://pbs.twimg.com/media/F3xJNgyXAAAK1Ui.jpg</t>
  </si>
  <si>
    <t>https://t.co/SMWHZ23SUD https://t.co/SMWHZ23SUD https://pbs.twimg.com/media/F4EIX4jXEAE8S0G.jpg https://pbs.twimg.com/media/F4EIZEiW8AAYQzg.jpg</t>
  </si>
  <si>
    <t>https://t.co/5pi5hcO2Fl https://pbs.twimg.com/media/F2jzNCrWMAA8Zam.jpg</t>
  </si>
  <si>
    <t>https://t.co/nEasXSUhn5 https://t.co/nEasXSUhn5 https://pbs.twimg.com/media/F2bwbdlW8AABpPY.jpg https://pbs.twimg.com/media/F2bwpQlWoAAWGEO.jpg</t>
  </si>
  <si>
    <t>https://t.co/9PNAw7SqxA https://pbs.twimg.com/amplify_video_thumb/1679105611814846469/img/oveA4hv70X0gFadd.jpg</t>
  </si>
  <si>
    <t>https://t.co/oMCUZYLui3 https://pbs.twimg.com/amplify_video_thumb/1696145249372942337/img/QxEsjJyWG9Zv0Um6.jpg</t>
  </si>
  <si>
    <t>https://t.co/wMYuOwNGzp https://pbs.twimg.com/amplify_video_thumb/1698678459592003584/img/EwF7VIHHURsBiVyl.jpg</t>
  </si>
  <si>
    <t>https://t.co/gNg8Wjj9yg https://pbs.twimg.com/media/F0_gm8xWAAE3rlH.jpg</t>
  </si>
  <si>
    <t>https://t.co/Z5QWqB7O9V https://pbs.twimg.com/media/F2_K7MrWAAAHxZH.png</t>
  </si>
  <si>
    <t>https://t.co/Ai6jUNHb4x https://pbs.twimg.com/media/F2YgOjaXQAohInM.jpg</t>
  </si>
  <si>
    <t>https://t.co/DF2DZanlQw https://pbs.twimg.com/media/F02rzTCWcAA8esF.png</t>
  </si>
  <si>
    <t>https://t.co/y29ysqfr92 https://pbs.twimg.com/media/F02pj-zWcAENBMd.png</t>
  </si>
  <si>
    <t>https://t.co/vE7v57KlDc https://pbs.twimg.com/media/F26DZJ8XgAIIocD.png</t>
  </si>
  <si>
    <t>https://t.co/6U7siJANgD https://pbs.twimg.com/tweet_video_thumb/F1YKTjSXoAEkZl8.jpg</t>
  </si>
  <si>
    <t>https://t.co/aj1j8Whvmb https://pbs.twimg.com/media/F1YITInWYAAlXoH.png</t>
  </si>
  <si>
    <t>https://t.co/2N09lcLKxD https://pbs.twimg.com/media/F2gMw7-WoAAp0qt.png</t>
  </si>
  <si>
    <t>https://t.co/F9YTEzcO2j https://pbs.twimg.com/media/F2V5WlbWkAAdcYu.png</t>
  </si>
  <si>
    <t>https://t.co/E3WHxui32C https://pbs.twimg.com/media/F3q8UhxWgAAQmq5.png</t>
  </si>
  <si>
    <t>https://t.co/nJBfDuhSu3 https://pbs.twimg.com/media/F3q6XFTW4AAzzIV.png</t>
  </si>
  <si>
    <t>https://t.co/ukGB8VWWL7 https://pbs.twimg.com/media/F3yzQNSXkAAudra.png</t>
  </si>
  <si>
    <t>https://t.co/8dACFqG44F https://pbs.twimg.com/media/F3yyPgsXIAEf53f.jpg</t>
  </si>
  <si>
    <t>https://t.co/1rG7AfULeb https://pbs.twimg.com/media/F3JX2chWwAAlz2h.png</t>
  </si>
  <si>
    <t>https://t.co/YW69wYduIY https://pbs.twimg.com/media/F3JWouLWsAAzZUD.png</t>
  </si>
  <si>
    <t>https://t.co/MHhz5B52Xw https://pbs.twimg.com/media/F1y51PPXwAIgRxl.jpg</t>
  </si>
  <si>
    <t>https://t.co/2LwQPkByHd https://pbs.twimg.com/media/F07z4rfWIA4iePb.png</t>
  </si>
  <si>
    <t>https://t.co/BAKz1t0ogj https://pbs.twimg.com/media/F3wBiE-WAAAFrU6.png</t>
  </si>
  <si>
    <t>https://t.co/h4BgThk3NX https://pbs.twimg.com/media/F1VmkbpWcAAfUgg.png</t>
  </si>
  <si>
    <t>https://t.co/7uID8VeK6Q https://pbs.twimg.com/media/F1VlQpsXgAEC4Pq.png</t>
  </si>
  <si>
    <t>https://t.co/VWofditrqX https://pbs.twimg.com/media/F0sYizXWIAUyGrm.png</t>
  </si>
  <si>
    <t>https://t.co/i7PzI6VjeX https://pbs.twimg.com/media/F31P1ITXMAAP2tI.png</t>
  </si>
  <si>
    <t>https://t.co/gRPYoZu4Xm https://pbs.twimg.com/media/F31N2_2XYAE_T34.png</t>
  </si>
  <si>
    <t>https://t.co/QoemWlNamB https://pbs.twimg.com/media/F3G2ysHXoAAeB1Z.png</t>
  </si>
  <si>
    <t>https://t.co/xmbn97N8hv https://pbs.twimg.com/media/F00Ds9dXoAAicdV.jpg</t>
  </si>
  <si>
    <t>https://t.co/1TbOy3Vsy4 https://pbs.twimg.com/media/F00CJHjXgAAYOlQ.png</t>
  </si>
  <si>
    <t>https://t.co/OP9L8esxNU https://pbs.twimg.com/media/F14MIPUWYAAFxoQ.jpg</t>
  </si>
  <si>
    <t>https://t.co/iD0rmSy9xk https://pbs.twimg.com/media/F1S_lTXWIAEetzt.png</t>
  </si>
  <si>
    <t>https://t.co/VdXhSQEF99 https://pbs.twimg.com/media/F1S-EDnWYAEb2iu.png</t>
  </si>
  <si>
    <t>https://t.co/a3JuZR95tn https://pbs.twimg.com/media/F44HJtOWoAASj62.png</t>
  </si>
  <si>
    <t>https://t.co/x2zo1XvtG5 https://pbs.twimg.com/media/F129K_AWYAAHl0S.png</t>
  </si>
  <si>
    <t>https://t.co/no20dZZag2 https://pbs.twimg.com/media/F5UmZXnXoAAe-7Y.png</t>
  </si>
  <si>
    <t>https://t.co/aNqTy5ezs8 https://pbs.twimg.com/media/F5UkaVSXkAErkvg.jpg</t>
  </si>
  <si>
    <t>https://t.co/R65QQnlQ54 https://pbs.twimg.com/media/F2D4Er1XoAAWwW2.png</t>
  </si>
  <si>
    <t>https://t.co/KwZ0Vwlp9g https://pbs.twimg.com/media/F5KMaOPXoAAjK0e.jpg</t>
  </si>
  <si>
    <t>https://t.co/NZeFcrcrRS https://pbs.twimg.com/media/F4l7QhBW4AECekG.png</t>
  </si>
  <si>
    <t>https://t.co/dw54TyjnKe https://pbs.twimg.com/media/F3MAaZnW0AE-SU4.png</t>
  </si>
  <si>
    <t>https://t.co/52F5kZlulp https://pbs.twimg.com/media/F5ZXsI2XYAAjo3X.jpg</t>
  </si>
  <si>
    <t>https://t.co/oPGodA2Se4 https://pbs.twimg.com/media/F28h1mtW8AAAgsN.png</t>
  </si>
  <si>
    <t>https://t.co/Osw59KctYn https://pbs.twimg.com/media/F1auUWUWwBMfib6.png</t>
  </si>
  <si>
    <t>https://t.co/I5grwnjzuj https://pbs.twimg.com/media/F1aqalZWwA05pGL.png</t>
  </si>
  <si>
    <t>https://t.co/cfowh9SGHM https://pbs.twimg.com/media/F5e3onAXwAAEHAo.png</t>
  </si>
  <si>
    <t>https://t.co/FPsfmciuC3 https://pbs.twimg.com/media/F4oqvoKWIAANPUI.png</t>
  </si>
  <si>
    <t>https://t.co/hkMGGzOfsl https://pbs.twimg.com/media/F3ofWQ6XIAAp8Rh.png</t>
  </si>
  <si>
    <t>https://t.co/O2rlqkuOe7 https://pbs.twimg.com/media/F3Eci_1XMAAPw6P.png</t>
  </si>
  <si>
    <t>https://t.co/pHpmbQY9rZ https://pbs.twimg.com/media/F3EbWMkWIAAzuU7.png</t>
  </si>
  <si>
    <t>https://t.co/3260LFWtLs https://pbs.twimg.com/media/F51-EOzWoAApqb_.png</t>
  </si>
  <si>
    <t>https://t.co/5MD93ZyvkQ https://pbs.twimg.com/media/F5hVJEgXAAACnkR.png</t>
  </si>
  <si>
    <t>https://t.co/E1C95cjXHj https://pbs.twimg.com/media/F4y-DrrWoAAatTR.jpg</t>
  </si>
  <si>
    <t>https://t.co/PKB9rh1mz6 https://pbs.twimg.com/media/F4y8RdWXEAAB75h.png</t>
  </si>
  <si>
    <t>https://t.co/LcmNTJyAat https://pbs.twimg.com/media/F3L8ynWXMAEYPVO.png</t>
  </si>
  <si>
    <t>https://t.co/x7qVmSYaYX https://pbs.twimg.com/media/F05K68mXgAE7F1X.png</t>
  </si>
  <si>
    <t>https://t.co/CPKawaAqNH https://pbs.twimg.com/media/F54pv7sWoAA-zpy.png</t>
  </si>
  <si>
    <t>https://t.co/6Og9YrYC1t https://pbs.twimg.com/media/F54ofO0XgAAwDUR.png</t>
  </si>
  <si>
    <t>https://t.co/tKKq0Jvl60 https://pbs.twimg.com/media/F5W8nObXgAAARQD.png</t>
  </si>
  <si>
    <t>https://t.co/qXN1NnB2Sd https://pbs.twimg.com/media/F4l9JdOWkAA8Vu_.jpg</t>
  </si>
  <si>
    <t>https://t.co/P8DrPDlgHz https://pbs.twimg.com/media/F3glGLqXoAAnrgF.png</t>
  </si>
  <si>
    <t>https://t.co/2GuuXtDDFp https://pbs.twimg.com/media/F15p5xCWYAAsDBF.png</t>
  </si>
  <si>
    <t>https://t.co/DLaLsm7T93 https://pbs.twimg.com/tweet_video_thumb/F59zU-GXkAAuD19.jpg</t>
  </si>
  <si>
    <t>https://t.co/uSyWr3R9DP https://pbs.twimg.com/media/F59x91CW0AAGJAW.png</t>
  </si>
  <si>
    <t>https://t.co/VQCvhPhZPg https://pbs.twimg.com/media/F6EDRpVW4AAw3jG.png</t>
  </si>
  <si>
    <t>https://t.co/HjEfVVoh3g https://pbs.twimg.com/media/F46k80PWYAA142f.png</t>
  </si>
  <si>
    <t>https://t.co/77n1dCDY95 https://pbs.twimg.com/media/F18NNorXoAAcoNR.jpg</t>
  </si>
  <si>
    <t>https://t.co/RIkZbTzRsj https://pbs.twimg.com/tweet_video_thumb/F3d7FJvXsAITsQO.jpg</t>
  </si>
  <si>
    <t>https://t.co/UyakZoXPCt https://pbs.twimg.com/media/F2qdAOCXwAAPQcQ.png</t>
  </si>
  <si>
    <t>https://t.co/7JpddYJ1Nr https://pbs.twimg.com/media/F2qabZjX0AAa1vW.jpg</t>
  </si>
  <si>
    <t>https://t.co/A7dapgaznX https://pbs.twimg.com/media/F1QdGNIXgAAi0b_.png</t>
  </si>
  <si>
    <t>https://t.co/T7KOZP0lfz https://pbs.twimg.com/media/F1Qaau4XsAEi6nw.png</t>
  </si>
  <si>
    <t>https://t.co/1WWZYDoFfh https://pbs.twimg.com/media/F6ctCvbWkAAUfZh.png</t>
  </si>
  <si>
    <t>https://t.co/eenHepN1ik https://pbs.twimg.com/media/F6FamAEW4AAzeiv.png</t>
  </si>
  <si>
    <t>https://t.co/VpqJQax8PM https://pbs.twimg.com/media/F6FY7jsXMAAl4ga.png</t>
  </si>
  <si>
    <t>https://t.co/zBtjj3MtMi https://pbs.twimg.com/media/F2JCyhmWsAoGZ79.png</t>
  </si>
  <si>
    <t>https://t.co/AtPhWN50Fb https://pbs.twimg.com/media/F0u3CfXWAAESbWM.png</t>
  </si>
  <si>
    <t>https://t.co/MNivbCNDtT https://pbs.twimg.com/media/F6fOYe_WQAAwN2S.png</t>
  </si>
  <si>
    <t>https://t.co/ycDSwNyUqD https://pbs.twimg.com/media/F6Xfzs-WQAE9Jz9.png</t>
  </si>
  <si>
    <t>https://t.co/0geRhCShiW https://pbs.twimg.com/media/F6XeR43WoAAeWDq.jpg</t>
  </si>
  <si>
    <t>https://t.co/LTgJz5NX2u https://pbs.twimg.com/media/F6U5ByvWIAABYuz.png</t>
  </si>
  <si>
    <t>https://t.co/kJxDCvST9K https://pbs.twimg.com/media/F6U3QImXMAA0EAr.png</t>
  </si>
  <si>
    <t>https://t.co/eOMfWotgmH https://pbs.twimg.com/media/F2dswsIXUAEKRAH.png</t>
  </si>
  <si>
    <t>https://t.co/ykAf5eFrCY https://pbs.twimg.com/media/F2bM998WUAElSmS.png</t>
  </si>
  <si>
    <t>https://t.co/qXg0EsnByU https://pbs.twimg.com/media/F2bMGC7WUAIo49R.jpg</t>
  </si>
  <si>
    <t>https://t.co/SHG3X3bxnL https://pbs.twimg.com/media/F5PejUBWUAAZMDt.png</t>
  </si>
  <si>
    <t>https://t.co/gZN4Vz6w1W https://pbs.twimg.com/media/F4X8TF9WMAAbLhU.jpg</t>
  </si>
  <si>
    <t>https://t.co/bFkV34PJ44 https://pbs.twimg.com/media/F0xhPzdWcBUrlJL.png</t>
  </si>
  <si>
    <t>https://t.co/HsPxxEjwUk https://pbs.twimg.com/media/F7AsnqAWQAAD6Je.jpg</t>
  </si>
  <si>
    <t>https://t.co/fRcsr0YGSD https://pbs.twimg.com/media/F57DOv4XoAAw57a.png</t>
  </si>
  <si>
    <t>https://t.co/JTk4gDLcbj https://pbs.twimg.com/media/F57CQKRWgAAm7Mx.png</t>
  </si>
  <si>
    <t>https://t.co/Aelznnruky https://pbs.twimg.com/media/F4CHzFMXwAEANIQ.png</t>
  </si>
  <si>
    <t>https://t.co/WognRAxNR2 https://pbs.twimg.com/media/F2lGs3TXAAA1p2w.png</t>
  </si>
  <si>
    <t>https://t.co/nzGVFhg0F4 https://pbs.twimg.com/media/F2lFmxYWkAAtmkA.jpg</t>
  </si>
  <si>
    <t>https://t.co/oCUD0re23a https://pbs.twimg.com/media/F1A6jHoWAAM-AyB.png</t>
  </si>
  <si>
    <t>https://t.co/LjD6ulGBmM https://pbs.twimg.com/media/F0-W0DcXwAA_7ca.png</t>
  </si>
  <si>
    <t>https://t.co/C25bRHRTzH https://pbs.twimg.com/media/F5uV4hbXkAAR031.png</t>
  </si>
  <si>
    <t>https://t.co/zdAJHcHLSD https://pbs.twimg.com/media/F4EqEMFXAAAwobr.png</t>
  </si>
  <si>
    <t>https://t.co/btMcb1A4h2 https://pbs.twimg.com/media/F68nkIuXAAA0juU.jpg</t>
  </si>
  <si>
    <t>https://t.co/sWjdHgEiK5 https://pbs.twimg.com/media/F4SqenHW8AAG_nn.jpg</t>
  </si>
  <si>
    <t>https://t.co/213cWv7z8g https://pbs.twimg.com/media/F2n-ZXJXQAU-qEA.png</t>
  </si>
  <si>
    <t>https://t.co/UTqpgx50mQ https://pbs.twimg.com/media/F1NzkxkWYAIADJ3.png</t>
  </si>
  <si>
    <t>https://t.co/VYUCcMjbnz https://pbs.twimg.com/media/F1NyHMlX0AUCFZ7.png</t>
  </si>
  <si>
    <t>https://t.co/JWov6ZBNkD https://pbs.twimg.com/media/F6-A7vwW8AAg3rm.png</t>
  </si>
  <si>
    <t>https://t.co/qTMSzG1WAJ https://pbs.twimg.com/media/F63ghL5WwAA4iDA.jpg</t>
  </si>
  <si>
    <t>https://t.co/WaWaDIzJnZ https://pbs.twimg.com/media/F6SS9eBWIAAf68-.png</t>
  </si>
  <si>
    <t>https://t.co/ggc8HXxAz4 https://pbs.twimg.com/media/F5zmMMUWwAA4PvJ.png</t>
  </si>
  <si>
    <t>https://t.co/Uqmy8PEHDK https://pbs.twimg.com/media/F5zlTDLWkAAOXn9.png</t>
  </si>
  <si>
    <t>https://t.co/2oYUg1aSqU https://pbs.twimg.com/media/F3tkvL3WEAAi3yU.png</t>
  </si>
  <si>
    <t>https://t.co/rT0KDGvVmz https://pbs.twimg.com/media/F1-wfWWXwAEgjVM.png</t>
  </si>
  <si>
    <t>https://t.co/N9X6LpoLKS https://pbs.twimg.com/media/F67keCNXYAAk1n9.png</t>
  </si>
  <si>
    <t>https://t.co/Lii1KY1bVm https://pbs.twimg.com/media/F6aGMViXcAA-ax5.png</t>
  </si>
  <si>
    <t>https://t.co/nf9EOfns8U https://pbs.twimg.com/media/F6aEaheXgAAaBoc.png</t>
  </si>
  <si>
    <t>https://t.co/PadnheUM6t https://pbs.twimg.com/media/F6AQ63FWkAAoUhj.png</t>
  </si>
  <si>
    <t>https://t.co/8qKuzgOQ9s https://pbs.twimg.com/media/F6AN2AwWAAAv_01.png</t>
  </si>
  <si>
    <t>https://t.co/glYcXWgiqf https://pbs.twimg.com/media/F3RHe7sWoAkupaD.png</t>
  </si>
  <si>
    <t>https://t.co/eGXsnkNzQD https://pbs.twimg.com/media/F3OoFjFXMAA_Cfr.png</t>
  </si>
  <si>
    <t>https://t.co/YA6942VQUh https://pbs.twimg.com/media/F080QcFXwAE248F.jpg</t>
  </si>
  <si>
    <t>https://t.co/6EgdVhFyCf https://pbs.twimg.com/media/F2S3nX6XEAA0VaH.png</t>
  </si>
  <si>
    <t>https://t.co/JT2CdXmtej https://pbs.twimg.com/media/F3CTpO2W4AA5YIy.jpg</t>
  </si>
  <si>
    <t>https://t.co/L3oWOBWsbn https://pbs.twimg.com/media/F5gqp-wWAAAxQvI.jpg</t>
  </si>
  <si>
    <t>https://t.co/llk6dpBskf https://pbs.twimg.com/ext_tw_video_thumb/1698040292715159552/pu/img/UCB09LCDcRGTShkx.jpg</t>
  </si>
  <si>
    <t>https://t.co/ocDJ42InXd https://pbs.twimg.com/media/F2JXFLGXIAAotBY.jpg</t>
  </si>
  <si>
    <t>https://t.co/iWCZYou7tc https://pbs.twimg.com/amplify_video_thumb/1702307753048395776/img/yX4sy4Df7xm56Nf0.jpg</t>
  </si>
  <si>
    <t>https://t.co/AFkT6YyFCN https://pbs.twimg.com/amplify_video_thumb/1704201803531689984/img/Hk00q2ZmG5Jhmuxv.jpg</t>
  </si>
  <si>
    <t>https://t.co/PxMrWm32dH https://pbs.twimg.com/amplify_video_thumb/1705663777742462976/img/Hz_SsDUfIUiBLHix.jpg</t>
  </si>
  <si>
    <t>https://t.co/ltpHCoycnb https://pbs.twimg.com/media/F0z3GWlWwAEx-kT.png</t>
  </si>
  <si>
    <t>https://t.co/6rKbCDKilm https://pbs.twimg.com/media/F0vd2JDWIAAtmjP.jpg</t>
  </si>
  <si>
    <t>https://t.co/sS5TyhJPVt https://pbs.twimg.com/media/F2blIqpWEAAjAIH.jpg</t>
  </si>
  <si>
    <t>https://t.co/2BAxRYYN9u https://pbs.twimg.com/media/F1TiFULWYAA7oKy.jpg</t>
  </si>
  <si>
    <t>https://t.co/bmxhbCQTwX https://pbs.twimg.com/media/F1yaAE_XsAAUJw8.jpg</t>
  </si>
  <si>
    <t>https://t.co/QNMMSPAbMR https://pbs.twimg.com/media/F2HAY8VWgAAVNZo.png</t>
  </si>
  <si>
    <t>https://t.co/Cj3oWJEeT5 https://pbs.twimg.com/media/F3t_JISXkAACXvz.jpg</t>
  </si>
  <si>
    <t>https://t.co/hbMSu10Ddf https://pbs.twimg.com/media/F42GJynX0AAcV3X.jpg</t>
  </si>
  <si>
    <t>https://t.co/EVOEX3ZxdK https://pbs.twimg.com/media/F6Yyf2EW4AAPF3q.jpg</t>
  </si>
  <si>
    <t>https://t.co/5C5fnrt9aS https://pbs.twimg.com/media/F3anbnHXwAAJJos.jpg</t>
  </si>
  <si>
    <t>https://t.co/r9rkQfDX1x https://pbs.twimg.com/ext_tw_video_thumb/1686192674418642944/pu/img/YXFLDLW2L2rmLoJv.jpg</t>
  </si>
  <si>
    <t>https://t.co/rsNmFHkLuu https://pbs.twimg.com/media/F3GfM46WEAAyN8j.png</t>
  </si>
  <si>
    <t>https://t.co/xMnZ9g5Vpr https://pbs.twimg.com/ext_tw_video_thumb/1685037595556753408/pu/img/1x-mNmJ_Qg57jDNq.jpg</t>
  </si>
  <si>
    <t>https://t.co/sGHQM2r1Hj https://pbs.twimg.com/media/F3f3hY8W4AAHjWD.jpg</t>
  </si>
  <si>
    <t>https://t.co/X4RMT4Qrrb https://pbs.twimg.com/ext_tw_video_thumb/1690332180394778624/pu/img/_KqGuGpTVZmsuFlY.jpg</t>
  </si>
  <si>
    <t>https://t.co/3qvFvW9olW https://pbs.twimg.com/ext_tw_video_thumb/1690341576495464448/pu/img/42YTPgs6bKScfzTp.jpg</t>
  </si>
  <si>
    <t>https://t.co/1JsV8100EC https://pbs.twimg.com/media/F6dxFxGWsAA9Q9C.png</t>
  </si>
  <si>
    <t>https://t.co/SFmBD0lwrW https://pbs.twimg.com/media/F6dvzdMWcAATL3R.png</t>
  </si>
  <si>
    <t>https://t.co/5LbnrDkvYF https://pbs.twimg.com/media/F6-7kx5XkAAjnYn.jpg</t>
  </si>
  <si>
    <t>https://t.co/TCu5h3W6lp https://pbs.twimg.com/media/F6-4XrJXMAAXTs6.jpg</t>
  </si>
  <si>
    <t>https://t.co/Q5fJSnelaJ https://pbs.twimg.com/media/F6-AnEHWYAARTBT.jpg</t>
  </si>
  <si>
    <t>https://t.co/H36QcCA6tc https://pbs.twimg.com/media/F65h7OPWQAAaoex.jpg</t>
  </si>
  <si>
    <t>https://t.co/PIGxhz0Ktn https://pbs.twimg.com/media/F6oI3naXoAE7I-b.png</t>
  </si>
  <si>
    <t>https://t.co/9YeC4yqCxy https://pbs.twimg.com/media/F6oAsNYXUAAwmOx.png</t>
  </si>
  <si>
    <t>https://t.co/e3OP58CxWJ https://pbs.twimg.com/media/F6n9E8PW0AAR0_M.png</t>
  </si>
  <si>
    <t>https://t.co/HvPGANqUYJ https://pbs.twimg.com/media/F7D9lvIWIAEkQ_l.jpg</t>
  </si>
  <si>
    <t>https://t.co/CbqLR0hpDK https://pbs.twimg.com/media/F7Dsp9PXIAAuxi1.jpg</t>
  </si>
  <si>
    <t>https://t.co/woxdONGocw https://pbs.twimg.com/media/F7DqV3CWYAAwyKz.jpg</t>
  </si>
  <si>
    <t>https://t.co/suMYvPlTZ5 https://pbs.twimg.com/media/F6-0ssiX0AAIBgQ.jpg</t>
  </si>
  <si>
    <t>https://t.co/wQslGnuiBi https://pbs.twimg.com/media/F68vgiZXwAA7Djn.png</t>
  </si>
  <si>
    <t>https://t.co/GcbUsjCont https://pbs.twimg.com/media/F68pvJKWkAAq6YJ.png</t>
  </si>
  <si>
    <t>https://t.co/XxpnGeAK1A https://pbs.twimg.com/media/F65YsQwXcAACYZO.jpg</t>
  </si>
  <si>
    <t>https://t.co/MjBTjDmfRF https://pbs.twimg.com/media/F65QsWdWoAAAm9x.jpg</t>
  </si>
  <si>
    <t>https://t.co/fGhB9KeQaY https://pbs.twimg.com/media/F7EDQWNXoAA4uH_.jpg</t>
  </si>
  <si>
    <t>https://t.co/bkkiFBBlcU https://pbs.twimg.com/media/F7ECWVFXIAAvE72.jpg</t>
  </si>
  <si>
    <t>https://t.co/hmFvnSMA7P https://pbs.twimg.com/media/F6_AmOKWMAAJYcU.jpg</t>
  </si>
  <si>
    <t>https://t.co/pxyfevT10C https://pbs.twimg.com/media/F65-TfnXcAAxebD.jpg</t>
  </si>
  <si>
    <t>https://t.co/JJUrEpWPYE https://pbs.twimg.com/media/F65s8sEXIAA3e_3.jpg</t>
  </si>
  <si>
    <t>https://t.co/rJQPzurdxK https://pbs.twimg.com/media/F7EMT65XIAAnGlH.jpg</t>
  </si>
  <si>
    <t>https://t.co/OWV4I3WSYM https://pbs.twimg.com/media/F6-MvMbWIAAMQ6D.jpg</t>
  </si>
  <si>
    <t>https://t.co/9FjL8aho2w https://pbs.twimg.com/media/F6-KPGGXMAAZXKu.jpg</t>
  </si>
  <si>
    <t>https://t.co/UYgGPyjp0Q https://pbs.twimg.com/media/F643pk9WQAAFbX1.jpg</t>
  </si>
  <si>
    <t>https://t.co/sF1rGDy5MT https://pbs.twimg.com/media/F641BpXX0AARlvK.jpg</t>
  </si>
  <si>
    <t>https://t.co/BPmBstuliL https://pbs.twimg.com/media/F6pvXHYXQAA-LIp.jpg</t>
  </si>
  <si>
    <t>https://t.co/eJNzx1448O https://pbs.twimg.com/media/F6pt0AuXYAA7BC2.jpg</t>
  </si>
  <si>
    <t>https://t.co/TNg6Tf0Itk https://pbs.twimg.com/media/F6pr6XmX0AAfpCy.jpg</t>
  </si>
  <si>
    <t>https://t.co/cHCfq7EALK https://pbs.twimg.com/media/F6poE2sXUAAR3RD.jpg</t>
  </si>
  <si>
    <t>https://t.co/Ue87Qk7OMY https://pbs.twimg.com/media/F6pboMeW8AAkG7k.jpg</t>
  </si>
  <si>
    <t>https://t.co/FuVQe2wJyE https://pbs.twimg.com/media/F6pWfEgXMAE1qwh.jpg</t>
  </si>
  <si>
    <t>https://t.co/5xgurziMlz https://pbs.twimg.com/media/F7G5cr7X0AAMrzw.png</t>
  </si>
  <si>
    <t>https://t.co/w3sI7XkQxr https://pbs.twimg.com/media/F6lLs9AW4AEiZkd.jpg</t>
  </si>
  <si>
    <t>https://t.co/sAWJ4KFIyp https://pbs.twimg.com/media/F6k4pz0WMAAMWrD.jpg</t>
  </si>
  <si>
    <t>https://t.co/ryWwpwjiuF https://pbs.twimg.com/media/F6kyQ8_W4AEoFtp.jpg</t>
  </si>
  <si>
    <t>https://t.co/M3TDzSA8fs https://pbs.twimg.com/media/F6kxNs3XwAApADZ.jpg</t>
  </si>
  <si>
    <t>https://t.co/yp5GGrU3re https://pbs.twimg.com/media/F6ko6M8XgAAXfEx.jpg</t>
  </si>
  <si>
    <t>https://t.co/h0UUVYTOw8 https://pbs.twimg.com/media/F6kljjpXsAE2qSw.jpg</t>
  </si>
  <si>
    <t>https://t.co/DkduDQB0cy https://pbs.twimg.com/media/F6kk-ROWwAAhDJ7.jpg</t>
  </si>
  <si>
    <t>https://t.co/PR3AWUOt2g https://pbs.twimg.com/media/F6kcfq8WYAAahFc.jpg</t>
  </si>
  <si>
    <t>https://t.co/gRsz3xp0EJ https://pbs.twimg.com/media/F6kTDR4WoAAS1e6.jpg</t>
  </si>
  <si>
    <t>https://t.co/bpGzyoFltw https://pbs.twimg.com/media/F6kOV7SWYAABMYl.jpg</t>
  </si>
  <si>
    <t>https://t.co/WbaOUoBHvt https://pbs.twimg.com/media/F6kLWh8XwAA9RgB.jpg</t>
  </si>
  <si>
    <t>https://t.co/vX8wstaRlU https://pbs.twimg.com/media/F6kKCJTWMAAqemc.jpg</t>
  </si>
  <si>
    <t>https://t.co/qOPuPLKv5E https://pbs.twimg.com/media/F6jCLy7WgAAi37b.png</t>
  </si>
  <si>
    <t>https://t.co/ImuiP3IdE2 https://pbs.twimg.com/media/F6iwPdoXkAAX9_M.png</t>
  </si>
  <si>
    <t>https://t.co/Tu21WQ3jXt https://pbs.twimg.com/media/F6ixkDzXEAA_Njr.png</t>
  </si>
  <si>
    <t>https://t.co/ICvEI7oJ3W https://pbs.twimg.com/media/F6YnFDiXYAAshzm.png</t>
  </si>
  <si>
    <t>https://t.co/61L0TTaNJo https://pbs.twimg.com/media/F6YYaaUWkAAqLdE.png</t>
  </si>
  <si>
    <t>https://t.co/EYjnUSbXGL https://pbs.twimg.com/media/F6YaV3uXcAAwudP.png</t>
  </si>
  <si>
    <t>https://t.co/stlqJfqTUo https://pbs.twimg.com/media/F7HB8UrW0AEwrpW.png</t>
  </si>
  <si>
    <t>https://t.co/tBKo8o7Re6 https://pbs.twimg.com/media/F6-6G9SWkAAXruV.jpg</t>
  </si>
  <si>
    <t>https://t.co/UbDcjdkR4T https://pbs.twimg.com/media/F6-3-H6WAAAbPlx.jpg</t>
  </si>
  <si>
    <t>https://t.co/7AIkaw73Ow https://pbs.twimg.com/media/F6-3uBSWkAAK3GY.jpg</t>
  </si>
  <si>
    <t>https://t.co/QO27ugbkAZ https://pbs.twimg.com/media/F69B75lWAAAIQrS.png</t>
  </si>
  <si>
    <t>https://t.co/1lPWeXNnpa https://pbs.twimg.com/media/F65_yRuWUAAf7Pl.jpg</t>
  </si>
  <si>
    <t>https://t.co/yw9UucZM9s https://pbs.twimg.com/media/F65_dAsXwAAil2P.jpg</t>
  </si>
  <si>
    <t>https://t.co/rXCVfvujME https://pbs.twimg.com/media/F63lqgbXYAAmky0.png</t>
  </si>
  <si>
    <t>https://t.co/SvOwMFZ3PY https://pbs.twimg.com/media/F63ZPwdXMAA9Lpu.png</t>
  </si>
  <si>
    <t>https://t.co/0nMcxAyCz6 https://pbs.twimg.com/media/F6lOUzXXAAA_njR.jpg</t>
  </si>
  <si>
    <t>https://t.co/c74X2lTnCr https://pbs.twimg.com/media/F6lM0_BXcAAzAC1.jpg</t>
  </si>
  <si>
    <t>https://t.co/KvNnYydB1I https://pbs.twimg.com/media/F6eHM8iXUAAV11i.png</t>
  </si>
  <si>
    <t>https://t.co/YBPRX6DpKn https://pbs.twimg.com/media/F7G39BOXYAAnFhv.png</t>
  </si>
  <si>
    <t>https://t.co/hKQyc8j0gI https://pbs.twimg.com/media/F7EG412XwAANga-.jpg</t>
  </si>
  <si>
    <t>https://t.co/GjP0GtRa08 https://pbs.twimg.com/media/F7DgUxwXUAAoSBa.jpg</t>
  </si>
  <si>
    <t>https://t.co/upajeuouyn https://pbs.twimg.com/media/F7DPHsXWsAAeKBr.jpg</t>
  </si>
  <si>
    <t>https://t.co/Ao6WdF6VU9 https://pbs.twimg.com/media/F7DLXhEWMAAY0jA.jpg</t>
  </si>
  <si>
    <t>https://t.co/L9kPGbLTyS https://pbs.twimg.com/media/F7BpVILXgAAp1w7.png</t>
  </si>
  <si>
    <t>https://t.co/VYc9PjgSVA https://pbs.twimg.com/media/F6-OIsBXEAAUGU4.jpg</t>
  </si>
  <si>
    <t>https://t.co/MWUCtOXAXi https://pbs.twimg.com/media/F68dzPiWoAAIvAa.png</t>
  </si>
  <si>
    <t>https://t.co/U8KhIbjeyf https://pbs.twimg.com/media/F65FvmeWEAAFj0g.jpg</t>
  </si>
  <si>
    <t>https://t.co/Y7QieRhKyO https://pbs.twimg.com/media/F65E8H7WMAMe1Pp.jpg</t>
  </si>
  <si>
    <t>https://t.co/Ot5MQXqetN https://pbs.twimg.com/media/F6qQMQdW4AENoZi.jpg</t>
  </si>
  <si>
    <t>https://t.co/D6NF5sTv0t https://pbs.twimg.com/media/F6qMX-1WEAE0WKv.jpg</t>
  </si>
  <si>
    <t>https://t.co/29jonlCn8I https://pbs.twimg.com/media/F6qLUkFWwAAWbgI.jpg</t>
  </si>
  <si>
    <t>https://t.co/8zvHPb241I https://pbs.twimg.com/media/F6doF-EXUAAGmJ9.png</t>
  </si>
  <si>
    <t>https://t.co/l0GBMZmnO3 https://pbs.twimg.com/media/F3QoWFmXkAELAjv.png</t>
  </si>
  <si>
    <t>https://t.co/0gb95k49GV https://pbs.twimg.com/media/F2ZY5dqXcAIzkHA.jpg</t>
  </si>
  <si>
    <t>https://t.co/P6yXxC87jg https://pbs.twimg.com/media/F3GlmebXoAcSRiQ.png</t>
  </si>
  <si>
    <t>https://t.co/fGjYiGiJLQ https://pbs.twimg.com/media/F1ggXL_XoAAWu1i.jpg</t>
  </si>
  <si>
    <t>https://t.co/rBIp8EsC32 https://pbs.twimg.com/media/F1gfpRpWYAEHYhw.jpg</t>
  </si>
  <si>
    <t>https://t.co/sPFWcNxeb7 https://pbs.twimg.com/media/F0vA8upXwAEIOpp.jpg</t>
  </si>
  <si>
    <t>https://t.co/zRbWSvqFoU https://pbs.twimg.com/media/F1TwliDXoAAgWaZ.jpg</t>
  </si>
  <si>
    <t>https://t.co/SGLy1JucR9 https://pbs.twimg.com/media/F1SufmNXwAEdkp6.jpg</t>
  </si>
  <si>
    <t>https://t.co/pgAJuaTQC9 https://pbs.twimg.com/media/F1StkEyXgAAJ_sI.jpg</t>
  </si>
  <si>
    <t>https://t.co/MKiXlRRoW4 https://pbs.twimg.com/media/F06PZZdXgAAQGYh.jpg</t>
  </si>
  <si>
    <t>https://t.co/fBJcKVNhkH https://pbs.twimg.com/media/F04Qh9XWYAEjrwI.jpg</t>
  </si>
  <si>
    <t>https://t.co/S6FEbqSfvF https://pbs.twimg.com/media/F1y55eoWcAAZdgo.jpg</t>
  </si>
  <si>
    <t>https://t.co/I9T4NV1QWm https://pbs.twimg.com/media/F2HYOArWQAAjqk2.jpg</t>
  </si>
  <si>
    <t>https://t.co/ecTwJSvGmc https://pbs.twimg.com/media/F2rIaRQXEAAeZHe.jpg</t>
  </si>
  <si>
    <t>https://t.co/j9LixRlDJn https://pbs.twimg.com/media/F2CGZQNWUAI1Kp0.jpg</t>
  </si>
  <si>
    <t>https://t.co/y5ZTHryDWc https://pbs.twimg.com/media/F2A7ekvX0AAUNEb.jpg</t>
  </si>
  <si>
    <t>https://t.co/C3pSsfnlDm https://pbs.twimg.com/media/F2A5JKiWYAEHenm.jpg</t>
  </si>
  <si>
    <t>https://t.co/v3L2K8QwlU https://pbs.twimg.com/media/F16vJYlX0AIZPF_.jpg</t>
  </si>
  <si>
    <t>https://t.co/kOzRZMLEIz https://pbs.twimg.com/media/F16nOheWEAAJKQj.jpg</t>
  </si>
  <si>
    <t>https://t.co/Y9iJduchai https://pbs.twimg.com/media/F3AOjQwWwAE0M7f.jpg</t>
  </si>
  <si>
    <t>https://t.co/HZX2HNQF1N https://pbs.twimg.com/media/F3uj-9QXgAAgF7C.jpg</t>
  </si>
  <si>
    <t>https://t.co/jcm7DvHQSv https://pbs.twimg.com/media/F3uiE5bW0AAxSUF.jpg</t>
  </si>
  <si>
    <t>https://t.co/7WN65j6ggU https://pbs.twimg.com/media/F3kNIGMXMAArUc4.jpg</t>
  </si>
  <si>
    <t>https://t.co/Cmv1osohnv https://pbs.twimg.com/media/F12sv3kWIAEYqHd.jpg</t>
  </si>
  <si>
    <t>https://t.co/NYBwsg7UfY https://pbs.twimg.com/media/F3iJOe3XoAAKZkl.jpg</t>
  </si>
  <si>
    <t>https://t.co/3Pg7Gu4vp9 https://pbs.twimg.com/media/F2XFqjaXkAEO5iX.jpg</t>
  </si>
  <si>
    <t>https://t.co/eX7VSIZn50 https://pbs.twimg.com/media/F1ovhFwWYAA8uOF.jpg</t>
  </si>
  <si>
    <t>https://t.co/ovGkiC9NIg https://pbs.twimg.com/media/F5P1AFcWcAAsZhY.jpg</t>
  </si>
  <si>
    <t>https://t.co/xTalAY57Jm https://pbs.twimg.com/media/F5Pzdg0XgAA9JWa.jpg</t>
  </si>
  <si>
    <t>https://t.co/ebe9TJ731t https://pbs.twimg.com/media/F68qpp4WwAAoDI3.jpg</t>
  </si>
  <si>
    <t>https://t.co/iJ8yArAcSe https://pbs.twimg.com/media/F7GqmHgWAAASuOi.jpg</t>
  </si>
  <si>
    <t>https://t.co/Ch7xHnfyDT https://pbs.twimg.com/media/F68h-dpWIAAqoqV.jpg</t>
  </si>
  <si>
    <t>https://t.co/PNGqXMy2ZQ https://pbs.twimg.com/media/F6gyd-MWwAAiSd0.png</t>
  </si>
  <si>
    <t>https://t.co/TsfDfjcQm3 https://pbs.twimg.com/media/F6q81e1aoAABjMH.png</t>
  </si>
  <si>
    <t>https://t.co/p93CuEJdWx https://pbs.twimg.com/media/F1mhe1sWAAAnBxH.jpg</t>
  </si>
  <si>
    <t>https://t.co/Bi8C6FZ9LX https://pbs.twimg.com/ext_tw_video_thumb/1703803090221064193/pu/img/y0smB1mzxBIu4Q-f.jpg</t>
  </si>
  <si>
    <t>https://t.co/JTvLlTcsZn https://pbs.twimg.com/media/F35jIG-X0AMJZiQ.jpg</t>
  </si>
  <si>
    <t>https://t.co/wKkXz9uXrn https://pbs.twimg.com/media/F3vR-58bkAE58TY.jpg</t>
  </si>
  <si>
    <t>https://t.co/2RWyvAXhZs https://pbs.twimg.com/amplify_video_thumb/1680768853033328641/img/2TD_W40wV4s9nAXO.jpg</t>
  </si>
  <si>
    <t>https://t.co/ZkCilOI3dr https://pbs.twimg.com/amplify_video_thumb/1681286204367446016/img/LjhD-evZgwde42vD.jpg</t>
  </si>
  <si>
    <t>https://t.co/IzR8fQB24O https://pbs.twimg.com/amplify_video_thumb/1689274785539162113/img/5Q81FxY1byMoYCSD.jpg</t>
  </si>
  <si>
    <t>https://t.co/5Y1cFI4SJF https://pbs.twimg.com/amplify_video_thumb/1692947490767515648/img/ygOX1-r6e_DAZ-Pb.jpg</t>
  </si>
  <si>
    <t>https://t.co/964AjFrLnB https://pbs.twimg.com/amplify_video_thumb/1691048527105769473/img/7Y_N32kwmRmQ-mPx.jpg</t>
  </si>
  <si>
    <t>https://t.co/h7no3E8R0D https://pbs.twimg.com/amplify_video_thumb/1683829105337270275/img/QZ560K4XmFjoCQi3.jpg</t>
  </si>
  <si>
    <t>https://t.co/rvvURm1Nni https://pbs.twimg.com/ext_tw_video_thumb/1691423315284328448/pu/img/Jk2SZLMqkDPU3_Tt.jpg</t>
  </si>
  <si>
    <t>https://t.co/2CWobRack5 https://pbs.twimg.com/ext_tw_video_thumb/1707212982743146496/pu/img/miFQ2A8oXfsNIbhb.jpg</t>
  </si>
  <si>
    <t>https://t.co/EdjZ82koYL https://pbs.twimg.com/amplify_video_thumb/1686723463225253888/img/02xEILcouYOX5vSc.jpg</t>
  </si>
  <si>
    <t>https://t.co/Dp3Aq1Bslf https://pbs.twimg.com/ext_tw_video_thumb/1678796601718964224/pu/img/WmqLrA2CCkXrhSxy.jpg</t>
  </si>
  <si>
    <t>https://t.co/hiWUwNLZXb https://pbs.twimg.com/media/F03GZp2XsAEKIT6.jpg</t>
  </si>
  <si>
    <t>https://t.co/cidgvWC2Uo https://pbs.twimg.com/media/F0yBQmBXsAAQxMN.jpg</t>
  </si>
  <si>
    <t>https://t.co/0D9PXh5obw https://pbs.twimg.com/media/F6f_RKCXcAAHxK1.jpg</t>
  </si>
  <si>
    <t>https://t.co/Foz6YEe1b0 https://pbs.twimg.com/media/F1QfnHLX0AIX08Z.jpg</t>
  </si>
  <si>
    <t>photo</t>
  </si>
  <si>
    <t>video</t>
  </si>
  <si>
    <t>photo photo photo photo</t>
  </si>
  <si>
    <t>photo photo photo</t>
  </si>
  <si>
    <t>animated_gif</t>
  </si>
  <si>
    <t>photo photo</t>
  </si>
  <si>
    <t>video photo</t>
  </si>
  <si>
    <t>Sprout Social</t>
  </si>
  <si>
    <t>Twitter Web App</t>
  </si>
  <si>
    <t>Twitter for Android</t>
  </si>
  <si>
    <t>Twitter for iPhone</t>
  </si>
  <si>
    <t>VIUU - APP</t>
  </si>
  <si>
    <t>TweetDeck Web App</t>
  </si>
  <si>
    <t>Twitter for iPad</t>
  </si>
  <si>
    <t>LaterMedia</t>
  </si>
  <si>
    <t>mLabs - Gestão de Redes Sociais</t>
  </si>
  <si>
    <t>Spreaker</t>
  </si>
  <si>
    <t>verodatoBRL</t>
  </si>
  <si>
    <t>1698714164280094720guarulhoson</t>
  </si>
  <si>
    <t>Hootsuite Inc.</t>
  </si>
  <si>
    <t>Metricool</t>
  </si>
  <si>
    <t>Canva</t>
  </si>
  <si>
    <t>Buffer</t>
  </si>
  <si>
    <t>1662267944577949713invistafina</t>
  </si>
  <si>
    <t>financce</t>
  </si>
  <si>
    <t>Twitter for Advertisers</t>
  </si>
  <si>
    <t>Zapier.com</t>
  </si>
  <si>
    <t>1662914008062492674CartasGPT</t>
  </si>
  <si>
    <t>Economic News Brasil</t>
  </si>
  <si>
    <t>Etus Brasil</t>
  </si>
  <si>
    <t>TheInfoVeritas</t>
  </si>
  <si>
    <t>verodato.tesourodireto</t>
  </si>
  <si>
    <t>Wix Apps</t>
  </si>
  <si>
    <t>SocialPilot.co</t>
  </si>
  <si>
    <t>AutoBlog SamyNews</t>
  </si>
  <si>
    <t>Twitter for Mac</t>
  </si>
  <si>
    <t>Spiffy Social Media - Mercado</t>
  </si>
  <si>
    <t>Semrush Social Media Tool</t>
  </si>
  <si>
    <t>tecnemia1645037947341660160</t>
  </si>
  <si>
    <t>Ayrshare</t>
  </si>
  <si>
    <t>Blog2Social APP</t>
  </si>
  <si>
    <t>SocialFlow</t>
  </si>
  <si>
    <t>Sendible</t>
  </si>
  <si>
    <t>TweetDeck</t>
  </si>
  <si>
    <t>Twitter Media Studio</t>
  </si>
  <si>
    <t xml:space="preserve">Buzzmonitor </t>
  </si>
  <si>
    <t>pt</t>
  </si>
  <si>
    <t>en</t>
  </si>
  <si>
    <t>es</t>
  </si>
  <si>
    <t>qme</t>
  </si>
  <si>
    <t>in</t>
  </si>
  <si>
    <t>tl</t>
  </si>
  <si>
    <t>cs</t>
  </si>
  <si>
    <t>it</t>
  </si>
  <si>
    <t>qht</t>
  </si>
  <si>
    <t>de</t>
  </si>
  <si>
    <t>hu</t>
  </si>
  <si>
    <t>zxx</t>
  </si>
  <si>
    <t>ca</t>
  </si>
  <si>
    <t>fr</t>
  </si>
  <si>
    <t>fi</t>
  </si>
  <si>
    <t>18:13:12</t>
  </si>
  <si>
    <t>19:10:11</t>
  </si>
  <si>
    <t>20:01:06</t>
  </si>
  <si>
    <t>18:17:06</t>
  </si>
  <si>
    <t>16:13:10</t>
  </si>
  <si>
    <t>20:19:06</t>
  </si>
  <si>
    <t>20:30:08</t>
  </si>
  <si>
    <t>15:52:07</t>
  </si>
  <si>
    <t>19:57:17</t>
  </si>
  <si>
    <t>18:20:07</t>
  </si>
  <si>
    <t>17:30:11</t>
  </si>
  <si>
    <t>17:43:16</t>
  </si>
  <si>
    <t>21:02:43</t>
  </si>
  <si>
    <t>14:12:55</t>
  </si>
  <si>
    <t>17:49:54</t>
  </si>
  <si>
    <t>09:21:47</t>
  </si>
  <si>
    <t>18:49:32</t>
  </si>
  <si>
    <t>14:22:37</t>
  </si>
  <si>
    <t>17:42:53</t>
  </si>
  <si>
    <t>19:03:17</t>
  </si>
  <si>
    <t>20:16:39</t>
  </si>
  <si>
    <t>11:38:46</t>
  </si>
  <si>
    <t>16:57:15</t>
  </si>
  <si>
    <t>15:34:11</t>
  </si>
  <si>
    <t>09:00:47</t>
  </si>
  <si>
    <t>10:23:05</t>
  </si>
  <si>
    <t>09:41:22</t>
  </si>
  <si>
    <t>09:00:50</t>
  </si>
  <si>
    <t>21:12:44</t>
  </si>
  <si>
    <t>11:35:45</t>
  </si>
  <si>
    <t>20:32:37</t>
  </si>
  <si>
    <t>14:24:23</t>
  </si>
  <si>
    <t>23:41:11</t>
  </si>
  <si>
    <t>23:28:06</t>
  </si>
  <si>
    <t>23:03:11</t>
  </si>
  <si>
    <t>23:10:49</t>
  </si>
  <si>
    <t>20:15:42</t>
  </si>
  <si>
    <t>14:09:23</t>
  </si>
  <si>
    <t>14:22:31</t>
  </si>
  <si>
    <t>21:05:18</t>
  </si>
  <si>
    <t>01:28:35</t>
  </si>
  <si>
    <t>16:47:28</t>
  </si>
  <si>
    <t>17:20:00</t>
  </si>
  <si>
    <t>17:26:33</t>
  </si>
  <si>
    <t>11:20:00</t>
  </si>
  <si>
    <t>13:40:48</t>
  </si>
  <si>
    <t>11:09:23</t>
  </si>
  <si>
    <t>19:40:00</t>
  </si>
  <si>
    <t>11:30:00</t>
  </si>
  <si>
    <t>12:20:00</t>
  </si>
  <si>
    <t>11:12:09</t>
  </si>
  <si>
    <t>15:00:03</t>
  </si>
  <si>
    <t>13:05:13</t>
  </si>
  <si>
    <t>15:31:24</t>
  </si>
  <si>
    <t>21:45:35</t>
  </si>
  <si>
    <t>15:40:00</t>
  </si>
  <si>
    <t>14:40:00</t>
  </si>
  <si>
    <t>14:00:01</t>
  </si>
  <si>
    <t>11:35:00</t>
  </si>
  <si>
    <t>15:00:00</t>
  </si>
  <si>
    <t>11:56:04</t>
  </si>
  <si>
    <t>13:20:00</t>
  </si>
  <si>
    <t>12:50:00</t>
  </si>
  <si>
    <t>14:20:00</t>
  </si>
  <si>
    <t>11:58:30</t>
  </si>
  <si>
    <t>19:15:00</t>
  </si>
  <si>
    <t>15:00:02</t>
  </si>
  <si>
    <t>12:29:00</t>
  </si>
  <si>
    <t>21:00:01</t>
  </si>
  <si>
    <t>12:00:00</t>
  </si>
  <si>
    <t>13:00:00</t>
  </si>
  <si>
    <t>11:28:49</t>
  </si>
  <si>
    <t>13:40:00</t>
  </si>
  <si>
    <t>22:40:00</t>
  </si>
  <si>
    <t>12:40:00</t>
  </si>
  <si>
    <t>22:20:00</t>
  </si>
  <si>
    <t>21:40:00</t>
  </si>
  <si>
    <t>15:44:14</t>
  </si>
  <si>
    <t>11:48:12</t>
  </si>
  <si>
    <t>17:00:01</t>
  </si>
  <si>
    <t>00:00:01</t>
  </si>
  <si>
    <t>15:07:58</t>
  </si>
  <si>
    <t>11:51:29</t>
  </si>
  <si>
    <t>11:45:01</t>
  </si>
  <si>
    <t>10:49:41</t>
  </si>
  <si>
    <t>10:41:12</t>
  </si>
  <si>
    <t>10:40:14</t>
  </si>
  <si>
    <t>10:40:58</t>
  </si>
  <si>
    <t>21:12:22</t>
  </si>
  <si>
    <t>10:43:37</t>
  </si>
  <si>
    <t>10:41:53</t>
  </si>
  <si>
    <t>10:26:48</t>
  </si>
  <si>
    <t>10:29:18</t>
  </si>
  <si>
    <t>10:29:45</t>
  </si>
  <si>
    <t>10:43:44</t>
  </si>
  <si>
    <t>02:27:14</t>
  </si>
  <si>
    <t>11:48:48</t>
  </si>
  <si>
    <t>16:11:21</t>
  </si>
  <si>
    <t>11:45:53</t>
  </si>
  <si>
    <t>19:01:21</t>
  </si>
  <si>
    <t>12:42:31</t>
  </si>
  <si>
    <t>12:38:59</t>
  </si>
  <si>
    <t>23:12:06</t>
  </si>
  <si>
    <t>23:07:52</t>
  </si>
  <si>
    <t>06:35:10</t>
  </si>
  <si>
    <t>01:11:05</t>
  </si>
  <si>
    <t>08:00:39</t>
  </si>
  <si>
    <t>02:33:15</t>
  </si>
  <si>
    <t>12:16:47</t>
  </si>
  <si>
    <t>20:26:42</t>
  </si>
  <si>
    <t>12:30:00</t>
  </si>
  <si>
    <t>18:38:43</t>
  </si>
  <si>
    <t>15:47:05</t>
  </si>
  <si>
    <t>20:50:01</t>
  </si>
  <si>
    <t>15:18:18</t>
  </si>
  <si>
    <t>00:24:05</t>
  </si>
  <si>
    <t>14:30:08</t>
  </si>
  <si>
    <t>12:30:46</t>
  </si>
  <si>
    <t>12:11:07</t>
  </si>
  <si>
    <t>13:30:00</t>
  </si>
  <si>
    <t>21:44:00</t>
  </si>
  <si>
    <t>22:46:00</t>
  </si>
  <si>
    <t>22:57:00</t>
  </si>
  <si>
    <t>22:30:00</t>
  </si>
  <si>
    <t>23:46:00</t>
  </si>
  <si>
    <t>23:30:00</t>
  </si>
  <si>
    <t>19:14:43</t>
  </si>
  <si>
    <t>18:30:00</t>
  </si>
  <si>
    <t>15:27:52</t>
  </si>
  <si>
    <t>13:49:07</t>
  </si>
  <si>
    <t>19:00:01</t>
  </si>
  <si>
    <t>18:00:00</t>
  </si>
  <si>
    <t>20:43:01</t>
  </si>
  <si>
    <t>16:38:02</t>
  </si>
  <si>
    <t>17:38:49</t>
  </si>
  <si>
    <t>20:33:42</t>
  </si>
  <si>
    <t>20:32:32</t>
  </si>
  <si>
    <t>20:31:32</t>
  </si>
  <si>
    <t>15:50:51</t>
  </si>
  <si>
    <t>15:43:12</t>
  </si>
  <si>
    <t>18:11:14</t>
  </si>
  <si>
    <t>22:16:49</t>
  </si>
  <si>
    <t>16:01:02</t>
  </si>
  <si>
    <t>23:21:53</t>
  </si>
  <si>
    <t>15:47:23</t>
  </si>
  <si>
    <t>20:02:38</t>
  </si>
  <si>
    <t>14:08:12</t>
  </si>
  <si>
    <t>21:15:21</t>
  </si>
  <si>
    <t>11:07:27</t>
  </si>
  <si>
    <t>21:52:00</t>
  </si>
  <si>
    <t>00:36:03</t>
  </si>
  <si>
    <t>21:11:21</t>
  </si>
  <si>
    <t>22:42:41</t>
  </si>
  <si>
    <t>00:52:22</t>
  </si>
  <si>
    <t>00:01:25</t>
  </si>
  <si>
    <t>15:28:49</t>
  </si>
  <si>
    <t>18:22:30</t>
  </si>
  <si>
    <t>21:31:27</t>
  </si>
  <si>
    <t>21:56:20</t>
  </si>
  <si>
    <t>17:01:22</t>
  </si>
  <si>
    <t>23:42:33</t>
  </si>
  <si>
    <t>17:56:24</t>
  </si>
  <si>
    <t>23:49:43</t>
  </si>
  <si>
    <t>21:21:16</t>
  </si>
  <si>
    <t>09:40:59</t>
  </si>
  <si>
    <t>22:35:18</t>
  </si>
  <si>
    <t>11:09:40</t>
  </si>
  <si>
    <t>21:58:51</t>
  </si>
  <si>
    <t>10:12:04</t>
  </si>
  <si>
    <t>00:12:37</t>
  </si>
  <si>
    <t>10:04:55</t>
  </si>
  <si>
    <t>21:25:24</t>
  </si>
  <si>
    <t>20:12:46</t>
  </si>
  <si>
    <t>21:31:33</t>
  </si>
  <si>
    <t>10:02:35</t>
  </si>
  <si>
    <t>21:10:11</t>
  </si>
  <si>
    <t>18:12:46</t>
  </si>
  <si>
    <t>09:57:59</t>
  </si>
  <si>
    <t>10:18:08</t>
  </si>
  <si>
    <t>23:35:36</t>
  </si>
  <si>
    <t>22:51:04</t>
  </si>
  <si>
    <t>10:00:46</t>
  </si>
  <si>
    <t>21:26:08</t>
  </si>
  <si>
    <t>09:43:00</t>
  </si>
  <si>
    <t>11:04:46</t>
  </si>
  <si>
    <t>23:06:42</t>
  </si>
  <si>
    <t>09:29:37</t>
  </si>
  <si>
    <t>21:05:40</t>
  </si>
  <si>
    <t>18:12:47</t>
  </si>
  <si>
    <t>09:35:54</t>
  </si>
  <si>
    <t>21:46:31</t>
  </si>
  <si>
    <t>18:45:37</t>
  </si>
  <si>
    <t>18:45:14</t>
  </si>
  <si>
    <t>02:35:02</t>
  </si>
  <si>
    <t>14:17:12</t>
  </si>
  <si>
    <t>05:33:54</t>
  </si>
  <si>
    <t>16:25:20</t>
  </si>
  <si>
    <t>04:03:49</t>
  </si>
  <si>
    <t>12:24:39</t>
  </si>
  <si>
    <t>21:52:26</t>
  </si>
  <si>
    <t>01:26:41</t>
  </si>
  <si>
    <t>18:15:01</t>
  </si>
  <si>
    <t>11:53:16</t>
  </si>
  <si>
    <t>13:28:39</t>
  </si>
  <si>
    <t>01:04:35</t>
  </si>
  <si>
    <t>14:37:26</t>
  </si>
  <si>
    <t>10:04:04</t>
  </si>
  <si>
    <t>12:01:00</t>
  </si>
  <si>
    <t>21:01:10</t>
  </si>
  <si>
    <t>22:40:35</t>
  </si>
  <si>
    <t>22:01:07</t>
  </si>
  <si>
    <t>22:00:59</t>
  </si>
  <si>
    <t>21:01:02</t>
  </si>
  <si>
    <t>22:21:15</t>
  </si>
  <si>
    <t>22:08:48</t>
  </si>
  <si>
    <t>22:38:31</t>
  </si>
  <si>
    <t>20:56:28</t>
  </si>
  <si>
    <t>14:37:09</t>
  </si>
  <si>
    <t>12:25:16</t>
  </si>
  <si>
    <t>18:46:53</t>
  </si>
  <si>
    <t>13:50:06</t>
  </si>
  <si>
    <t>15:45:14</t>
  </si>
  <si>
    <t>21:20:35</t>
  </si>
  <si>
    <t>00:30:55</t>
  </si>
  <si>
    <t>20:00:38</t>
  </si>
  <si>
    <t>04:21:01</t>
  </si>
  <si>
    <t>00:54:33</t>
  </si>
  <si>
    <t>03:33:36</t>
  </si>
  <si>
    <t>23:38:27</t>
  </si>
  <si>
    <t>23:44:48</t>
  </si>
  <si>
    <t>06:00:00</t>
  </si>
  <si>
    <t>06:00:01</t>
  </si>
  <si>
    <t>13:29:12</t>
  </si>
  <si>
    <t>17:53:07</t>
  </si>
  <si>
    <t>08:50:49</t>
  </si>
  <si>
    <t>16:16:50</t>
  </si>
  <si>
    <t>16:16:17</t>
  </si>
  <si>
    <t>06:41:08</t>
  </si>
  <si>
    <t>06:39:25</t>
  </si>
  <si>
    <t>06:34:30</t>
  </si>
  <si>
    <t>06:34:06</t>
  </si>
  <si>
    <t>06:31:49</t>
  </si>
  <si>
    <t>06:30:38</t>
  </si>
  <si>
    <t>06:29:29</t>
  </si>
  <si>
    <t>17:20:25</t>
  </si>
  <si>
    <t>18:29:10</t>
  </si>
  <si>
    <t>20:57:26</t>
  </si>
  <si>
    <t>23:12:50</t>
  </si>
  <si>
    <t>20:47:00</t>
  </si>
  <si>
    <t>22:00:01</t>
  </si>
  <si>
    <t>01:33:14</t>
  </si>
  <si>
    <t>18:05:09</t>
  </si>
  <si>
    <t>14:59:07</t>
  </si>
  <si>
    <t>06:44:03</t>
  </si>
  <si>
    <t>17:59:59</t>
  </si>
  <si>
    <t>22:12:10</t>
  </si>
  <si>
    <t>14:40:43</t>
  </si>
  <si>
    <t>17:26:16</t>
  </si>
  <si>
    <t>11:56:07</t>
  </si>
  <si>
    <t>11:50:06</t>
  </si>
  <si>
    <t>01:36:33</t>
  </si>
  <si>
    <t>19:01:35</t>
  </si>
  <si>
    <t>06:57:50</t>
  </si>
  <si>
    <t>11:12:50</t>
  </si>
  <si>
    <t>12:10:44</t>
  </si>
  <si>
    <t>19:11:10</t>
  </si>
  <si>
    <t>16:20:21</t>
  </si>
  <si>
    <t>18:31:03</t>
  </si>
  <si>
    <t>08:22:49</t>
  </si>
  <si>
    <t>01:46:03</t>
  </si>
  <si>
    <t>16:31:01</t>
  </si>
  <si>
    <t>12:40:38</t>
  </si>
  <si>
    <t>03:53:54</t>
  </si>
  <si>
    <t>22:46:10</t>
  </si>
  <si>
    <t>21:08:38</t>
  </si>
  <si>
    <t>00:43:18</t>
  </si>
  <si>
    <t>21:20:22</t>
  </si>
  <si>
    <t>11:27:45</t>
  </si>
  <si>
    <t>02:08:02</t>
  </si>
  <si>
    <t>11:56:43</t>
  </si>
  <si>
    <t>21:15:05</t>
  </si>
  <si>
    <t>21:15:04</t>
  </si>
  <si>
    <t>21:15:15</t>
  </si>
  <si>
    <t>15:21:59</t>
  </si>
  <si>
    <t>15:21:58</t>
  </si>
  <si>
    <t>00:30:00</t>
  </si>
  <si>
    <t>21:30:00</t>
  </si>
  <si>
    <t>20:30:00</t>
  </si>
  <si>
    <t>17:30:00</t>
  </si>
  <si>
    <t>15:30:00</t>
  </si>
  <si>
    <t>14:30:00</t>
  </si>
  <si>
    <t>10:30:00</t>
  </si>
  <si>
    <t>09:30:00</t>
  </si>
  <si>
    <t>18:32:00</t>
  </si>
  <si>
    <t>17:51:07</t>
  </si>
  <si>
    <t>19:42:17</t>
  </si>
  <si>
    <t>18:48:25</t>
  </si>
  <si>
    <t>12:38:42</t>
  </si>
  <si>
    <t>20:07:31</t>
  </si>
  <si>
    <t>19:11:35</t>
  </si>
  <si>
    <t>19:12:17</t>
  </si>
  <si>
    <t>10:23:30</t>
  </si>
  <si>
    <t>00:57:25</t>
  </si>
  <si>
    <t>14:19:59</t>
  </si>
  <si>
    <t>20:35:01</t>
  </si>
  <si>
    <t>20:42:29</t>
  </si>
  <si>
    <t>14:44:15</t>
  </si>
  <si>
    <t>14:24:53</t>
  </si>
  <si>
    <t>15:37:20</t>
  </si>
  <si>
    <t>15:33:07</t>
  </si>
  <si>
    <t>00:37:20</t>
  </si>
  <si>
    <t>09:28:03</t>
  </si>
  <si>
    <t>14:56:53</t>
  </si>
  <si>
    <t>14:58:56</t>
  </si>
  <si>
    <t>15:17:32</t>
  </si>
  <si>
    <t>13:03:20</t>
  </si>
  <si>
    <t>00:15:00</t>
  </si>
  <si>
    <t>16:00:00</t>
  </si>
  <si>
    <t>15:38:03</t>
  </si>
  <si>
    <t>01:45:01</t>
  </si>
  <si>
    <t>19:46:00</t>
  </si>
  <si>
    <t>18:00:11</t>
  </si>
  <si>
    <t>00:03:17</t>
  </si>
  <si>
    <t>14:27:41</t>
  </si>
  <si>
    <t>11:10:09</t>
  </si>
  <si>
    <t>22:50:26</t>
  </si>
  <si>
    <t>00:11:08</t>
  </si>
  <si>
    <t>15:55:07</t>
  </si>
  <si>
    <t>11:55:07</t>
  </si>
  <si>
    <t>16:30:50</t>
  </si>
  <si>
    <t>21:08:49</t>
  </si>
  <si>
    <t>23:37:04</t>
  </si>
  <si>
    <t>15:32:39</t>
  </si>
  <si>
    <t>20:19:00</t>
  </si>
  <si>
    <t>20:11:00</t>
  </si>
  <si>
    <t>01:15:02</t>
  </si>
  <si>
    <t>20:48:00</t>
  </si>
  <si>
    <t>20:51:00</t>
  </si>
  <si>
    <t>20:21:00</t>
  </si>
  <si>
    <t>20:27:00</t>
  </si>
  <si>
    <t>20:32:01</t>
  </si>
  <si>
    <t>18:37:00</t>
  </si>
  <si>
    <t>20:29:47</t>
  </si>
  <si>
    <t>16:27:03</t>
  </si>
  <si>
    <t>19:33:00</t>
  </si>
  <si>
    <t>19:29:26</t>
  </si>
  <si>
    <t>19:15:05</t>
  </si>
  <si>
    <t>22:03:43</t>
  </si>
  <si>
    <t>20:34:54</t>
  </si>
  <si>
    <t>17:35:15</t>
  </si>
  <si>
    <t>17:29:10</t>
  </si>
  <si>
    <t>09:09:58</t>
  </si>
  <si>
    <t>17:18:04</t>
  </si>
  <si>
    <t>23:45:34</t>
  </si>
  <si>
    <t>21:54:14</t>
  </si>
  <si>
    <t>18:22:07</t>
  </si>
  <si>
    <t>00:39:57</t>
  </si>
  <si>
    <t>09:14:24</t>
  </si>
  <si>
    <t>19:54:24</t>
  </si>
  <si>
    <t>17:32:03</t>
  </si>
  <si>
    <t>20:32:00</t>
  </si>
  <si>
    <t>19:44:04</t>
  </si>
  <si>
    <t>20:33:00</t>
  </si>
  <si>
    <t>19:50:47</t>
  </si>
  <si>
    <t>17:20:28</t>
  </si>
  <si>
    <t>20:38:00</t>
  </si>
  <si>
    <t>22:25:49</t>
  </si>
  <si>
    <t>10:49:57</t>
  </si>
  <si>
    <t>18:18:00</t>
  </si>
  <si>
    <t>19:42:18</t>
  </si>
  <si>
    <t>20:37:00</t>
  </si>
  <si>
    <t>17:59:32</t>
  </si>
  <si>
    <t>19:48:35</t>
  </si>
  <si>
    <t>17:13:08</t>
  </si>
  <si>
    <t>16:29:48</t>
  </si>
  <si>
    <t>19:05:26</t>
  </si>
  <si>
    <t>22:16:00</t>
  </si>
  <si>
    <t>22:06:00</t>
  </si>
  <si>
    <t>17:22:34</t>
  </si>
  <si>
    <t>21:24:00</t>
  </si>
  <si>
    <t>12:42:40</t>
  </si>
  <si>
    <t>20:01:15</t>
  </si>
  <si>
    <t>17:23:37</t>
  </si>
  <si>
    <t>20:20:00</t>
  </si>
  <si>
    <t>13:21:57</t>
  </si>
  <si>
    <t>16:55:03</t>
  </si>
  <si>
    <t>19:30:08</t>
  </si>
  <si>
    <t>20:33:39</t>
  </si>
  <si>
    <t>01:39:25</t>
  </si>
  <si>
    <t>21:16:05</t>
  </si>
  <si>
    <t>18:55:00</t>
  </si>
  <si>
    <t>18:14:30</t>
  </si>
  <si>
    <t>17:25:50</t>
  </si>
  <si>
    <t>17:28:14</t>
  </si>
  <si>
    <t>05:37:28</t>
  </si>
  <si>
    <t>17:43:00</t>
  </si>
  <si>
    <t>22:15:28</t>
  </si>
  <si>
    <t>12:54:14</t>
  </si>
  <si>
    <t>19:07:15</t>
  </si>
  <si>
    <t>20:06:00</t>
  </si>
  <si>
    <t>21:08:00</t>
  </si>
  <si>
    <t>21:41:00</t>
  </si>
  <si>
    <t>20:27:59</t>
  </si>
  <si>
    <t>21:15:00</t>
  </si>
  <si>
    <t>23:23:26</t>
  </si>
  <si>
    <t>20:18:52</t>
  </si>
  <si>
    <t>01:19:09</t>
  </si>
  <si>
    <t>14:54:16</t>
  </si>
  <si>
    <t>13:39:09</t>
  </si>
  <si>
    <t>00:44:29</t>
  </si>
  <si>
    <t>17:56:59</t>
  </si>
  <si>
    <t>17:43:59</t>
  </si>
  <si>
    <t>14:05:38</t>
  </si>
  <si>
    <t>14:12:20</t>
  </si>
  <si>
    <t>18:30:01</t>
  </si>
  <si>
    <t>22:26:29</t>
  </si>
  <si>
    <t>17:45:32</t>
  </si>
  <si>
    <t>21:39:54</t>
  </si>
  <si>
    <t>14:12:28</t>
  </si>
  <si>
    <t>18:05:33</t>
  </si>
  <si>
    <t>12:45:14</t>
  </si>
  <si>
    <t>11:30:13</t>
  </si>
  <si>
    <t>11:30:19</t>
  </si>
  <si>
    <t>11:01:27</t>
  </si>
  <si>
    <t>12:15:16</t>
  </si>
  <si>
    <t>19:30:16</t>
  </si>
  <si>
    <t>11:45:10</t>
  </si>
  <si>
    <t>21:37:21</t>
  </si>
  <si>
    <t>12:19:49</t>
  </si>
  <si>
    <t>12:18:45</t>
  </si>
  <si>
    <t>12:18:44</t>
  </si>
  <si>
    <t>12:18:43</t>
  </si>
  <si>
    <t>13:42:37</t>
  </si>
  <si>
    <t>13:19:17</t>
  </si>
  <si>
    <t>12:55:38</t>
  </si>
  <si>
    <t>19:35:03</t>
  </si>
  <si>
    <t>19:35:02</t>
  </si>
  <si>
    <t>19:34:59</t>
  </si>
  <si>
    <t>10:13:46</t>
  </si>
  <si>
    <t>12:04:03</t>
  </si>
  <si>
    <t>12:41:00</t>
  </si>
  <si>
    <t>14:16:13</t>
  </si>
  <si>
    <t>17:26:20</t>
  </si>
  <si>
    <t>14:19:17</t>
  </si>
  <si>
    <t>12:35:57</t>
  </si>
  <si>
    <t>13:05:21</t>
  </si>
  <si>
    <t>12:19:11</t>
  </si>
  <si>
    <t>12:19:05</t>
  </si>
  <si>
    <t>13:23:42</t>
  </si>
  <si>
    <t>15:39:15</t>
  </si>
  <si>
    <t>01:43:16</t>
  </si>
  <si>
    <t>08:44:19</t>
  </si>
  <si>
    <t>13:22:09</t>
  </si>
  <si>
    <t>09:06:44</t>
  </si>
  <si>
    <t>04:29:55</t>
  </si>
  <si>
    <t>07:15:01</t>
  </si>
  <si>
    <t>04:28:40</t>
  </si>
  <si>
    <t>17:42:39</t>
  </si>
  <si>
    <t>09:06:12</t>
  </si>
  <si>
    <t>14:20:36</t>
  </si>
  <si>
    <t>03:26:47</t>
  </si>
  <si>
    <t>06:17:05</t>
  </si>
  <si>
    <t>20:40:43</t>
  </si>
  <si>
    <t>17:37:49</t>
  </si>
  <si>
    <t>14:02:11</t>
  </si>
  <si>
    <t>13:12:53</t>
  </si>
  <si>
    <t>15:19:20</t>
  </si>
  <si>
    <t>13:48:00</t>
  </si>
  <si>
    <t>18:57:22</t>
  </si>
  <si>
    <t>12:46:19</t>
  </si>
  <si>
    <t>16:19:27</t>
  </si>
  <si>
    <t>18:04:23</t>
  </si>
  <si>
    <t>22:15:04</t>
  </si>
  <si>
    <t>22:16:38</t>
  </si>
  <si>
    <t>22:21:59</t>
  </si>
  <si>
    <t>10:05:06</t>
  </si>
  <si>
    <t>23:00:00</t>
  </si>
  <si>
    <t>22:00:43</t>
  </si>
  <si>
    <t>19:30:00</t>
  </si>
  <si>
    <t>22:20:11</t>
  </si>
  <si>
    <t>01:00:00</t>
  </si>
  <si>
    <t>20:00:01</t>
  </si>
  <si>
    <t>21:07:08</t>
  </si>
  <si>
    <t>18:13:28</t>
  </si>
  <si>
    <t>16:05:43</t>
  </si>
  <si>
    <t>21:07:04</t>
  </si>
  <si>
    <t>14:26:41</t>
  </si>
  <si>
    <t>15:38:10</t>
  </si>
  <si>
    <t>23:37:41</t>
  </si>
  <si>
    <t>23:31:00</t>
  </si>
  <si>
    <t>10:48:01</t>
  </si>
  <si>
    <t>15:08:48</t>
  </si>
  <si>
    <t>19:12:19</t>
  </si>
  <si>
    <t>20:01:58</t>
  </si>
  <si>
    <t>20:11:36</t>
  </si>
  <si>
    <t>18:28:56</t>
  </si>
  <si>
    <t>22:32:31</t>
  </si>
  <si>
    <t>17:31:03</t>
  </si>
  <si>
    <t>11:30:27</t>
  </si>
  <si>
    <t>21:48:00</t>
  </si>
  <si>
    <t>17:58:40</t>
  </si>
  <si>
    <t>15:13:00</t>
  </si>
  <si>
    <t>22:02:00</t>
  </si>
  <si>
    <t>21:58:00</t>
  </si>
  <si>
    <t>22:22:00</t>
  </si>
  <si>
    <t>22:07:00</t>
  </si>
  <si>
    <t>23:21:00</t>
  </si>
  <si>
    <t>23:20:00</t>
  </si>
  <si>
    <t>23:19:00</t>
  </si>
  <si>
    <t>13:00:02</t>
  </si>
  <si>
    <t>22:01:00</t>
  </si>
  <si>
    <t>01:13:25</t>
  </si>
  <si>
    <t>18:52:51</t>
  </si>
  <si>
    <t>19:08:43</t>
  </si>
  <si>
    <t>13:13:11</t>
  </si>
  <si>
    <t>14:53:20</t>
  </si>
  <si>
    <t>14:19:38</t>
  </si>
  <si>
    <t>11:57:44</t>
  </si>
  <si>
    <t>17:19:59</t>
  </si>
  <si>
    <t>07:59:00</t>
  </si>
  <si>
    <t>13:33:41</t>
  </si>
  <si>
    <t>11:43:41</t>
  </si>
  <si>
    <t>10:41:55</t>
  </si>
  <si>
    <t>02:09:05</t>
  </si>
  <si>
    <t>02:07:45</t>
  </si>
  <si>
    <t>20:58:51</t>
  </si>
  <si>
    <t>20:55:58</t>
  </si>
  <si>
    <t>23:17:08</t>
  </si>
  <si>
    <t>11:54:31</t>
  </si>
  <si>
    <t>12:59:22</t>
  </si>
  <si>
    <t>13:02:16</t>
  </si>
  <si>
    <t>13:52:37</t>
  </si>
  <si>
    <t>13:50:50</t>
  </si>
  <si>
    <t>13:16:02</t>
  </si>
  <si>
    <t>13:11:36</t>
  </si>
  <si>
    <t>12:59:20</t>
  </si>
  <si>
    <t>12:53:20</t>
  </si>
  <si>
    <t>13:29:18</t>
  </si>
  <si>
    <t>13:10:37</t>
  </si>
  <si>
    <t>12:55:34</t>
  </si>
  <si>
    <t>13:08:01</t>
  </si>
  <si>
    <t>13:23:12</t>
  </si>
  <si>
    <t>13:25:07</t>
  </si>
  <si>
    <t>13:22:32</t>
  </si>
  <si>
    <t>12:20:56</t>
  </si>
  <si>
    <t>12:12:28</t>
  </si>
  <si>
    <t>12:57:05</t>
  </si>
  <si>
    <t>12:54:56</t>
  </si>
  <si>
    <t>13:42:01</t>
  </si>
  <si>
    <t>12:34:21</t>
  </si>
  <si>
    <t>13:49:58</t>
  </si>
  <si>
    <t>13:46:05</t>
  </si>
  <si>
    <t>12:41:26</t>
  </si>
  <si>
    <t>14:06:50</t>
  </si>
  <si>
    <t>13:08:28</t>
  </si>
  <si>
    <t>12:42:18</t>
  </si>
  <si>
    <t>12:41:03</t>
  </si>
  <si>
    <t>12:36:31</t>
  </si>
  <si>
    <t>12:35:51</t>
  </si>
  <si>
    <t>12:12:22</t>
  </si>
  <si>
    <t>12:30:48</t>
  </si>
  <si>
    <t>12:35:58</t>
  </si>
  <si>
    <t>11:52:13</t>
  </si>
  <si>
    <t>13:36:38</t>
  </si>
  <si>
    <t>12:43:58</t>
  </si>
  <si>
    <t>12:19:51</t>
  </si>
  <si>
    <t>12:02:30</t>
  </si>
  <si>
    <t>12:01:41</t>
  </si>
  <si>
    <t>13:16:38</t>
  </si>
  <si>
    <t>15:44:00</t>
  </si>
  <si>
    <t>04:21:17</t>
  </si>
  <si>
    <t>11:34:58</t>
  </si>
  <si>
    <t>10:41:06</t>
  </si>
  <si>
    <t>18:22:32</t>
  </si>
  <si>
    <t>15:16:58</t>
  </si>
  <si>
    <t>13:15:43</t>
  </si>
  <si>
    <t>00:39:23</t>
  </si>
  <si>
    <t>17:48:33</t>
  </si>
  <si>
    <t>20:00:00</t>
  </si>
  <si>
    <t>19:34:49</t>
  </si>
  <si>
    <t>22:25:18</t>
  </si>
  <si>
    <t>17:54:09</t>
  </si>
  <si>
    <t>20:12:10</t>
  </si>
  <si>
    <t>08:30:41</t>
  </si>
  <si>
    <t>09:20:00</t>
  </si>
  <si>
    <t>02:15:59</t>
  </si>
  <si>
    <t>08:17:01</t>
  </si>
  <si>
    <t>21:29:41</t>
  </si>
  <si>
    <t>15:26:18</t>
  </si>
  <si>
    <t>14:19:08</t>
  </si>
  <si>
    <t>11:26:37</t>
  </si>
  <si>
    <t>18:15:52</t>
  </si>
  <si>
    <t>20:05:49</t>
  </si>
  <si>
    <t>12:25:22</t>
  </si>
  <si>
    <t>06:40:56</t>
  </si>
  <si>
    <t>12:17:14</t>
  </si>
  <si>
    <t>23:01:07</t>
  </si>
  <si>
    <t>23:47:17</t>
  </si>
  <si>
    <t>20:06:05</t>
  </si>
  <si>
    <t>20:38:30</t>
  </si>
  <si>
    <t>19:50:39</t>
  </si>
  <si>
    <t>21:04:01</t>
  </si>
  <si>
    <t>19:20:54</t>
  </si>
  <si>
    <t>21:40:48</t>
  </si>
  <si>
    <t>19:41:25</t>
  </si>
  <si>
    <t>20:24:37</t>
  </si>
  <si>
    <t>19:58:17</t>
  </si>
  <si>
    <t>19:09:50</t>
  </si>
  <si>
    <t>20:21:30</t>
  </si>
  <si>
    <t>21:36:41</t>
  </si>
  <si>
    <t>21:32:15</t>
  </si>
  <si>
    <t>20:48:04</t>
  </si>
  <si>
    <t>21:02:45</t>
  </si>
  <si>
    <t>20:26:16</t>
  </si>
  <si>
    <t>18:53:03</t>
  </si>
  <si>
    <t>13:57:40</t>
  </si>
  <si>
    <t>15:00:52</t>
  </si>
  <si>
    <t>18:07:42</t>
  </si>
  <si>
    <t>15:02:04</t>
  </si>
  <si>
    <t>14:57:39</t>
  </si>
  <si>
    <t>14:33:18</t>
  </si>
  <si>
    <t>15:52:41</t>
  </si>
  <si>
    <t>20:10:01</t>
  </si>
  <si>
    <t>20:30:32</t>
  </si>
  <si>
    <t>16:48:08</t>
  </si>
  <si>
    <t>18:53:55</t>
  </si>
  <si>
    <t>00:47:15</t>
  </si>
  <si>
    <t>05:39:19</t>
  </si>
  <si>
    <t>04:20:18</t>
  </si>
  <si>
    <t>18:28:30</t>
  </si>
  <si>
    <t>17:08:52</t>
  </si>
  <si>
    <t>12:36:33</t>
  </si>
  <si>
    <t>19:40:12</t>
  </si>
  <si>
    <t>18:05:52</t>
  </si>
  <si>
    <t>18:39:44</t>
  </si>
  <si>
    <t>17:22:44</t>
  </si>
  <si>
    <t>18:17:31</t>
  </si>
  <si>
    <t>16:17:54</t>
  </si>
  <si>
    <t>11:09:42</t>
  </si>
  <si>
    <t>18:17:58</t>
  </si>
  <si>
    <t>18:00:46</t>
  </si>
  <si>
    <t>21:39:45</t>
  </si>
  <si>
    <t>08:57:01</t>
  </si>
  <si>
    <t>17:54:47</t>
  </si>
  <si>
    <t>21:17:16</t>
  </si>
  <si>
    <t>23:03:54</t>
  </si>
  <si>
    <t>06:18:11</t>
  </si>
  <si>
    <t>07:30:59</t>
  </si>
  <si>
    <t>11:01:43</t>
  </si>
  <si>
    <t>17:03:52</t>
  </si>
  <si>
    <t>17:37:08</t>
  </si>
  <si>
    <t>15:32:00</t>
  </si>
  <si>
    <t>19:56:53</t>
  </si>
  <si>
    <t>18:36:45</t>
  </si>
  <si>
    <t>14:46:41</t>
  </si>
  <si>
    <t>18:43:51</t>
  </si>
  <si>
    <t>14:01:18</t>
  </si>
  <si>
    <t>19:34:05</t>
  </si>
  <si>
    <t>19:37:27</t>
  </si>
  <si>
    <t>19:24:43</t>
  </si>
  <si>
    <t>11:12:20</t>
  </si>
  <si>
    <t>23:50:21</t>
  </si>
  <si>
    <t>23:49:18</t>
  </si>
  <si>
    <t>23:46:30</t>
  </si>
  <si>
    <t>23:45:04</t>
  </si>
  <si>
    <t>00:59:17</t>
  </si>
  <si>
    <t>15:56:25</t>
  </si>
  <si>
    <t>13:55:05</t>
  </si>
  <si>
    <t>18:20:01</t>
  </si>
  <si>
    <t>15:25:52</t>
  </si>
  <si>
    <t>14:56:23</t>
  </si>
  <si>
    <t>20:19:23</t>
  </si>
  <si>
    <t>20:13:26</t>
  </si>
  <si>
    <t>14:35:51</t>
  </si>
  <si>
    <t>01:47:15</t>
  </si>
  <si>
    <t>01:46:07</t>
  </si>
  <si>
    <t>21:37:32</t>
  </si>
  <si>
    <t>21:36:47</t>
  </si>
  <si>
    <t>21:36:19</t>
  </si>
  <si>
    <t>21:35:33</t>
  </si>
  <si>
    <t>20:29:53</t>
  </si>
  <si>
    <t>20:27:42</t>
  </si>
  <si>
    <t>21:09:10</t>
  </si>
  <si>
    <t>21:06:55</t>
  </si>
  <si>
    <t>23:30:03</t>
  </si>
  <si>
    <t>23:29:31</t>
  </si>
  <si>
    <t>20:49:53</t>
  </si>
  <si>
    <t>20:48:21</t>
  </si>
  <si>
    <t>21:14:28</t>
  </si>
  <si>
    <t>21:11:55</t>
  </si>
  <si>
    <t>20:29:34</t>
  </si>
  <si>
    <t>00:48:17</t>
  </si>
  <si>
    <t>00:44:59</t>
  </si>
  <si>
    <t>22:04:58</t>
  </si>
  <si>
    <t>22:04:41</t>
  </si>
  <si>
    <t>20:05:11</t>
  </si>
  <si>
    <t>20:04:47</t>
  </si>
  <si>
    <t>20:40:36</t>
  </si>
  <si>
    <t>20:23:38</t>
  </si>
  <si>
    <t>20:53:49</t>
  </si>
  <si>
    <t>20:52:36</t>
  </si>
  <si>
    <t>16:41:11</t>
  </si>
  <si>
    <t>16:40:55</t>
  </si>
  <si>
    <t>15:58:45</t>
  </si>
  <si>
    <t>15:58:04</t>
  </si>
  <si>
    <t>21:10:28</t>
  </si>
  <si>
    <t>21:10:03</t>
  </si>
  <si>
    <t>21:04:09</t>
  </si>
  <si>
    <t>20:58:30</t>
  </si>
  <si>
    <t>08:18:47</t>
  </si>
  <si>
    <t>06:53:18</t>
  </si>
  <si>
    <t>13:44:12</t>
  </si>
  <si>
    <t>14:07:21</t>
  </si>
  <si>
    <t>14:13:44</t>
  </si>
  <si>
    <t>15:57:56</t>
  </si>
  <si>
    <t>12:53:13</t>
  </si>
  <si>
    <t>06:16:50</t>
  </si>
  <si>
    <t>02:09:45</t>
  </si>
  <si>
    <t>15:21:47</t>
  </si>
  <si>
    <t>01:06:30</t>
  </si>
  <si>
    <t>21:12:39</t>
  </si>
  <si>
    <t>11:31:52</t>
  </si>
  <si>
    <t>12:00:02</t>
  </si>
  <si>
    <t>14:40:09</t>
  </si>
  <si>
    <t>23:13:04</t>
  </si>
  <si>
    <t>15:08:49</t>
  </si>
  <si>
    <t>09:15:44</t>
  </si>
  <si>
    <t>04:20:38</t>
  </si>
  <si>
    <t>16:27:38</t>
  </si>
  <si>
    <t>21:59:52</t>
  </si>
  <si>
    <t>18:17:33</t>
  </si>
  <si>
    <t>13:26:34</t>
  </si>
  <si>
    <t>14:56:24</t>
  </si>
  <si>
    <t>17:17:33</t>
  </si>
  <si>
    <t>15:45:59</t>
  </si>
  <si>
    <t>21:15:35</t>
  </si>
  <si>
    <t>12:26:45</t>
  </si>
  <si>
    <t>22:06:26</t>
  </si>
  <si>
    <t>18:15:24</t>
  </si>
  <si>
    <t>23:00:39</t>
  </si>
  <si>
    <t>17:20:15</t>
  </si>
  <si>
    <t>15:04:39</t>
  </si>
  <si>
    <t>15:04:22</t>
  </si>
  <si>
    <t>15:03:45</t>
  </si>
  <si>
    <t>15:02:27</t>
  </si>
  <si>
    <t>15:01:22</t>
  </si>
  <si>
    <t>08:36:16</t>
  </si>
  <si>
    <t>17:49:37</t>
  </si>
  <si>
    <t>12:54:21</t>
  </si>
  <si>
    <t>09:03:54</t>
  </si>
  <si>
    <t>09:03:52</t>
  </si>
  <si>
    <t>15:04:21</t>
  </si>
  <si>
    <t>23:38:47</t>
  </si>
  <si>
    <t>12:28:57</t>
  </si>
  <si>
    <t>15:59:29</t>
  </si>
  <si>
    <t>07:06:16</t>
  </si>
  <si>
    <t>20:20:38</t>
  </si>
  <si>
    <t>20:07:36</t>
  </si>
  <si>
    <t>20:05:51</t>
  </si>
  <si>
    <t>13:25:05</t>
  </si>
  <si>
    <t>14:09:34</t>
  </si>
  <si>
    <t>12:50:57</t>
  </si>
  <si>
    <t>06:54:01</t>
  </si>
  <si>
    <t>13:26:57</t>
  </si>
  <si>
    <t>17:27:26</t>
  </si>
  <si>
    <t>23:45:58</t>
  </si>
  <si>
    <t>23:34:59</t>
  </si>
  <si>
    <t>09:00:01</t>
  </si>
  <si>
    <t>20:12:43</t>
  </si>
  <si>
    <t>22:09:00</t>
  </si>
  <si>
    <t>16:21:02</t>
  </si>
  <si>
    <t>02:18:20</t>
  </si>
  <si>
    <t>21:45:29</t>
  </si>
  <si>
    <t>19:40:42</t>
  </si>
  <si>
    <t>20:08:32</t>
  </si>
  <si>
    <t>14:55:09</t>
  </si>
  <si>
    <t>15:25:14</t>
  </si>
  <si>
    <t>19:34:39</t>
  </si>
  <si>
    <t>02:13:24</t>
  </si>
  <si>
    <t>02:13:13</t>
  </si>
  <si>
    <t>02:13:05</t>
  </si>
  <si>
    <t>02:12:56</t>
  </si>
  <si>
    <t>22:29:46</t>
  </si>
  <si>
    <t>22:29:35</t>
  </si>
  <si>
    <t>22:58:24</t>
  </si>
  <si>
    <t>22:46:36</t>
  </si>
  <si>
    <t>22:46:26</t>
  </si>
  <si>
    <t>22:46:18</t>
  </si>
  <si>
    <t>22:46:11</t>
  </si>
  <si>
    <t>22:46:01</t>
  </si>
  <si>
    <t>11:56:41</t>
  </si>
  <si>
    <t>11:56:32</t>
  </si>
  <si>
    <t>11:56:24</t>
  </si>
  <si>
    <t>12:05:03</t>
  </si>
  <si>
    <t>10:16:31</t>
  </si>
  <si>
    <t>10:16:24</t>
  </si>
  <si>
    <t>10:16:13</t>
  </si>
  <si>
    <t>01:43:33</t>
  </si>
  <si>
    <t>14:33:49</t>
  </si>
  <si>
    <t>00:56:54</t>
  </si>
  <si>
    <t>21:25:43</t>
  </si>
  <si>
    <t>12:36:29</t>
  </si>
  <si>
    <t>12:54:48</t>
  </si>
  <si>
    <t>23:38:33</t>
  </si>
  <si>
    <t>23:28:08</t>
  </si>
  <si>
    <t>22:58:33</t>
  </si>
  <si>
    <t>15:03:32</t>
  </si>
  <si>
    <t>22:48:02</t>
  </si>
  <si>
    <t>00:59:36</t>
  </si>
  <si>
    <t>22:12:00</t>
  </si>
  <si>
    <t>22:11:19</t>
  </si>
  <si>
    <t>17:22:33</t>
  </si>
  <si>
    <t>22:42:39</t>
  </si>
  <si>
    <t>07:34:25</t>
  </si>
  <si>
    <t>23:39:17</t>
  </si>
  <si>
    <t>00:27:44</t>
  </si>
  <si>
    <t>14:38:51</t>
  </si>
  <si>
    <t>10:07:04</t>
  </si>
  <si>
    <t>16:45:09</t>
  </si>
  <si>
    <t>23:54:04</t>
  </si>
  <si>
    <t>18:43:04</t>
  </si>
  <si>
    <t>11:57:13</t>
  </si>
  <si>
    <t>16:22:02</t>
  </si>
  <si>
    <t>17:55:24</t>
  </si>
  <si>
    <t>22:00:02</t>
  </si>
  <si>
    <t>21:16:10</t>
  </si>
  <si>
    <t>16:12:49</t>
  </si>
  <si>
    <t>22:36:54</t>
  </si>
  <si>
    <t>14:56:52</t>
  </si>
  <si>
    <t>22:09:13</t>
  </si>
  <si>
    <t>13:34:19</t>
  </si>
  <si>
    <t>18:03:22</t>
  </si>
  <si>
    <t>16:12:18</t>
  </si>
  <si>
    <t>21:12:18</t>
  </si>
  <si>
    <t>19:23:15</t>
  </si>
  <si>
    <t>14:28:44</t>
  </si>
  <si>
    <t>23:36:50</t>
  </si>
  <si>
    <t>00:43:33</t>
  </si>
  <si>
    <t>03:22:34</t>
  </si>
  <si>
    <t>20:15:15</t>
  </si>
  <si>
    <t>02:30:09</t>
  </si>
  <si>
    <t>11:24:43</t>
  </si>
  <si>
    <t>21:02:04</t>
  </si>
  <si>
    <t>16:00:18</t>
  </si>
  <si>
    <t>21:45:02</t>
  </si>
  <si>
    <t>10:27:46</t>
  </si>
  <si>
    <t>07:26:46</t>
  </si>
  <si>
    <t>20:32:50</t>
  </si>
  <si>
    <t>12:11:38</t>
  </si>
  <si>
    <t>20:37:52</t>
  </si>
  <si>
    <t>15:58:31</t>
  </si>
  <si>
    <t>21:26:13</t>
  </si>
  <si>
    <t>11:31:11</t>
  </si>
  <si>
    <t>02:36:15</t>
  </si>
  <si>
    <t>12:27:07</t>
  </si>
  <si>
    <t>13:49:54</t>
  </si>
  <si>
    <t>11:48:47</t>
  </si>
  <si>
    <t>11:54:51</t>
  </si>
  <si>
    <t>01:23:10</t>
  </si>
  <si>
    <t>08:55:55</t>
  </si>
  <si>
    <t>21:53:10</t>
  </si>
  <si>
    <t>21:53:33</t>
  </si>
  <si>
    <t>18:25:41</t>
  </si>
  <si>
    <t>22:57:28</t>
  </si>
  <si>
    <t>17:40:57</t>
  </si>
  <si>
    <t>06:01:28</t>
  </si>
  <si>
    <t>01:30:32</t>
  </si>
  <si>
    <t>23:57:11</t>
  </si>
  <si>
    <t>13:07:37</t>
  </si>
  <si>
    <t>12:01:30</t>
  </si>
  <si>
    <t>13:13:21</t>
  </si>
  <si>
    <t>01:25:28</t>
  </si>
  <si>
    <t>12:02:22</t>
  </si>
  <si>
    <t>12:40:18</t>
  </si>
  <si>
    <t>11:55:11</t>
  </si>
  <si>
    <t>21:15:03</t>
  </si>
  <si>
    <t>12:00:14</t>
  </si>
  <si>
    <t>12:00:12</t>
  </si>
  <si>
    <t>12:00:21</t>
  </si>
  <si>
    <t>12:00:15</t>
  </si>
  <si>
    <t>12:00:16</t>
  </si>
  <si>
    <t>12:00:18</t>
  </si>
  <si>
    <t>12:00:19</t>
  </si>
  <si>
    <t>13:00:35</t>
  </si>
  <si>
    <t>11:32:11</t>
  </si>
  <si>
    <t>11:30:31</t>
  </si>
  <si>
    <t>11:04:33</t>
  </si>
  <si>
    <t>10:56:14</t>
  </si>
  <si>
    <t>11:50:35</t>
  </si>
  <si>
    <t>11:35:26</t>
  </si>
  <si>
    <t>11:38:45</t>
  </si>
  <si>
    <t>11:22:50</t>
  </si>
  <si>
    <t>11:13:40</t>
  </si>
  <si>
    <t>11:24:10</t>
  </si>
  <si>
    <t>12:01:50</t>
  </si>
  <si>
    <t>10:35:00</t>
  </si>
  <si>
    <t>11:31:51</t>
  </si>
  <si>
    <t>11:55:42</t>
  </si>
  <si>
    <t>11:07:46</t>
  </si>
  <si>
    <t>11:38:52</t>
  </si>
  <si>
    <t>11:33:34</t>
  </si>
  <si>
    <t>11:46:02</t>
  </si>
  <si>
    <t>11:41:28</t>
  </si>
  <si>
    <t>10:47:45</t>
  </si>
  <si>
    <t>10:56:42</t>
  </si>
  <si>
    <t>12:24:42</t>
  </si>
  <si>
    <t>17:15:21</t>
  </si>
  <si>
    <t>06:50:49</t>
  </si>
  <si>
    <t>20:00:05</t>
  </si>
  <si>
    <t>12:56:22</t>
  </si>
  <si>
    <t>00:18:07</t>
  </si>
  <si>
    <t>00:17:38</t>
  </si>
  <si>
    <t>22:40:03</t>
  </si>
  <si>
    <t>23:10:36</t>
  </si>
  <si>
    <t>12:19:21</t>
  </si>
  <si>
    <t>00:52:33</t>
  </si>
  <si>
    <t>01:31:13</t>
  </si>
  <si>
    <t>11:44:52</t>
  </si>
  <si>
    <t>08:15:01</t>
  </si>
  <si>
    <t>06:00:49</t>
  </si>
  <si>
    <t>07:16:57</t>
  </si>
  <si>
    <t>08:10:11</t>
  </si>
  <si>
    <t>08:15:03</t>
  </si>
  <si>
    <t>14:03:44</t>
  </si>
  <si>
    <t>08:25:03</t>
  </si>
  <si>
    <t>08:30:09</t>
  </si>
  <si>
    <t>15:37:35</t>
  </si>
  <si>
    <t>12:12:06</t>
  </si>
  <si>
    <t>11:43:01</t>
  </si>
  <si>
    <t>11:56:49</t>
  </si>
  <si>
    <t>11:50:52</t>
  </si>
  <si>
    <t>14:10:42</t>
  </si>
  <si>
    <t>15:10:14</t>
  </si>
  <si>
    <t>13:03:27</t>
  </si>
  <si>
    <t>12:15:36</t>
  </si>
  <si>
    <t>11:50:01</t>
  </si>
  <si>
    <t>12:56:16</t>
  </si>
  <si>
    <t>15:33:57</t>
  </si>
  <si>
    <t>12:30:52</t>
  </si>
  <si>
    <t>12:32:20</t>
  </si>
  <si>
    <t>11:55:38</t>
  </si>
  <si>
    <t>11:47:10</t>
  </si>
  <si>
    <t>11:56:13</t>
  </si>
  <si>
    <t>22:21:03</t>
  </si>
  <si>
    <t>21:52:55</t>
  </si>
  <si>
    <t>12:13:59</t>
  </si>
  <si>
    <t>21:58:58</t>
  </si>
  <si>
    <t>11:46:33</t>
  </si>
  <si>
    <t>12:05:43</t>
  </si>
  <si>
    <t>12:13:15</t>
  </si>
  <si>
    <t>12:12:00</t>
  </si>
  <si>
    <t>17:57:06</t>
  </si>
  <si>
    <t>17:56:11</t>
  </si>
  <si>
    <t>17:48:12</t>
  </si>
  <si>
    <t>17:47:23</t>
  </si>
  <si>
    <t>16:07:01</t>
  </si>
  <si>
    <t>18:40:18</t>
  </si>
  <si>
    <t>17:55:25</t>
  </si>
  <si>
    <t>18:29:45</t>
  </si>
  <si>
    <t>18:26:46</t>
  </si>
  <si>
    <t>16:27:17</t>
  </si>
  <si>
    <t>16:26:30</t>
  </si>
  <si>
    <t>16:25:36</t>
  </si>
  <si>
    <t>16:24:11</t>
  </si>
  <si>
    <t>16:23:12</t>
  </si>
  <si>
    <t>16:22:04</t>
  </si>
  <si>
    <t>14:23:06</t>
  </si>
  <si>
    <t>14:22:13</t>
  </si>
  <si>
    <t>18:53:33</t>
  </si>
  <si>
    <t>18:52:24</t>
  </si>
  <si>
    <t>18:51:45</t>
  </si>
  <si>
    <t>20:42:43</t>
  </si>
  <si>
    <t>19:15:27</t>
  </si>
  <si>
    <t>18:10:49</t>
  </si>
  <si>
    <t>17:24:04</t>
  </si>
  <si>
    <t>15:15:22</t>
  </si>
  <si>
    <t>11:55:24</t>
  </si>
  <si>
    <t>20:22:30</t>
  </si>
  <si>
    <t>18:40:42</t>
  </si>
  <si>
    <t>17:55:44</t>
  </si>
  <si>
    <t>19:39:26</t>
  </si>
  <si>
    <t>15:56:02</t>
  </si>
  <si>
    <t>15:35:31</t>
  </si>
  <si>
    <t>15:22:55</t>
  </si>
  <si>
    <t>11:07:16</t>
  </si>
  <si>
    <t>11:06:05</t>
  </si>
  <si>
    <t>17:51:45</t>
  </si>
  <si>
    <t>15:53:53</t>
  </si>
  <si>
    <t>14:34:24</t>
  </si>
  <si>
    <t>17:15:17</t>
  </si>
  <si>
    <t>15:36:55</t>
  </si>
  <si>
    <t>14:53:49</t>
  </si>
  <si>
    <t>14:24:25</t>
  </si>
  <si>
    <t>17:48:55</t>
  </si>
  <si>
    <t>18:14:44</t>
  </si>
  <si>
    <t>17:49:00</t>
  </si>
  <si>
    <t>17:11:05</t>
  </si>
  <si>
    <t>15:54:32</t>
  </si>
  <si>
    <t>15:36:22</t>
  </si>
  <si>
    <t>11:47:43</t>
  </si>
  <si>
    <t>21:34:27</t>
  </si>
  <si>
    <t>18:45:26</t>
  </si>
  <si>
    <t>11:39:33</t>
  </si>
  <si>
    <t>11:11:59</t>
  </si>
  <si>
    <t>10:54:13</t>
  </si>
  <si>
    <t>11:36:13</t>
  </si>
  <si>
    <t>11:35:12</t>
  </si>
  <si>
    <t>11:34:12</t>
  </si>
  <si>
    <t>11:33:26</t>
  </si>
  <si>
    <t>20:27:24</t>
  </si>
  <si>
    <t>20:26:30</t>
  </si>
  <si>
    <t>17:33:02</t>
  </si>
  <si>
    <t>17:07:17</t>
  </si>
  <si>
    <t>16:26:43</t>
  </si>
  <si>
    <t>16:26:01</t>
  </si>
  <si>
    <t>11:54:35</t>
  </si>
  <si>
    <t>17:37:45</t>
  </si>
  <si>
    <t>14:27:33</t>
  </si>
  <si>
    <t>15:19:57</t>
  </si>
  <si>
    <t>16:02:26</t>
  </si>
  <si>
    <t>21:49:08</t>
  </si>
  <si>
    <t>21:29:06</t>
  </si>
  <si>
    <t>20:26:44</t>
  </si>
  <si>
    <t>20:20:21</t>
  </si>
  <si>
    <t>20:19:05</t>
  </si>
  <si>
    <t>10:55:39</t>
  </si>
  <si>
    <t>11:39:42</t>
  </si>
  <si>
    <t>11:38:10</t>
  </si>
  <si>
    <t>21:47:06</t>
  </si>
  <si>
    <t>14:23:18</t>
  </si>
  <si>
    <t>14:14:58</t>
  </si>
  <si>
    <t>18:44:45</t>
  </si>
  <si>
    <t>18:32:25</t>
  </si>
  <si>
    <t>17:08:32</t>
  </si>
  <si>
    <t>11:46:57</t>
  </si>
  <si>
    <t>15:56:34</t>
  </si>
  <si>
    <t>14:57:44</t>
  </si>
  <si>
    <t>11:50:17</t>
  </si>
  <si>
    <t>14:49:29</t>
  </si>
  <si>
    <t>08:40:00</t>
  </si>
  <si>
    <t>08:20:00</t>
  </si>
  <si>
    <t>12:30:38</t>
  </si>
  <si>
    <t>14:50:51</t>
  </si>
  <si>
    <t>20:59:16</t>
  </si>
  <si>
    <t>15:49:04</t>
  </si>
  <si>
    <t>10:54:34</t>
  </si>
  <si>
    <t>00:44:11</t>
  </si>
  <si>
    <t>02:36:36</t>
  </si>
  <si>
    <t>14:21:30</t>
  </si>
  <si>
    <t>19:32:15</t>
  </si>
  <si>
    <t>13:10:50</t>
  </si>
  <si>
    <t>09:16:38</t>
  </si>
  <si>
    <t>17:24:40</t>
  </si>
  <si>
    <t>22:47:47</t>
  </si>
  <si>
    <t>15:37:13</t>
  </si>
  <si>
    <t>11:27:37</t>
  </si>
  <si>
    <t>11:34:23</t>
  </si>
  <si>
    <t>00:16:15</t>
  </si>
  <si>
    <t>16:48:18</t>
  </si>
  <si>
    <t>18:40:25</t>
  </si>
  <si>
    <t>17:27:51</t>
  </si>
  <si>
    <t>20:48:55</t>
  </si>
  <si>
    <t>19:59:04</t>
  </si>
  <si>
    <t>19:12:57</t>
  </si>
  <si>
    <t>20:18:19</t>
  </si>
  <si>
    <t>20:36:07</t>
  </si>
  <si>
    <t>20:38:32</t>
  </si>
  <si>
    <t>20:48:12</t>
  </si>
  <si>
    <t>20:44:58</t>
  </si>
  <si>
    <t>19:44:43</t>
  </si>
  <si>
    <t>17:00:33</t>
  </si>
  <si>
    <t>10:07:59</t>
  </si>
  <si>
    <t>11:55:06</t>
  </si>
  <si>
    <t>13:48:07</t>
  </si>
  <si>
    <t>11:58:58</t>
  </si>
  <si>
    <t>11:51:02</t>
  </si>
  <si>
    <t>11:51:25</t>
  </si>
  <si>
    <t>11:50:32</t>
  </si>
  <si>
    <t>11:44:12</t>
  </si>
  <si>
    <t>11:39:29</t>
  </si>
  <si>
    <t>11:47:23</t>
  </si>
  <si>
    <t>12:05:53</t>
  </si>
  <si>
    <t>12:00:28</t>
  </si>
  <si>
    <t>11:42:34</t>
  </si>
  <si>
    <t>12:33:24</t>
  </si>
  <si>
    <t>12:19:59</t>
  </si>
  <si>
    <t>11:59:53</t>
  </si>
  <si>
    <t>11:42:21</t>
  </si>
  <si>
    <t>12:55:06</t>
  </si>
  <si>
    <t>12:18:24</t>
  </si>
  <si>
    <t>12:02:55</t>
  </si>
  <si>
    <t>11:59:45</t>
  </si>
  <si>
    <t>11:54:43</t>
  </si>
  <si>
    <t>13:23:40</t>
  </si>
  <si>
    <t>12:06:24</t>
  </si>
  <si>
    <t>12:55:51</t>
  </si>
  <si>
    <t>12:01:07</t>
  </si>
  <si>
    <t>11:35:09</t>
  </si>
  <si>
    <t>12:20:10</t>
  </si>
  <si>
    <t>13:00:27</t>
  </si>
  <si>
    <t>12:40:26</t>
  </si>
  <si>
    <t>11:38:41</t>
  </si>
  <si>
    <t>11:56:58</t>
  </si>
  <si>
    <t>12:15:17</t>
  </si>
  <si>
    <t>11:47:49</t>
  </si>
  <si>
    <t>11:45:26</t>
  </si>
  <si>
    <t>16:32:14</t>
  </si>
  <si>
    <t>12:11:54</t>
  </si>
  <si>
    <t>11:47:57</t>
  </si>
  <si>
    <t>11:51:34</t>
  </si>
  <si>
    <t>12:43:08</t>
  </si>
  <si>
    <t>12:40:04</t>
  </si>
  <si>
    <t>12:41:12</t>
  </si>
  <si>
    <t>12:05:54</t>
  </si>
  <si>
    <t>12:44:43</t>
  </si>
  <si>
    <t>11:41:43</t>
  </si>
  <si>
    <t>12:32:23</t>
  </si>
  <si>
    <t>12:32:16</t>
  </si>
  <si>
    <t>11:57:40</t>
  </si>
  <si>
    <t>11:52:16</t>
  </si>
  <si>
    <t>12:11:39</t>
  </si>
  <si>
    <t>11:43:06</t>
  </si>
  <si>
    <t>11:58:47</t>
  </si>
  <si>
    <t>12:47:26</t>
  </si>
  <si>
    <t>12:22:10</t>
  </si>
  <si>
    <t>12:21:24</t>
  </si>
  <si>
    <t>13:51:48</t>
  </si>
  <si>
    <t>16:27:12</t>
  </si>
  <si>
    <t>11:50:24</t>
  </si>
  <si>
    <t>12:10:51</t>
  </si>
  <si>
    <t>12:06:40</t>
  </si>
  <si>
    <t>11:43:30</t>
  </si>
  <si>
    <t>11:58:42</t>
  </si>
  <si>
    <t>13:09:56</t>
  </si>
  <si>
    <t>12:08:48</t>
  </si>
  <si>
    <t>11:28:16</t>
  </si>
  <si>
    <t>11:55:10</t>
  </si>
  <si>
    <t>12:15:28</t>
  </si>
  <si>
    <t>13:37:00</t>
  </si>
  <si>
    <t>11:48:13</t>
  </si>
  <si>
    <t>12:17:54</t>
  </si>
  <si>
    <t>12:16:38</t>
  </si>
  <si>
    <t>12:02:47</t>
  </si>
  <si>
    <t>12:01:25</t>
  </si>
  <si>
    <t>11:42:14</t>
  </si>
  <si>
    <t>03:04:55</t>
  </si>
  <si>
    <t>13:51:29</t>
  </si>
  <si>
    <t>02:39:06</t>
  </si>
  <si>
    <t>05:00:37</t>
  </si>
  <si>
    <t>21:44:42</t>
  </si>
  <si>
    <t>12:11:43</t>
  </si>
  <si>
    <t>11:32:56</t>
  </si>
  <si>
    <t>11:38:36</t>
  </si>
  <si>
    <t>17:20:01</t>
  </si>
  <si>
    <t>15:02:32</t>
  </si>
  <si>
    <t>16:06:19</t>
  </si>
  <si>
    <t>15:45:31</t>
  </si>
  <si>
    <t>15:18:20</t>
  </si>
  <si>
    <t>19:02:42</t>
  </si>
  <si>
    <t>00:31:59</t>
  </si>
  <si>
    <t>23:45:42</t>
  </si>
  <si>
    <t>23:26:15</t>
  </si>
  <si>
    <t>23:05:19</t>
  </si>
  <si>
    <t>23:01:02</t>
  </si>
  <si>
    <t>15:32:33</t>
  </si>
  <si>
    <t>01:23:22</t>
  </si>
  <si>
    <t>13:08:08</t>
  </si>
  <si>
    <t>01:20:00</t>
  </si>
  <si>
    <t>02:01:06</t>
  </si>
  <si>
    <t>23:43:46</t>
  </si>
  <si>
    <t>00:01:00</t>
  </si>
  <si>
    <t>01:22:03</t>
  </si>
  <si>
    <t>15:38:15</t>
  </si>
  <si>
    <t>12:23:20</t>
  </si>
  <si>
    <t>12:15:00</t>
  </si>
  <si>
    <t>23:15:05</t>
  </si>
  <si>
    <t>11:31:30</t>
  </si>
  <si>
    <t>19:00:12</t>
  </si>
  <si>
    <t>12:25:15</t>
  </si>
  <si>
    <t>15:04:23</t>
  </si>
  <si>
    <t>16:34:58</t>
  </si>
  <si>
    <t>11:36:31</t>
  </si>
  <si>
    <t>16:01:09</t>
  </si>
  <si>
    <t>15:14:17</t>
  </si>
  <si>
    <t>11:37:01</t>
  </si>
  <si>
    <t>00:35:36</t>
  </si>
  <si>
    <t>18:18:46</t>
  </si>
  <si>
    <t>21:40:49</t>
  </si>
  <si>
    <t>12:10:00</t>
  </si>
  <si>
    <t>11:26:46</t>
  </si>
  <si>
    <t>16:31:07</t>
  </si>
  <si>
    <t>20:05:38</t>
  </si>
  <si>
    <t>14:06:39</t>
  </si>
  <si>
    <t>20:48:38</t>
  </si>
  <si>
    <t>16:42:03</t>
  </si>
  <si>
    <t>16:32:20</t>
  </si>
  <si>
    <t>17:29:05</t>
  </si>
  <si>
    <t>12:20:43</t>
  </si>
  <si>
    <t>17:47:50</t>
  </si>
  <si>
    <t>12:00:01</t>
  </si>
  <si>
    <t>16:49:29</t>
  </si>
  <si>
    <t>12:33:49</t>
  </si>
  <si>
    <t>17:33:39</t>
  </si>
  <si>
    <t>22:47:32</t>
  </si>
  <si>
    <t>22:02:12</t>
  </si>
  <si>
    <t>12:03:21</t>
  </si>
  <si>
    <t>11:43:22</t>
  </si>
  <si>
    <t>11:45:58</t>
  </si>
  <si>
    <t>11:34:46</t>
  </si>
  <si>
    <t>16:04:25</t>
  </si>
  <si>
    <t>12:25:19</t>
  </si>
  <si>
    <t>20:43:03</t>
  </si>
  <si>
    <t>17:09:20</t>
  </si>
  <si>
    <t>11:39:15</t>
  </si>
  <si>
    <t>18:57:05</t>
  </si>
  <si>
    <t>23:11:17</t>
  </si>
  <si>
    <t>23:14:08</t>
  </si>
  <si>
    <t>19:35:08</t>
  </si>
  <si>
    <t>17:06:58</t>
  </si>
  <si>
    <t>01:13:17</t>
  </si>
  <si>
    <t>18:01:40</t>
  </si>
  <si>
    <t>23:05:40</t>
  </si>
  <si>
    <t>21:08:13</t>
  </si>
  <si>
    <t>20:36:26</t>
  </si>
  <si>
    <t>16:32:08</t>
  </si>
  <si>
    <t>16:47:59</t>
  </si>
  <si>
    <t>16:51:54</t>
  </si>
  <si>
    <t>21:48:09</t>
  </si>
  <si>
    <t>17:22:17</t>
  </si>
  <si>
    <t>11:15:00</t>
  </si>
  <si>
    <t>12:02:38</t>
  </si>
  <si>
    <t>16:12:05</t>
  </si>
  <si>
    <t>15:55:40</t>
  </si>
  <si>
    <t>15:02:37</t>
  </si>
  <si>
    <t>11:27:18</t>
  </si>
  <si>
    <t>03:00:35</t>
  </si>
  <si>
    <t>23:09:59</t>
  </si>
  <si>
    <t>23:07:28</t>
  </si>
  <si>
    <t>23:12:24</t>
  </si>
  <si>
    <t>02:09:04</t>
  </si>
  <si>
    <t>19:19:04</t>
  </si>
  <si>
    <t>20:20:54</t>
  </si>
  <si>
    <t>22:16:50</t>
  </si>
  <si>
    <t>02:00:42</t>
  </si>
  <si>
    <t>10:58:16</t>
  </si>
  <si>
    <t>10:13:10</t>
  </si>
  <si>
    <t>21:42:46</t>
  </si>
  <si>
    <t>16:34:19</t>
  </si>
  <si>
    <t>08:55:39</t>
  </si>
  <si>
    <t>20:12:50</t>
  </si>
  <si>
    <t>19:30:59</t>
  </si>
  <si>
    <t>23:12:48</t>
  </si>
  <si>
    <t>20:49:42</t>
  </si>
  <si>
    <t>09:51:42</t>
  </si>
  <si>
    <t>14:58:03</t>
  </si>
  <si>
    <t>14:57:19</t>
  </si>
  <si>
    <t>14:55:56</t>
  </si>
  <si>
    <t>17:25:44</t>
  </si>
  <si>
    <t>18:29:57</t>
  </si>
  <si>
    <t>21:57:04</t>
  </si>
  <si>
    <t>20:35:21</t>
  </si>
  <si>
    <t>11:11:34</t>
  </si>
  <si>
    <t>21:22:07</t>
  </si>
  <si>
    <t>21:28:57</t>
  </si>
  <si>
    <t>18:47:10</t>
  </si>
  <si>
    <t>20:25:35</t>
  </si>
  <si>
    <t>22:01:42</t>
  </si>
  <si>
    <t>03:36:37</t>
  </si>
  <si>
    <t>20:11:55</t>
  </si>
  <si>
    <t>18:03:53</t>
  </si>
  <si>
    <t>21:57:20</t>
  </si>
  <si>
    <t>18:30:40</t>
  </si>
  <si>
    <t>20:56:34</t>
  </si>
  <si>
    <t>20:46:42</t>
  </si>
  <si>
    <t>19:14:37</t>
  </si>
  <si>
    <t>00:11:52</t>
  </si>
  <si>
    <t>04:51:39</t>
  </si>
  <si>
    <t>17:43:12</t>
  </si>
  <si>
    <t>12:11:08</t>
  </si>
  <si>
    <t>11:37:57</t>
  </si>
  <si>
    <t>14:04:15</t>
  </si>
  <si>
    <t>18:49:54</t>
  </si>
  <si>
    <t>16:06:54</t>
  </si>
  <si>
    <t>19:31:33</t>
  </si>
  <si>
    <t>01:35:08</t>
  </si>
  <si>
    <t>08:20:34</t>
  </si>
  <si>
    <t>13:10:00</t>
  </si>
  <si>
    <t>11:23:00</t>
  </si>
  <si>
    <t>13:05:38</t>
  </si>
  <si>
    <t>11:01:20</t>
  </si>
  <si>
    <t>01:24:09</t>
  </si>
  <si>
    <t>15:43:40</t>
  </si>
  <si>
    <t>00:22:53</t>
  </si>
  <si>
    <t>11:32:00</t>
  </si>
  <si>
    <t>13:52:25</t>
  </si>
  <si>
    <t>11:16:11</t>
  </si>
  <si>
    <t>18:28:00</t>
  </si>
  <si>
    <t>13:33:31</t>
  </si>
  <si>
    <t>10:55:00</t>
  </si>
  <si>
    <t>10:49:00</t>
  </si>
  <si>
    <t>09:57:00</t>
  </si>
  <si>
    <t>21:03:52</t>
  </si>
  <si>
    <t>23:17:15</t>
  </si>
  <si>
    <t>00:35:57</t>
  </si>
  <si>
    <t>21:10:10</t>
  </si>
  <si>
    <t>21:09:49</t>
  </si>
  <si>
    <t>19:34:23</t>
  </si>
  <si>
    <t>13:31:54</t>
  </si>
  <si>
    <t>12:13:47</t>
  </si>
  <si>
    <t>10:43:00</t>
  </si>
  <si>
    <t>09:40:00</t>
  </si>
  <si>
    <t>00:10:37</t>
  </si>
  <si>
    <t>23:51:12</t>
  </si>
  <si>
    <t>20:57:14</t>
  </si>
  <si>
    <t>15:31:15</t>
  </si>
  <si>
    <t>12:04:48</t>
  </si>
  <si>
    <t>21:50:25</t>
  </si>
  <si>
    <t>14:39:02</t>
  </si>
  <si>
    <t>14:04:00</t>
  </si>
  <si>
    <t>11:22:00</t>
  </si>
  <si>
    <t>15:03:00</t>
  </si>
  <si>
    <t>15:31:42</t>
  </si>
  <si>
    <t>12:51:00</t>
  </si>
  <si>
    <t>20:47:05</t>
  </si>
  <si>
    <t>18:44:11</t>
  </si>
  <si>
    <t>13:30:32</t>
  </si>
  <si>
    <t>12:00:43</t>
  </si>
  <si>
    <t>09:27:03</t>
  </si>
  <si>
    <t>11:54:25</t>
  </si>
  <si>
    <t>14:40:37</t>
  </si>
  <si>
    <t>10:10:02</t>
  </si>
  <si>
    <t>09:10:02</t>
  </si>
  <si>
    <t>08:10:02</t>
  </si>
  <si>
    <t>09:10:03</t>
  </si>
  <si>
    <t>14:10:03</t>
  </si>
  <si>
    <t>13:10:02</t>
  </si>
  <si>
    <t>16:10:02</t>
  </si>
  <si>
    <t>13:10:01</t>
  </si>
  <si>
    <t>11:10:02</t>
  </si>
  <si>
    <t>00:10:02</t>
  </si>
  <si>
    <t>01:10:01</t>
  </si>
  <si>
    <t>15:10:02</t>
  </si>
  <si>
    <t>14:10:02</t>
  </si>
  <si>
    <t>21:40:40</t>
  </si>
  <si>
    <t>21:34:55</t>
  </si>
  <si>
    <t>13:25:08</t>
  </si>
  <si>
    <t>13:00:59</t>
  </si>
  <si>
    <t>18:28:15</t>
  </si>
  <si>
    <t>17:47:09</t>
  </si>
  <si>
    <t>17:55:55</t>
  </si>
  <si>
    <t>18:24:47</t>
  </si>
  <si>
    <t>13:23:32</t>
  </si>
  <si>
    <t>22:38:37</t>
  </si>
  <si>
    <t>02:14:50</t>
  </si>
  <si>
    <t>08:20:04</t>
  </si>
  <si>
    <t>18:01:08</t>
  </si>
  <si>
    <t>01:05:26</t>
  </si>
  <si>
    <t>01:32:34</t>
  </si>
  <si>
    <t>21:57:53</t>
  </si>
  <si>
    <t>21:57:35</t>
  </si>
  <si>
    <t>21:57:15</t>
  </si>
  <si>
    <t>20:39:37</t>
  </si>
  <si>
    <t>20:49:54</t>
  </si>
  <si>
    <t>20:49:31</t>
  </si>
  <si>
    <t>18:40:41</t>
  </si>
  <si>
    <t>13:03:26</t>
  </si>
  <si>
    <t>15:00:23</t>
  </si>
  <si>
    <t>15:00:22</t>
  </si>
  <si>
    <t>15:00:21</t>
  </si>
  <si>
    <t>15:00:31</t>
  </si>
  <si>
    <t>15:00:24</t>
  </si>
  <si>
    <t>18:05:49</t>
  </si>
  <si>
    <t>23:37:59</t>
  </si>
  <si>
    <t>20:32:53</t>
  </si>
  <si>
    <t>13:44:37</t>
  </si>
  <si>
    <t>23:40:35</t>
  </si>
  <si>
    <t>22:04:21</t>
  </si>
  <si>
    <t>20:03:41</t>
  </si>
  <si>
    <t>22:01:35</t>
  </si>
  <si>
    <t>01:44:45</t>
  </si>
  <si>
    <t>11:40:43</t>
  </si>
  <si>
    <t>23:49:31</t>
  </si>
  <si>
    <t>13:30:37</t>
  </si>
  <si>
    <t>13:28:56</t>
  </si>
  <si>
    <t>12:45:33</t>
  </si>
  <si>
    <t>11:21:02</t>
  </si>
  <si>
    <t>11:20:36</t>
  </si>
  <si>
    <t>18:14:14</t>
  </si>
  <si>
    <t>18:13:43</t>
  </si>
  <si>
    <t>14:03:56</t>
  </si>
  <si>
    <t>17:41:00</t>
  </si>
  <si>
    <t>19:29:31</t>
  </si>
  <si>
    <t>19:18:48</t>
  </si>
  <si>
    <t>19:15:24</t>
  </si>
  <si>
    <t>19:14:23</t>
  </si>
  <si>
    <t>18:28:33</t>
  </si>
  <si>
    <t>16:49:04</t>
  </si>
  <si>
    <t>12:44:32</t>
  </si>
  <si>
    <t>11:16:19</t>
  </si>
  <si>
    <t>11:17:02</t>
  </si>
  <si>
    <t>11:14:58</t>
  </si>
  <si>
    <t>11:18:26</t>
  </si>
  <si>
    <t>11:17:41</t>
  </si>
  <si>
    <t>11:16:43</t>
  </si>
  <si>
    <t>11:14:04</t>
  </si>
  <si>
    <t>11:27:44</t>
  </si>
  <si>
    <t>17:32:35</t>
  </si>
  <si>
    <t>01:01:53</t>
  </si>
  <si>
    <t>13:50:43</t>
  </si>
  <si>
    <t>00:04:38</t>
  </si>
  <si>
    <t>07:01:04</t>
  </si>
  <si>
    <t>10:21:28</t>
  </si>
  <si>
    <t>17:45:48</t>
  </si>
  <si>
    <t>18:35:59</t>
  </si>
  <si>
    <t>13:22:34</t>
  </si>
  <si>
    <t>12:53:27</t>
  </si>
  <si>
    <t>14:14:25</t>
  </si>
  <si>
    <t>13:42:05</t>
  </si>
  <si>
    <t>12:28:18</t>
  </si>
  <si>
    <t>13:29:43</t>
  </si>
  <si>
    <t>12:39:40</t>
  </si>
  <si>
    <t>18:09:32</t>
  </si>
  <si>
    <t>09:19:53</t>
  </si>
  <si>
    <t>11:05:45</t>
  </si>
  <si>
    <t>13:28:00</t>
  </si>
  <si>
    <t>08:41:34</t>
  </si>
  <si>
    <t>13:24:26</t>
  </si>
  <si>
    <t>09:17:11</t>
  </si>
  <si>
    <t>10:57:00</t>
  </si>
  <si>
    <t>16:00:39</t>
  </si>
  <si>
    <t>00:32:51</t>
  </si>
  <si>
    <t>17:01:56</t>
  </si>
  <si>
    <t>22:21:48</t>
  </si>
  <si>
    <t>12:00:27</t>
  </si>
  <si>
    <t>01:20:18</t>
  </si>
  <si>
    <t>13:02:29</t>
  </si>
  <si>
    <t>01:18:47</t>
  </si>
  <si>
    <t>02:30:34</t>
  </si>
  <si>
    <t>23:00:01</t>
  </si>
  <si>
    <t>15:15:34</t>
  </si>
  <si>
    <t>19:05:30</t>
  </si>
  <si>
    <t>01:55:58</t>
  </si>
  <si>
    <t>20:52:46</t>
  </si>
  <si>
    <t>14:19:12</t>
  </si>
  <si>
    <t>13:44:42</t>
  </si>
  <si>
    <t>17:59:15</t>
  </si>
  <si>
    <t>15:07:27</t>
  </si>
  <si>
    <t>23:30:48</t>
  </si>
  <si>
    <t>19:21:50</t>
  </si>
  <si>
    <t>12:45:44</t>
  </si>
  <si>
    <t>17:38:43</t>
  </si>
  <si>
    <t>19:12:20</t>
  </si>
  <si>
    <t>20:23:06</t>
  </si>
  <si>
    <t>23:15:46</t>
  </si>
  <si>
    <t>23:09:12</t>
  </si>
  <si>
    <t>12:45:46</t>
  </si>
  <si>
    <t>12:45:02</t>
  </si>
  <si>
    <t>23:29:54</t>
  </si>
  <si>
    <t>22:00:04</t>
  </si>
  <si>
    <t>10:35:18</t>
  </si>
  <si>
    <t>13:56:59</t>
  </si>
  <si>
    <t>22:59:39</t>
  </si>
  <si>
    <t>12:43:10</t>
  </si>
  <si>
    <t>18:17:54</t>
  </si>
  <si>
    <t>22:12:51</t>
  </si>
  <si>
    <t>10:31:57</t>
  </si>
  <si>
    <t>23:14:42</t>
  </si>
  <si>
    <t>22:49:03</t>
  </si>
  <si>
    <t>13:36:00</t>
  </si>
  <si>
    <t>16:20:25</t>
  </si>
  <si>
    <t>20:26:58</t>
  </si>
  <si>
    <t>20:23:08</t>
  </si>
  <si>
    <t>17:32:43</t>
  </si>
  <si>
    <t>16:13:40</t>
  </si>
  <si>
    <t>15:10:11</t>
  </si>
  <si>
    <t>21:48:22</t>
  </si>
  <si>
    <t>20:21:20</t>
  </si>
  <si>
    <t>19:23:09</t>
  </si>
  <si>
    <t>21:55:00</t>
  </si>
  <si>
    <t>10:31:47</t>
  </si>
  <si>
    <t>05:50:36</t>
  </si>
  <si>
    <t>16:02:00</t>
  </si>
  <si>
    <t>20:16:09</t>
  </si>
  <si>
    <t>16:30:00</t>
  </si>
  <si>
    <t>02:30:00</t>
  </si>
  <si>
    <t>06:14:23</t>
  </si>
  <si>
    <t>07:04:21</t>
  </si>
  <si>
    <t>05:30:00</t>
  </si>
  <si>
    <t>07:25:40</t>
  </si>
  <si>
    <t>19:31:00</t>
  </si>
  <si>
    <t>07:56:38</t>
  </si>
  <si>
    <t>05:31:00</t>
  </si>
  <si>
    <t>07:30:54</t>
  </si>
  <si>
    <t>20:15:00</t>
  </si>
  <si>
    <t>01:15:00</t>
  </si>
  <si>
    <t>07:21:23</t>
  </si>
  <si>
    <t>19:00:00</t>
  </si>
  <si>
    <t>00:00:00</t>
  </si>
  <si>
    <t>06:35:27</t>
  </si>
  <si>
    <t>11:09:45</t>
  </si>
  <si>
    <t>13:39:48</t>
  </si>
  <si>
    <t>11:00:01</t>
  </si>
  <si>
    <t>05:30:02</t>
  </si>
  <si>
    <t>15:40:40</t>
  </si>
  <si>
    <t>22:50:57</t>
  </si>
  <si>
    <t>15:21:13</t>
  </si>
  <si>
    <t>12:26:09</t>
  </si>
  <si>
    <t>22:24:02</t>
  </si>
  <si>
    <t>08:58:36</t>
  </si>
  <si>
    <t>12:29:20</t>
  </si>
  <si>
    <t>12:59:00</t>
  </si>
  <si>
    <t>12:29:42</t>
  </si>
  <si>
    <t>12:45:03</t>
  </si>
  <si>
    <t>11:51:04</t>
  </si>
  <si>
    <t>11:00:46</t>
  </si>
  <si>
    <t>05:57:27</t>
  </si>
  <si>
    <t>17:45:20</t>
  </si>
  <si>
    <t>17:53:14</t>
  </si>
  <si>
    <t>17:43:19</t>
  </si>
  <si>
    <t>06:06:26</t>
  </si>
  <si>
    <t>05:53:52</t>
  </si>
  <si>
    <t>05:45:06</t>
  </si>
  <si>
    <t>05:37:14</t>
  </si>
  <si>
    <t>05:36:14</t>
  </si>
  <si>
    <t>17:56:56</t>
  </si>
  <si>
    <t>17:48:35</t>
  </si>
  <si>
    <t>06:34:17</t>
  </si>
  <si>
    <t>06:29:52</t>
  </si>
  <si>
    <t>05:30:07</t>
  </si>
  <si>
    <t>05:24:49</t>
  </si>
  <si>
    <t>10:31:48</t>
  </si>
  <si>
    <t>17:46:31</t>
  </si>
  <si>
    <t>17:37:54</t>
  </si>
  <si>
    <t>17:29:32</t>
  </si>
  <si>
    <t>17:58:38</t>
  </si>
  <si>
    <t>17:52:47</t>
  </si>
  <si>
    <t>17:52:46</t>
  </si>
  <si>
    <t>17:52:56</t>
  </si>
  <si>
    <t>16:56:54</t>
  </si>
  <si>
    <t>17:58:23</t>
  </si>
  <si>
    <t>17:49:47</t>
  </si>
  <si>
    <t>17:46:27</t>
  </si>
  <si>
    <t>05:38:41</t>
  </si>
  <si>
    <t>05:31:52</t>
  </si>
  <si>
    <t>18:16:28</t>
  </si>
  <si>
    <t>05:48:54</t>
  </si>
  <si>
    <t>05:42:47</t>
  </si>
  <si>
    <t>17:35:00</t>
  </si>
  <si>
    <t>05:24:43</t>
  </si>
  <si>
    <t>06:20:55</t>
  </si>
  <si>
    <t>06:12:15</t>
  </si>
  <si>
    <t>17:37:29</t>
  </si>
  <si>
    <t>05:58:53</t>
  </si>
  <si>
    <t>17:53:35</t>
  </si>
  <si>
    <t>05:51:10</t>
  </si>
  <si>
    <t>04:50:01</t>
  </si>
  <si>
    <t>17:46:35</t>
  </si>
  <si>
    <t>18:28:02</t>
  </si>
  <si>
    <t>04:34:43</t>
  </si>
  <si>
    <t>17:39:00</t>
  </si>
  <si>
    <t>17:50:26</t>
  </si>
  <si>
    <t>17:33:30</t>
  </si>
  <si>
    <t>06:12:27</t>
  </si>
  <si>
    <t>17:36:37</t>
  </si>
  <si>
    <t>17:36:36</t>
  </si>
  <si>
    <t>06:41:13</t>
  </si>
  <si>
    <t>06:31:09</t>
  </si>
  <si>
    <t>06:32:33</t>
  </si>
  <si>
    <t>06:27:18</t>
  </si>
  <si>
    <t>17:51:49</t>
  </si>
  <si>
    <t>17:40:35</t>
  </si>
  <si>
    <t>17:37:12</t>
  </si>
  <si>
    <t>17:37:11</t>
  </si>
  <si>
    <t>17:29:23</t>
  </si>
  <si>
    <t>17:30:45</t>
  </si>
  <si>
    <t>05:28:22</t>
  </si>
  <si>
    <t>06:21:53</t>
  </si>
  <si>
    <t>06:16:21</t>
  </si>
  <si>
    <t>17:17:12</t>
  </si>
  <si>
    <t>17:17:11</t>
  </si>
  <si>
    <t>04:58:09</t>
  </si>
  <si>
    <t>17:39:16</t>
  </si>
  <si>
    <t>18:09:34</t>
  </si>
  <si>
    <t>17:59:30</t>
  </si>
  <si>
    <t>06:21:50</t>
  </si>
  <si>
    <t>06:15:53</t>
  </si>
  <si>
    <t>11:29:13</t>
  </si>
  <si>
    <t>05:04:31</t>
  </si>
  <si>
    <t>05:52:55</t>
  </si>
  <si>
    <t>18:05:50</t>
  </si>
  <si>
    <t>05:16:28</t>
  </si>
  <si>
    <t>05:24:24</t>
  </si>
  <si>
    <t>05:13:57</t>
  </si>
  <si>
    <t>17:59:00</t>
  </si>
  <si>
    <t>17:47:18</t>
  </si>
  <si>
    <t>06:22:36</t>
  </si>
  <si>
    <t>11:12:17</t>
  </si>
  <si>
    <t>17:50:46</t>
  </si>
  <si>
    <t>17:50:45</t>
  </si>
  <si>
    <t>17:43:31</t>
  </si>
  <si>
    <t>17:37:55</t>
  </si>
  <si>
    <t>17:42:24</t>
  </si>
  <si>
    <t>05:25:14</t>
  </si>
  <si>
    <t>06:04:18</t>
  </si>
  <si>
    <t>10:25:31</t>
  </si>
  <si>
    <t>18:07:31</t>
  </si>
  <si>
    <t>05:47:22</t>
  </si>
  <si>
    <t>06:06:39</t>
  </si>
  <si>
    <t>11:26:08</t>
  </si>
  <si>
    <t>05:59:59</t>
  </si>
  <si>
    <t>11:26:03</t>
  </si>
  <si>
    <t>17:57:59</t>
  </si>
  <si>
    <t>05:51:35</t>
  </si>
  <si>
    <t>05:51:32</t>
  </si>
  <si>
    <t>17:50:16</t>
  </si>
  <si>
    <t>05:51:28</t>
  </si>
  <si>
    <t>05:51:24</t>
  </si>
  <si>
    <t>17:58:12</t>
  </si>
  <si>
    <t>06:20:02</t>
  </si>
  <si>
    <t>06:16:13</t>
  </si>
  <si>
    <t>16:25:40</t>
  </si>
  <si>
    <t>06:28:31</t>
  </si>
  <si>
    <t>11:39:44</t>
  </si>
  <si>
    <t>06:07:07</t>
  </si>
  <si>
    <t>06:10:36</t>
  </si>
  <si>
    <t>17:32:30</t>
  </si>
  <si>
    <t>17:28:09</t>
  </si>
  <si>
    <t>05:58:20</t>
  </si>
  <si>
    <t>04:28:52</t>
  </si>
  <si>
    <t>04:24:04</t>
  </si>
  <si>
    <t>17:33:45</t>
  </si>
  <si>
    <t>05:38:23</t>
  </si>
  <si>
    <t>05:53:15</t>
  </si>
  <si>
    <t>06:18:57</t>
  </si>
  <si>
    <t>17:47:17</t>
  </si>
  <si>
    <t>17:23:35</t>
  </si>
  <si>
    <t>17:36:58</t>
  </si>
  <si>
    <t>11:06:30</t>
  </si>
  <si>
    <t>11:03:48</t>
  </si>
  <si>
    <t>17:51:26</t>
  </si>
  <si>
    <t>05:38:20</t>
  </si>
  <si>
    <t>05:31:56</t>
  </si>
  <si>
    <t>17:48:26</t>
  </si>
  <si>
    <t>05:53:23</t>
  </si>
  <si>
    <t>17:36:57</t>
  </si>
  <si>
    <t>05:53:18</t>
  </si>
  <si>
    <t>17:45:53</t>
  </si>
  <si>
    <t>06:06:06</t>
  </si>
  <si>
    <t>11:17:37</t>
  </si>
  <si>
    <t>16:08:33</t>
  </si>
  <si>
    <t>05:52:29</t>
  </si>
  <si>
    <t>06:48:13</t>
  </si>
  <si>
    <t>06:44:20</t>
  </si>
  <si>
    <t>06:12:54</t>
  </si>
  <si>
    <t>17:46:14</t>
  </si>
  <si>
    <t>11:16:10</t>
  </si>
  <si>
    <t>06:13:23</t>
  </si>
  <si>
    <t>11:09:34</t>
  </si>
  <si>
    <t>18:13:38</t>
  </si>
  <si>
    <t>06:10:48</t>
  </si>
  <si>
    <t>06:10:44</t>
  </si>
  <si>
    <t>06:10:40</t>
  </si>
  <si>
    <t>17:50:21</t>
  </si>
  <si>
    <t>17:36:54</t>
  </si>
  <si>
    <t>17:35:35</t>
  </si>
  <si>
    <t>05:59:09</t>
  </si>
  <si>
    <t>22:08:36</t>
  </si>
  <si>
    <t>22:28:03</t>
  </si>
  <si>
    <t>10:42:03</t>
  </si>
  <si>
    <t>21:17:58</t>
  </si>
  <si>
    <t>20:34:27</t>
  </si>
  <si>
    <t>14:35:08</t>
  </si>
  <si>
    <t>18:29:18</t>
  </si>
  <si>
    <t>19:11:03</t>
  </si>
  <si>
    <t>21:48:28</t>
  </si>
  <si>
    <t>13:06:39</t>
  </si>
  <si>
    <t>18:33:23</t>
  </si>
  <si>
    <t>19:23:45</t>
  </si>
  <si>
    <t>04:18:06</t>
  </si>
  <si>
    <t>02:58:24</t>
  </si>
  <si>
    <t>04:43:45</t>
  </si>
  <si>
    <t>08:05:55</t>
  </si>
  <si>
    <t>12:14:42</t>
  </si>
  <si>
    <t>10:00:40</t>
  </si>
  <si>
    <t>08:24:15</t>
  </si>
  <si>
    <t>08:53:33</t>
  </si>
  <si>
    <t>20:00:34</t>
  </si>
  <si>
    <t>14:03:03</t>
  </si>
  <si>
    <t>14:58:12</t>
  </si>
  <si>
    <t>13:05:30</t>
  </si>
  <si>
    <t>11:11:54</t>
  </si>
  <si>
    <t>09:00:24</t>
  </si>
  <si>
    <t>13:31:36</t>
  </si>
  <si>
    <t>12:20:59</t>
  </si>
  <si>
    <t>13:05:01</t>
  </si>
  <si>
    <t>09:17:02</t>
  </si>
  <si>
    <t>14:02:24</t>
  </si>
  <si>
    <t>10:13:58</t>
  </si>
  <si>
    <t>13:24:35</t>
  </si>
  <si>
    <t>10:55:43</t>
  </si>
  <si>
    <t>15:55:18</t>
  </si>
  <si>
    <t>15:04:19</t>
  </si>
  <si>
    <t>09:13:01</t>
  </si>
  <si>
    <t>16:05:45</t>
  </si>
  <si>
    <t>12:06:53</t>
  </si>
  <si>
    <t>09:18:51</t>
  </si>
  <si>
    <t>13:34:41</t>
  </si>
  <si>
    <t>13:10:28</t>
  </si>
  <si>
    <t>09:20:06</t>
  </si>
  <si>
    <t>14:24:46</t>
  </si>
  <si>
    <t>11:21:58</t>
  </si>
  <si>
    <t>08:14:47</t>
  </si>
  <si>
    <t>08:05:37</t>
  </si>
  <si>
    <t>08:19:37</t>
  </si>
  <si>
    <t>08:12:32</t>
  </si>
  <si>
    <t>08:12:40</t>
  </si>
  <si>
    <t>08:08:06</t>
  </si>
  <si>
    <t>08:11:23</t>
  </si>
  <si>
    <t>12:07:55</t>
  </si>
  <si>
    <t>08:43:31</t>
  </si>
  <si>
    <t>16:11:30</t>
  </si>
  <si>
    <t>08:17:03</t>
  </si>
  <si>
    <t>12:18:35</t>
  </si>
  <si>
    <t>14:25:35</t>
  </si>
  <si>
    <t>10:04:50</t>
  </si>
  <si>
    <t>10:24:56</t>
  </si>
  <si>
    <t>08:48:54</t>
  </si>
  <si>
    <t>11:19:03</t>
  </si>
  <si>
    <t>10:45:45</t>
  </si>
  <si>
    <t>14:52:58</t>
  </si>
  <si>
    <t>17:36:53</t>
  </si>
  <si>
    <t>11:09:25</t>
  </si>
  <si>
    <t>16:52:11</t>
  </si>
  <si>
    <t>11:05:14</t>
  </si>
  <si>
    <t>09:14:53</t>
  </si>
  <si>
    <t>15:38:20</t>
  </si>
  <si>
    <t>09:27:57</t>
  </si>
  <si>
    <t>18:41:36</t>
  </si>
  <si>
    <t>16:56:29</t>
  </si>
  <si>
    <t>12:08:24</t>
  </si>
  <si>
    <t>11:07:57</t>
  </si>
  <si>
    <t>16:25:28</t>
  </si>
  <si>
    <t>14:45:22</t>
  </si>
  <si>
    <t>10:06:34</t>
  </si>
  <si>
    <t>16:07:29</t>
  </si>
  <si>
    <t>15:58:14</t>
  </si>
  <si>
    <t>13:17:12</t>
  </si>
  <si>
    <t>12:11:49</t>
  </si>
  <si>
    <t>15:22:16</t>
  </si>
  <si>
    <t>10:48:41</t>
  </si>
  <si>
    <t>08:47:50</t>
  </si>
  <si>
    <t>11:38:28</t>
  </si>
  <si>
    <t>10:07:01</t>
  </si>
  <si>
    <t>16:58:58</t>
  </si>
  <si>
    <t>08:40:18</t>
  </si>
  <si>
    <t>14:27:16</t>
  </si>
  <si>
    <t>13:29:42</t>
  </si>
  <si>
    <t>08:10:48</t>
  </si>
  <si>
    <t>09:13:10</t>
  </si>
  <si>
    <t>09:07:50</t>
  </si>
  <si>
    <t>18:27:32</t>
  </si>
  <si>
    <t>13:51:44</t>
  </si>
  <si>
    <t>00:21:28</t>
  </si>
  <si>
    <t>21:56:46</t>
  </si>
  <si>
    <t>14:53:43</t>
  </si>
  <si>
    <t>12:56:03</t>
  </si>
  <si>
    <t>12:46:57</t>
  </si>
  <si>
    <t>12:32:50</t>
  </si>
  <si>
    <t>01:50:59</t>
  </si>
  <si>
    <t>11:22:10</t>
  </si>
  <si>
    <t>21:21:38</t>
  </si>
  <si>
    <t>11:00:00</t>
  </si>
  <si>
    <t>11:58:37</t>
  </si>
  <si>
    <t>22:15:00</t>
  </si>
  <si>
    <t>22:00:00</t>
  </si>
  <si>
    <t>21:45:00</t>
  </si>
  <si>
    <t>19:45:00</t>
  </si>
  <si>
    <t>19:00:02</t>
  </si>
  <si>
    <t>18:45:00</t>
  </si>
  <si>
    <t>18:15:00</t>
  </si>
  <si>
    <t>16:00:02</t>
  </si>
  <si>
    <t>15:23:51</t>
  </si>
  <si>
    <t>14:53:04</t>
  </si>
  <si>
    <t>21:39:00</t>
  </si>
  <si>
    <t>21:37:28</t>
  </si>
  <si>
    <t>15:41:07</t>
  </si>
  <si>
    <t>14:35:00</t>
  </si>
  <si>
    <t>10:26:35</t>
  </si>
  <si>
    <t>02:00:24</t>
  </si>
  <si>
    <t>01:40:03</t>
  </si>
  <si>
    <t>01:00:29</t>
  </si>
  <si>
    <t>00:40:00</t>
  </si>
  <si>
    <t>22:45:00</t>
  </si>
  <si>
    <t>20:45:00</t>
  </si>
  <si>
    <t>17:25:10</t>
  </si>
  <si>
    <t>21:54:38</t>
  </si>
  <si>
    <t>01:45:00</t>
  </si>
  <si>
    <t>01:30:00</t>
  </si>
  <si>
    <t>01:00:01</t>
  </si>
  <si>
    <t>00:45:00</t>
  </si>
  <si>
    <t>15:45:00</t>
  </si>
  <si>
    <t>15:15:00</t>
  </si>
  <si>
    <t>21:46:07</t>
  </si>
  <si>
    <t>21:15:33</t>
  </si>
  <si>
    <t>21:14:41</t>
  </si>
  <si>
    <t>20:00:46</t>
  </si>
  <si>
    <t>19:40:09</t>
  </si>
  <si>
    <t>19:20:11</t>
  </si>
  <si>
    <t>18:00:53</t>
  </si>
  <si>
    <t>17:40:22</t>
  </si>
  <si>
    <t>17:35:14</t>
  </si>
  <si>
    <t>19:20:07</t>
  </si>
  <si>
    <t>17:40:06</t>
  </si>
  <si>
    <t>16:32:05</t>
  </si>
  <si>
    <t>16:00:44</t>
  </si>
  <si>
    <t>15:30:40</t>
  </si>
  <si>
    <t>17:41:10</t>
  </si>
  <si>
    <t>23:45:00</t>
  </si>
  <si>
    <t>23:15:00</t>
  </si>
  <si>
    <t>21:27:27</t>
  </si>
  <si>
    <t>21:26:47</t>
  </si>
  <si>
    <t>10:09:27</t>
  </si>
  <si>
    <t>18:00:01</t>
  </si>
  <si>
    <t>17:45:00</t>
  </si>
  <si>
    <t>17:15:35</t>
  </si>
  <si>
    <t>16:15:00</t>
  </si>
  <si>
    <t>01:00:19</t>
  </si>
  <si>
    <t>00:40:02</t>
  </si>
  <si>
    <t>21:52:39</t>
  </si>
  <si>
    <t>11:48:25</t>
  </si>
  <si>
    <t>11:41:48</t>
  </si>
  <si>
    <t>18:41:11</t>
  </si>
  <si>
    <t>21:07:19</t>
  </si>
  <si>
    <t>21:04:29</t>
  </si>
  <si>
    <t>02:00:01</t>
  </si>
  <si>
    <t>02:00:00</t>
  </si>
  <si>
    <t>16:00:01</t>
  </si>
  <si>
    <t>21:10:50</t>
  </si>
  <si>
    <t>21:09:19</t>
  </si>
  <si>
    <t>21:06:27</t>
  </si>
  <si>
    <t>21:04:51</t>
  </si>
  <si>
    <t>20:50:20</t>
  </si>
  <si>
    <t>20:20:11</t>
  </si>
  <si>
    <t>19:40:10</t>
  </si>
  <si>
    <t>21:00:00</t>
  </si>
  <si>
    <t>21:20:15</t>
  </si>
  <si>
    <t>17:21:56</t>
  </si>
  <si>
    <t>17:03:27</t>
  </si>
  <si>
    <t>11:29:48</t>
  </si>
  <si>
    <t>10:33:12</t>
  </si>
  <si>
    <t>22:52:20</t>
  </si>
  <si>
    <t>21:12:58</t>
  </si>
  <si>
    <t>21:11:44</t>
  </si>
  <si>
    <t>21:07:50</t>
  </si>
  <si>
    <t>21:01:03</t>
  </si>
  <si>
    <t>17:49:56</t>
  </si>
  <si>
    <t>16:45:00</t>
  </si>
  <si>
    <t>15:29:34</t>
  </si>
  <si>
    <t>10:25:46</t>
  </si>
  <si>
    <t>20:01:24</t>
  </si>
  <si>
    <t>20:01:02</t>
  </si>
  <si>
    <t>16:00:40</t>
  </si>
  <si>
    <t>02:40:00</t>
  </si>
  <si>
    <t>02:20:00</t>
  </si>
  <si>
    <t>02:00:17</t>
  </si>
  <si>
    <t>01:40:10</t>
  </si>
  <si>
    <t>01:20:02</t>
  </si>
  <si>
    <t>01:00:23</t>
  </si>
  <si>
    <t>11:02:17</t>
  </si>
  <si>
    <t>21:59:56</t>
  </si>
  <si>
    <t>21:53:23</t>
  </si>
  <si>
    <t>22:31:09</t>
  </si>
  <si>
    <t>18:01:24</t>
  </si>
  <si>
    <t>18:00:02</t>
  </si>
  <si>
    <t>15:07:25</t>
  </si>
  <si>
    <t>14:44:40</t>
  </si>
  <si>
    <t>21:06:30</t>
  </si>
  <si>
    <t>21:03:30</t>
  </si>
  <si>
    <t>20:40:12</t>
  </si>
  <si>
    <t>20:01:00</t>
  </si>
  <si>
    <t>19:20:48</t>
  </si>
  <si>
    <t>18:40:07</t>
  </si>
  <si>
    <t>18:20:08</t>
  </si>
  <si>
    <t>18:00:43</t>
  </si>
  <si>
    <t>00:20:01</t>
  </si>
  <si>
    <t>00:00:38</t>
  </si>
  <si>
    <t>22:20:22</t>
  </si>
  <si>
    <t>21:42:32</t>
  </si>
  <si>
    <t>21:29:29</t>
  </si>
  <si>
    <t>21:28:20</t>
  </si>
  <si>
    <t>21:21:23</t>
  </si>
  <si>
    <t>12:24:38</t>
  </si>
  <si>
    <t>17:33:09</t>
  </si>
  <si>
    <t>17:26:41</t>
  </si>
  <si>
    <t>17:00:00</t>
  </si>
  <si>
    <t>16:50:24</t>
  </si>
  <si>
    <t>16:49:06</t>
  </si>
  <si>
    <t>00:20:03</t>
  </si>
  <si>
    <t>00:00:50</t>
  </si>
  <si>
    <t>23:20:08</t>
  </si>
  <si>
    <t>23:00:38</t>
  </si>
  <si>
    <t>22:20:13</t>
  </si>
  <si>
    <t>22:00:41</t>
  </si>
  <si>
    <t>21:40:09</t>
  </si>
  <si>
    <t>21:21:18</t>
  </si>
  <si>
    <t>21:20:12</t>
  </si>
  <si>
    <t>21:18:01</t>
  </si>
  <si>
    <t>21:15:41</t>
  </si>
  <si>
    <t>21:12:12</t>
  </si>
  <si>
    <t>21:10:25</t>
  </si>
  <si>
    <t>20:40:16</t>
  </si>
  <si>
    <t>20:21:13</t>
  </si>
  <si>
    <t>20:00:55</t>
  </si>
  <si>
    <t>19:20:15</t>
  </si>
  <si>
    <t>19:00:45</t>
  </si>
  <si>
    <t>11:48:11</t>
  </si>
  <si>
    <t>21:56:59</t>
  </si>
  <si>
    <t>21:49:28</t>
  </si>
  <si>
    <t>19:44:35</t>
  </si>
  <si>
    <t>21:06:10</t>
  </si>
  <si>
    <t>20:04:49</t>
  </si>
  <si>
    <t>22:43:06</t>
  </si>
  <si>
    <t>23:00:02</t>
  </si>
  <si>
    <t>21:15:14</t>
  </si>
  <si>
    <t>21:14:42</t>
  </si>
  <si>
    <t>17:48:25</t>
  </si>
  <si>
    <t>17:20:08</t>
  </si>
  <si>
    <t>16:20:05</t>
  </si>
  <si>
    <t>16:00:37</t>
  </si>
  <si>
    <t>13:42:24</t>
  </si>
  <si>
    <t>12:46:08</t>
  </si>
  <si>
    <t>21:51:35</t>
  </si>
  <si>
    <t>20:18:23</t>
  </si>
  <si>
    <t>20:20:14</t>
  </si>
  <si>
    <t>20:00:50</t>
  </si>
  <si>
    <t>18:00:52</t>
  </si>
  <si>
    <t>17:20:30</t>
  </si>
  <si>
    <t>16:00:41</t>
  </si>
  <si>
    <t>21:31:14</t>
  </si>
  <si>
    <t>22:03:08</t>
  </si>
  <si>
    <t>22:02:02</t>
  </si>
  <si>
    <t>21:23:25</t>
  </si>
  <si>
    <t>10:46:59</t>
  </si>
  <si>
    <t>17:19:35</t>
  </si>
  <si>
    <t>18:05:23</t>
  </si>
  <si>
    <t>17:59:51</t>
  </si>
  <si>
    <t>18:52:32</t>
  </si>
  <si>
    <t>18:17:29</t>
  </si>
  <si>
    <t>21:17:21</t>
  </si>
  <si>
    <t>21:16:23</t>
  </si>
  <si>
    <t>21:24:48</t>
  </si>
  <si>
    <t>21:24:04</t>
  </si>
  <si>
    <t>15:00:01</t>
  </si>
  <si>
    <t>10:00:01</t>
  </si>
  <si>
    <t>11:17:06</t>
  </si>
  <si>
    <t>01:00:44</t>
  </si>
  <si>
    <t>00:01:15</t>
  </si>
  <si>
    <t>23:40:07</t>
  </si>
  <si>
    <t>23:20:09</t>
  </si>
  <si>
    <t>23:00:36</t>
  </si>
  <si>
    <t>22:40:02</t>
  </si>
  <si>
    <t>22:20:09</t>
  </si>
  <si>
    <t>22:07:50</t>
  </si>
  <si>
    <t>22:00:44</t>
  </si>
  <si>
    <t>21:40:05</t>
  </si>
  <si>
    <t>21:03:13</t>
  </si>
  <si>
    <t>21:00:48</t>
  </si>
  <si>
    <t>21:14:49</t>
  </si>
  <si>
    <t>11:31:02</t>
  </si>
  <si>
    <t>11:27:12</t>
  </si>
  <si>
    <t>11:30:41</t>
  </si>
  <si>
    <t>11:16:39</t>
  </si>
  <si>
    <t>11:00:02</t>
  </si>
  <si>
    <t>11:02:05</t>
  </si>
  <si>
    <t>10:34:51</t>
  </si>
  <si>
    <t>22:10:14</t>
  </si>
  <si>
    <t>21:13:52</t>
  </si>
  <si>
    <t>20:16:10</t>
  </si>
  <si>
    <t>20:02:49</t>
  </si>
  <si>
    <t>19:47:16</t>
  </si>
  <si>
    <t>17:28:06</t>
  </si>
  <si>
    <t>20:35:23</t>
  </si>
  <si>
    <t>17:21:31</t>
  </si>
  <si>
    <t>17:23:13</t>
  </si>
  <si>
    <t>11:32:57</t>
  </si>
  <si>
    <t>11:58:54</t>
  </si>
  <si>
    <t>17:58:53</t>
  </si>
  <si>
    <t>17:51:58</t>
  </si>
  <si>
    <t>16:45:42</t>
  </si>
  <si>
    <t>15:30:32</t>
  </si>
  <si>
    <t>15:00:47</t>
  </si>
  <si>
    <t>21:10:30</t>
  </si>
  <si>
    <t>21:47:29</t>
  </si>
  <si>
    <t>21:24:06</t>
  </si>
  <si>
    <t>21:06:08</t>
  </si>
  <si>
    <t>17:46:42</t>
  </si>
  <si>
    <t>11:26:27</t>
  </si>
  <si>
    <t>10:21:42</t>
  </si>
  <si>
    <t>18:57:52</t>
  </si>
  <si>
    <t>18:42:24</t>
  </si>
  <si>
    <t>21:54:15</t>
  </si>
  <si>
    <t>13:35:09</t>
  </si>
  <si>
    <t>11:40:00</t>
  </si>
  <si>
    <t>03:00:01</t>
  </si>
  <si>
    <t>02:45:00</t>
  </si>
  <si>
    <t>02:15:00</t>
  </si>
  <si>
    <t>11:24:07</t>
  </si>
  <si>
    <t>21:18:58</t>
  </si>
  <si>
    <t>21:16:35</t>
  </si>
  <si>
    <t>21:21:40</t>
  </si>
  <si>
    <t>21:20:18</t>
  </si>
  <si>
    <t>13:38:24</t>
  </si>
  <si>
    <t>17:39:43</t>
  </si>
  <si>
    <t>21:48:57</t>
  </si>
  <si>
    <t>21:26:28</t>
  </si>
  <si>
    <t>21:25:44</t>
  </si>
  <si>
    <t>23:40:00</t>
  </si>
  <si>
    <t>22:32:28</t>
  </si>
  <si>
    <t>22:29:05</t>
  </si>
  <si>
    <t>22:25:30</t>
  </si>
  <si>
    <t>22:21:29</t>
  </si>
  <si>
    <t>22:16:35</t>
  </si>
  <si>
    <t>22:11:53</t>
  </si>
  <si>
    <t>21:58:56</t>
  </si>
  <si>
    <t>21:56:02</t>
  </si>
  <si>
    <t>21:54:10</t>
  </si>
  <si>
    <t>18:12:56</t>
  </si>
  <si>
    <t>21:20:19</t>
  </si>
  <si>
    <t>21:13:32</t>
  </si>
  <si>
    <t>21:10:53</t>
  </si>
  <si>
    <t>17:35:40</t>
  </si>
  <si>
    <t>17:47:54</t>
  </si>
  <si>
    <t>17:32:53</t>
  </si>
  <si>
    <t>18:00:40</t>
  </si>
  <si>
    <t>17:20:10</t>
  </si>
  <si>
    <t>15:20:30</t>
  </si>
  <si>
    <t>15:17:37</t>
  </si>
  <si>
    <t>15:17:04</t>
  </si>
  <si>
    <t>15:16:43</t>
  </si>
  <si>
    <t>15:16:32</t>
  </si>
  <si>
    <t>15:13:02</t>
  </si>
  <si>
    <t>14:59:48</t>
  </si>
  <si>
    <t>14:58:59</t>
  </si>
  <si>
    <t>14:57:55</t>
  </si>
  <si>
    <t>14:50:07</t>
  </si>
  <si>
    <t>14:43:27</t>
  </si>
  <si>
    <t>14:36:35</t>
  </si>
  <si>
    <t>14:32:49</t>
  </si>
  <si>
    <t>23:02:15</t>
  </si>
  <si>
    <t>21:15:09</t>
  </si>
  <si>
    <t>21:13:43</t>
  </si>
  <si>
    <t>18:03:43</t>
  </si>
  <si>
    <t>18:02:22</t>
  </si>
  <si>
    <t>22:46:41</t>
  </si>
  <si>
    <t>22:04:28</t>
  </si>
  <si>
    <t>21:23:55</t>
  </si>
  <si>
    <t>21:22:40</t>
  </si>
  <si>
    <t>20:00:59</t>
  </si>
  <si>
    <t>22:06:39</t>
  </si>
  <si>
    <t>21:16:47</t>
  </si>
  <si>
    <t>21:15:38</t>
  </si>
  <si>
    <t>21:07:01</t>
  </si>
  <si>
    <t>21:05:46</t>
  </si>
  <si>
    <t>21:35:09</t>
  </si>
  <si>
    <t>21:32:18</t>
  </si>
  <si>
    <t>21:31:09</t>
  </si>
  <si>
    <t>20:00:07</t>
  </si>
  <si>
    <t>22:00:03</t>
  </si>
  <si>
    <t>18:25:22</t>
  </si>
  <si>
    <t>18:13:27</t>
  </si>
  <si>
    <t>11:34:02</t>
  </si>
  <si>
    <t>11:12:13</t>
  </si>
  <si>
    <t>21:38:25</t>
  </si>
  <si>
    <t>18:50:06</t>
  </si>
  <si>
    <t>18:14:33</t>
  </si>
  <si>
    <t>18:05:51</t>
  </si>
  <si>
    <t>18:03:40</t>
  </si>
  <si>
    <t>16:57:48</t>
  </si>
  <si>
    <t>12:06:10</t>
  </si>
  <si>
    <t>11:45:12</t>
  </si>
  <si>
    <t>10:28:47</t>
  </si>
  <si>
    <t>21:51:53</t>
  </si>
  <si>
    <t>21:21:25</t>
  </si>
  <si>
    <t>21:17:15</t>
  </si>
  <si>
    <t>00:20:04</t>
  </si>
  <si>
    <t>00:00:48</t>
  </si>
  <si>
    <t>23:40:04</t>
  </si>
  <si>
    <t>23:00:37</t>
  </si>
  <si>
    <t>22:00:49</t>
  </si>
  <si>
    <t>21:40:13</t>
  </si>
  <si>
    <t>21:21:53</t>
  </si>
  <si>
    <t>21:18:03</t>
  </si>
  <si>
    <t>21:08:27</t>
  </si>
  <si>
    <t>21:08:25</t>
  </si>
  <si>
    <t>21:00:53</t>
  </si>
  <si>
    <t>20:40:14</t>
  </si>
  <si>
    <t>20:20:28</t>
  </si>
  <si>
    <t>19:40:14</t>
  </si>
  <si>
    <t>19:00:53</t>
  </si>
  <si>
    <t>18:40:05</t>
  </si>
  <si>
    <t>11:20:14</t>
  </si>
  <si>
    <t>22:01:02</t>
  </si>
  <si>
    <t>11:33:49</t>
  </si>
  <si>
    <t>20:05:09</t>
  </si>
  <si>
    <t>18:09:16</t>
  </si>
  <si>
    <t>21:59:29</t>
  </si>
  <si>
    <t>21:58:07</t>
  </si>
  <si>
    <t>21:56:37</t>
  </si>
  <si>
    <t>21:04:06</t>
  </si>
  <si>
    <t>21:03:14</t>
  </si>
  <si>
    <t>17:23:56</t>
  </si>
  <si>
    <t>03:00:51</t>
  </si>
  <si>
    <t>01:40:00</t>
  </si>
  <si>
    <t>21:13:30</t>
  </si>
  <si>
    <t>21:10:52</t>
  </si>
  <si>
    <t>21:08:47</t>
  </si>
  <si>
    <t>20:40:00</t>
  </si>
  <si>
    <t>11:14:23</t>
  </si>
  <si>
    <t>22:07:07</t>
  </si>
  <si>
    <t>21:49:11</t>
  </si>
  <si>
    <t>21:48:17</t>
  </si>
  <si>
    <t>21:46:03</t>
  </si>
  <si>
    <t>21:36:50</t>
  </si>
  <si>
    <t>21:35:58</t>
  </si>
  <si>
    <t>21:35:05</t>
  </si>
  <si>
    <t>21:22:19</t>
  </si>
  <si>
    <t>21:21:33</t>
  </si>
  <si>
    <t>21:20:38</t>
  </si>
  <si>
    <t>12:05:00</t>
  </si>
  <si>
    <t>10:28:00</t>
  </si>
  <si>
    <t>10:18:04</t>
  </si>
  <si>
    <t>22:14:32</t>
  </si>
  <si>
    <t>10:41:30</t>
  </si>
  <si>
    <t>20:00:52</t>
  </si>
  <si>
    <t>19:40:13</t>
  </si>
  <si>
    <t>19:20:17</t>
  </si>
  <si>
    <t>18:20:13</t>
  </si>
  <si>
    <t>18:00:45</t>
  </si>
  <si>
    <t>17:44:34</t>
  </si>
  <si>
    <t>17:40:10</t>
  </si>
  <si>
    <t>17:15:30</t>
  </si>
  <si>
    <t>16:30:27</t>
  </si>
  <si>
    <t>21:43:33</t>
  </si>
  <si>
    <t>17:35:34</t>
  </si>
  <si>
    <t>11:39:59</t>
  </si>
  <si>
    <t>11:04:15</t>
  </si>
  <si>
    <t>10:49:06</t>
  </si>
  <si>
    <t>17:21:52</t>
  </si>
  <si>
    <t>18:59:58</t>
  </si>
  <si>
    <t>11:59:44</t>
  </si>
  <si>
    <t>10:35:50</t>
  </si>
  <si>
    <t>21:57:55</t>
  </si>
  <si>
    <t>21:22:55</t>
  </si>
  <si>
    <t>21:22:24</t>
  </si>
  <si>
    <t>17:15:41</t>
  </si>
  <si>
    <t>17:00:37</t>
  </si>
  <si>
    <t>16:30:26</t>
  </si>
  <si>
    <t>13:15:22</t>
  </si>
  <si>
    <t>21:20:03</t>
  </si>
  <si>
    <t>19:55:58</t>
  </si>
  <si>
    <t>11:46:03</t>
  </si>
  <si>
    <t>21:23:08</t>
  </si>
  <si>
    <t>11:45:00</t>
  </si>
  <si>
    <t>11:41:19</t>
  </si>
  <si>
    <t>11:27:36</t>
  </si>
  <si>
    <t>11:16:00</t>
  </si>
  <si>
    <t>20:02:39</t>
  </si>
  <si>
    <t>12:53:06</t>
  </si>
  <si>
    <t>11:35:17</t>
  </si>
  <si>
    <t>20:31:40</t>
  </si>
  <si>
    <t>20:20:03</t>
  </si>
  <si>
    <t>19:51:15</t>
  </si>
  <si>
    <t>18:34:49</t>
  </si>
  <si>
    <t>17:36:48</t>
  </si>
  <si>
    <t>11:32:25</t>
  </si>
  <si>
    <t>11:01:48</t>
  </si>
  <si>
    <t>10:19:16</t>
  </si>
  <si>
    <t>11:30:25</t>
  </si>
  <si>
    <t>22:28:23</t>
  </si>
  <si>
    <t>22:26:01</t>
  </si>
  <si>
    <t>22:18:27</t>
  </si>
  <si>
    <t>21:27:14</t>
  </si>
  <si>
    <t>21:13:57</t>
  </si>
  <si>
    <t>21:13:12</t>
  </si>
  <si>
    <t>18:07:47</t>
  </si>
  <si>
    <t>18:00:44</t>
  </si>
  <si>
    <t>15:55:45</t>
  </si>
  <si>
    <t>15:45:57</t>
  </si>
  <si>
    <t>15:13:54</t>
  </si>
  <si>
    <t>03:40:00</t>
  </si>
  <si>
    <t>03:20:02</t>
  </si>
  <si>
    <t>03:00:17</t>
  </si>
  <si>
    <t>02:00:11</t>
  </si>
  <si>
    <t>01:00:38</t>
  </si>
  <si>
    <t>00:40:01</t>
  </si>
  <si>
    <t>00:00:37</t>
  </si>
  <si>
    <t>23:20:06</t>
  </si>
  <si>
    <t>23:00:43</t>
  </si>
  <si>
    <t>22:40:04</t>
  </si>
  <si>
    <t>22:20:10</t>
  </si>
  <si>
    <t>22:00:47</t>
  </si>
  <si>
    <t>21:40:08</t>
  </si>
  <si>
    <t>21:20:16</t>
  </si>
  <si>
    <t>21:09:53</t>
  </si>
  <si>
    <t>21:31:59</t>
  </si>
  <si>
    <t>21:30:34</t>
  </si>
  <si>
    <t>17:51:46</t>
  </si>
  <si>
    <t>18:04:06</t>
  </si>
  <si>
    <t>22:46:59</t>
  </si>
  <si>
    <t>22:17:16</t>
  </si>
  <si>
    <t>17:17:38</t>
  </si>
  <si>
    <t>11:36:17</t>
  </si>
  <si>
    <t>10:32:53</t>
  </si>
  <si>
    <t>03:00:00</t>
  </si>
  <si>
    <t>21:33:06</t>
  </si>
  <si>
    <t>21:08:37</t>
  </si>
  <si>
    <t>21:07:20</t>
  </si>
  <si>
    <t>17:55:36</t>
  </si>
  <si>
    <t>17:19:54</t>
  </si>
  <si>
    <t>17:15:00</t>
  </si>
  <si>
    <t>14:34:41</t>
  </si>
  <si>
    <t>18:17:36</t>
  </si>
  <si>
    <t>17:16:16</t>
  </si>
  <si>
    <t>21:59:44</t>
  </si>
  <si>
    <t>21:58:42</t>
  </si>
  <si>
    <t>21:57:42</t>
  </si>
  <si>
    <t>10:42:32</t>
  </si>
  <si>
    <t>10:08:24</t>
  </si>
  <si>
    <t>11:00:42</t>
  </si>
  <si>
    <t>10:30:26</t>
  </si>
  <si>
    <t>22:10:43</t>
  </si>
  <si>
    <t>21:26:05</t>
  </si>
  <si>
    <t>21:24:55</t>
  </si>
  <si>
    <t>22:03:54</t>
  </si>
  <si>
    <t>21:26:42</t>
  </si>
  <si>
    <t>21:25:36</t>
  </si>
  <si>
    <t>18:59:16</t>
  </si>
  <si>
    <t>17:33:13</t>
  </si>
  <si>
    <t>15:22:03</t>
  </si>
  <si>
    <t>15:14:57</t>
  </si>
  <si>
    <t>11:01:54</t>
  </si>
  <si>
    <t>12:19:16</t>
  </si>
  <si>
    <t>21:47:01</t>
  </si>
  <si>
    <t>21:46:19</t>
  </si>
  <si>
    <t>21:45:16</t>
  </si>
  <si>
    <t>17:33:37</t>
  </si>
  <si>
    <t>11:53:25</t>
  </si>
  <si>
    <t>11:32:04</t>
  </si>
  <si>
    <t>10:59:49</t>
  </si>
  <si>
    <t>10:40:09</t>
  </si>
  <si>
    <t>22:07:56</t>
  </si>
  <si>
    <t>21:54:18</t>
  </si>
  <si>
    <t>21:53:05</t>
  </si>
  <si>
    <t>11:18:18</t>
  </si>
  <si>
    <t>10:14:25</t>
  </si>
  <si>
    <t>10:22:27</t>
  </si>
  <si>
    <t>10:00:02</t>
  </si>
  <si>
    <t>05:00:00</t>
  </si>
  <si>
    <t>09:00:00</t>
  </si>
  <si>
    <t>23:05:07</t>
  </si>
  <si>
    <t>22:49:26</t>
  </si>
  <si>
    <t>22:47:53</t>
  </si>
  <si>
    <t>22:15:33</t>
  </si>
  <si>
    <t>22:00:23</t>
  </si>
  <si>
    <t>21:59:27</t>
  </si>
  <si>
    <t>15:33:35</t>
  </si>
  <si>
    <t>15:04:24</t>
  </si>
  <si>
    <t>10:18:59</t>
  </si>
  <si>
    <t>21:27:57</t>
  </si>
  <si>
    <t>11:38:00</t>
  </si>
  <si>
    <t>21:37:24</t>
  </si>
  <si>
    <t>21:36:21</t>
  </si>
  <si>
    <t>13:01:43</t>
  </si>
  <si>
    <t>21:27:30</t>
  </si>
  <si>
    <t>21:26:49</t>
  </si>
  <si>
    <t>21:25:31</t>
  </si>
  <si>
    <t>11:40:09</t>
  </si>
  <si>
    <t>10:45:52</t>
  </si>
  <si>
    <t>12:57:02</t>
  </si>
  <si>
    <t>14:00:02</t>
  </si>
  <si>
    <t>13:45:00</t>
  </si>
  <si>
    <t>13:36:23</t>
  </si>
  <si>
    <t>12:29:39</t>
  </si>
  <si>
    <t>17:52:57</t>
  </si>
  <si>
    <t>12:56:45</t>
  </si>
  <si>
    <t>12:48:14</t>
  </si>
  <si>
    <t>11:22:39</t>
  </si>
  <si>
    <t>11:16:37</t>
  </si>
  <si>
    <t>14:00:00</t>
  </si>
  <si>
    <t>22:05:08</t>
  </si>
  <si>
    <t>10:54:27</t>
  </si>
  <si>
    <t>21:32:52</t>
  </si>
  <si>
    <t>10:32:21</t>
  </si>
  <si>
    <t>20:11:40</t>
  </si>
  <si>
    <t>10:23:52</t>
  </si>
  <si>
    <t>21:47:27</t>
  </si>
  <si>
    <t>21:28:35</t>
  </si>
  <si>
    <t>21:27:17</t>
  </si>
  <si>
    <t>10:50:09</t>
  </si>
  <si>
    <t>17:18:08</t>
  </si>
  <si>
    <t>18:46:42</t>
  </si>
  <si>
    <t>21:10:36</t>
  </si>
  <si>
    <t>17:48:50</t>
  </si>
  <si>
    <t>10:15:07</t>
  </si>
  <si>
    <t>21:54:21</t>
  </si>
  <si>
    <t>21:24:23</t>
  </si>
  <si>
    <t>21:23:27</t>
  </si>
  <si>
    <t>21:00:02</t>
  </si>
  <si>
    <t>20:04:01</t>
  </si>
  <si>
    <t>11:45:11</t>
  </si>
  <si>
    <t>21:53:06</t>
  </si>
  <si>
    <t>16:31:20</t>
  </si>
  <si>
    <t>20:47:10</t>
  </si>
  <si>
    <t>20:44:01</t>
  </si>
  <si>
    <t>06:08:31</t>
  </si>
  <si>
    <t>09:22:59</t>
  </si>
  <si>
    <t>04:34:13</t>
  </si>
  <si>
    <t>04:30:09</t>
  </si>
  <si>
    <t>10:27:28</t>
  </si>
  <si>
    <t>01:13:11</t>
  </si>
  <si>
    <t>10:31:54</t>
  </si>
  <si>
    <t>09:56:46</t>
  </si>
  <si>
    <t>08:34:03</t>
  </si>
  <si>
    <t>09:20:48</t>
  </si>
  <si>
    <t>03:53:29</t>
  </si>
  <si>
    <t>03:43:17</t>
  </si>
  <si>
    <t>23:01:53</t>
  </si>
  <si>
    <t>22:27:17</t>
  </si>
  <si>
    <t>10:52:55</t>
  </si>
  <si>
    <t>10:49:03</t>
  </si>
  <si>
    <t>10:40:50</t>
  </si>
  <si>
    <t>10:33:00</t>
  </si>
  <si>
    <t>04:12:55</t>
  </si>
  <si>
    <t>00:56:43</t>
  </si>
  <si>
    <t>11:09:38</t>
  </si>
  <si>
    <t>11:10:20</t>
  </si>
  <si>
    <t>10:07:22</t>
  </si>
  <si>
    <t>12:50:40</t>
  </si>
  <si>
    <t>08:06:35</t>
  </si>
  <si>
    <t>07:59:52</t>
  </si>
  <si>
    <t>09:55:55</t>
  </si>
  <si>
    <t>10:42:04</t>
  </si>
  <si>
    <t>22:05:19</t>
  </si>
  <si>
    <t>00:01:04</t>
  </si>
  <si>
    <t>12:34:37</t>
  </si>
  <si>
    <t>01:25:16</t>
  </si>
  <si>
    <t>00:46:45</t>
  </si>
  <si>
    <t>15:32:28</t>
  </si>
  <si>
    <t>07:28:11</t>
  </si>
  <si>
    <t>12:03:45</t>
  </si>
  <si>
    <t>13:11:14</t>
  </si>
  <si>
    <t>19:21:37</t>
  </si>
  <si>
    <t>00:05:04</t>
  </si>
  <si>
    <t>00:04:33</t>
  </si>
  <si>
    <t>02:00:07</t>
  </si>
  <si>
    <t>00:50:10</t>
  </si>
  <si>
    <t>13:05:05</t>
  </si>
  <si>
    <t>23:05:10</t>
  </si>
  <si>
    <t>00:00:12</t>
  </si>
  <si>
    <t>20:41:59</t>
  </si>
  <si>
    <t>11:05:03</t>
  </si>
  <si>
    <t>17:48:21</t>
  </si>
  <si>
    <t>02:00:04</t>
  </si>
  <si>
    <t>01:30:03</t>
  </si>
  <si>
    <t>00:57:44</t>
  </si>
  <si>
    <t>03:15:01</t>
  </si>
  <si>
    <t>11:05:01</t>
  </si>
  <si>
    <t>17:05:02</t>
  </si>
  <si>
    <t>15:21:19</t>
  </si>
  <si>
    <t>12:15:05</t>
  </si>
  <si>
    <t>22:05:03</t>
  </si>
  <si>
    <t>15:35:51</t>
  </si>
  <si>
    <t>16:10:07</t>
  </si>
  <si>
    <t>14:01:08</t>
  </si>
  <si>
    <t>01:17:43</t>
  </si>
  <si>
    <t>22:41:54</t>
  </si>
  <si>
    <t>00:25:45</t>
  </si>
  <si>
    <t>03:04:02</t>
  </si>
  <si>
    <t>18:16:30</t>
  </si>
  <si>
    <t>02:21:59</t>
  </si>
  <si>
    <t>14:10:05</t>
  </si>
  <si>
    <t>14:56:37</t>
  </si>
  <si>
    <t>02:39:41</t>
  </si>
  <si>
    <t>14:06:49</t>
  </si>
  <si>
    <t>06:30:00</t>
  </si>
  <si>
    <t>13:30:01</t>
  </si>
  <si>
    <t>12:15:33</t>
  </si>
  <si>
    <t>01:58:48</t>
  </si>
  <si>
    <t>14:15:00</t>
  </si>
  <si>
    <t>02:00:52</t>
  </si>
  <si>
    <t>10:26:09</t>
  </si>
  <si>
    <t>10:26:02</t>
  </si>
  <si>
    <t>16:01:33</t>
  </si>
  <si>
    <t>09:53:09</t>
  </si>
  <si>
    <t>10:22:38</t>
  </si>
  <si>
    <t>10:25:18</t>
  </si>
  <si>
    <t>09:47:55</t>
  </si>
  <si>
    <t>10:29:14</t>
  </si>
  <si>
    <t>11:31:34</t>
  </si>
  <si>
    <t>13:35:24</t>
  </si>
  <si>
    <t>13:31:19</t>
  </si>
  <si>
    <t>12:40:17</t>
  </si>
  <si>
    <t>12:39:06</t>
  </si>
  <si>
    <t>12:18:17</t>
  </si>
  <si>
    <t>12:16:25</t>
  </si>
  <si>
    <t>14:57:20</t>
  </si>
  <si>
    <t>14:56:56</t>
  </si>
  <si>
    <t>19:30:11</t>
  </si>
  <si>
    <t>20:07:46</t>
  </si>
  <si>
    <t>19:57:08</t>
  </si>
  <si>
    <t>18:17:21</t>
  </si>
  <si>
    <t>14:33:05</t>
  </si>
  <si>
    <t>14:32:26</t>
  </si>
  <si>
    <t>14:30:41</t>
  </si>
  <si>
    <t>12:39:31</t>
  </si>
  <si>
    <t>12:38:48</t>
  </si>
  <si>
    <t>20:03:47</t>
  </si>
  <si>
    <t>19:41:43</t>
  </si>
  <si>
    <t>18:30:14</t>
  </si>
  <si>
    <t>18:29:40</t>
  </si>
  <si>
    <t>14:35:46</t>
  </si>
  <si>
    <t>13:34:11</t>
  </si>
  <si>
    <t>17:47:41</t>
  </si>
  <si>
    <t>16:51:45</t>
  </si>
  <si>
    <t>16:48:30</t>
  </si>
  <si>
    <t>13:40:30</t>
  </si>
  <si>
    <t>13:38:47</t>
  </si>
  <si>
    <t>13:23:25</t>
  </si>
  <si>
    <t>13:15:18</t>
  </si>
  <si>
    <t>13:13:34</t>
  </si>
  <si>
    <t>12:52:03</t>
  </si>
  <si>
    <t>12:46:35</t>
  </si>
  <si>
    <t>12:14:06</t>
  </si>
  <si>
    <t>12:12:29</t>
  </si>
  <si>
    <t>11:41:57</t>
  </si>
  <si>
    <t>11:41:27</t>
  </si>
  <si>
    <t>14:47:50</t>
  </si>
  <si>
    <t>14:45:59</t>
  </si>
  <si>
    <t>12:36:49</t>
  </si>
  <si>
    <t>12:36:17</t>
  </si>
  <si>
    <t>12:35:35</t>
  </si>
  <si>
    <t>12:05:11</t>
  </si>
  <si>
    <t>11:49:59</t>
  </si>
  <si>
    <t>13:32:45</t>
  </si>
  <si>
    <t>12:30:29</t>
  </si>
  <si>
    <t>12:29:53</t>
  </si>
  <si>
    <t>12:29:24</t>
  </si>
  <si>
    <t>12:29:05</t>
  </si>
  <si>
    <t>19:35:39</t>
  </si>
  <si>
    <t>19:49:18</t>
  </si>
  <si>
    <t>19:34:53</t>
  </si>
  <si>
    <t>16:30:19</t>
  </si>
  <si>
    <t>13:49:35</t>
  </si>
  <si>
    <t>13:26:30</t>
  </si>
  <si>
    <t>13:25:58</t>
  </si>
  <si>
    <t>13:25:24</t>
  </si>
  <si>
    <t>13:24:46</t>
  </si>
  <si>
    <t>19:48:36</t>
  </si>
  <si>
    <t>19:19:51</t>
  </si>
  <si>
    <t>17:13:21</t>
  </si>
  <si>
    <t>14:34:29</t>
  </si>
  <si>
    <t>14:12:32</t>
  </si>
  <si>
    <t>14:11:34</t>
  </si>
  <si>
    <t>14:10:45</t>
  </si>
  <si>
    <t>14:09:33</t>
  </si>
  <si>
    <t>12:54:54</t>
  </si>
  <si>
    <t>12:54:27</t>
  </si>
  <si>
    <t>17:06:22</t>
  </si>
  <si>
    <t>16:10:45</t>
  </si>
  <si>
    <t>13:46:33</t>
  </si>
  <si>
    <t>13:40:50</t>
  </si>
  <si>
    <t>17:38:30</t>
  </si>
  <si>
    <t>17:37:37</t>
  </si>
  <si>
    <t>14:28:42</t>
  </si>
  <si>
    <t>13:37:23</t>
  </si>
  <si>
    <t>12:19:37</t>
  </si>
  <si>
    <t>12:18:23</t>
  </si>
  <si>
    <t>12:12:01</t>
  </si>
  <si>
    <t>13:40:16</t>
  </si>
  <si>
    <t>13:03:46</t>
  </si>
  <si>
    <t>13:02:32</t>
  </si>
  <si>
    <t>13:01:47</t>
  </si>
  <si>
    <t>13:01:03</t>
  </si>
  <si>
    <t>14:03:54</t>
  </si>
  <si>
    <t>14:03:25</t>
  </si>
  <si>
    <t>16:53:16</t>
  </si>
  <si>
    <t>16:52:38</t>
  </si>
  <si>
    <t>16:49:27</t>
  </si>
  <si>
    <t>14:51:52</t>
  </si>
  <si>
    <t>13:52:46</t>
  </si>
  <si>
    <t>13:51:43</t>
  </si>
  <si>
    <t>12:36:28</t>
  </si>
  <si>
    <t>12:35:42</t>
  </si>
  <si>
    <t>14:20:41</t>
  </si>
  <si>
    <t>14:17:07</t>
  </si>
  <si>
    <t>12:27:22</t>
  </si>
  <si>
    <t>14:05:37</t>
  </si>
  <si>
    <t>15:52:11</t>
  </si>
  <si>
    <t>15:15:26</t>
  </si>
  <si>
    <t>14:22:22</t>
  </si>
  <si>
    <t>14:21:22</t>
  </si>
  <si>
    <t>13:53:33</t>
  </si>
  <si>
    <t>19:09:46</t>
  </si>
  <si>
    <t>14:19:42</t>
  </si>
  <si>
    <t>14:19:04</t>
  </si>
  <si>
    <t>12:12:49</t>
  </si>
  <si>
    <t>12:11:35</t>
  </si>
  <si>
    <t>16:38:50</t>
  </si>
  <si>
    <t>16:37:56</t>
  </si>
  <si>
    <t>19:50:00</t>
  </si>
  <si>
    <t>18:53:18</t>
  </si>
  <si>
    <t>18:14:21</t>
  </si>
  <si>
    <t>14:42:50</t>
  </si>
  <si>
    <t>13:53:03</t>
  </si>
  <si>
    <t>13:52:19</t>
  </si>
  <si>
    <t>13:02:51</t>
  </si>
  <si>
    <t>13:01:57</t>
  </si>
  <si>
    <t>14:29:06</t>
  </si>
  <si>
    <t>14:26:11</t>
  </si>
  <si>
    <t>19:31:19</t>
  </si>
  <si>
    <t>20:34:07</t>
  </si>
  <si>
    <t>20:32:55</t>
  </si>
  <si>
    <t>20:31:34</t>
  </si>
  <si>
    <t>20:26:27</t>
  </si>
  <si>
    <t>20:25:44</t>
  </si>
  <si>
    <t>20:25:12</t>
  </si>
  <si>
    <t>13:18:12</t>
  </si>
  <si>
    <t>12:36:07</t>
  </si>
  <si>
    <t>12:32:00</t>
  </si>
  <si>
    <t>12:19:01</t>
  </si>
  <si>
    <t>19:54:29</t>
  </si>
  <si>
    <t>16:39:09</t>
  </si>
  <si>
    <t>14:15:29</t>
  </si>
  <si>
    <t>14:14:40</t>
  </si>
  <si>
    <t>14:14:04</t>
  </si>
  <si>
    <t>13:19:14</t>
  </si>
  <si>
    <t>12:48:27</t>
  </si>
  <si>
    <t>12:48:22</t>
  </si>
  <si>
    <t>12:09:46</t>
  </si>
  <si>
    <t>12:09:16</t>
  </si>
  <si>
    <t>14:22:43</t>
  </si>
  <si>
    <t>14:22:00</t>
  </si>
  <si>
    <t>14:04:44</t>
  </si>
  <si>
    <t>12:16:18</t>
  </si>
  <si>
    <t>12:15:57</t>
  </si>
  <si>
    <t>14:22:58</t>
  </si>
  <si>
    <t>14:22:05</t>
  </si>
  <si>
    <t>14:20:47</t>
  </si>
  <si>
    <t>14:20:15</t>
  </si>
  <si>
    <t>14:23:53</t>
  </si>
  <si>
    <t>12:15:31</t>
  </si>
  <si>
    <t>12:15:04</t>
  </si>
  <si>
    <t>21:22:28</t>
  </si>
  <si>
    <t>21:21:21</t>
  </si>
  <si>
    <t>20:50:18</t>
  </si>
  <si>
    <t>15:15:28</t>
  </si>
  <si>
    <t>15:15:02</t>
  </si>
  <si>
    <t>15:13:29</t>
  </si>
  <si>
    <t>15:12:33</t>
  </si>
  <si>
    <t>13:04:30</t>
  </si>
  <si>
    <t>12:09:42</t>
  </si>
  <si>
    <t>12:07:29</t>
  </si>
  <si>
    <t>14:24:54</t>
  </si>
  <si>
    <t>20:49:55</t>
  </si>
  <si>
    <t>20:48:18</t>
  </si>
  <si>
    <t>14:27:48</t>
  </si>
  <si>
    <t>13:40:26</t>
  </si>
  <si>
    <t>13:39:50</t>
  </si>
  <si>
    <t>13:13:23</t>
  </si>
  <si>
    <t>13:12:52</t>
  </si>
  <si>
    <t>13:12:26</t>
  </si>
  <si>
    <t>20:08:44</t>
  </si>
  <si>
    <t>19:55:45</t>
  </si>
  <si>
    <t>19:37:02</t>
  </si>
  <si>
    <t>17:52:06</t>
  </si>
  <si>
    <t>14:23:41</t>
  </si>
  <si>
    <t>13:40:57</t>
  </si>
  <si>
    <t>12:42:35</t>
  </si>
  <si>
    <t>12:42:08</t>
  </si>
  <si>
    <t>12:41:41</t>
  </si>
  <si>
    <t>12:41:16</t>
  </si>
  <si>
    <t>19:43:30</t>
  </si>
  <si>
    <t>19:43:01</t>
  </si>
  <si>
    <t>19:42:20</t>
  </si>
  <si>
    <t>13:42:42</t>
  </si>
  <si>
    <t>12:18:18</t>
  </si>
  <si>
    <t>12:17:41</t>
  </si>
  <si>
    <t>12:16:17</t>
  </si>
  <si>
    <t>20:11:16</t>
  </si>
  <si>
    <t>12:46:37</t>
  </si>
  <si>
    <t>12:46:07</t>
  </si>
  <si>
    <t>12:45:39</t>
  </si>
  <si>
    <t>12:44:48</t>
  </si>
  <si>
    <t>12:44:19</t>
  </si>
  <si>
    <t>11:56:35</t>
  </si>
  <si>
    <t>19:47:41</t>
  </si>
  <si>
    <t>19:46:55</t>
  </si>
  <si>
    <t>19:36:12</t>
  </si>
  <si>
    <t>12:41:46</t>
  </si>
  <si>
    <t>12:40:10</t>
  </si>
  <si>
    <t>18:08:43</t>
  </si>
  <si>
    <t>18:07:56</t>
  </si>
  <si>
    <t>20:24:25</t>
  </si>
  <si>
    <t>17:49:12</t>
  </si>
  <si>
    <t>17:48:40</t>
  </si>
  <si>
    <t>14:02:22</t>
  </si>
  <si>
    <t>14:01:55</t>
  </si>
  <si>
    <t>13:18:46</t>
  </si>
  <si>
    <t>11:41:36</t>
  </si>
  <si>
    <t>20:08:17</t>
  </si>
  <si>
    <t>18:48:46</t>
  </si>
  <si>
    <t>12:58:50</t>
  </si>
  <si>
    <t>13:51:50</t>
  </si>
  <si>
    <t>12:15:27</t>
  </si>
  <si>
    <t>12:13:43</t>
  </si>
  <si>
    <t>11:24:54</t>
  </si>
  <si>
    <t>12:56:48</t>
  </si>
  <si>
    <t>12:56:13</t>
  </si>
  <si>
    <t>11:56:53</t>
  </si>
  <si>
    <t>11:56:16</t>
  </si>
  <si>
    <t>13:39:31</t>
  </si>
  <si>
    <t>13:16:41</t>
  </si>
  <si>
    <t>12:46:17</t>
  </si>
  <si>
    <t>12:19:29</t>
  </si>
  <si>
    <t>11:54:22</t>
  </si>
  <si>
    <t>11:53:51</t>
  </si>
  <si>
    <t>13:41:56</t>
  </si>
  <si>
    <t>21:06:50</t>
  </si>
  <si>
    <t>21:05:38</t>
  </si>
  <si>
    <t>21:05:12</t>
  </si>
  <si>
    <t>20:03:45</t>
  </si>
  <si>
    <t>20:03:01</t>
  </si>
  <si>
    <t>20:02:33</t>
  </si>
  <si>
    <t>20:45:42</t>
  </si>
  <si>
    <t>14:31:02</t>
  </si>
  <si>
    <t>14:30:11</t>
  </si>
  <si>
    <t>13:02:15</t>
  </si>
  <si>
    <t>13:01:51</t>
  </si>
  <si>
    <t>13:01:22</t>
  </si>
  <si>
    <t>13:00:54</t>
  </si>
  <si>
    <t>12:20:03</t>
  </si>
  <si>
    <t>11:20:19</t>
  </si>
  <si>
    <t>19:55:05</t>
  </si>
  <si>
    <t>19:37:06</t>
  </si>
  <si>
    <t>19:09:08</t>
  </si>
  <si>
    <t>18:45:12</t>
  </si>
  <si>
    <t>13:04:25</t>
  </si>
  <si>
    <t>13:03:31</t>
  </si>
  <si>
    <t>13:42:43</t>
  </si>
  <si>
    <t>15:07:33</t>
  </si>
  <si>
    <t>13:14:30</t>
  </si>
  <si>
    <t>12:18:53</t>
  </si>
  <si>
    <t>12:18:50</t>
  </si>
  <si>
    <t>12:17:48</t>
  </si>
  <si>
    <t>12:17:15</t>
  </si>
  <si>
    <t>12:16:34</t>
  </si>
  <si>
    <t>20:05:50</t>
  </si>
  <si>
    <t>20:05:28</t>
  </si>
  <si>
    <t>20:05:27</t>
  </si>
  <si>
    <t>20:05:05</t>
  </si>
  <si>
    <t>18:19:48</t>
  </si>
  <si>
    <t>18:19:12</t>
  </si>
  <si>
    <t>18:18:37</t>
  </si>
  <si>
    <t>16:44:36</t>
  </si>
  <si>
    <t>16:40:37</t>
  </si>
  <si>
    <t>14:47:22</t>
  </si>
  <si>
    <t>14:46:29</t>
  </si>
  <si>
    <t>14:46:02</t>
  </si>
  <si>
    <t>12:59:48</t>
  </si>
  <si>
    <t>12:58:44</t>
  </si>
  <si>
    <t>13:15:23</t>
  </si>
  <si>
    <t>19:53:46</t>
  </si>
  <si>
    <t>18:46:19</t>
  </si>
  <si>
    <t>14:56:12</t>
  </si>
  <si>
    <t>13:47:53</t>
  </si>
  <si>
    <t>13:46:01</t>
  </si>
  <si>
    <t>21:29:16</t>
  </si>
  <si>
    <t>13:30:36</t>
  </si>
  <si>
    <t>21:41:03</t>
  </si>
  <si>
    <t>20:57:17</t>
  </si>
  <si>
    <t>20:45:21</t>
  </si>
  <si>
    <t>20:48:14</t>
  </si>
  <si>
    <t>20:28:30</t>
  </si>
  <si>
    <t>20:27:03</t>
  </si>
  <si>
    <t>20:38:20</t>
  </si>
  <si>
    <t>16:48:13</t>
  </si>
  <si>
    <t>16:47:46</t>
  </si>
  <si>
    <t>16:47:13</t>
  </si>
  <si>
    <t>16:46:22</t>
  </si>
  <si>
    <t>14:53:41</t>
  </si>
  <si>
    <t>14:32:11</t>
  </si>
  <si>
    <t>14:31:18</t>
  </si>
  <si>
    <t>14:30:14</t>
  </si>
  <si>
    <t>14:50:45</t>
  </si>
  <si>
    <t>13:14:11</t>
  </si>
  <si>
    <t>13:11:02</t>
  </si>
  <si>
    <t>14:35:49</t>
  </si>
  <si>
    <t>14:26:47</t>
  </si>
  <si>
    <t>14:20:38</t>
  </si>
  <si>
    <t>14:18:06</t>
  </si>
  <si>
    <t>11:50:33</t>
  </si>
  <si>
    <t>11:49:16</t>
  </si>
  <si>
    <t>16:34:47</t>
  </si>
  <si>
    <t>16:34:05</t>
  </si>
  <si>
    <t>14:21:38</t>
  </si>
  <si>
    <t>14:17:29</t>
  </si>
  <si>
    <t>12:31:42</t>
  </si>
  <si>
    <t>12:08:44</t>
  </si>
  <si>
    <t>12:07:31</t>
  </si>
  <si>
    <t>12:05:31</t>
  </si>
  <si>
    <t>20:16:04</t>
  </si>
  <si>
    <t>16:55:58</t>
  </si>
  <si>
    <t>14:04:49</t>
  </si>
  <si>
    <t>13:57:05</t>
  </si>
  <si>
    <t>12:51:23</t>
  </si>
  <si>
    <t>12:50:46</t>
  </si>
  <si>
    <t>18:13:46</t>
  </si>
  <si>
    <t>16:59:30</t>
  </si>
  <si>
    <t>13:57:41</t>
  </si>
  <si>
    <t>12:43:07</t>
  </si>
  <si>
    <t>12:41:42</t>
  </si>
  <si>
    <t>12:40:02</t>
  </si>
  <si>
    <t>12:36:11</t>
  </si>
  <si>
    <t>11:49:11</t>
  </si>
  <si>
    <t>11:38:31</t>
  </si>
  <si>
    <t>20:55:06</t>
  </si>
  <si>
    <t>16:43:29</t>
  </si>
  <si>
    <t>16:38:22</t>
  </si>
  <si>
    <t>16:25:02</t>
  </si>
  <si>
    <t>13:17:21</t>
  </si>
  <si>
    <t>13:15:46</t>
  </si>
  <si>
    <t>13:12:36</t>
  </si>
  <si>
    <t>13:03:59</t>
  </si>
  <si>
    <t>12:39:32</t>
  </si>
  <si>
    <t>20:09:11</t>
  </si>
  <si>
    <t>19:55:30</t>
  </si>
  <si>
    <t>18:50:15</t>
  </si>
  <si>
    <t>16:45:11</t>
  </si>
  <si>
    <t>13:43:56</t>
  </si>
  <si>
    <t>13:31:57</t>
  </si>
  <si>
    <t>12:24:27</t>
  </si>
  <si>
    <t>12:22:54</t>
  </si>
  <si>
    <t>11:48:54</t>
  </si>
  <si>
    <t>11:48:08</t>
  </si>
  <si>
    <t>12:08:38</t>
  </si>
  <si>
    <t>12:46:54</t>
  </si>
  <si>
    <t>13:15:29</t>
  </si>
  <si>
    <t>11:59:20</t>
  </si>
  <si>
    <t>12:59:03</t>
  </si>
  <si>
    <t>01:30:06</t>
  </si>
  <si>
    <t>00:13:23</t>
  </si>
  <si>
    <t>18:27:44</t>
  </si>
  <si>
    <t>12:39:43</t>
  </si>
  <si>
    <t>12:41:37</t>
  </si>
  <si>
    <t>12:37:35</t>
  </si>
  <si>
    <t>18:09:59</t>
  </si>
  <si>
    <t>-49,188554,-28,595991 
-49,188554,-28,3780202 
-48,902135,-28,3780202 
-48,902135,-28,595991 
-49,188554,-28,595991</t>
  </si>
  <si>
    <t>-79,76259,40,477383 
-79,76259,45,015851 
-71,777492,45,015851 
-71,777492,40,477383 
-79,76259,40,477383</t>
  </si>
  <si>
    <t>-73,991482,-33,7510506 
-73,991482,5,27192 
-32,378186,5,27192 
-32,378186,-33,7510506 
-73,991482,-33,7510506</t>
  </si>
  <si>
    <t>-43,795449,-23,08302 
-43,795449,-22,7398234 
-43,0877068,-22,7398234 
-43,0877068,-23,08302 
-43,795449,-23,08302</t>
  </si>
  <si>
    <t>-122,28853,37,443954 
-122,28853,37,550633 
-122,177339,37,550633 
-122,177339,37,443954 
-122,28853,37,443954</t>
  </si>
  <si>
    <t>11,4333024,44,0465653 
11,4333024,44,1676932 
11,6182843,44,1676932 
11,6182843,44,0465653 
11,4333024,44,0465653</t>
  </si>
  <si>
    <t>-54,923521,-21,5845783 
-54,923521,-20,166077 
-53,600229,-20,166077 
-53,600229,-21,5845783 
-54,923521,-21,5845783</t>
  </si>
  <si>
    <t>-84,2022247,9,9435368 
-84,2022247,10,7896442 
-83,7017059,10,7896442 
-83,7017059,9,9435368 
-84,2022247,9,9435368</t>
  </si>
  <si>
    <t>-49,290882,-22,4168673 
-49,290882,-22,060614 
-48,9342022,-22,060614 
-48,9342022,-22,4168673 
-49,290882,-22,4168673</t>
  </si>
  <si>
    <t>-46,826039,-24,008814 
-46,826039,-23,356792 
-46,365052,-23,356792 
-46,365052,-24,008814 
-46,826039,-24,008814</t>
  </si>
  <si>
    <t>-46,703986,-23,58598 
-46,703986,-23,5447564 
-46,6708614,-23,5447564 
-46,6708614,-23,58598 
-46,703986,-23,58598</t>
  </si>
  <si>
    <t>Brasil</t>
  </si>
  <si>
    <t>Estados Unidos</t>
  </si>
  <si>
    <t>Itália</t>
  </si>
  <si>
    <t>Costa Rica</t>
  </si>
  <si>
    <t>BR</t>
  </si>
  <si>
    <t>US</t>
  </si>
  <si>
    <t>IT</t>
  </si>
  <si>
    <t>CR</t>
  </si>
  <si>
    <t>Tubarão, Brasil</t>
  </si>
  <si>
    <t>Nova Iorque, USA</t>
  </si>
  <si>
    <t>Rio de Janeiro, Brasil</t>
  </si>
  <si>
    <t>Redwood City, CA</t>
  </si>
  <si>
    <t>Palazzuolo sul Senio, Toscana</t>
  </si>
  <si>
    <t>Campo Grande, Brasil</t>
  </si>
  <si>
    <t>Heredia, Costa Rica</t>
  </si>
  <si>
    <t>Bauru, Brasil</t>
  </si>
  <si>
    <t>São Paulo, Brasil</t>
  </si>
  <si>
    <t>Pinheiros, São Paulo</t>
  </si>
  <si>
    <t>db14c73d2448ffe7</t>
  </si>
  <si>
    <t>94965b2c45386f87</t>
  </si>
  <si>
    <t>1b107df3ccc0aaa1</t>
  </si>
  <si>
    <t>97bcdfca1a2dca59</t>
  </si>
  <si>
    <t>a409256339a7c6a1</t>
  </si>
  <si>
    <t>aa3c74c48f6524da</t>
  </si>
  <si>
    <t>d13775d10c08f835</t>
  </si>
  <si>
    <t>012c447f4ce72363</t>
  </si>
  <si>
    <t>77af3e46c7a19d54</t>
  </si>
  <si>
    <t>68e019afec7d0ba5</t>
  </si>
  <si>
    <t>6c1a4aae4a7f7e5b</t>
  </si>
  <si>
    <t>Tubarão</t>
  </si>
  <si>
    <t>Nova Iorque</t>
  </si>
  <si>
    <t>Rio de Janeiro</t>
  </si>
  <si>
    <t>Redwood City</t>
  </si>
  <si>
    <t>Palazzuolo sul Senio</t>
  </si>
  <si>
    <t>Campo Grande</t>
  </si>
  <si>
    <t>Heredia</t>
  </si>
  <si>
    <t>Bauru</t>
  </si>
  <si>
    <t>São Paulo</t>
  </si>
  <si>
    <t>Pinheiros</t>
  </si>
  <si>
    <t>city</t>
  </si>
  <si>
    <t>admin</t>
  </si>
  <si>
    <t>country</t>
  </si>
  <si>
    <t>neighborhood</t>
  </si>
  <si>
    <t>3_1704196954446540800</t>
  </si>
  <si>
    <t>3_1679931293822271492</t>
  </si>
  <si>
    <t>3_1687554148181364736</t>
  </si>
  <si>
    <t>3_1690064795817390080</t>
  </si>
  <si>
    <t>3_1689671231807594496</t>
  </si>
  <si>
    <t>3_1695168927251263490</t>
  </si>
  <si>
    <t>3_1692634989781782530</t>
  </si>
  <si>
    <t>3_1701986935885942784</t>
  </si>
  <si>
    <t>3_1697700155166769152</t>
  </si>
  <si>
    <t>3_1684992121873350656</t>
  </si>
  <si>
    <t>3_1702736560477569024</t>
  </si>
  <si>
    <t>7_1707088467098804225</t>
  </si>
  <si>
    <t>3_1705326772747665410</t>
  </si>
  <si>
    <t>3_1692560527103291393</t>
  </si>
  <si>
    <t>3_1679777948335841281</t>
  </si>
  <si>
    <t>3_1678711496077975552</t>
  </si>
  <si>
    <t>3_1678700999001735169</t>
  </si>
  <si>
    <t>3_1678690798550827009</t>
  </si>
  <si>
    <t>3_1686485129571729410</t>
  </si>
  <si>
    <t>3_1688514255279038464</t>
  </si>
  <si>
    <t>3_1703506755827666944</t>
  </si>
  <si>
    <t>13_1704139277167214592</t>
  </si>
  <si>
    <t>3_1684710552751222784</t>
  </si>
  <si>
    <t>3_1682170546593710080</t>
  </si>
  <si>
    <t>3_1693035911380901888</t>
  </si>
  <si>
    <t>3_1702459916470910976</t>
  </si>
  <si>
    <t>3_1687919786498383872</t>
  </si>
  <si>
    <t>3_1682925639219703809</t>
  </si>
  <si>
    <t>3_1704463283443400704</t>
  </si>
  <si>
    <t>3_1702871707047116800</t>
  </si>
  <si>
    <t>3_1681269595884208129 3_1681269595884101633 3_1681269595888312320 3_1681269596018335748</t>
  </si>
  <si>
    <t>3_1687429642813063168</t>
  </si>
  <si>
    <t>3_1686814458344087552</t>
  </si>
  <si>
    <t>3_1687081509725896705</t>
  </si>
  <si>
    <t>3_1687080617832255488</t>
  </si>
  <si>
    <t>3_1681803791039881216</t>
  </si>
  <si>
    <t>3_1681802345221353473 3_1681802774470701056 3_1681802547957309442</t>
  </si>
  <si>
    <t>3_1686264160655388672</t>
  </si>
  <si>
    <t>3_1684370668748505088</t>
  </si>
  <si>
    <t>3_1684835933697298432</t>
  </si>
  <si>
    <t>3_1703744810937450496</t>
  </si>
  <si>
    <t>3_1692267471594553344</t>
  </si>
  <si>
    <t>3_1701622425920634881 3_1701622425916428288 3_1701622425929003008 3_1701622425924894720</t>
  </si>
  <si>
    <t>3_1706410528313069568 3_1706410528313126912 3_1706410528308912128 3_1706410528308903937</t>
  </si>
  <si>
    <t>3_1682047278272397316</t>
  </si>
  <si>
    <t>3_1683566613172199424</t>
  </si>
  <si>
    <t>3_1679647908386291712</t>
  </si>
  <si>
    <t>3_1680947532455636993</t>
  </si>
  <si>
    <t>3_1692514124805156865</t>
  </si>
  <si>
    <t>7_1678768933208469508</t>
  </si>
  <si>
    <t>7_1684258190525857822</t>
  </si>
  <si>
    <t>7_1686810736373145601</t>
  </si>
  <si>
    <t>7_1688944274807615488</t>
  </si>
  <si>
    <t>7_1688942293795897344</t>
  </si>
  <si>
    <t>7_1681349506581905442</t>
  </si>
  <si>
    <t>7_1694783547410665472</t>
  </si>
  <si>
    <t>7_1704155002120421376</t>
  </si>
  <si>
    <t>7_1682128851940384768</t>
  </si>
  <si>
    <t>7_1679892993162063873</t>
  </si>
  <si>
    <t>7_1679545753809592322</t>
  </si>
  <si>
    <t>3_1678865163863072770</t>
  </si>
  <si>
    <t>3_1678864872199602176</t>
  </si>
  <si>
    <t>7_1678864569974812673</t>
  </si>
  <si>
    <t>7_1684229577550319618</t>
  </si>
  <si>
    <t>7_1684227847479611393</t>
  </si>
  <si>
    <t>7_1683902712692211719</t>
  </si>
  <si>
    <t>7_1683602105267830785</t>
  </si>
  <si>
    <t>3_1694379208225529856</t>
  </si>
  <si>
    <t>7_1681329755667177473</t>
  </si>
  <si>
    <t>7_1698788521471856641</t>
  </si>
  <si>
    <t>7_1678875493460762626</t>
  </si>
  <si>
    <t>7_1679084945069817856</t>
  </si>
  <si>
    <t>7_1683958165317058560</t>
  </si>
  <si>
    <t>7_1688710490246004736</t>
  </si>
  <si>
    <t>7_1685759890474565633</t>
  </si>
  <si>
    <t>7_1684695482369536000</t>
  </si>
  <si>
    <t>7_1682191640817987589</t>
  </si>
  <si>
    <t>7_1694862226497138688</t>
  </si>
  <si>
    <t>7_1685311277210488832</t>
  </si>
  <si>
    <t>7_1688978841027411968</t>
  </si>
  <si>
    <t>7_1678517156307247110</t>
  </si>
  <si>
    <t>7_1694468549564104704</t>
  </si>
  <si>
    <t>7_1680985910026878976</t>
  </si>
  <si>
    <t>7_1689784197035040768</t>
  </si>
  <si>
    <t>7_1683536462350827527</t>
  </si>
  <si>
    <t>7_1680001521327456257</t>
  </si>
  <si>
    <t>7_1694097277713850368</t>
  </si>
  <si>
    <t>7_1701893511421792256</t>
  </si>
  <si>
    <t>7_1686868181611163648</t>
  </si>
  <si>
    <t>7_1679810269244018691</t>
  </si>
  <si>
    <t>7_1679611256469110784</t>
  </si>
  <si>
    <t>7_1699002170652188672</t>
  </si>
  <si>
    <t>7_1687255053696909312</t>
  </si>
  <si>
    <t>7_1701174421975597056</t>
  </si>
  <si>
    <t>7_1693735995538067457</t>
  </si>
  <si>
    <t>7_1697341562873581568</t>
  </si>
  <si>
    <t>7_1686489774650232832</t>
  </si>
  <si>
    <t>7_1698637535126167552</t>
  </si>
  <si>
    <t>7_1696993656647909376</t>
  </si>
  <si>
    <t>7_1680279097866346496</t>
  </si>
  <si>
    <t>7_1699361125672894464</t>
  </si>
  <si>
    <t>7_1702265229235638275</t>
  </si>
  <si>
    <t>7_1681447538094686209</t>
  </si>
  <si>
    <t>7_1702454700568719361</t>
  </si>
  <si>
    <t>7_1702623103640014848</t>
  </si>
  <si>
    <t>7_1689025091496038401</t>
  </si>
  <si>
    <t>7_1703706036731838464</t>
  </si>
  <si>
    <t>7_1701535361787162624</t>
  </si>
  <si>
    <t>7_1691949563043553280</t>
  </si>
  <si>
    <t>7_1704064859233464320</t>
  </si>
  <si>
    <t>7_1707139205615202304</t>
  </si>
  <si>
    <t>7_1706008486490873856</t>
  </si>
  <si>
    <t>7_1704428849566560256</t>
  </si>
  <si>
    <t>7_1697727542419963904</t>
  </si>
  <si>
    <t>3_1682461841660715008</t>
  </si>
  <si>
    <t>3_1682461745133019136</t>
  </si>
  <si>
    <t>16_1680813045679833091</t>
  </si>
  <si>
    <t>3_1689629830114148352 3_1689629830105780231</t>
  </si>
  <si>
    <t>3_1691616908888473600</t>
  </si>
  <si>
    <t>3_1700156382761177088 3_1700156382769508353 3_1700156382782111744</t>
  </si>
  <si>
    <t>7_1685621331214127104</t>
  </si>
  <si>
    <t>7_1690105934280863745</t>
  </si>
  <si>
    <t>3_1696653968833708032</t>
  </si>
  <si>
    <t>7_1695194441961648128</t>
  </si>
  <si>
    <t>7_1697006366173401088</t>
  </si>
  <si>
    <t>7_1687569202050207744</t>
  </si>
  <si>
    <t>7_1699548115718529025</t>
  </si>
  <si>
    <t>7_1702444110605434880</t>
  </si>
  <si>
    <t>3_1702089272591798272</t>
  </si>
  <si>
    <t>3_1691554317684137984</t>
  </si>
  <si>
    <t>3_1699793864285204480</t>
  </si>
  <si>
    <t>3_1681278962230599683</t>
  </si>
  <si>
    <t>3_1678475897609789446</t>
  </si>
  <si>
    <t>3_1682749864461979649</t>
  </si>
  <si>
    <t>3_1684590774430715904</t>
  </si>
  <si>
    <t>3_1688277554715664390 3_1688285837337800704</t>
  </si>
  <si>
    <t>16_1703929619798245376</t>
  </si>
  <si>
    <t>3_1691177770351509504</t>
  </si>
  <si>
    <t>3_1697306501604585472 3_1697306503747874816</t>
  </si>
  <si>
    <t>3_1693908531315986432 3_1693908540694450176 3_1693908565927370752</t>
  </si>
  <si>
    <t>3_1696919914295050241</t>
  </si>
  <si>
    <t>7_1696919618013609985</t>
  </si>
  <si>
    <t>7_1700036465588076544</t>
  </si>
  <si>
    <t>7_1700036067338940416</t>
  </si>
  <si>
    <t>7_1700034767607996416</t>
  </si>
  <si>
    <t>7_1700034581829677056</t>
  </si>
  <si>
    <t>7_1700034086155259904</t>
  </si>
  <si>
    <t>7_1700033841027534848</t>
  </si>
  <si>
    <t>7_1700033014351241216 3_1700033592582144000</t>
  </si>
  <si>
    <t>7_1704545990714265601</t>
  </si>
  <si>
    <t>7_1697715177704046592</t>
  </si>
  <si>
    <t>3_1696987828851453952</t>
  </si>
  <si>
    <t>3_1682495720299823104</t>
  </si>
  <si>
    <t>3_1697784712419323904</t>
  </si>
  <si>
    <t>3_1689336557944143874</t>
  </si>
  <si>
    <t>3_1679913642450354182</t>
  </si>
  <si>
    <t>3_1697283062873141248</t>
  </si>
  <si>
    <t>7_1707070275089473536</t>
  </si>
  <si>
    <t>3_1701004145908674560</t>
  </si>
  <si>
    <t>3_1704244003275788288</t>
  </si>
  <si>
    <t>3_1706269240381030400</t>
  </si>
  <si>
    <t>3_1688518575139516416</t>
  </si>
  <si>
    <t>3_1696270199626833920</t>
  </si>
  <si>
    <t>3_1696994973139259392</t>
  </si>
  <si>
    <t>3_1696632585403650048</t>
  </si>
  <si>
    <t>3_1698806912580567041</t>
  </si>
  <si>
    <t>3_1697357360321183744</t>
  </si>
  <si>
    <t>3_1701706017224970240</t>
  </si>
  <si>
    <t>3_1699894078350020608</t>
  </si>
  <si>
    <t>3_1699169302597808128</t>
  </si>
  <si>
    <t>3_1702430790255071232</t>
  </si>
  <si>
    <t>3_1702793177227247616</t>
  </si>
  <si>
    <t>3_1703880341541335040</t>
  </si>
  <si>
    <t>3_1699531687737081856</t>
  </si>
  <si>
    <t>3_1705329891665657856</t>
  </si>
  <si>
    <t>3_1697719748585271296</t>
  </si>
  <si>
    <t>3_1704967548201013248</t>
  </si>
  <si>
    <t>3_1704605118639783943</t>
  </si>
  <si>
    <t>3_1700256465062109184</t>
  </si>
  <si>
    <t>3_1706417054906044416</t>
  </si>
  <si>
    <t>3_1706779443920814082</t>
  </si>
  <si>
    <t>3_1702068402175492096</t>
  </si>
  <si>
    <t>3_1707151120844390400</t>
  </si>
  <si>
    <t>3_1704242729327243264</t>
  </si>
  <si>
    <t>3_1701343629241925632</t>
  </si>
  <si>
    <t>3_1695817521608249344</t>
  </si>
  <si>
    <t>3_1692621014994243584</t>
  </si>
  <si>
    <t>3_1692620899055190016</t>
  </si>
  <si>
    <t>3_1692620518573166592</t>
  </si>
  <si>
    <t>3_1692620423639314432</t>
  </si>
  <si>
    <t>3_1692620099792863232</t>
  </si>
  <si>
    <t>3_1692619904363433984</t>
  </si>
  <si>
    <t>3_1692619805163958272</t>
  </si>
  <si>
    <t>3_1692619460052418560</t>
  </si>
  <si>
    <t>3_1692619352632082432</t>
  </si>
  <si>
    <t>3_1692619259392696320</t>
  </si>
  <si>
    <t>3_1684976833924608012</t>
  </si>
  <si>
    <t>3_1686072000756817920</t>
  </si>
  <si>
    <t>3_1693696572230373376</t>
  </si>
  <si>
    <t>3_1701904232801050624</t>
  </si>
  <si>
    <t>7_1694876531644887040</t>
  </si>
  <si>
    <t>3_1705950199296696320</t>
  </si>
  <si>
    <t>3_1685026089146421248</t>
  </si>
  <si>
    <t>3_1686115134081511424</t>
  </si>
  <si>
    <t>3_1687474532737531904</t>
  </si>
  <si>
    <t>3_1690006373356937216</t>
  </si>
  <si>
    <t>3_1701258611605766144 3_1701258617515548672 3_1701258623404371968 3_1701258628919902209</t>
  </si>
  <si>
    <t>3_1701257550375579648 3_1701257556440518657 3_1701257562513944576 3_1701257570675982336</t>
  </si>
  <si>
    <t>7_1704655873711173632</t>
  </si>
  <si>
    <t>7_1702697879180103680</t>
  </si>
  <si>
    <t>7_1703060797914595328</t>
  </si>
  <si>
    <t>7_1704152707106217984</t>
  </si>
  <si>
    <t>3_1688256976327778304</t>
  </si>
  <si>
    <t>3_1686453993294143488</t>
  </si>
  <si>
    <t>3_1687875075440005120</t>
  </si>
  <si>
    <t>3_1687874976269881345</t>
  </si>
  <si>
    <t>3_1682839422725660672</t>
  </si>
  <si>
    <t>3_1702808128218132480</t>
  </si>
  <si>
    <t>3_1702755049695297536</t>
  </si>
  <si>
    <t>3_1701378765408829440</t>
  </si>
  <si>
    <t>3_1684901455721840640</t>
  </si>
  <si>
    <t>3_1678376414632980482</t>
  </si>
  <si>
    <t>3_1686546102776987649</t>
  </si>
  <si>
    <t>3_1679216255050436610</t>
  </si>
  <si>
    <t>3_1689227835804729344</t>
  </si>
  <si>
    <t>3_1684902055159156736</t>
  </si>
  <si>
    <t>3_1681732457094103044</t>
  </si>
  <si>
    <t>3_1678864722664333315</t>
  </si>
  <si>
    <t>3_1690100020794523648</t>
  </si>
  <si>
    <t>3_1690098188160585729</t>
  </si>
  <si>
    <t>3_1692211345414926346</t>
  </si>
  <si>
    <t>3_1682428755367657472</t>
  </si>
  <si>
    <t>3_1695292622544248832</t>
  </si>
  <si>
    <t>7_1691170063728930816</t>
  </si>
  <si>
    <t>3_1694428043853369345</t>
  </si>
  <si>
    <t>3_1687958796566396928</t>
  </si>
  <si>
    <t>3_1695920038312615936</t>
  </si>
  <si>
    <t>3_1679952489062322178</t>
  </si>
  <si>
    <t>3_1696577225221378049</t>
  </si>
  <si>
    <t>3_1691502294972375054</t>
  </si>
  <si>
    <t>3_1697174866653253632</t>
  </si>
  <si>
    <t>3_1681352628440121366</t>
  </si>
  <si>
    <t>3_1697027055949414400</t>
  </si>
  <si>
    <t>3_1688669896475832320</t>
  </si>
  <si>
    <t>3_1681731030670032914</t>
  </si>
  <si>
    <t>3_1697408898771075072</t>
  </si>
  <si>
    <t>7_1688478674478145536</t>
  </si>
  <si>
    <t>3_1699148932780097536</t>
  </si>
  <si>
    <t>3_1686067169493139456</t>
  </si>
  <si>
    <t>3_1682428231004168193</t>
  </si>
  <si>
    <t>3_1679215041340473350</t>
  </si>
  <si>
    <t>3_1698041373545398272</t>
  </si>
  <si>
    <t>3_1698785685161811968</t>
  </si>
  <si>
    <t>3_1694428213252853762</t>
  </si>
  <si>
    <t>3_1694036819904491521</t>
  </si>
  <si>
    <t>3_1679953455790661632</t>
  </si>
  <si>
    <t>3_1699911737166753792</t>
  </si>
  <si>
    <t>3_1700211880097144832</t>
  </si>
  <si>
    <t>3_1695159674532724736</t>
  </si>
  <si>
    <t>3_1690100246460743682</t>
  </si>
  <si>
    <t>3_1681000591080804353</t>
  </si>
  <si>
    <t>3_1701684233146609664</t>
  </si>
  <si>
    <t>3_1691860542351175681</t>
  </si>
  <si>
    <t>3_1682427639376609281</t>
  </si>
  <si>
    <t>3_1703847711668080640</t>
  </si>
  <si>
    <t>3_1702068797337673728</t>
  </si>
  <si>
    <t>3_1699499334151053312</t>
  </si>
  <si>
    <t>3_1704908931221303296</t>
  </si>
  <si>
    <t>3_1704547079173943296</t>
  </si>
  <si>
    <t>3_1700489890759069696</t>
  </si>
  <si>
    <t>3_1705673692154306560</t>
  </si>
  <si>
    <t>3_1704546861992873984</t>
  </si>
  <si>
    <t>3_1684901795334647809</t>
  </si>
  <si>
    <t>3_1706297919597387776</t>
  </si>
  <si>
    <t>3_1694755123308666880</t>
  </si>
  <si>
    <t>3_1687183967764520960</t>
  </si>
  <si>
    <t>3_1706406581124890624</t>
  </si>
  <si>
    <t>3_1706121185317019648</t>
  </si>
  <si>
    <t>3_1702068647492042752</t>
  </si>
  <si>
    <t>3_1692973418319056896</t>
  </si>
  <si>
    <t>3_1706733996699168768</t>
  </si>
  <si>
    <t>3_1705272195377713152</t>
  </si>
  <si>
    <t>3_1704185627237830657</t>
  </si>
  <si>
    <t>3_1703281919176110080</t>
  </si>
  <si>
    <t>3_1700490014675619840</t>
  </si>
  <si>
    <t>3_1693748658368311296</t>
  </si>
  <si>
    <t>3_1686722052345020416</t>
  </si>
  <si>
    <t>3_1707109285245624320</t>
  </si>
  <si>
    <t>3_1683479200714440705</t>
  </si>
  <si>
    <t>3_1707109872502816768</t>
  </si>
  <si>
    <t>3_1703283100208316416</t>
  </si>
  <si>
    <t>3_1701331767133646848</t>
  </si>
  <si>
    <t>3_1691861205143482377</t>
  </si>
  <si>
    <t>3_1682403619751051266</t>
  </si>
  <si>
    <t>3_1695068295500644352</t>
  </si>
  <si>
    <t>3_1678565886989328384</t>
  </si>
  <si>
    <t>3_1702324289268297728</t>
  </si>
  <si>
    <t>3_1681370754590310413</t>
  </si>
  <si>
    <t>3_1682517424686481408</t>
  </si>
  <si>
    <t>7_1682089242883661834</t>
  </si>
  <si>
    <t>3_1695054726679740416</t>
  </si>
  <si>
    <t>3_1693948684726075392</t>
  </si>
  <si>
    <t>3_1696123035118338048 3_1696123034682150912</t>
  </si>
  <si>
    <t>3_1698652488029605888</t>
  </si>
  <si>
    <t>3_1699395838970126336</t>
  </si>
  <si>
    <t>3_1703491577795002368</t>
  </si>
  <si>
    <t>3_1705548860486008832</t>
  </si>
  <si>
    <t>7_1704610673785806848</t>
  </si>
  <si>
    <t>3_1679432363888070656</t>
  </si>
  <si>
    <t>3_1695719584148389888</t>
  </si>
  <si>
    <t>7_1702665099163398144</t>
  </si>
  <si>
    <t>3_1684961776046153730</t>
  </si>
  <si>
    <t>7_1704620135175139328</t>
  </si>
  <si>
    <t>7_1706794874844983296</t>
  </si>
  <si>
    <t>3_1688614340499324930</t>
  </si>
  <si>
    <t>3_1703077698438905856</t>
  </si>
  <si>
    <t>7_1707139543068016640</t>
  </si>
  <si>
    <t>3_1693648691289108480</t>
  </si>
  <si>
    <t>3_1678909544213217286 3_1678909544209031173 3_1678909544246779905</t>
  </si>
  <si>
    <t>3_1696540203027210240</t>
  </si>
  <si>
    <t>7_1681370420404944904</t>
  </si>
  <si>
    <t>3_1681794167750443008</t>
  </si>
  <si>
    <t>3_1684255016385671168</t>
  </si>
  <si>
    <t>7_1678476767969832978</t>
  </si>
  <si>
    <t>7_1681345085303144457</t>
  </si>
  <si>
    <t>3_1685624704877346816</t>
  </si>
  <si>
    <t>7_1680971037402451968</t>
  </si>
  <si>
    <t>7_1688625624133345280</t>
  </si>
  <si>
    <t>7_1691198522383831042</t>
  </si>
  <si>
    <t>7_1691209904353062913</t>
  </si>
  <si>
    <t>7_1699487995642966016</t>
  </si>
  <si>
    <t>7_1704154225125494784</t>
  </si>
  <si>
    <t>7_1704183317057187840</t>
  </si>
  <si>
    <t>3_1692599607933513728</t>
  </si>
  <si>
    <t>7_1686074502948536337</t>
  </si>
  <si>
    <t>7_1678766009162039296</t>
  </si>
  <si>
    <t>3_1691527325127516162</t>
  </si>
  <si>
    <t>3_1696536517584572416</t>
  </si>
  <si>
    <t>3_1681670131439599616</t>
  </si>
  <si>
    <t>3_1696854711712854016</t>
  </si>
  <si>
    <t>3_1683527456014123018</t>
  </si>
  <si>
    <t>3_1704936310819962880</t>
  </si>
  <si>
    <t>3_1683944925597929472</t>
  </si>
  <si>
    <t>3_1683944199853420545</t>
  </si>
  <si>
    <t>3_1679113194940383232 3_1679113110081208320 3_1679113110039285760 3_1679113110232154113</t>
  </si>
  <si>
    <t>3_1682013048498794497 3_1682013048523874304 3_1682013048691621889 3_1682013048809160704</t>
  </si>
  <si>
    <t>3_1688548701524856832 3_1688548701587787778 3_1688548701730443264 3_1688548701860401152</t>
  </si>
  <si>
    <t>3_1688548248582041600</t>
  </si>
  <si>
    <t>3_1686002779058290688 3_1686002779267977216 3_1686002779414740992 3_1686002779569958913</t>
  </si>
  <si>
    <t>3_1686001662312288256</t>
  </si>
  <si>
    <t>3_1689984841880616963 3_1689984841880662016 3_1689984842065141761 3_1689984842182676480</t>
  </si>
  <si>
    <t>3_1693969598721269761 3_1693969599010611200 3_1693969599249739776 3_1693969599497113601</t>
  </si>
  <si>
    <t>3_1681657460136857600 3_1681657459750969344 3_1681657459855818757 3_1681657459998375939</t>
  </si>
  <si>
    <t>3_1694336324113694721 3_1694336324105322496 3_1694336324113682432 3_1694336324130455552</t>
  </si>
  <si>
    <t>3_1696506875909378049 3_1696506875913658369 3_1696506876026912768 3_1696506876190474241</t>
  </si>
  <si>
    <t>3_1683464042558500865 3_1683464042554294272 3_1683464042688528384 3_1683464042810155008</t>
  </si>
  <si>
    <t>3_1696151433152761856 3_1696151433454768128 3_1696151433572192256 3_1696151433769263104</t>
  </si>
  <si>
    <t>3_1696876676225937408 3_1696876676246818816 3_1696876676318146560 3_1696876676511043584</t>
  </si>
  <si>
    <t>3_1696151163366711296</t>
  </si>
  <si>
    <t>3_1698672483631521792</t>
  </si>
  <si>
    <t>3_1698670354879692800 3_1698670354867089408 3_1698670354883907584 3_1698670355122954240</t>
  </si>
  <si>
    <t>3_1694695318216904704 3_1694695318216990723 3_1694695318221148160 3_1694695318401503232</t>
  </si>
  <si>
    <t>3_1699043429282349056 3_1699043429508878336 3_1699043429659848704 3_1699043429810880512</t>
  </si>
  <si>
    <t>3_1687458862343860224 3_1687458862352171008 3_1687458862452903936 3_1687458862578667521</t>
  </si>
  <si>
    <t>3_1697226301059252224 3_1697226301097066496 3_1697226301189369856 3_1697226301352951808</t>
  </si>
  <si>
    <t>3_1691084720866504704 3_1691084720988110849 3_1691084721155973120 3_1691084721285918720</t>
  </si>
  <si>
    <t>3_1691083757795573761</t>
  </si>
  <si>
    <t>3_1681283030143336449 3_1681283030130753538 3_1681283030277672960 3_1681283030407577600</t>
  </si>
  <si>
    <t>3_1700148679879938049 3_1700148679879835648 3_1700148679879847936 3_1700148679875653632</t>
  </si>
  <si>
    <t>3_1682376962319187970 3_1682376962529009665 3_1682376962793242624 3_1682376962914877440</t>
  </si>
  <si>
    <t>3_1703751291384578048 3_1703751291590098944 3_1703751291766247424 3_1703751291984281600</t>
  </si>
  <si>
    <t>3_1703750978325942272</t>
  </si>
  <si>
    <t>3_1693602977959809024</t>
  </si>
  <si>
    <t>3_1693602811068428289 3_1693602811072647168 3_1693602811076825088 3_1693602811185946624</t>
  </si>
  <si>
    <t>3_1704468534833676288 3_1704468535068491776 3_1704468535265665024 3_1704468535592833024</t>
  </si>
  <si>
    <t>3_1695051088397832192 3_1695051088397819904 3_1695051088703959041 3_1695051088913645569</t>
  </si>
  <si>
    <t>3_1678744937850982404 3_1678744937888620545 3_1678744937842503680 3_1678744937888727041</t>
  </si>
  <si>
    <t>3_1704101074280251392 3_1704101074280308736 3_1704101074427056128 3_1704101074641022979</t>
  </si>
  <si>
    <t>3_1686370347355172864 3_1686370347384455168 3_1686370347476758528 3_1686370347543916544</t>
  </si>
  <si>
    <t>3_1706288085443522560</t>
  </si>
  <si>
    <t>3_1706282356913344512 3_1706282356904996864 3_1706282356909256704 3_1706282356934418433</t>
  </si>
  <si>
    <t>3_1701204555927609344 3_1701204556070227968 3_1701204556204400640 3_1701204556363751424</t>
  </si>
  <si>
    <t>3_1701204357490851840</t>
  </si>
  <si>
    <t>3_1686727701741109249 3_1686727701749510144 3_1686727701787193345 3_1686727701929857024</t>
  </si>
  <si>
    <t>3_1696218211769864193</t>
  </si>
  <si>
    <t>3_1706351229905903616</t>
  </si>
  <si>
    <t>3_1691896306652897280</t>
  </si>
  <si>
    <t>3_1692663560592068608</t>
  </si>
  <si>
    <t>3_1698393835217240064</t>
  </si>
  <si>
    <t>3_1705314052858159104</t>
  </si>
  <si>
    <t>3_1697596269126938624</t>
  </si>
  <si>
    <t>3_1697431080901447681 3_1697431081190891520 3_1697431081794908160 3_1697431082465935360</t>
  </si>
  <si>
    <t>3_1693627311617155072</t>
  </si>
  <si>
    <t>3_1706371909452017664</t>
  </si>
  <si>
    <t>3_1700120878581702656</t>
  </si>
  <si>
    <t>3_1683931354235383811</t>
  </si>
  <si>
    <t>3_1686114036876742656 3_1686114036872548353 3_1686114036801212416 3_1686114036943892480</t>
  </si>
  <si>
    <t>7_1686826572722954240</t>
  </si>
  <si>
    <t>3_1704239659063058432</t>
  </si>
  <si>
    <t>3_1685007438691340288</t>
  </si>
  <si>
    <t>3_1679184561811648512 3_1679184566647660544</t>
  </si>
  <si>
    <t>3_1678828407260344353</t>
  </si>
  <si>
    <t>3_1678781700242014211</t>
  </si>
  <si>
    <t>3_1678774455613661192</t>
  </si>
  <si>
    <t>3_1680968769336750081</t>
  </si>
  <si>
    <t>3_1686106912847257600</t>
  </si>
  <si>
    <t>3_1693722264598925312</t>
  </si>
  <si>
    <t>3_1691129583813251081</t>
  </si>
  <si>
    <t>3_1703844814158999552</t>
  </si>
  <si>
    <t>3_1702846573745479680</t>
  </si>
  <si>
    <t>3_1703838421704151040</t>
  </si>
  <si>
    <t>3_1679176000205389825</t>
  </si>
  <si>
    <t>3_1702748605549842432</t>
  </si>
  <si>
    <t>3_1702744278592589825</t>
  </si>
  <si>
    <t>3_1680139390880825344</t>
  </si>
  <si>
    <t>3_1684623374050263041</t>
  </si>
  <si>
    <t>3_1684311934126944257</t>
  </si>
  <si>
    <t>3_1685063551327567872</t>
  </si>
  <si>
    <t>3_1687780098978574336 3_1687780098949156865</t>
  </si>
  <si>
    <t>3_1700555629553680384</t>
  </si>
  <si>
    <t>3_1697259583201521664</t>
  </si>
  <si>
    <t>3_1701916708888342528</t>
  </si>
  <si>
    <t>3_1695501365911457792</t>
  </si>
  <si>
    <t>3_1698038080517623808</t>
  </si>
  <si>
    <t>3_1700574795656515584</t>
  </si>
  <si>
    <t>3_1703111511088992256</t>
  </si>
  <si>
    <t>3_1705648226496335874</t>
  </si>
  <si>
    <t>7_1695457427439632385</t>
  </si>
  <si>
    <t>7_1680946644014039046</t>
  </si>
  <si>
    <t>7_1678581431470026755</t>
  </si>
  <si>
    <t>3_1678581370153578496 3_1678581381373329409</t>
  </si>
  <si>
    <t>7_1681417818070237188</t>
  </si>
  <si>
    <t>3_1681417684519469057 3_1681417698394210304</t>
  </si>
  <si>
    <t>7_1681417500565676033</t>
  </si>
  <si>
    <t>3_1681417370332545026 3_1681417388066066433</t>
  </si>
  <si>
    <t>7_1679950862494449664</t>
  </si>
  <si>
    <t>3_1679950806433374208 3_1679950815333695490</t>
  </si>
  <si>
    <t>7_1682135067512958978</t>
  </si>
  <si>
    <t>3_1682135001494585349 3_1682135008981426178</t>
  </si>
  <si>
    <t>7_1681808595581644802</t>
  </si>
  <si>
    <t>3_1681808502287745024 3_1681808510667874306</t>
  </si>
  <si>
    <t>7_1679593683669209089</t>
  </si>
  <si>
    <t>3_1679593612055568387 3_1679593620523941888</t>
  </si>
  <si>
    <t>7_1678874807759151109</t>
  </si>
  <si>
    <t>3_1678874758052556805 3_1678874765270949890</t>
  </si>
  <si>
    <t>7_1683937590183972864</t>
  </si>
  <si>
    <t>3_1683937545380409349 3_1683937552422633472</t>
  </si>
  <si>
    <t>7_1680740401378885640</t>
  </si>
  <si>
    <t>3_1680740319321571335 3_1680740327903178752</t>
  </si>
  <si>
    <t>7_1680337641399517186</t>
  </si>
  <si>
    <t>3_1680337584189218820 3_1680337591797776388</t>
  </si>
  <si>
    <t>7_1684293759222132738</t>
  </si>
  <si>
    <t>3_1684293694436921348 3_1684293703106535427</t>
  </si>
  <si>
    <t>7_1686110436641398784</t>
  </si>
  <si>
    <t>3_1686110377933733888 3_1686110385684795392</t>
  </si>
  <si>
    <t>7_1679232335819026433</t>
  </si>
  <si>
    <t>3_1679232273575444482 3_1679232283708981250</t>
  </si>
  <si>
    <t>7_1688591083154948104</t>
  </si>
  <si>
    <t>3_1688591051815108610</t>
  </si>
  <si>
    <t>7_1690029884263825409</t>
  </si>
  <si>
    <t>3_1690029638699884545</t>
  </si>
  <si>
    <t>7_1683585416153243650</t>
  </si>
  <si>
    <t>3_1683585285433487361 3_1683585293637632001</t>
  </si>
  <si>
    <t>7_1691555014097973248</t>
  </si>
  <si>
    <t>3_1691554977154539521</t>
  </si>
  <si>
    <t>3_1691101643687731200</t>
  </si>
  <si>
    <t>7_1688553649901830144</t>
  </si>
  <si>
    <t>7_1691104487279058944</t>
  </si>
  <si>
    <t>3_1684231571937673217</t>
  </si>
  <si>
    <t>3_1681648384170500097</t>
  </si>
  <si>
    <t>3_1694878884263550976</t>
  </si>
  <si>
    <t>7_1687209780727697408</t>
  </si>
  <si>
    <t>3_1704823346112659456</t>
  </si>
  <si>
    <t>3_1689292311828557824</t>
  </si>
  <si>
    <t>3_1700363558658138112</t>
  </si>
  <si>
    <t>13_1707069362182537218</t>
  </si>
  <si>
    <t>3_1707153102342672384</t>
  </si>
  <si>
    <t>3_1680990807736692736</t>
  </si>
  <si>
    <t>3_1684845212437295104</t>
  </si>
  <si>
    <t>3_1691145061935755279</t>
  </si>
  <si>
    <t>3_1691795530311999488</t>
  </si>
  <si>
    <t>3_1696448577315229696</t>
  </si>
  <si>
    <t>3_1696448568175779840</t>
  </si>
  <si>
    <t>3_1693044650179801088</t>
  </si>
  <si>
    <t>3_1692204358518099968</t>
  </si>
  <si>
    <t>3_1682122880182517761</t>
  </si>
  <si>
    <t>3_1682119851962236928</t>
  </si>
  <si>
    <t>3_1682119250096300034</t>
  </si>
  <si>
    <t>13_1706284742755094528</t>
  </si>
  <si>
    <t>7_1679905311593725969</t>
  </si>
  <si>
    <t>3_1686161041250562048 3_1686161041242103808 3_1686161041246257153</t>
  </si>
  <si>
    <t>3_1686158526651990017 3_1686158526731685890 3_1686158526811394048</t>
  </si>
  <si>
    <t>3_1702334086055145472</t>
  </si>
  <si>
    <t>7_1706424358850158592</t>
  </si>
  <si>
    <t>3_1678779952282603529</t>
  </si>
  <si>
    <t>3_1701303167399440384</t>
  </si>
  <si>
    <t>7_1703754288441229312</t>
  </si>
  <si>
    <t>3_1686519209168097280</t>
  </si>
  <si>
    <t>3_1691947583520886785</t>
  </si>
  <si>
    <t>3_1689653713592573952</t>
  </si>
  <si>
    <t>3_1699546013965352960</t>
  </si>
  <si>
    <t>3_1699545841185210369</t>
  </si>
  <si>
    <t>3_1701728054073032704</t>
  </si>
  <si>
    <t>3_1687609176195739648</t>
  </si>
  <si>
    <t>3_1702116887088263168</t>
  </si>
  <si>
    <t>3_1683418496313577472</t>
  </si>
  <si>
    <t>3_1686055387919695872</t>
  </si>
  <si>
    <t>7_1683512830987837443</t>
  </si>
  <si>
    <t>7_1688972139792109580</t>
  </si>
  <si>
    <t>3_1705330164761010176</t>
  </si>
  <si>
    <t>3_1702353612490280960</t>
  </si>
  <si>
    <t>3_1704147542450360320</t>
  </si>
  <si>
    <t>3_1689760790390231041 3_1689760790406963200</t>
  </si>
  <si>
    <t>3_1701227668916617216</t>
  </si>
  <si>
    <t>7_1687524608163844096</t>
  </si>
  <si>
    <t>3_1686202627271413760</t>
  </si>
  <si>
    <t>7_1690755108118650881</t>
  </si>
  <si>
    <t>7_1697346484373438464</t>
  </si>
  <si>
    <t>7_1688940982929092608</t>
  </si>
  <si>
    <t>3_1683227033441107968</t>
  </si>
  <si>
    <t>3_1683802063518552064</t>
  </si>
  <si>
    <t>3_1694901468245970944</t>
  </si>
  <si>
    <t>3_1693865636462776320</t>
  </si>
  <si>
    <t>7_1696146939694231552</t>
  </si>
  <si>
    <t>7_1698667363749535744</t>
  </si>
  <si>
    <t>7_1696873216730419200</t>
  </si>
  <si>
    <t>3_1699594370117206016</t>
  </si>
  <si>
    <t>7_1703741141986734080</t>
  </si>
  <si>
    <t>7_1706287461897289728</t>
  </si>
  <si>
    <t>7_1701202630163202048</t>
  </si>
  <si>
    <t>3_1678875578072432640</t>
  </si>
  <si>
    <t>3_1678513191393918976</t>
  </si>
  <si>
    <t>3_1683586621336088578</t>
  </si>
  <si>
    <t>3_1682499457340850177</t>
  </si>
  <si>
    <t>3_1684673782600863744</t>
  </si>
  <si>
    <t>3_1682137066459545603</t>
  </si>
  <si>
    <t>3_1685036165739446273</t>
  </si>
  <si>
    <t>3_1692646316596158464</t>
  </si>
  <si>
    <t>3_1689384828897046529</t>
  </si>
  <si>
    <t>3_1686485718443622401</t>
  </si>
  <si>
    <t>3_1691921541129236480</t>
  </si>
  <si>
    <t>3_1688660043854454784</t>
  </si>
  <si>
    <t>3_1681774680351416325</t>
  </si>
  <si>
    <t>3_1688520418775220224</t>
  </si>
  <si>
    <t>3_1681412291663650816</t>
  </si>
  <si>
    <t>3_1689747216984875008</t>
  </si>
  <si>
    <t>3_1679962742847840257</t>
  </si>
  <si>
    <t>3_1689022435117449216</t>
  </si>
  <si>
    <t>3_1691057127714873344</t>
  </si>
  <si>
    <t>3_1691559153179721729</t>
  </si>
  <si>
    <t>3_1691196760201326592</t>
  </si>
  <si>
    <t>3_1687572885769011200</t>
  </si>
  <si>
    <t>3_1683949012422889474</t>
  </si>
  <si>
    <t>3_1692283931012268039</t>
  </si>
  <si>
    <t>3_1685983733462048769</t>
  </si>
  <si>
    <t>3_1694095865890095104</t>
  </si>
  <si>
    <t>3_1695183031743451137</t>
  </si>
  <si>
    <t>3_1681049905635246080</t>
  </si>
  <si>
    <t>3_1694458253948649472</t>
  </si>
  <si>
    <t>3_1690109596671655937</t>
  </si>
  <si>
    <t>3_1694820647468224513</t>
  </si>
  <si>
    <t>3_1686123329290145792</t>
  </si>
  <si>
    <t>3_1679237969314476034</t>
  </si>
  <si>
    <t>3_1696130563642458112</t>
  </si>
  <si>
    <t>3_1684311398619258880</t>
  </si>
  <si>
    <t>3_1701204001134436352</t>
  </si>
  <si>
    <t>3_1693733479547068417</t>
  </si>
  <si>
    <t>3_1703740721113489408</t>
  </si>
  <si>
    <t>3_1693593866685825024</t>
  </si>
  <si>
    <t>3_1686848106652971009</t>
  </si>
  <si>
    <t>3_1679600356060282882</t>
  </si>
  <si>
    <t>3_1706277444708093952</t>
  </si>
  <si>
    <t>3_1698667290231701504</t>
  </si>
  <si>
    <t>3_1687210498234736640</t>
  </si>
  <si>
    <t>3_1680925461394620417</t>
  </si>
  <si>
    <t>3_1704108747411312640</t>
  </si>
  <si>
    <t>3_1685812758103687168</t>
  </si>
  <si>
    <t>7_1689912129812307969</t>
  </si>
  <si>
    <t>7_1699662589758722048</t>
  </si>
  <si>
    <t>7_1701494966797676544</t>
  </si>
  <si>
    <t>7_1687011781988769792</t>
  </si>
  <si>
    <t>7_1690999286329159680</t>
  </si>
  <si>
    <t>7_1684564295076691971</t>
  </si>
  <si>
    <t>7_1693900881199091713</t>
  </si>
  <si>
    <t>7_1696801236417220608</t>
  </si>
  <si>
    <t>7_1688573563656077312</t>
  </si>
  <si>
    <t>3_1678825747325022228</t>
  </si>
  <si>
    <t>3_1678825515795247108</t>
  </si>
  <si>
    <t>3_1679548277388107777</t>
  </si>
  <si>
    <t>3_1679548078460641286</t>
  </si>
  <si>
    <t>3_1679522821309886467</t>
  </si>
  <si>
    <t>3_1687171541589483520</t>
  </si>
  <si>
    <t>3_1687160246395944974</t>
  </si>
  <si>
    <t>3_1682820229309530118</t>
  </si>
  <si>
    <t>3_1682819452985831424</t>
  </si>
  <si>
    <t>3_1682789416648024067</t>
  </si>
  <si>
    <t>3_1682789179418189824</t>
  </si>
  <si>
    <t>3_1682788936425324544</t>
  </si>
  <si>
    <t>3_1682788511940837381</t>
  </si>
  <si>
    <t>3_1682788325302697985</t>
  </si>
  <si>
    <t>3_1682788097912700928</t>
  </si>
  <si>
    <t>3_1679134234424877059</t>
  </si>
  <si>
    <t>3_1679134059895693313</t>
  </si>
  <si>
    <t>3_1684275773429932047</t>
  </si>
  <si>
    <t>3_1684275601312477185</t>
  </si>
  <si>
    <t>3_1684275423096496148</t>
  </si>
  <si>
    <t>3_1684275323397890067</t>
  </si>
  <si>
    <t>3_1685028025161719808</t>
  </si>
  <si>
    <t>3_1685006058744418304</t>
  </si>
  <si>
    <t>3_1686439345861828608</t>
  </si>
  <si>
    <t>3_1686427580205846535</t>
  </si>
  <si>
    <t>3_1686395194378158080</t>
  </si>
  <si>
    <t>3_1686344872087662592</t>
  </si>
  <si>
    <t>3_1688646811471269894</t>
  </si>
  <si>
    <t>3_1684634926006542336</t>
  </si>
  <si>
    <t>3_1684623611632521216</t>
  </si>
  <si>
    <t>3_1681750539573293057</t>
  </si>
  <si>
    <t>3_1687492591602802688</t>
  </si>
  <si>
    <t>3_1687487431635808257</t>
  </si>
  <si>
    <t>3_1687484257499803648</t>
  </si>
  <si>
    <t>3_1681259322859220994</t>
  </si>
  <si>
    <t>3_1681259029337612293</t>
  </si>
  <si>
    <t>3_1688608872750059520</t>
  </si>
  <si>
    <t>3_1688579216525205506</t>
  </si>
  <si>
    <t>3_1688559208134791168</t>
  </si>
  <si>
    <t>3_1684613405997400075</t>
  </si>
  <si>
    <t>3_1681689542288367617</t>
  </si>
  <si>
    <t>3_1681678717569974275</t>
  </si>
  <si>
    <t>3_1681671318847070209</t>
  </si>
  <si>
    <t>3_1691144877919055897</t>
  </si>
  <si>
    <t>3_1688614657425088513</t>
  </si>
  <si>
    <t>3_1679548484083482624</t>
  </si>
  <si>
    <t>3_1688961029584171015</t>
  </si>
  <si>
    <t>3_1688941762201497600</t>
  </si>
  <si>
    <t>3_1688937190774939649</t>
  </si>
  <si>
    <t>3_1688879644009787392</t>
  </si>
  <si>
    <t>3_1690057956593672213</t>
  </si>
  <si>
    <t>3_1683591491174760450</t>
  </si>
  <si>
    <t>3_1683548955496333313</t>
  </si>
  <si>
    <t>3_1691776696683302914</t>
  </si>
  <si>
    <t>3_1691769759925166080</t>
  </si>
  <si>
    <t>3_1691765198342746112</t>
  </si>
  <si>
    <t>3_1684528103572267008</t>
  </si>
  <si>
    <t>3_1684527850458599425</t>
  </si>
  <si>
    <t>3_1684527597294592000</t>
  </si>
  <si>
    <t>3_1684527401672351745</t>
  </si>
  <si>
    <t>3_1690097593626300416</t>
  </si>
  <si>
    <t>3_1690097351338213376</t>
  </si>
  <si>
    <t>3_1691140880822841348</t>
  </si>
  <si>
    <t>3_1691134398874243088</t>
  </si>
  <si>
    <t>3_1691124192597495815</t>
  </si>
  <si>
    <t>3_1691124017241956352</t>
  </si>
  <si>
    <t>3_1691418019501654016</t>
  </si>
  <si>
    <t>3_1687155803554267149</t>
  </si>
  <si>
    <t>3_1687107924840312832</t>
  </si>
  <si>
    <t>3_1692556944018452480</t>
  </si>
  <si>
    <t>3_1690393305375244288</t>
  </si>
  <si>
    <t>3_1693742038829699073</t>
  </si>
  <si>
    <t>3_1693737005199372288</t>
  </si>
  <si>
    <t>3_1693733476992778242</t>
  </si>
  <si>
    <t>3_1686769425762975744</t>
  </si>
  <si>
    <t>3_1694808475736371200</t>
  </si>
  <si>
    <t>3_1686109556852621312</t>
  </si>
  <si>
    <t>3_1686109235203936257</t>
  </si>
  <si>
    <t>3_1693939971915198464</t>
  </si>
  <si>
    <t>3_1689240019888701440</t>
  </si>
  <si>
    <t>3_1689239637447843841</t>
  </si>
  <si>
    <t>3_1682145120324296708</t>
  </si>
  <si>
    <t>3_1694354603297353729</t>
  </si>
  <si>
    <t>3_1687104764511969280</t>
  </si>
  <si>
    <t>3_1683548782086987785</t>
  </si>
  <si>
    <t>3_1683545677370892299</t>
  </si>
  <si>
    <t>3_1696932921737691136</t>
  </si>
  <si>
    <t>3_1684893186223693824</t>
  </si>
  <si>
    <t>3_1682419258100203523</t>
  </si>
  <si>
    <t>3_1682404489456746500</t>
  </si>
  <si>
    <t>3_1682357288491708419</t>
  </si>
  <si>
    <t>7_1682402384511655937</t>
  </si>
  <si>
    <t>3_1697715764252364800</t>
  </si>
  <si>
    <t>3_1679880663816626177</t>
  </si>
  <si>
    <t>3_1707348062807404544</t>
  </si>
  <si>
    <t>3_1696322816604286976 3_1696322816595873793</t>
  </si>
  <si>
    <t>3_1699347685885526016</t>
  </si>
  <si>
    <t>3_1691220043864932352</t>
  </si>
  <si>
    <t>3_1695397578571952128</t>
  </si>
  <si>
    <t>3_1696124056993452032</t>
  </si>
  <si>
    <t>3_1706712305306648576</t>
  </si>
  <si>
    <t>3_1702754215959855104</t>
  </si>
  <si>
    <t>3_1702373565104877569</t>
  </si>
  <si>
    <t>3_1699525060417994752</t>
  </si>
  <si>
    <t>3_1701324454029152256</t>
  </si>
  <si>
    <t>3_1701675239007027200</t>
  </si>
  <si>
    <t>3_1705291795045736448</t>
  </si>
  <si>
    <t>3_1704228404516585472</t>
  </si>
  <si>
    <t>3_1704595272183988224</t>
  </si>
  <si>
    <t>3_1704958264260100096</t>
  </si>
  <si>
    <t>3_1707135026914074624</t>
  </si>
  <si>
    <t>3_1706409435306795008</t>
  </si>
  <si>
    <t>3_1702045618380644352</t>
  </si>
  <si>
    <t>3_1692219853531197468 3_1692219853833187349 3_1692219853757689870 3_1692219853858353167</t>
  </si>
  <si>
    <t>3_1699619727188860928</t>
  </si>
  <si>
    <t>3_1699568894451568640</t>
  </si>
  <si>
    <t>3_1692929701369548800</t>
  </si>
  <si>
    <t>3_1702096124130045953</t>
  </si>
  <si>
    <t>7_1701359045783752704</t>
  </si>
  <si>
    <t>3_1696465789212049408</t>
  </si>
  <si>
    <t>3_1698451256824434688</t>
  </si>
  <si>
    <t>7_1692630551323168768</t>
  </si>
  <si>
    <t>3_1688633855257743360</t>
  </si>
  <si>
    <t>7_1682689808655630336</t>
  </si>
  <si>
    <t>3_1698092701885837312</t>
  </si>
  <si>
    <t>3_1691520360166903809</t>
  </si>
  <si>
    <t>3_1689033372390035456</t>
  </si>
  <si>
    <t>3_1697479978114224128</t>
  </si>
  <si>
    <t>7_1696003611581390850</t>
  </si>
  <si>
    <t>7_1682483382171623428</t>
  </si>
  <si>
    <t>7_1686892458674638848</t>
  </si>
  <si>
    <t>7_1687325376853258240</t>
  </si>
  <si>
    <t>3_1688244327372234752 3_1688244333625880576 3_1688244339128803328 3_1688244344350744577</t>
  </si>
  <si>
    <t>3_1683087060444278784</t>
  </si>
  <si>
    <t>3_1683060132995911680</t>
  </si>
  <si>
    <t>3_1684550608223719424</t>
  </si>
  <si>
    <t>3_1682707388787224577</t>
  </si>
  <si>
    <t>3_1678938253309755392</t>
  </si>
  <si>
    <t>3_1691903151928918016</t>
  </si>
  <si>
    <t>3_1688252345866395648</t>
  </si>
  <si>
    <t>3_1686039931380969472</t>
  </si>
  <si>
    <t>3_1691606412013543426</t>
  </si>
  <si>
    <t>3_1682322019671592960</t>
  </si>
  <si>
    <t>3_1691034931017682945</t>
  </si>
  <si>
    <t>3_1683837601722269697</t>
  </si>
  <si>
    <t>3_1690321269634301952</t>
  </si>
  <si>
    <t>3_1680641193971965952</t>
  </si>
  <si>
    <t>3_1680571358336413696</t>
  </si>
  <si>
    <t>3_1680153983644577792</t>
  </si>
  <si>
    <t>3_1695372764067041280</t>
  </si>
  <si>
    <t>3_1692460574875979776</t>
  </si>
  <si>
    <t>3_1693005881477144576</t>
  </si>
  <si>
    <t>3_1697025712568385536</t>
  </si>
  <si>
    <t>3_1697407908374253568</t>
  </si>
  <si>
    <t>3_1696268956166701056</t>
  </si>
  <si>
    <t>3_1696268866635042816</t>
  </si>
  <si>
    <t>3_1701318281485844480</t>
  </si>
  <si>
    <t>3_1690355422660612096</t>
  </si>
  <si>
    <t>3_1703019340289765376</t>
  </si>
  <si>
    <t>3_1698995132782043136</t>
  </si>
  <si>
    <t>3_1691006745378721793</t>
  </si>
  <si>
    <t>3_1703199736235225088</t>
  </si>
  <si>
    <t>3_1703194850776973312</t>
  </si>
  <si>
    <t>3_1693728984977014784</t>
  </si>
  <si>
    <t>3_1705968135281491968</t>
  </si>
  <si>
    <t>3_1698306034425565184</t>
  </si>
  <si>
    <t>3_1706063557777911808</t>
  </si>
  <si>
    <t>3_1693271420548124672</t>
  </si>
  <si>
    <t>3_1706305552916094976</t>
  </si>
  <si>
    <t>3_1705165541177020416</t>
  </si>
  <si>
    <t>3_1706682788647235584</t>
  </si>
  <si>
    <t>3_1685621259537715200</t>
  </si>
  <si>
    <t>3_1685312077542375424</t>
  </si>
  <si>
    <t>3_1685268937393524736</t>
  </si>
  <si>
    <t>3_1686841064492019714</t>
  </si>
  <si>
    <t>3_1703117588379688960</t>
  </si>
  <si>
    <t>3_1680910397736468481</t>
  </si>
  <si>
    <t>3_1687940262956290049</t>
  </si>
  <si>
    <t>3_1693977054679564288</t>
  </si>
  <si>
    <t>7_1681278369126645760</t>
  </si>
  <si>
    <t>7_1678826552132268052</t>
  </si>
  <si>
    <t>7_1684180077582450689</t>
  </si>
  <si>
    <t>7_1683532762580484096</t>
  </si>
  <si>
    <t>7_1686801245208539139</t>
  </si>
  <si>
    <t>7_1691801737194086401</t>
  </si>
  <si>
    <t>7_1687591056643141633</t>
  </si>
  <si>
    <t>7_1691996845814304768</t>
  </si>
  <si>
    <t>3_1682042774177329155</t>
  </si>
  <si>
    <t>3_1684579486048862209</t>
  </si>
  <si>
    <t>3_1687116200004956160</t>
  </si>
  <si>
    <t>3_1692189626121732096</t>
  </si>
  <si>
    <t>3_1697263095603994624</t>
  </si>
  <si>
    <t>3_1702336495405998080</t>
  </si>
  <si>
    <t>3_1678911408488972289</t>
  </si>
  <si>
    <t>3_1679845428727099394</t>
  </si>
  <si>
    <t>3_1679834463029678080</t>
  </si>
  <si>
    <t>3_1688551548144504832</t>
  </si>
  <si>
    <t>7_1700562798747516928</t>
  </si>
  <si>
    <t>3_1681830610325872641</t>
  </si>
  <si>
    <t>7_1694708400817647616</t>
  </si>
  <si>
    <t>3_1679435868661063680</t>
  </si>
  <si>
    <t>3_1687520220846411776</t>
  </si>
  <si>
    <t>3_1694055833590468608</t>
  </si>
  <si>
    <t>3_1688541142130860032</t>
  </si>
  <si>
    <t>3_1693969630732120064</t>
  </si>
  <si>
    <t>3_1695077169368543232</t>
  </si>
  <si>
    <t>3_1695069035929518080</t>
  </si>
  <si>
    <t>3_1693963299874820097</t>
  </si>
  <si>
    <t>3_1694341145218703361</t>
  </si>
  <si>
    <t>3_1687088434077220864</t>
  </si>
  <si>
    <t>3_1688892731081248770</t>
  </si>
  <si>
    <t>3_1694411562780364800</t>
  </si>
  <si>
    <t>3_1704425131525779456</t>
  </si>
  <si>
    <t>3_1704451777465073664</t>
  </si>
  <si>
    <t>3_1705212350163206145</t>
  </si>
  <si>
    <t>3_1704415491580645376</t>
  </si>
  <si>
    <t>3_1678666673925111808</t>
  </si>
  <si>
    <t>3_1679521223930269696</t>
  </si>
  <si>
    <t>3_1681836008793415680</t>
  </si>
  <si>
    <t>3_1694537634872537088</t>
  </si>
  <si>
    <t>3_1701285098421686273</t>
  </si>
  <si>
    <t>3_1701282585735802881</t>
  </si>
  <si>
    <t>3_1703919002962042880</t>
  </si>
  <si>
    <t>3_1703916029921939456</t>
  </si>
  <si>
    <t>3_1705659577780342784</t>
  </si>
  <si>
    <t>7_1689755121985437696</t>
  </si>
  <si>
    <t>7_1702415883652440064</t>
  </si>
  <si>
    <t>3_1679873696402374659 3_1679873710856065025 3_1679873725007527936 3_1679873749200281602</t>
  </si>
  <si>
    <t>3_1682484400510971910 3_1682484411843969024 3_1682484422698827777 3_1682484433205489671</t>
  </si>
  <si>
    <t>3_1684965486885289984 3_1684965501347254272 3_1684965515888926733 3_1684965531735007234</t>
  </si>
  <si>
    <t>3_1687542034939133952 3_1687542046335115266 3_1687542059853303808 3_1687542073950420993</t>
  </si>
  <si>
    <t>3_1692623282825031680 3_1692623282845974528 3_1692623282808184832 3_1692623360419586049</t>
  </si>
  <si>
    <t>3_1690099949323603968 3_1690099949340352512 3_1690099949327802369 3_1690099949332021249</t>
  </si>
  <si>
    <t>3_1695160207490289664 3_1695160222312992768 3_1695160266864906240 3_1695160280521596928</t>
  </si>
  <si>
    <t>3_1697684691413766144 3_1697684701857619968 3_1697684711349358592 3_1697684720098717696</t>
  </si>
  <si>
    <t>3_1705288617881448448 3_1705288631068282880 3_1705288644217507840 3_1705288657798619136</t>
  </si>
  <si>
    <t>3_1702754974122364929 3_1702754985274949632 3_1702754992313044992 3_1702755000093466624</t>
  </si>
  <si>
    <t>7_1690234020888555520</t>
  </si>
  <si>
    <t>3_1691474997359865857 3_1691474997368307713</t>
  </si>
  <si>
    <t>3_1692308056472690688 3_1692308056472764417 3_1692308056472748032</t>
  </si>
  <si>
    <t>3_1693644141278728193 3_1693644161675620352</t>
  </si>
  <si>
    <t>3_1686865465832779776</t>
  </si>
  <si>
    <t>3_1686299465085284352 3_1686299702113771520</t>
  </si>
  <si>
    <t>13_1679105611814846469</t>
  </si>
  <si>
    <t>13_1696145249372942337</t>
  </si>
  <si>
    <t>13_1698678459592003584</t>
  </si>
  <si>
    <t>3_1679808145785225217</t>
  </si>
  <si>
    <t>3_1688791503651340288</t>
  </si>
  <si>
    <t>3_1686070544892903434</t>
  </si>
  <si>
    <t>3_1679187133850873856</t>
  </si>
  <si>
    <t>3_1679184671697956865</t>
  </si>
  <si>
    <t>3_1688431378499600386</t>
  </si>
  <si>
    <t>16_1681542841875537921</t>
  </si>
  <si>
    <t>3_1681540635692523520</t>
  </si>
  <si>
    <t>3_1686612095322726400</t>
  </si>
  <si>
    <t>3_1685887064431038464</t>
  </si>
  <si>
    <t>3_1691871670879813632</t>
  </si>
  <si>
    <t>3_1691869515754168320</t>
  </si>
  <si>
    <t>3_1692424651010445312</t>
  </si>
  <si>
    <t>3_1692423539528245249</t>
  </si>
  <si>
    <t>3_1689509403098005504</t>
  </si>
  <si>
    <t>3_1689508067807768576</t>
  </si>
  <si>
    <t>3_1683424685004931074</t>
  </si>
  <si>
    <t>3_1679547866128195598</t>
  </si>
  <si>
    <t>3_1692229244946874368</t>
  </si>
  <si>
    <t>3_1681362811975266304</t>
  </si>
  <si>
    <t>3_1681361372637003777</t>
  </si>
  <si>
    <t>3_1678462272308387845</t>
  </si>
  <si>
    <t>3_1692596809141530624</t>
  </si>
  <si>
    <t>3_1692594642208907265</t>
  </si>
  <si>
    <t>3_1689332317192429568</t>
  </si>
  <si>
    <t>3_1679002307025936384</t>
  </si>
  <si>
    <t>3_1679000591748530176</t>
  </si>
  <si>
    <t>3_1683796646373515264</t>
  </si>
  <si>
    <t>3_1681179208490295297</t>
  </si>
  <si>
    <t>3_1681177537815142401</t>
  </si>
  <si>
    <t>3_1697301972905271296</t>
  </si>
  <si>
    <t>3_1683709832115675136</t>
  </si>
  <si>
    <t>3_1699306651679956992</t>
  </si>
  <si>
    <t>3_1699304469211615233</t>
  </si>
  <si>
    <t>3_1684619020006301696</t>
  </si>
  <si>
    <t>3_1698574391599144960</t>
  </si>
  <si>
    <t>3_1696022258353889281</t>
  </si>
  <si>
    <t>3_1689694738746626049</t>
  </si>
  <si>
    <t>3_1699642325180309504</t>
  </si>
  <si>
    <t>3_1688605590094802944</t>
  </si>
  <si>
    <t>3_1681723175481032723</t>
  </si>
  <si>
    <t>3_1681718884561240077</t>
  </si>
  <si>
    <t>3_1700029292648841216</t>
  </si>
  <si>
    <t>3_1696215207381442560</t>
  </si>
  <si>
    <t>3_1691699077388378112</t>
  </si>
  <si>
    <t>3_1689162722817028096</t>
  </si>
  <si>
    <t>3_1689161403385389056</t>
  </si>
  <si>
    <t>3_1701654845373980672</t>
  </si>
  <si>
    <t>3_1700202473649012736</t>
  </si>
  <si>
    <t>3_1696940130085281792</t>
  </si>
  <si>
    <t>3_1696938167734046720</t>
  </si>
  <si>
    <t>3_1689690756703793153</t>
  </si>
  <si>
    <t>3_1679362087615692801</t>
  </si>
  <si>
    <t>3_1701843612646940672</t>
  </si>
  <si>
    <t>3_1701842226211422208</t>
  </si>
  <si>
    <t>3_1699471816476033024</t>
  </si>
  <si>
    <t>3_1696024336098824192</t>
  </si>
  <si>
    <t>3_1691142448217563136</t>
  </si>
  <si>
    <t>3_1683899751819796480</t>
  </si>
  <si>
    <t>16_1702205988273623040</t>
  </si>
  <si>
    <t>3_1702204491192258560</t>
  </si>
  <si>
    <t>3_1702645735810850816</t>
  </si>
  <si>
    <t>3_1697475474287386624</t>
  </si>
  <si>
    <t>3_1684079313568636928</t>
  </si>
  <si>
    <t>16_1690955513545076738</t>
  </si>
  <si>
    <t>3_1687333637497274368</t>
  </si>
  <si>
    <t>3_1687330805910065152</t>
  </si>
  <si>
    <t>3_1681000553357213696</t>
  </si>
  <si>
    <t>3_1680997607479422977</t>
  </si>
  <si>
    <t>3_1704380509097201664</t>
  </si>
  <si>
    <t>3_1702741743022563328</t>
  </si>
  <si>
    <t>3_1702739914339594240</t>
  </si>
  <si>
    <t>3_1684982646370119690</t>
  </si>
  <si>
    <t>3_1678636539532673025</t>
  </si>
  <si>
    <t>3_1704557904013967360</t>
  </si>
  <si>
    <t>3_1704014113368588289</t>
  </si>
  <si>
    <t>3_1704012432933298176</t>
  </si>
  <si>
    <t>3_1703830736992608256</t>
  </si>
  <si>
    <t>3_1703828784355422208</t>
  </si>
  <si>
    <t>3_1686436169209303041</t>
  </si>
  <si>
    <t>3_1686260475468599297</t>
  </si>
  <si>
    <t>3_1686259514733907970</t>
  </si>
  <si>
    <t>3_1698946182699962368</t>
  </si>
  <si>
    <t>3_1695038239722057728</t>
  </si>
  <si>
    <t>3_1678823685241597973</t>
  </si>
  <si>
    <t>3_1706913318575685632</t>
  </si>
  <si>
    <t>3_1702012367331106816</t>
  </si>
  <si>
    <t>3_1702011292083453952</t>
  </si>
  <si>
    <t>3_1693502771528450049</t>
  </si>
  <si>
    <t>3_1686957272000299008</t>
  </si>
  <si>
    <t>3_1686956067819786240</t>
  </si>
  <si>
    <t>3_1679907036027289603</t>
  </si>
  <si>
    <t>3_1679727007054151680</t>
  </si>
  <si>
    <t>3_1701118082540867584</t>
  </si>
  <si>
    <t>3_1693681186319564800</t>
  </si>
  <si>
    <t>3_1706626285567410176</t>
  </si>
  <si>
    <t>3_1694666802670792704</t>
  </si>
  <si>
    <t>3_1687159247090434053</t>
  </si>
  <si>
    <t>3_1680814161557610498</t>
  </si>
  <si>
    <t>3_1680812553901953029</t>
  </si>
  <si>
    <t>3_1706724547716640768</t>
  </si>
  <si>
    <t>3_1706266694576947200</t>
  </si>
  <si>
    <t>3_1703648143781273600</t>
  </si>
  <si>
    <t>3_1701487856378626048</t>
  </si>
  <si>
    <t>3_1701486874672402432</t>
  </si>
  <si>
    <t>3_1692056846809305088</t>
  </si>
  <si>
    <t>3_1684258838281699329</t>
  </si>
  <si>
    <t>3_1706552513460133888</t>
  </si>
  <si>
    <t>3_1704197055504150528</t>
  </si>
  <si>
    <t>3_1704195100203515904</t>
  </si>
  <si>
    <t>3_1702379262550904832</t>
  </si>
  <si>
    <t>3_1702375880712912896</t>
  </si>
  <si>
    <t>3_1690054356916150281</t>
  </si>
  <si>
    <t>3_1689879098464612352</t>
  </si>
  <si>
    <t>3_1679618643053756417</t>
  </si>
  <si>
    <t>3_1685674047604985856</t>
  </si>
  <si>
    <t>3_1689012196833943552</t>
  </si>
  <si>
    <t>3_1700155760041132032</t>
  </si>
  <si>
    <t>7_1698040292715159552</t>
  </si>
  <si>
    <t>3_1685004956980420608</t>
  </si>
  <si>
    <t>13_1702307753048395776</t>
  </si>
  <si>
    <t>13_1704201803531689984</t>
  </si>
  <si>
    <t>13_1705663777742462976</t>
  </si>
  <si>
    <t>3_1678988449615888385</t>
  </si>
  <si>
    <t>3_1678679208338268160</t>
  </si>
  <si>
    <t>3_1686287047546245120</t>
  </si>
  <si>
    <t>3_1681217141859573760</t>
  </si>
  <si>
    <t>3_1683389686859935744</t>
  </si>
  <si>
    <t>3_1684839270358351872</t>
  </si>
  <si>
    <t>3_1692085879827828736</t>
  </si>
  <si>
    <t>3_1697160137352400896</t>
  </si>
  <si>
    <t>3_1704105031677435904</t>
  </si>
  <si>
    <t>3_1690722802922405888</t>
  </si>
  <si>
    <t>7_1686192674418642944</t>
  </si>
  <si>
    <t>3_1689306379024994304</t>
  </si>
  <si>
    <t>7_1685037595556753408</t>
  </si>
  <si>
    <t>3_1691092338104262656</t>
  </si>
  <si>
    <t>7_1690332180394778624</t>
  </si>
  <si>
    <t>7_1690341576495464448</t>
  </si>
  <si>
    <t>3_1704455327876296704</t>
  </si>
  <si>
    <t>3_1704453913783463936</t>
  </si>
  <si>
    <t>3_1706789024340348928</t>
  </si>
  <si>
    <t>3_1706785500655202304</t>
  </si>
  <si>
    <t>3_1706724192404529152</t>
  </si>
  <si>
    <t>3_1706408978882641920</t>
  </si>
  <si>
    <t>3_1705185160478564353</t>
  </si>
  <si>
    <t>3_1705176168419250176</t>
  </si>
  <si>
    <t>3_1705172195268284416</t>
  </si>
  <si>
    <t>3_1707143083521875969</t>
  </si>
  <si>
    <t>3_1707124464331202560</t>
  </si>
  <si>
    <t>3_1707121920045375488</t>
  </si>
  <si>
    <t>3_1706781463759278080</t>
  </si>
  <si>
    <t>3_1706635019832246272</t>
  </si>
  <si>
    <t>3_1706628673686638592</t>
  </si>
  <si>
    <t>3_1706398826255314944</t>
  </si>
  <si>
    <t>3_1706390031693160448</t>
  </si>
  <si>
    <t>3_1707149313124573184</t>
  </si>
  <si>
    <t>3_1707148316390137856</t>
  </si>
  <si>
    <t>3_1706794546665762816</t>
  </si>
  <si>
    <t>3_1706440182189223936</t>
  </si>
  <si>
    <t>3_1706421098697400320</t>
  </si>
  <si>
    <t>3_1707159270117023744</t>
  </si>
  <si>
    <t>3_1706737526214369280</t>
  </si>
  <si>
    <t>3_1706734775736676352</t>
  </si>
  <si>
    <t>3_1706362496255148032</t>
  </si>
  <si>
    <t>3_1706359611220021248</t>
  </si>
  <si>
    <t>3_1705297851822063616</t>
  </si>
  <si>
    <t>3_1705296149228249088</t>
  </si>
  <si>
    <t>3_1705294059424698368</t>
  </si>
  <si>
    <t>3_1705289841523511296</t>
  </si>
  <si>
    <t>3_1705276155014606848</t>
  </si>
  <si>
    <t>3_1705270500698566657</t>
  </si>
  <si>
    <t>3_1707349636229353472</t>
  </si>
  <si>
    <t>3_1704977169598832641</t>
  </si>
  <si>
    <t>3_1704956224872001536</t>
  </si>
  <si>
    <t>3_1704949200767606785</t>
  </si>
  <si>
    <t>3_1704948045387907072</t>
  </si>
  <si>
    <t>3_1704938914308390912</t>
  </si>
  <si>
    <t>3_1704935226730852353</t>
  </si>
  <si>
    <t>3_1704934586130546688</t>
  </si>
  <si>
    <t>3_1704925264365379584</t>
  </si>
  <si>
    <t>3_1704914880996745216</t>
  </si>
  <si>
    <t>3_1704909703791140864</t>
  </si>
  <si>
    <t>3_1704906415633055744</t>
  </si>
  <si>
    <t>3_1704904965909524480</t>
  </si>
  <si>
    <t>3_1704825966864793600</t>
  </si>
  <si>
    <t>3_1704806238658203648</t>
  </si>
  <si>
    <t>3_1704807692013867008</t>
  </si>
  <si>
    <t>3_1704092476808585216</t>
  </si>
  <si>
    <t>3_1704076351026663424</t>
  </si>
  <si>
    <t>3_1704078472044310528</t>
  </si>
  <si>
    <t>3_1707358975836999681</t>
  </si>
  <si>
    <t>3_1706787412490227712</t>
  </si>
  <si>
    <t>3_1706785061700239360</t>
  </si>
  <si>
    <t>3_1706784785043984384</t>
  </si>
  <si>
    <t>3_1706655281122246656</t>
  </si>
  <si>
    <t>3_1706441810547986432</t>
  </si>
  <si>
    <t>3_1706441445199036416</t>
  </si>
  <si>
    <t>3_1706272352265265152</t>
  </si>
  <si>
    <t>3_1706258698572607488</t>
  </si>
  <si>
    <t>3_1704980053228978176</t>
  </si>
  <si>
    <t>3_1704978407090515968</t>
  </si>
  <si>
    <t>3_1704479640461463552</t>
  </si>
  <si>
    <t>3_1707347992678719488</t>
  </si>
  <si>
    <t>3_1707153307347697664</t>
  </si>
  <si>
    <t>3_1707110906331615232</t>
  </si>
  <si>
    <t>3_1707091989848567808</t>
  </si>
  <si>
    <t>3_1707087863647449088</t>
  </si>
  <si>
    <t>3_1706980070466748416</t>
  </si>
  <si>
    <t>3_1706739063703670784</t>
  </si>
  <si>
    <t>3_1706615549977862144</t>
  </si>
  <si>
    <t>3_1706377992903987200</t>
  </si>
  <si>
    <t>3_1706377108530802691</t>
  </si>
  <si>
    <t>3_1705333949164085249</t>
  </si>
  <si>
    <t>3_1705329752544776193</t>
  </si>
  <si>
    <t>3_1705328594312937472</t>
  </si>
  <si>
    <t>3_1704445435752960000</t>
  </si>
  <si>
    <t>3_1690020120096116737</t>
  </si>
  <si>
    <t>3_1686132854734942210</t>
  </si>
  <si>
    <t>3_1689313415662116871</t>
  </si>
  <si>
    <t>3_1682130043550539776</t>
  </si>
  <si>
    <t>3_1682129254794813441</t>
  </si>
  <si>
    <t>3_1678647435671879681</t>
  </si>
  <si>
    <t>3_1681233088502800384</t>
  </si>
  <si>
    <t>3_1681160418771845121</t>
  </si>
  <si>
    <t>3_1681159396187930624</t>
  </si>
  <si>
    <t>3_1679437377549336576</t>
  </si>
  <si>
    <t>3_1679297886649999361</t>
  </si>
  <si>
    <t>3_1683424757855711232</t>
  </si>
  <si>
    <t>3_1684865470824857600</t>
  </si>
  <si>
    <t>3_1687381364037849088</t>
  </si>
  <si>
    <t>3_1684494029042372610</t>
  </si>
  <si>
    <t>3_1684411657081049088</t>
  </si>
  <si>
    <t>3_1684409090246598657</t>
  </si>
  <si>
    <t>3_1683975886436028418</t>
  </si>
  <si>
    <t>3_1683967178628796416</t>
  </si>
  <si>
    <t>3_1688865859219931137</t>
  </si>
  <si>
    <t>3_1692126386998181888</t>
  </si>
  <si>
    <t>3_1692124290026491904</t>
  </si>
  <si>
    <t>3_1691397567806910464</t>
  </si>
  <si>
    <t>3_1683691774076657665</t>
  </si>
  <si>
    <t>3_1691252541974093824</t>
  </si>
  <si>
    <t>3_1685970970371133441</t>
  </si>
  <si>
    <t>3_1682709656303460352</t>
  </si>
  <si>
    <t>3_1698970866258702336</t>
  </si>
  <si>
    <t>3_1698969172800143360</t>
  </si>
  <si>
    <t>3_1706629678901936128</t>
  </si>
  <si>
    <t>3_1707333305576587264</t>
  </si>
  <si>
    <t>3_1706620140790358016</t>
  </si>
  <si>
    <t>3_1704667949452148736</t>
  </si>
  <si>
    <t>3_1705383035909349376</t>
  </si>
  <si>
    <t>3_1682553486980808704</t>
  </si>
  <si>
    <t>7_1703803090221064193</t>
  </si>
  <si>
    <t>3_1692899500900208643</t>
  </si>
  <si>
    <t>3_1692176963644133377</t>
  </si>
  <si>
    <t>13_1680768853033328641</t>
  </si>
  <si>
    <t>13_1681286204367446016</t>
  </si>
  <si>
    <t>13_1689274785539162113</t>
  </si>
  <si>
    <t>13_1692947490767515648</t>
  </si>
  <si>
    <t>13_1691048527105769473</t>
  </si>
  <si>
    <t>13_1683829105337270275</t>
  </si>
  <si>
    <t>7_1691423315284328448</t>
  </si>
  <si>
    <t>7_1707212982743146496</t>
  </si>
  <si>
    <t>13_1686723463225253888</t>
  </si>
  <si>
    <t>7_1678796601718964224</t>
  </si>
  <si>
    <t>3_1679216380111990785</t>
  </si>
  <si>
    <t>3_1678858883186536448</t>
  </si>
  <si>
    <t>3_1704611654200160256</t>
  </si>
  <si>
    <t>3_1681003317718142978</t>
  </si>
  <si>
    <t>1704196959429611908</t>
  </si>
  <si>
    <t>1679931314911469568</t>
  </si>
  <si>
    <t>1687554273981120512</t>
  </si>
  <si>
    <t>1690064816868659200</t>
  </si>
  <si>
    <t>1689671238996860928</t>
  </si>
  <si>
    <t>1695168948096868617</t>
  </si>
  <si>
    <t>1692635010761719965</t>
  </si>
  <si>
    <t>1701987130426241459</t>
  </si>
  <si>
    <t>1697700173932052921</t>
  </si>
  <si>
    <t>1684992142840623119</t>
  </si>
  <si>
    <t>1702736581604319621</t>
  </si>
  <si>
    <t>1707088530382442728</t>
  </si>
  <si>
    <t>1705326785171263868</t>
  </si>
  <si>
    <t>1688916201152606211</t>
  </si>
  <si>
    <t>1706727813985059261</t>
  </si>
  <si>
    <t>1703700839192219917</t>
  </si>
  <si>
    <t>1678838953519063041</t>
  </si>
  <si>
    <t>1679496557014532096</t>
  </si>
  <si>
    <t>1681358893962739739</t>
  </si>
  <si>
    <t>1687177334208507907</t>
  </si>
  <si>
    <t>1693718781216821581</t>
  </si>
  <si>
    <t>1703735310905950301</t>
  </si>
  <si>
    <t>1691131883592044544</t>
  </si>
  <si>
    <t>1692560529380770268</t>
  </si>
  <si>
    <t>1679777955076091904</t>
  </si>
  <si>
    <t>1678711500251201537</t>
  </si>
  <si>
    <t>1678701003204358145</t>
  </si>
  <si>
    <t>1678690803080724483</t>
  </si>
  <si>
    <t>1686485134822785025</t>
  </si>
  <si>
    <t>1688514259150311424</t>
  </si>
  <si>
    <t>1703507270003257675</t>
  </si>
  <si>
    <t>1704139377624973775</t>
  </si>
  <si>
    <t>1684710555045531648</t>
  </si>
  <si>
    <t>1682170549022195713</t>
  </si>
  <si>
    <t>1693035913385795839</t>
  </si>
  <si>
    <t>1702459918148628770</t>
  </si>
  <si>
    <t>1687920335918690304</t>
  </si>
  <si>
    <t>1684566659145805826</t>
  </si>
  <si>
    <t>1696166372118585690</t>
  </si>
  <si>
    <t>1706414597555540370</t>
  </si>
  <si>
    <t>1682925644525498368</t>
  </si>
  <si>
    <t>1701276280191136082</t>
  </si>
  <si>
    <t>1681353135753773059</t>
  </si>
  <si>
    <t>1678455683241451544</t>
  </si>
  <si>
    <t>1678725823581544453</t>
  </si>
  <si>
    <t>1686733790054334470</t>
  </si>
  <si>
    <t>1689957175777525760</t>
  </si>
  <si>
    <t>1687548961320505344</t>
  </si>
  <si>
    <t>1681262539114688514</t>
  </si>
  <si>
    <t>1689599976106512385</t>
  </si>
  <si>
    <t>1689250171748831232</t>
  </si>
  <si>
    <t>1682349702560509954</t>
  </si>
  <si>
    <t>1691045037864296448</t>
  </si>
  <si>
    <t>1694726266405183866</t>
  </si>
  <si>
    <t>1680900151156801538</t>
  </si>
  <si>
    <t>1693972594746142827</t>
  </si>
  <si>
    <t>1681624926804140033</t>
  </si>
  <si>
    <t>1694009382692848106</t>
  </si>
  <si>
    <t>1690117280200626177</t>
  </si>
  <si>
    <t>1687126175762587649</t>
  </si>
  <si>
    <t>1694358833601089551</t>
  </si>
  <si>
    <t>1691812057732034792</t>
  </si>
  <si>
    <t>1687064519464374272</t>
  </si>
  <si>
    <t>1696160710571475033</t>
  </si>
  <si>
    <t>1689290436282892288</t>
  </si>
  <si>
    <t>1685982658608627712</t>
  </si>
  <si>
    <t>1679088211769827329</t>
  </si>
  <si>
    <t>1696513028106174577</t>
  </si>
  <si>
    <t>1686721005732216832</t>
  </si>
  <si>
    <t>1699064842462564772</t>
  </si>
  <si>
    <t>1687432822129143808</t>
  </si>
  <si>
    <t>1699863857714299345</t>
  </si>
  <si>
    <t>1692551936745066762</t>
  </si>
  <si>
    <t>1690339599652958209</t>
  </si>
  <si>
    <t>1699890286829146379</t>
  </si>
  <si>
    <t>1679495898194231300</t>
  </si>
  <si>
    <t>1679450599342080000</t>
  </si>
  <si>
    <t>1700116776275628407</t>
  </si>
  <si>
    <t>1692159340734517625</t>
  </si>
  <si>
    <t>1681987314887823361</t>
  </si>
  <si>
    <t>1702645641292210293</t>
  </si>
  <si>
    <t>1703765818360868877</t>
  </si>
  <si>
    <t>1704264101789073741</t>
  </si>
  <si>
    <t>1693603859069804663</t>
  </si>
  <si>
    <t>1679812987723587584</t>
  </si>
  <si>
    <t>1704113106975412667</t>
  </si>
  <si>
    <t>1704259068645224454</t>
  </si>
  <si>
    <t>1701349899378602054</t>
  </si>
  <si>
    <t>1704858019362717961</t>
  </si>
  <si>
    <t>1686402464772182016</t>
  </si>
  <si>
    <t>1686343066737680384</t>
  </si>
  <si>
    <t>1706654856621007126</t>
  </si>
  <si>
    <t>1702728990895579473</t>
  </si>
  <si>
    <t>1695053411157147692</t>
  </si>
  <si>
    <t>1685273973620424704</t>
  </si>
  <si>
    <t>1685077683137658880</t>
  </si>
  <si>
    <t>1693641095568109764</t>
  </si>
  <si>
    <t>1704463287801282794</t>
  </si>
  <si>
    <t>1704461659987640478</t>
  </si>
  <si>
    <t>1701186241155183007</t>
  </si>
  <si>
    <t>1700096943404339382</t>
  </si>
  <si>
    <t>1702271030041956784</t>
  </si>
  <si>
    <t>1703720765944746243</t>
  </si>
  <si>
    <t>1701342945834660297</t>
  </si>
  <si>
    <t>1704808596133875790</t>
  </si>
  <si>
    <t>1706257711816441952</t>
  </si>
  <si>
    <t>1706616300305342647</t>
  </si>
  <si>
    <t>1704442603222061508</t>
  </si>
  <si>
    <t>1707341818315276777</t>
  </si>
  <si>
    <t>1702634295888662680</t>
  </si>
  <si>
    <t>1702871736658825493</t>
  </si>
  <si>
    <t>1681269787664498689</t>
  </si>
  <si>
    <t>1705978236289642779</t>
  </si>
  <si>
    <t>1687429647397474304</t>
  </si>
  <si>
    <t>1686814461812686854</t>
  </si>
  <si>
    <t>1687081513500692480</t>
  </si>
  <si>
    <t>1687080622546710528</t>
  </si>
  <si>
    <t>1681804131500019712</t>
  </si>
  <si>
    <t>1681803066402562048</t>
  </si>
  <si>
    <t>1686264290821443584</t>
  </si>
  <si>
    <t>1684370792534904832</t>
  </si>
  <si>
    <t>1684836250035855361</t>
  </si>
  <si>
    <t>1704685192160432187</t>
  </si>
  <si>
    <t>1703744879153594517</t>
  </si>
  <si>
    <t>1692271756776509464</t>
  </si>
  <si>
    <t>1693238954513023197</t>
  </si>
  <si>
    <t>1706015323042791642</t>
  </si>
  <si>
    <t>1701623474739884119</t>
  </si>
  <si>
    <t>1706410751076839594</t>
  </si>
  <si>
    <t>1682047286602285056</t>
  </si>
  <si>
    <t>1683568005530124291</t>
  </si>
  <si>
    <t>1679647919874424835</t>
  </si>
  <si>
    <t>1680947999902425089</t>
  </si>
  <si>
    <t>1692514372508147926</t>
  </si>
  <si>
    <t>1705193001889190129</t>
  </si>
  <si>
    <t>1680570478786740230</t>
  </si>
  <si>
    <t>1685043451799244802</t>
  </si>
  <si>
    <t>1688320545627013120</t>
  </si>
  <si>
    <t>1690717339216494592</t>
  </si>
  <si>
    <t>1690497641061273602</t>
  </si>
  <si>
    <t>1683243091682029570</t>
  </si>
  <si>
    <t>1695583402357916017</t>
  </si>
  <si>
    <t>1705363848155292103</t>
  </si>
  <si>
    <t>1685005883883798528</t>
  </si>
  <si>
    <t>1683907468840009734</t>
  </si>
  <si>
    <t>1703068189561684184</t>
  </si>
  <si>
    <t>1678763352103985155</t>
  </si>
  <si>
    <t>1696598598451073449</t>
  </si>
  <si>
    <t>1698757820638786001</t>
  </si>
  <si>
    <t>1682129003442843649</t>
  </si>
  <si>
    <t>1679893022782177280</t>
  </si>
  <si>
    <t>1679545931169931272</t>
  </si>
  <si>
    <t>1678865166115430402</t>
  </si>
  <si>
    <t>1678864876339355648</t>
  </si>
  <si>
    <t>1678864622990786560</t>
  </si>
  <si>
    <t>1684229805716148226</t>
  </si>
  <si>
    <t>1684227879662505984</t>
  </si>
  <si>
    <t>1683902745026199552</t>
  </si>
  <si>
    <t>1683602158778818562</t>
  </si>
  <si>
    <t>1694379228169449545</t>
  </si>
  <si>
    <t>1704999417684611400</t>
  </si>
  <si>
    <t>1681329827729604608</t>
  </si>
  <si>
    <t>1698788682570854596</t>
  </si>
  <si>
    <t>1686378300632076290</t>
  </si>
  <si>
    <t>1678875649656668163</t>
  </si>
  <si>
    <t>1679085052574027776</t>
  </si>
  <si>
    <t>1683958304186290176</t>
  </si>
  <si>
    <t>1688710629970915328</t>
  </si>
  <si>
    <t>1685760013040537601</t>
  </si>
  <si>
    <t>1684695834103824385</t>
  </si>
  <si>
    <t>1682191754135470080</t>
  </si>
  <si>
    <t>1694862507481932174</t>
  </si>
  <si>
    <t>1685311425190014976</t>
  </si>
  <si>
    <t>1688979010477330432</t>
  </si>
  <si>
    <t>1678517312104562689</t>
  </si>
  <si>
    <t>1694468639804518635</t>
  </si>
  <si>
    <t>1680986060237553666</t>
  </si>
  <si>
    <t>1689784329981800448</t>
  </si>
  <si>
    <t>1683536623349186568</t>
  </si>
  <si>
    <t>1680001662285430787</t>
  </si>
  <si>
    <t>1694097428884898030</t>
  </si>
  <si>
    <t>1701893731601768815</t>
  </si>
  <si>
    <t>1686868304063782912</t>
  </si>
  <si>
    <t>1679810389968560130</t>
  </si>
  <si>
    <t>1679611371523112961</t>
  </si>
  <si>
    <t>1699002450252833160</t>
  </si>
  <si>
    <t>1687255182843748352</t>
  </si>
  <si>
    <t>1701174976580051138</t>
  </si>
  <si>
    <t>1693736082750263698</t>
  </si>
  <si>
    <t>1697341682096701862</t>
  </si>
  <si>
    <t>1686489872096206849</t>
  </si>
  <si>
    <t>1698637674125332621</t>
  </si>
  <si>
    <t>1696993743637790741</t>
  </si>
  <si>
    <t>1680279251910553605</t>
  </si>
  <si>
    <t>1699361291712754004</t>
  </si>
  <si>
    <t>1702265466100539561</t>
  </si>
  <si>
    <t>1681447657603211265</t>
  </si>
  <si>
    <t>1702454947835453655</t>
  </si>
  <si>
    <t>1702623483123896783</t>
  </si>
  <si>
    <t>1689025224010862592</t>
  </si>
  <si>
    <t>1703706178486759521</t>
  </si>
  <si>
    <t>1701552427348996403</t>
  </si>
  <si>
    <t>1691949634350915836</t>
  </si>
  <si>
    <t>1704065196946272315</t>
  </si>
  <si>
    <t>1707139467428147344</t>
  </si>
  <si>
    <t>1706008796617670734</t>
  </si>
  <si>
    <t>1704429166186074327</t>
  </si>
  <si>
    <t>1697727662792262081</t>
  </si>
  <si>
    <t>1682461848149401601</t>
  </si>
  <si>
    <t>1682461751298740226</t>
  </si>
  <si>
    <t>1679318487448051717</t>
  </si>
  <si>
    <t>1705587121166139811</t>
  </si>
  <si>
    <t>1680813053665857537</t>
  </si>
  <si>
    <t>1704894590539489429</t>
  </si>
  <si>
    <t>1706519921939595369</t>
  </si>
  <si>
    <t>1705921184410312707</t>
  </si>
  <si>
    <t>1686857515932266496</t>
  </si>
  <si>
    <t>1705393213811351868</t>
  </si>
  <si>
    <t>1684990861052882944</t>
  </si>
  <si>
    <t>1704463736197566499</t>
  </si>
  <si>
    <t>1689629836673699840</t>
  </si>
  <si>
    <t>1691616913732849851</t>
  </si>
  <si>
    <t>1700156393058185626</t>
  </si>
  <si>
    <t>1704436252215304619</t>
  </si>
  <si>
    <t>1685621513255358465</t>
  </si>
  <si>
    <t>1690106105500684288</t>
  </si>
  <si>
    <t>1696654104058048706</t>
  </si>
  <si>
    <t>1695194619812663299</t>
  </si>
  <si>
    <t>1697006528258044100</t>
  </si>
  <si>
    <t>1687569353904914433</t>
  </si>
  <si>
    <t>1699548340617199781</t>
  </si>
  <si>
    <t>1702444312858853568</t>
  </si>
  <si>
    <t>1702089403361796514</t>
  </si>
  <si>
    <t>1691554474374951312</t>
  </si>
  <si>
    <t>1699793934757851627</t>
  </si>
  <si>
    <t>1681278964092813316</t>
  </si>
  <si>
    <t>1678475899983765512</t>
  </si>
  <si>
    <t>1682749867104378880</t>
  </si>
  <si>
    <t>1684590777068838913</t>
  </si>
  <si>
    <t>1688299052226560000</t>
  </si>
  <si>
    <t>1703929628325192184</t>
  </si>
  <si>
    <t>1691178033107832832</t>
  </si>
  <si>
    <t>1685868143430819840</t>
  </si>
  <si>
    <t>1705385128871264603</t>
  </si>
  <si>
    <t>1685131434682441728</t>
  </si>
  <si>
    <t>1685072257608011776</t>
  </si>
  <si>
    <t>1686523404885561344</t>
  </si>
  <si>
    <t>1686980214025588736</t>
  </si>
  <si>
    <t>1688792160357781505</t>
  </si>
  <si>
    <t>1691328870790918144</t>
  </si>
  <si>
    <t>1694703407075115116</t>
  </si>
  <si>
    <t>1698939013888180713</t>
  </si>
  <si>
    <t>1693865585778798961</t>
  </si>
  <si>
    <t>1697306535448424508</t>
  </si>
  <si>
    <t>1693908572583739674</t>
  </si>
  <si>
    <t>1696919917830848579</t>
  </si>
  <si>
    <t>1696919781574639733</t>
  </si>
  <si>
    <t>1700036528347500950</t>
  </si>
  <si>
    <t>1700036099177894161</t>
  </si>
  <si>
    <t>1700034858943193219</t>
  </si>
  <si>
    <t>1700034761736007970</t>
  </si>
  <si>
    <t>1700034186894033049</t>
  </si>
  <si>
    <t>1700033886590312737</t>
  </si>
  <si>
    <t>1700033596147298778</t>
  </si>
  <si>
    <t>1704546067071594913</t>
  </si>
  <si>
    <t>1706375307429585341</t>
  </si>
  <si>
    <t>1697715308952273128</t>
  </si>
  <si>
    <t>1706446692550128110</t>
  </si>
  <si>
    <t>1696987908530647068</t>
  </si>
  <si>
    <t>1681785994935246850</t>
  </si>
  <si>
    <t>1684896483634475008</t>
  </si>
  <si>
    <t>1697784716835815877</t>
  </si>
  <si>
    <t>1689337030491205632</t>
  </si>
  <si>
    <t>1703785729682235537</t>
  </si>
  <si>
    <t>1706560244850032686</t>
  </si>
  <si>
    <t>1679913646338473985</t>
  </si>
  <si>
    <t>1696284563532599585</t>
  </si>
  <si>
    <t>1703781099158008000</t>
  </si>
  <si>
    <t>1705997089430225334</t>
  </si>
  <si>
    <t>1706276392051065299</t>
  </si>
  <si>
    <t>1706274875554267392</t>
  </si>
  <si>
    <t>1707207637249425687</t>
  </si>
  <si>
    <t>1701310031637983512</t>
  </si>
  <si>
    <t>1690256261701378048</t>
  </si>
  <si>
    <t>1689958043583234048</t>
  </si>
  <si>
    <t>1705192906607268320</t>
  </si>
  <si>
    <t>1681381112591925248</t>
  </si>
  <si>
    <t>1697283189884985393</t>
  </si>
  <si>
    <t>1678834302040043536</t>
  </si>
  <si>
    <t>1682305112465633281</t>
  </si>
  <si>
    <t>1684379591211732992</t>
  </si>
  <si>
    <t>1707070346321428870</t>
  </si>
  <si>
    <t>1706287593510281689</t>
  </si>
  <si>
    <t>1703980709705040206</t>
  </si>
  <si>
    <t>1701004162522350064</t>
  </si>
  <si>
    <t>1707140214638927984</t>
  </si>
  <si>
    <t>1681827085503938560</t>
  </si>
  <si>
    <t>1704244061584920922</t>
  </si>
  <si>
    <t>1706269252167094741</t>
  </si>
  <si>
    <t>1706490781987426789</t>
  </si>
  <si>
    <t>1688519535429623808</t>
  </si>
  <si>
    <t>1696270200750903796</t>
  </si>
  <si>
    <t>1696994974234013816</t>
  </si>
  <si>
    <t>1696632586632638821</t>
  </si>
  <si>
    <t>1698806914140832035</t>
  </si>
  <si>
    <t>1697357361352966577</t>
  </si>
  <si>
    <t>1701706018344796625</t>
  </si>
  <si>
    <t>1699894079390093531</t>
  </si>
  <si>
    <t>1699169303990255998</t>
  </si>
  <si>
    <t>1702430791387496533</t>
  </si>
  <si>
    <t>1702793178351378462</t>
  </si>
  <si>
    <t>1703880342732443785</t>
  </si>
  <si>
    <t>1699531688919904759</t>
  </si>
  <si>
    <t>1705329892814958889</t>
  </si>
  <si>
    <t>1697719749768061004</t>
  </si>
  <si>
    <t>1704967549689929818</t>
  </si>
  <si>
    <t>1704605119969722687</t>
  </si>
  <si>
    <t>1700256466186191177</t>
  </si>
  <si>
    <t>1706417056122335357</t>
  </si>
  <si>
    <t>1706779445946732574</t>
  </si>
  <si>
    <t>1702068403417063835</t>
  </si>
  <si>
    <t>1707151125789474854</t>
  </si>
  <si>
    <t>1704242731059445879</t>
  </si>
  <si>
    <t>1701343630357647492</t>
  </si>
  <si>
    <t>1695818951123522014</t>
  </si>
  <si>
    <t>1695818948682387635</t>
  </si>
  <si>
    <t>1695818945868038426</t>
  </si>
  <si>
    <t>1693057760479330466</t>
  </si>
  <si>
    <t>1693042660897137105</t>
  </si>
  <si>
    <t>1693012462608777542</t>
  </si>
  <si>
    <t>1692997362258760123</t>
  </si>
  <si>
    <t>1692952063771312372</t>
  </si>
  <si>
    <t>1692921864790925546</t>
  </si>
  <si>
    <t>1692906766772982215</t>
  </si>
  <si>
    <t>1692861468642046019</t>
  </si>
  <si>
    <t>1692846368262599000</t>
  </si>
  <si>
    <t>1692831268814442915</t>
  </si>
  <si>
    <t>1684995133828411392</t>
  </si>
  <si>
    <t>1686072008151351306</t>
  </si>
  <si>
    <t>1679939393212088320</t>
  </si>
  <si>
    <t>1693696575422230577</t>
  </si>
  <si>
    <t>1696502634406891614</t>
  </si>
  <si>
    <t>1699514687350599928</t>
  </si>
  <si>
    <t>1702037325700571603</t>
  </si>
  <si>
    <t>1706386156416295361</t>
  </si>
  <si>
    <t>1701904431426502742</t>
  </si>
  <si>
    <t>1694876599227736537</t>
  </si>
  <si>
    <t>1705950207903482303</t>
  </si>
  <si>
    <t>1685026091746959360</t>
  </si>
  <si>
    <t>1686115136669470720</t>
  </si>
  <si>
    <t>1687474535505727488</t>
  </si>
  <si>
    <t>1690006375617708034</t>
  </si>
  <si>
    <t>1701258632468300255</t>
  </si>
  <si>
    <t>1701257573402386442</t>
  </si>
  <si>
    <t>1704656016791495033</t>
  </si>
  <si>
    <t>1697541820010647849</t>
  </si>
  <si>
    <t>1702698004266840088</t>
  </si>
  <si>
    <t>1703060909252383101</t>
  </si>
  <si>
    <t>1704152752471830878</t>
  </si>
  <si>
    <t>1701219878860943772</t>
  </si>
  <si>
    <t>1688629833570373633</t>
  </si>
  <si>
    <t>1686893391991177216</t>
  </si>
  <si>
    <t>1688218373920821248</t>
  </si>
  <si>
    <t>1688203272824475648</t>
  </si>
  <si>
    <t>1681689866394845184</t>
  </si>
  <si>
    <t>1705397825662578819</t>
  </si>
  <si>
    <t>1682839428736118785</t>
  </si>
  <si>
    <t>1692234887284068567</t>
  </si>
  <si>
    <t>1705372226118365687</t>
  </si>
  <si>
    <t>1678773057132052480</t>
  </si>
  <si>
    <t>1703365721902744041</t>
  </si>
  <si>
    <t>1692670315426394414</t>
  </si>
  <si>
    <t>1689429133980209152</t>
  </si>
  <si>
    <t>1701263109153788358</t>
  </si>
  <si>
    <t>1705913750455246976</t>
  </si>
  <si>
    <t>1704171199855550568</t>
  </si>
  <si>
    <t>1703046083189080300</t>
  </si>
  <si>
    <t>1702834689680269384</t>
  </si>
  <si>
    <t>1704603543552799143</t>
  </si>
  <si>
    <t>1701379360563855820</t>
  </si>
  <si>
    <t>1691110593447735297</t>
  </si>
  <si>
    <t>1685022060945276928</t>
  </si>
  <si>
    <t>1678497066182660096</t>
  </si>
  <si>
    <t>1686546114869145600</t>
  </si>
  <si>
    <t>1679593541054480385</t>
  </si>
  <si>
    <t>1689378768572579845</t>
  </si>
  <si>
    <t>1685747340030967808</t>
  </si>
  <si>
    <t>1682487359168757760</t>
  </si>
  <si>
    <t>1678864744789278720</t>
  </si>
  <si>
    <t>1690432209868427265</t>
  </si>
  <si>
    <t>1690098204212105216</t>
  </si>
  <si>
    <t>1692211449471381941</t>
  </si>
  <si>
    <t>1683198545464270849</t>
  </si>
  <si>
    <t>1695549178858873334</t>
  </si>
  <si>
    <t>1691170181374992384</t>
  </si>
  <si>
    <t>1694428061167415651</t>
  </si>
  <si>
    <t>1688290849967476736</t>
  </si>
  <si>
    <t>1695920051650494886</t>
  </si>
  <si>
    <t>1679952632029249539</t>
  </si>
  <si>
    <t>1696577263666429965</t>
  </si>
  <si>
    <t>1691502303843328009</t>
  </si>
  <si>
    <t>1697174881379532882</t>
  </si>
  <si>
    <t>1681352650783178763</t>
  </si>
  <si>
    <t>1697032844411895925</t>
  </si>
  <si>
    <t>1688669906747772928</t>
  </si>
  <si>
    <t>1681731155161169935</t>
  </si>
  <si>
    <t>1697408918211735780</t>
  </si>
  <si>
    <t>1688478688025686016</t>
  </si>
  <si>
    <t>1699148997313589440</t>
  </si>
  <si>
    <t>1686067210203119628</t>
  </si>
  <si>
    <t>1682851005459755008</t>
  </si>
  <si>
    <t>1679215064883027968</t>
  </si>
  <si>
    <t>1698433935363940774</t>
  </si>
  <si>
    <t>1698785698491322439</t>
  </si>
  <si>
    <t>1694451192020058421</t>
  </si>
  <si>
    <t>1694036830667043280</t>
  </si>
  <si>
    <t>1680678188198907908</t>
  </si>
  <si>
    <t>1699911877143445893</t>
  </si>
  <si>
    <t>1689227511966666752</t>
  </si>
  <si>
    <t>1700211901643284786</t>
  </si>
  <si>
    <t>1695159685802824126</t>
  </si>
  <si>
    <t>1690824796765065216</t>
  </si>
  <si>
    <t>1681000697372835841</t>
  </si>
  <si>
    <t>1701684248069931171</t>
  </si>
  <si>
    <t>1691860657354797109</t>
  </si>
  <si>
    <t>1682427666924707845</t>
  </si>
  <si>
    <t>1703847717259075988</t>
  </si>
  <si>
    <t>1702083734785438109</t>
  </si>
  <si>
    <t>1699544503496155259</t>
  </si>
  <si>
    <t>1704908993666359774</t>
  </si>
  <si>
    <t>1704607363469386217</t>
  </si>
  <si>
    <t>1700489899974009193</t>
  </si>
  <si>
    <t>1705673702522679559</t>
  </si>
  <si>
    <t>1704546871979434356</t>
  </si>
  <si>
    <t>1685384700540444673</t>
  </si>
  <si>
    <t>1706297994172150162</t>
  </si>
  <si>
    <t>1694755207664542180</t>
  </si>
  <si>
    <t>1687184091412582400</t>
  </si>
  <si>
    <t>1706406633742487801</t>
  </si>
  <si>
    <t>1706121195538547181</t>
  </si>
  <si>
    <t>1702068658506179029</t>
  </si>
  <si>
    <t>1693335842721317259</t>
  </si>
  <si>
    <t>1706734002013384981</t>
  </si>
  <si>
    <t>1705272205095944392</t>
  </si>
  <si>
    <t>1704185645357261185</t>
  </si>
  <si>
    <t>1703281996703694913</t>
  </si>
  <si>
    <t>1700927868459720834</t>
  </si>
  <si>
    <t>1693748682728853950</t>
  </si>
  <si>
    <t>1686722071018065920</t>
  </si>
  <si>
    <t>1707109664922448082</t>
  </si>
  <si>
    <t>1683569238018228224</t>
  </si>
  <si>
    <t>1707140052101300613</t>
  </si>
  <si>
    <t>1703524478045585892</t>
  </si>
  <si>
    <t>1701331777338454079</t>
  </si>
  <si>
    <t>1691921523379192214</t>
  </si>
  <si>
    <t>1704637421067858025</t>
  </si>
  <si>
    <t>1681398148302876673</t>
  </si>
  <si>
    <t>1705391316673458616</t>
  </si>
  <si>
    <t>1682403626738655233</t>
  </si>
  <si>
    <t>1695068298830864559</t>
  </si>
  <si>
    <t>1678565890181218304</t>
  </si>
  <si>
    <t>1701293776591872416</t>
  </si>
  <si>
    <t>1703827220169429477</t>
  </si>
  <si>
    <t>1684203325745426433</t>
  </si>
  <si>
    <t>1702324403277856996</t>
  </si>
  <si>
    <t>1681370757509546000</t>
  </si>
  <si>
    <t>1682517427953840129</t>
  </si>
  <si>
    <t>1702015668747464745</t>
  </si>
  <si>
    <t>1689753462764920833</t>
  </si>
  <si>
    <t>1706310705517855088</t>
  </si>
  <si>
    <t>1682089377135054848</t>
  </si>
  <si>
    <t>1695054728336441386</t>
  </si>
  <si>
    <t>1693948686563221911</t>
  </si>
  <si>
    <t>1696123037899174095</t>
  </si>
  <si>
    <t>1698652489631887709</t>
  </si>
  <si>
    <t>1699395840635293935</t>
  </si>
  <si>
    <t>1703491578973569059</t>
  </si>
  <si>
    <t>1705548861492625734</t>
  </si>
  <si>
    <t>1704610722653655419</t>
  </si>
  <si>
    <t>1679465652686389249</t>
  </si>
  <si>
    <t>1679465385781805056</t>
  </si>
  <si>
    <t>1679465381109325824</t>
  </si>
  <si>
    <t>1679465376671776770</t>
  </si>
  <si>
    <t>1682023205916266497</t>
  </si>
  <si>
    <t>1682017333718515712</t>
  </si>
  <si>
    <t>1681286607578583042</t>
  </si>
  <si>
    <t>1683561448729894912</t>
  </si>
  <si>
    <t>1683561445122797569</t>
  </si>
  <si>
    <t>1683561432091164673</t>
  </si>
  <si>
    <t>1679433930926092288</t>
  </si>
  <si>
    <t>1679099300003848194</t>
  </si>
  <si>
    <t>1682007700052254720</t>
  </si>
  <si>
    <t>1683481214798245888</t>
  </si>
  <si>
    <t>1683529056078163968</t>
  </si>
  <si>
    <t>1686381088913104898</t>
  </si>
  <si>
    <t>1686355084018335745</t>
  </si>
  <si>
    <t>1684188156478758914</t>
  </si>
  <si>
    <t>1684901312888991744</t>
  </si>
  <si>
    <t>1684901285709910017</t>
  </si>
  <si>
    <t>1682018445481889798</t>
  </si>
  <si>
    <t>1682414944988409857</t>
  </si>
  <si>
    <t>1685828440405028864</t>
  </si>
  <si>
    <t>1696081265349288447</t>
  </si>
  <si>
    <t>1695788793855422881</t>
  </si>
  <si>
    <t>1679054676304470016</t>
  </si>
  <si>
    <t>1697466794250813647</t>
  </si>
  <si>
    <t>1702581770930037218</t>
  </si>
  <si>
    <t>1703989460315037715</t>
  </si>
  <si>
    <t>1704189273807753465</t>
  </si>
  <si>
    <t>1705146468917559468</t>
  </si>
  <si>
    <t>1702688874181308827</t>
  </si>
  <si>
    <t>1705785824384540873</t>
  </si>
  <si>
    <t>1694594658209284466</t>
  </si>
  <si>
    <t>1706770798445314496</t>
  </si>
  <si>
    <t>1687880601620066305</t>
  </si>
  <si>
    <t>1696161257353548105</t>
  </si>
  <si>
    <t>1692162584894386241</t>
  </si>
  <si>
    <t>1679873218121793538</t>
  </si>
  <si>
    <t>1695795298826866728</t>
  </si>
  <si>
    <t>1704570464872345905</t>
  </si>
  <si>
    <t>1702665147750195632</t>
  </si>
  <si>
    <t>1684961778126528525</t>
  </si>
  <si>
    <t>1686075349312978944</t>
  </si>
  <si>
    <t>1704620217672876487</t>
  </si>
  <si>
    <t>1706794937994363323</t>
  </si>
  <si>
    <t>1707158672722289139</t>
  </si>
  <si>
    <t>1689940998145658881</t>
  </si>
  <si>
    <t>1685787356769796096</t>
  </si>
  <si>
    <t>1678887067558854664</t>
  </si>
  <si>
    <t>1686096894076870657</t>
  </si>
  <si>
    <t>1691880000062947836</t>
  </si>
  <si>
    <t>1681066294542491651</t>
  </si>
  <si>
    <t>1687180282242420738</t>
  </si>
  <si>
    <t>1683643227075907584</t>
  </si>
  <si>
    <t>1698788024061141105</t>
  </si>
  <si>
    <t>1685440069128400896</t>
  </si>
  <si>
    <t>1706052669637370223</t>
  </si>
  <si>
    <t>1688614347558252547</t>
  </si>
  <si>
    <t>1703077716679909685</t>
  </si>
  <si>
    <t>1707139817136656845</t>
  </si>
  <si>
    <t>1703777565821812898</t>
  </si>
  <si>
    <t>1693648698260009113</t>
  </si>
  <si>
    <t>1689058329971027968</t>
  </si>
  <si>
    <t>1678909788732768258</t>
  </si>
  <si>
    <t>1678717774107901953</t>
  </si>
  <si>
    <t>1696540410850779392</t>
  </si>
  <si>
    <t>1704211836998914498</t>
  </si>
  <si>
    <t>1687554490033934336</t>
  </si>
  <si>
    <t>1706401085223588226</t>
  </si>
  <si>
    <t>1681370482782633989</t>
  </si>
  <si>
    <t>1681794173987348482</t>
  </si>
  <si>
    <t>1684255022081507336</t>
  </si>
  <si>
    <t>1679815617740783624</t>
  </si>
  <si>
    <t>1678516947455967233</t>
  </si>
  <si>
    <t>1682145355683561480</t>
  </si>
  <si>
    <t>1687161072594141186</t>
  </si>
  <si>
    <t>1685669829481525248</t>
  </si>
  <si>
    <t>1681424103406723073</t>
  </si>
  <si>
    <t>1688670853829935105</t>
  </si>
  <si>
    <t>1691575996594434193</t>
  </si>
  <si>
    <t>1694833712486359425</t>
  </si>
  <si>
    <t>1701737704843571640</t>
  </si>
  <si>
    <t>1704998943929635015</t>
  </si>
  <si>
    <t>1706085855775916110</t>
  </si>
  <si>
    <t>1693246513538076955</t>
  </si>
  <si>
    <t>1686859670068015105</t>
  </si>
  <si>
    <t>1679619211788947457</t>
  </si>
  <si>
    <t>1706114651795136848</t>
  </si>
  <si>
    <t>1682101278543953925</t>
  </si>
  <si>
    <t>1691527355779428354</t>
  </si>
  <si>
    <t>1683827738166132736</t>
  </si>
  <si>
    <t>1696536519337714020</t>
  </si>
  <si>
    <t>1681670134086397952</t>
  </si>
  <si>
    <t>1696854713008877619</t>
  </si>
  <si>
    <t>1683527458639757317</t>
  </si>
  <si>
    <t>1694257918345097353</t>
  </si>
  <si>
    <t>1683470510959603713</t>
  </si>
  <si>
    <t>1683442829178052609</t>
  </si>
  <si>
    <t>1681977730710089728</t>
  </si>
  <si>
    <t>1704936324971508112</t>
  </si>
  <si>
    <t>1684022998469169152</t>
  </si>
  <si>
    <t>1684022662874402817</t>
  </si>
  <si>
    <t>1683944927510536192</t>
  </si>
  <si>
    <t>1683944201904332800</t>
  </si>
  <si>
    <t>1706447776152756249</t>
  </si>
  <si>
    <t>1706275988378886530</t>
  </si>
  <si>
    <t>1679113219628060673</t>
  </si>
  <si>
    <t>1682013053565521921</t>
  </si>
  <si>
    <t>1688548706138681344</t>
  </si>
  <si>
    <t>1688548255045451776</t>
  </si>
  <si>
    <t>1686002784246624257</t>
  </si>
  <si>
    <t>1686001667295117312</t>
  </si>
  <si>
    <t>1689984846595022850</t>
  </si>
  <si>
    <t>1693969604614279589</t>
  </si>
  <si>
    <t>1681657467086815238</t>
  </si>
  <si>
    <t>1694336341679423901</t>
  </si>
  <si>
    <t>1696506880716058870</t>
  </si>
  <si>
    <t>1683464048338169860</t>
  </si>
  <si>
    <t>1696151444825485612</t>
  </si>
  <si>
    <t>1696876702767395265</t>
  </si>
  <si>
    <t>1696151278127088082</t>
  </si>
  <si>
    <t>1698672492393431144</t>
  </si>
  <si>
    <t>1698670362022535569</t>
  </si>
  <si>
    <t>1694695322834878484</t>
  </si>
  <si>
    <t>1699043434156228877</t>
  </si>
  <si>
    <t>1687458871277764608</t>
  </si>
  <si>
    <t>1697226317215805808</t>
  </si>
  <si>
    <t>1691084750839033857</t>
  </si>
  <si>
    <t>1691083775881424896</t>
  </si>
  <si>
    <t>1681283034731905026</t>
  </si>
  <si>
    <t>1700148693746213097</t>
  </si>
  <si>
    <t>1682377001645101056</t>
  </si>
  <si>
    <t>1703751296950362582</t>
  </si>
  <si>
    <t>1703750984084623626</t>
  </si>
  <si>
    <t>1693602983387213848</t>
  </si>
  <si>
    <t>1693602816571408763</t>
  </si>
  <si>
    <t>1704468543796904283</t>
  </si>
  <si>
    <t>1695051094647349499</t>
  </si>
  <si>
    <t>1678744942871556098</t>
  </si>
  <si>
    <t>1704101083168043164</t>
  </si>
  <si>
    <t>1686370354468675585</t>
  </si>
  <si>
    <t>1706288434841567392</t>
  </si>
  <si>
    <t>1706282362345001189</t>
  </si>
  <si>
    <t>1701204568560820380</t>
  </si>
  <si>
    <t>1701204363165786272</t>
  </si>
  <si>
    <t>1686727708246450176</t>
  </si>
  <si>
    <t>1679154651760070656</t>
  </si>
  <si>
    <t>1705799540597539113</t>
  </si>
  <si>
    <t>1683078246793871365</t>
  </si>
  <si>
    <t>1688500509286490112</t>
  </si>
  <si>
    <t>1704561695555784705</t>
  </si>
  <si>
    <t>1678785459382624258</t>
  </si>
  <si>
    <t>1703759707305906261</t>
  </si>
  <si>
    <t>1705743696170213426</t>
  </si>
  <si>
    <t>1696218223530627556</t>
  </si>
  <si>
    <t>1706398166831243428</t>
  </si>
  <si>
    <t>1691896314517188938</t>
  </si>
  <si>
    <t>1692663992609657128</t>
  </si>
  <si>
    <t>1698393961700679932</t>
  </si>
  <si>
    <t>1705314064442732594</t>
  </si>
  <si>
    <t>1703687978361475542</t>
  </si>
  <si>
    <t>1697902181415047484</t>
  </si>
  <si>
    <t>1697433087041303018</t>
  </si>
  <si>
    <t>1683390816293666816</t>
  </si>
  <si>
    <t>1682140749234675715</t>
  </si>
  <si>
    <t>1691833770037350870</t>
  </si>
  <si>
    <t>1693628807385632781</t>
  </si>
  <si>
    <t>1705906578270884250</t>
  </si>
  <si>
    <t>1706371959888433284</t>
  </si>
  <si>
    <t>1705674851409596791</t>
  </si>
  <si>
    <t>1679829436609228800</t>
  </si>
  <si>
    <t>1691701557702865089</t>
  </si>
  <si>
    <t>1700121111340458363</t>
  </si>
  <si>
    <t>1693760168843001951</t>
  </si>
  <si>
    <t>1694134176432189805</t>
  </si>
  <si>
    <t>1683931650114166785</t>
  </si>
  <si>
    <t>1686114132708253696</t>
  </si>
  <si>
    <t>1686826867217575937</t>
  </si>
  <si>
    <t>1704239947585056975</t>
  </si>
  <si>
    <t>1685007442130702337</t>
  </si>
  <si>
    <t>1686854587188146176</t>
  </si>
  <si>
    <t>1687186930213986304</t>
  </si>
  <si>
    <t>1684661089756184577</t>
  </si>
  <si>
    <t>1691177442201776130</t>
  </si>
  <si>
    <t>1693701965010661873</t>
  </si>
  <si>
    <t>1694444774441267630</t>
  </si>
  <si>
    <t>1696275635352588786</t>
  </si>
  <si>
    <t>1701347950503284896</t>
  </si>
  <si>
    <t>1691914747124551709</t>
  </si>
  <si>
    <t>1699528587655672048</t>
  </si>
  <si>
    <t>1698794630966391208</t>
  </si>
  <si>
    <t>1679184569394941952</t>
  </si>
  <si>
    <t>1678839838009704448</t>
  </si>
  <si>
    <t>1695072956198551634</t>
  </si>
  <si>
    <t>1678781406535913481</t>
  </si>
  <si>
    <t>1678828423936917505</t>
  </si>
  <si>
    <t>1678781711537311745</t>
  </si>
  <si>
    <t>1678780600176742400</t>
  </si>
  <si>
    <t>1678774471728177152</t>
  </si>
  <si>
    <t>1680968775078739970</t>
  </si>
  <si>
    <t>1686106964881801217</t>
  </si>
  <si>
    <t>1693722272777781729</t>
  </si>
  <si>
    <t>1691129589538676737</t>
  </si>
  <si>
    <t>1703844820869902581</t>
  </si>
  <si>
    <t>1702846575507013802</t>
  </si>
  <si>
    <t>1685887845951844352</t>
  </si>
  <si>
    <t>1704349744246710388</t>
  </si>
  <si>
    <t>1703838423667102131</t>
  </si>
  <si>
    <t>1679176008098889754</t>
  </si>
  <si>
    <t>1678745090850713600</t>
  </si>
  <si>
    <t>1679214092228128797</t>
  </si>
  <si>
    <t>1700245120191226065</t>
  </si>
  <si>
    <t>1704557501662810262</t>
  </si>
  <si>
    <t>1704921628595912938</t>
  </si>
  <si>
    <t>1705290800610017714</t>
  </si>
  <si>
    <t>1704184260955898003</t>
  </si>
  <si>
    <t>1706372374281572598</t>
  </si>
  <si>
    <t>1705255106898284691</t>
  </si>
  <si>
    <t>1704090381703340069</t>
  </si>
  <si>
    <t>1702748607797944469</t>
  </si>
  <si>
    <t>1702744280349995335</t>
  </si>
  <si>
    <t>1685404773598535680</t>
  </si>
  <si>
    <t>1680139393670021120</t>
  </si>
  <si>
    <t>1684623381830701057</t>
  </si>
  <si>
    <t>1684311949117456384</t>
  </si>
  <si>
    <t>1685063560567599105</t>
  </si>
  <si>
    <t>1693507773349109965</t>
  </si>
  <si>
    <t>1706209669872504938</t>
  </si>
  <si>
    <t>1687780921552879619</t>
  </si>
  <si>
    <t>1700555632640680364</t>
  </si>
  <si>
    <t>1679183120250044437</t>
  </si>
  <si>
    <t>1686399387230965760</t>
  </si>
  <si>
    <t>1696250520669769835</t>
  </si>
  <si>
    <t>1699491844550275459</t>
  </si>
  <si>
    <t>1697259619851415938</t>
  </si>
  <si>
    <t>1679924685297926145</t>
  </si>
  <si>
    <t>1701234462971842802</t>
  </si>
  <si>
    <t>1701680599423934936</t>
  </si>
  <si>
    <t>1703855772826829128</t>
  </si>
  <si>
    <t>1704577345690927471</t>
  </si>
  <si>
    <t>1701916720389079254</t>
  </si>
  <si>
    <t>1694497333445099871</t>
  </si>
  <si>
    <t>1694497071473041524</t>
  </si>
  <si>
    <t>1694496364707615035</t>
  </si>
  <si>
    <t>1694496006170128695</t>
  </si>
  <si>
    <t>1692702744518209786</t>
  </si>
  <si>
    <t>1694740453961154577</t>
  </si>
  <si>
    <t>1679489630301978625</t>
  </si>
  <si>
    <t>1695501367958217151</t>
  </si>
  <si>
    <t>1698038081968836769</t>
  </si>
  <si>
    <t>1700574797665612122</t>
  </si>
  <si>
    <t>1703111513043579380</t>
  </si>
  <si>
    <t>1705648228761215462</t>
  </si>
  <si>
    <t>1695457539301777617</t>
  </si>
  <si>
    <t>1698349222183969212</t>
  </si>
  <si>
    <t>1687558875350728704</t>
  </si>
  <si>
    <t>1684658272249192449</t>
  </si>
  <si>
    <t>1680949438016024577</t>
  </si>
  <si>
    <t>1678581688790654983</t>
  </si>
  <si>
    <t>1678581404047687680</t>
  </si>
  <si>
    <t>1681417948370460673</t>
  </si>
  <si>
    <t>1681417757319938053</t>
  </si>
  <si>
    <t>1681417642865836032</t>
  </si>
  <si>
    <t>1681417449889996803</t>
  </si>
  <si>
    <t>1679951371859107840</t>
  </si>
  <si>
    <t>1679950822363332611</t>
  </si>
  <si>
    <t>1682135582170808320</t>
  </si>
  <si>
    <t>1682135015885340678</t>
  </si>
  <si>
    <t>1681808650640273408</t>
  </si>
  <si>
    <t>1681808516686675969</t>
  </si>
  <si>
    <t>1679594016030044160</t>
  </si>
  <si>
    <t>1679593632246947840</t>
  </si>
  <si>
    <t>1678875425617870849</t>
  </si>
  <si>
    <t>1678874787240615937</t>
  </si>
  <si>
    <t>1683937667476516865</t>
  </si>
  <si>
    <t>1683937558991106049</t>
  </si>
  <si>
    <t>1680741175248953345</t>
  </si>
  <si>
    <t>1680740345129193472</t>
  </si>
  <si>
    <t>1680337689172738048</t>
  </si>
  <si>
    <t>1680337616670019585</t>
  </si>
  <si>
    <t>1684293811504119809</t>
  </si>
  <si>
    <t>1684293708777242626</t>
  </si>
  <si>
    <t>1686114662960500736</t>
  </si>
  <si>
    <t>1686110392680935425</t>
  </si>
  <si>
    <t>1679232620096307201</t>
  </si>
  <si>
    <t>1679232311022297088</t>
  </si>
  <si>
    <t>1688591126213672961</t>
  </si>
  <si>
    <t>1688591058559549458</t>
  </si>
  <si>
    <t>1690029996335669248</t>
  </si>
  <si>
    <t>1690029824927023104</t>
  </si>
  <si>
    <t>1683585462131122177</t>
  </si>
  <si>
    <t>1683585356510162944</t>
  </si>
  <si>
    <t>1691556405336064064</t>
  </si>
  <si>
    <t>1691554983962112182</t>
  </si>
  <si>
    <t>1705859308359999634</t>
  </si>
  <si>
    <t>1691102388701007872</t>
  </si>
  <si>
    <t>1691342282056667136</t>
  </si>
  <si>
    <t>1703763302952665593</t>
  </si>
  <si>
    <t>1702381699664060781</t>
  </si>
  <si>
    <t>1684197930113069064</t>
  </si>
  <si>
    <t>1679855102490816513</t>
  </si>
  <si>
    <t>1688554018883215360</t>
  </si>
  <si>
    <t>1691208079122272258</t>
  </si>
  <si>
    <t>1684231587393679364</t>
  </si>
  <si>
    <t>1681648386544394240</t>
  </si>
  <si>
    <t>1705466231350812864</t>
  </si>
  <si>
    <t>1704679274433638759</t>
  </si>
  <si>
    <t>1689295917994610688</t>
  </si>
  <si>
    <t>1694878886620725556</t>
  </si>
  <si>
    <t>1687209891273031680</t>
  </si>
  <si>
    <t>1702284021806330270</t>
  </si>
  <si>
    <t>1704827827529691376</t>
  </si>
  <si>
    <t>1682037682887856128</t>
  </si>
  <si>
    <t>1698836607715950932</t>
  </si>
  <si>
    <t>1689292658563231744</t>
  </si>
  <si>
    <t>1683767982378426368</t>
  </si>
  <si>
    <t>1700363560910491791</t>
  </si>
  <si>
    <t>1707069498631528493</t>
  </si>
  <si>
    <t>1707091009576771658</t>
  </si>
  <si>
    <t>1707153104796274869</t>
  </si>
  <si>
    <t>1583522896214835200</t>
  </si>
  <si>
    <t>1705574380254724148</t>
  </si>
  <si>
    <t>1705596985888133338</t>
  </si>
  <si>
    <t>1701646241115849148</t>
  </si>
  <si>
    <t>1683503802651930624</t>
  </si>
  <si>
    <t>1683949138831110144</t>
  </si>
  <si>
    <t>1685990382356635648</t>
  </si>
  <si>
    <t>1691209694122004481</t>
  </si>
  <si>
    <t>1704559902461469026</t>
  </si>
  <si>
    <t>1686874683499589632</t>
  </si>
  <si>
    <t>1680990809766674435</t>
  </si>
  <si>
    <t>1683493402791362560</t>
  </si>
  <si>
    <t>1683493329181261826</t>
  </si>
  <si>
    <t>1683493177599180803</t>
  </si>
  <si>
    <t>1683492847960354821</t>
  </si>
  <si>
    <t>1683492576362414084</t>
  </si>
  <si>
    <t>1684845214093955072</t>
  </si>
  <si>
    <t>1691145063487713280</t>
  </si>
  <si>
    <t>1691795531498991935</t>
  </si>
  <si>
    <t>1696448578506379465</t>
  </si>
  <si>
    <t>1696448569387970917</t>
  </si>
  <si>
    <t>1707048537609920705</t>
  </si>
  <si>
    <t>1693044872771416572</t>
  </si>
  <si>
    <t>1701211226003423609</t>
  </si>
  <si>
    <t>1692204510284775612</t>
  </si>
  <si>
    <t>1696056587469635719</t>
  </si>
  <si>
    <t>1682123370010116097</t>
  </si>
  <si>
    <t>1682120091343761411</t>
  </si>
  <si>
    <t>1682119650849505281</t>
  </si>
  <si>
    <t>1706298780813787317</t>
  </si>
  <si>
    <t>1703375294357221881</t>
  </si>
  <si>
    <t>1706309977474765062</t>
  </si>
  <si>
    <t>1706290190614986791</t>
  </si>
  <si>
    <t>1689892911251349504</t>
  </si>
  <si>
    <t>1681294488575066115</t>
  </si>
  <si>
    <t>1679905454183284745</t>
  </si>
  <si>
    <t>1697240321330200730</t>
  </si>
  <si>
    <t>1686161310596161543</t>
  </si>
  <si>
    <t>1686158545153142784</t>
  </si>
  <si>
    <t>1702608196299329954</t>
  </si>
  <si>
    <t>1704589425764671950</t>
  </si>
  <si>
    <t>1690847951302574080</t>
  </si>
  <si>
    <t>1680975908927053824</t>
  </si>
  <si>
    <t>1684025326358126594</t>
  </si>
  <si>
    <t>1706424709733089526</t>
  </si>
  <si>
    <t>1678851829319315459</t>
  </si>
  <si>
    <t>1703863597036614114</t>
  </si>
  <si>
    <t>1678779969022087168</t>
  </si>
  <si>
    <t>1678787541602820098</t>
  </si>
  <si>
    <t>1705667009621495837</t>
  </si>
  <si>
    <t>1680037818268102659</t>
  </si>
  <si>
    <t>1680037774609530883</t>
  </si>
  <si>
    <t>1680037740497313795</t>
  </si>
  <si>
    <t>1680037700856958976</t>
  </si>
  <si>
    <t>1679256763303079936</t>
  </si>
  <si>
    <t>1679256719531323394</t>
  </si>
  <si>
    <t>1681438298022064130</t>
  </si>
  <si>
    <t>1681435329796923398</t>
  </si>
  <si>
    <t>1681435285580574721</t>
  </si>
  <si>
    <t>1681435251485097984</t>
  </si>
  <si>
    <t>1681435221449744384</t>
  </si>
  <si>
    <t>1681435182065152002</t>
  </si>
  <si>
    <t>1679097442384396290</t>
  </si>
  <si>
    <t>1679097407181602817</t>
  </si>
  <si>
    <t>1679097371869736960</t>
  </si>
  <si>
    <t>1685260142919761920</t>
  </si>
  <si>
    <t>1687407158936354816</t>
  </si>
  <si>
    <t>1687407126279491584</t>
  </si>
  <si>
    <t>1687407083334094849</t>
  </si>
  <si>
    <t>1686553288739524608</t>
  </si>
  <si>
    <t>1687834298207064064</t>
  </si>
  <si>
    <t>1701943821217468616</t>
  </si>
  <si>
    <t>1692702145185755430</t>
  </si>
  <si>
    <t>1705332571305877897</t>
  </si>
  <si>
    <t>1707373712222072951</t>
  </si>
  <si>
    <t>1703754444926517576</t>
  </si>
  <si>
    <t>1686521833116381184</t>
  </si>
  <si>
    <t>1686519211034591232</t>
  </si>
  <si>
    <t>1691947585752207461</t>
  </si>
  <si>
    <t>1689653715429658625</t>
  </si>
  <si>
    <t>1697380755179995388</t>
  </si>
  <si>
    <t>1696689088537964582</t>
  </si>
  <si>
    <t>1699546015785730376</t>
  </si>
  <si>
    <t>1699545843269771542</t>
  </si>
  <si>
    <t>1702372274567881086</t>
  </si>
  <si>
    <t>1701728055746551998</t>
  </si>
  <si>
    <t>1697513222935318653</t>
  </si>
  <si>
    <t>1687609178754371584</t>
  </si>
  <si>
    <t>1702116888921162197</t>
  </si>
  <si>
    <t>1705592570850464076</t>
  </si>
  <si>
    <t>1683418514768445442</t>
  </si>
  <si>
    <t>1686055409646288898</t>
  </si>
  <si>
    <t>1703920352706130366</t>
  </si>
  <si>
    <t>1704929254129951185</t>
  </si>
  <si>
    <t>1706276669445558366</t>
  </si>
  <si>
    <t>1683512875489320960</t>
  </si>
  <si>
    <t>1688972191176527888</t>
  </si>
  <si>
    <t>1694469570914832836</t>
  </si>
  <si>
    <t>1705330168661782753</t>
  </si>
  <si>
    <t>1702354727231516845</t>
  </si>
  <si>
    <t>1703176157225435268</t>
  </si>
  <si>
    <t>1704147551874863593</t>
  </si>
  <si>
    <t>1689760840403030017</t>
  </si>
  <si>
    <t>1701227674746671228</t>
  </si>
  <si>
    <t>1687524644125888529</t>
  </si>
  <si>
    <t>1696918779576434696</t>
  </si>
  <si>
    <t>1706778748945572308</t>
  </si>
  <si>
    <t>1706026528503406724</t>
  </si>
  <si>
    <t>1703778083889623225</t>
  </si>
  <si>
    <t>1706452734054895902</t>
  </si>
  <si>
    <t>1707194298691735778</t>
  </si>
  <si>
    <t>1706147151321976904</t>
  </si>
  <si>
    <t>1704590062871040490</t>
  </si>
  <si>
    <t>1686202629997592576</t>
  </si>
  <si>
    <t>1704456549811322922</t>
  </si>
  <si>
    <t>1691918271350448523</t>
  </si>
  <si>
    <t>1690755165903564800</t>
  </si>
  <si>
    <t>1691566695851147568</t>
  </si>
  <si>
    <t>1704442218868605194</t>
  </si>
  <si>
    <t>1702222339126034710</t>
  </si>
  <si>
    <t>1697346732365877349</t>
  </si>
  <si>
    <t>1705193134886420946</t>
  </si>
  <si>
    <t>1706045308386365616</t>
  </si>
  <si>
    <t>1688942775989891073</t>
  </si>
  <si>
    <t>1683227039418003456</t>
  </si>
  <si>
    <t>1683802067624775681</t>
  </si>
  <si>
    <t>1694901471995691160</t>
  </si>
  <si>
    <t>1689251964469571584</t>
  </si>
  <si>
    <t>1693983839721603402</t>
  </si>
  <si>
    <t>1703737829115695194</t>
  </si>
  <si>
    <t>1706276071342031324</t>
  </si>
  <si>
    <t>1705392329262235950</t>
  </si>
  <si>
    <t>1678689566289457153</t>
  </si>
  <si>
    <t>1706426643106185530</t>
  </si>
  <si>
    <t>1706426742074929278</t>
  </si>
  <si>
    <t>1678470564367704081</t>
  </si>
  <si>
    <t>1705718049536393250</t>
  </si>
  <si>
    <t>1691505267316531200</t>
  </si>
  <si>
    <t>1693865955477401739</t>
  </si>
  <si>
    <t>1704307018151198780</t>
  </si>
  <si>
    <t>1706457855069462657</t>
  </si>
  <si>
    <t>1696147523147010370</t>
  </si>
  <si>
    <t>1698667602988405036</t>
  </si>
  <si>
    <t>1696873742591275486</t>
  </si>
  <si>
    <t>1699594701949510044</t>
  </si>
  <si>
    <t>1703741249360933158</t>
  </si>
  <si>
    <t>1706287509301330337</t>
  </si>
  <si>
    <t>1701202726904869145</t>
  </si>
  <si>
    <t>1678875579167256578</t>
  </si>
  <si>
    <t>1678513192568336387</t>
  </si>
  <si>
    <t>1683586622502195201</t>
  </si>
  <si>
    <t>1682499458519515137</t>
  </si>
  <si>
    <t>1684673783733297153</t>
  </si>
  <si>
    <t>1682137068141518848</t>
  </si>
  <si>
    <t>1685036167358492672</t>
  </si>
  <si>
    <t>1692646317648965838</t>
  </si>
  <si>
    <t>1689384830641872896</t>
  </si>
  <si>
    <t>1686485719496237056</t>
  </si>
  <si>
    <t>1691921542815388009</t>
  </si>
  <si>
    <t>1688660045590876160</t>
  </si>
  <si>
    <t>1681774681508937729</t>
  </si>
  <si>
    <t>1688520420641648641</t>
  </si>
  <si>
    <t>1681412293026824206</t>
  </si>
  <si>
    <t>1689747218918428672</t>
  </si>
  <si>
    <t>1679962744601059330</t>
  </si>
  <si>
    <t>1689022436795109376</t>
  </si>
  <si>
    <t>1691057129711341569</t>
  </si>
  <si>
    <t>1691559154391925188</t>
  </si>
  <si>
    <t>1691196761711296512</t>
  </si>
  <si>
    <t>1687572887329243137</t>
  </si>
  <si>
    <t>1683949013458903042</t>
  </si>
  <si>
    <t>1692283932279029766</t>
  </si>
  <si>
    <t>1685983735856918528</t>
  </si>
  <si>
    <t>1694095867035181309</t>
  </si>
  <si>
    <t>1695183032825602116</t>
  </si>
  <si>
    <t>1681049907208105986</t>
  </si>
  <si>
    <t>1694458255047626778</t>
  </si>
  <si>
    <t>1690109597745385473</t>
  </si>
  <si>
    <t>1694820648999125208</t>
  </si>
  <si>
    <t>1686123331034996737</t>
  </si>
  <si>
    <t>1679237970551877635</t>
  </si>
  <si>
    <t>1696130565877977222</t>
  </si>
  <si>
    <t>1684311400439590913</t>
  </si>
  <si>
    <t>1701204002908549446</t>
  </si>
  <si>
    <t>1693733481140937032</t>
  </si>
  <si>
    <t>1703740722879357418</t>
  </si>
  <si>
    <t>1693593868460052493</t>
  </si>
  <si>
    <t>1686848108146094080</t>
  </si>
  <si>
    <t>1679600357796708353</t>
  </si>
  <si>
    <t>1706277446973088069</t>
  </si>
  <si>
    <t>1698667292458922196</t>
  </si>
  <si>
    <t>1687210499757191174</t>
  </si>
  <si>
    <t>1680925464817283073</t>
  </si>
  <si>
    <t>1680903219487158272</t>
  </si>
  <si>
    <t>1684164289467121665</t>
  </si>
  <si>
    <t>1684882531353542656</t>
  </si>
  <si>
    <t>1685967600759554048</t>
  </si>
  <si>
    <t>1679095908057661441</t>
  </si>
  <si>
    <t>1687064630294716416</t>
  </si>
  <si>
    <t>1686703077284343808</t>
  </si>
  <si>
    <t>1689598172731965440</t>
  </si>
  <si>
    <t>1691770192257257760</t>
  </si>
  <si>
    <t>1684525080125079553</t>
  </si>
  <si>
    <t>1681635456935510016</t>
  </si>
  <si>
    <t>1692122853267697697</t>
  </si>
  <si>
    <t>1681990297989857281</t>
  </si>
  <si>
    <t>1692505549403730210</t>
  </si>
  <si>
    <t>1683796175294537732</t>
  </si>
  <si>
    <t>1696125191229698076</t>
  </si>
  <si>
    <t>1701922062980219258</t>
  </si>
  <si>
    <t>1693590277963874688</t>
  </si>
  <si>
    <t>1696488231938789701</t>
  </si>
  <si>
    <t>1703722470094586156</t>
  </si>
  <si>
    <t>1687417269360455681</t>
  </si>
  <si>
    <t>1704109256041980277</t>
  </si>
  <si>
    <t>1697659420757385468</t>
  </si>
  <si>
    <t>1705837171255419033</t>
  </si>
  <si>
    <t>1691177895597604864</t>
  </si>
  <si>
    <t>1679474850715553792</t>
  </si>
  <si>
    <t>1694866710019309643</t>
  </si>
  <si>
    <t>1701027181499949466</t>
  </si>
  <si>
    <t>1680708906236911618</t>
  </si>
  <si>
    <t>1703909416519487555</t>
  </si>
  <si>
    <t>1705195075943199138</t>
  </si>
  <si>
    <t>1705384624430698676</t>
  </si>
  <si>
    <t>1704669577324425309</t>
  </si>
  <si>
    <t>1706273558517690738</t>
  </si>
  <si>
    <t>1686401400056729600</t>
  </si>
  <si>
    <t>1689913296747425792</t>
  </si>
  <si>
    <t>1699663996859691147</t>
  </si>
  <si>
    <t>1701495094094774503</t>
  </si>
  <si>
    <t>1687012975364689920</t>
  </si>
  <si>
    <t>1691000467218673664</t>
  </si>
  <si>
    <t>1684565235351556100</t>
  </si>
  <si>
    <t>1693902086176395652</t>
  </si>
  <si>
    <t>1696802472646353294</t>
  </si>
  <si>
    <t>1688575118576951296</t>
  </si>
  <si>
    <t>1683087589425774593</t>
  </si>
  <si>
    <t>1683442659560390656</t>
  </si>
  <si>
    <t>1685982848778420224</t>
  </si>
  <si>
    <t>1685618963382718464</t>
  </si>
  <si>
    <t>1690727584160530432</t>
  </si>
  <si>
    <t>1690354774087020544</t>
  </si>
  <si>
    <t>1687843461318209536</t>
  </si>
  <si>
    <t>1691073045392158720</t>
  </si>
  <si>
    <t>1691423393055121411</t>
  </si>
  <si>
    <t>1690329792493531136</t>
  </si>
  <si>
    <t>1695419892004954592</t>
  </si>
  <si>
    <t>1696184351862501424</t>
  </si>
  <si>
    <t>1700486929546936718</t>
  </si>
  <si>
    <t>1699762525372325954</t>
  </si>
  <si>
    <t>1688519263865225216</t>
  </si>
  <si>
    <t>1703737424197664796</t>
  </si>
  <si>
    <t>1693592842336125287</t>
  </si>
  <si>
    <t>1702809781222654191</t>
  </si>
  <si>
    <t>1705339418003795974</t>
  </si>
  <si>
    <t>1697945965339054460</t>
  </si>
  <si>
    <t>1705703326996721786</t>
  </si>
  <si>
    <t>1698663838428656065</t>
  </si>
  <si>
    <t>1680911655981531136</t>
  </si>
  <si>
    <t>1706280702222733415</t>
  </si>
  <si>
    <t>1701206958684901660</t>
  </si>
  <si>
    <t>1678825758288932873</t>
  </si>
  <si>
    <t>1678825525576384512</t>
  </si>
  <si>
    <t>1679548294207250437</t>
  </si>
  <si>
    <t>1679548087344168960</t>
  </si>
  <si>
    <t>1679522831833485315</t>
  </si>
  <si>
    <t>1687171549738995712</t>
  </si>
  <si>
    <t>1687160255170400256</t>
  </si>
  <si>
    <t>1682820239778631680</t>
  </si>
  <si>
    <t>1682819490680127488</t>
  </si>
  <si>
    <t>1682789423430107138</t>
  </si>
  <si>
    <t>1682789224343322625</t>
  </si>
  <si>
    <t>1682788997859270656</t>
  </si>
  <si>
    <t>1682788642505228288</t>
  </si>
  <si>
    <t>1682788394286366723</t>
  </si>
  <si>
    <t>1682788110495629312</t>
  </si>
  <si>
    <t>1679134290972405760</t>
  </si>
  <si>
    <t>1679134069672558600</t>
  </si>
  <si>
    <t>1684275780635750400</t>
  </si>
  <si>
    <t>1684275658388561933</t>
  </si>
  <si>
    <t>1684275493325926400</t>
  </si>
  <si>
    <t>1684275330242973698</t>
  </si>
  <si>
    <t>1685028031956414464</t>
  </si>
  <si>
    <t>1685006070303928322</t>
  </si>
  <si>
    <t>1686439353998856211</t>
  </si>
  <si>
    <t>1686427590196678686</t>
  </si>
  <si>
    <t>1686395202502615040</t>
  </si>
  <si>
    <t>1686344880174309376</t>
  </si>
  <si>
    <t>1688646822330294273</t>
  </si>
  <si>
    <t>1684634938161643521</t>
  </si>
  <si>
    <t>1684623618876067840</t>
  </si>
  <si>
    <t>1681750614336733185</t>
  </si>
  <si>
    <t>1687492599161008129</t>
  </si>
  <si>
    <t>1687487438220877824</t>
  </si>
  <si>
    <t>1687484264768475137</t>
  </si>
  <si>
    <t>1681259336415211520</t>
  </si>
  <si>
    <t>1681259038342873088</t>
  </si>
  <si>
    <t>1688608883458052096</t>
  </si>
  <si>
    <t>1688579223101825024</t>
  </si>
  <si>
    <t>1688559217966301184</t>
  </si>
  <si>
    <t>1684613441326022665</t>
  </si>
  <si>
    <t>1681689583786815490</t>
  </si>
  <si>
    <t>1681678735697747969</t>
  </si>
  <si>
    <t>1681671339441025029</t>
  </si>
  <si>
    <t>1691144886123114499</t>
  </si>
  <si>
    <t>1688614666895835137</t>
  </si>
  <si>
    <t>1679548494736924681</t>
  </si>
  <si>
    <t>1688961036030816257</t>
  </si>
  <si>
    <t>1688941775149309952</t>
  </si>
  <si>
    <t>1688937203693477888</t>
  </si>
  <si>
    <t>1688879659994296320</t>
  </si>
  <si>
    <t>1690057968656490505</t>
  </si>
  <si>
    <t>1683591498422468608</t>
  </si>
  <si>
    <t>1683548963822092290</t>
  </si>
  <si>
    <t>1691776706011402279</t>
  </si>
  <si>
    <t>1691769770637430979</t>
  </si>
  <si>
    <t>1691765298255351955</t>
  </si>
  <si>
    <t>1684528112875589633</t>
  </si>
  <si>
    <t>1684527857450586113</t>
  </si>
  <si>
    <t>1684527605154811904</t>
  </si>
  <si>
    <t>1684527411075903490</t>
  </si>
  <si>
    <t>1690097607656222720</t>
  </si>
  <si>
    <t>1690097377808424960</t>
  </si>
  <si>
    <t>1691140888372588547</t>
  </si>
  <si>
    <t>1691134407732613122</t>
  </si>
  <si>
    <t>1691124200722079745</t>
  </si>
  <si>
    <t>1691124024741388288</t>
  </si>
  <si>
    <t>1691418105098969088</t>
  </si>
  <si>
    <t>1687155811431206912</t>
  </si>
  <si>
    <t>1687107943559520256</t>
  </si>
  <si>
    <t>1692556950649589964</t>
  </si>
  <si>
    <t>1690393313059500032</t>
  </si>
  <si>
    <t>1693742053925015890</t>
  </si>
  <si>
    <t>1693737013290185062</t>
  </si>
  <si>
    <t>1693733486471926129</t>
  </si>
  <si>
    <t>1686769432410902529</t>
  </si>
  <si>
    <t>1694808482774392969</t>
  </si>
  <si>
    <t>1686109567392813057</t>
  </si>
  <si>
    <t>1686109248260894720</t>
  </si>
  <si>
    <t>1693939986511360205</t>
  </si>
  <si>
    <t>1689240031775412224</t>
  </si>
  <si>
    <t>1689239643517009921</t>
  </si>
  <si>
    <t>1682145131401469953</t>
  </si>
  <si>
    <t>1694354632993079539</t>
  </si>
  <si>
    <t>1687104776302178304</t>
  </si>
  <si>
    <t>1683548790370848768</t>
  </si>
  <si>
    <t>1683545689488236549</t>
  </si>
  <si>
    <t>1696932928549167145</t>
  </si>
  <si>
    <t>1684893200157200384</t>
  </si>
  <si>
    <t>1682419302006247425</t>
  </si>
  <si>
    <t>1682404498763915265</t>
  </si>
  <si>
    <t>1682357324445261825</t>
  </si>
  <si>
    <t>1682402423594270730</t>
  </si>
  <si>
    <t>1698979278732599553</t>
  </si>
  <si>
    <t>1698611857827717523</t>
  </si>
  <si>
    <t>1699351733086958018</t>
  </si>
  <si>
    <t>1693963892253225020</t>
  </si>
  <si>
    <t>1691462463869640704</t>
  </si>
  <si>
    <t>1697715771743289776</t>
  </si>
  <si>
    <t>1679880700084772865</t>
  </si>
  <si>
    <t>1707348067723129234</t>
  </si>
  <si>
    <t>1696322821318746403</t>
  </si>
  <si>
    <t>1707222749452624048</t>
  </si>
  <si>
    <t>1699789996079943861</t>
  </si>
  <si>
    <t>1707115958467219818</t>
  </si>
  <si>
    <t>1705570417841160262</t>
  </si>
  <si>
    <t>1699350887146135820</t>
  </si>
  <si>
    <t>1697299375200911628</t>
  </si>
  <si>
    <t>1691220099296821250</t>
  </si>
  <si>
    <t>1705244870078529619</t>
  </si>
  <si>
    <t>1695397581621260673</t>
  </si>
  <si>
    <t>1696124061003251881</t>
  </si>
  <si>
    <t>1686531320950710272</t>
  </si>
  <si>
    <t>1706712310104895919</t>
  </si>
  <si>
    <t>1702754258464952470</t>
  </si>
  <si>
    <t>1702373609702850794</t>
  </si>
  <si>
    <t>1699525104760205562</t>
  </si>
  <si>
    <t>1701324498300023214</t>
  </si>
  <si>
    <t>1701675282233524267</t>
  </si>
  <si>
    <t>1705291838322528608</t>
  </si>
  <si>
    <t>1704228448451858937</t>
  </si>
  <si>
    <t>1704595316312248652</t>
  </si>
  <si>
    <t>1704958308828799081</t>
  </si>
  <si>
    <t>1707135069708804171</t>
  </si>
  <si>
    <t>1706409479258993038</t>
  </si>
  <si>
    <t>1702045662282428888</t>
  </si>
  <si>
    <t>1692219879665906018</t>
  </si>
  <si>
    <t>1706973954189951010</t>
  </si>
  <si>
    <t>1705913748467138993</t>
  </si>
  <si>
    <t>1691084286537900033</t>
  </si>
  <si>
    <t>1679460407679889409</t>
  </si>
  <si>
    <t>1679458412361404422</t>
  </si>
  <si>
    <t>1684894323391754240</t>
  </si>
  <si>
    <t>1682357387389198337</t>
  </si>
  <si>
    <t>1682355793297899520</t>
  </si>
  <si>
    <t>1689964750258475009</t>
  </si>
  <si>
    <t>1691053904119660544</t>
  </si>
  <si>
    <t>1692145724324979072</t>
  </si>
  <si>
    <t>1692144361591455968</t>
  </si>
  <si>
    <t>1681992993228636161</t>
  </si>
  <si>
    <t>1691790261301444693</t>
  </si>
  <si>
    <t>1691778763904675882</t>
  </si>
  <si>
    <t>1681640021701406722</t>
  </si>
  <si>
    <t>1692506600412463173</t>
  </si>
  <si>
    <t>1692502188738666815</t>
  </si>
  <si>
    <t>1691433332431605760</t>
  </si>
  <si>
    <t>1693960813042717063</t>
  </si>
  <si>
    <t>1679099011804942336</t>
  </si>
  <si>
    <t>1694318507561799759</t>
  </si>
  <si>
    <t>1694317238415687803</t>
  </si>
  <si>
    <t>1683830374919708674</t>
  </si>
  <si>
    <t>1696494508173603186</t>
  </si>
  <si>
    <t>1683460987922284547</t>
  </si>
  <si>
    <t>1696130788385788064</t>
  </si>
  <si>
    <t>1696486642541093041</t>
  </si>
  <si>
    <t>1696860361490669940</t>
  </si>
  <si>
    <t>1687086024315342850</t>
  </si>
  <si>
    <t>1697590234127434175</t>
  </si>
  <si>
    <t>1697574696730992835</t>
  </si>
  <si>
    <t>1689244377481101312</t>
  </si>
  <si>
    <t>1699033458092163391</t>
  </si>
  <si>
    <t>1699026546210554010</t>
  </si>
  <si>
    <t>1687429532913979393</t>
  </si>
  <si>
    <t>1701272446706323626</t>
  </si>
  <si>
    <t>1697220668318732466</t>
  </si>
  <si>
    <t>1697214641141579801</t>
  </si>
  <si>
    <t>1696128386895171816</t>
  </si>
  <si>
    <t>1701577182114423233</t>
  </si>
  <si>
    <t>1701576409188102374</t>
  </si>
  <si>
    <t>1689617893959327744</t>
  </si>
  <si>
    <t>1702292588076642710</t>
  </si>
  <si>
    <t>1704476680822145434</t>
  </si>
  <si>
    <t>1704460827661664581</t>
  </si>
  <si>
    <t>1702661639915360313</t>
  </si>
  <si>
    <t>1702661609619923448</t>
  </si>
  <si>
    <t>1695042759709651443</t>
  </si>
  <si>
    <t>1695041398066852182</t>
  </si>
  <si>
    <t>1678738824648708098</t>
  </si>
  <si>
    <t>1678731636307812353</t>
  </si>
  <si>
    <t>1704102733446348899</t>
  </si>
  <si>
    <t>1686357972530929665</t>
  </si>
  <si>
    <t>1706282946661863778</t>
  </si>
  <si>
    <t>1706282756014023082</t>
  </si>
  <si>
    <t>1705218339142767026</t>
  </si>
  <si>
    <t>1701271181452603419</t>
  </si>
  <si>
    <t>1707362116829634657</t>
  </si>
  <si>
    <t>1707004873936384157</t>
  </si>
  <si>
    <t>1707003822017499283</t>
  </si>
  <si>
    <t>1706635606275608844</t>
  </si>
  <si>
    <t>1703740324797985235</t>
  </si>
  <si>
    <t>1701946312994771174</t>
  </si>
  <si>
    <t>1701930927478157430</t>
  </si>
  <si>
    <t>1693585809587200081</t>
  </si>
  <si>
    <t>1679821839185354753</t>
  </si>
  <si>
    <t>1707368426694447471</t>
  </si>
  <si>
    <t>1706664166411628872</t>
  </si>
  <si>
    <t>1705187240274493796</t>
  </si>
  <si>
    <t>1698671727532761285</t>
  </si>
  <si>
    <t>1698671410934157554</t>
  </si>
  <si>
    <t>1694681655544348721</t>
  </si>
  <si>
    <t>1694681314190913793</t>
  </si>
  <si>
    <t>1680905746010054658</t>
  </si>
  <si>
    <t>1699619731207000111</t>
  </si>
  <si>
    <t>1693259461001990359</t>
  </si>
  <si>
    <t>1705773827509076395</t>
  </si>
  <si>
    <t>1678630348475846657</t>
  </si>
  <si>
    <t>1681419752026021895</t>
  </si>
  <si>
    <t>1698670173417582962</t>
  </si>
  <si>
    <t>1683802510140612608</t>
  </si>
  <si>
    <t>1683441547797209090</t>
  </si>
  <si>
    <t>1679541200192167960</t>
  </si>
  <si>
    <t>1679506601143566336</t>
  </si>
  <si>
    <t>1679160264527171587</t>
  </si>
  <si>
    <t>1689301894143823873</t>
  </si>
  <si>
    <t>1689295052105760768</t>
  </si>
  <si>
    <t>1678479879895937042</t>
  </si>
  <si>
    <t>1686535277123129344</t>
  </si>
  <si>
    <t>1686523630178463745</t>
  </si>
  <si>
    <t>1686518737409581056</t>
  </si>
  <si>
    <t>1686513468726272001</t>
  </si>
  <si>
    <t>1687961942768451584</t>
  </si>
  <si>
    <t>1691835343551463931</t>
  </si>
  <si>
    <t>1689084926254092288</t>
  </si>
  <si>
    <t>1699046758033051744</t>
  </si>
  <si>
    <t>1690896016164171776</t>
  </si>
  <si>
    <t>1685108156366536705</t>
  </si>
  <si>
    <t>1699569106481971451</t>
  </si>
  <si>
    <t>1688701808049541120</t>
  </si>
  <si>
    <t>1699231452590690736</t>
  </si>
  <si>
    <t>1681689918685192193</t>
  </si>
  <si>
    <t>1681640867939876864</t>
  </si>
  <si>
    <t>1692510404113519097</t>
  </si>
  <si>
    <t>1690502195035123713</t>
  </si>
  <si>
    <t>1702283931003851177</t>
  </si>
  <si>
    <t>1683915068247793678</t>
  </si>
  <si>
    <t>1681278958900334592</t>
  </si>
  <si>
    <t>1696901684218221039</t>
  </si>
  <si>
    <t>1691851051136155831</t>
  </si>
  <si>
    <t>1703734742909157757</t>
  </si>
  <si>
    <t>1692929703483527673</t>
  </si>
  <si>
    <t>1701977606826922211</t>
  </si>
  <si>
    <t>1693432731160752609</t>
  </si>
  <si>
    <t>1679817270065876993</t>
  </si>
  <si>
    <t>1705742744524566919</t>
  </si>
  <si>
    <t>1705647912670146946</t>
  </si>
  <si>
    <t>1692652797953486966</t>
  </si>
  <si>
    <t>1705192720762024144</t>
  </si>
  <si>
    <t>1705181843463569659</t>
  </si>
  <si>
    <t>1685689490512211968</t>
  </si>
  <si>
    <t>1702775704373338369</t>
  </si>
  <si>
    <t>1691451339497492482</t>
  </si>
  <si>
    <t>1702424136117592439</t>
  </si>
  <si>
    <t>1698738203266547809</t>
  </si>
  <si>
    <t>1692212776855384459</t>
  </si>
  <si>
    <t>1693676609402708047</t>
  </si>
  <si>
    <t>1680915430280396800</t>
  </si>
  <si>
    <t>1687158347546443787</t>
  </si>
  <si>
    <t>1680185447656587265</t>
  </si>
  <si>
    <t>1679171129125093387</t>
  </si>
  <si>
    <t>1685992159327961089</t>
  </si>
  <si>
    <t>1692228208131789189</t>
  </si>
  <si>
    <t>1688178107046313984</t>
  </si>
  <si>
    <t>1679986012838043648</t>
  </si>
  <si>
    <t>1684685646441439232</t>
  </si>
  <si>
    <t>1699030454790164584</t>
  </si>
  <si>
    <t>1678731706898042881</t>
  </si>
  <si>
    <t>1699750853773599215</t>
  </si>
  <si>
    <t>1681628641854193664</t>
  </si>
  <si>
    <t>1701627834869891251</t>
  </si>
  <si>
    <t>1692150613000245270</t>
  </si>
  <si>
    <t>1698436465934352421</t>
  </si>
  <si>
    <t>1686423882960457747</t>
  </si>
  <si>
    <t>1686340813322674176</t>
  </si>
  <si>
    <t>1687175776536346626</t>
  </si>
  <si>
    <t>1689051686583590912</t>
  </si>
  <si>
    <t>1679267931631304707</t>
  </si>
  <si>
    <t>1678850430833512448</t>
  </si>
  <si>
    <t>1691496715549802496</t>
  </si>
  <si>
    <t>1681472243547742209</t>
  </si>
  <si>
    <t>1681726011925250051</t>
  </si>
  <si>
    <t>1702096234679324722</t>
  </si>
  <si>
    <t>1699167576180318632</t>
  </si>
  <si>
    <t>1699159578275881038</t>
  </si>
  <si>
    <t>1699460482350903491</t>
  </si>
  <si>
    <t>1691129553362583552</t>
  </si>
  <si>
    <t>1700190235370356754</t>
  </si>
  <si>
    <t>1698815238156538154</t>
  </si>
  <si>
    <t>1679904161649786880</t>
  </si>
  <si>
    <t>1697931122447946054</t>
  </si>
  <si>
    <t>1702654153283998144</t>
  </si>
  <si>
    <t>1681336043717509121</t>
  </si>
  <si>
    <t>1705249511260471382</t>
  </si>
  <si>
    <t>1698350794007826548</t>
  </si>
  <si>
    <t>1689961683777691648</t>
  </si>
  <si>
    <t>1689834167448600576</t>
  </si>
  <si>
    <t>1703909262638841960</t>
  </si>
  <si>
    <t>1694486541505036373</t>
  </si>
  <si>
    <t>1706446582164357338</t>
  </si>
  <si>
    <t>1701417613958455549</t>
  </si>
  <si>
    <t>1699864884077350924</t>
  </si>
  <si>
    <t>1691907909041467607</t>
  </si>
  <si>
    <t>1701359170824359993</t>
  </si>
  <si>
    <t>1707213715152552345</t>
  </si>
  <si>
    <t>1704812281840701626</t>
  </si>
  <si>
    <t>1696466012286140915</t>
  </si>
  <si>
    <t>1698451492913442961</t>
  </si>
  <si>
    <t>1700548195036676581</t>
  </si>
  <si>
    <t>1704419037596242087</t>
  </si>
  <si>
    <t>1692630656214524352</t>
  </si>
  <si>
    <t>1688633858516733952</t>
  </si>
  <si>
    <t>1683616249744441344</t>
  </si>
  <si>
    <t>1680318745678364674</t>
  </si>
  <si>
    <t>1682689869217247232</t>
  </si>
  <si>
    <t>1679143088336543744</t>
  </si>
  <si>
    <t>1679505290658566149</t>
  </si>
  <si>
    <t>1681316879326154752</t>
  </si>
  <si>
    <t>1705995510400835890</t>
  </si>
  <si>
    <t>1705996955644530774</t>
  </si>
  <si>
    <t>1678834025241145353</t>
  </si>
  <si>
    <t>1698092705195155661</t>
  </si>
  <si>
    <t>1705319896475652373</t>
  </si>
  <si>
    <t>1703728465730552236</t>
  </si>
  <si>
    <t>1679239739361116166</t>
  </si>
  <si>
    <t>1679241460573519874</t>
  </si>
  <si>
    <t>1691521935010594816</t>
  </si>
  <si>
    <t>1691546699540332544</t>
  </si>
  <si>
    <t>1689034172571045888</t>
  </si>
  <si>
    <t>1697751186554642528</t>
  </si>
  <si>
    <t>1696003826828927307</t>
  </si>
  <si>
    <t>1682483564129001475</t>
  </si>
  <si>
    <t>1704557004960768480</t>
  </si>
  <si>
    <t>1704978142278959383</t>
  </si>
  <si>
    <t>1705288518375768381</t>
  </si>
  <si>
    <t>1707137174527955022</t>
  </si>
  <si>
    <t>1706047529941372935</t>
  </si>
  <si>
    <t>1682469145823125504</t>
  </si>
  <si>
    <t>1686892606238629888</t>
  </si>
  <si>
    <t>1687325402912448512</t>
  </si>
  <si>
    <t>1688244346099761152</t>
  </si>
  <si>
    <t>1679101081513541633</t>
  </si>
  <si>
    <t>1685978098095849474</t>
  </si>
  <si>
    <t>1699785654589370679</t>
  </si>
  <si>
    <t>1699132764266561871</t>
  </si>
  <si>
    <t>1691843987168981267</t>
  </si>
  <si>
    <t>1698780858939748750</t>
  </si>
  <si>
    <t>1703945790119403772</t>
  </si>
  <si>
    <t>1705497372111917471</t>
  </si>
  <si>
    <t>1683102159867371522</t>
  </si>
  <si>
    <t>1683075232439959552</t>
  </si>
  <si>
    <t>1684550614271885314</t>
  </si>
  <si>
    <t>1682707395531751425</t>
  </si>
  <si>
    <t>1678938260016431106</t>
  </si>
  <si>
    <t>1691912211524895206</t>
  </si>
  <si>
    <t>1688267445256028160</t>
  </si>
  <si>
    <t>1686039937768886273</t>
  </si>
  <si>
    <t>1691606418766397761</t>
  </si>
  <si>
    <t>1682337119023382530</t>
  </si>
  <si>
    <t>1691050030390497282</t>
  </si>
  <si>
    <t>1683837610232520706</t>
  </si>
  <si>
    <t>1690321275976065025</t>
  </si>
  <si>
    <t>1680645472128495616</t>
  </si>
  <si>
    <t>1680571364934074369</t>
  </si>
  <si>
    <t>1680169083067678720</t>
  </si>
  <si>
    <t>1695387863481774473</t>
  </si>
  <si>
    <t>1692475674307477923</t>
  </si>
  <si>
    <t>1693005888154370199</t>
  </si>
  <si>
    <t>1697025719191097385</t>
  </si>
  <si>
    <t>1697407914569310341</t>
  </si>
  <si>
    <t>1696268962655342622</t>
  </si>
  <si>
    <t>1696268872901357833</t>
  </si>
  <si>
    <t>1701318288469324215</t>
  </si>
  <si>
    <t>1690355428884951040</t>
  </si>
  <si>
    <t>1703019346744746429</t>
  </si>
  <si>
    <t>1699010232150643166</t>
  </si>
  <si>
    <t>1691021844646596608</t>
  </si>
  <si>
    <t>1703199742467965333</t>
  </si>
  <si>
    <t>1703194857072726266</t>
  </si>
  <si>
    <t>1693728992149282817</t>
  </si>
  <si>
    <t>1705968141749162403</t>
  </si>
  <si>
    <t>1698306042042712209</t>
  </si>
  <si>
    <t>1706063564757168413</t>
  </si>
  <si>
    <t>1693271427024080970</t>
  </si>
  <si>
    <t>1706308572794032390</t>
  </si>
  <si>
    <t>1705180640637813159</t>
  </si>
  <si>
    <t>1706685808533553563</t>
  </si>
  <si>
    <t>1685636358876823552</t>
  </si>
  <si>
    <t>1685312148182884352</t>
  </si>
  <si>
    <t>1685271705697005568</t>
  </si>
  <si>
    <t>1686841070162690048</t>
  </si>
  <si>
    <t>1703117592674656609</t>
  </si>
  <si>
    <t>1693616577680146842</t>
  </si>
  <si>
    <t>1680910399888138240</t>
  </si>
  <si>
    <t>1681234113926254593</t>
  </si>
  <si>
    <t>1695041938792059358</t>
  </si>
  <si>
    <t>1678776309957406720</t>
  </si>
  <si>
    <t>1684868811420319745</t>
  </si>
  <si>
    <t>1684853710965342210</t>
  </si>
  <si>
    <t>1685955974970912768</t>
  </si>
  <si>
    <t>1689927141171863552</t>
  </si>
  <si>
    <t>1689912040268120064</t>
  </si>
  <si>
    <t>1686665650884718592</t>
  </si>
  <si>
    <t>1695015670495232011</t>
  </si>
  <si>
    <t>1692101470949110270</t>
  </si>
  <si>
    <t>1681969707119792129</t>
  </si>
  <si>
    <t>1691029403159941121</t>
  </si>
  <si>
    <t>1683842047281856512</t>
  </si>
  <si>
    <t>1694698583226782081</t>
  </si>
  <si>
    <t>1680852346404843521</t>
  </si>
  <si>
    <t>1691754178949874043</t>
  </si>
  <si>
    <t>1695166663757283604</t>
  </si>
  <si>
    <t>1692448757390979525</t>
  </si>
  <si>
    <t>1693656717286944957</t>
  </si>
  <si>
    <t>1696450121783714044</t>
  </si>
  <si>
    <t>1696555819322486795</t>
  </si>
  <si>
    <t>1696148130645811500</t>
  </si>
  <si>
    <t>1692478955209511173</t>
  </si>
  <si>
    <t>1691406890301853697</t>
  </si>
  <si>
    <t>1680520158333239296</t>
  </si>
  <si>
    <t>1699213331200946202</t>
  </si>
  <si>
    <t>1695378058608308547</t>
  </si>
  <si>
    <t>1701765142302572859</t>
  </si>
  <si>
    <t>1689655349022949378</t>
  </si>
  <si>
    <t>1703561984166257081</t>
  </si>
  <si>
    <t>1701387659002749154</t>
  </si>
  <si>
    <t>1692086368845930830</t>
  </si>
  <si>
    <t>1703199596422340924</t>
  </si>
  <si>
    <t>1704286762267189461</t>
  </si>
  <si>
    <t>1693264130780586311</t>
  </si>
  <si>
    <t>1687941718677520386</t>
  </si>
  <si>
    <t>1687940268400558080</t>
  </si>
  <si>
    <t>1693977604917772759</t>
  </si>
  <si>
    <t>1681287951492284417</t>
  </si>
  <si>
    <t>1678833598944669700</t>
  </si>
  <si>
    <t>1684259073993080846</t>
  </si>
  <si>
    <t>1683536502838444036</t>
  </si>
  <si>
    <t>1686805259358793734</t>
  </si>
  <si>
    <t>1691802876551537044</t>
  </si>
  <si>
    <t>1687593911806476288</t>
  </si>
  <si>
    <t>1691996981147599331</t>
  </si>
  <si>
    <t>1692088896186728892</t>
  </si>
  <si>
    <t>1692959901025226820</t>
  </si>
  <si>
    <t>1692704289871822955</t>
  </si>
  <si>
    <t>1693798282017812984</t>
  </si>
  <si>
    <t>1679611127221633026</t>
  </si>
  <si>
    <t>1679611051799609351</t>
  </si>
  <si>
    <t>1679610968580542465</t>
  </si>
  <si>
    <t>1682128147876020225</t>
  </si>
  <si>
    <t>1685029838850080768</t>
  </si>
  <si>
    <t>1685029741173084161</t>
  </si>
  <si>
    <t>1686084483072614401</t>
  </si>
  <si>
    <t>1706655719628354038</t>
  </si>
  <si>
    <t>1682042776899428353</t>
  </si>
  <si>
    <t>1684579489358159872</t>
  </si>
  <si>
    <t>1687116203591163905</t>
  </si>
  <si>
    <t>1692189628109816202</t>
  </si>
  <si>
    <t>1697263098724532729</t>
  </si>
  <si>
    <t>1702336499533164842</t>
  </si>
  <si>
    <t>1705644654136295618</t>
  </si>
  <si>
    <t>1678911545907068931</t>
  </si>
  <si>
    <t>1695172417490993511</t>
  </si>
  <si>
    <t>1687459527031975936</t>
  </si>
  <si>
    <t>1697031590650515733</t>
  </si>
  <si>
    <t>1694108272746222072</t>
  </si>
  <si>
    <t>1681031939778641920</t>
  </si>
  <si>
    <t>1700268168923451517</t>
  </si>
  <si>
    <t>1686915980700610560</t>
  </si>
  <si>
    <t>1706272514794500113</t>
  </si>
  <si>
    <t>1697758616386707733</t>
  </si>
  <si>
    <t>1681295409803558913</t>
  </si>
  <si>
    <t>1679845434871672832</t>
  </si>
  <si>
    <t>1679834517182337029</t>
  </si>
  <si>
    <t>1679088472810745856</t>
  </si>
  <si>
    <t>1679088364811845633</t>
  </si>
  <si>
    <t>1684990665342496777</t>
  </si>
  <si>
    <t>1684990532043321369</t>
  </si>
  <si>
    <t>1688551552762466304</t>
  </si>
  <si>
    <t>1687519016514965510</t>
  </si>
  <si>
    <t>1702766615987626195</t>
  </si>
  <si>
    <t>1702763919004119069</t>
  </si>
  <si>
    <t>1702763061197582590</t>
  </si>
  <si>
    <t>1702762805248573876</t>
  </si>
  <si>
    <t>1702751273433309536</t>
  </si>
  <si>
    <t>1702726235116233027</t>
  </si>
  <si>
    <t>1702664698892591135</t>
  </si>
  <si>
    <t>1702642497179013246</t>
  </si>
  <si>
    <t>1702642676061946262</t>
  </si>
  <si>
    <t>1702642156840640765</t>
  </si>
  <si>
    <t>1702643029931163942</t>
  </si>
  <si>
    <t>1702642839580967224</t>
  </si>
  <si>
    <t>1702642598890901713</t>
  </si>
  <si>
    <t>1702641932726423989</t>
  </si>
  <si>
    <t>1681989259979374595</t>
  </si>
  <si>
    <t>1700562860315697195</t>
  </si>
  <si>
    <t>1681831760038952962</t>
  </si>
  <si>
    <t>1694708820998795525</t>
  </si>
  <si>
    <t>1681092579159339008</t>
  </si>
  <si>
    <t>1705839753046679878</t>
  </si>
  <si>
    <t>1679435869797621760</t>
  </si>
  <si>
    <t>1687520222540943377</t>
  </si>
  <si>
    <t>1694055835234640205</t>
  </si>
  <si>
    <t>1688541143414321152</t>
  </si>
  <si>
    <t>1693969632049131818</t>
  </si>
  <si>
    <t>1695077170597580984</t>
  </si>
  <si>
    <t>1695069037225545765</t>
  </si>
  <si>
    <t>1693963301720342756</t>
  </si>
  <si>
    <t>1694341146850259033</t>
  </si>
  <si>
    <t>1687088435498983424</t>
  </si>
  <si>
    <t>1688892732859621376</t>
  </si>
  <si>
    <t>1694411564596576753</t>
  </si>
  <si>
    <t>1704425132855308520</t>
  </si>
  <si>
    <t>1704451778941428192</t>
  </si>
  <si>
    <t>1705212352038154292</t>
  </si>
  <si>
    <t>1704415493040320747</t>
  </si>
  <si>
    <t>1704486677119385767</t>
  </si>
  <si>
    <t>1698263862821425513</t>
  </si>
  <si>
    <t>1678720035424989184</t>
  </si>
  <si>
    <t>1679521226786500609</t>
  </si>
  <si>
    <t>1688709824832315393</t>
  </si>
  <si>
    <t>1687146794495483928</t>
  </si>
  <si>
    <t>1687589679636324352</t>
  </si>
  <si>
    <t>1702291214291157153</t>
  </si>
  <si>
    <t>1705391606218809421</t>
  </si>
  <si>
    <t>1680925940916928514</t>
  </si>
  <si>
    <t>1681836013860134912</t>
  </si>
  <si>
    <t>1694537654057279684</t>
  </si>
  <si>
    <t>1702094807609544953</t>
  </si>
  <si>
    <t>1702457202710319229</t>
  </si>
  <si>
    <t>1705190213960745413</t>
  </si>
  <si>
    <t>1704827824421642417</t>
  </si>
  <si>
    <t>1706326584011976974</t>
  </si>
  <si>
    <t>1705659675146874942</t>
  </si>
  <si>
    <t>1704675808311173292</t>
  </si>
  <si>
    <t>1678507577003458560</t>
  </si>
  <si>
    <t>1703050908383281296</t>
  </si>
  <si>
    <t>1703042226043883547</t>
  </si>
  <si>
    <t>1703831060679700533</t>
  </si>
  <si>
    <t>1703063053137289218</t>
  </si>
  <si>
    <t>1702827333650919918</t>
  </si>
  <si>
    <t>1703851845972631728</t>
  </si>
  <si>
    <t>1702787524651856204</t>
  </si>
  <si>
    <t>1704114549694013596</t>
  </si>
  <si>
    <t>1703825893712421276</t>
  </si>
  <si>
    <t>1704574228681376132</t>
  </si>
  <si>
    <t>1702780099513245837</t>
  </si>
  <si>
    <t>1704997878932947327</t>
  </si>
  <si>
    <t>1704996229111824714</t>
  </si>
  <si>
    <t>1704839334065484147</t>
  </si>
  <si>
    <t>1704839149507719527</t>
  </si>
  <si>
    <t>1704639046570381548</t>
  </si>
  <si>
    <t>1704616442887344610</t>
  </si>
  <si>
    <t>1704081726064988336</t>
  </si>
  <si>
    <t>1705582032745615436</t>
  </si>
  <si>
    <t>1704269049914405233</t>
  </si>
  <si>
    <t>1703751515859492910</t>
  </si>
  <si>
    <t>1706734860092502341</t>
  </si>
  <si>
    <t>1704257271109214467</t>
  </si>
  <si>
    <t>1703718497224679545</t>
  </si>
  <si>
    <t>1706809549196308495</t>
  </si>
  <si>
    <t>1706440706665964027</t>
  </si>
  <si>
    <t>1705214366381965324</t>
  </si>
  <si>
    <t>1704168578755256789</t>
  </si>
  <si>
    <t>1703143459668812283</t>
  </si>
  <si>
    <t>1703142494769144125</t>
  </si>
  <si>
    <t>1703099609239724163</t>
  </si>
  <si>
    <t>1703079717383881049</t>
  </si>
  <si>
    <t>1703063739166019966</t>
  </si>
  <si>
    <t>1707150210344919126</t>
  </si>
  <si>
    <t>1706765922713665978</t>
  </si>
  <si>
    <t>1706388890284605595</t>
  </si>
  <si>
    <t>1705339943101346223</t>
  </si>
  <si>
    <t>1704443228697636991</t>
  </si>
  <si>
    <t>1684441135530266624</t>
  </si>
  <si>
    <t>1690755590950449152</t>
  </si>
  <si>
    <t>1702415962077528426</t>
  </si>
  <si>
    <t>1696198456103125452</t>
  </si>
  <si>
    <t>1695987063139787057</t>
  </si>
  <si>
    <t>1695318757025980569</t>
  </si>
  <si>
    <t>1695911565768204465</t>
  </si>
  <si>
    <t>1696575943580758198</t>
  </si>
  <si>
    <t>1696780883653455920</t>
  </si>
  <si>
    <t>1698206688048709967</t>
  </si>
  <si>
    <t>1698131191386509671</t>
  </si>
  <si>
    <t>1698055693599982005</t>
  </si>
  <si>
    <t>1697511020678246503</t>
  </si>
  <si>
    <t>1697391317561807124</t>
  </si>
  <si>
    <t>1696273954066087982</t>
  </si>
  <si>
    <t>1697689530269306926</t>
  </si>
  <si>
    <t>1696651442340102594</t>
  </si>
  <si>
    <t>1698418332570206509</t>
  </si>
  <si>
    <t>1698968366919065816</t>
  </si>
  <si>
    <t>1698569327417434295</t>
  </si>
  <si>
    <t>1697149949937344799</t>
  </si>
  <si>
    <t>1699154181167481213</t>
  </si>
  <si>
    <t>1699229678718816535</t>
  </si>
  <si>
    <t>1697021384357011654</t>
  </si>
  <si>
    <t>1695698003099586850</t>
  </si>
  <si>
    <t>1695549177265095150</t>
  </si>
  <si>
    <t>1695473680418320401</t>
  </si>
  <si>
    <t>1699497695826550953</t>
  </si>
  <si>
    <t>1699573193240097006</t>
  </si>
  <si>
    <t>1696411218850746850</t>
  </si>
  <si>
    <t>1684556744952094723</t>
  </si>
  <si>
    <t>1685636367278022656</t>
  </si>
  <si>
    <t>1685409872093859841</t>
  </si>
  <si>
    <t>1679085633149587456</t>
  </si>
  <si>
    <t>1682384887213375488</t>
  </si>
  <si>
    <t>1680547835933229056</t>
  </si>
  <si>
    <t>1683205344053305344</t>
  </si>
  <si>
    <t>1683084546504290304</t>
  </si>
  <si>
    <t>1685621265992933376</t>
  </si>
  <si>
    <t>1688157974681075713</t>
  </si>
  <si>
    <t>1693216309402615857</t>
  </si>
  <si>
    <t>1690694690369064960</t>
  </si>
  <si>
    <t>1695768127521309088</t>
  </si>
  <si>
    <t>1698304845327868052</t>
  </si>
  <si>
    <t>1705914985208303691</t>
  </si>
  <si>
    <t>1703378269439942817</t>
  </si>
  <si>
    <t>1690234164077854720</t>
  </si>
  <si>
    <t>1691475001017237504</t>
  </si>
  <si>
    <t>1692308060104953922</t>
  </si>
  <si>
    <t>1693644430387937452</t>
  </si>
  <si>
    <t>1697586642456870979</t>
  </si>
  <si>
    <t>1686865468164837381</t>
  </si>
  <si>
    <t>1686300385248518144</t>
  </si>
  <si>
    <t>1679105660598845440</t>
  </si>
  <si>
    <t>1696145355220423020</t>
  </si>
  <si>
    <t>1706284844462780901</t>
  </si>
  <si>
    <t>1698678562880901483</t>
  </si>
  <si>
    <t>1705912733298827362</t>
  </si>
  <si>
    <t>1679808148289253377</t>
  </si>
  <si>
    <t>1688791511184310272</t>
  </si>
  <si>
    <t>1686070554556542976</t>
  </si>
  <si>
    <t>1686070552383930380</t>
  </si>
  <si>
    <t>1679187175118721024</t>
  </si>
  <si>
    <t>1679187172983820288</t>
  </si>
  <si>
    <t>1679184677544787973</t>
  </si>
  <si>
    <t>1688431387508973568</t>
  </si>
  <si>
    <t>1681542851476303872</t>
  </si>
  <si>
    <t>1681540645855416320</t>
  </si>
  <si>
    <t>1686612099806425089</t>
  </si>
  <si>
    <t>1685887068327514112</t>
  </si>
  <si>
    <t>1691871680849670214</t>
  </si>
  <si>
    <t>1691871678710604048</t>
  </si>
  <si>
    <t>1691869580048683013</t>
  </si>
  <si>
    <t>1692424660984406069</t>
  </si>
  <si>
    <t>1692423547371639203</t>
  </si>
  <si>
    <t>1689509410127691776</t>
  </si>
  <si>
    <t>1689508075391111170</t>
  </si>
  <si>
    <t>1683424738373165059</t>
  </si>
  <si>
    <t>1679547870834204676</t>
  </si>
  <si>
    <t>1692229278597829061</t>
  </si>
  <si>
    <t>1692227173942243654</t>
  </si>
  <si>
    <t>1681362859807178752</t>
  </si>
  <si>
    <t>1681361385408679937</t>
  </si>
  <si>
    <t>1681361383072333830</t>
  </si>
  <si>
    <t>1678462323894231042</t>
  </si>
  <si>
    <t>1694755674251542800</t>
  </si>
  <si>
    <t>1692596822122860738</t>
  </si>
  <si>
    <t>1692596820063519089</t>
  </si>
  <si>
    <t>1692594657803239845</t>
  </si>
  <si>
    <t>1692594655542571363</t>
  </si>
  <si>
    <t>1689332327531388928</t>
  </si>
  <si>
    <t>1679002317381677057</t>
  </si>
  <si>
    <t>1679000601080786944</t>
  </si>
  <si>
    <t>1695138084344434772</t>
  </si>
  <si>
    <t>1683796663243100160</t>
  </si>
  <si>
    <t>1681179213758451713</t>
  </si>
  <si>
    <t>1681177676738883586</t>
  </si>
  <si>
    <t>1697301978802520080</t>
  </si>
  <si>
    <t>1683709843801100290</t>
  </si>
  <si>
    <t>1699306666183790882</t>
  </si>
  <si>
    <t>1699304486219432326</t>
  </si>
  <si>
    <t>1684619028382269440</t>
  </si>
  <si>
    <t>1681906502372675584</t>
  </si>
  <si>
    <t>1699118593122918433</t>
  </si>
  <si>
    <t>1698574403724787965</t>
  </si>
  <si>
    <t>1696022300322058670</t>
  </si>
  <si>
    <t>1689694747282280448</t>
  </si>
  <si>
    <t>1683544583186046976</t>
  </si>
  <si>
    <t>1699642329844346912</t>
  </si>
  <si>
    <t>1688605676619083776</t>
  </si>
  <si>
    <t>1681723181554384905</t>
  </si>
  <si>
    <t>1681718920414150658</t>
  </si>
  <si>
    <t>1700029309434413522</t>
  </si>
  <si>
    <t>1696215219150708990</t>
  </si>
  <si>
    <t>1696215216843841593</t>
  </si>
  <si>
    <t>1693875957356998981</t>
  </si>
  <si>
    <t>1691699094694101207</t>
  </si>
  <si>
    <t>1689162732950495232</t>
  </si>
  <si>
    <t>1689161411396505600</t>
  </si>
  <si>
    <t>1701654864458096759</t>
  </si>
  <si>
    <t>1700202484830982389</t>
  </si>
  <si>
    <t>1696940142127198566</t>
  </si>
  <si>
    <t>1696940139568652517</t>
  </si>
  <si>
    <t>1696938176391110967</t>
  </si>
  <si>
    <t>1689690761380712448</t>
  </si>
  <si>
    <t>1679362108578754560</t>
  </si>
  <si>
    <t>1701843624105853261</t>
  </si>
  <si>
    <t>1701842231412264992</t>
  </si>
  <si>
    <t>1699471826991088120</t>
  </si>
  <si>
    <t>1699471822301839815</t>
  </si>
  <si>
    <t>1696024346924314904</t>
  </si>
  <si>
    <t>1691142459747610629</t>
  </si>
  <si>
    <t>1683902325637644302</t>
  </si>
  <si>
    <t>1683899793439850501</t>
  </si>
  <si>
    <t>1683899791124594695</t>
  </si>
  <si>
    <t>1702205998042062905</t>
  </si>
  <si>
    <t>1702204500939767880</t>
  </si>
  <si>
    <t>1702645742039347433</t>
  </si>
  <si>
    <t>1697475499700719884</t>
  </si>
  <si>
    <t>1684079329645408256</t>
  </si>
  <si>
    <t>1704195106893422720</t>
  </si>
  <si>
    <t>1690955527839240192</t>
  </si>
  <si>
    <t>1687333643461517312</t>
  </si>
  <si>
    <t>1687331012244598785</t>
  </si>
  <si>
    <t>1681000563280957440</t>
  </si>
  <si>
    <t>1680997619370213377</t>
  </si>
  <si>
    <t>1680997617117933568</t>
  </si>
  <si>
    <t>1704380518853165148</t>
  </si>
  <si>
    <t>1704453419925205355</t>
  </si>
  <si>
    <t>1702741762303803453</t>
  </si>
  <si>
    <t>1702741760114299385</t>
  </si>
  <si>
    <t>1702739938544910534</t>
  </si>
  <si>
    <t>1692229280724328490</t>
  </si>
  <si>
    <t>1684982651596275712</t>
  </si>
  <si>
    <t>1678636546495242240</t>
  </si>
  <si>
    <t>1704738300630573088</t>
  </si>
  <si>
    <t>1704804039408435293</t>
  </si>
  <si>
    <t>1704557918459183426</t>
  </si>
  <si>
    <t>1704734040123740450</t>
  </si>
  <si>
    <t>1704014118812807439</t>
  </si>
  <si>
    <t>1704094518620889380</t>
  </si>
  <si>
    <t>1704012439363129662</t>
  </si>
  <si>
    <t>1704094495854182523</t>
  </si>
  <si>
    <t>1703830742151663794</t>
  </si>
  <si>
    <t>1704010328676163824</t>
  </si>
  <si>
    <t>1703830744294948957</t>
  </si>
  <si>
    <t>1704010314021220392</t>
  </si>
  <si>
    <t>1703828799735971978</t>
  </si>
  <si>
    <t>1704010296530964839</t>
  </si>
  <si>
    <t>1703828801908543511</t>
  </si>
  <si>
    <t>1704010280034869499</t>
  </si>
  <si>
    <t>1686436180722667526</t>
  </si>
  <si>
    <t>1686260481646813184</t>
  </si>
  <si>
    <t>1686259519821643776</t>
  </si>
  <si>
    <t>1706706613808013530</t>
  </si>
  <si>
    <t>1698946190082011300</t>
  </si>
  <si>
    <t>1695038245866791116</t>
  </si>
  <si>
    <t>1678823721488769024</t>
  </si>
  <si>
    <t>1678823719039299592</t>
  </si>
  <si>
    <t>1706913337135575438</t>
  </si>
  <si>
    <t>1704377500300677328</t>
  </si>
  <si>
    <t>1702012390236160412</t>
  </si>
  <si>
    <t>1702011297137611026</t>
  </si>
  <si>
    <t>1693502776397947386</t>
  </si>
  <si>
    <t>1686957280950960128</t>
  </si>
  <si>
    <t>1686956073037545472</t>
  </si>
  <si>
    <t>1679907047553237002</t>
  </si>
  <si>
    <t>1679907045447696390</t>
  </si>
  <si>
    <t>1679727015908261888</t>
  </si>
  <si>
    <t>1706909850746188231</t>
  </si>
  <si>
    <t>1701118108692300035</t>
  </si>
  <si>
    <t>1693681191600136472</t>
  </si>
  <si>
    <t>1686789856804958210</t>
  </si>
  <si>
    <t>1706724557477101724</t>
  </si>
  <si>
    <t>1706626294836810207</t>
  </si>
  <si>
    <t>1694666814444462272</t>
  </si>
  <si>
    <t>1687159254568878086</t>
  </si>
  <si>
    <t>1687159252224262146</t>
  </si>
  <si>
    <t>1680814170441129985</t>
  </si>
  <si>
    <t>1680812557869674496</t>
  </si>
  <si>
    <t>1706727443678347770</t>
  </si>
  <si>
    <t>1706909882035691625</t>
  </si>
  <si>
    <t>1706724554574643446</t>
  </si>
  <si>
    <t>1706909860560863619</t>
  </si>
  <si>
    <t>1706364414037746174</t>
  </si>
  <si>
    <t>1706550695283802508</t>
  </si>
  <si>
    <t>1706266704068612502</t>
  </si>
  <si>
    <t>1706339918975304078</t>
  </si>
  <si>
    <t>1703648166380237267</t>
  </si>
  <si>
    <t>1701487861927645363</t>
  </si>
  <si>
    <t>1701486885565071841</t>
  </si>
  <si>
    <t>1692056889499287568</t>
  </si>
  <si>
    <t>1684258843495215104</t>
  </si>
  <si>
    <t>1706991111548342575</t>
  </si>
  <si>
    <t>1706552526089130130</t>
  </si>
  <si>
    <t>1706627063245860995</t>
  </si>
  <si>
    <t>1704197068913267020</t>
  </si>
  <si>
    <t>1704377551320150522</t>
  </si>
  <si>
    <t>1704197070939169070</t>
  </si>
  <si>
    <t>1704377535482474741</t>
  </si>
  <si>
    <t>1704195104716570963</t>
  </si>
  <si>
    <t>1704377517174305167</t>
  </si>
  <si>
    <t>1702379272147488962</t>
  </si>
  <si>
    <t>1702375887902007631</t>
  </si>
  <si>
    <t>1690054367108309000</t>
  </si>
  <si>
    <t>1689879103611015168</t>
  </si>
  <si>
    <t>1693631542055281005</t>
  </si>
  <si>
    <t>1706292477131387296</t>
  </si>
  <si>
    <t>1678526660839108610</t>
  </si>
  <si>
    <t>1679618722107981824</t>
  </si>
  <si>
    <t>1704083423831142400</t>
  </si>
  <si>
    <t>1620894248387358720</t>
  </si>
  <si>
    <t>1686179943519002624</t>
  </si>
  <si>
    <t>1689012216610295813</t>
  </si>
  <si>
    <t>1700155815330472309</t>
  </si>
  <si>
    <t>1698040419613843916</t>
  </si>
  <si>
    <t>1685004961048838145</t>
  </si>
  <si>
    <t>1698815316455797004</t>
  </si>
  <si>
    <t>1702307873739411603</t>
  </si>
  <si>
    <t>1704202041524961535</t>
  </si>
  <si>
    <t>1705664267754590300</t>
  </si>
  <si>
    <t>1705798741691629697</t>
  </si>
  <si>
    <t>1703966742710464795</t>
  </si>
  <si>
    <t>1678988491764514817</t>
  </si>
  <si>
    <t>1694259661090820311</t>
  </si>
  <si>
    <t>1693597491030090195</t>
  </si>
  <si>
    <t>1693926151310241900</t>
  </si>
  <si>
    <t>1687378903864573952</t>
  </si>
  <si>
    <t>1687386276415053824</t>
  </si>
  <si>
    <t>1690453242495553536</t>
  </si>
  <si>
    <t>1687101778670829569</t>
  </si>
  <si>
    <t>1679143125564923905</t>
  </si>
  <si>
    <t>1684550582504132610</t>
  </si>
  <si>
    <t>1701916610779357544</t>
  </si>
  <si>
    <t>1701521127669936213</t>
  </si>
  <si>
    <t>1702314153300607261</t>
  </si>
  <si>
    <t>1686713705877131264</t>
  </si>
  <si>
    <t>1688536727378337792</t>
  </si>
  <si>
    <t>1684493086905315331</t>
  </si>
  <si>
    <t>1681665795313598469</t>
  </si>
  <si>
    <t>1691755171720610214</t>
  </si>
  <si>
    <t>1696876571523436687</t>
  </si>
  <si>
    <t>1692490452891582563</t>
  </si>
  <si>
    <t>1687130029220634624</t>
  </si>
  <si>
    <t>1699075995406618973</t>
  </si>
  <si>
    <t>1680868196826460160</t>
  </si>
  <si>
    <t>1699816232663302256</t>
  </si>
  <si>
    <t>1700118505696170359</t>
  </si>
  <si>
    <t>1704062486394085722</t>
  </si>
  <si>
    <t>1682021207812747266</t>
  </si>
  <si>
    <t>1705207940813049887</t>
  </si>
  <si>
    <t>1706237130131853607</t>
  </si>
  <si>
    <t>1704501861233946653</t>
  </si>
  <si>
    <t>1695033774159917218</t>
  </si>
  <si>
    <t>1678679211584770048</t>
  </si>
  <si>
    <t>1686287050750771200</t>
  </si>
  <si>
    <t>1681217145584197632</t>
  </si>
  <si>
    <t>1683389690253115392</t>
  </si>
  <si>
    <t>1684839273923555328</t>
  </si>
  <si>
    <t>1692085883749466477</t>
  </si>
  <si>
    <t>1697160140519035263</t>
  </si>
  <si>
    <t>1704105035389407314</t>
  </si>
  <si>
    <t>1679048832783380481</t>
  </si>
  <si>
    <t>1681698284962709506</t>
  </si>
  <si>
    <t>1684840376912277504</t>
  </si>
  <si>
    <t>1692148920074293557</t>
  </si>
  <si>
    <t>1684208346893627395</t>
  </si>
  <si>
    <t>1697188691347661207</t>
  </si>
  <si>
    <t>1686322110984032256</t>
  </si>
  <si>
    <t>1704417338584375720</t>
  </si>
  <si>
    <t>1683436629304700928</t>
  </si>
  <si>
    <t>1687052127527477248</t>
  </si>
  <si>
    <t>1688563890307702784</t>
  </si>
  <si>
    <t>1696215289917055413</t>
  </si>
  <si>
    <t>1682347039521226752</t>
  </si>
  <si>
    <t>1696928815170158597</t>
  </si>
  <si>
    <t>1684882700971266048</t>
  </si>
  <si>
    <t>1699350444659691644</t>
  </si>
  <si>
    <t>1692561575444402476</t>
  </si>
  <si>
    <t>1679422401103253504</t>
  </si>
  <si>
    <t>1684272775114940419</t>
  </si>
  <si>
    <t>1701278549515112507</t>
  </si>
  <si>
    <t>1681274719855685632</t>
  </si>
  <si>
    <t>1686332936725934080</t>
  </si>
  <si>
    <t>1703807459318534300</t>
  </si>
  <si>
    <t>1688924368645312512</t>
  </si>
  <si>
    <t>1689941368494243840</t>
  </si>
  <si>
    <t>1679522948795842561</t>
  </si>
  <si>
    <t>1686043602621775872</t>
  </si>
  <si>
    <t>1693975607489528092</t>
  </si>
  <si>
    <t>1691784829434515876</t>
  </si>
  <si>
    <t>1696543799680373224</t>
  </si>
  <si>
    <t>1693575848060678257</t>
  </si>
  <si>
    <t>1693545433719558485</t>
  </si>
  <si>
    <t>1689239720172146688</t>
  </si>
  <si>
    <t>1687404766010208256</t>
  </si>
  <si>
    <t>1698742461537911090</t>
  </si>
  <si>
    <t>1694630701142794422</t>
  </si>
  <si>
    <t>1697519410070577214</t>
  </si>
  <si>
    <t>1692181302600966540</t>
  </si>
  <si>
    <t>1689630101162614784</t>
  </si>
  <si>
    <t>1678678210526031872</t>
  </si>
  <si>
    <t>1706597772407759024</t>
  </si>
  <si>
    <t>1689926589323108352</t>
  </si>
  <si>
    <t>1690792218221498368</t>
  </si>
  <si>
    <t>1690722808328753152</t>
  </si>
  <si>
    <t>1681096815481946113</t>
  </si>
  <si>
    <t>1624165504624517130</t>
  </si>
  <si>
    <t>1680953937182990336</t>
  </si>
  <si>
    <t>1685997753057320961</t>
  </si>
  <si>
    <t>1696142325783601262</t>
  </si>
  <si>
    <t>1703748918259966144</t>
  </si>
  <si>
    <t>1686192773404246022</t>
  </si>
  <si>
    <t>1691772335064293684</t>
  </si>
  <si>
    <t>1694459907230126478</t>
  </si>
  <si>
    <t>1694303471787262401</t>
  </si>
  <si>
    <t>1693955834697469960</t>
  </si>
  <si>
    <t>1692302787852550269</t>
  </si>
  <si>
    <t>1692299010726584774</t>
  </si>
  <si>
    <t>1692295237581062591</t>
  </si>
  <si>
    <t>1692291461012676954</t>
  </si>
  <si>
    <t>1689362159531401216</t>
  </si>
  <si>
    <t>1689358384342974465</t>
  </si>
  <si>
    <t>1689354609389690880</t>
  </si>
  <si>
    <t>1689350842061889537</t>
  </si>
  <si>
    <t>1689347059927613442</t>
  </si>
  <si>
    <t>1689343286245470209</t>
  </si>
  <si>
    <t>1689339510197211136</t>
  </si>
  <si>
    <t>1687516245732753408</t>
  </si>
  <si>
    <t>1687493608335978496</t>
  </si>
  <si>
    <t>1687484502010982400</t>
  </si>
  <si>
    <t>1687476753474732033</t>
  </si>
  <si>
    <t>1685047480734420992</t>
  </si>
  <si>
    <t>1685043703474466816</t>
  </si>
  <si>
    <t>1685042196045529088</t>
  </si>
  <si>
    <t>1685041810513469440</t>
  </si>
  <si>
    <t>1685039930349875200</t>
  </si>
  <si>
    <t>1685036153802567680</t>
  </si>
  <si>
    <t>1683864966044999680</t>
  </si>
  <si>
    <t>1683848327236923393</t>
  </si>
  <si>
    <t>1681249098517602305</t>
  </si>
  <si>
    <t>1681121713692499968</t>
  </si>
  <si>
    <t>1681116591109316609</t>
  </si>
  <si>
    <t>1681111545571319808</t>
  </si>
  <si>
    <t>1681106633701687296</t>
  </si>
  <si>
    <t>1681101480290312197</t>
  </si>
  <si>
    <t>1695205663599632746</t>
  </si>
  <si>
    <t>1695198114016285162</t>
  </si>
  <si>
    <t>1694137374006013979</t>
  </si>
  <si>
    <t>1692646299307548965</t>
  </si>
  <si>
    <t>1692638749312627131</t>
  </si>
  <si>
    <t>1692634974808121501</t>
  </si>
  <si>
    <t>1692226073130332604</t>
  </si>
  <si>
    <t>1691208073581359104</t>
  </si>
  <si>
    <t>1691206722784804864</t>
  </si>
  <si>
    <t>1689815143864000512</t>
  </si>
  <si>
    <t>1689811369892384768</t>
  </si>
  <si>
    <t>1689807594125418496</t>
  </si>
  <si>
    <t>1689803822812872706</t>
  </si>
  <si>
    <t>1689800044386406400</t>
  </si>
  <si>
    <t>1689796269873430528</t>
  </si>
  <si>
    <t>1689792494660440064</t>
  </si>
  <si>
    <t>1689788724391919616</t>
  </si>
  <si>
    <t>1688278771865096192</t>
  </si>
  <si>
    <t>1688248573270568960</t>
  </si>
  <si>
    <t>1686040270457208832</t>
  </si>
  <si>
    <t>1686032721431461888</t>
  </si>
  <si>
    <t>1686028954011058176</t>
  </si>
  <si>
    <t>1684337809019256832</t>
  </si>
  <si>
    <t>1684334027422019593</t>
  </si>
  <si>
    <t>1684330254838661121</t>
  </si>
  <si>
    <t>1684326478094413824</t>
  </si>
  <si>
    <t>1684322708199297024</t>
  </si>
  <si>
    <t>1684319210112008192</t>
  </si>
  <si>
    <t>1684318928397389824</t>
  </si>
  <si>
    <t>1684315153100316672</t>
  </si>
  <si>
    <t>1684311517703938051</t>
  </si>
  <si>
    <t>1684311378205757440</t>
  </si>
  <si>
    <t>1684311298752880641</t>
  </si>
  <si>
    <t>1684303828752162821</t>
  </si>
  <si>
    <t>1684300055753158658</t>
  </si>
  <si>
    <t>1684296278681739264</t>
  </si>
  <si>
    <t>1681393596505653248</t>
  </si>
  <si>
    <t>1681388408759779343</t>
  </si>
  <si>
    <t>1681383382180036623</t>
  </si>
  <si>
    <t>1681363425501347840</t>
  </si>
  <si>
    <t>1681358260215988259</t>
  </si>
  <si>
    <t>1681356970282958853</t>
  </si>
  <si>
    <t>1678484262192836624</t>
  </si>
  <si>
    <t>1678459093315362824</t>
  </si>
  <si>
    <t>1678441976419557386</t>
  </si>
  <si>
    <t>1678434085654372352</t>
  </si>
  <si>
    <t>1678426518953893889</t>
  </si>
  <si>
    <t>1696640115664105533</t>
  </si>
  <si>
    <t>1695768127748129041</t>
  </si>
  <si>
    <t>1694766812905304147</t>
  </si>
  <si>
    <t>1694133599363006846</t>
  </si>
  <si>
    <t>1694129826494292444</t>
  </si>
  <si>
    <t>1694126049620275542</t>
  </si>
  <si>
    <t>1694122278479638991</t>
  </si>
  <si>
    <t>1692287686311330104</t>
  </si>
  <si>
    <t>1692287046260244524</t>
  </si>
  <si>
    <t>1692286876269318193</t>
  </si>
  <si>
    <t>1692283911424905684</t>
  </si>
  <si>
    <t>1691391644015468544</t>
  </si>
  <si>
    <t>1691245820996149249</t>
  </si>
  <si>
    <t>1691242046114476032</t>
  </si>
  <si>
    <t>1690094484699394050</t>
  </si>
  <si>
    <t>1690090714799984640</t>
  </si>
  <si>
    <t>1690086935149051906</t>
  </si>
  <si>
    <t>1690083161261105152</t>
  </si>
  <si>
    <t>1690079385045598215</t>
  </si>
  <si>
    <t>1689335741975846912</t>
  </si>
  <si>
    <t>1689331960206802944</t>
  </si>
  <si>
    <t>1689324559764267008</t>
  </si>
  <si>
    <t>1689309311309324288</t>
  </si>
  <si>
    <t>1682722161209880576</t>
  </si>
  <si>
    <t>1682556066008301568</t>
  </si>
  <si>
    <t>1682552287019823104</t>
  </si>
  <si>
    <t>1682548513467408384</t>
  </si>
  <si>
    <t>1682544737243332609</t>
  </si>
  <si>
    <t>1682540964638851072</t>
  </si>
  <si>
    <t>1682537187475181574</t>
  </si>
  <si>
    <t>1682533412618289155</t>
  </si>
  <si>
    <t>1682529637807603714</t>
  </si>
  <si>
    <t>1682525863995379712</t>
  </si>
  <si>
    <t>1682518315460349952</t>
  </si>
  <si>
    <t>1678932265382948864</t>
  </si>
  <si>
    <t>1678927161363668992</t>
  </si>
  <si>
    <t>1697004428073533697</t>
  </si>
  <si>
    <t>1696852370515222914</t>
  </si>
  <si>
    <t>1696850702725783708</t>
  </si>
  <si>
    <t>1696593855867412508</t>
  </si>
  <si>
    <t>1696583497954234469</t>
  </si>
  <si>
    <t>1695220762884370565</t>
  </si>
  <si>
    <t>1695216988547645486</t>
  </si>
  <si>
    <t>1695213213229420843</t>
  </si>
  <si>
    <t>1695209444802711985</t>
  </si>
  <si>
    <t>1694148698706784445</t>
  </si>
  <si>
    <t>1694144925917663735</t>
  </si>
  <si>
    <t>1694141148988854336</t>
  </si>
  <si>
    <t>1692276361656680845</t>
  </si>
  <si>
    <t>1689382877668982785</t>
  </si>
  <si>
    <t>1689382162481504256</t>
  </si>
  <si>
    <t>1689381039809167365</t>
  </si>
  <si>
    <t>1689377258925129730</t>
  </si>
  <si>
    <t>1689373484563005440</t>
  </si>
  <si>
    <t>1689369708926259200</t>
  </si>
  <si>
    <t>1689365938385420288</t>
  </si>
  <si>
    <t>1688157984235360257</t>
  </si>
  <si>
    <t>1688006983973232640</t>
  </si>
  <si>
    <t>1687991881878343680</t>
  </si>
  <si>
    <t>1687976781666799616</t>
  </si>
  <si>
    <t>1687961685552672768</t>
  </si>
  <si>
    <t>1687946586901364736</t>
  </si>
  <si>
    <t>1685832654825107457</t>
  </si>
  <si>
    <t>1685802453026099200</t>
  </si>
  <si>
    <t>1685772262157541376</t>
  </si>
  <si>
    <t>1685711860228587521</t>
  </si>
  <si>
    <t>1685696761040629760</t>
  </si>
  <si>
    <t>1685681663529869314</t>
  </si>
  <si>
    <t>1685666568003534848</t>
  </si>
  <si>
    <t>1682514538716073984</t>
  </si>
  <si>
    <t>1682510771773927424</t>
  </si>
  <si>
    <t>1682506989254098945</t>
  </si>
  <si>
    <t>1682503214262886402</t>
  </si>
  <si>
    <t>1682499438894538753</t>
  </si>
  <si>
    <t>1682498391442374657</t>
  </si>
  <si>
    <t>1682498009458696193</t>
  </si>
  <si>
    <t>1682497290282455045</t>
  </si>
  <si>
    <t>1682496887251693568</t>
  </si>
  <si>
    <t>1682491889046396928</t>
  </si>
  <si>
    <t>1682488115628494848</t>
  </si>
  <si>
    <t>1682484339521536002</t>
  </si>
  <si>
    <t>1678869353763094532</t>
  </si>
  <si>
    <t>1678861766309052419</t>
  </si>
  <si>
    <t>1678851696095633409</t>
  </si>
  <si>
    <t>1697379990629966110</t>
  </si>
  <si>
    <t>1697376218205585845</t>
  </si>
  <si>
    <t>1696991180565680540</t>
  </si>
  <si>
    <t>1694459559333544385</t>
  </si>
  <si>
    <t>1694050552626450600</t>
  </si>
  <si>
    <t>1694046777278705690</t>
  </si>
  <si>
    <t>1694043002816065567</t>
  </si>
  <si>
    <t>1694037199761612939</t>
  </si>
  <si>
    <t>1694032548949528931</t>
  </si>
  <si>
    <t>1692506632285265943</t>
  </si>
  <si>
    <t>1692499028406305278</t>
  </si>
  <si>
    <t>1692484785090740305</t>
  </si>
  <si>
    <t>1690134081739038720</t>
  </si>
  <si>
    <t>1690120916368592899</t>
  </si>
  <si>
    <t>1690117134003965953</t>
  </si>
  <si>
    <t>1690109073977384960</t>
  </si>
  <si>
    <t>1690108762105786370</t>
  </si>
  <si>
    <t>1690107782349889536</t>
  </si>
  <si>
    <t>1690106073800142848</t>
  </si>
  <si>
    <t>1690098260105420800</t>
  </si>
  <si>
    <t>1687158873893806080</t>
  </si>
  <si>
    <t>1687153860161257478</t>
  </si>
  <si>
    <t>1687142533338386433</t>
  </si>
  <si>
    <t>1687131213906202624</t>
  </si>
  <si>
    <t>1687123552216948736</t>
  </si>
  <si>
    <t>1683785606009176065</t>
  </si>
  <si>
    <t>1683647000464719873</t>
  </si>
  <si>
    <t>1683639450633662464</t>
  </si>
  <si>
    <t>1683635676569554945</t>
  </si>
  <si>
    <t>1683631901343641601</t>
  </si>
  <si>
    <t>1683628130647384067</t>
  </si>
  <si>
    <t>1683624351290236928</t>
  </si>
  <si>
    <t>1683620578740035586</t>
  </si>
  <si>
    <t>1683616801588932608</t>
  </si>
  <si>
    <t>1683613032352743424</t>
  </si>
  <si>
    <t>1680668980325806082</t>
  </si>
  <si>
    <t>1680306499682172935</t>
  </si>
  <si>
    <t>1680246007920041984</t>
  </si>
  <si>
    <t>1680185620902158342</t>
  </si>
  <si>
    <t>1680044514604449793</t>
  </si>
  <si>
    <t>1680039480969895936</t>
  </si>
  <si>
    <t>1680034520861483008</t>
  </si>
  <si>
    <t>1680029455442378754</t>
  </si>
  <si>
    <t>1680024389859921922</t>
  </si>
  <si>
    <t>1680019443248758784</t>
  </si>
  <si>
    <t>1697565533321806232</t>
  </si>
  <si>
    <t>1697342242040524822</t>
  </si>
  <si>
    <t>1697047801752932593</t>
  </si>
  <si>
    <t>1697044028607324360</t>
  </si>
  <si>
    <t>1696987403867836803</t>
  </si>
  <si>
    <t>1696983629203910663</t>
  </si>
  <si>
    <t>1695194342741209321</t>
  </si>
  <si>
    <t>1695194324667945223</t>
  </si>
  <si>
    <t>1695192676306411936</t>
  </si>
  <si>
    <t>1694118500023881884</t>
  </si>
  <si>
    <t>1694115016205553673</t>
  </si>
  <si>
    <t>1694114726740103259</t>
  </si>
  <si>
    <t>1694110950175994283</t>
  </si>
  <si>
    <t>1693774986568413528</t>
  </si>
  <si>
    <t>1693767436473188450</t>
  </si>
  <si>
    <t>1693763661767053512</t>
  </si>
  <si>
    <t>1693759886990217531</t>
  </si>
  <si>
    <t>1693756111822676301</t>
  </si>
  <si>
    <t>1691162779821252608</t>
  </si>
  <si>
    <t>1691158999125970944</t>
  </si>
  <si>
    <t>1691155226525601794</t>
  </si>
  <si>
    <t>1691151449055809536</t>
  </si>
  <si>
    <t>1691148026637594641</t>
  </si>
  <si>
    <t>1691147683136962560</t>
  </si>
  <si>
    <t>1688626065042976770</t>
  </si>
  <si>
    <t>1688622284154515458</t>
  </si>
  <si>
    <t>1688618508886650880</t>
  </si>
  <si>
    <t>1688614734130544641</t>
  </si>
  <si>
    <t>1688610965024346114</t>
  </si>
  <si>
    <t>1686519679127601153</t>
  </si>
  <si>
    <t>1683494096743063554</t>
  </si>
  <si>
    <t>1683488372499595265</t>
  </si>
  <si>
    <t>1679598196664815617</t>
  </si>
  <si>
    <t>1679597442772115457</t>
  </si>
  <si>
    <t>1679591580791971841</t>
  </si>
  <si>
    <t>1679581714920747009</t>
  </si>
  <si>
    <t>1679571597101879297</t>
  </si>
  <si>
    <t>1679561359917195284</t>
  </si>
  <si>
    <t>1679556330237861920</t>
  </si>
  <si>
    <t>1679551445694029839</t>
  </si>
  <si>
    <t>1678922120972124164</t>
  </si>
  <si>
    <t>1678917244808581120</t>
  </si>
  <si>
    <t>1678896965080195072</t>
  </si>
  <si>
    <t>1678892012135759872</t>
  </si>
  <si>
    <t>1678882491753480194</t>
  </si>
  <si>
    <t>1699478820687077627</t>
  </si>
  <si>
    <t>1699172926493282474</t>
  </si>
  <si>
    <t>1699120207514747128</t>
  </si>
  <si>
    <t>1697360698039242792</t>
  </si>
  <si>
    <t>1697358949324869753</t>
  </si>
  <si>
    <t>1696861484146426246</t>
  </si>
  <si>
    <t>1689784944753537024</t>
  </si>
  <si>
    <t>1689781171608342533</t>
  </si>
  <si>
    <t>1689777395723915266</t>
  </si>
  <si>
    <t>1689773621860823040</t>
  </si>
  <si>
    <t>1689769846223908864</t>
  </si>
  <si>
    <t>1689766072012947456</t>
  </si>
  <si>
    <t>1689762295797227520</t>
  </si>
  <si>
    <t>1689750971222773760</t>
  </si>
  <si>
    <t>1689701897979203585</t>
  </si>
  <si>
    <t>1689691365171412992</t>
  </si>
  <si>
    <t>1683533754256486400</t>
  </si>
  <si>
    <t>1683529146557710350</t>
  </si>
  <si>
    <t>1683522430843723798</t>
  </si>
  <si>
    <t>1683520016333905921</t>
  </si>
  <si>
    <t>1683519686267289600</t>
  </si>
  <si>
    <t>1680014316274085888</t>
  </si>
  <si>
    <t>1680009295432151040</t>
  </si>
  <si>
    <t>1680004458967625729</t>
  </si>
  <si>
    <t>1679994217345564673</t>
  </si>
  <si>
    <t>1679989307325513736</t>
  </si>
  <si>
    <t>1679984130145255424</t>
  </si>
  <si>
    <t>1679979137107398660</t>
  </si>
  <si>
    <t>1679974221605404672</t>
  </si>
  <si>
    <t>1679969056034787330</t>
  </si>
  <si>
    <t>1679964310741864448</t>
  </si>
  <si>
    <t>1679964034416918528</t>
  </si>
  <si>
    <t>1679963482232623110</t>
  </si>
  <si>
    <t>1679962896485486593</t>
  </si>
  <si>
    <t>1679962019708178435</t>
  </si>
  <si>
    <t>1679961572083666945</t>
  </si>
  <si>
    <t>1679953985556615168</t>
  </si>
  <si>
    <t>1679949188552101890</t>
  </si>
  <si>
    <t>1679944080196001792</t>
  </si>
  <si>
    <t>1679933849076367361</t>
  </si>
  <si>
    <t>1679928938305556480</t>
  </si>
  <si>
    <t>1699527893574168708</t>
  </si>
  <si>
    <t>1699490145656004768</t>
  </si>
  <si>
    <t>1699389025797242965</t>
  </si>
  <si>
    <t>1698817460495954216</t>
  </si>
  <si>
    <t>1698815567417815354</t>
  </si>
  <si>
    <t>1698425632806273194</t>
  </si>
  <si>
    <t>1697338472355475693</t>
  </si>
  <si>
    <t>1697330917222789194</t>
  </si>
  <si>
    <t>1697327142479225088</t>
  </si>
  <si>
    <t>1696979854103572830</t>
  </si>
  <si>
    <t>1696976083524989292</t>
  </si>
  <si>
    <t>1696972202007015828</t>
  </si>
  <si>
    <t>1696968529327829266</t>
  </si>
  <si>
    <t>1696267957423198431</t>
  </si>
  <si>
    <t>1696252517250719796</t>
  </si>
  <si>
    <t>1694843275541127173</t>
  </si>
  <si>
    <t>1694842797277298818</t>
  </si>
  <si>
    <t>1694839502983078266</t>
  </si>
  <si>
    <t>1694835725961998404</t>
  </si>
  <si>
    <t>1694831960026120646</t>
  </si>
  <si>
    <t>1694828176143478867</t>
  </si>
  <si>
    <t>1694824403274768816</t>
  </si>
  <si>
    <t>1692314110304698474</t>
  </si>
  <si>
    <t>1692310343970873457</t>
  </si>
  <si>
    <t>1692306561136468421</t>
  </si>
  <si>
    <t>1691238272050376707</t>
  </si>
  <si>
    <t>1691234496497299464</t>
  </si>
  <si>
    <t>1691230723846332416</t>
  </si>
  <si>
    <t>1691226947186307072</t>
  </si>
  <si>
    <t>1691223171641618441</t>
  </si>
  <si>
    <t>1691215623727022081</t>
  </si>
  <si>
    <t>1691211847079464962</t>
  </si>
  <si>
    <t>1689430106736119808</t>
  </si>
  <si>
    <t>1689426333070409729</t>
  </si>
  <si>
    <t>1689422557391286274</t>
  </si>
  <si>
    <t>1689418782807359490</t>
  </si>
  <si>
    <t>1689415007300210689</t>
  </si>
  <si>
    <t>1689411234515267585</t>
  </si>
  <si>
    <t>1689407457708142592</t>
  </si>
  <si>
    <t>1689403683748933632</t>
  </si>
  <si>
    <t>1689399908279750661</t>
  </si>
  <si>
    <t>1689396136065511424</t>
  </si>
  <si>
    <t>1689392358087958528</t>
  </si>
  <si>
    <t>1689388584179052544</t>
  </si>
  <si>
    <t>1686508354678476800</t>
  </si>
  <si>
    <t>1686504579670904832</t>
  </si>
  <si>
    <t>1686500804964855809</t>
  </si>
  <si>
    <t>1686497037976731656</t>
  </si>
  <si>
    <t>1686493255003930625</t>
  </si>
  <si>
    <t>1686493254999736323</t>
  </si>
  <si>
    <t>1686489481074049036</t>
  </si>
  <si>
    <t>1686485766904430593</t>
  </si>
  <si>
    <t>1686485631709380609</t>
  </si>
  <si>
    <t>1686481936636682245</t>
  </si>
  <si>
    <t>1686478155744448512</t>
  </si>
  <si>
    <t>1686474381126664197</t>
  </si>
  <si>
    <t>1686470606030589957</t>
  </si>
  <si>
    <t>1683265743167848450</t>
  </si>
  <si>
    <t>1683250639160180736</t>
  </si>
  <si>
    <t>1683235539556630530</t>
  </si>
  <si>
    <t>1683220445435142145</t>
  </si>
  <si>
    <t>1679548347823038464</t>
  </si>
  <si>
    <t>1679541232861601793</t>
  </si>
  <si>
    <t>1679526118523584512</t>
  </si>
  <si>
    <t>1679521221443035137</t>
  </si>
  <si>
    <t>1701317183639568834</t>
  </si>
  <si>
    <t>1700142543214616873</t>
  </si>
  <si>
    <t>1700128383567327485</t>
  </si>
  <si>
    <t>1699486370002071789</t>
  </si>
  <si>
    <t>1699482596617355535</t>
  </si>
  <si>
    <t>1699154181213618605</t>
  </si>
  <si>
    <t>1699150412618543412</t>
  </si>
  <si>
    <t>1697372441012769038</t>
  </si>
  <si>
    <t>1697368669117104218</t>
  </si>
  <si>
    <t>1697364891190067429</t>
  </si>
  <si>
    <t>1697361116496580820</t>
  </si>
  <si>
    <t>1697004161240285621</t>
  </si>
  <si>
    <t>1697002503316058484</t>
  </si>
  <si>
    <t>1696998730069590286</t>
  </si>
  <si>
    <t>1696636340639547869</t>
  </si>
  <si>
    <t>1696628797980713047</t>
  </si>
  <si>
    <t>1696625016434237874</t>
  </si>
  <si>
    <t>1696621242491478236</t>
  </si>
  <si>
    <t>1696618317291614355</t>
  </si>
  <si>
    <t>1696617466137366617</t>
  </si>
  <si>
    <t>1696615839221596227</t>
  </si>
  <si>
    <t>1694290748500275477</t>
  </si>
  <si>
    <t>1694160024774517016</t>
  </si>
  <si>
    <t>1694156250055868594</t>
  </si>
  <si>
    <t>1694152475249606961</t>
  </si>
  <si>
    <t>1689071495333695489</t>
  </si>
  <si>
    <t>1689067718979592202</t>
  </si>
  <si>
    <t>1689063950833655811</t>
  </si>
  <si>
    <t>1689060169131450368</t>
  </si>
  <si>
    <t>1689056396715642881</t>
  </si>
  <si>
    <t>1689052619371692032</t>
  </si>
  <si>
    <t>1689048852865662977</t>
  </si>
  <si>
    <t>1689045069553369088</t>
  </si>
  <si>
    <t>1689041295640338432</t>
  </si>
  <si>
    <t>1689037520204345344</t>
  </si>
  <si>
    <t>1689033751287013376</t>
  </si>
  <si>
    <t>1689029970306228225</t>
  </si>
  <si>
    <t>1686093118817316864</t>
  </si>
  <si>
    <t>1686089350357082116</t>
  </si>
  <si>
    <t>1686085568684249092</t>
  </si>
  <si>
    <t>1686078019226755072</t>
  </si>
  <si>
    <t>1686074246827556893</t>
  </si>
  <si>
    <t>1686059150566998020</t>
  </si>
  <si>
    <t>1686044047063072768</t>
  </si>
  <si>
    <t>1682903357139107841</t>
  </si>
  <si>
    <t>1682842956586438656</t>
  </si>
  <si>
    <t>1682782554418737153</t>
  </si>
  <si>
    <t>1679229208956923904</t>
  </si>
  <si>
    <t>1679224167227355137</t>
  </si>
  <si>
    <t>1679219285380530177</t>
  </si>
  <si>
    <t>1679189092490412032</t>
  </si>
  <si>
    <t>1679178937052860416</t>
  </si>
  <si>
    <t>1679158849989668864</t>
  </si>
  <si>
    <t>1701710082029895953</t>
  </si>
  <si>
    <t>1701709771470934134</t>
  </si>
  <si>
    <t>1701313408807870579</t>
  </si>
  <si>
    <t>1701309636459036949</t>
  </si>
  <si>
    <t>1701302086498177408</t>
  </si>
  <si>
    <t>1699754392529051747</t>
  </si>
  <si>
    <t>1699146631331909689</t>
  </si>
  <si>
    <t>1699135309412458711</t>
  </si>
  <si>
    <t>1699123982472032613</t>
  </si>
  <si>
    <t>1697395090556375491</t>
  </si>
  <si>
    <t>1697391316534018559</t>
  </si>
  <si>
    <t>1697387540477780398</t>
  </si>
  <si>
    <t>1697383770456981947</t>
  </si>
  <si>
    <t>1696282291167752578</t>
  </si>
  <si>
    <t>1696282015174136034</t>
  </si>
  <si>
    <t>1696272295063376296</t>
  </si>
  <si>
    <t>1684352908790484993</t>
  </si>
  <si>
    <t>1684349126962470912</t>
  </si>
  <si>
    <t>1684345352026218498</t>
  </si>
  <si>
    <t>1684341577249075200</t>
  </si>
  <si>
    <t>1681616620366487552</t>
  </si>
  <si>
    <t>1701690896087949534</t>
  </si>
  <si>
    <t>1700197202537132279</t>
  </si>
  <si>
    <t>1699509019508134170</t>
  </si>
  <si>
    <t>1699497695860383796</t>
  </si>
  <si>
    <t>1699493920185671888</t>
  </si>
  <si>
    <t>1698791793314148500</t>
  </si>
  <si>
    <t>1697323373687353663</t>
  </si>
  <si>
    <t>1697319593159643139</t>
  </si>
  <si>
    <t>1697309625828180450</t>
  </si>
  <si>
    <t>1697308229565301247</t>
  </si>
  <si>
    <t>1696964754911474120</t>
  </si>
  <si>
    <t>1696960987138507136</t>
  </si>
  <si>
    <t>1696959101840879657</t>
  </si>
  <si>
    <t>1696957204895772837</t>
  </si>
  <si>
    <t>1696950281383076265</t>
  </si>
  <si>
    <t>1694821220800151938</t>
  </si>
  <si>
    <t>1694820976859504680</t>
  </si>
  <si>
    <t>1694820626253685159</t>
  </si>
  <si>
    <t>1694813077030514821</t>
  </si>
  <si>
    <t>1694809301657829567</t>
  </si>
  <si>
    <t>1694805527249690889</t>
  </si>
  <si>
    <t>1686125786036654087</t>
  </si>
  <si>
    <t>1686125601931825152</t>
  </si>
  <si>
    <t>1686123317424787456</t>
  </si>
  <si>
    <t>1686115767811444736</t>
  </si>
  <si>
    <t>1686111993604743168</t>
  </si>
  <si>
    <t>1686108218085240832</t>
  </si>
  <si>
    <t>1686104444444766208</t>
  </si>
  <si>
    <t>1686100668187095040</t>
  </si>
  <si>
    <t>1683205341188595712</t>
  </si>
  <si>
    <t>1683175141172453376</t>
  </si>
  <si>
    <t>1683160043498373120</t>
  </si>
  <si>
    <t>1683144945467551745</t>
  </si>
  <si>
    <t>1683129849638952960</t>
  </si>
  <si>
    <t>1683084555211743239</t>
  </si>
  <si>
    <t>1683069450264739847</t>
  </si>
  <si>
    <t>1683054350825054208</t>
  </si>
  <si>
    <t>1679449870573228042</t>
  </si>
  <si>
    <t>1679299607333830656</t>
  </si>
  <si>
    <t>1679294755128193026</t>
  </si>
  <si>
    <t>1679289540152905729</t>
  </si>
  <si>
    <t>1679279789310455808</t>
  </si>
  <si>
    <t>1679279788463206400</t>
  </si>
  <si>
    <t>1679274467585937410</t>
  </si>
  <si>
    <t>1679269444713848832</t>
  </si>
  <si>
    <t>1679264523180441601</t>
  </si>
  <si>
    <t>1679259350362144771</t>
  </si>
  <si>
    <t>1679254346901364736</t>
  </si>
  <si>
    <t>1679251244534190080</t>
  </si>
  <si>
    <t>1679249458616205316</t>
  </si>
  <si>
    <t>1679244261676441610</t>
  </si>
  <si>
    <t>1679235602124865538</t>
  </si>
  <si>
    <t>1679234984719032322</t>
  </si>
  <si>
    <t>1679234374846349314</t>
  </si>
  <si>
    <t>1702430727114252785</t>
  </si>
  <si>
    <t>1702283811726188671</t>
  </si>
  <si>
    <t>1702282849905188890</t>
  </si>
  <si>
    <t>1701743744700067860</t>
  </si>
  <si>
    <t>1701739972183929071</t>
  </si>
  <si>
    <t>1701736194659213803</t>
  </si>
  <si>
    <t>1701732419840397427</t>
  </si>
  <si>
    <t>1700109397588857090</t>
  </si>
  <si>
    <t>1700105865498398989</t>
  </si>
  <si>
    <t>1700101685501120937</t>
  </si>
  <si>
    <t>1699377424218165470</t>
  </si>
  <si>
    <t>1699370569030889674</t>
  </si>
  <si>
    <t>1697040251968008254</t>
  </si>
  <si>
    <t>1697036477165695249</t>
  </si>
  <si>
    <t>1697032702506197261</t>
  </si>
  <si>
    <t>1697028929297747968</t>
  </si>
  <si>
    <t>1697025152427384941</t>
  </si>
  <si>
    <t>1695888919307673713</t>
  </si>
  <si>
    <t>1695828523603124405</t>
  </si>
  <si>
    <t>1688673932511940608</t>
  </si>
  <si>
    <t>1688671357088026639</t>
  </si>
  <si>
    <t>1688660033410633729</t>
  </si>
  <si>
    <t>1688660032471420930</t>
  </si>
  <si>
    <t>1688659746860011523</t>
  </si>
  <si>
    <t>1688652482787135500</t>
  </si>
  <si>
    <t>1688648709133742080</t>
  </si>
  <si>
    <t>1688644933039595521</t>
  </si>
  <si>
    <t>1688637383674310656</t>
  </si>
  <si>
    <t>1684666216831725569</t>
  </si>
  <si>
    <t>1684662442142375937</t>
  </si>
  <si>
    <t>1684658959397814272</t>
  </si>
  <si>
    <t>1684655600993435649</t>
  </si>
  <si>
    <t>1684651689167474688</t>
  </si>
  <si>
    <t>1684647343831015426</t>
  </si>
  <si>
    <t>1684643568017866752</t>
  </si>
  <si>
    <t>1684639800165306370</t>
  </si>
  <si>
    <t>1684636017570017281</t>
  </si>
  <si>
    <t>1684616665298825216</t>
  </si>
  <si>
    <t>1702419448492351777</t>
  </si>
  <si>
    <t>1702091032760881245</t>
  </si>
  <si>
    <t>1701696027911192872</t>
  </si>
  <si>
    <t>1701694670974173645</t>
  </si>
  <si>
    <t>1701653147528356065</t>
  </si>
  <si>
    <t>1701649374357631140</t>
  </si>
  <si>
    <t>1701284851310051354</t>
  </si>
  <si>
    <t>1699473340832817243</t>
  </si>
  <si>
    <t>1697210865521467640</t>
  </si>
  <si>
    <t>1696130233592676386</t>
  </si>
  <si>
    <t>1692631199565697262</t>
  </si>
  <si>
    <t>1692627427812319386</t>
  </si>
  <si>
    <t>1692623650053034411</t>
  </si>
  <si>
    <t>1692619875141968321</t>
  </si>
  <si>
    <t>1692616100218036237</t>
  </si>
  <si>
    <t>1692601000757280804</t>
  </si>
  <si>
    <t>1692597231675924703</t>
  </si>
  <si>
    <t>1691097342672343041</t>
  </si>
  <si>
    <t>1687550219758788608</t>
  </si>
  <si>
    <t>1687546445237227521</t>
  </si>
  <si>
    <t>1687542670070038528</t>
  </si>
  <si>
    <t>1687538901567844352</t>
  </si>
  <si>
    <t>1687535120364797956</t>
  </si>
  <si>
    <t>1687531346405556229</t>
  </si>
  <si>
    <t>1687527570558877701</t>
  </si>
  <si>
    <t>1687523799431032832</t>
  </si>
  <si>
    <t>1687523514729844745</t>
  </si>
  <si>
    <t>1687520021168463872</t>
  </si>
  <si>
    <t>1683922567852089352</t>
  </si>
  <si>
    <t>1683918791326187520</t>
  </si>
  <si>
    <t>1683915023276724224</t>
  </si>
  <si>
    <t>1683911241591590917</t>
  </si>
  <si>
    <t>1683897897555726337</t>
  </si>
  <si>
    <t>1683896142529019904</t>
  </si>
  <si>
    <t>1683881042963230721</t>
  </si>
  <si>
    <t>1683877270035869701</t>
  </si>
  <si>
    <t>1683873493069307904</t>
  </si>
  <si>
    <t>1683865943175471104</t>
  </si>
  <si>
    <t>1681344503108583424</t>
  </si>
  <si>
    <t>1681325587296550914</t>
  </si>
  <si>
    <t>1681318099885125632</t>
  </si>
  <si>
    <t>1702460970352697483</t>
  </si>
  <si>
    <t>1702429641892675665</t>
  </si>
  <si>
    <t>1702106132699873461</t>
  </si>
  <si>
    <t>1702102359097385037</t>
  </si>
  <si>
    <t>1701724873213571577</t>
  </si>
  <si>
    <t>1701721095487778859</t>
  </si>
  <si>
    <t>1701687127350915264</t>
  </si>
  <si>
    <t>1701683346819146179</t>
  </si>
  <si>
    <t>1699516568986861959</t>
  </si>
  <si>
    <t>1699512798873616724</t>
  </si>
  <si>
    <t>1698815070652833916</t>
  </si>
  <si>
    <t>1698814442790912189</t>
  </si>
  <si>
    <t>1698810667715670082</t>
  </si>
  <si>
    <t>1698803122091761698</t>
  </si>
  <si>
    <t>1698799343065784334</t>
  </si>
  <si>
    <t>1694801752732676574</t>
  </si>
  <si>
    <t>1694794203627151606</t>
  </si>
  <si>
    <t>1694790427176751441</t>
  </si>
  <si>
    <t>1694786658275889440</t>
  </si>
  <si>
    <t>1694782877647728780</t>
  </si>
  <si>
    <t>1694779104032346406</t>
  </si>
  <si>
    <t>1694775327954981103</t>
  </si>
  <si>
    <t>1694767778077549029</t>
  </si>
  <si>
    <t>1691898874032697750</t>
  </si>
  <si>
    <t>1691891324381757946</t>
  </si>
  <si>
    <t>1691887554684137953</t>
  </si>
  <si>
    <t>1691883775041388739</t>
  </si>
  <si>
    <t>1691872456129261854</t>
  </si>
  <si>
    <t>1691868675194622220</t>
  </si>
  <si>
    <t>1691864902217122125</t>
  </si>
  <si>
    <t>1689026195252207617</t>
  </si>
  <si>
    <t>1689024711190061056</t>
  </si>
  <si>
    <t>1689022420424765440</t>
  </si>
  <si>
    <t>1689020487089655808</t>
  </si>
  <si>
    <t>1689020188358795265</t>
  </si>
  <si>
    <t>1689014870685970432</t>
  </si>
  <si>
    <t>1689011097741955074</t>
  </si>
  <si>
    <t>1684885159781478400</t>
  </si>
  <si>
    <t>1682480566560759809</t>
  </si>
  <si>
    <t>1682476789862653952</t>
  </si>
  <si>
    <t>1682473015152373762</t>
  </si>
  <si>
    <t>1682469240182394886</t>
  </si>
  <si>
    <t>1682465471839207425</t>
  </si>
  <si>
    <t>1682457917385998336</t>
  </si>
  <si>
    <t>1682447017623146511</t>
  </si>
  <si>
    <t>1702645048066674847</t>
  </si>
  <si>
    <t>1702098583011676400</t>
  </si>
  <si>
    <t>1701728645348213197</t>
  </si>
  <si>
    <t>1701324735911755789</t>
  </si>
  <si>
    <t>1701320958978523593</t>
  </si>
  <si>
    <t>1699814789881471228</t>
  </si>
  <si>
    <t>1699161731191501006</t>
  </si>
  <si>
    <t>1699157957278044459</t>
  </si>
  <si>
    <t>1697555321097506997</t>
  </si>
  <si>
    <t>1696613693662888421</t>
  </si>
  <si>
    <t>1696609916855697880</t>
  </si>
  <si>
    <t>1696606141499969554</t>
  </si>
  <si>
    <t>1696602366651535689</t>
  </si>
  <si>
    <t>1696598591773843539</t>
  </si>
  <si>
    <t>1696598057075286428</t>
  </si>
  <si>
    <t>1696594165767819642</t>
  </si>
  <si>
    <t>1694107181849653735</t>
  </si>
  <si>
    <t>1694105729261596806</t>
  </si>
  <si>
    <t>1694105454887026967</t>
  </si>
  <si>
    <t>1694103400546263277</t>
  </si>
  <si>
    <t>1694099626750541859</t>
  </si>
  <si>
    <t>1692593451051933826</t>
  </si>
  <si>
    <t>1692530574152384680</t>
  </si>
  <si>
    <t>1690694692030308353</t>
  </si>
  <si>
    <t>1690453099725623296</t>
  </si>
  <si>
    <t>1690392706046947328</t>
  </si>
  <si>
    <t>1690377611158171648</t>
  </si>
  <si>
    <t>1690332309910585345</t>
  </si>
  <si>
    <t>1687916385135976448</t>
  </si>
  <si>
    <t>1687901285004255232</t>
  </si>
  <si>
    <t>1687871085159784448</t>
  </si>
  <si>
    <t>1687855985828765696</t>
  </si>
  <si>
    <t>1687825792846479360</t>
  </si>
  <si>
    <t>1687810696052916224</t>
  </si>
  <si>
    <t>1687795595547947008</t>
  </si>
  <si>
    <t>1687599299541250050</t>
  </si>
  <si>
    <t>1684171711791640578</t>
  </si>
  <si>
    <t>1684166674784878592</t>
  </si>
  <si>
    <t>1684035817659047936</t>
  </si>
  <si>
    <t>1684032037462880257</t>
  </si>
  <si>
    <t>1684028262932967425</t>
  </si>
  <si>
    <t>1684024487811973122</t>
  </si>
  <si>
    <t>1684020715643875328</t>
  </si>
  <si>
    <t>1684016938329178112</t>
  </si>
  <si>
    <t>1684013165032652801</t>
  </si>
  <si>
    <t>1684009388590104576</t>
  </si>
  <si>
    <t>1684005613360267265</t>
  </si>
  <si>
    <t>1684001838536728578</t>
  </si>
  <si>
    <t>1683998066326794242</t>
  </si>
  <si>
    <t>1683994288705925120</t>
  </si>
  <si>
    <t>1683990517955145728</t>
  </si>
  <si>
    <t>1683986739118104577</t>
  </si>
  <si>
    <t>1683982964961542145</t>
  </si>
  <si>
    <t>1702644458557247623</t>
  </si>
  <si>
    <t>1702464747461886239</t>
  </si>
  <si>
    <t>1702415672184021458</t>
  </si>
  <si>
    <t>1702087260542255615</t>
  </si>
  <si>
    <t>1701706996029014425</t>
  </si>
  <si>
    <t>1701706393697575333</t>
  </si>
  <si>
    <t>1701702227164090691</t>
  </si>
  <si>
    <t>1699943130609721811</t>
  </si>
  <si>
    <t>1699170961495323024</t>
  </si>
  <si>
    <t>1699170617008812352</t>
  </si>
  <si>
    <t>1699169280733159745</t>
  </si>
  <si>
    <t>1697670656719036637</t>
  </si>
  <si>
    <t>1697663106800029919</t>
  </si>
  <si>
    <t>1697604824374886433</t>
  </si>
  <si>
    <t>1696216001564586107</t>
  </si>
  <si>
    <t>1691630861689503999</t>
  </si>
  <si>
    <t>1691627083305501056</t>
  </si>
  <si>
    <t>1691623309656379549</t>
  </si>
  <si>
    <t>1691619533532828151</t>
  </si>
  <si>
    <t>1691615760001491134</t>
  </si>
  <si>
    <t>1691611983726985474</t>
  </si>
  <si>
    <t>1691608210728206697</t>
  </si>
  <si>
    <t>1691604434114187342</t>
  </si>
  <si>
    <t>1691600661794971873</t>
  </si>
  <si>
    <t>1691596884153131357</t>
  </si>
  <si>
    <t>1689075268558667776</t>
  </si>
  <si>
    <t>1684692641039200258</t>
  </si>
  <si>
    <t>1684688865523556352</t>
  </si>
  <si>
    <t>1684685097092722697</t>
  </si>
  <si>
    <t>1684682309797097472</t>
  </si>
  <si>
    <t>1684681316095172608</t>
  </si>
  <si>
    <t>1684677542438178816</t>
  </si>
  <si>
    <t>1684676651664166913</t>
  </si>
  <si>
    <t>1684676467228110848</t>
  </si>
  <si>
    <t>1684673766134034432</t>
  </si>
  <si>
    <t>1682178580598632449</t>
  </si>
  <si>
    <t>1682173541263847426</t>
  </si>
  <si>
    <t>1682168508267003907</t>
  </si>
  <si>
    <t>1682163476830261250</t>
  </si>
  <si>
    <t>1682158441954152448</t>
  </si>
  <si>
    <t>1682156548607361025</t>
  </si>
  <si>
    <t>1682155697537007621</t>
  </si>
  <si>
    <t>1682154793790218241</t>
  </si>
  <si>
    <t>1682153784888156161</t>
  </si>
  <si>
    <t>1682152552169709568</t>
  </si>
  <si>
    <t>1682151365311643649</t>
  </si>
  <si>
    <t>1682148107360825347</t>
  </si>
  <si>
    <t>1682147380064288775</t>
  </si>
  <si>
    <t>1682146908100341761</t>
  </si>
  <si>
    <t>1702785609645891939</t>
  </si>
  <si>
    <t>1702457196653715559</t>
  </si>
  <si>
    <t>1702094815620374665</t>
  </si>
  <si>
    <t>1701717324192002366</t>
  </si>
  <si>
    <t>1701713545593762054</t>
  </si>
  <si>
    <t>1701297790201241950</t>
  </si>
  <si>
    <t>1701290759666934059</t>
  </si>
  <si>
    <t>1698825768292262056</t>
  </si>
  <si>
    <t>1698821992277749989</t>
  </si>
  <si>
    <t>1698818219275108487</t>
  </si>
  <si>
    <t>1697358679878623359</t>
  </si>
  <si>
    <t>1697356974269104562</t>
  </si>
  <si>
    <t>1697356304728137890</t>
  </si>
  <si>
    <t>1697353567240142863</t>
  </si>
  <si>
    <t>1697349792043561103</t>
  </si>
  <si>
    <t>1697346016587165825</t>
  </si>
  <si>
    <t>1696577370268791204</t>
  </si>
  <si>
    <t>1696575943555621219</t>
  </si>
  <si>
    <t>1694095850480288084</t>
  </si>
  <si>
    <t>1694088300892676372</t>
  </si>
  <si>
    <t>1694084527180640719</t>
  </si>
  <si>
    <t>1694076979845242904</t>
  </si>
  <si>
    <t>1694069426327535760</t>
  </si>
  <si>
    <t>1694065651554328874</t>
  </si>
  <si>
    <t>1694058102033682656</t>
  </si>
  <si>
    <t>1691551585757982788</t>
  </si>
  <si>
    <t>1691540266748907521</t>
  </si>
  <si>
    <t>1691536486292942853</t>
  </si>
  <si>
    <t>1691532713080102912</t>
  </si>
  <si>
    <t>1691528936461615105</t>
  </si>
  <si>
    <t>1691525163408580608</t>
  </si>
  <si>
    <t>1691521386697879555</t>
  </si>
  <si>
    <t>1691507017771352064</t>
  </si>
  <si>
    <t>1688604135816409088</t>
  </si>
  <si>
    <t>1684605818359181312</t>
  </si>
  <si>
    <t>1684602043825094656</t>
  </si>
  <si>
    <t>1681725757997891591</t>
  </si>
  <si>
    <t>1681720584235827205</t>
  </si>
  <si>
    <t>1681715566451597314</t>
  </si>
  <si>
    <t>1681685449528553473</t>
  </si>
  <si>
    <t>1681684727529340928</t>
  </si>
  <si>
    <t>1681684587036958720</t>
  </si>
  <si>
    <t>1681684497853497345</t>
  </si>
  <si>
    <t>1681684454098468866</t>
  </si>
  <si>
    <t>1681683574196518912</t>
  </si>
  <si>
    <t>1681681183048859649</t>
  </si>
  <si>
    <t>1681680243214503937</t>
  </si>
  <si>
    <t>1681680034644230144</t>
  </si>
  <si>
    <t>1681679766859005953</t>
  </si>
  <si>
    <t>1681677807334686720</t>
  </si>
  <si>
    <t>1681676129072033795</t>
  </si>
  <si>
    <t>1681674401060728836</t>
  </si>
  <si>
    <t>1681673453085118466</t>
  </si>
  <si>
    <t>1703827474755568049</t>
  </si>
  <si>
    <t>1702823358226661688</t>
  </si>
  <si>
    <t>1702820151773589597</t>
  </si>
  <si>
    <t>1702819587165663380</t>
  </si>
  <si>
    <t>1702793198618161376</t>
  </si>
  <si>
    <t>1702792839350865947</t>
  </si>
  <si>
    <t>1702789389577748630</t>
  </si>
  <si>
    <t>1701675796677407072</t>
  </si>
  <si>
    <t>1701675796610363446</t>
  </si>
  <si>
    <t>1701672024840523920</t>
  </si>
  <si>
    <t>1701668247290953873</t>
  </si>
  <si>
    <t>1701660697141101036</t>
  </si>
  <si>
    <t>1701657860059414986</t>
  </si>
  <si>
    <t>1701657517544140940</t>
  </si>
  <si>
    <t>1699192354538750397</t>
  </si>
  <si>
    <t>1699184380550262885</t>
  </si>
  <si>
    <t>1699180608373580047</t>
  </si>
  <si>
    <t>1699176830824304850</t>
  </si>
  <si>
    <t>1699173056282018125</t>
  </si>
  <si>
    <t>1697021383102874046</t>
  </si>
  <si>
    <t>1697017602650824961</t>
  </si>
  <si>
    <t>1697013829304242314</t>
  </si>
  <si>
    <t>1697010053004538305</t>
  </si>
  <si>
    <t>1697007403076669700</t>
  </si>
  <si>
    <t>1697006283650429131</t>
  </si>
  <si>
    <t>1695526528854200584</t>
  </si>
  <si>
    <t>1695466137348346078</t>
  </si>
  <si>
    <t>1691198994553229312</t>
  </si>
  <si>
    <t>1691198677765816320</t>
  </si>
  <si>
    <t>1691192977249701889</t>
  </si>
  <si>
    <t>1691189197825310720</t>
  </si>
  <si>
    <t>1691185424612335617</t>
  </si>
  <si>
    <t>1691178123792945153</t>
  </si>
  <si>
    <t>1691170325814263810</t>
  </si>
  <si>
    <t>1691166548562698240</t>
  </si>
  <si>
    <t>1687595518392971268</t>
  </si>
  <si>
    <t>1687591745272590336</t>
  </si>
  <si>
    <t>1687587968695885824</t>
  </si>
  <si>
    <t>1687585868356210689</t>
  </si>
  <si>
    <t>1687584197639303168</t>
  </si>
  <si>
    <t>1687580418831433729</t>
  </si>
  <si>
    <t>1687573320475017217</t>
  </si>
  <si>
    <t>1687573030438887424</t>
  </si>
  <si>
    <t>1687570862747140096</t>
  </si>
  <si>
    <t>1687570546727206912</t>
  </si>
  <si>
    <t>1687569097738051584</t>
  </si>
  <si>
    <t>1683979189643345923</t>
  </si>
  <si>
    <t>1683975416934199301</t>
  </si>
  <si>
    <t>1683971639862784000</t>
  </si>
  <si>
    <t>1683967867962662916</t>
  </si>
  <si>
    <t>1683964090442555393</t>
  </si>
  <si>
    <t>1683964089838469121</t>
  </si>
  <si>
    <t>1683960321000771584</t>
  </si>
  <si>
    <t>1683956540422909953</t>
  </si>
  <si>
    <t>1683954063564496900</t>
  </si>
  <si>
    <t>1683953344421982212</t>
  </si>
  <si>
    <t>1683953057866850305</t>
  </si>
  <si>
    <t>1683952766283321345</t>
  </si>
  <si>
    <t>1683948990482771970</t>
  </si>
  <si>
    <t>1683941440978661377</t>
  </si>
  <si>
    <t>1683937667891830784</t>
  </si>
  <si>
    <t>1683933891474628610</t>
  </si>
  <si>
    <t>1683930147479785472</t>
  </si>
  <si>
    <t>1683930120938037248</t>
  </si>
  <si>
    <t>1683926341597667329</t>
  </si>
  <si>
    <t>1704212512156074461</t>
  </si>
  <si>
    <t>1703921851833975185</t>
  </si>
  <si>
    <t>1703891663322521725</t>
  </si>
  <si>
    <t>1703891652241404139</t>
  </si>
  <si>
    <t>1703872773444002285</t>
  </si>
  <si>
    <t>1703868999329808424</t>
  </si>
  <si>
    <t>1703865223814299722</t>
  </si>
  <si>
    <t>1703837633623757122</t>
  </si>
  <si>
    <t>1703835024716382686</t>
  </si>
  <si>
    <t>1703834636508364822</t>
  </si>
  <si>
    <t>1703734117697802444</t>
  </si>
  <si>
    <t>1703728626850484242</t>
  </si>
  <si>
    <t>1703015880253149501</t>
  </si>
  <si>
    <t>1702453420953932110</t>
  </si>
  <si>
    <t>1702449648294572434</t>
  </si>
  <si>
    <t>1702445871240184208</t>
  </si>
  <si>
    <t>1702442104335835375</t>
  </si>
  <si>
    <t>1702438321211711563</t>
  </si>
  <si>
    <t>1702436666009354324</t>
  </si>
  <si>
    <t>1702434547453829217</t>
  </si>
  <si>
    <t>1700233795117420968</t>
  </si>
  <si>
    <t>1700230021477183674</t>
  </si>
  <si>
    <t>1700226245336903890</t>
  </si>
  <si>
    <t>1700219982280323343</t>
  </si>
  <si>
    <t>1700211035435589927</t>
  </si>
  <si>
    <t>1700208845669253360</t>
  </si>
  <si>
    <t>1700208294357295314</t>
  </si>
  <si>
    <t>1699116432381075932</t>
  </si>
  <si>
    <t>1699112658610356361</t>
  </si>
  <si>
    <t>1699104555655409720</t>
  </si>
  <si>
    <t>1699031162876768299</t>
  </si>
  <si>
    <t>1699025886329049543</t>
  </si>
  <si>
    <t>1699006657907310954</t>
  </si>
  <si>
    <t>1695192295811821640</t>
  </si>
  <si>
    <t>1695190563941929192</t>
  </si>
  <si>
    <t>1695186790418616792</t>
  </si>
  <si>
    <t>1695184629421011094</t>
  </si>
  <si>
    <t>1695183580735951283</t>
  </si>
  <si>
    <t>1695183014576238596</t>
  </si>
  <si>
    <t>1695175464497619230</t>
  </si>
  <si>
    <t>1695164143588757703</t>
  </si>
  <si>
    <t>1695152815637958825</t>
  </si>
  <si>
    <t>1695149040243990934</t>
  </si>
  <si>
    <t>1695145265445917041</t>
  </si>
  <si>
    <t>1690830584887865344</t>
  </si>
  <si>
    <t>1690815488853458945</t>
  </si>
  <si>
    <t>1690755089902817282</t>
  </si>
  <si>
    <t>1687270879225372676</t>
  </si>
  <si>
    <t>1687267108659576832</t>
  </si>
  <si>
    <t>1687263329406832640</t>
  </si>
  <si>
    <t>1687259556051607552</t>
  </si>
  <si>
    <t>1687255779647066113</t>
  </si>
  <si>
    <t>1687252009416585216</t>
  </si>
  <si>
    <t>1681096462627753984</t>
  </si>
  <si>
    <t>1681091613290790912</t>
  </si>
  <si>
    <t>1681086396658843648</t>
  </si>
  <si>
    <t>1681081385673453569</t>
  </si>
  <si>
    <t>1681076468170801152</t>
  </si>
  <si>
    <t>1681071291665723397</t>
  </si>
  <si>
    <t>1681061420400517120</t>
  </si>
  <si>
    <t>1681056233871089665</t>
  </si>
  <si>
    <t>1681051620585480193</t>
  </si>
  <si>
    <t>1681050654142234624</t>
  </si>
  <si>
    <t>1681048239821160449</t>
  </si>
  <si>
    <t>1681048233311629315</t>
  </si>
  <si>
    <t>1681046335758254080</t>
  </si>
  <si>
    <t>1681041138357096449</t>
  </si>
  <si>
    <t>1681036163312758784</t>
  </si>
  <si>
    <t>1681031259982553088</t>
  </si>
  <si>
    <t>1681026038774607872</t>
  </si>
  <si>
    <t>1681021011066535936</t>
  </si>
  <si>
    <t>1681016135062286336</t>
  </si>
  <si>
    <t>1681010902974201856</t>
  </si>
  <si>
    <t>1704455422097199612</t>
  </si>
  <si>
    <t>1704220061668667755</t>
  </si>
  <si>
    <t>1704216286753083446</t>
  </si>
  <si>
    <t>1703929397538119912</t>
  </si>
  <si>
    <t>1703925621372702977</t>
  </si>
  <si>
    <t>1703918071818186816</t>
  </si>
  <si>
    <t>1703891908534157778</t>
  </si>
  <si>
    <t>1703857674172137767</t>
  </si>
  <si>
    <t>1703853898707165647</t>
  </si>
  <si>
    <t>1702740311523369164</t>
  </si>
  <si>
    <t>1702284514448257389</t>
  </si>
  <si>
    <t>1697702152330744027</t>
  </si>
  <si>
    <t>1697678207120560464</t>
  </si>
  <si>
    <t>1697674430791508349</t>
  </si>
  <si>
    <t>1697672987808502153</t>
  </si>
  <si>
    <t>1696685413891797215</t>
  </si>
  <si>
    <t>1696677864127529100</t>
  </si>
  <si>
    <t>1696674090222809155</t>
  </si>
  <si>
    <t>1696670314355151337</t>
  </si>
  <si>
    <t>1696666541142483066</t>
  </si>
  <si>
    <t>1696662764645749098</t>
  </si>
  <si>
    <t>1696658989595922873</t>
  </si>
  <si>
    <t>1696655215296934368</t>
  </si>
  <si>
    <t>1696651442181005715</t>
  </si>
  <si>
    <t>1696647665675538679</t>
  </si>
  <si>
    <t>1696643897898975521</t>
  </si>
  <si>
    <t>1696643760661119357</t>
  </si>
  <si>
    <t>1696643416455520721</t>
  </si>
  <si>
    <t>1696643041484824614</t>
  </si>
  <si>
    <t>1692272587391324494</t>
  </si>
  <si>
    <t>1692265036939657452</t>
  </si>
  <si>
    <t>1692261262242316507</t>
  </si>
  <si>
    <t>1692257488173949385</t>
  </si>
  <si>
    <t>1692253712386060601</t>
  </si>
  <si>
    <t>1692249938342617259</t>
  </si>
  <si>
    <t>1692246162605035567</t>
  </si>
  <si>
    <t>1692242389853683793</t>
  </si>
  <si>
    <t>1692238612740391408</t>
  </si>
  <si>
    <t>1692234837778915453</t>
  </si>
  <si>
    <t>1692231063081476128</t>
  </si>
  <si>
    <t>1689007320947191808</t>
  </si>
  <si>
    <t>1689003549592784897</t>
  </si>
  <si>
    <t>1688999771585810432</t>
  </si>
  <si>
    <t>1688995997022818315</t>
  </si>
  <si>
    <t>1688992221809332225</t>
  </si>
  <si>
    <t>1688988449213386753</t>
  </si>
  <si>
    <t>1688984672058114048</t>
  </si>
  <si>
    <t>1688980898316681217</t>
  </si>
  <si>
    <t>1688977121790820352</t>
  </si>
  <si>
    <t>1688973348544688128</t>
  </si>
  <si>
    <t>1688969572706095116</t>
  </si>
  <si>
    <t>1685033411331629058</t>
  </si>
  <si>
    <t>1685033195857752064</t>
  </si>
  <si>
    <t>1685028604730617856</t>
  </si>
  <si>
    <t>1685024829836255234</t>
  </si>
  <si>
    <t>1685021054354210816</t>
  </si>
  <si>
    <t>1685017279547990023</t>
  </si>
  <si>
    <t>1685013504695148544</t>
  </si>
  <si>
    <t>1685005955002400770</t>
  </si>
  <si>
    <t>1685002183530668036</t>
  </si>
  <si>
    <t>1684998405570060293</t>
  </si>
  <si>
    <t>1684987088129921024</t>
  </si>
  <si>
    <t>1684983306050580481</t>
  </si>
  <si>
    <t>1684978005293051914</t>
  </si>
  <si>
    <t>1678600210497273860</t>
  </si>
  <si>
    <t>1678594962819039233</t>
  </si>
  <si>
    <t>1678589930103099395</t>
  </si>
  <si>
    <t>1678579864465489920</t>
  </si>
  <si>
    <t>1678514525983703044</t>
  </si>
  <si>
    <t>1678512797074825216</t>
  </si>
  <si>
    <t>1678512133762437120</t>
  </si>
  <si>
    <t>1678511607960281092</t>
  </si>
  <si>
    <t>1704596290837897242</t>
  </si>
  <si>
    <t>1704593775157506124</t>
  </si>
  <si>
    <t>1704589999084044513</t>
  </si>
  <si>
    <t>1704453948961161398</t>
  </si>
  <si>
    <t>1704227611604632024</t>
  </si>
  <si>
    <t>1704223842049184139</t>
  </si>
  <si>
    <t>1703887872846184492</t>
  </si>
  <si>
    <t>1703884099977675172</t>
  </si>
  <si>
    <t>1703876553648590973</t>
  </si>
  <si>
    <t>1703850124235997381</t>
  </si>
  <si>
    <t>1703846356035699114</t>
  </si>
  <si>
    <t>1703823701676855391</t>
  </si>
  <si>
    <t>1702815808483652051</t>
  </si>
  <si>
    <t>1702812033597735033</t>
  </si>
  <si>
    <t>1702806278211338543</t>
  </si>
  <si>
    <t>1702801764192248023</t>
  </si>
  <si>
    <t>1702801536949141938</t>
  </si>
  <si>
    <t>1702800974006415429</t>
  </si>
  <si>
    <t>1702800709043867682</t>
  </si>
  <si>
    <t>1702087259539775579</t>
  </si>
  <si>
    <t>1702083483215319552</t>
  </si>
  <si>
    <t>1702079715287199975</t>
  </si>
  <si>
    <t>1702075933299978430</t>
  </si>
  <si>
    <t>1702073878883828192</t>
  </si>
  <si>
    <t>1702073662847738042</t>
  </si>
  <si>
    <t>1702073437638754710</t>
  </si>
  <si>
    <t>1699542996910260239</t>
  </si>
  <si>
    <t>1699539218433777728</t>
  </si>
  <si>
    <t>1699535444050956671</t>
  </si>
  <si>
    <t>1699533512452280608</t>
  </si>
  <si>
    <t>1699533316133662746</t>
  </si>
  <si>
    <t>1699533087334334513</t>
  </si>
  <si>
    <t>1696494154392760684</t>
  </si>
  <si>
    <t>1696469745560645793</t>
  </si>
  <si>
    <t>1696467243972878407</t>
  </si>
  <si>
    <t>1696285162084913532</t>
  </si>
  <si>
    <t>1691593110533423307</t>
  </si>
  <si>
    <t>1691589334414111205</t>
  </si>
  <si>
    <t>1691585565072765127</t>
  </si>
  <si>
    <t>1691581784759366107</t>
  </si>
  <si>
    <t>1691578009868709899</t>
  </si>
  <si>
    <t>1691574235448082921</t>
  </si>
  <si>
    <t>1691570465012347042</t>
  </si>
  <si>
    <t>1691566685181108361</t>
  </si>
  <si>
    <t>1691562912589209935</t>
  </si>
  <si>
    <t>1691555360602005639</t>
  </si>
  <si>
    <t>1688862996095774721</t>
  </si>
  <si>
    <t>1688701558454886401</t>
  </si>
  <si>
    <t>1688697781303611392</t>
  </si>
  <si>
    <t>1688694007134932992</t>
  </si>
  <si>
    <t>1688690231531175936</t>
  </si>
  <si>
    <t>1688686458440130562</t>
  </si>
  <si>
    <t>1688682682341822464</t>
  </si>
  <si>
    <t>1688678908034453504</t>
  </si>
  <si>
    <t>1688675132028395521</t>
  </si>
  <si>
    <t>1682118396605857793</t>
  </si>
  <si>
    <t>1682113200794263552</t>
  </si>
  <si>
    <t>1682108183517511683</t>
  </si>
  <si>
    <t>1682103267415687168</t>
  </si>
  <si>
    <t>1682093065391972375</t>
  </si>
  <si>
    <t>1682088165576679443</t>
  </si>
  <si>
    <t>1682084094400667664</t>
  </si>
  <si>
    <t>1682082986739617794</t>
  </si>
  <si>
    <t>1682076778590879748</t>
  </si>
  <si>
    <t>1682065444746805258</t>
  </si>
  <si>
    <t>1706798301172097105</t>
  </si>
  <si>
    <t>1706790754079719615</t>
  </si>
  <si>
    <t>1706786611332043151</t>
  </si>
  <si>
    <t>1706724205193314587</t>
  </si>
  <si>
    <t>1706447237365240119</t>
  </si>
  <si>
    <t>1706443468594393479</t>
  </si>
  <si>
    <t>1706409488218247609</t>
  </si>
  <si>
    <t>1705185168967778456</t>
  </si>
  <si>
    <t>1705182655187153123</t>
  </si>
  <si>
    <t>1705176176304488884</t>
  </si>
  <si>
    <t>1705172364239978892</t>
  </si>
  <si>
    <t>1704586230544154688</t>
  </si>
  <si>
    <t>1704582449705943150</t>
  </si>
  <si>
    <t>1704578674543182071</t>
  </si>
  <si>
    <t>1704571129573048500</t>
  </si>
  <si>
    <t>1704567350060794232</t>
  </si>
  <si>
    <t>1704563576189456770</t>
  </si>
  <si>
    <t>1704559800514666823</t>
  </si>
  <si>
    <t>1704546430885548080</t>
  </si>
  <si>
    <t>1704552250369261692</t>
  </si>
  <si>
    <t>1702781835502133478</t>
  </si>
  <si>
    <t>1702778059844202751</t>
  </si>
  <si>
    <t>1702774288493789682</t>
  </si>
  <si>
    <t>1702770510302486992</t>
  </si>
  <si>
    <t>1702766736854942024</t>
  </si>
  <si>
    <t>1702759178320671118</t>
  </si>
  <si>
    <t>1702755410648735856</t>
  </si>
  <si>
    <t>1702751637675352380</t>
  </si>
  <si>
    <t>1698667158538945010</t>
  </si>
  <si>
    <t>1694659775626134006</t>
  </si>
  <si>
    <t>1687248229677813761</t>
  </si>
  <si>
    <t>1687244457203355648</t>
  </si>
  <si>
    <t>1687240680245014528</t>
  </si>
  <si>
    <t>1687236907812450305</t>
  </si>
  <si>
    <t>1687233130376429578</t>
  </si>
  <si>
    <t>1687229357176356868</t>
  </si>
  <si>
    <t>1687225581199405056</t>
  </si>
  <si>
    <t>1687221815108599809</t>
  </si>
  <si>
    <t>1687221282759118850</t>
  </si>
  <si>
    <t>1687218031137865728</t>
  </si>
  <si>
    <t>1687214258268864513</t>
  </si>
  <si>
    <t>1687212473081024512</t>
  </si>
  <si>
    <t>1687212346689851392</t>
  </si>
  <si>
    <t>1687176510225154048</t>
  </si>
  <si>
    <t>1687172732566319105</t>
  </si>
  <si>
    <t>1687168957432643584</t>
  </si>
  <si>
    <t>1687165182605213701</t>
  </si>
  <si>
    <t>1680989664306405376</t>
  </si>
  <si>
    <t>1680985869925113856</t>
  </si>
  <si>
    <t>1680978274313224196</t>
  </si>
  <si>
    <t>1680929185571692544</t>
  </si>
  <si>
    <t>1707143087426818161</t>
  </si>
  <si>
    <t>1707130489947967850</t>
  </si>
  <si>
    <t>1707121924550144451</t>
  </si>
  <si>
    <t>1706998631931277541</t>
  </si>
  <si>
    <t>1706781472407900224</t>
  </si>
  <si>
    <t>1706635981242147149</t>
  </si>
  <si>
    <t>1706635054066126876</t>
  </si>
  <si>
    <t>1706631601457709479</t>
  </si>
  <si>
    <t>1706628683312558230</t>
  </si>
  <si>
    <t>1706398833813463160</t>
  </si>
  <si>
    <t>1706394389118099499</t>
  </si>
  <si>
    <t>1706390615091712259</t>
  </si>
  <si>
    <t>1706035775773745212</t>
  </si>
  <si>
    <t>1704303108741099944</t>
  </si>
  <si>
    <t>1704299337050673291</t>
  </si>
  <si>
    <t>1704295559002296713</t>
  </si>
  <si>
    <t>1704288009275986174</t>
  </si>
  <si>
    <t>1704284239196479842</t>
  </si>
  <si>
    <t>1704280459696333279</t>
  </si>
  <si>
    <t>1704276685007585316</t>
  </si>
  <si>
    <t>1704272909840060742</t>
  </si>
  <si>
    <t>1704269140175818998</t>
  </si>
  <si>
    <t>1704261587979178079</t>
  </si>
  <si>
    <t>1703754015639503127</t>
  </si>
  <si>
    <t>1703734432706728074</t>
  </si>
  <si>
    <t>1702072159978545234</t>
  </si>
  <si>
    <t>1702068384165220852</t>
  </si>
  <si>
    <t>1702060834367684735</t>
  </si>
  <si>
    <t>1702057480849707283</t>
  </si>
  <si>
    <t>1702054555045748905</t>
  </si>
  <si>
    <t>1702047308848779769</t>
  </si>
  <si>
    <t>1702028072474526189</t>
  </si>
  <si>
    <t>1702023085065650500</t>
  </si>
  <si>
    <t>1702019313815756825</t>
  </si>
  <si>
    <t>1702015535339442398</t>
  </si>
  <si>
    <t>1702013473343852612</t>
  </si>
  <si>
    <t>1701921774122733947</t>
  </si>
  <si>
    <t>1701914066883629106</t>
  </si>
  <si>
    <t>1701903362495586402</t>
  </si>
  <si>
    <t>1693586349201224174</t>
  </si>
  <si>
    <t>1693231413284216847</t>
  </si>
  <si>
    <t>1686897168333111298</t>
  </si>
  <si>
    <t>1686893391554977792</t>
  </si>
  <si>
    <t>1686889618229395460</t>
  </si>
  <si>
    <t>1686885841820426241</t>
  </si>
  <si>
    <t>1686882067961778179</t>
  </si>
  <si>
    <t>1686878292194820097</t>
  </si>
  <si>
    <t>1686874519913299972</t>
  </si>
  <si>
    <t>1686870742330474500</t>
  </si>
  <si>
    <t>1686866969059012608</t>
  </si>
  <si>
    <t>1686866560663564288</t>
  </si>
  <si>
    <t>1686865965198258176</t>
  </si>
  <si>
    <t>1686864063073030144</t>
  </si>
  <si>
    <t>1686863192788480000</t>
  </si>
  <si>
    <t>1686859424466452481</t>
  </si>
  <si>
    <t>1686855643494547456</t>
  </si>
  <si>
    <t>1686851868058845188</t>
  </si>
  <si>
    <t>1686851174215897088</t>
  </si>
  <si>
    <t>1686847829342404608</t>
  </si>
  <si>
    <t>1686847641974394880</t>
  </si>
  <si>
    <t>1686844321251852289</t>
  </si>
  <si>
    <t>1679915611684769792</t>
  </si>
  <si>
    <t>1679913836097474565</t>
  </si>
  <si>
    <t>1679888506758283264</t>
  </si>
  <si>
    <t>1679882383401558016</t>
  </si>
  <si>
    <t>1679879918941872128</t>
  </si>
  <si>
    <t>1679871852334678017</t>
  </si>
  <si>
    <t>1679697225356640256</t>
  </si>
  <si>
    <t>1679692200760819715</t>
  </si>
  <si>
    <t>1679687229067632641</t>
  </si>
  <si>
    <t>1679682127904874496</t>
  </si>
  <si>
    <t>1679677094043820032</t>
  </si>
  <si>
    <t>1679672106097819648</t>
  </si>
  <si>
    <t>1679667028288757760</t>
  </si>
  <si>
    <t>1679661994108940288</t>
  </si>
  <si>
    <t>1679657119119753218</t>
  </si>
  <si>
    <t>1679651929419313154</t>
  </si>
  <si>
    <t>1679646896074235905</t>
  </si>
  <si>
    <t>1679642017750474752</t>
  </si>
  <si>
    <t>1679636843212546048</t>
  </si>
  <si>
    <t>1679631820302827520</t>
  </si>
  <si>
    <t>1679626942113370114</t>
  </si>
  <si>
    <t>1679621742862508032</t>
  </si>
  <si>
    <t>1679616736708927491</t>
  </si>
  <si>
    <t>1679611857932361728</t>
  </si>
  <si>
    <t>1679606663496585217</t>
  </si>
  <si>
    <t>1679601662741151744</t>
  </si>
  <si>
    <t>1679599051493261312</t>
  </si>
  <si>
    <t>1707156913480515987</t>
  </si>
  <si>
    <t>1707153143107043698</t>
  </si>
  <si>
    <t>1707146087159492961</t>
  </si>
  <si>
    <t>1707145731432206474</t>
  </si>
  <si>
    <t>1707138044417966213</t>
  </si>
  <si>
    <t>1707134264108822741</t>
  </si>
  <si>
    <t>1707100290594275769</t>
  </si>
  <si>
    <t>1707090670245036465</t>
  </si>
  <si>
    <t>1706809624928948249</t>
  </si>
  <si>
    <t>1706805857974120604</t>
  </si>
  <si>
    <t>1706731384897720659</t>
  </si>
  <si>
    <t>1706440188635877668</t>
  </si>
  <si>
    <t>1706432707540984175</t>
  </si>
  <si>
    <t>1706428367464222812</t>
  </si>
  <si>
    <t>1706424587922375138</t>
  </si>
  <si>
    <t>1705288350750355780</t>
  </si>
  <si>
    <t>1705246827543736638</t>
  </si>
  <si>
    <t>1704208743498387532</t>
  </si>
  <si>
    <t>1704204962077811022</t>
  </si>
  <si>
    <t>1704201187556295042</t>
  </si>
  <si>
    <t>1704193642749980686</t>
  </si>
  <si>
    <t>1704189862461723065</t>
  </si>
  <si>
    <t>1704182975393403151</t>
  </si>
  <si>
    <t>1703136678347706860</t>
  </si>
  <si>
    <t>1703076277094171012</t>
  </si>
  <si>
    <t>1701197968429175190</t>
  </si>
  <si>
    <t>1701182016702566464</t>
  </si>
  <si>
    <t>1701068042166223336</t>
  </si>
  <si>
    <t>1701007647808389310</t>
  </si>
  <si>
    <t>1700992546175136199</t>
  </si>
  <si>
    <t>1700977448144294021</t>
  </si>
  <si>
    <t>1700962346552701118</t>
  </si>
  <si>
    <t>1700932150252450018</t>
  </si>
  <si>
    <t>1700917048908427628</t>
  </si>
  <si>
    <t>1700901950580228248</t>
  </si>
  <si>
    <t>1700886849063936398</t>
  </si>
  <si>
    <t>1700856656823726164</t>
  </si>
  <si>
    <t>1693752337716871640</t>
  </si>
  <si>
    <t>1693748562444595211</t>
  </si>
  <si>
    <t>1693744790805021100</t>
  </si>
  <si>
    <t>1693741012781310341</t>
  </si>
  <si>
    <t>1693738016882274451</t>
  </si>
  <si>
    <t>1693737238650392826</t>
  </si>
  <si>
    <t>1693733462996586763</t>
  </si>
  <si>
    <t>1693731855890034927</t>
  </si>
  <si>
    <t>1693731532848939511</t>
  </si>
  <si>
    <t>1693725913438195938</t>
  </si>
  <si>
    <t>1693722137994170480</t>
  </si>
  <si>
    <t>1693718363208294598</t>
  </si>
  <si>
    <t>1693707039271256085</t>
  </si>
  <si>
    <t>1693703263869394998</t>
  </si>
  <si>
    <t>1693699490153177334</t>
  </si>
  <si>
    <t>1693695714046640622</t>
  </si>
  <si>
    <t>1693691938988585139</t>
  </si>
  <si>
    <t>1693684391959277927</t>
  </si>
  <si>
    <t>1693683285270900919</t>
  </si>
  <si>
    <t>1693680614631731444</t>
  </si>
  <si>
    <t>1686840543786287104</t>
  </si>
  <si>
    <t>1686836770220933120</t>
  </si>
  <si>
    <t>1686825444186914818</t>
  </si>
  <si>
    <t>1686821670231621649</t>
  </si>
  <si>
    <t>1686817894271696919</t>
  </si>
  <si>
    <t>1686814120291483657</t>
  </si>
  <si>
    <t>1686810344503848960</t>
  </si>
  <si>
    <t>1686806571743854603</t>
  </si>
  <si>
    <t>1686795245160419328</t>
  </si>
  <si>
    <t>1686788929217851405</t>
  </si>
  <si>
    <t>1686787695597568024</t>
  </si>
  <si>
    <t>1686780145577930752</t>
  </si>
  <si>
    <t>1686753734502543360</t>
  </si>
  <si>
    <t>1686747350713167873</t>
  </si>
  <si>
    <t>1686731072657358848</t>
  </si>
  <si>
    <t>1707172012702015572</t>
  </si>
  <si>
    <t>1707111614820897262</t>
  </si>
  <si>
    <t>1706745451976982730</t>
  </si>
  <si>
    <t>1706741677766197624</t>
  </si>
  <si>
    <t>1706734784632836252</t>
  </si>
  <si>
    <t>1706462336679362863</t>
  </si>
  <si>
    <t>1706458563969949794</t>
  </si>
  <si>
    <t>1706371739486503142</t>
  </si>
  <si>
    <t>1706367967351435348</t>
  </si>
  <si>
    <t>1706364190129262674</t>
  </si>
  <si>
    <t>1706337767440187733</t>
  </si>
  <si>
    <t>1705914988777676988</t>
  </si>
  <si>
    <t>1705326106247868557</t>
  </si>
  <si>
    <t>1705322324726075558</t>
  </si>
  <si>
    <t>1705303450861338890</t>
  </si>
  <si>
    <t>1705318551857647624</t>
  </si>
  <si>
    <t>1705314775381749893</t>
  </si>
  <si>
    <t>1705311000377860139</t>
  </si>
  <si>
    <t>1705307225206448376</t>
  </si>
  <si>
    <t>1705299675681894568</t>
  </si>
  <si>
    <t>1705295904998080825</t>
  </si>
  <si>
    <t>1705292125942726901</t>
  </si>
  <si>
    <t>1705269797775114343</t>
  </si>
  <si>
    <t>1704257810895421554</t>
  </si>
  <si>
    <t>1704253971349598674</t>
  </si>
  <si>
    <t>1704253708358254950</t>
  </si>
  <si>
    <t>1704253457740259830</t>
  </si>
  <si>
    <t>1704250260762329559</t>
  </si>
  <si>
    <t>1704246487314489483</t>
  </si>
  <si>
    <t>1704238937630265713</t>
  </si>
  <si>
    <t>1704235161422897614</t>
  </si>
  <si>
    <t>1704231386515734626</t>
  </si>
  <si>
    <t>1703721158170833194</t>
  </si>
  <si>
    <t>1703712566894076349</t>
  </si>
  <si>
    <t>1703499060668403880</t>
  </si>
  <si>
    <t>1703378264654266655</t>
  </si>
  <si>
    <t>1701558206026182787</t>
  </si>
  <si>
    <t>1701551401317372115</t>
  </si>
  <si>
    <t>1701543785786638452</t>
  </si>
  <si>
    <t>1701373806948860263</t>
  </si>
  <si>
    <t>1701370039994085456</t>
  </si>
  <si>
    <t>1701366256950284779</t>
  </si>
  <si>
    <t>1701362482210910426</t>
  </si>
  <si>
    <t>1701358707387277404</t>
  </si>
  <si>
    <t>1701357628700418487</t>
  </si>
  <si>
    <t>1701354933478367308</t>
  </si>
  <si>
    <t>1701351157535227995</t>
  </si>
  <si>
    <t>1701346398589903220</t>
  </si>
  <si>
    <t>1701346104103649421</t>
  </si>
  <si>
    <t>1701341601711186057</t>
  </si>
  <si>
    <t>1701336058112135271</t>
  </si>
  <si>
    <t>1701332283855118826</t>
  </si>
  <si>
    <t>1691970596643463222</t>
  </si>
  <si>
    <t>1691966821782675508</t>
  </si>
  <si>
    <t>1691963052722102640</t>
  </si>
  <si>
    <t>1691959272366547126</t>
  </si>
  <si>
    <t>1691955497480630283</t>
  </si>
  <si>
    <t>1691951722355183926</t>
  </si>
  <si>
    <t>1691947954930856203</t>
  </si>
  <si>
    <t>1691944172645740562</t>
  </si>
  <si>
    <t>1691940397990269323</t>
  </si>
  <si>
    <t>1691936623259238494</t>
  </si>
  <si>
    <t>1691933832520347683</t>
  </si>
  <si>
    <t>1691932853695549572</t>
  </si>
  <si>
    <t>1691925298147934303</t>
  </si>
  <si>
    <t>1691924469403574466</t>
  </si>
  <si>
    <t>1691924192633958462</t>
  </si>
  <si>
    <t>1691917748438213024</t>
  </si>
  <si>
    <t>1691913973837299824</t>
  </si>
  <si>
    <t>1691910200742261012</t>
  </si>
  <si>
    <t>1691906423851200804</t>
  </si>
  <si>
    <t>1691902651544600727</t>
  </si>
  <si>
    <t>1684292510276009984</t>
  </si>
  <si>
    <t>1684288729370726400</t>
  </si>
  <si>
    <t>1684284954258157574</t>
  </si>
  <si>
    <t>1684281179124510724</t>
  </si>
  <si>
    <t>1684277221618229249</t>
  </si>
  <si>
    <t>1684273629599764480</t>
  </si>
  <si>
    <t>1684255565227098140</t>
  </si>
  <si>
    <t>1684254757081448450</t>
  </si>
  <si>
    <t>1684250980693442562</t>
  </si>
  <si>
    <t>1684222556646019072</t>
  </si>
  <si>
    <t>1684220769985761281</t>
  </si>
  <si>
    <t>1707349911514013988</t>
  </si>
  <si>
    <t>1705195054753628542</t>
  </si>
  <si>
    <t>1704993911859552740</t>
  </si>
  <si>
    <t>1704990136184733751</t>
  </si>
  <si>
    <t>1704986361663754646</t>
  </si>
  <si>
    <t>1704982586509189169</t>
  </si>
  <si>
    <t>1704978814265446448</t>
  </si>
  <si>
    <t>1704971262290788595</t>
  </si>
  <si>
    <t>1704975545459490834</t>
  </si>
  <si>
    <t>1704975367570702701</t>
  </si>
  <si>
    <t>1704975105405731058</t>
  </si>
  <si>
    <t>1704975036509991207</t>
  </si>
  <si>
    <t>1704963717593735529</t>
  </si>
  <si>
    <t>1704959937162756595</t>
  </si>
  <si>
    <t>1704956163488702504</t>
  </si>
  <si>
    <t>1704952387054772483</t>
  </si>
  <si>
    <t>1704948614844518891</t>
  </si>
  <si>
    <t>1704944837420855447</t>
  </si>
  <si>
    <t>1704941062526033986</t>
  </si>
  <si>
    <t>1704937287568576833</t>
  </si>
  <si>
    <t>1704933513328247217</t>
  </si>
  <si>
    <t>1704929737800638701</t>
  </si>
  <si>
    <t>1704925965879820509</t>
  </si>
  <si>
    <t>1704911773730787652</t>
  </si>
  <si>
    <t>1704918414475559221</t>
  </si>
  <si>
    <t>1704914638821884247</t>
  </si>
  <si>
    <t>1704827827336495172</t>
  </si>
  <si>
    <t>1704826159463043335</t>
  </si>
  <si>
    <t>1704820786161156544</t>
  </si>
  <si>
    <t>1704812720313512107</t>
  </si>
  <si>
    <t>1704812670875058628</t>
  </si>
  <si>
    <t>1704807723802517795</t>
  </si>
  <si>
    <t>1704657946758553637</t>
  </si>
  <si>
    <t>1704654172186984702</t>
  </si>
  <si>
    <t>1704650397061874001</t>
  </si>
  <si>
    <t>1704646622167359923</t>
  </si>
  <si>
    <t>1704642847448944731</t>
  </si>
  <si>
    <t>1704639073036513465</t>
  </si>
  <si>
    <t>1704635297722716594</t>
  </si>
  <si>
    <t>1704631523314446467</t>
  </si>
  <si>
    <t>1704627749095186644</t>
  </si>
  <si>
    <t>1704623973903040718</t>
  </si>
  <si>
    <t>1704620198215782881</t>
  </si>
  <si>
    <t>1704618421919371569</t>
  </si>
  <si>
    <t>1704616428790218843</t>
  </si>
  <si>
    <t>1704614989099569228</t>
  </si>
  <si>
    <t>1704614681837547738</t>
  </si>
  <si>
    <t>1704612648489468129</t>
  </si>
  <si>
    <t>1704608875037782168</t>
  </si>
  <si>
    <t>1704601328205336593</t>
  </si>
  <si>
    <t>1704092548698910906</t>
  </si>
  <si>
    <t>1704076471810109903</t>
  </si>
  <si>
    <t>1704078490402714061</t>
  </si>
  <si>
    <t>1703936946949829035</t>
  </si>
  <si>
    <t>1703933171052519701</t>
  </si>
  <si>
    <t>1700841557279048008</t>
  </si>
  <si>
    <t>1700811358881673272</t>
  </si>
  <si>
    <t>1700735855810490418</t>
  </si>
  <si>
    <t>1700569761506054295</t>
  </si>
  <si>
    <t>1700554666118115641</t>
  </si>
  <si>
    <t>1700539561682554979</t>
  </si>
  <si>
    <t>1700524460904706365</t>
  </si>
  <si>
    <t>1700479170672029811</t>
  </si>
  <si>
    <t>1700433866555634019</t>
  </si>
  <si>
    <t>1700284158612762711</t>
  </si>
  <si>
    <t>1700280212389314918</t>
  </si>
  <si>
    <t>1700279819475267907</t>
  </si>
  <si>
    <t>1700271682135695708</t>
  </si>
  <si>
    <t>1700267868506718445</t>
  </si>
  <si>
    <t>1700267632841371917</t>
  </si>
  <si>
    <t>1700263994227908686</t>
  </si>
  <si>
    <t>1700260221245870424</t>
  </si>
  <si>
    <t>1700252676666335288</t>
  </si>
  <si>
    <t>1700248894704169030</t>
  </si>
  <si>
    <t>1700241344718143533</t>
  </si>
  <si>
    <t>1700237570645410261</t>
  </si>
  <si>
    <t>1692989816877523035</t>
  </si>
  <si>
    <t>1692929414642766215</t>
  </si>
  <si>
    <t>1692869019437879377</t>
  </si>
  <si>
    <t>1692691597451014400</t>
  </si>
  <si>
    <t>1692687824720437502</t>
  </si>
  <si>
    <t>1692684047695204583</t>
  </si>
  <si>
    <t>1692680272943235111</t>
  </si>
  <si>
    <t>1692676498182836245</t>
  </si>
  <si>
    <t>1692672725326979503</t>
  </si>
  <si>
    <t>1692668948255277526</t>
  </si>
  <si>
    <t>1692665173809545727</t>
  </si>
  <si>
    <t>1692661398558462451</t>
  </si>
  <si>
    <t>1692650074583753073</t>
  </si>
  <si>
    <t>1686459283628773377</t>
  </si>
  <si>
    <t>1686455506477682689</t>
  </si>
  <si>
    <t>1686451739250372608</t>
  </si>
  <si>
    <t>1686444181617524755</t>
  </si>
  <si>
    <t>1686440407012429826</t>
  </si>
  <si>
    <t>1686436635402174464</t>
  </si>
  <si>
    <t>1686432857592385545</t>
  </si>
  <si>
    <t>1686429082278588416</t>
  </si>
  <si>
    <t>1686426672432631831</t>
  </si>
  <si>
    <t>1686417757649227785</t>
  </si>
  <si>
    <t>1686410208283709445</t>
  </si>
  <si>
    <t>1686399784238632960</t>
  </si>
  <si>
    <t>1686392443506442241</t>
  </si>
  <si>
    <t>1686320613198061568</t>
  </si>
  <si>
    <t>1686191265170235392</t>
  </si>
  <si>
    <t>1686187491051646976</t>
  </si>
  <si>
    <t>1686183715335200768</t>
  </si>
  <si>
    <t>1686179940499435520</t>
  </si>
  <si>
    <t>1686176165646503936</t>
  </si>
  <si>
    <t>1686172391448461318</t>
  </si>
  <si>
    <t>1686168615882477568</t>
  </si>
  <si>
    <t>1686164844645605376</t>
  </si>
  <si>
    <t>1686161066211098636</t>
  </si>
  <si>
    <t>1686157293120020481</t>
  </si>
  <si>
    <t>1686153516434538503</t>
  </si>
  <si>
    <t>1686149748586328064</t>
  </si>
  <si>
    <t>1686145966817116160</t>
  </si>
  <si>
    <t>1686142192018968576</t>
  </si>
  <si>
    <t>1686138417363763207</t>
  </si>
  <si>
    <t>1686134643677184000</t>
  </si>
  <si>
    <t>1686130867129966592</t>
  </si>
  <si>
    <t>1686127093204045824</t>
  </si>
  <si>
    <t>1686126576155475968</t>
  </si>
  <si>
    <t>1707358995520827889</t>
  </si>
  <si>
    <t>1706802075408191810</t>
  </si>
  <si>
    <t>1706794525434290390</t>
  </si>
  <si>
    <t>1706785065512919365</t>
  </si>
  <si>
    <t>1706784801917940181</t>
  </si>
  <si>
    <t>1706655289695474036</t>
  </si>
  <si>
    <t>1706454786919575642</t>
  </si>
  <si>
    <t>1706451013648183743</t>
  </si>
  <si>
    <t>1706420185115017552</t>
  </si>
  <si>
    <t>1706420012829835341</t>
  </si>
  <si>
    <t>1706419687788011737</t>
  </si>
  <si>
    <t>1706272374851534930</t>
  </si>
  <si>
    <t>1706258711948259589</t>
  </si>
  <si>
    <t>1705673388713263154</t>
  </si>
  <si>
    <t>1705009013228757050</t>
  </si>
  <si>
    <t>1705005235406868684</t>
  </si>
  <si>
    <t>1705001461351075870</t>
  </si>
  <si>
    <t>1704997686083289519</t>
  </si>
  <si>
    <t>1704556028401172536</t>
  </si>
  <si>
    <t>1704548478276493778</t>
  </si>
  <si>
    <t>1704479784493879761</t>
  </si>
  <si>
    <t>1702736537253978157</t>
  </si>
  <si>
    <t>1702735670446359026</t>
  </si>
  <si>
    <t>1702732761747063261</t>
  </si>
  <si>
    <t>1702683698141786456</t>
  </si>
  <si>
    <t>1702679913390625187</t>
  </si>
  <si>
    <t>1702677744021115143</t>
  </si>
  <si>
    <t>1702660951843934603</t>
  </si>
  <si>
    <t>1698863521386356781</t>
  </si>
  <si>
    <t>1698859740959535585</t>
  </si>
  <si>
    <t>1698855967822057680</t>
  </si>
  <si>
    <t>1698855966790594973</t>
  </si>
  <si>
    <t>1698848419555483842</t>
  </si>
  <si>
    <t>1698844641800646965</t>
  </si>
  <si>
    <t>1698840867480424914</t>
  </si>
  <si>
    <t>1698837091826720799</t>
  </si>
  <si>
    <t>1698833325110997213</t>
  </si>
  <si>
    <t>1698829542079529029</t>
  </si>
  <si>
    <t>1695132167796351265</t>
  </si>
  <si>
    <t>1695057625816109508</t>
  </si>
  <si>
    <t>1695055483139149973</t>
  </si>
  <si>
    <t>1695033947061706961</t>
  </si>
  <si>
    <t>1695032428761362573</t>
  </si>
  <si>
    <t>1694850825326363033</t>
  </si>
  <si>
    <t>1694847052650586561</t>
  </si>
  <si>
    <t>1685651463706718208</t>
  </si>
  <si>
    <t>1685621263971024896</t>
  </si>
  <si>
    <t>1685394768774438912</t>
  </si>
  <si>
    <t>1685334369789939712</t>
  </si>
  <si>
    <t>1685319271445147648</t>
  </si>
  <si>
    <t>1685289070413381632</t>
  </si>
  <si>
    <t>1685258881759371266</t>
  </si>
  <si>
    <t>1685070129594269696</t>
  </si>
  <si>
    <t>1685066353231757313</t>
  </si>
  <si>
    <t>1685062585908158464</t>
  </si>
  <si>
    <t>1685058803333808128</t>
  </si>
  <si>
    <t>1685055028120158208</t>
  </si>
  <si>
    <t>1685048772076720128</t>
  </si>
  <si>
    <t>1707348036928614587</t>
  </si>
  <si>
    <t>1707164463126941714</t>
  </si>
  <si>
    <t>1707168238826619027</t>
  </si>
  <si>
    <t>1707160688366334092</t>
  </si>
  <si>
    <t>1707146311357673846</t>
  </si>
  <si>
    <t>1707115389702856863</t>
  </si>
  <si>
    <t>1707107843776667694</t>
  </si>
  <si>
    <t>1707104065237246218</t>
  </si>
  <si>
    <t>1706980085524234732</t>
  </si>
  <si>
    <t>1706763490466181522</t>
  </si>
  <si>
    <t>1706753003103899869</t>
  </si>
  <si>
    <t>1706749226883948892</t>
  </si>
  <si>
    <t>1706615562896310523</t>
  </si>
  <si>
    <t>1706386839005958334</t>
  </si>
  <si>
    <t>1706383072076370196</t>
  </si>
  <si>
    <t>1706379289866686631</t>
  </si>
  <si>
    <t>1706375514343031043</t>
  </si>
  <si>
    <t>1706358369743757480</t>
  </si>
  <si>
    <t>1705348750871335066</t>
  </si>
  <si>
    <t>1705344974353842405</t>
  </si>
  <si>
    <t>1705341200125878646</t>
  </si>
  <si>
    <t>1705338043412963668</t>
  </si>
  <si>
    <t>1705337424518468091</t>
  </si>
  <si>
    <t>1705333651003580500</t>
  </si>
  <si>
    <t>1705333292369682885</t>
  </si>
  <si>
    <t>1705332968116351339</t>
  </si>
  <si>
    <t>1704447852758343707</t>
  </si>
  <si>
    <t>1702411897729888552</t>
  </si>
  <si>
    <t>1702408122441019664</t>
  </si>
  <si>
    <t>1702404348951568392</t>
  </si>
  <si>
    <t>1702400572756721819</t>
  </si>
  <si>
    <t>1702396800425140378</t>
  </si>
  <si>
    <t>1702393022699414024</t>
  </si>
  <si>
    <t>1702371163085697292</t>
  </si>
  <si>
    <t>1698365235227160695</t>
  </si>
  <si>
    <t>1698044797313757621</t>
  </si>
  <si>
    <t>1698002849136079015</t>
  </si>
  <si>
    <t>1697942448020881567</t>
  </si>
  <si>
    <t>1697746153234735272</t>
  </si>
  <si>
    <t>1697742378491101458</t>
  </si>
  <si>
    <t>1697738603517108489</t>
  </si>
  <si>
    <t>1697734828765094058</t>
  </si>
  <si>
    <t>1697723504664379438</t>
  </si>
  <si>
    <t>1697718624729878829</t>
  </si>
  <si>
    <t>1690075610121666561</t>
  </si>
  <si>
    <t>1690071835331764224</t>
  </si>
  <si>
    <t>1690060516884922368</t>
  </si>
  <si>
    <t>1690057703714889748</t>
  </si>
  <si>
    <t>1689943522147790849</t>
  </si>
  <si>
    <t>1689822693573459968</t>
  </si>
  <si>
    <t>1689818925779816448</t>
  </si>
  <si>
    <t>1683609251917230080</t>
  </si>
  <si>
    <t>1683605478826446850</t>
  </si>
  <si>
    <t>1683601701901590529</t>
  </si>
  <si>
    <t>1683597927053250564</t>
  </si>
  <si>
    <t>1683596505528016896</t>
  </si>
  <si>
    <t>1683594152221503488</t>
  </si>
  <si>
    <t>1683590377251700739</t>
  </si>
  <si>
    <t>1683588965050327042</t>
  </si>
  <si>
    <t>1683588730487963648</t>
  </si>
  <si>
    <t>1683586602394697730</t>
  </si>
  <si>
    <t>1683582835339440128</t>
  </si>
  <si>
    <t>1683579053012406273</t>
  </si>
  <si>
    <t>1683575279334326277</t>
  </si>
  <si>
    <t>1683571502996934656</t>
  </si>
  <si>
    <t>1683571502866653184</t>
  </si>
  <si>
    <t>1683568741928370199</t>
  </si>
  <si>
    <t>1683567732288045056</t>
  </si>
  <si>
    <t>1683560179097280513</t>
  </si>
  <si>
    <t>1706636028360941964</t>
  </si>
  <si>
    <t>1686132907285303296</t>
  </si>
  <si>
    <t>1689313423878701056</t>
  </si>
  <si>
    <t>1682130045794500616</t>
  </si>
  <si>
    <t>1682129256858492928</t>
  </si>
  <si>
    <t>1678647438087708672</t>
  </si>
  <si>
    <t>1681233091149418496</t>
  </si>
  <si>
    <t>1681160421732917248</t>
  </si>
  <si>
    <t>1681159398528372737</t>
  </si>
  <si>
    <t>1679437380820819977</t>
  </si>
  <si>
    <t>1679297888692609024</t>
  </si>
  <si>
    <t>1683424760842133504</t>
  </si>
  <si>
    <t>1684865474000027648</t>
  </si>
  <si>
    <t>1687381370413232129</t>
  </si>
  <si>
    <t>1684494031307390977</t>
  </si>
  <si>
    <t>1684411660386160640</t>
  </si>
  <si>
    <t>1684409094508011522</t>
  </si>
  <si>
    <t>1683975891066716160</t>
  </si>
  <si>
    <t>1683967181560709120</t>
  </si>
  <si>
    <t>1688865868774559744</t>
  </si>
  <si>
    <t>1692126389061759444</t>
  </si>
  <si>
    <t>1692124318396788881</t>
  </si>
  <si>
    <t>1691397570088534016</t>
  </si>
  <si>
    <t>1683691776819752961</t>
  </si>
  <si>
    <t>1691252544054468608</t>
  </si>
  <si>
    <t>1685970973244207104</t>
  </si>
  <si>
    <t>1682709658467745796</t>
  </si>
  <si>
    <t>1694290224786837835</t>
  </si>
  <si>
    <t>1682734909054435330</t>
  </si>
  <si>
    <t>1698970868695585092</t>
  </si>
  <si>
    <t>1698969178571473389</t>
  </si>
  <si>
    <t>1706629688930476166</t>
  </si>
  <si>
    <t>1707333307799670826</t>
  </si>
  <si>
    <t>1706620143718027555</t>
  </si>
  <si>
    <t>1698819555424956867</t>
  </si>
  <si>
    <t>1690513763831615488</t>
  </si>
  <si>
    <t>1686354748683812864</t>
  </si>
  <si>
    <t>1704668079572111672</t>
  </si>
  <si>
    <t>1698717127480393781</t>
  </si>
  <si>
    <t>1705383164678684693</t>
  </si>
  <si>
    <t>1697995916903391489</t>
  </si>
  <si>
    <t>1706571350121275781</t>
  </si>
  <si>
    <t>1683810264553070592</t>
  </si>
  <si>
    <t>1679478594114863106</t>
  </si>
  <si>
    <t>1680683987528720386</t>
  </si>
  <si>
    <t>1680658968744534016</t>
  </si>
  <si>
    <t>1689034027020259329</t>
  </si>
  <si>
    <t>1682904626822037506</t>
  </si>
  <si>
    <t>1691239419494170624</t>
  </si>
  <si>
    <t>1682571190127165440</t>
  </si>
  <si>
    <t>1682553590014001153</t>
  </si>
  <si>
    <t>1683100922786856962</t>
  </si>
  <si>
    <t>1693761186825654599</t>
  </si>
  <si>
    <t>1694137424996126859</t>
  </si>
  <si>
    <t>1692275602936443147</t>
  </si>
  <si>
    <t>1697566229798547548</t>
  </si>
  <si>
    <t>1690876151713890304</t>
  </si>
  <si>
    <t>1678823557273382914</t>
  </si>
  <si>
    <t>1696341917322084746</t>
  </si>
  <si>
    <t>1696334365758833013</t>
  </si>
  <si>
    <t>1696326231300403473</t>
  </si>
  <si>
    <t>1695636006332997996</t>
  </si>
  <si>
    <t>1695391897332732265</t>
  </si>
  <si>
    <t>1688506532911038465</t>
  </si>
  <si>
    <t>1695844884668633099</t>
  </si>
  <si>
    <t>1682002413966839810</t>
  </si>
  <si>
    <t>1692557294192509295</t>
  </si>
  <si>
    <t>1690336098533220352</t>
  </si>
  <si>
    <t>1698457100291105051</t>
  </si>
  <si>
    <t>1691111400515477505</t>
  </si>
  <si>
    <t>1703803596016410625</t>
  </si>
  <si>
    <t>1692899503940964838</t>
  </si>
  <si>
    <t>1692707383066157359</t>
  </si>
  <si>
    <t>1686145189356744704</t>
  </si>
  <si>
    <t>1678561177662521346</t>
  </si>
  <si>
    <t>1706142488220541267</t>
  </si>
  <si>
    <t>1698037198451343477</t>
  </si>
  <si>
    <t>1703595190429090169</t>
  </si>
  <si>
    <t>1692176977514606779</t>
  </si>
  <si>
    <t>1705959426534805933</t>
  </si>
  <si>
    <t>1680769212023750656</t>
  </si>
  <si>
    <t>1681299029966348290</t>
  </si>
  <si>
    <t>1689277053487505410</t>
  </si>
  <si>
    <t>1693510745286127725</t>
  </si>
  <si>
    <t>1691053302933250048</t>
  </si>
  <si>
    <t>1683831972559482880</t>
  </si>
  <si>
    <t>1691423379310452736</t>
  </si>
  <si>
    <t>1707213234468438100</t>
  </si>
  <si>
    <t>1686742397269475329</t>
  </si>
  <si>
    <t>1707213755610800449</t>
  </si>
  <si>
    <t>1678712272451956736</t>
  </si>
  <si>
    <t>1678712242383060996</t>
  </si>
  <si>
    <t>1678796679078715409</t>
  </si>
  <si>
    <t>1688850827169980416</t>
  </si>
  <si>
    <t>1691757352641266142</t>
  </si>
  <si>
    <t>1688496531580592130</t>
  </si>
  <si>
    <t>1692111002924372472</t>
  </si>
  <si>
    <t>1694295728829386993</t>
  </si>
  <si>
    <t>1683439779390562305</t>
  </si>
  <si>
    <t>1679484675968978945</t>
  </si>
  <si>
    <t>1679483646216921093</t>
  </si>
  <si>
    <t>1679470803400753152</t>
  </si>
  <si>
    <t>1679470505944834055</t>
  </si>
  <si>
    <t>1679465268806930432</t>
  </si>
  <si>
    <t>1679464798042423296</t>
  </si>
  <si>
    <t>1686028275594805248</t>
  </si>
  <si>
    <t>1686028176755937280</t>
  </si>
  <si>
    <t>1686028040994779136</t>
  </si>
  <si>
    <t>1681385897772580888</t>
  </si>
  <si>
    <t>1678496253301125144</t>
  </si>
  <si>
    <t>1678493579713413121</t>
  </si>
  <si>
    <t>1688615327880323073</t>
  </si>
  <si>
    <t>1683485458280464387</t>
  </si>
  <si>
    <t>1683485293305839617</t>
  </si>
  <si>
    <t>1683484853893726208</t>
  </si>
  <si>
    <t>1683456877533753346</t>
  </si>
  <si>
    <t>1683456699275853825</t>
  </si>
  <si>
    <t>1679582416548110337</t>
  </si>
  <si>
    <t>1679576863558041602</t>
  </si>
  <si>
    <t>1679558872585871374</t>
  </si>
  <si>
    <t>1679558731648868375</t>
  </si>
  <si>
    <t>1691096277944283136</t>
  </si>
  <si>
    <t>1691080779760025600</t>
  </si>
  <si>
    <t>1687520696119762944</t>
  </si>
  <si>
    <t>1681346027154989057</t>
  </si>
  <si>
    <t>1681345208770805760</t>
  </si>
  <si>
    <t>1681297899106230272</t>
  </si>
  <si>
    <t>1681297465067053056</t>
  </si>
  <si>
    <t>1681293598631907329</t>
  </si>
  <si>
    <t>1681291554990817281</t>
  </si>
  <si>
    <t>1681291120016334850</t>
  </si>
  <si>
    <t>1681285705996042240</t>
  </si>
  <si>
    <t>1681284327634599936</t>
  </si>
  <si>
    <t>1681276153732923398</t>
  </si>
  <si>
    <t>1681275748554792960</t>
  </si>
  <si>
    <t>1681268063126134784</t>
  </si>
  <si>
    <t>1681267937036869632</t>
  </si>
  <si>
    <t>1689649764370132992</t>
  </si>
  <si>
    <t>1689649298961756161</t>
  </si>
  <si>
    <t>1689616793751416832</t>
  </si>
  <si>
    <t>1689616657080045568</t>
  </si>
  <si>
    <t>1689616480806064128</t>
  </si>
  <si>
    <t>1689608830387130369</t>
  </si>
  <si>
    <t>1689605006515703808</t>
  </si>
  <si>
    <t>1691080421067366400</t>
  </si>
  <si>
    <t>1691064749193084928</t>
  </si>
  <si>
    <t>1691064599746072576</t>
  </si>
  <si>
    <t>1691064479138652160</t>
  </si>
  <si>
    <t>1691064396641112066</t>
  </si>
  <si>
    <t>1686098315874566144</t>
  </si>
  <si>
    <t>1679216383794507776</t>
  </si>
  <si>
    <t>1679212754404626433</t>
  </si>
  <si>
    <t>1679166306342559744</t>
  </si>
  <si>
    <t>1679125854549340162</t>
  </si>
  <si>
    <t>1679120046054952963</t>
  </si>
  <si>
    <t>1679119912973770753</t>
  </si>
  <si>
    <t>1679119768870084609</t>
  </si>
  <si>
    <t>1679119610577141761</t>
  </si>
  <si>
    <t>1691537393742913536</t>
  </si>
  <si>
    <t>1691530159151587328</t>
  </si>
  <si>
    <t>1688599222432501786</t>
  </si>
  <si>
    <t>1688559241202647041</t>
  </si>
  <si>
    <t>1684567451076558848</t>
  </si>
  <si>
    <t>1684567205663711235</t>
  </si>
  <si>
    <t>1684567002248265728</t>
  </si>
  <si>
    <t>1684566699272728578</t>
  </si>
  <si>
    <t>1684547912120803329</t>
  </si>
  <si>
    <t>1684547800233644032</t>
  </si>
  <si>
    <t>1681712094784126989</t>
  </si>
  <si>
    <t>1681698095430524928</t>
  </si>
  <si>
    <t>1681661807008645122</t>
  </si>
  <si>
    <t>1681660371235381249</t>
  </si>
  <si>
    <t>1692591815331819803</t>
  </si>
  <si>
    <t>1692591595596509453</t>
  </si>
  <si>
    <t>1692544049998094831</t>
  </si>
  <si>
    <t>1692531138735001763</t>
  </si>
  <si>
    <t>1692511567252697307</t>
  </si>
  <si>
    <t>1692511256547037189</t>
  </si>
  <si>
    <t>1692509652980797652</t>
  </si>
  <si>
    <t>1684196942207762433</t>
  </si>
  <si>
    <t>1684187755641815040</t>
  </si>
  <si>
    <t>1684187446462894080</t>
  </si>
  <si>
    <t>1684187258679701507</t>
  </si>
  <si>
    <t>1684187074730119170</t>
  </si>
  <si>
    <t>1693987362316210433</t>
  </si>
  <si>
    <t>1693987240488452465</t>
  </si>
  <si>
    <t>1691493270029840391</t>
  </si>
  <si>
    <t>1691493108318449684</t>
  </si>
  <si>
    <t>1691492308980576421</t>
  </si>
  <si>
    <t>1683852573369835520</t>
  </si>
  <si>
    <t>1683837699067617280</t>
  </si>
  <si>
    <t>1683837434726092804</t>
  </si>
  <si>
    <t>1683818496554045440</t>
  </si>
  <si>
    <t>1683818306187284480</t>
  </si>
  <si>
    <t>1694353971756826925</t>
  </si>
  <si>
    <t>1694353075891208668</t>
  </si>
  <si>
    <t>1694325456927883332</t>
  </si>
  <si>
    <t>1693625406258041145</t>
  </si>
  <si>
    <t>1691840285741826186</t>
  </si>
  <si>
    <t>1691831036198440981</t>
  </si>
  <si>
    <t>1691817682553782594</t>
  </si>
  <si>
    <t>1691817428328554687</t>
  </si>
  <si>
    <t>1691810432128819537</t>
  </si>
  <si>
    <t>1689715683095937024</t>
  </si>
  <si>
    <t>1687105970294706177</t>
  </si>
  <si>
    <t>1687105809191419905</t>
  </si>
  <si>
    <t>1687074039091671040</t>
  </si>
  <si>
    <t>1687073830630498305</t>
  </si>
  <si>
    <t>1687073725353484288</t>
  </si>
  <si>
    <t>1683517105520492544</t>
  </si>
  <si>
    <t>1683516877899800595</t>
  </si>
  <si>
    <t>1679941333069500420</t>
  </si>
  <si>
    <t>1679927066354122752</t>
  </si>
  <si>
    <t>1679917261791072256</t>
  </si>
  <si>
    <t>1696171486954868852</t>
  </si>
  <si>
    <t>1689273590527442944</t>
  </si>
  <si>
    <t>1689273404925288448</t>
  </si>
  <si>
    <t>1689260957673934848</t>
  </si>
  <si>
    <t>1689260729554096128</t>
  </si>
  <si>
    <t>1696892808030765341</t>
  </si>
  <si>
    <t>1696892070978294055</t>
  </si>
  <si>
    <t>1691895430857023679</t>
  </si>
  <si>
    <t>1689012133311176705</t>
  </si>
  <si>
    <t>1689011830008451072</t>
  </si>
  <si>
    <t>1689011489821097984</t>
  </si>
  <si>
    <t>1689010203142811649</t>
  </si>
  <si>
    <t>1689010023450525696</t>
  </si>
  <si>
    <t>1689009888934887425</t>
  </si>
  <si>
    <t>1684916165468921856</t>
  </si>
  <si>
    <t>1684905574310264832</t>
  </si>
  <si>
    <t>1684904538539466752</t>
  </si>
  <si>
    <t>1684901271248003075</t>
  </si>
  <si>
    <t>1682479176798830597</t>
  </si>
  <si>
    <t>1682430018599677953</t>
  </si>
  <si>
    <t>1682393864890462209</t>
  </si>
  <si>
    <t>1682393657889140736</t>
  </si>
  <si>
    <t>1682393507397345280</t>
  </si>
  <si>
    <t>1682379709957525504</t>
  </si>
  <si>
    <t>1682371961630912512</t>
  </si>
  <si>
    <t>1682371940105826304</t>
  </si>
  <si>
    <t>1682368753470668802</t>
  </si>
  <si>
    <t>1682362226085093378</t>
  </si>
  <si>
    <t>1682362102059507713</t>
  </si>
  <si>
    <t>1696891199875948624</t>
  </si>
  <si>
    <t>1696891020959498617</t>
  </si>
  <si>
    <t>1693987569586065672</t>
  </si>
  <si>
    <t>1691423567047479298</t>
  </si>
  <si>
    <t>1691423479684374528</t>
  </si>
  <si>
    <t>1687106789635203073</t>
  </si>
  <si>
    <t>1687106570482794497</t>
  </si>
  <si>
    <t>1687106241359990784</t>
  </si>
  <si>
    <t>1687106105703645184</t>
  </si>
  <si>
    <t>1696891492185313499</t>
  </si>
  <si>
    <t>1693960085431521327</t>
  </si>
  <si>
    <t>1693959973649227889</t>
  </si>
  <si>
    <t>1692285792180138140</t>
  </si>
  <si>
    <t>1692285512352989692</t>
  </si>
  <si>
    <t>1692277695835431119</t>
  </si>
  <si>
    <t>1689294331964747776</t>
  </si>
  <si>
    <t>1689294222556299264</t>
  </si>
  <si>
    <t>1689293830745440257</t>
  </si>
  <si>
    <t>1689293708644978688</t>
  </si>
  <si>
    <t>1689293597697327104</t>
  </si>
  <si>
    <t>1685999881465270274</t>
  </si>
  <si>
    <t>1685986088978968576</t>
  </si>
  <si>
    <t>1685985529802735616</t>
  </si>
  <si>
    <t>1696891750625812990</t>
  </si>
  <si>
    <t>1692277598758310194</t>
  </si>
  <si>
    <t>1692277191394951269</t>
  </si>
  <si>
    <t>1691456659561037825</t>
  </si>
  <si>
    <t>1691444741429235712</t>
  </si>
  <si>
    <t>1691444591369564160</t>
  </si>
  <si>
    <t>1691437933755027456</t>
  </si>
  <si>
    <t>1691437804276916224</t>
  </si>
  <si>
    <t>1691437696588136448</t>
  </si>
  <si>
    <t>1678858885933801473</t>
  </si>
  <si>
    <t>1678855619560742912</t>
  </si>
  <si>
    <t>1678850909034496000</t>
  </si>
  <si>
    <t>1702379711165308972</t>
  </si>
  <si>
    <t>1690006074407919616</t>
  </si>
  <si>
    <t>1689995319080009728</t>
  </si>
  <si>
    <t>1689980633282400256</t>
  </si>
  <si>
    <t>1689980518081646592</t>
  </si>
  <si>
    <t>1689980403107442690</t>
  </si>
  <si>
    <t>1689980297968861185</t>
  </si>
  <si>
    <t>1683563578496802820</t>
  </si>
  <si>
    <t>1683563453712068610</t>
  </si>
  <si>
    <t>1683563282253201410</t>
  </si>
  <si>
    <t>1701592172947288426</t>
  </si>
  <si>
    <t>1692148845491130533</t>
  </si>
  <si>
    <t>1692148690889154886</t>
  </si>
  <si>
    <t>1692148338752115055</t>
  </si>
  <si>
    <t>1692148133621358624</t>
  </si>
  <si>
    <t>1688643995553992704</t>
  </si>
  <si>
    <t>1682009112740089862</t>
  </si>
  <si>
    <t>1682008986998931458</t>
  </si>
  <si>
    <t>1682008868933476352</t>
  </si>
  <si>
    <t>1682008657733533696</t>
  </si>
  <si>
    <t>1682008532873359360</t>
  </si>
  <si>
    <t>1681996521103929345</t>
  </si>
  <si>
    <t>1681752690148225024</t>
  </si>
  <si>
    <t>1681752498124603392</t>
  </si>
  <si>
    <t>1681749799526100994</t>
  </si>
  <si>
    <t>1702301611714908529</t>
  </si>
  <si>
    <t>1702301210684871039</t>
  </si>
  <si>
    <t>1692237033471701335</t>
  </si>
  <si>
    <t>1692236835550798253</t>
  </si>
  <si>
    <t>1689009692805087233</t>
  </si>
  <si>
    <t>1688970631067406342</t>
  </si>
  <si>
    <t>1688970497751396352</t>
  </si>
  <si>
    <t>1684927279359488000</t>
  </si>
  <si>
    <t>1684927166490746880</t>
  </si>
  <si>
    <t>1684916306800259072</t>
  </si>
  <si>
    <t>1678731258803699714</t>
  </si>
  <si>
    <t>1678496385321037851</t>
  </si>
  <si>
    <t>1703843525056507980</t>
  </si>
  <si>
    <t>1693970986331156690</t>
  </si>
  <si>
    <t>1691809996076364122</t>
  </si>
  <si>
    <t>1691785741448237527</t>
  </si>
  <si>
    <t>1691785305383161924</t>
  </si>
  <si>
    <t>1691779597925233099</t>
  </si>
  <si>
    <t>1691773019964813680</t>
  </si>
  <si>
    <t>1688534657539710976</t>
  </si>
  <si>
    <t>1688534510365753344</t>
  </si>
  <si>
    <t>1688519578287058944</t>
  </si>
  <si>
    <t>1688519425496961024</t>
  </si>
  <si>
    <t>1681660038828503040</t>
  </si>
  <si>
    <t>1681654293395390464</t>
  </si>
  <si>
    <t>1681646643119104000</t>
  </si>
  <si>
    <t>1681639896329379840</t>
  </si>
  <si>
    <t>1681639797390036993</t>
  </si>
  <si>
    <t>1681633578013151233</t>
  </si>
  <si>
    <t>1681633445687050240</t>
  </si>
  <si>
    <t>1703766306124685535</t>
  </si>
  <si>
    <t>1691194693411811328</t>
  </si>
  <si>
    <t>1691194393728847874</t>
  </si>
  <si>
    <t>1691194283884216325</t>
  </si>
  <si>
    <t>1683931059677696001</t>
  </si>
  <si>
    <t>1683930874788581381</t>
  </si>
  <si>
    <t>1683930758782545921</t>
  </si>
  <si>
    <t>1703872951206994218</t>
  </si>
  <si>
    <t>1687471210160910337</t>
  </si>
  <si>
    <t>1687470994313637889</t>
  </si>
  <si>
    <t>1687448865442496512</t>
  </si>
  <si>
    <t>1687448763453898752</t>
  </si>
  <si>
    <t>1687448644599906304</t>
  </si>
  <si>
    <t>1687448523912998912</t>
  </si>
  <si>
    <t>1687438247159353344</t>
  </si>
  <si>
    <t>1687423213536460800</t>
  </si>
  <si>
    <t>1681029775555526656</t>
  </si>
  <si>
    <t>1681025252564901893</t>
  </si>
  <si>
    <t>1681018212887015427</t>
  </si>
  <si>
    <t>1681012191560974337</t>
  </si>
  <si>
    <t>1704119254214136167</t>
  </si>
  <si>
    <t>1704119027444920654</t>
  </si>
  <si>
    <t>1703766504548807130</t>
  </si>
  <si>
    <t>1688929949896544257</t>
  </si>
  <si>
    <t>1688901500976701440</t>
  </si>
  <si>
    <t>1688887688089534465</t>
  </si>
  <si>
    <t>1688887502361231360</t>
  </si>
  <si>
    <t>1688887490097143809</t>
  </si>
  <si>
    <t>1688887229937008640</t>
  </si>
  <si>
    <t>1688887093743771649</t>
  </si>
  <si>
    <t>1688886921919860736</t>
  </si>
  <si>
    <t>1682119643903717386</t>
  </si>
  <si>
    <t>1682119553801756675</t>
  </si>
  <si>
    <t>1682119548256788482</t>
  </si>
  <si>
    <t>1682119455390695424</t>
  </si>
  <si>
    <t>1682092961096409092</t>
  </si>
  <si>
    <t>1682092810810302465</t>
  </si>
  <si>
    <t>1682092662478761984</t>
  </si>
  <si>
    <t>1682069001860534272</t>
  </si>
  <si>
    <t>1682068003138011136</t>
  </si>
  <si>
    <t>1682039503001878528</t>
  </si>
  <si>
    <t>1682039280687001600</t>
  </si>
  <si>
    <t>1682039166341873665</t>
  </si>
  <si>
    <t>1705205254285844553</t>
  </si>
  <si>
    <t>1705204985678426598</t>
  </si>
  <si>
    <t>1701223072387244323</t>
  </si>
  <si>
    <t>1701222910453592239</t>
  </si>
  <si>
    <t>1686827652420653057</t>
  </si>
  <si>
    <t>1686810677027946518</t>
  </si>
  <si>
    <t>1686810501865422861</t>
  </si>
  <si>
    <t>1686752767719673857</t>
  </si>
  <si>
    <t>1686736569665814528</t>
  </si>
  <si>
    <t>1686735574772695040</t>
  </si>
  <si>
    <t>1686735103852994561</t>
  </si>
  <si>
    <t>1704971079217713590</t>
  </si>
  <si>
    <t>1704850615703056462</t>
  </si>
  <si>
    <t>1704850389592383650</t>
  </si>
  <si>
    <t>1704611657480130909</t>
  </si>
  <si>
    <t>1704600641509687639</t>
  </si>
  <si>
    <t>1705322411975917605</t>
  </si>
  <si>
    <t>1704235975352733851</t>
  </si>
  <si>
    <t>1701331905923227757</t>
  </si>
  <si>
    <t>1701331544051171601</t>
  </si>
  <si>
    <t>1691912298766504000</t>
  </si>
  <si>
    <t>1684244239478140944</t>
  </si>
  <si>
    <t>1684244127804805120</t>
  </si>
  <si>
    <t>1684243988377743381</t>
  </si>
  <si>
    <t>1684243773721546752</t>
  </si>
  <si>
    <t>1684215417387069443</t>
  </si>
  <si>
    <t>1684210005849899008</t>
  </si>
  <si>
    <t>1684209783694303238</t>
  </si>
  <si>
    <t>1684209515611279362</t>
  </si>
  <si>
    <t>1706320339926446271</t>
  </si>
  <si>
    <t>1704484097668644902</t>
  </si>
  <si>
    <t>1704483305674981801</t>
  </si>
  <si>
    <t>1704483048224354660</t>
  </si>
  <si>
    <t>1695082557912531236</t>
  </si>
  <si>
    <t>1695080285677723974</t>
  </si>
  <si>
    <t>1695078734884229352</t>
  </si>
  <si>
    <t>1695078099354837245</t>
  </si>
  <si>
    <t>1695040968058171817</t>
  </si>
  <si>
    <t>1695040645981773991</t>
  </si>
  <si>
    <t>1678805042009108480</t>
  </si>
  <si>
    <t>1678804866234298368</t>
  </si>
  <si>
    <t>1678771535778283522</t>
  </si>
  <si>
    <t>1678770489043603458</t>
  </si>
  <si>
    <t>1678743870320803840</t>
  </si>
  <si>
    <t>1678738090251243521</t>
  </si>
  <si>
    <t>1678737781848252416</t>
  </si>
  <si>
    <t>1678737278548443138</t>
  </si>
  <si>
    <t>1706402208319750334</t>
  </si>
  <si>
    <t>1702003198599250262</t>
  </si>
  <si>
    <t>1693625204956598373</t>
  </si>
  <si>
    <t>1693623258577359074</t>
  </si>
  <si>
    <t>1693606723108376882</t>
  </si>
  <si>
    <t>1693606567881458102</t>
  </si>
  <si>
    <t>1679917115762176000</t>
  </si>
  <si>
    <t>1679898425263894544</t>
  </si>
  <si>
    <t>1679852669630906368</t>
  </si>
  <si>
    <t>1679833906575560705</t>
  </si>
  <si>
    <t>1679833549166223361</t>
  </si>
  <si>
    <t>1679833129991716866</t>
  </si>
  <si>
    <t>1679832162109882369</t>
  </si>
  <si>
    <t>1679820334403395584</t>
  </si>
  <si>
    <t>1679817646315896834</t>
  </si>
  <si>
    <t>1706412033304842330</t>
  </si>
  <si>
    <t>1694752298121982452</t>
  </si>
  <si>
    <t>1694751012366491959</t>
  </si>
  <si>
    <t>1694747654817738958</t>
  </si>
  <si>
    <t>1694700421284081825</t>
  </si>
  <si>
    <t>1694700241717436425</t>
  </si>
  <si>
    <t>1694700023445946781</t>
  </si>
  <si>
    <t>1694699426655174770</t>
  </si>
  <si>
    <t>1694699227157340523</t>
  </si>
  <si>
    <t>1694697060199506382</t>
  </si>
  <si>
    <t>1694692292865503562</t>
  </si>
  <si>
    <t>1694690906928988526</t>
  </si>
  <si>
    <t>1687193917052104707</t>
  </si>
  <si>
    <t>1687190476376395777</t>
  </si>
  <si>
    <t>1687174053218353153</t>
  </si>
  <si>
    <t>1680981985617952768</t>
  </si>
  <si>
    <t>1680936372855603201</t>
  </si>
  <si>
    <t>1680933359181000710</t>
  </si>
  <si>
    <t>1680916372916666368</t>
  </si>
  <si>
    <t>1680915981646934017</t>
  </si>
  <si>
    <t>1680907424125861888</t>
  </si>
  <si>
    <t>1680907232869793792</t>
  </si>
  <si>
    <t>1685985819578810368</t>
  </si>
  <si>
    <t>1703752455412953518</t>
  </si>
  <si>
    <t>1695062341589577774</t>
  </si>
  <si>
    <t>1705914814092984537</t>
  </si>
  <si>
    <t>1699769249282044086</t>
  </si>
  <si>
    <t>1699595868662301109</t>
  </si>
  <si>
    <t>1700663725802361153</t>
  </si>
  <si>
    <t>1701301514965234029</t>
  </si>
  <si>
    <t>1701576322332377597</t>
  </si>
  <si>
    <t>1700132760898191747</t>
  </si>
  <si>
    <t>1706650230987309365</t>
  </si>
  <si>
    <t>1707373991655043175</t>
  </si>
  <si>
    <t>1681003327985778689</t>
  </si>
  <si>
    <t>1701623470696566919</t>
  </si>
  <si>
    <t>1706410749273260071</t>
  </si>
  <si>
    <t>1685005879664431110</t>
  </si>
  <si>
    <t>1680813028181172224</t>
  </si>
  <si>
    <t>1684990839888457732</t>
  </si>
  <si>
    <t>1691173225126895616</t>
  </si>
  <si>
    <t>1685072249085165569</t>
  </si>
  <si>
    <t>1689942290104561665</t>
  </si>
  <si>
    <t>1689892161095962624</t>
  </si>
  <si>
    <t>1684379575571079168</t>
  </si>
  <si>
    <t>1679939390783537152</t>
  </si>
  <si>
    <t>1693696567637680305</t>
  </si>
  <si>
    <t>1696502624890052917</t>
  </si>
  <si>
    <t>1699514683529527564</t>
  </si>
  <si>
    <t>1702037321707565333</t>
  </si>
  <si>
    <t>1706386153513836565</t>
  </si>
  <si>
    <t>1692234826697367668</t>
  </si>
  <si>
    <t>1678773052207955976</t>
  </si>
  <si>
    <t>1689660854772416512</t>
  </si>
  <si>
    <t>1682023199742259201</t>
  </si>
  <si>
    <t>1682017318178529280</t>
  </si>
  <si>
    <t>1681286547641884673</t>
  </si>
  <si>
    <t>1683561429880782849</t>
  </si>
  <si>
    <t>1679433917848338433</t>
  </si>
  <si>
    <t>1682007696487186432</t>
  </si>
  <si>
    <t>1683529031054966796</t>
  </si>
  <si>
    <t>1686381072605704192</t>
  </si>
  <si>
    <t>1684188154457214977</t>
  </si>
  <si>
    <t>1692162437858926868</t>
  </si>
  <si>
    <t>1687318423154601984</t>
  </si>
  <si>
    <t>1678717769208983553</t>
  </si>
  <si>
    <t>1706401077233332675</t>
  </si>
  <si>
    <t>1687161070987702272</t>
  </si>
  <si>
    <t>1683827736781918210</t>
  </si>
  <si>
    <t>1681977316501512193</t>
  </si>
  <si>
    <t>1682140276201070594</t>
  </si>
  <si>
    <t>1691833729423958363</t>
  </si>
  <si>
    <t>1686854458209185792</t>
  </si>
  <si>
    <t>1687186516672393216</t>
  </si>
  <si>
    <t>1684660643557720064</t>
  </si>
  <si>
    <t>1691177291504644097</t>
  </si>
  <si>
    <t>1693701683400835280</t>
  </si>
  <si>
    <t>1694444379765669953</t>
  </si>
  <si>
    <t>1696274885230702875</t>
  </si>
  <si>
    <t>1701347547783086528</t>
  </si>
  <si>
    <t>1691914515045364149</t>
  </si>
  <si>
    <t>1699528264878874990</t>
  </si>
  <si>
    <t>1698792367828897914</t>
  </si>
  <si>
    <t>1678822910058692608</t>
  </si>
  <si>
    <t>1678781509401210880</t>
  </si>
  <si>
    <t>1678780088454885380</t>
  </si>
  <si>
    <t>1678773674147717120</t>
  </si>
  <si>
    <t>1704345189819797531</t>
  </si>
  <si>
    <t>1702743580744249344</t>
  </si>
  <si>
    <t>1685404760294252545</t>
  </si>
  <si>
    <t>1679183117993508878</t>
  </si>
  <si>
    <t>1686399384429211648</t>
  </si>
  <si>
    <t>1696250518509682830</t>
  </si>
  <si>
    <t>1699491842608242756</t>
  </si>
  <si>
    <t>1679924683234263056</t>
  </si>
  <si>
    <t>1701234460681785345</t>
  </si>
  <si>
    <t>1701680597763064211</t>
  </si>
  <si>
    <t>1703855770448601446</t>
  </si>
  <si>
    <t>1704577341739999420</t>
  </si>
  <si>
    <t>1694740451264196916</t>
  </si>
  <si>
    <t>1687558867243122688</t>
  </si>
  <si>
    <t>1679855093070413829</t>
  </si>
  <si>
    <t>1583486340196286464</t>
  </si>
  <si>
    <t>1683949118694072320</t>
  </si>
  <si>
    <t>1685990372164440064</t>
  </si>
  <si>
    <t>1691209682965123072</t>
  </si>
  <si>
    <t>1683182097354072065</t>
  </si>
  <si>
    <t>1683426709691834370</t>
  </si>
  <si>
    <t>1683442177119059969</t>
  </si>
  <si>
    <t>1683457587772026881</t>
  </si>
  <si>
    <t>1683469288894611457</t>
  </si>
  <si>
    <t>1704589417816404165</t>
  </si>
  <si>
    <t>1680975906985107456</t>
  </si>
  <si>
    <t>1703863594494918958</t>
  </si>
  <si>
    <t>1678777256725090309</t>
  </si>
  <si>
    <t>1678787090295693313</t>
  </si>
  <si>
    <t>1680037779563061249</t>
  </si>
  <si>
    <t>1680037745366900736</t>
  </si>
  <si>
    <t>1680037705764274178</t>
  </si>
  <si>
    <t>1680037671421222913</t>
  </si>
  <si>
    <t>1679256725332037632</t>
  </si>
  <si>
    <t>1679256687067402242</t>
  </si>
  <si>
    <t>1681438267567230979</t>
  </si>
  <si>
    <t>1681435290924208129</t>
  </si>
  <si>
    <t>1681435256459608065</t>
  </si>
  <si>
    <t>1681435226386440193</t>
  </si>
  <si>
    <t>1681435187245207552</t>
  </si>
  <si>
    <t>1681435147327926275</t>
  </si>
  <si>
    <t>1679097412239892480</t>
  </si>
  <si>
    <t>1679097377066549249</t>
  </si>
  <si>
    <t>1679097341851185153</t>
  </si>
  <si>
    <t>1685260097956847617</t>
  </si>
  <si>
    <t>1687407132122210304</t>
  </si>
  <si>
    <t>1687407088778297344</t>
  </si>
  <si>
    <t>1687407051109257216</t>
  </si>
  <si>
    <t>1686553257093611520</t>
  </si>
  <si>
    <t>1687834258470232064</t>
  </si>
  <si>
    <t>1702350244489339113</t>
  </si>
  <si>
    <t>1703175077213208878</t>
  </si>
  <si>
    <t>1678689406008401921</t>
  </si>
  <si>
    <t>1678470559405842452</t>
  </si>
  <si>
    <t>1691504072602644480</t>
  </si>
  <si>
    <t>1704307009011822638</t>
  </si>
  <si>
    <t>1697659415699046790</t>
  </si>
  <si>
    <t>1683086686568292354</t>
  </si>
  <si>
    <t>1683441992267595777</t>
  </si>
  <si>
    <t>1685981842409693184</t>
  </si>
  <si>
    <t>1685617971509485570</t>
  </si>
  <si>
    <t>1690726745928818688</t>
  </si>
  <si>
    <t>1690354017870688256</t>
  </si>
  <si>
    <t>1687842379280117760</t>
  </si>
  <si>
    <t>1691072297468071936</t>
  </si>
  <si>
    <t>1691423087386869760</t>
  </si>
  <si>
    <t>1690328877053161472</t>
  </si>
  <si>
    <t>1695418727972364493</t>
  </si>
  <si>
    <t>1696183478218371082</t>
  </si>
  <si>
    <t>1700485948675330274</t>
  </si>
  <si>
    <t>1699761648729281011</t>
  </si>
  <si>
    <t>1688518276526022656</t>
  </si>
  <si>
    <t>1703736236169470375</t>
  </si>
  <si>
    <t>1693591541716000891</t>
  </si>
  <si>
    <t>1702808845716689061</t>
  </si>
  <si>
    <t>1705338004087210347</t>
  </si>
  <si>
    <t>1697944974157926542</t>
  </si>
  <si>
    <t>1705702452694016101</t>
  </si>
  <si>
    <t>1698662874229399784</t>
  </si>
  <si>
    <t>1680910201497481216</t>
  </si>
  <si>
    <t>1706279989056770307</t>
  </si>
  <si>
    <t>1701206022499479872</t>
  </si>
  <si>
    <t>1697299077010977134</t>
  </si>
  <si>
    <t>1690781404181807105</t>
  </si>
  <si>
    <t>1693259446359585251</t>
  </si>
  <si>
    <t>1704812271631769898</t>
  </si>
  <si>
    <t>1700548126946308411</t>
  </si>
  <si>
    <t>1683616242454740992</t>
  </si>
  <si>
    <t>1680318741366579200</t>
  </si>
  <si>
    <t>1686841060327059456</t>
  </si>
  <si>
    <t>1692959410597826801</t>
  </si>
  <si>
    <t>1692703808143368500</t>
  </si>
  <si>
    <t>1693798081056112873</t>
  </si>
  <si>
    <t>1688709819807494144</t>
  </si>
  <si>
    <t>1687146784072638465</t>
  </si>
  <si>
    <t>1687589671210037248</t>
  </si>
  <si>
    <t>1702291212474929519</t>
  </si>
  <si>
    <t>1692227171635372204</t>
  </si>
  <si>
    <t>1694755672158593405</t>
  </si>
  <si>
    <t>1695138082012491792</t>
  </si>
  <si>
    <t>1681906500187435008</t>
  </si>
  <si>
    <t>1699118590580904428</t>
  </si>
  <si>
    <t>1683544580434657281</t>
  </si>
  <si>
    <t>1693875955058528517</t>
  </si>
  <si>
    <t>1683902323230113801</t>
  </si>
  <si>
    <t>1704738298327908825</t>
  </si>
  <si>
    <t>1686789854263209987</t>
  </si>
  <si>
    <t>1706727440599728403</t>
  </si>
  <si>
    <t>1706364411458257321</t>
  </si>
  <si>
    <t>1704083421675352410</t>
  </si>
  <si>
    <t>1698806176719196358</t>
  </si>
  <si>
    <t>1690789561599717376</t>
  </si>
  <si>
    <t>1684237139481968640</t>
  </si>
  <si>
    <t>1698665940462838193</t>
  </si>
  <si>
    <t>1695056882551947291</t>
  </si>
  <si>
    <t>1681590233861586944</t>
  </si>
  <si>
    <t>1678574399954272257</t>
  </si>
  <si>
    <t>1678567421873905665</t>
  </si>
  <si>
    <t>1688850806513053696</t>
  </si>
  <si>
    <t>1691757333204857108</t>
  </si>
  <si>
    <t>1688496511850524673</t>
  </si>
  <si>
    <t>1692110970569539768</t>
  </si>
  <si>
    <t>1694295691948957994</t>
  </si>
  <si>
    <t>1275534875550978060</t>
  </si>
  <si>
    <t>39934516</t>
  </si>
  <si>
    <t>89583768</t>
  </si>
  <si>
    <t>1442020231254212610</t>
  </si>
  <si>
    <t>1627649837188390918</t>
  </si>
  <si>
    <t>74243131</t>
  </si>
  <si>
    <t>882372087696039939</t>
  </si>
  <si>
    <t>1603881513661173762</t>
  </si>
  <si>
    <t>919526072</t>
  </si>
  <si>
    <t>190292183</t>
  </si>
  <si>
    <t>1483647062</t>
  </si>
  <si>
    <t>86519869</t>
  </si>
  <si>
    <t>272512616</t>
  </si>
  <si>
    <t>1610991165196713986</t>
  </si>
  <si>
    <t>1355007033771220992</t>
  </si>
  <si>
    <t>125870611</t>
  </si>
  <si>
    <t>1070858287447449601</t>
  </si>
  <si>
    <t>3345800861</t>
  </si>
  <si>
    <t>1658909684856913922</t>
  </si>
  <si>
    <t>807200496557637632</t>
  </si>
  <si>
    <t>1240329065292279809</t>
  </si>
  <si>
    <t>767763810409181188</t>
  </si>
  <si>
    <t>1647893519850426369</t>
  </si>
  <si>
    <t>1395541134932332553</t>
  </si>
  <si>
    <t>1458078346730954754</t>
  </si>
  <si>
    <t>3687841756</t>
  </si>
  <si>
    <t>1293147322357108737</t>
  </si>
  <si>
    <t>1628090547440058380</t>
  </si>
  <si>
    <t>149818036</t>
  </si>
  <si>
    <t>1657711960123744257</t>
  </si>
  <si>
    <t>1191819222550294528</t>
  </si>
  <si>
    <t>276983166</t>
  </si>
  <si>
    <t>59811558</t>
  </si>
  <si>
    <t>209578308</t>
  </si>
  <si>
    <t>1005497319561859073</t>
  </si>
  <si>
    <t>1474513441444532226</t>
  </si>
  <si>
    <t>1539666480794685441</t>
  </si>
  <si>
    <t>209780362</t>
  </si>
  <si>
    <t>1217496750627397632</t>
  </si>
  <si>
    <t>1227589995411771392</t>
  </si>
  <si>
    <t>1463818218905157645</t>
  </si>
  <si>
    <t>1680681111800692741</t>
  </si>
  <si>
    <t>910992556036706304</t>
  </si>
  <si>
    <t>1645434313104662528</t>
  </si>
  <si>
    <t>1662912374934839296</t>
  </si>
  <si>
    <t>2716825429</t>
  </si>
  <si>
    <t>1451336811700228099</t>
  </si>
  <si>
    <t>1391801917634908162</t>
  </si>
  <si>
    <t>1348986365824917510</t>
  </si>
  <si>
    <t>1120423731199975425</t>
  </si>
  <si>
    <t>933749604587311105</t>
  </si>
  <si>
    <t>1590344906140254209</t>
  </si>
  <si>
    <t>890731102205337604</t>
  </si>
  <si>
    <t>964460408</t>
  </si>
  <si>
    <t>1692996994598350848</t>
  </si>
  <si>
    <t>16886866</t>
  </si>
  <si>
    <t>1694508495469494272</t>
  </si>
  <si>
    <t>349401590</t>
  </si>
  <si>
    <t>1143909066600849409</t>
  </si>
  <si>
    <t>1598023405009309709</t>
  </si>
  <si>
    <t>1423257922583371780</t>
  </si>
  <si>
    <t>1265787959472775169</t>
  </si>
  <si>
    <t>785473391784501252</t>
  </si>
  <si>
    <t>748960584</t>
  </si>
  <si>
    <t>1111168531549306881</t>
  </si>
  <si>
    <t>52387663</t>
  </si>
  <si>
    <t>1686086283305660417</t>
  </si>
  <si>
    <t>1236003131244392448</t>
  </si>
  <si>
    <t>1661542217268305920</t>
  </si>
  <si>
    <t>1011944444747243520</t>
  </si>
  <si>
    <t>1254024258117828608</t>
  </si>
  <si>
    <t>949037353129177090</t>
  </si>
  <si>
    <t/>
  </si>
  <si>
    <t>1701623472617631929</t>
  </si>
  <si>
    <t>1685005881925136386</t>
  </si>
  <si>
    <t>1680813042982961153</t>
  </si>
  <si>
    <t>1684990858439864331</t>
  </si>
  <si>
    <t>1685072255066185729</t>
  </si>
  <si>
    <t>1684379589450006528</t>
  </si>
  <si>
    <t>1696502629633781826</t>
  </si>
  <si>
    <t>1678773054770642946</t>
  </si>
  <si>
    <t>1689660902927114241</t>
  </si>
  <si>
    <t>1679465390177415168</t>
  </si>
  <si>
    <t>1682023202695057408</t>
  </si>
  <si>
    <t>1682017331688423424</t>
  </si>
  <si>
    <t>1681286601954009088</t>
  </si>
  <si>
    <t>1683561443067584515</t>
  </si>
  <si>
    <t>1679433926496976899</t>
  </si>
  <si>
    <t>1683529052433334277</t>
  </si>
  <si>
    <t>1686381083947126786</t>
  </si>
  <si>
    <t>1684901311152558080</t>
  </si>
  <si>
    <t>1678717771989893121</t>
  </si>
  <si>
    <t>1706401083558367403</t>
  </si>
  <si>
    <t>1681977709205807106</t>
  </si>
  <si>
    <t>1682140687486144514</t>
  </si>
  <si>
    <t>1686854564861870081</t>
  </si>
  <si>
    <t>1687186857543512068</t>
  </si>
  <si>
    <t>1684661015957360642</t>
  </si>
  <si>
    <t>1691177378851016705</t>
  </si>
  <si>
    <t>1693701905518674418</t>
  </si>
  <si>
    <t>1694444742979760469</t>
  </si>
  <si>
    <t>1696275578700156974</t>
  </si>
  <si>
    <t>1701347856240578869</t>
  </si>
  <si>
    <t>1691914698386751651</t>
  </si>
  <si>
    <t>1699528508337225809</t>
  </si>
  <si>
    <t>1698794501957980571</t>
  </si>
  <si>
    <t>1678828162698866703</t>
  </si>
  <si>
    <t>1678774163027419137</t>
  </si>
  <si>
    <t>1704348917746577522</t>
  </si>
  <si>
    <t>1685404770083962881</t>
  </si>
  <si>
    <t>1704577344046866847</t>
  </si>
  <si>
    <t>1687558870455971840</t>
  </si>
  <si>
    <t>1679855099709992962</t>
  </si>
  <si>
    <t>1683949136561709057</t>
  </si>
  <si>
    <t>1685990380607614976</t>
  </si>
  <si>
    <t>1691209692322660352</t>
  </si>
  <si>
    <t>1704589423797526912</t>
  </si>
  <si>
    <t>1678777884931145728</t>
  </si>
  <si>
    <t>1678787327286468608</t>
  </si>
  <si>
    <t>1680037813436182535</t>
  </si>
  <si>
    <t>1680037769765171200</t>
  </si>
  <si>
    <t>1680037735745060867</t>
  </si>
  <si>
    <t>1680037696100548608</t>
  </si>
  <si>
    <t>1679256757842108416</t>
  </si>
  <si>
    <t>1679256714179403776</t>
  </si>
  <si>
    <t>1681438293269835777</t>
  </si>
  <si>
    <t>1681435324969263104</t>
  </si>
  <si>
    <t>1681435280811622406</t>
  </si>
  <si>
    <t>1681435246649114624</t>
  </si>
  <si>
    <t>1681435216588439554</t>
  </si>
  <si>
    <t>1681435177157795842</t>
  </si>
  <si>
    <t>1679097437397430273</t>
  </si>
  <si>
    <t>1679097402282655747</t>
  </si>
  <si>
    <t>1679097366928916482</t>
  </si>
  <si>
    <t>1685260138041798657</t>
  </si>
  <si>
    <t>1687407153571868672</t>
  </si>
  <si>
    <t>1687407120910868480</t>
  </si>
  <si>
    <t>1687407078036721664</t>
  </si>
  <si>
    <t>1686553283429613568</t>
  </si>
  <si>
    <t>1687834293341769729</t>
  </si>
  <si>
    <t>1703176094667403264</t>
  </si>
  <si>
    <t>1678689417706328065</t>
  </si>
  <si>
    <t>1678470562765479939</t>
  </si>
  <si>
    <t>1691504492309827584</t>
  </si>
  <si>
    <t>1704307015760404714</t>
  </si>
  <si>
    <t>1697659418786103412</t>
  </si>
  <si>
    <t>1683087521738027008</t>
  </si>
  <si>
    <t>1683442546180063232</t>
  </si>
  <si>
    <t>1685982731753168896</t>
  </si>
  <si>
    <t>1685618836983197696</t>
  </si>
  <si>
    <t>1690727472441008128</t>
  </si>
  <si>
    <t>1690354671691382784</t>
  </si>
  <si>
    <t>1687843342296444928</t>
  </si>
  <si>
    <t>1691072989146615809</t>
  </si>
  <si>
    <t>1691423296753893376</t>
  </si>
  <si>
    <t>1690329695630327808</t>
  </si>
  <si>
    <t>1695419763999080750</t>
  </si>
  <si>
    <t>1696184243729096881</t>
  </si>
  <si>
    <t>1700486816216866904</t>
  </si>
  <si>
    <t>1699762421445829067</t>
  </si>
  <si>
    <t>1688519149033488384</t>
  </si>
  <si>
    <t>1703737323060379732</t>
  </si>
  <si>
    <t>1693592710869893348</t>
  </si>
  <si>
    <t>1702809674129592481</t>
  </si>
  <si>
    <t>1705339265012453814</t>
  </si>
  <si>
    <t>1697945867213271421</t>
  </si>
  <si>
    <t>1705703223217037766</t>
  </si>
  <si>
    <t>1698663733076107707</t>
  </si>
  <si>
    <t>1680911593352167424</t>
  </si>
  <si>
    <t>1706280573201678411</t>
  </si>
  <si>
    <t>1701206819002089916</t>
  </si>
  <si>
    <t>1691048828214943744</t>
  </si>
  <si>
    <t>1693259459131290061</t>
  </si>
  <si>
    <t>1704812279567360294</t>
  </si>
  <si>
    <t>1683616247059980288</t>
  </si>
  <si>
    <t>1680318744298389506</t>
  </si>
  <si>
    <t>1686841061929349120</t>
  </si>
  <si>
    <t>1687941531309608960</t>
  </si>
  <si>
    <t>1688709823175569408</t>
  </si>
  <si>
    <t>1687146792842858496</t>
  </si>
  <si>
    <t>1687589678055047168</t>
  </si>
  <si>
    <t>1688850825118883840</t>
  </si>
  <si>
    <t>1691757350749688314</t>
  </si>
  <si>
    <t>1688496530120962048</t>
  </si>
  <si>
    <t>1692111000747589940</t>
  </si>
  <si>
    <t>1694295726728126566</t>
  </si>
  <si>
    <t>787025129729646592</t>
  </si>
  <si>
    <t>1480492619541139457</t>
  </si>
  <si>
    <t>1585309453754269696</t>
  </si>
  <si>
    <t>1632137726865833984</t>
  </si>
  <si>
    <t>1632140804083810305</t>
  </si>
  <si>
    <t>1075098443599753218</t>
  </si>
  <si>
    <t>1521520667727904768</t>
  </si>
  <si>
    <t>1668391245951934465</t>
  </si>
  <si>
    <t>891820062839115777</t>
  </si>
  <si>
    <t>1089168250854875136</t>
  </si>
  <si>
    <t>1652089388044517377</t>
  </si>
  <si>
    <t>1417160959483858945</t>
  </si>
  <si>
    <t>1395145056215052291</t>
  </si>
  <si>
    <t>1450487537517146117</t>
  </si>
  <si>
    <t>1618952497539809280</t>
  </si>
  <si>
    <t>771821366450524160</t>
  </si>
  <si>
    <t>1632126657732530177</t>
  </si>
  <si>
    <t>1684344765888749569</t>
  </si>
  <si>
    <t>1676011361527029762</t>
  </si>
  <si>
    <t>1431972880980627458</t>
  </si>
  <si>
    <t>1158436811661856768</t>
  </si>
  <si>
    <t>1632129955227115523</t>
  </si>
  <si>
    <t>972670786493403136</t>
  </si>
  <si>
    <t>1675130387658407938</t>
  </si>
  <si>
    <t>1271149730169577474</t>
  </si>
  <si>
    <t>1692146622942052352</t>
  </si>
  <si>
    <t>1196554258688225280</t>
  </si>
  <si>
    <t>1321254505414053888</t>
  </si>
  <si>
    <t>1404696968547368962</t>
  </si>
  <si>
    <t>1461836185236647946</t>
  </si>
  <si>
    <t>1662609376874577920</t>
  </si>
  <si>
    <t>1602972186045779968</t>
  </si>
  <si>
    <t>1584375410896273409</t>
  </si>
  <si>
    <t>914132228057305088</t>
  </si>
  <si>
    <t>1259522744770797568</t>
  </si>
  <si>
    <t>1679873810810523649</t>
  </si>
  <si>
    <t>1296108298614317056</t>
  </si>
  <si>
    <t>1632131146317467648</t>
  </si>
  <si>
    <t>1632130007450656769</t>
  </si>
  <si>
    <t>1594614398051549185</t>
  </si>
  <si>
    <t>1047861262925934592</t>
  </si>
  <si>
    <t>1031548103416049675</t>
  </si>
  <si>
    <t>1699431844846956545</t>
  </si>
  <si>
    <t>1504479925159424011</t>
  </si>
  <si>
    <t>1552713671775846403</t>
  </si>
  <si>
    <t>1478351951867912195</t>
  </si>
  <si>
    <t>1290487068112457731</t>
  </si>
  <si>
    <t>1663630088372383744</t>
  </si>
  <si>
    <t>1697638504635752448</t>
  </si>
  <si>
    <t>1599559668468097025</t>
  </si>
  <si>
    <t>966418582421811200</t>
  </si>
  <si>
    <t>1621463825730965505</t>
  </si>
  <si>
    <t>1541163811247460353</t>
  </si>
  <si>
    <t>1460311524405301255</t>
  </si>
  <si>
    <t>1632140004695879681</t>
  </si>
  <si>
    <t>1701016021984018432</t>
  </si>
  <si>
    <t>1612105648036012036</t>
  </si>
  <si>
    <t>753267606472232960</t>
  </si>
  <si>
    <t>1131976809204125696</t>
  </si>
  <si>
    <t>1681884997714575360</t>
  </si>
  <si>
    <t>1641557434945732608</t>
  </si>
  <si>
    <t>1619161540866850818</t>
  </si>
  <si>
    <t>1087210706322317312</t>
  </si>
  <si>
    <t>1700591432677879808</t>
  </si>
  <si>
    <t>1598483583974400001</t>
  </si>
  <si>
    <t>1608485501022965761</t>
  </si>
  <si>
    <t>1700243061266173953</t>
  </si>
  <si>
    <t>1116965535651127296</t>
  </si>
  <si>
    <t>1259602701626769409</t>
  </si>
  <si>
    <t>1491927522648412161</t>
  </si>
  <si>
    <t>758894510759747584</t>
  </si>
  <si>
    <t>1620851830811918340</t>
  </si>
  <si>
    <t>1233213986595917824</t>
  </si>
  <si>
    <t>887045533331845120</t>
  </si>
  <si>
    <t>1293067913453338625</t>
  </si>
  <si>
    <t>1655611270987407362</t>
  </si>
  <si>
    <t>1348317316665245696</t>
  </si>
  <si>
    <t>937839001754652673</t>
  </si>
  <si>
    <t>1632137562457513985</t>
  </si>
  <si>
    <t>1367537445529657353</t>
  </si>
  <si>
    <t>1632131089702453250</t>
  </si>
  <si>
    <t>1632118037196292101</t>
  </si>
  <si>
    <t>1030107447543955457</t>
  </si>
  <si>
    <t>1638575699861569538</t>
  </si>
  <si>
    <t>1631748852301660171</t>
  </si>
  <si>
    <t>1233057664831250438</t>
  </si>
  <si>
    <t>1651952241689985024</t>
  </si>
  <si>
    <t>1612808504179302401</t>
  </si>
  <si>
    <t>1108213223898185728</t>
  </si>
  <si>
    <t>1290681284201717763</t>
  </si>
  <si>
    <t>1636145829453914120</t>
  </si>
  <si>
    <t>1493433552196808704</t>
  </si>
  <si>
    <t>1335241908621291522</t>
  </si>
  <si>
    <t>1426573407450238978</t>
  </si>
  <si>
    <t>1456429251536859145</t>
  </si>
  <si>
    <t>1579909289572847617</t>
  </si>
  <si>
    <t>1247973201260564482</t>
  </si>
  <si>
    <t>760623139504136192</t>
  </si>
  <si>
    <t>735172839892885505</t>
  </si>
  <si>
    <t>1366792883454562305</t>
  </si>
  <si>
    <t>1599556488829222912</t>
  </si>
  <si>
    <t>1283875000110534659</t>
  </si>
  <si>
    <t>1669022978586157095</t>
  </si>
  <si>
    <t>775702982235160576</t>
  </si>
  <si>
    <t>1370375263356395524</t>
  </si>
  <si>
    <t>1561145503458418688</t>
  </si>
  <si>
    <t>1472507650470461440</t>
  </si>
  <si>
    <t>1608887400863776768</t>
  </si>
  <si>
    <t>1681333447221035018</t>
  </si>
  <si>
    <t>1677782811070038017</t>
  </si>
  <si>
    <t>1419135208754978817</t>
  </si>
  <si>
    <t>1533954985448427520</t>
  </si>
  <si>
    <t>1681890285880586242</t>
  </si>
  <si>
    <t>1648458596802510849</t>
  </si>
  <si>
    <t>1247510381167292416</t>
  </si>
  <si>
    <t>969816293225398272</t>
  </si>
  <si>
    <t>862319963633332224</t>
  </si>
  <si>
    <t>1588623984526073856</t>
  </si>
  <si>
    <t>1524451803831623680</t>
  </si>
  <si>
    <t>1632137954461384705</t>
  </si>
  <si>
    <t>1699086053892653056</t>
  </si>
  <si>
    <t>1222943466423975936</t>
  </si>
  <si>
    <t>1521385500258578432</t>
  </si>
  <si>
    <t>1632136807478448128</t>
  </si>
  <si>
    <t>1696975414185316352</t>
  </si>
  <si>
    <t>718235590752399360</t>
  </si>
  <si>
    <t>951978011955482624</t>
  </si>
  <si>
    <t>1632131581862346753</t>
  </si>
  <si>
    <t>1264759953174167553</t>
  </si>
  <si>
    <t>1319365933727682561</t>
  </si>
  <si>
    <t>1399573314012549126</t>
  </si>
  <si>
    <t>1247977522656133120</t>
  </si>
  <si>
    <t>1511078307353214976</t>
  </si>
  <si>
    <t>1405235710907535369</t>
  </si>
  <si>
    <t>1539301671116890114</t>
  </si>
  <si>
    <t>1554603394782089216</t>
  </si>
  <si>
    <t>1646282240031072256</t>
  </si>
  <si>
    <t>1571829260817408003</t>
  </si>
  <si>
    <t>1702688997745537024</t>
  </si>
  <si>
    <t>1617761523195076610</t>
  </si>
  <si>
    <t>757981760659591168</t>
  </si>
  <si>
    <t>1554890368008732675</t>
  </si>
  <si>
    <t>1655993374497701895</t>
  </si>
  <si>
    <t>1662255263951343617</t>
  </si>
  <si>
    <t>1667205049007710208</t>
  </si>
  <si>
    <t>1700550332437200896</t>
  </si>
  <si>
    <t>1396945719056023554</t>
  </si>
  <si>
    <t>1390444095118708738</t>
  </si>
  <si>
    <t>1682211078455869441</t>
  </si>
  <si>
    <t>1305913935758069760</t>
  </si>
  <si>
    <t>1635660146603958272</t>
  </si>
  <si>
    <t>1285988910145953794</t>
  </si>
  <si>
    <t>1609983543765090309</t>
  </si>
  <si>
    <t>1632136949560401920</t>
  </si>
  <si>
    <t>1116261908460519424</t>
  </si>
  <si>
    <t>1632140376231354369</t>
  </si>
  <si>
    <t>1381691391173128200</t>
  </si>
  <si>
    <t>1473038877153705987</t>
  </si>
  <si>
    <t>1425837326693924874</t>
  </si>
  <si>
    <t>1674445693207945219</t>
  </si>
  <si>
    <t>1041724956839698433</t>
  </si>
  <si>
    <t>1227028865287061509</t>
  </si>
  <si>
    <t>1683694113613291520</t>
  </si>
  <si>
    <t>1550092327284252672</t>
  </si>
  <si>
    <t>1064202146290249728</t>
  </si>
  <si>
    <t>1632104516484055041</t>
  </si>
  <si>
    <t>1430665453488254979</t>
  </si>
  <si>
    <t>827133582607020032</t>
  </si>
  <si>
    <t>1346812127772889091</t>
  </si>
  <si>
    <t>1314256209688526848</t>
  </si>
  <si>
    <t>1450209251608211458</t>
  </si>
  <si>
    <t>1681486702659919872</t>
  </si>
  <si>
    <t>1632141373473439745</t>
  </si>
  <si>
    <t>825340319122280449</t>
  </si>
  <si>
    <t>1669169915293474816</t>
  </si>
  <si>
    <t>1642662868393906185</t>
  </si>
  <si>
    <t>1683907046750421002</t>
  </si>
  <si>
    <t>1262803844834222080</t>
  </si>
  <si>
    <t>1271889856604635137</t>
  </si>
  <si>
    <t>1632130607147892739</t>
  </si>
  <si>
    <t>1672236167167725568</t>
  </si>
  <si>
    <t>1511395606069227522</t>
  </si>
  <si>
    <t>843215121505816576</t>
  </si>
  <si>
    <t>1632094513564098560</t>
  </si>
  <si>
    <t>1361689201285210114</t>
  </si>
  <si>
    <t>1487190014295527429</t>
  </si>
  <si>
    <t>1632065895056179201</t>
  </si>
  <si>
    <t>1526566417419608065</t>
  </si>
  <si>
    <t>1701803326311190528</t>
  </si>
  <si>
    <t>1407028935360192517</t>
  </si>
  <si>
    <t>1385685363952324609</t>
  </si>
  <si>
    <t>1632132086286127104</t>
  </si>
  <si>
    <t>1632119020437774337</t>
  </si>
  <si>
    <t>1553162782413045760</t>
  </si>
  <si>
    <t>1409164610263977996</t>
  </si>
  <si>
    <t>1533825810183897088</t>
  </si>
  <si>
    <t>1374861289114189825</t>
  </si>
  <si>
    <t>908749896282443776</t>
  </si>
  <si>
    <t>701550165950390274</t>
  </si>
  <si>
    <t>1632137689288916992</t>
  </si>
  <si>
    <t>1578088612305960991</t>
  </si>
  <si>
    <t>973234331702513664</t>
  </si>
  <si>
    <t>1349010483781709834</t>
  </si>
  <si>
    <t>781678788325376000</t>
  </si>
  <si>
    <t>1623098958401732610</t>
  </si>
  <si>
    <t>1450443755174125569</t>
  </si>
  <si>
    <t>1704103002628366336</t>
  </si>
  <si>
    <t>1632102025197682688</t>
  </si>
  <si>
    <t>1165724407601537024</t>
  </si>
  <si>
    <t>1628179051981557760</t>
  </si>
  <si>
    <t>1286732861618479106</t>
  </si>
  <si>
    <t>1676573946269794307</t>
  </si>
  <si>
    <t>1403836738850729987</t>
  </si>
  <si>
    <t>1024749108505047041</t>
  </si>
  <si>
    <t>1684163484832129024</t>
  </si>
  <si>
    <t>1424094277668376576</t>
  </si>
  <si>
    <t>1673404024165376014</t>
  </si>
  <si>
    <t>1647722901829828608</t>
  </si>
  <si>
    <t>1440734861736624131</t>
  </si>
  <si>
    <t>1632129141205262337</t>
  </si>
  <si>
    <t>1580709355195965440</t>
  </si>
  <si>
    <t>1257362360626491394</t>
  </si>
  <si>
    <t>1477377770539859969</t>
  </si>
  <si>
    <t>1093929745669152768</t>
  </si>
  <si>
    <t>1688881329004290051</t>
  </si>
  <si>
    <t>773213670553817088</t>
  </si>
  <si>
    <t>1531077995200401411</t>
  </si>
  <si>
    <t>1159643447948693504</t>
  </si>
  <si>
    <t>1593299722797780992</t>
  </si>
  <si>
    <t>1519748713995980800</t>
  </si>
  <si>
    <t>1687485055998767104</t>
  </si>
  <si>
    <t>1399281329326395392</t>
  </si>
  <si>
    <t>1555988077482582020</t>
  </si>
  <si>
    <t>1520198320169406472</t>
  </si>
  <si>
    <t>1632119153485316098</t>
  </si>
  <si>
    <t>1593691763251757056</t>
  </si>
  <si>
    <t>1650106250640896001</t>
  </si>
  <si>
    <t>1466161897452023815</t>
  </si>
  <si>
    <t>1410012779285827592</t>
  </si>
  <si>
    <t>1665550175258005505</t>
  </si>
  <si>
    <t>1009554989277118464</t>
  </si>
  <si>
    <t>1632108857261723648</t>
  </si>
  <si>
    <t>1346759748188831747</t>
  </si>
  <si>
    <t>1586771038364385280</t>
  </si>
  <si>
    <t>927649148706459651</t>
  </si>
  <si>
    <t>984766382817595392</t>
  </si>
  <si>
    <t>1397927915556261891</t>
  </si>
  <si>
    <t>1694186447404695552</t>
  </si>
  <si>
    <t>1646228356583620608</t>
  </si>
  <si>
    <t>739800985917349888</t>
  </si>
  <si>
    <t>1640461577487777792</t>
  </si>
  <si>
    <t>1274441565256265737</t>
  </si>
  <si>
    <t>861522250696187905</t>
  </si>
  <si>
    <t>950864006247538688</t>
  </si>
  <si>
    <t>1155370223769477120</t>
  </si>
  <si>
    <t>1247601255259820039</t>
  </si>
  <si>
    <t>1583352905670672384</t>
  </si>
  <si>
    <t>1566091244920610818</t>
  </si>
  <si>
    <t>1669506370071060481</t>
  </si>
  <si>
    <t>1673758492736233478</t>
  </si>
  <si>
    <t>1388947140886597637</t>
  </si>
  <si>
    <t>1632129846708146177</t>
  </si>
  <si>
    <t>1516862093668061187</t>
  </si>
  <si>
    <t>1021187088480260096</t>
  </si>
  <si>
    <t>1638935071754207239</t>
  </si>
  <si>
    <t>1597185550838075392</t>
  </si>
  <si>
    <t>1482045691702743042</t>
  </si>
  <si>
    <t>1646902658253422595</t>
  </si>
  <si>
    <t>1368502856714698755</t>
  </si>
  <si>
    <t>1353741690868269057</t>
  </si>
  <si>
    <t>1405355455216603137</t>
  </si>
  <si>
    <t>746739697028894721</t>
  </si>
  <si>
    <t>1701989545263136768</t>
  </si>
  <si>
    <t>1430994486277156879</t>
  </si>
  <si>
    <t>1329388236519727105</t>
  </si>
  <si>
    <t>1463656089136734208</t>
  </si>
  <si>
    <t>1385911624083681280</t>
  </si>
  <si>
    <t>1682813257726193666</t>
  </si>
  <si>
    <t>1544385726086774786</t>
  </si>
  <si>
    <t>1663937282942828545</t>
  </si>
  <si>
    <t>1223429762187759621</t>
  </si>
  <si>
    <t>890343008352305153</t>
  </si>
  <si>
    <t>1275407666320465924</t>
  </si>
  <si>
    <t>1088806894892957696</t>
  </si>
  <si>
    <t>1453006887474040845</t>
  </si>
  <si>
    <t>866789192185106432</t>
  </si>
  <si>
    <t>1521213881993023489</t>
  </si>
  <si>
    <t>1253035854827786244</t>
  </si>
  <si>
    <t>1200071974199943169</t>
  </si>
  <si>
    <t>764049471151886336</t>
  </si>
  <si>
    <t>1055425848906522624</t>
  </si>
  <si>
    <t>1067453198653431808</t>
  </si>
  <si>
    <t>1538917583218409475</t>
  </si>
  <si>
    <t>1664280084226928641</t>
  </si>
  <si>
    <t>760868823956328448</t>
  </si>
  <si>
    <t>1573777877874655235</t>
  </si>
  <si>
    <t>1176494142710530054</t>
  </si>
  <si>
    <t>1632132186206871553</t>
  </si>
  <si>
    <t>1678425571288571904</t>
  </si>
  <si>
    <t>1343185244384583681</t>
  </si>
  <si>
    <t>1475509464757424133</t>
  </si>
  <si>
    <t>1632127258646151171</t>
  </si>
  <si>
    <t>foronibruno</t>
  </si>
  <si>
    <t>Name</t>
  </si>
  <si>
    <t>User ID</t>
  </si>
  <si>
    <t>Followers</t>
  </si>
  <si>
    <t>Followed</t>
  </si>
  <si>
    <t>Tweets</t>
  </si>
  <si>
    <t>Listed Count</t>
  </si>
  <si>
    <t>Favourites Count</t>
  </si>
  <si>
    <t>Media Count</t>
  </si>
  <si>
    <t>Verified</t>
  </si>
  <si>
    <t>Joined Twitter Date (UTC)</t>
  </si>
  <si>
    <t>Location</t>
  </si>
  <si>
    <t>Description</t>
  </si>
  <si>
    <t>URLs (Details)</t>
  </si>
  <si>
    <t>Expanded URLs (Details)</t>
  </si>
  <si>
    <t>Display URLs (Details)</t>
  </si>
  <si>
    <t>Description URLs (Details)</t>
  </si>
  <si>
    <t>Description Expanded URLs (Details)</t>
  </si>
  <si>
    <t>Description Display URLS (Details)</t>
  </si>
  <si>
    <t>Pinned Tweet ID</t>
  </si>
  <si>
    <t>URL</t>
  </si>
  <si>
    <t>Is Blue Verified</t>
  </si>
  <si>
    <t>You Are Followed By</t>
  </si>
  <si>
    <t>You Are Following</t>
  </si>
  <si>
    <t>Can DM</t>
  </si>
  <si>
    <t>Can Media Tag</t>
  </si>
  <si>
    <t>Default Profile</t>
  </si>
  <si>
    <t>Default Profile Image</t>
  </si>
  <si>
    <t>Has Custom Timelines</t>
  </si>
  <si>
    <t>Is Translator</t>
  </si>
  <si>
    <t>Profile Banner URL</t>
  </si>
  <si>
    <t>Profile Interstitial Type</t>
  </si>
  <si>
    <t>Translator Type</t>
  </si>
  <si>
    <t>Want Retweets</t>
  </si>
  <si>
    <t>Withheld</t>
  </si>
  <si>
    <t>Tweeted Search Term?</t>
  </si>
  <si>
    <t>Custom Menu Item Text</t>
  </si>
  <si>
    <t>Custom Menu Item Action</t>
  </si>
  <si>
    <t>Valor Investe</t>
  </si>
  <si>
    <t>Irineu Berezanski</t>
  </si>
  <si>
    <t>Guilherme Grochanke</t>
  </si>
  <si>
    <t>The Investor</t>
  </si>
  <si>
    <t>Daniel NFTStrategist</t>
  </si>
  <si>
    <t>Crypto ID®</t>
  </si>
  <si>
    <t>Jackson StockCraftsman</t>
  </si>
  <si>
    <t>Inteligencia Estratégica</t>
  </si>
  <si>
    <t>DANE Colombia</t>
  </si>
  <si>
    <t>Rangel Campos Machado</t>
  </si>
  <si>
    <t>flávio souza</t>
  </si>
  <si>
    <t>FinançaDescomplicada</t>
  </si>
  <si>
    <t>Leo Nonato | Trading</t>
  </si>
  <si>
    <t>Dalinus Trader</t>
  </si>
  <si>
    <t>VIUU</t>
  </si>
  <si>
    <t>Wagner Chavez</t>
  </si>
  <si>
    <t>SFA Investimentos</t>
  </si>
  <si>
    <t>Jhon Lima</t>
  </si>
  <si>
    <t>Torres 🇧🇷</t>
  </si>
  <si>
    <t>Jornal do Comércio</t>
  </si>
  <si>
    <t>AlertaEconomica</t>
  </si>
  <si>
    <t>Mercado Todo Dia</t>
  </si>
  <si>
    <t>Olivia Bulla 白维娅</t>
  </si>
  <si>
    <t>LinkedIn</t>
  </si>
  <si>
    <t>IMEF Oficial</t>
  </si>
  <si>
    <t>Viny Trader</t>
  </si>
  <si>
    <t>Noah DigitalDollar</t>
  </si>
  <si>
    <t>JornadaCapital</t>
  </si>
  <si>
    <t>R.Alves</t>
  </si>
  <si>
    <t>Jedi Mosqueteiro</t>
  </si>
  <si>
    <t>Ricardo Amorim</t>
  </si>
  <si>
    <t>PA Wealth</t>
  </si>
  <si>
    <t>CA Paras Behl</t>
  </si>
  <si>
    <t>Enric Jaimez | unespeculador.com</t>
  </si>
  <si>
    <t>Julio Sousa</t>
  </si>
  <si>
    <t>Aiden StockMaestro</t>
  </si>
  <si>
    <t>João Ricardo Costa Filho</t>
  </si>
  <si>
    <t>Marcia Camargo - Clínica Washington Amancio</t>
  </si>
  <si>
    <t>Sindicato dos Bancários de Umuarama e Região</t>
  </si>
  <si>
    <t>QG dos Sardinhas</t>
  </si>
  <si>
    <t>Carlos M Villa R</t>
  </si>
  <si>
    <t>Valora Analitik</t>
  </si>
  <si>
    <t>TC</t>
  </si>
  <si>
    <t>Boghosian 🏴‍☠️</t>
  </si>
  <si>
    <t>Alexandre Cabral</t>
  </si>
  <si>
    <t>Otavio Barros</t>
  </si>
  <si>
    <t>luiz fernando roxo</t>
  </si>
  <si>
    <t>Jaqueline Cristina da Silva</t>
  </si>
  <si>
    <t>Põe no Bolso</t>
  </si>
  <si>
    <t>Moises Beida</t>
  </si>
  <si>
    <t>Pedro Albuquerque F</t>
  </si>
  <si>
    <t>andrecerqueira.eth</t>
  </si>
  <si>
    <t>Brasil 61</t>
  </si>
  <si>
    <t>Easun Ashen ® 🇮🇹</t>
  </si>
  <si>
    <t>Ulises Araya 🇨🇱</t>
  </si>
  <si>
    <t>Héctor Chamizo</t>
  </si>
  <si>
    <t>CoinEx Português</t>
  </si>
  <si>
    <t>Recorcholis</t>
  </si>
  <si>
    <t>Diego Trindade</t>
  </si>
  <si>
    <t>trading_p1</t>
  </si>
  <si>
    <t>Javier Ramacciotti</t>
  </si>
  <si>
    <t>Academia do Dinheiro</t>
  </si>
  <si>
    <t>Smart Trading Club</t>
  </si>
  <si>
    <t>Alécio Marinho</t>
  </si>
  <si>
    <t>Mário CNPI</t>
  </si>
  <si>
    <t>Mendy Aisha</t>
  </si>
  <si>
    <t>Repórter Brasília</t>
  </si>
  <si>
    <t>Marcio</t>
  </si>
  <si>
    <t>Money Times</t>
  </si>
  <si>
    <t>Charlando de minas</t>
  </si>
  <si>
    <t>Benjamin CoinHarbinger</t>
  </si>
  <si>
    <t>Stonehenge</t>
  </si>
  <si>
    <t>Mason CoinConqueror</t>
  </si>
  <si>
    <t>PI Salvador👨‍🏫😷👔🖋💉</t>
  </si>
  <si>
    <t>deeproller</t>
  </si>
  <si>
    <t>MinHacienda</t>
  </si>
  <si>
    <t>BillPoint</t>
  </si>
  <si>
    <t>Alexander Bukowsky</t>
  </si>
  <si>
    <t>negocios tv</t>
  </si>
  <si>
    <t>A Estratégia Fox</t>
  </si>
  <si>
    <t>Jorge Ripoll</t>
  </si>
  <si>
    <t>SonarTrade</t>
  </si>
  <si>
    <t>Cofecon</t>
  </si>
  <si>
    <t>raialicysantana</t>
  </si>
  <si>
    <t>Jumba FYT (Opções)</t>
  </si>
  <si>
    <t>Lawrence Miuller Oyarce</t>
  </si>
  <si>
    <t>Alberto Rossi dos Santos #AntiFa</t>
  </si>
  <si>
    <t>Dep. Alencar Santana</t>
  </si>
  <si>
    <t>Átila Leal</t>
  </si>
  <si>
    <t>YouTube</t>
  </si>
  <si>
    <t>Gustavo</t>
  </si>
  <si>
    <t>Yasser Learth</t>
  </si>
  <si>
    <t>GSG Business Hub</t>
  </si>
  <si>
    <t>Bolsamanía</t>
  </si>
  <si>
    <t>The Washington Post</t>
  </si>
  <si>
    <t>The Wall Street Journal</t>
  </si>
  <si>
    <t>Business Insider España</t>
  </si>
  <si>
    <t>CNN en Español</t>
  </si>
  <si>
    <t>CincoDiascom</t>
  </si>
  <si>
    <t>Carol Daher - Mulher na Bolsa ®</t>
  </si>
  <si>
    <t>Agatatrader</t>
  </si>
  <si>
    <t>iG</t>
  </si>
  <si>
    <t>Sr. Sucesso137</t>
  </si>
  <si>
    <t>Alejandro charry</t>
  </si>
  <si>
    <t>Omar Rios</t>
  </si>
  <si>
    <t>Jornal Contábil</t>
  </si>
  <si>
    <t>William Hunt - Finanças Pessoais e Investimentos</t>
  </si>
  <si>
    <t>Tony Sousa</t>
  </si>
  <si>
    <t>BTV Academy</t>
  </si>
  <si>
    <t>investire per guadagnare</t>
  </si>
  <si>
    <t>RASPAY</t>
  </si>
  <si>
    <t>InfoPlus</t>
  </si>
  <si>
    <t>Jackson Sage</t>
  </si>
  <si>
    <t>Johann Felipe O.</t>
  </si>
  <si>
    <t>Luis Fernando Mejía</t>
  </si>
  <si>
    <t>Gustavo Petro</t>
  </si>
  <si>
    <t>Kawan Andrade e Carvalho</t>
  </si>
  <si>
    <t>Marcia Sigler - Radio Ação Brasil</t>
  </si>
  <si>
    <t>Massimo Poli</t>
  </si>
  <si>
    <t>Giovanni Maiorano</t>
  </si>
  <si>
    <t>Lucio Malan</t>
  </si>
  <si>
    <t>Karl F. ¡Dios Y Patria!</t>
  </si>
  <si>
    <t>DIARINHO</t>
  </si>
  <si>
    <t>EEP</t>
  </si>
  <si>
    <t>Keynesionomia</t>
  </si>
  <si>
    <t>Ayron Ferreira</t>
  </si>
  <si>
    <t>Bot Binary Deriv (Edson Barra)</t>
  </si>
  <si>
    <t>Falk Capital - Alertas</t>
  </si>
  <si>
    <t>Falk Capital</t>
  </si>
  <si>
    <t>Javis</t>
  </si>
  <si>
    <t>Support hotdogswap</t>
  </si>
  <si>
    <t>vellasco code</t>
  </si>
  <si>
    <t>Jarlison Santos</t>
  </si>
  <si>
    <t>Victor Dahan</t>
  </si>
  <si>
    <t>Opnet67</t>
  </si>
  <si>
    <t>E-Investidor</t>
  </si>
  <si>
    <t>MONSA NEWS.¡REMEMBER THAT YOU READ IT HERE FIRST.!</t>
  </si>
  <si>
    <t>verodatoBR</t>
  </si>
  <si>
    <t>Vinícius Amorim</t>
  </si>
  <si>
    <t>Edson Ribeiro de Rothschild</t>
  </si>
  <si>
    <t>Portal VGV</t>
  </si>
  <si>
    <t>Eduardo Wolff Garufi</t>
  </si>
  <si>
    <t>Felipe Veloso</t>
  </si>
  <si>
    <t>EL BUNKER  RADIO</t>
  </si>
  <si>
    <t>Sanchez André, CNPI-T</t>
  </si>
  <si>
    <t>Jhonata S. Lima</t>
  </si>
  <si>
    <t>Pro Educacional</t>
  </si>
  <si>
    <t>TraderVlog</t>
  </si>
  <si>
    <t>StudioMadeHits</t>
  </si>
  <si>
    <t>Guarulhos Online</t>
  </si>
  <si>
    <t>CursosDigitalEducacional</t>
  </si>
  <si>
    <t>Ciencias Económicas UdeA</t>
  </si>
  <si>
    <t>Rodri1V2015</t>
  </si>
  <si>
    <t>Rodrigo</t>
  </si>
  <si>
    <t>Jorge Ferreira, CFA, Me.</t>
  </si>
  <si>
    <t>Ricardo Penha F</t>
  </si>
  <si>
    <t>Hub do Investidor</t>
  </si>
  <si>
    <t>KLA Invest</t>
  </si>
  <si>
    <t>Caleb StockVisionary</t>
  </si>
  <si>
    <t>Perfil.com Brasil</t>
  </si>
  <si>
    <t>Liam StockSage</t>
  </si>
  <si>
    <t>José Alberto Rios</t>
  </si>
  <si>
    <t>JornalCorreiodeMinas</t>
  </si>
  <si>
    <t>amalia</t>
  </si>
  <si>
    <t>BedRock™</t>
  </si>
  <si>
    <t>Earn2Trade ® Brasil</t>
  </si>
  <si>
    <t>Jose Antonio Silva</t>
  </si>
  <si>
    <t>Teddy Open Finance</t>
  </si>
  <si>
    <t>Jairo Alejandro Barbosa</t>
  </si>
  <si>
    <t>DELBERTH RODRIGUEZ</t>
  </si>
  <si>
    <t>Ygor Baicere</t>
  </si>
  <si>
    <t>Igor Mundstock</t>
  </si>
  <si>
    <t>HENLE | Investimentos &amp; Macroeconomia</t>
  </si>
  <si>
    <t>Portal de Prefeitura</t>
  </si>
  <si>
    <t>Thinkonomics</t>
  </si>
  <si>
    <t>Fitch Ratings</t>
  </si>
  <si>
    <t>D4 Business</t>
  </si>
  <si>
    <t>Elena De Liberal Mente 🗽🇨🇱</t>
  </si>
  <si>
    <t>Darek Macpherson</t>
  </si>
  <si>
    <t>Financial Stream</t>
  </si>
  <si>
    <t>Antonio Bruno</t>
  </si>
  <si>
    <t>Gustavo Sung</t>
  </si>
  <si>
    <t>Mano Investidor</t>
  </si>
  <si>
    <t>Diario Libre</t>
  </si>
  <si>
    <t>profissão money</t>
  </si>
  <si>
    <t>Daniel φ</t>
  </si>
  <si>
    <t>Elizaveta Mironova</t>
  </si>
  <si>
    <t>Rubén Dávila</t>
  </si>
  <si>
    <t>Bruno Adriano Ramos</t>
  </si>
  <si>
    <t>FOCO</t>
  </si>
  <si>
    <t>Banco Central del Paraguay</t>
  </si>
  <si>
    <t>Francesco Saraceno</t>
  </si>
  <si>
    <t>Angel Miguel Mallén</t>
  </si>
  <si>
    <t>Fido</t>
  </si>
  <si>
    <t>Alexandre Cerqueira</t>
  </si>
  <si>
    <t>HODOR INVESTMENTS</t>
  </si>
  <si>
    <t>Pedro Renato</t>
  </si>
  <si>
    <t>Roda Seca</t>
  </si>
  <si>
    <t>Herderson Filé</t>
  </si>
  <si>
    <t>Vitor Miziara</t>
  </si>
  <si>
    <t>Luciana Seabra</t>
  </si>
  <si>
    <t>Thiago de Aragão</t>
  </si>
  <si>
    <t>Bruno Monsanto</t>
  </si>
  <si>
    <t>Fabrizio Gueratto | 1Bilhão</t>
  </si>
  <si>
    <t>Marco Saravalle</t>
  </si>
  <si>
    <t>Ivan M Londono</t>
  </si>
  <si>
    <t>Onjornal</t>
  </si>
  <si>
    <t>Luis y Finanzas</t>
  </si>
  <si>
    <t>Thiago Budni</t>
  </si>
  <si>
    <t>Lucas Granatti</t>
  </si>
  <si>
    <t>Mantle Daily</t>
  </si>
  <si>
    <t>Bruno Gianetti 🇮🇹</t>
  </si>
  <si>
    <t>FGV EAESP</t>
  </si>
  <si>
    <t>Fernando Gouveia</t>
  </si>
  <si>
    <t>André Perfeito</t>
  </si>
  <si>
    <t>Noriega Group</t>
  </si>
  <si>
    <t>India Brazil Chamber of Commerce</t>
  </si>
  <si>
    <t>RussellBransileiro</t>
  </si>
  <si>
    <t>Yin Yang Capital</t>
  </si>
  <si>
    <t>Danilo Ramos da Silva</t>
  </si>
  <si>
    <t>Dirigentes</t>
  </si>
  <si>
    <t>XTB España</t>
  </si>
  <si>
    <t>Pablo Gil</t>
  </si>
  <si>
    <t>Guilherme Henrique Cunha</t>
  </si>
  <si>
    <t>Movimentos Milionarios</t>
  </si>
  <si>
    <t>Norte Informa</t>
  </si>
  <si>
    <t>Vasco de Mendiguren</t>
  </si>
  <si>
    <t>BingX_Italy 🇮🇹</t>
  </si>
  <si>
    <t>Editora B18</t>
  </si>
  <si>
    <t>Real Instituto Elcano</t>
  </si>
  <si>
    <t>Michele Chang</t>
  </si>
  <si>
    <t>Periódico El Día</t>
  </si>
  <si>
    <t>Rafael Costa</t>
  </si>
  <si>
    <t>ASOMIF ECUADOR</t>
  </si>
  <si>
    <t>Banco Central del Ecuador</t>
  </si>
  <si>
    <t>Daniel Suchar Zomer</t>
  </si>
  <si>
    <t>CONTAD.TRIBUTARISTA</t>
  </si>
  <si>
    <t>Glauco Jarzinski</t>
  </si>
  <si>
    <t>TV Cultura</t>
  </si>
  <si>
    <t>Fabio Salamanca</t>
  </si>
  <si>
    <t>Juan Pablo Zorrilla Salgador 🌊</t>
  </si>
  <si>
    <t>Funcas</t>
  </si>
  <si>
    <t>Felipe Macari</t>
  </si>
  <si>
    <t>Kimberly Stuart</t>
  </si>
  <si>
    <t>Ethan WealthAnalyst</t>
  </si>
  <si>
    <t>Juan David Aldana Vargas</t>
  </si>
  <si>
    <t>Fórum Permanente em Defesa do Serviço Público</t>
  </si>
  <si>
    <t>3CON | Soluções de Tecnologia + Digital</t>
  </si>
  <si>
    <t>curiosainteligencia</t>
  </si>
  <si>
    <t>Aiden AltCoinGuru</t>
  </si>
  <si>
    <t>Grupo Ayonel</t>
  </si>
  <si>
    <t>diariodia.es</t>
  </si>
  <si>
    <t>BLOCKBR - Digital Assets</t>
  </si>
  <si>
    <t>Python Ecuador</t>
  </si>
  <si>
    <t>Oliver NFTNavigator</t>
  </si>
  <si>
    <t>Filipe Barros, CNPI</t>
  </si>
  <si>
    <t>Rafael M Fonseca</t>
  </si>
  <si>
    <t>Somas</t>
  </si>
  <si>
    <t>Crypto Clarity</t>
  </si>
  <si>
    <t>Editora e-Publicar</t>
  </si>
  <si>
    <t>Renan D.</t>
  </si>
  <si>
    <t>Titanium Asset</t>
  </si>
  <si>
    <t>GRUPO RAS</t>
  </si>
  <si>
    <t>Rio Bravo</t>
  </si>
  <si>
    <t>ZeroZone</t>
  </si>
  <si>
    <t>Lourdes Paz</t>
  </si>
  <si>
    <t>KLA Advogados</t>
  </si>
  <si>
    <t>Banco Central BR</t>
  </si>
  <si>
    <t>Pequenas Empresas</t>
  </si>
  <si>
    <t>William James</t>
  </si>
  <si>
    <t>Dawn Hutt</t>
  </si>
  <si>
    <t>Jack R walker</t>
  </si>
  <si>
    <t>Dicen Hans</t>
  </si>
  <si>
    <t>Harper Simpson</t>
  </si>
  <si>
    <t>Ucho.info</t>
  </si>
  <si>
    <t>Eliel Naves</t>
  </si>
  <si>
    <t>MasterAEMC</t>
  </si>
  <si>
    <t>ForestAUGreen</t>
  </si>
  <si>
    <t>Eduardo R. Conesa</t>
  </si>
  <si>
    <t>Ágora Investimentos</t>
  </si>
  <si>
    <t>Nicolás López m</t>
  </si>
  <si>
    <t>Liliane Ferrari </t>
  </si>
  <si>
    <t>[LUTO]saudades mãe!</t>
  </si>
  <si>
    <t>Davi Coimbra</t>
  </si>
  <si>
    <t>E.A. Glez.</t>
  </si>
  <si>
    <t>Lara Graña</t>
  </si>
  <si>
    <t>Faro de Vigo</t>
  </si>
  <si>
    <t>Trade in Flow</t>
  </si>
  <si>
    <t>LETICÍAB GOUVEIA</t>
  </si>
  <si>
    <t>Invista Finanças</t>
  </si>
  <si>
    <t>Ignacio S.B</t>
  </si>
  <si>
    <t>Andreza alves Czilusnyaske</t>
  </si>
  <si>
    <t>Brava Capital</t>
  </si>
  <si>
    <t>CLAPES UC</t>
  </si>
  <si>
    <t>Patricio Eskenazi</t>
  </si>
  <si>
    <t>Catalina Edwards</t>
  </si>
  <si>
    <t>Hermann González</t>
  </si>
  <si>
    <t>Radio Infinita</t>
  </si>
  <si>
    <t>Allan</t>
  </si>
  <si>
    <t>EDN TV HN</t>
  </si>
  <si>
    <t>Anderson Alves</t>
  </si>
  <si>
    <t>Mercados Brasil</t>
  </si>
  <si>
    <t>FERPA TRADER</t>
  </si>
  <si>
    <t>APOLOCHO "EL NADIE" 🐦</t>
  </si>
  <si>
    <t>Banco República 🇨🇴</t>
  </si>
  <si>
    <t>Invex Cripto</t>
  </si>
  <si>
    <t>Dinamicarg</t>
  </si>
  <si>
    <t>Sergio Massa</t>
  </si>
  <si>
    <t>Investo</t>
  </si>
  <si>
    <t>Projeto 4 Ciclos</t>
  </si>
  <si>
    <t>Mason BTC</t>
  </si>
  <si>
    <t>Bundesministerium der Finanzen</t>
  </si>
  <si>
    <t>Sergii Marchenko</t>
  </si>
  <si>
    <t>Embajadora de Alemania en Madrid</t>
  </si>
  <si>
    <t>Christian Lindner</t>
  </si>
  <si>
    <t>Noah CryptoPro</t>
  </si>
  <si>
    <t>SEMANAeconómica</t>
  </si>
  <si>
    <t>Jonathan Terranova V</t>
  </si>
  <si>
    <t>IPEOpinión</t>
  </si>
  <si>
    <t>Liqinho</t>
  </si>
  <si>
    <t>Soledad Ruiz</t>
  </si>
  <si>
    <t>Adolfo Safrán</t>
  </si>
  <si>
    <t>ariel sayas</t>
  </si>
  <si>
    <t>Claudinho Trader</t>
  </si>
  <si>
    <t>Beto Afandor Hernandez</t>
  </si>
  <si>
    <t>Hub de Finanzas Sostenibles México 🇲🇽</t>
  </si>
  <si>
    <t>GFLAC</t>
  </si>
  <si>
    <t>Roberval Pereira</t>
  </si>
  <si>
    <t>Arthur Rodrigues</t>
  </si>
  <si>
    <t>Economia em Pauta</t>
  </si>
  <si>
    <t>FP Markets Latam</t>
  </si>
  <si>
    <t>Seu Dinheiro</t>
  </si>
  <si>
    <t>Joaquín Barquero</t>
  </si>
  <si>
    <t>Armando Ardila</t>
  </si>
  <si>
    <t>Victor Lourenço</t>
  </si>
  <si>
    <t>Kasun</t>
  </si>
  <si>
    <t>Raphael Tesla</t>
  </si>
  <si>
    <t>Tomás Humberto</t>
  </si>
  <si>
    <t>Rafael Correa</t>
  </si>
  <si>
    <t>Dr. Fernando Barreiro</t>
  </si>
  <si>
    <t>Stephan Elliott</t>
  </si>
  <si>
    <t>O Turco</t>
  </si>
  <si>
    <t>Caio Vilar</t>
  </si>
  <si>
    <t>Arthur Mota</t>
  </si>
  <si>
    <t>Álvaro Frasson</t>
  </si>
  <si>
    <t>Rubén Sabanés Castro</t>
  </si>
  <si>
    <t>Marcos | Finanças e Investimentos</t>
  </si>
  <si>
    <t>CGD Tecnologia Educacional</t>
  </si>
  <si>
    <t>BP Money</t>
  </si>
  <si>
    <t>Juan Tugores Ques</t>
  </si>
  <si>
    <t>José María Lerma Espino</t>
  </si>
  <si>
    <t>JFD Español</t>
  </si>
  <si>
    <t>Julia Olhares</t>
  </si>
  <si>
    <t>Reginaldo Colbert 🚩🇧🇷</t>
  </si>
  <si>
    <t>Cristiano Banzato</t>
  </si>
  <si>
    <t>Matteo Farci</t>
  </si>
  <si>
    <t>Oliver CoinSculptor</t>
  </si>
  <si>
    <t>André Braga ✒ #ABPoeta</t>
  </si>
  <si>
    <t>João  Martins Filho</t>
  </si>
  <si>
    <t>Diário do Comércio</t>
  </si>
  <si>
    <t>VICTOR A.GAETE PEREZ</t>
  </si>
  <si>
    <t>Rádio BandNews FM</t>
  </si>
  <si>
    <t>Armageddon</t>
  </si>
  <si>
    <t>TitoProgresista</t>
  </si>
  <si>
    <t>Canal E</t>
  </si>
  <si>
    <t>Francisco Bertoldi Neto</t>
  </si>
  <si>
    <t>Insper</t>
  </si>
  <si>
    <t>Vitor Faustino Invest</t>
  </si>
  <si>
    <t>Claudio 🇧🇷</t>
  </si>
  <si>
    <t>Galante Invest</t>
  </si>
  <si>
    <t>Vagner Mayer</t>
  </si>
  <si>
    <t>Vinicius Custódio</t>
  </si>
  <si>
    <t>Tom</t>
  </si>
  <si>
    <t>O que os dados mostram?</t>
  </si>
  <si>
    <t>Steve Buskard</t>
  </si>
  <si>
    <t>T-Dog</t>
  </si>
  <si>
    <t>Jackson InvestmentMogul</t>
  </si>
  <si>
    <t>CartasGPT</t>
  </si>
  <si>
    <t>Ancelmo Ramos</t>
  </si>
  <si>
    <t>elton placido</t>
  </si>
  <si>
    <t>Oliver StockDuke</t>
  </si>
  <si>
    <t>MarketScreener ES</t>
  </si>
  <si>
    <t>ElCryptonauta</t>
  </si>
  <si>
    <t>Udson Conceição 📣🚩</t>
  </si>
  <si>
    <t>Noah NFTExplorer</t>
  </si>
  <si>
    <t>Wagner Geremia</t>
  </si>
  <si>
    <t>Por Quê?</t>
  </si>
  <si>
    <t>Vórtx</t>
  </si>
  <si>
    <t>Global Alliance for Tax Justice</t>
  </si>
  <si>
    <t>Café &amp; Economia ☕📈</t>
  </si>
  <si>
    <t>Finance Info Hindi</t>
  </si>
  <si>
    <t>André Lenski 🇧🇷</t>
  </si>
  <si>
    <t>Padtec</t>
  </si>
  <si>
    <t>EuQueroInvestir</t>
  </si>
  <si>
    <t>InfoVeritas</t>
  </si>
  <si>
    <t>Liam Virtuoso</t>
  </si>
  <si>
    <t>Liam Scholar</t>
  </si>
  <si>
    <t>Trader</t>
  </si>
  <si>
    <t>Yenny Molina</t>
  </si>
  <si>
    <t>COLLACERRILPERUNDIA</t>
  </si>
  <si>
    <t>Adriano Silva 🧞</t>
  </si>
  <si>
    <t>Agência Tamer</t>
  </si>
  <si>
    <t>Sistema açaí do grosso</t>
  </si>
  <si>
    <t>B-POP</t>
  </si>
  <si>
    <t>Quien mas...Bot RusoVzlano</t>
  </si>
  <si>
    <t>Dragón Oro Plata</t>
  </si>
  <si>
    <t>Elcrackdel23</t>
  </si>
  <si>
    <t>Kinvo</t>
  </si>
  <si>
    <t>Memo</t>
  </si>
  <si>
    <t>Oliver Cure</t>
  </si>
  <si>
    <t>Silvio do Quental</t>
  </si>
  <si>
    <t>Cleydson Fernandes, CFP®</t>
  </si>
  <si>
    <t>Javier Velásquez Y.</t>
  </si>
  <si>
    <t>Frank</t>
  </si>
  <si>
    <t>Ecos365</t>
  </si>
  <si>
    <t>Teo Zorraquin</t>
  </si>
  <si>
    <t>Rosario3.com</t>
  </si>
  <si>
    <t>Magín Díaz</t>
  </si>
  <si>
    <t>Pipeline</t>
  </si>
  <si>
    <t>Paulo Borba</t>
  </si>
  <si>
    <t>Juan Pablo</t>
  </si>
  <si>
    <t>verodato</t>
  </si>
  <si>
    <t>WIT Invest | XP Investimentos</t>
  </si>
  <si>
    <t>6Trading</t>
  </si>
  <si>
    <t>Universidad Nacional de La Matanza</t>
  </si>
  <si>
    <t>Liam StockNavigator</t>
  </si>
  <si>
    <t>Paulo Silva</t>
  </si>
  <si>
    <t>Valor Econômico</t>
  </si>
  <si>
    <t>Andrea Combs</t>
  </si>
  <si>
    <t>Lucas Augusto</t>
  </si>
  <si>
    <t>Mário Martins</t>
  </si>
  <si>
    <t>RicardoCipagautaGóme</t>
  </si>
  <si>
    <t>DIANColombia</t>
  </si>
  <si>
    <t>Economia Mainstream</t>
  </si>
  <si>
    <t>CIED URJC</t>
  </si>
  <si>
    <t>Juan Carlos Aguado Franco</t>
  </si>
  <si>
    <t>URJC</t>
  </si>
  <si>
    <t>Miríadax</t>
  </si>
  <si>
    <t>Trend Squad 🤑</t>
  </si>
  <si>
    <t>American Trading Academy - Brasil | Ricardo</t>
  </si>
  <si>
    <t>Com Lucro</t>
  </si>
  <si>
    <t>Análise Gráfica por Gi Cazanova 📈</t>
  </si>
  <si>
    <t>Diário do Minho</t>
  </si>
  <si>
    <t>SC 🇧🇷🌻</t>
  </si>
  <si>
    <t>430am Buzz</t>
  </si>
  <si>
    <t>🇸🇻DrCrypto🇸🇻</t>
  </si>
  <si>
    <t>ARTHUR</t>
  </si>
  <si>
    <t>Falcon Trader de Campinas</t>
  </si>
  <si>
    <t>paulo cesar Gonandy de almeida</t>
  </si>
  <si>
    <t>Jovem Pan News</t>
  </si>
  <si>
    <t>scalpelada do morcego</t>
  </si>
  <si>
    <t>EDIMO PEREIRA</t>
  </si>
  <si>
    <t>Jackson AltCoinArtisan</t>
  </si>
  <si>
    <t>José Luis Ramírez C.</t>
  </si>
  <si>
    <t>Gondim ADV</t>
  </si>
  <si>
    <t>ECONOPTIONS</t>
  </si>
  <si>
    <t>Pierre Bomfim 🇧🇷</t>
  </si>
  <si>
    <t>Profits Capital</t>
  </si>
  <si>
    <t>Trader Gráfico #CM</t>
  </si>
  <si>
    <t>ONTIER</t>
  </si>
  <si>
    <t>Banco Central de Reserva del Perú - BCRP</t>
  </si>
  <si>
    <t>AmCham Perú</t>
  </si>
  <si>
    <t>Leonardo  Leão</t>
  </si>
  <si>
    <t>Otoniel Júnior</t>
  </si>
  <si>
    <t>Alfia Cingari</t>
  </si>
  <si>
    <t>Sandra Zampa</t>
  </si>
  <si>
    <t>Enfoque</t>
  </si>
  <si>
    <t>edson</t>
  </si>
  <si>
    <t>Dom Victo</t>
  </si>
  <si>
    <t>cabô a humildade 🇾🇪</t>
  </si>
  <si>
    <t>Mario Sant'Ana</t>
  </si>
  <si>
    <t>Funpresp</t>
  </si>
  <si>
    <t>iZZinvest</t>
  </si>
  <si>
    <t>FEDEARROZ</t>
  </si>
  <si>
    <t>Alianza In</t>
  </si>
  <si>
    <t>Migración Colombia</t>
  </si>
  <si>
    <t>Drewry</t>
  </si>
  <si>
    <t>Fedesarrollo</t>
  </si>
  <si>
    <t>Presidencia Colombia 🇨🇴</t>
  </si>
  <si>
    <t>Cámara de Representantes de Colombia</t>
  </si>
  <si>
    <t>CEPAL</t>
  </si>
  <si>
    <t>ANDEMOS</t>
  </si>
  <si>
    <t>FNG S.A.</t>
  </si>
  <si>
    <t>Banco Davivienda</t>
  </si>
  <si>
    <t>Cámara de la Industria Automotriz</t>
  </si>
  <si>
    <t>ASOMICROFINANZAS</t>
  </si>
  <si>
    <t>Katherine Miranda 🌻 1️⃣</t>
  </si>
  <si>
    <t>FNA AHORRO</t>
  </si>
  <si>
    <t>Federal Reserve</t>
  </si>
  <si>
    <t>Petro Goss</t>
  </si>
  <si>
    <t>Bancolombia</t>
  </si>
  <si>
    <t>Bolsa de Valores de Colombia</t>
  </si>
  <si>
    <t>J.P. Morgan</t>
  </si>
  <si>
    <t>Christopher A. Petro</t>
  </si>
  <si>
    <t>TransMilenio</t>
  </si>
  <si>
    <t>José Roberto Acosta</t>
  </si>
  <si>
    <t>Juan Guillermo Zuluaga</t>
  </si>
  <si>
    <t>Fenalco Nacional</t>
  </si>
  <si>
    <t>Minvivienda</t>
  </si>
  <si>
    <t>Camacol Presidencia</t>
  </si>
  <si>
    <t>CEA Colombia</t>
  </si>
  <si>
    <t>ACOPI Nacional</t>
  </si>
  <si>
    <t>FMI</t>
  </si>
  <si>
    <t>Wadith Manzur Imbet</t>
  </si>
  <si>
    <t>José Manuel Restrepo Abondano</t>
  </si>
  <si>
    <t>OCDE ➡️ Mejores Políticas para una Vida Mejor</t>
  </si>
  <si>
    <t>MinInterior Colombia</t>
  </si>
  <si>
    <t>Luis Fernando Velasco Chaves 🚩</t>
  </si>
  <si>
    <t>Comité Autónomo de la Regla Fiscal</t>
  </si>
  <si>
    <t>Consejo Gremial</t>
  </si>
  <si>
    <t>Zona Franca de Bogotá</t>
  </si>
  <si>
    <t>Chelsea FC en español</t>
  </si>
  <si>
    <t>UNIDOS</t>
  </si>
  <si>
    <t>Jose Antonio Ocampo</t>
  </si>
  <si>
    <t>Prosperidad Social</t>
  </si>
  <si>
    <t>Germán Umaña Mendoza</t>
  </si>
  <si>
    <t>ANIF | Centro de Estudios Económicos</t>
  </si>
  <si>
    <t>Federación Nacional de Cafeteros</t>
  </si>
  <si>
    <t>J. Mojica</t>
  </si>
  <si>
    <t>Min. de Agricultura</t>
  </si>
  <si>
    <t>Bruce Mac Master</t>
  </si>
  <si>
    <t>ANDI</t>
  </si>
  <si>
    <t>Irene Vélez-Torres</t>
  </si>
  <si>
    <t>Ricardo Bonilla</t>
  </si>
  <si>
    <t>Superfinanciera</t>
  </si>
  <si>
    <t>Fasecolda</t>
  </si>
  <si>
    <t>IIF</t>
  </si>
  <si>
    <t>Michel Janna</t>
  </si>
  <si>
    <t>Senado de la República 🇨🇴</t>
  </si>
  <si>
    <t>MinComercio Colombia</t>
  </si>
  <si>
    <t>COTELCO</t>
  </si>
  <si>
    <t>Nahuel Melero.</t>
  </si>
  <si>
    <t>joares antonio pereira</t>
  </si>
  <si>
    <t>Radio Intereconomía</t>
  </si>
  <si>
    <t>Denise Tavares</t>
  </si>
  <si>
    <t>A. Seoane</t>
  </si>
  <si>
    <t>Elite Of Shaddows</t>
  </si>
  <si>
    <t>SamyNews</t>
  </si>
  <si>
    <t>Gab</t>
  </si>
  <si>
    <t>Doctor Encriptos</t>
  </si>
  <si>
    <t>CBN Vitória</t>
  </si>
  <si>
    <t>Albeiro Bejarano M🌎</t>
  </si>
  <si>
    <t>John Robert</t>
  </si>
  <si>
    <t>Rodrigo Barboza</t>
  </si>
  <si>
    <t>Alberto Rodrigues</t>
  </si>
  <si>
    <t>Oliver InvestmentRuler</t>
  </si>
  <si>
    <t>Folha Mercado</t>
  </si>
  <si>
    <t>Ivana P. de Almeida</t>
  </si>
  <si>
    <t>DATOWORLD</t>
  </si>
  <si>
    <t>Otto Boris</t>
  </si>
  <si>
    <t>Rafael Juiz</t>
  </si>
  <si>
    <t>Don Fernando 🤌🏻</t>
  </si>
  <si>
    <t>Gabriela Procópio</t>
  </si>
  <si>
    <t>LaMervaleta.com</t>
  </si>
  <si>
    <t>Secretaría Asuntos Económicos del PRM</t>
  </si>
  <si>
    <t>PRM</t>
  </si>
  <si>
    <t>Pepa De Mango</t>
  </si>
  <si>
    <t>Mauricio Cárdenas S.</t>
  </si>
  <si>
    <t>Noah CryptoSage</t>
  </si>
  <si>
    <t>Investidores Brasil Oficial</t>
  </si>
  <si>
    <t>MarceloCastelloBranco</t>
  </si>
  <si>
    <t>Mercado de capitais.</t>
  </si>
  <si>
    <t>Crypto Investidor</t>
  </si>
  <si>
    <t>Hermilton</t>
  </si>
  <si>
    <t>Criptopportunity</t>
  </si>
  <si>
    <t>Julio Miranda</t>
  </si>
  <si>
    <t>McKinney Jeff</t>
  </si>
  <si>
    <t>CromáticaNoticias</t>
  </si>
  <si>
    <t>Professor Lucas Silva</t>
  </si>
  <si>
    <t>NBN Paraíba</t>
  </si>
  <si>
    <t>Embratel</t>
  </si>
  <si>
    <t>Mercurica Inversiones</t>
  </si>
  <si>
    <t>Agarra la Pala</t>
  </si>
  <si>
    <t>Javier Milei</t>
  </si>
  <si>
    <t>Cecilia HB🌞 Majorca, Spain</t>
  </si>
  <si>
    <t>Valdemar Almeida</t>
  </si>
  <si>
    <t>Jey Concepcion | Bilingual Investing™</t>
  </si>
  <si>
    <t>Sue-Ellen ❣️</t>
  </si>
  <si>
    <t>francelm_contabilidade</t>
  </si>
  <si>
    <t>Eva Brylee 💥</t>
  </si>
  <si>
    <t>Dr. CoveSA</t>
  </si>
  <si>
    <t>Alejandro Criollo M5</t>
  </si>
  <si>
    <t>ActivTrades Português</t>
  </si>
  <si>
    <t>Vanessa Apprentice</t>
  </si>
  <si>
    <t>Como Ser Trader</t>
  </si>
  <si>
    <t>Gama Investimentos</t>
  </si>
  <si>
    <t>Danilo petri</t>
  </si>
  <si>
    <t>NOW WISELY</t>
  </si>
  <si>
    <t>Ana Sanchez Ayala</t>
  </si>
  <si>
    <t>Verdades inconvenientes sobre o mercado financeiro</t>
  </si>
  <si>
    <t>RNA Invest</t>
  </si>
  <si>
    <t>Xgh Mercado Financeiro</t>
  </si>
  <si>
    <t>Zonavalue</t>
  </si>
  <si>
    <t>Camilo Silva</t>
  </si>
  <si>
    <t>FUNDS&amp;MARKETS</t>
  </si>
  <si>
    <t>YodaCoinSwap - Jedals</t>
  </si>
  <si>
    <t>Tiago Silva</t>
  </si>
  <si>
    <t>Profito Club</t>
  </si>
  <si>
    <t>Infox Educa</t>
  </si>
  <si>
    <t>Iván Rondón</t>
  </si>
  <si>
    <t>Elton Branco</t>
  </si>
  <si>
    <t>E. Bayona</t>
  </si>
  <si>
    <t>Público</t>
  </si>
  <si>
    <t>Políticamente Correcto</t>
  </si>
  <si>
    <t>Otto Sonnenholzner</t>
  </si>
  <si>
    <t>Juan Rivadeneira</t>
  </si>
  <si>
    <t>Educacao Sem Sistema</t>
  </si>
  <si>
    <t>Gerardo De La Huerta</t>
  </si>
  <si>
    <t>Ciro Gómez Leyva</t>
  </si>
  <si>
    <t>Inteligência Financeira</t>
  </si>
  <si>
    <t>Faria Lima Journal</t>
  </si>
  <si>
    <t>Pertrad</t>
  </si>
  <si>
    <t>Platinum Investimentos</t>
  </si>
  <si>
    <t>Halex Nogueira</t>
  </si>
  <si>
    <t>S6 Investimentos</t>
  </si>
  <si>
    <t>Alfie</t>
  </si>
  <si>
    <t>PAÍS DE NADA PASA 🇨🇴</t>
  </si>
  <si>
    <t>infogain</t>
  </si>
  <si>
    <t>Javier Méndez Lirón</t>
  </si>
  <si>
    <t>Roda de Cuia</t>
  </si>
  <si>
    <t>Bruno C.</t>
  </si>
  <si>
    <t>Oliver L. Velez ⚡️ 13%'er Bitcoiner</t>
  </si>
  <si>
    <t>Ivan Cristian | CNPI-T | Analista dos Dados |</t>
  </si>
  <si>
    <t>Digital Profit</t>
  </si>
  <si>
    <t>Bitypreço (BitPreço)</t>
  </si>
  <si>
    <t>Investigación UCE</t>
  </si>
  <si>
    <t>Douglas Corretor de Imóveis 🏘</t>
  </si>
  <si>
    <t>ContaCripto</t>
  </si>
  <si>
    <t>Best International Roads</t>
  </si>
  <si>
    <t>Vladimiro Giacché</t>
  </si>
  <si>
    <t>Júlio Nunes</t>
  </si>
  <si>
    <t>Alexander Rolo</t>
  </si>
  <si>
    <t>holisticinvestment.in</t>
  </si>
  <si>
    <t>Auditores Internos</t>
  </si>
  <si>
    <t>Paul Krugman</t>
  </si>
  <si>
    <t>Financial Times</t>
  </si>
  <si>
    <t>EP Economía</t>
  </si>
  <si>
    <t>Banco de España</t>
  </si>
  <si>
    <t>elEconomista.es</t>
  </si>
  <si>
    <t>Carlos Teles</t>
  </si>
  <si>
    <t>Alexandre Melo - São Bernardo/SP</t>
  </si>
  <si>
    <t>Notícias RedeTV</t>
  </si>
  <si>
    <t>Cartães clonado e notas fake</t>
  </si>
  <si>
    <t>Paulo Alcarva</t>
  </si>
  <si>
    <t>InverPersonal</t>
  </si>
  <si>
    <t>Renata Rhicci</t>
  </si>
  <si>
    <t>MECFIN - MERCADO FINANCEIRO BR</t>
  </si>
  <si>
    <t>BOGOTA SIN MIEDO</t>
  </si>
  <si>
    <t>Telos Investimentos</t>
  </si>
  <si>
    <t>Ethan Adventurer</t>
  </si>
  <si>
    <t>Tome Ação!</t>
  </si>
  <si>
    <t>Rafael Zattar</t>
  </si>
  <si>
    <t>Dantas</t>
  </si>
  <si>
    <t>Gimme5</t>
  </si>
  <si>
    <t>Alisson Oliveira</t>
  </si>
  <si>
    <t>Charles Phibonacci</t>
  </si>
  <si>
    <t>Vinicius Villas Boas - Assessor de Investimentos</t>
  </si>
  <si>
    <t>GBTC VALENCIA</t>
  </si>
  <si>
    <t>Mind Ninja</t>
  </si>
  <si>
    <t>Elton Plácido</t>
  </si>
  <si>
    <t>Brunão e a Sonzera</t>
  </si>
  <si>
    <t>JR Alive&amp;Kicking</t>
  </si>
  <si>
    <t>Gorila</t>
  </si>
  <si>
    <t>1113533606247436289</t>
  </si>
  <si>
    <t>2613462672</t>
  </si>
  <si>
    <t>89707185</t>
  </si>
  <si>
    <t>177629082</t>
  </si>
  <si>
    <t>440767378</t>
  </si>
  <si>
    <t>17118982</t>
  </si>
  <si>
    <t>47023251</t>
  </si>
  <si>
    <t>13058772</t>
  </si>
  <si>
    <t>717057578</t>
  </si>
  <si>
    <t>160910872</t>
  </si>
  <si>
    <t>4674174732</t>
  </si>
  <si>
    <t>4245046753</t>
  </si>
  <si>
    <t>517061258</t>
  </si>
  <si>
    <t>81124162</t>
  </si>
  <si>
    <t>20980846</t>
  </si>
  <si>
    <t>1192922215492263941</t>
  </si>
  <si>
    <t>24820645</t>
  </si>
  <si>
    <t>362045862</t>
  </si>
  <si>
    <t>1583085679298416642</t>
  </si>
  <si>
    <t>705526285112643584</t>
  </si>
  <si>
    <t>857261387965452289</t>
  </si>
  <si>
    <t>735741240</t>
  </si>
  <si>
    <t>36115008</t>
  </si>
  <si>
    <t>176231745</t>
  </si>
  <si>
    <t>142850730</t>
  </si>
  <si>
    <t>75173434</t>
  </si>
  <si>
    <t>2780697111</t>
  </si>
  <si>
    <t>51150679</t>
  </si>
  <si>
    <t>1917611137</t>
  </si>
  <si>
    <t>134902573</t>
  </si>
  <si>
    <t>274608576</t>
  </si>
  <si>
    <t>161306075</t>
  </si>
  <si>
    <t>3058312464</t>
  </si>
  <si>
    <t>251600476</t>
  </si>
  <si>
    <t>10228272</t>
  </si>
  <si>
    <t>48401088</t>
  </si>
  <si>
    <t>2356584932</t>
  </si>
  <si>
    <t>61307129</t>
  </si>
  <si>
    <t>2467791</t>
  </si>
  <si>
    <t>3108351</t>
  </si>
  <si>
    <t>702174188405178368</t>
  </si>
  <si>
    <t>33884545</t>
  </si>
  <si>
    <t>36397274</t>
  </si>
  <si>
    <t>117060034</t>
  </si>
  <si>
    <t>14311308</t>
  </si>
  <si>
    <t>178798816</t>
  </si>
  <si>
    <t>212916157</t>
  </si>
  <si>
    <t>62033604</t>
  </si>
  <si>
    <t>53469538</t>
  </si>
  <si>
    <t>2393136536</t>
  </si>
  <si>
    <t>480956964</t>
  </si>
  <si>
    <t>59258459</t>
  </si>
  <si>
    <t>49849732</t>
  </si>
  <si>
    <t>311075294</t>
  </si>
  <si>
    <t>17598409</t>
  </si>
  <si>
    <t>231700444</t>
  </si>
  <si>
    <t>479977457</t>
  </si>
  <si>
    <t>634133167</t>
  </si>
  <si>
    <t>67350941</t>
  </si>
  <si>
    <t>830821595082063872</t>
  </si>
  <si>
    <t>15961205</t>
  </si>
  <si>
    <t>70411503</t>
  </si>
  <si>
    <t>2612871692</t>
  </si>
  <si>
    <t>201282088</t>
  </si>
  <si>
    <t>119024617</t>
  </si>
  <si>
    <t>152678723</t>
  </si>
  <si>
    <t>270647451</t>
  </si>
  <si>
    <t>240899947</t>
  </si>
  <si>
    <t>266611119</t>
  </si>
  <si>
    <t>968853826315972608</t>
  </si>
  <si>
    <t>3024436931</t>
  </si>
  <si>
    <t>60024268</t>
  </si>
  <si>
    <t>198770256</t>
  </si>
  <si>
    <t>34639484</t>
  </si>
  <si>
    <t>1934121132</t>
  </si>
  <si>
    <t>17230773</t>
  </si>
  <si>
    <t>160387669</t>
  </si>
  <si>
    <t>135761946</t>
  </si>
  <si>
    <t>1349866681666056192</t>
  </si>
  <si>
    <t>395220839</t>
  </si>
  <si>
    <t>1900803692</t>
  </si>
  <si>
    <t>1550125745854246913</t>
  </si>
  <si>
    <t>1094999019825360897</t>
  </si>
  <si>
    <t>239153784</t>
  </si>
  <si>
    <t>57981116</t>
  </si>
  <si>
    <t>44449999</t>
  </si>
  <si>
    <t>42086454</t>
  </si>
  <si>
    <t>140094070</t>
  </si>
  <si>
    <t>208594072</t>
  </si>
  <si>
    <t>123292247</t>
  </si>
  <si>
    <t>825075204619649024</t>
  </si>
  <si>
    <t>299298402</t>
  </si>
  <si>
    <t>301336546</t>
  </si>
  <si>
    <t>708311243967340544</t>
  </si>
  <si>
    <t>143173757</t>
  </si>
  <si>
    <t>259780884</t>
  </si>
  <si>
    <t>72079608</t>
  </si>
  <si>
    <t>742769480</t>
  </si>
  <si>
    <t>93754487</t>
  </si>
  <si>
    <t>14306125</t>
  </si>
  <si>
    <t>1631895871</t>
  </si>
  <si>
    <t>296075088</t>
  </si>
  <si>
    <t>61239040</t>
  </si>
  <si>
    <t>3434642859</t>
  </si>
  <si>
    <t>222157159</t>
  </si>
  <si>
    <t>23654729</t>
  </si>
  <si>
    <t>1653322179059097600</t>
  </si>
  <si>
    <t>39525281</t>
  </si>
  <si>
    <t>72692030</t>
  </si>
  <si>
    <t>3145323581</t>
  </si>
  <si>
    <t>22611794</t>
  </si>
  <si>
    <t>13113932</t>
  </si>
  <si>
    <t>721959078</t>
  </si>
  <si>
    <t>374065715</t>
  </si>
  <si>
    <t>145254292</t>
  </si>
  <si>
    <t>2458561638</t>
  </si>
  <si>
    <t>59944876</t>
  </si>
  <si>
    <t>51250299</t>
  </si>
  <si>
    <t>2379411043</t>
  </si>
  <si>
    <t>63829941</t>
  </si>
  <si>
    <t>149541051</t>
  </si>
  <si>
    <t>172368909</t>
  </si>
  <si>
    <t>117185027</t>
  </si>
  <si>
    <t>459092531</t>
  </si>
  <si>
    <t>1008602824278671360</t>
  </si>
  <si>
    <t>122104353</t>
  </si>
  <si>
    <t>26797063</t>
  </si>
  <si>
    <t>1214934124433223680</t>
  </si>
  <si>
    <t>31797966</t>
  </si>
  <si>
    <t>468977570</t>
  </si>
  <si>
    <t>184517209</t>
  </si>
  <si>
    <t>330286468</t>
  </si>
  <si>
    <t>322667669</t>
  </si>
  <si>
    <t>1619173878</t>
  </si>
  <si>
    <t>2387411994</t>
  </si>
  <si>
    <t>100794463</t>
  </si>
  <si>
    <t>1024626751</t>
  </si>
  <si>
    <t>212554498</t>
  </si>
  <si>
    <t>155100813</t>
  </si>
  <si>
    <t>207283244</t>
  </si>
  <si>
    <t>829237464</t>
  </si>
  <si>
    <t>759023748</t>
  </si>
  <si>
    <t>877465838</t>
  </si>
  <si>
    <t>381490450</t>
  </si>
  <si>
    <t>1358803124983648256</t>
  </si>
  <si>
    <t>156000022</t>
  </si>
  <si>
    <t>95919876</t>
  </si>
  <si>
    <t>34261231</t>
  </si>
  <si>
    <t>2784332684</t>
  </si>
  <si>
    <t>94388843</t>
  </si>
  <si>
    <t>32441551</t>
  </si>
  <si>
    <t>26573303</t>
  </si>
  <si>
    <t>217855689</t>
  </si>
  <si>
    <t>18639091</t>
  </si>
  <si>
    <t>62991145</t>
  </si>
  <si>
    <t>840710503</t>
  </si>
  <si>
    <t>141730592</t>
  </si>
  <si>
    <t>438488077</t>
  </si>
  <si>
    <t>3166145932</t>
  </si>
  <si>
    <t>18760940</t>
  </si>
  <si>
    <t>2421006511</t>
  </si>
  <si>
    <t>40508067</t>
  </si>
  <si>
    <t>964708386</t>
  </si>
  <si>
    <t>160953269</t>
  </si>
  <si>
    <t>43869858</t>
  </si>
  <si>
    <t>568696723</t>
  </si>
  <si>
    <t>1620696048304898049</t>
  </si>
  <si>
    <t>379261685</t>
  </si>
  <si>
    <t>1095934417</t>
  </si>
  <si>
    <t>4775326277</t>
  </si>
  <si>
    <t>60647069</t>
  </si>
  <si>
    <t>3225287033</t>
  </si>
  <si>
    <t>32529120</t>
  </si>
  <si>
    <t>3029805290</t>
  </si>
  <si>
    <t>124866712</t>
  </si>
  <si>
    <t>181354522</t>
  </si>
  <si>
    <t>186182226</t>
  </si>
  <si>
    <t>2294248922</t>
  </si>
  <si>
    <t>2160512190</t>
  </si>
  <si>
    <t>17777882</t>
  </si>
  <si>
    <t>966137557</t>
  </si>
  <si>
    <t>488477453</t>
  </si>
  <si>
    <t>130194940</t>
  </si>
  <si>
    <t>364017930</t>
  </si>
  <si>
    <t>106175018</t>
  </si>
  <si>
    <t>26230407</t>
  </si>
  <si>
    <t>552572110</t>
  </si>
  <si>
    <t>49011639</t>
  </si>
  <si>
    <t>82758897</t>
  </si>
  <si>
    <t>2525389716</t>
  </si>
  <si>
    <t>70469669</t>
  </si>
  <si>
    <t>205791001</t>
  </si>
  <si>
    <t>3254994765</t>
  </si>
  <si>
    <t>389104963</t>
  </si>
  <si>
    <t>136293095</t>
  </si>
  <si>
    <t>502302340</t>
  </si>
  <si>
    <t>289986224</t>
  </si>
  <si>
    <t>1136991139</t>
  </si>
  <si>
    <t>2373932575</t>
  </si>
  <si>
    <t>1261440272958963712</t>
  </si>
  <si>
    <t>385498066</t>
  </si>
  <si>
    <t>4127860157</t>
  </si>
  <si>
    <t>351726568</t>
  </si>
  <si>
    <t>312887235</t>
  </si>
  <si>
    <t>338472735</t>
  </si>
  <si>
    <t>197095948</t>
  </si>
  <si>
    <t>1242457002</t>
  </si>
  <si>
    <t>1242199508</t>
  </si>
  <si>
    <t>150335293</t>
  </si>
  <si>
    <t>1460721527012433934</t>
  </si>
  <si>
    <t>2440519512</t>
  </si>
  <si>
    <t>70539007</t>
  </si>
  <si>
    <t>343644738</t>
  </si>
  <si>
    <t>26538229</t>
  </si>
  <si>
    <t>138790048</t>
  </si>
  <si>
    <t>48014813</t>
  </si>
  <si>
    <t>77243413</t>
  </si>
  <si>
    <t>1155522630</t>
  </si>
  <si>
    <t>5796872</t>
  </si>
  <si>
    <t>62442788</t>
  </si>
  <si>
    <t>3193116503</t>
  </si>
  <si>
    <t>202812622</t>
  </si>
  <si>
    <t>89208583</t>
  </si>
  <si>
    <t>381725074</t>
  </si>
  <si>
    <t>266790270</t>
  </si>
  <si>
    <t>343446479</t>
  </si>
  <si>
    <t>510843343</t>
  </si>
  <si>
    <t>1395199711</t>
  </si>
  <si>
    <t>148003798</t>
  </si>
  <si>
    <t>327553766</t>
  </si>
  <si>
    <t>58821418</t>
  </si>
  <si>
    <t>75400667</t>
  </si>
  <si>
    <t>179584524</t>
  </si>
  <si>
    <t>1492263111050637317</t>
  </si>
  <si>
    <t>1887079782</t>
  </si>
  <si>
    <t>467690623</t>
  </si>
  <si>
    <t>3402722069</t>
  </si>
  <si>
    <t>1647013029404344323</t>
  </si>
  <si>
    <t>875534663967703040</t>
  </si>
  <si>
    <t>138813733</t>
  </si>
  <si>
    <t>370017987</t>
  </si>
  <si>
    <t>155996033</t>
  </si>
  <si>
    <t>1183874792</t>
  </si>
  <si>
    <t>790594212</t>
  </si>
  <si>
    <t>345214995</t>
  </si>
  <si>
    <t>30861738</t>
  </si>
  <si>
    <t>266893089</t>
  </si>
  <si>
    <t>1542470779220131840</t>
  </si>
  <si>
    <t>224830527</t>
  </si>
  <si>
    <t>200206843</t>
  </si>
  <si>
    <t>1430896860</t>
  </si>
  <si>
    <t>17474044</t>
  </si>
  <si>
    <t>772601689</t>
  </si>
  <si>
    <t>213051585</t>
  </si>
  <si>
    <t>176931171</t>
  </si>
  <si>
    <t>329981865</t>
  </si>
  <si>
    <t>422670466</t>
  </si>
  <si>
    <t>17523521</t>
  </si>
  <si>
    <t>159658481</t>
  </si>
  <si>
    <t>136452657</t>
  </si>
  <si>
    <t>91128788</t>
  </si>
  <si>
    <t>3094374405</t>
  </si>
  <si>
    <t>2906797558</t>
  </si>
  <si>
    <t>339340028</t>
  </si>
  <si>
    <t>2431675772</t>
  </si>
  <si>
    <t>142849205</t>
  </si>
  <si>
    <t>3029762731</t>
  </si>
  <si>
    <t>540030674</t>
  </si>
  <si>
    <t>4020276615</t>
  </si>
  <si>
    <t>2911189884</t>
  </si>
  <si>
    <t>352118324</t>
  </si>
  <si>
    <t>143097951</t>
  </si>
  <si>
    <t>1597352947</t>
  </si>
  <si>
    <t>370134254</t>
  </si>
  <si>
    <t>225854166</t>
  </si>
  <si>
    <t>17676713</t>
  </si>
  <si>
    <t>240217004</t>
  </si>
  <si>
    <t>47984619</t>
  </si>
  <si>
    <t>36204276</t>
  </si>
  <si>
    <t>1935742783</t>
  </si>
  <si>
    <t>526309602</t>
  </si>
  <si>
    <t>55766693</t>
  </si>
  <si>
    <t>48768144</t>
  </si>
  <si>
    <t>526011899</t>
  </si>
  <si>
    <t>183200672</t>
  </si>
  <si>
    <t>17006157</t>
  </si>
  <si>
    <t>4898091</t>
  </si>
  <si>
    <t>231502837</t>
  </si>
  <si>
    <t>166507237</t>
  </si>
  <si>
    <t>39287675</t>
  </si>
  <si>
    <t>2786819345</t>
  </si>
  <si>
    <t>298296446</t>
  </si>
  <si>
    <t>41410242</t>
  </si>
  <si>
    <t>2870442100</t>
  </si>
  <si>
    <t>2578778256</t>
  </si>
  <si>
    <t>1593689102</t>
  </si>
  <si>
    <t>133737073</t>
  </si>
  <si>
    <t>1262904827593580545</t>
  </si>
  <si>
    <t>1112566008</t>
  </si>
  <si>
    <t>Florianópolis, Brasil</t>
  </si>
  <si>
    <t>Bogotá, D.C., Colombia</t>
  </si>
  <si>
    <t>Colombia</t>
  </si>
  <si>
    <t>Tubarão/SC</t>
  </si>
  <si>
    <t>I’m right here !</t>
  </si>
  <si>
    <t>Porto Alegre</t>
  </si>
  <si>
    <t>Porto Alegre, Brasil</t>
  </si>
  <si>
    <t>Sunnyvale, CA</t>
  </si>
  <si>
    <t>CDMX</t>
  </si>
  <si>
    <t>Belo Horizonte, Brasil</t>
  </si>
  <si>
    <t>Ludhiana, Gurgaon</t>
  </si>
  <si>
    <t>Gurgaon, Ludhiana</t>
  </si>
  <si>
    <t>Andorra</t>
  </si>
  <si>
    <t>Rua Governador Ney Braga 4431</t>
  </si>
  <si>
    <t>Medellin - Colombia</t>
  </si>
  <si>
    <t>Brazil</t>
  </si>
  <si>
    <t>Sao Paulo, Brazil</t>
  </si>
  <si>
    <t>Brasília - DF</t>
  </si>
  <si>
    <t>Chile</t>
  </si>
  <si>
    <t>Madrid</t>
  </si>
  <si>
    <t>Brasil, São Paulo</t>
  </si>
  <si>
    <t>Belo Horizonte, MG</t>
  </si>
  <si>
    <t>Los Angeles, CA</t>
  </si>
  <si>
    <t xml:space="preserve">Brasília </t>
  </si>
  <si>
    <t xml:space="preserve">São Paulo,SP. </t>
  </si>
  <si>
    <t>São Paulo, SP  - Av. Brig.</t>
  </si>
  <si>
    <t>Brasília (DF) - Brasil</t>
  </si>
  <si>
    <t>World</t>
  </si>
  <si>
    <t xml:space="preserve">Alumínio - SP </t>
  </si>
  <si>
    <t>Guarulhos - SP</t>
  </si>
  <si>
    <t>San Bruno, CA</t>
  </si>
  <si>
    <t>Caracas</t>
  </si>
  <si>
    <t>Washington, DC</t>
  </si>
  <si>
    <t>New York, NY</t>
  </si>
  <si>
    <t>Madrid, Spain</t>
  </si>
  <si>
    <t>En todas partes</t>
  </si>
  <si>
    <t>San Francisco, CA</t>
  </si>
  <si>
    <t>São Paulo - SP Brasil</t>
  </si>
  <si>
    <t>Bréscia, Lombardia</t>
  </si>
  <si>
    <t xml:space="preserve">Cali - Valle - Colombia </t>
  </si>
  <si>
    <t>Bogotá, Colombia</t>
  </si>
  <si>
    <t>ÜT: 4.650541,-74.074043</t>
  </si>
  <si>
    <t>Milan, Lombardy</t>
  </si>
  <si>
    <t>Italia</t>
  </si>
  <si>
    <t>Litoral Norte - SC</t>
  </si>
  <si>
    <t>Ontario, Canada</t>
  </si>
  <si>
    <t>Curitiba, Brazil</t>
  </si>
  <si>
    <t>São Paulo, Brasil.</t>
  </si>
  <si>
    <t>Metaverso</t>
  </si>
  <si>
    <t>Groom Lake, Nevada Desert.</t>
  </si>
  <si>
    <t>Zurich, Switzerland</t>
  </si>
  <si>
    <t>Reynosa, Tamaulipas</t>
  </si>
  <si>
    <t>Florianópolis - SC, Brasil</t>
  </si>
  <si>
    <t>日本 兵庫県神戸市</t>
  </si>
  <si>
    <t>Guarulhos, Brasil</t>
  </si>
  <si>
    <t>Fortaleza</t>
  </si>
  <si>
    <t>Medellín, Colombia</t>
  </si>
  <si>
    <t>São Leopoldo</t>
  </si>
  <si>
    <t>Conselheiro Lafaiete, MG</t>
  </si>
  <si>
    <t>São Bernardo do Campo, SP</t>
  </si>
  <si>
    <t>Bogotá</t>
  </si>
  <si>
    <t>Campo Grande _MS</t>
  </si>
  <si>
    <t>Recife, Brasil</t>
  </si>
  <si>
    <t>London and New York</t>
  </si>
  <si>
    <t>Chile, Alemania, Argentina</t>
  </si>
  <si>
    <t>Chile, España, México</t>
  </si>
  <si>
    <t>Santo Domingo, RD</t>
  </si>
  <si>
    <t>La Paz, Bolivia</t>
  </si>
  <si>
    <t xml:space="preserve">Novo Hamburgo, RS </t>
  </si>
  <si>
    <t>Paraguay</t>
  </si>
  <si>
    <t>Asuncion, Paraguay</t>
  </si>
  <si>
    <t>Paris</t>
  </si>
  <si>
    <t>Campinas, SP, Brasil</t>
  </si>
  <si>
    <t>CHILE</t>
  </si>
  <si>
    <t>Rio de Janeiro/RJ</t>
  </si>
  <si>
    <t>Brasilia, Brazil/Washington,DC</t>
  </si>
  <si>
    <t>Manaus</t>
  </si>
  <si>
    <t>México</t>
  </si>
  <si>
    <t>São Paulo - Brasil</t>
  </si>
  <si>
    <t>Piracicaba sp</t>
  </si>
  <si>
    <t>0xMantle</t>
  </si>
  <si>
    <t>Bolzano, IT</t>
  </si>
  <si>
    <t>Goianésia, Brasil</t>
  </si>
  <si>
    <t>República Dominicana</t>
  </si>
  <si>
    <t>Belo Horizonte/Rio de Janeiro</t>
  </si>
  <si>
    <t>228 hamilton avenue</t>
  </si>
  <si>
    <t>Barreiras, Brasil</t>
  </si>
  <si>
    <t>Jundiaí, Brasil</t>
  </si>
  <si>
    <t>Buenos Aires, Argentina</t>
  </si>
  <si>
    <t>Provincia de Buenos Aires</t>
  </si>
  <si>
    <t>Italy</t>
  </si>
  <si>
    <t>Brussels, Belgium</t>
  </si>
  <si>
    <t>Santo Domingo, Rep. Dom.</t>
  </si>
  <si>
    <t>Quito, Ecuador</t>
  </si>
  <si>
    <t>Quito-Ecuador</t>
  </si>
  <si>
    <t>San Jose, Costa Rica</t>
  </si>
  <si>
    <t>Montevideo, Uruguay</t>
  </si>
  <si>
    <t>Madrid (España)</t>
  </si>
  <si>
    <t xml:space="preserve">algún lugar de la galaxia. </t>
  </si>
  <si>
    <t>Ecuador</t>
  </si>
  <si>
    <t>Melbourne, Victoria</t>
  </si>
  <si>
    <t>Iztacalco, Distrito Federal</t>
  </si>
  <si>
    <t>São Paulo-SP</t>
  </si>
  <si>
    <t>Brasilia - DF</t>
  </si>
  <si>
    <t>Ottawa, Ontario</t>
  </si>
  <si>
    <t>Toronto, Ontario</t>
  </si>
  <si>
    <t>Canada</t>
  </si>
  <si>
    <t>Quebec, Canada</t>
  </si>
  <si>
    <t>Pensilvânia, USA</t>
  </si>
  <si>
    <t>Ciudad Autónoma de Buenos Aire</t>
  </si>
  <si>
    <t>Everywhere</t>
  </si>
  <si>
    <t>Galicia, España</t>
  </si>
  <si>
    <t>Vigo</t>
  </si>
  <si>
    <t>London, KY</t>
  </si>
  <si>
    <t>Alameda 440, Piso 13</t>
  </si>
  <si>
    <t>Santiago, Chile</t>
  </si>
  <si>
    <t>Ñuñoa, Chile</t>
  </si>
  <si>
    <t>Rio de Janeiro, Brazil</t>
  </si>
  <si>
    <t>Honduras</t>
  </si>
  <si>
    <t>Delaware</t>
  </si>
  <si>
    <t>Tigre, Argentina.</t>
  </si>
  <si>
    <t>São Paulo - SP</t>
  </si>
  <si>
    <t>Berlin</t>
  </si>
  <si>
    <t>Kyiv, Ukraine</t>
  </si>
  <si>
    <t>Berlin, Deutschland</t>
  </si>
  <si>
    <t>Peru</t>
  </si>
  <si>
    <t>Lima, Peru</t>
  </si>
  <si>
    <t>Lima, Perú</t>
  </si>
  <si>
    <t>Posadas- Misiones</t>
  </si>
  <si>
    <t>Misiones, Argentina</t>
  </si>
  <si>
    <t>Posadas. Misiones</t>
  </si>
  <si>
    <t>Bucaramanga, Colombia</t>
  </si>
  <si>
    <t>Latinoamérica</t>
  </si>
  <si>
    <t>Fortaleza, Brasil</t>
  </si>
  <si>
    <t>Sydney, Australia</t>
  </si>
  <si>
    <t>Spain</t>
  </si>
  <si>
    <t>Birmingham, England</t>
  </si>
  <si>
    <t>Guayaquil</t>
  </si>
  <si>
    <t xml:space="preserve">Bahia De Caraquez </t>
  </si>
  <si>
    <t>Terrasa, Barcelona</t>
  </si>
  <si>
    <t>Mato Grosso, Brasil</t>
  </si>
  <si>
    <t>Pº de la Castellana,140 Madrid</t>
  </si>
  <si>
    <t>BRASIL -SP</t>
  </si>
  <si>
    <t>Sampacaosmopolitana</t>
  </si>
  <si>
    <t>Rio de Janeiro / RJ (Brasil)</t>
  </si>
  <si>
    <t>Belo Horizonte - Minas Gerais</t>
  </si>
  <si>
    <t>BRASIL</t>
  </si>
  <si>
    <t>São Paulo | Brasil</t>
  </si>
  <si>
    <t>Calgary, Alberta</t>
  </si>
  <si>
    <t>Brasília</t>
  </si>
  <si>
    <t xml:space="preserve">Annecy </t>
  </si>
  <si>
    <t>São Carlos, Brasil</t>
  </si>
  <si>
    <t>Lagoa da Prata, Brasil</t>
  </si>
  <si>
    <t>Campinas-SP, Brazil</t>
  </si>
  <si>
    <t>Balneário Camboriú, Brasil</t>
  </si>
  <si>
    <t>castellon</t>
  </si>
  <si>
    <t>Vila Prudente, São Paulo</t>
  </si>
  <si>
    <t>Brasil, São Paulo - SP</t>
  </si>
  <si>
    <t>Macapá/Amapá/Brasil</t>
  </si>
  <si>
    <t>BRASIIIIIIIIL</t>
  </si>
  <si>
    <t>Del Mundo</t>
  </si>
  <si>
    <t>Salvador, Brasil</t>
  </si>
  <si>
    <t>Lisboa, Portugal</t>
  </si>
  <si>
    <t>Curitiba, Brasil</t>
  </si>
  <si>
    <t>Rosario, Argentina</t>
  </si>
  <si>
    <t>Rosario</t>
  </si>
  <si>
    <t>Santo Domingo</t>
  </si>
  <si>
    <t>New Westminster, British Colum</t>
  </si>
  <si>
    <t>San Justo, Argentina</t>
  </si>
  <si>
    <t>Belo Horizonte, Brazil</t>
  </si>
  <si>
    <t>Ontario</t>
  </si>
  <si>
    <t>Duitama Boyacá</t>
  </si>
  <si>
    <t>L-V 8 am a 7 p.m. S 8 am- 12m</t>
  </si>
  <si>
    <t>Universidad Rey Juan Carlos</t>
  </si>
  <si>
    <t>Móstoles, España</t>
  </si>
  <si>
    <t>Portugal</t>
  </si>
  <si>
    <t>São José dos Campos, SP, BR</t>
  </si>
  <si>
    <t>Braga, Portugal</t>
  </si>
  <si>
    <t xml:space="preserve"> El Salvador</t>
  </si>
  <si>
    <t>Campinas - São Paulo</t>
  </si>
  <si>
    <t>Dubai</t>
  </si>
  <si>
    <t>Onde há uma bolsa...</t>
  </si>
  <si>
    <t>Europe • America</t>
  </si>
  <si>
    <t>Perú</t>
  </si>
  <si>
    <t>Víctor A. Belaúnde 177, Lima27</t>
  </si>
  <si>
    <t>Curitiba</t>
  </si>
  <si>
    <t>Brasília, Brazil</t>
  </si>
  <si>
    <t>London, England</t>
  </si>
  <si>
    <t>Santiago de Chile</t>
  </si>
  <si>
    <t>Bogota</t>
  </si>
  <si>
    <t>Bogotá - Colombia</t>
  </si>
  <si>
    <t>Washington, D.C</t>
  </si>
  <si>
    <t>Todos los días 6 am - 10 pm</t>
  </si>
  <si>
    <t>New York City</t>
  </si>
  <si>
    <t>Bogotá D.C.</t>
  </si>
  <si>
    <t>Villavicencio, Colombia</t>
  </si>
  <si>
    <t>Bogotá ( Colombia )</t>
  </si>
  <si>
    <t>Bogotá, D.C. - Colombia</t>
  </si>
  <si>
    <t>Bogota, Colombia</t>
  </si>
  <si>
    <t>Washington, D.C.</t>
  </si>
  <si>
    <t>Montería</t>
  </si>
  <si>
    <t>Bogotá D.C. - Colombia</t>
  </si>
  <si>
    <t>Nueva York, USA</t>
  </si>
  <si>
    <t>Bogotá Colombia</t>
  </si>
  <si>
    <t>Bogotá, D.C.</t>
  </si>
  <si>
    <t>Madrid Paris Lausanne</t>
  </si>
  <si>
    <t>Barcelona, España</t>
  </si>
  <si>
    <t>Vitória, ES</t>
  </si>
  <si>
    <t>Dourados, Brasil</t>
  </si>
  <si>
    <t>Paraense em Sinop - MT</t>
  </si>
  <si>
    <t>San Salvador, El Salvador</t>
  </si>
  <si>
    <t>Phoenix, AZ</t>
  </si>
  <si>
    <t>SANTOS</t>
  </si>
  <si>
    <t>Argentina</t>
  </si>
  <si>
    <t>Dominican Republic</t>
  </si>
  <si>
    <t xml:space="preserve">Colombia + NYC </t>
  </si>
  <si>
    <t>Decisões definem destinos.</t>
  </si>
  <si>
    <t>Toronto, Canada</t>
  </si>
  <si>
    <t>João Pessoal, PB</t>
  </si>
  <si>
    <t>San Salvador de Jujuy</t>
  </si>
  <si>
    <t>España</t>
  </si>
  <si>
    <t>Level Up &amp; Learn</t>
  </si>
  <si>
    <t>Nassau</t>
  </si>
  <si>
    <t>Itajubá, Minas Gerais, Brasil</t>
  </si>
  <si>
    <t>Valencia, España</t>
  </si>
  <si>
    <t>Wordwide</t>
  </si>
  <si>
    <t>Tunja, Boyacá</t>
  </si>
  <si>
    <t>Zaragoza</t>
  </si>
  <si>
    <t>Barra da Tijuca - RJ</t>
  </si>
  <si>
    <t>Algún Lugar Del Mundo</t>
  </si>
  <si>
    <t>Valladolid (Spain)</t>
  </si>
  <si>
    <t>Erechim, Brasil</t>
  </si>
  <si>
    <t>São Paulo, SP</t>
  </si>
  <si>
    <t>Florida, USA</t>
  </si>
  <si>
    <t>Maringá/PR</t>
  </si>
  <si>
    <t xml:space="preserve">Brasil </t>
  </si>
  <si>
    <t>Pichincha, Ecuador</t>
  </si>
  <si>
    <t>Osasco, Brasil</t>
  </si>
  <si>
    <t>perlopiù a Roma</t>
  </si>
  <si>
    <t>Viçosa - MG</t>
  </si>
  <si>
    <t>Chennai, India</t>
  </si>
  <si>
    <t>London / New York / Hong Kong</t>
  </si>
  <si>
    <t>Madrid, España</t>
  </si>
  <si>
    <t>Iguatu, Brasil</t>
  </si>
  <si>
    <t>São Bernardo do Campo</t>
  </si>
  <si>
    <t>Porto, Portugal</t>
  </si>
  <si>
    <t>BOGOTA DC</t>
  </si>
  <si>
    <t>São Paulo, Brazil</t>
  </si>
  <si>
    <t>London UK and Sao Paulo Brasil</t>
  </si>
  <si>
    <t>TUBARAO SC</t>
  </si>
  <si>
    <t>Notícias, educação financeira e tudo o que você precisa saber para lidar melhor com dinheiro e seus investimentos. Um site do @valoreconomico</t>
  </si>
  <si>
    <t>Irineu Berezanski atua como Planejador Financeiro Pessoal, faz parte do time de consultores especialistas do Sebrae e professor de agronegócios do Senar.</t>
  </si>
  <si>
    <t>Gestão, Economia, Investimentos e Política.</t>
  </si>
  <si>
    <t>Truth is like poetry. And most people f*cking hate poetry.</t>
  </si>
  <si>
    <t>🌟 NFT collector and crypto connoisseur. Exploring the digital realms of art and finance. 🎨 #NFTExplorer</t>
  </si>
  <si>
    <t>O maior portal de notícias sobre identificação digital. Confira!</t>
  </si>
  <si>
    <t>💰 Investing in crypto and stocks with a long-term perspective. Slow and steady wins the race, my friends! 🐢 #LongTermInvestor</t>
  </si>
  <si>
    <t>Si nos quitan la libertad de expresión nos quedamos mudos y silenciosos y nos pueden guiar como ovejas al matadero.</t>
  </si>
  <si>
    <t>Departamento Administrativo Nacional de Estadística de Colombia 🇨🇴. Ente rector del Sistema Estadístico Nacional.               📲En IG, FB y YT DANE Colombia</t>
  </si>
  <si>
    <t>Visite meu Youtube
Rangel Campos Machado
Finanças e assuntos relevantes</t>
  </si>
  <si>
    <t>💰 Planejamento Financeiro Pessoal e Empresarial
📖 Investimentos
💡Planilhas e E-books gratuitos</t>
  </si>
  <si>
    <t>💰 | Criador do Método 4Q 
💎| Método para day trading e swing trade que  prever reversões e correções no mercado financeiro
📊 | Investidor e Day Trader</t>
  </si>
  <si>
    <t>Você sabe porque viu! O VIUU é um portal de notícias, entrevistas, podcasts, vídeos e boa música, que conta com uma equipe de colaboradores especializados.</t>
  </si>
  <si>
    <t>📈 Equity | Technology
💼 SFA Investimentos</t>
  </si>
  <si>
    <t>Seeking for Alpha - Gestora de Recursos</t>
  </si>
  <si>
    <t>Mercado Financeiro USA</t>
  </si>
  <si>
    <t>O jornal de economia e negócios do Rio Grande do Sul desde 1933.
No impresso, no site e no aplicativo.</t>
  </si>
  <si>
    <t>Falo sobre mercado 📈</t>
  </si>
  <si>
    <t>Jornalista, especialista em Economia e Mercado Financeiro, Mestre em Comunicação, doutoranda em Economia Política Mundial e pesquisadora de China</t>
  </si>
  <si>
    <t>Welcome to a world of career opportunities, advice, inspiration and community. #FindYourIn | Support → @LinkedInHelp</t>
  </si>
  <si>
    <t>Dedicados a la actualización y desarrollo profesional y humano de los directivos financieros de las empresas más importantes de México. membresia@imef.org.mx</t>
  </si>
  <si>
    <t>Investidor Qualificado
Especialista em Day Trade em Opções B3
Vivendo exclusivamente de opções desde 2015
Consultoria em Opções
#B3</t>
  </si>
  <si>
    <t>📊 Trading, investing, and HODLing for the long term. Join me on the path to financial independence! 💼 #HODLerForLife</t>
  </si>
  <si>
    <t>Sua rota segura pelo universo financeiro. Notícias, tendências e insights confiáveis. Faça parte desta jornada conosco.</t>
  </si>
  <si>
    <t>Este perfi não tem como objetivo fornecer recomendações de investimento. Nele, busco compartilhar o meu conhecimento com aqueles que desejam aprender e absorver</t>
  </si>
  <si>
    <t>É preciso mudar muita coisa, viu ! 🤔</t>
  </si>
  <si>
    <t>Economista sem economês e com bom humor. Ganhador dos Prêmios iBest de Economia e Negócios, Opinião e Cidadania e maior influenciador do LinkedIn.</t>
  </si>
  <si>
    <t>Equities | Mutual Funds | Startups | Insurance | Investment Services | For service details, Reach us at: info@pawealth.in</t>
  </si>
  <si>
    <t>Director | PA Wealth Pvt Ltd | CA | Fund Manager | Equity Research Enthusiast | Investment &amp; Wealth Services | For details, mail us at: info@pawealth.in</t>
  </si>
  <si>
    <t>Economista - Research Analyst 💮 | Trading #GlobalMacro Long/Short
Grupo Telegram✍ https://t.co/fCA29wtRHd
Patreon - Datos: https://t.co/aWKRaJ6ZDY</t>
  </si>
  <si>
    <t>Empresário e apaixonado pelo meu filho!</t>
  </si>
  <si>
    <t>🌊 Crypto surfer riding the waves of volatility. Catch the swell, ride the profits! 🏄 #CryptoSurfer</t>
  </si>
  <si>
    <t>Research Fellow @NovaSBE; professor @EconomiaGV. Opinions are my own. RTs are not endorsements. 𝙈𝙖𝙘𝙧𝙤𝙚𝙘𝙤𝙣𝙤𝙢𝙞𝙘𝙨 𝙖𝙣𝙙 𝙖𝙡𝙡 𝙩𝙝𝙖𝙩 𝙟𝙖𝙯𝙯.</t>
  </si>
  <si>
    <t>Psicanalista clínica - Grafóloga - Grafoterapeuta.
Experiência e abordagem integrativa, tem conduzido muitas pessoas a superarem problemas emocionais.</t>
  </si>
  <si>
    <t>O Sindicato dos Bancários de Umuarama, Assis Chateaubriand e Região representa mais de 500 bancários(as) de 29 municípios das regiões Oeste e Noroeste do Paraná</t>
  </si>
  <si>
    <t>De Sardinha para Sardinha I Mercado Financeiro para Investidores Iniciantes</t>
  </si>
  <si>
    <t>En https://t.co/SchsIWQveK publicamos información económica, política y bursátil de alto impacto para quienes toman decisiones.</t>
  </si>
  <si>
    <t>Às vezes, tudo o que você precisa é de um impulso para a sua vida financeira! 🚀 Baixe o app e comece a sua revolução!</t>
  </si>
  <si>
    <t>TC Pandhora Digital Assets  - Electronic Music Artist -MSc UNic. Digital Currencies. APG. NOT FINANCIAL ADVICE</t>
  </si>
  <si>
    <t>Sou professor de assuntos ligados a Mercado Financeiro na B3 (desde 2002) e na Saint Paul. Escrevo para o Estadão desde 2015. Seg até Sex no Youtube às 7e10</t>
  </si>
  <si>
    <t>💰| Investidor e contribuidor do TC. @tcinvestimentos</t>
  </si>
  <si>
    <t>Sócio fundador: Zeneconomics, Oplab e Polyface</t>
  </si>
  <si>
    <t>Trader do fundo TC Cosmos</t>
  </si>
  <si>
    <t>CEO da @tcinvestimentos (B3: TRAD3), a maior plataforma para investidores da América Latina, cofundador da TEx Tecnologia</t>
  </si>
  <si>
    <t>#AnaliseTecnica #AnaliseGrafica #Investimentos</t>
  </si>
  <si>
    <t>Empresa de comunicação e conteúdo jornalístico. Produzimos materiais multimídia, regionalizados e gratuitos. Conteúdos de áudio feito pela Agência do Rádio.🎙✍️</t>
  </si>
  <si>
    <t>Patriota, identitario, hardrocker, horror-addict.
Beyond Left and Right, Teekon Spirit. #MMT.
Chi sputa sull' Italia o sugli italiani viene bloccato. #ZeroDosi.</t>
  </si>
  <si>
    <t>Ingeniero, MSc, Mg. Finanzas. Gerente Riesgo Corredora de Bolsa. Finanzas, Economía, Política y Filosofía. Opiniones personales.</t>
  </si>
  <si>
    <t>Periodista. Streamer.📈Economía, mercados y fondos. Me lees en @la_informacion y @Forbes_es. Mis opiniones: solo mías. 📩 hectorchamizo@galchamproductions.com</t>
  </si>
  <si>
    <t>Espaço oficial da #CoinEx — Junte-se à discussão da comunidade, educação sobre criptomoedas</t>
  </si>
  <si>
    <t>💵 Interés en Economía y Finanzas Personales 🤡 Toques de Humor Ácido 🍋 Le pongo limón a las comidas</t>
  </si>
  <si>
    <t>https://t.co/95hiPF7Mv9
Diversos alunos lucrando diariamente🔥 Trader na b3 e criptomoedas</t>
  </si>
  <si>
    <t>💹Economía #economia 💹
💱Inversiones #inversiones💱
📈Trading #trading 📉
🔥Aprende a Invertir desde 0🔥
⬇️Invierte a Traves de eToto⬇️</t>
  </si>
  <si>
    <t>Investimentos e Tecnologia. 🇦🇷🇧🇷🇮🇹🦁</t>
  </si>
  <si>
    <t>Palestrante, Consultor com + de 1.000 atendimentos, investidor na Bolsa há + de 20 anos. Mestre pela USP,  Autor de best-sellers em finanças pessoais.</t>
  </si>
  <si>
    <t>Profitable trader with verifiable track record -Trader rentable con trackrecord comprobable  | ES/EN 
Copytrading System - Sistema de copytrading 🔁💲 | Bingx</t>
  </si>
  <si>
    <t>🌐Movido a Plutônio - Não te ajudo a porra nenhuma…</t>
  </si>
  <si>
    <t>Mário CNPI | Expert em Bolsa de Valores
👑Aprenda com o Analista CNPI-T 2817
💵Clube da Renda Variável</t>
  </si>
  <si>
    <t>forex trader
 |  trader and businesswoman
 |  More than 90,000 students trained
 |  LIVE Day Trade Room (every day)</t>
  </si>
  <si>
    <t>Jornalismo</t>
  </si>
  <si>
    <t>Gestor financeiro.</t>
  </si>
  <si>
    <t>🗞️💰💡 Notícias que enriquecem seu dia! 
Não é apenas sobre publicar notícias, é sobre como pensamos o jornalismo. 
Siga 👉 @leiacryptotimes e @leiaagrotimes</t>
  </si>
  <si>
    <t>El podcast de inversión minera en español. Entrevistas a expertos, a empresas mineras, tesis de inversión y mucho más. ¡Sígueme!</t>
  </si>
  <si>
    <t>🚀 Crypto lifer excited about the possibilities of blockchain technology. Join me in the digital revolution! 🌐 #CryptoLifer</t>
  </si>
  <si>
    <t>The modern media communication and the religión are the major instruments to  control  the human conscience.</t>
  </si>
  <si>
    <t>🚀 Launching into the world of crypto with a pocket full of dreams and a heart full of Bitcoin. Join the revolution! 💛 #BitcoinDreamer</t>
  </si>
  <si>
    <t>Professor da UFF e pesquisador em economia aplicada. Autor de livros na área de políticas públicas e educação, artigos na área de regulação, e finanças.</t>
  </si>
  <si>
    <t>Ciudadano libre. Colombia Federal #RT ≠ endorsement. 🇨🇴 Libertad y Orden.</t>
  </si>
  <si>
    <t>Ministerio de Hacienda y Crédito Público del Gobierno de Colombia.</t>
  </si>
  <si>
    <t>🚀💰 Junte-se a nós para uma  jornada da criação de riqueza e jogadas inteligentes. De insights do mercado de ações a dicas para entender o mercado financeiro.</t>
  </si>
  <si>
    <t>Puedes ver Negocios Televisión en el canal 140 de Movistar+, iOS, Android y di "Alexa, abre negocios en directo". O en Spotify!</t>
  </si>
  <si>
    <t>BMF no instagram @estrategia_fox</t>
  </si>
  <si>
    <t>SonarTrade: Seu marketplace de recomendações e copy trading de trades e carteiras. Potencialize sua rentabilidade com insights de experts na palma da mão! 📈📲</t>
  </si>
  <si>
    <t>Conselho Federal de Economia  SCS, Qd. 02 BL. B SL.1201, Ed. Palácio do Comércio  70.318-900 - Brasília - DF  Fone: (61) 3208-1800 - Fax: (61) 3208-1814</t>
  </si>
  <si>
    <t>💡Ferramentas inteligentes de investidor para investidor, 📈 Mapa de opções mais completo do mercado e 🦈 Operações dos grandes players em tempo real.</t>
  </si>
  <si>
    <t>Cuenta Oficial de 𝕏 | 𝕏 Official Account
𝗳𝗼𝗹𝗹𝗼𝘄 𝗺𝗲 𝗮𝗻𝗱 𝗜 𝗳𝗼𝗹𝗹𝗼𝘄 𝘆𝗼𝘂</t>
  </si>
  <si>
    <t>#ANTIFA #PT #PERIFERIA #SP</t>
  </si>
  <si>
    <t>Deputado federal (PT-SP) reeleito, Vice-Líder do Governo Lula na Câmara. Antes: Dep. estadual (2011-2018) e vereador em Guarulhos (2005-2010), Advogado ⚖️</t>
  </si>
  <si>
    <t>Aqui escrevo sobre gerenciamento de risco no trading e o que me der vontade. ¯\_(ツ)_/¯</t>
  </si>
  <si>
    <t>like and subscribe.</t>
  </si>
  <si>
    <t>Mercado financeiro.</t>
  </si>
  <si>
    <t>Red de Centros de Negocios Premium  en las zonas más exclusivas de Madrid. 
- Alquiler de Despachos y Salas
- Domiciliación de empresas
- Oficina Virtual</t>
  </si>
  <si>
    <t>Toda la #ÚltimaHora para el inversor informado. La web de la #Bolsa, la economía y los #mercados.</t>
  </si>
  <si>
    <t>Democracy Dies in Darkness</t>
  </si>
  <si>
    <t>Sign up for our newsletters and alerts: https://t.co/QevH0DLisA | Got a tip? https://t.co/iXIigdOLPr | For WSJ customer support: https://t.co/DZgH9n4vAI</t>
  </si>
  <si>
    <t>Lo que necesitas saber.</t>
  </si>
  <si>
    <t>CNN en Español es tu principal fuente de información y breaking news. Cubrimos las noticias de América Latina y el resto del mundo. Vive la noticia.</t>
  </si>
  <si>
    <t>Twitter oficial de Cinco Días, decano de la prensa económica y empresarial en España / Official TW for Cinco Días, oldest Spanish economic and business paper</t>
  </si>
  <si>
    <t>Technical analyst, CNPI-T |Master en Derecho y Negocios Internacionales| Writer| Podcast top 15% +shared in the world | Top 1 Google Brazil “technical analysis”</t>
  </si>
  <si>
    <t>🙋🏼‍♀️ Lucrando em Opções Binárias | Forex
📊 Consistente usando VOLUME FINANCEIRO
🤖 10k todo mês rendendo no automático
📣 LISTA DE ESPERA MENTORIA 👇🏻</t>
  </si>
  <si>
    <t>Política, economia, esportes, celebs, pets e mais! #PortaliG</t>
  </si>
  <si>
    <t>Sucesso, dinheiro e foco</t>
  </si>
  <si>
    <t>Abogado Universidad Externado de Colombia.</t>
  </si>
  <si>
    <t>🔥 Descubra como Desbloquear sua Liberdade Financeira de uma vez por todas. Clique no link da bio!</t>
  </si>
  <si>
    <t>Quer ter dicas diárias de investimento? Eu vou te ajudar nessa trajetória. Instagram: @tony_financas</t>
  </si>
  <si>
    <t>Aula de inglês online, plano de estudos, negócios, viagens e mais
acesse este link para maiores informações: https://t.co/So3HCD94TL</t>
  </si>
  <si>
    <t>Analisi finanziarie indipendenti. Opportunità per guadagnare</t>
  </si>
  <si>
    <t>Turn your passion into a profession 🎙️
Create, distribute and make money with your #podcast from day one.</t>
  </si>
  <si>
    <t>Pagamentos, Transferências, Pix e Conta. Pague com RASPAY!</t>
  </si>
  <si>
    <t>Toda la información sobre alimentación para mascotas y otros temas generales, creador de https://t.co/nsff9nWzqv</t>
  </si>
  <si>
    <t>💹 Swing trader capturing market swings and turning them into profits. Swing by for trading insights! 🌊 #SwingTrader</t>
  </si>
  <si>
    <t>Fisioterapeuta - Esp. Seguridad y salud en el trabajo.
Pensar en rehabilitación fisica, es pensar en la humanidad.</t>
  </si>
  <si>
    <t>Director Ejecutivo de @Fedesarrollo. Esposo de @MargarethSAQ. Papá de Isabella y Emma.</t>
  </si>
  <si>
    <t>Presidente de la República de Colombia 2022 - 2026. 🇨🇴</t>
  </si>
  <si>
    <t>Programa - Psicanálise e você
Todas às terças-feiras
às 19 horas</t>
  </si>
  <si>
    <t>MBA, MF, Country Manager Italy at #Smartenergy Group AG #Committed #Ecologist, #Renewables and #greenhydrogen enthusiast. https://t.co/7aT73d7XJ7</t>
  </si>
  <si>
    <t>Deputato @fratelliditalia - IV Commissione #Difesa Camera dei Deputati - Commissione bicamerale #Antimafia. Vicesindaco di Maruggio</t>
  </si>
  <si>
    <t>Presidente Gruppo  Fratelli d'Italia Senato. “La libertà è coraggio”</t>
  </si>
  <si>
    <t>Si usted simpatiza con la asquerosa izquierda siga de largo.</t>
  </si>
  <si>
    <t>Jornal multiplataforma</t>
  </si>
  <si>
    <t>A Escola de Engenharia de Piracicaba (EEP), da Fundação Municipal de Ensino, iniciou suas atividades em 1969 com o curso de Engenharia Civil.</t>
  </si>
  <si>
    <t>Passionate entrepreneur | Savvy stock trader | Pursuing financial independence and success | Harnessing opportunities and driving growth</t>
  </si>
  <si>
    <t>Popularizando a economia keynesiana 🏭
Quebrando mitos 🥊!
Mostrando as injustiças econômicas 🏦
https://t.co/vr4NigfbkR</t>
  </si>
  <si>
    <t>#Bitcoin #Freedom #Inovation #Nostr: #npub1jqrax60z0lkxd5ydc7l53n24zqv7nhaj8hsw6fathsnlqp3vghns9j8q8r</t>
  </si>
  <si>
    <t>Deriv, uma corretora online que torna o investimento acessível e fácil para todos. Comprometido em capacitar as pessoas a alcançar seus objetivos financeiros.</t>
  </si>
  <si>
    <t>Comunicação em tempo real sobre Oferta Pública de Distribuição de Cotas, Fato Relevante, Comunicado ao Mercado, Relatório Gerencial e Rendimentos.</t>
  </si>
  <si>
    <t>A TECNOLOGIA que vai te auxiliar a tomar as MELHORES decisões para seus investimentos. Monitorar, acompanhar e fazer a gestão de toda a sua carteira de ativos.</t>
  </si>
  <si>
    <t>Olá somos as meninas do Suporte da Hotdog Swap!
Cada uma de nós temos uma função e estaremos interagindo aqui no Twitter. Nossas imagens foram geradas por IA!</t>
  </si>
  <si>
    <t>Só vive o propósito quem suporta o processo. Em constante evolução. Vendedor, Investidor e Analista Gráfico.B3</t>
  </si>
  <si>
    <t>Unindo Finanças e Tecnologia. 💰💻  
https://t.co/vejHcII8AE. in Finance | CGA | CGE | CNPI | CFA L2 Candidate
Github: victordhn | Linkedin: Victor Dahan.</t>
  </si>
  <si>
    <t>gratidão e lealdade</t>
  </si>
  <si>
    <t>Notícias sobre mercado financeiro, economia e finanças pessoais. Este é o E-investidor, novo portal de investimentos do @estadao</t>
  </si>
  <si>
    <t>JOURNALIST, SCHOLAR AND DIALEC.
My opinions do not represent the position of the company for which I provide my services, nor my real way of being and thinking.</t>
  </si>
  <si>
    <t>Renda fixa</t>
  </si>
  <si>
    <t>Educação financeira a essência da construção de uma vida próspera.</t>
  </si>
  <si>
    <t>Trader, globalist, Financial markets and economy in 4 languages: ENG, FRA, SPA &amp; ITA.</t>
  </si>
  <si>
    <t>Tudo sobre marketing imobiliário e mercado imobiliário!</t>
  </si>
  <si>
    <t>Empresário e Trader Referência em Gestão de Risco Criador do maior EAD gratuito da Bolsa de Valores  🎥YouTube #WeAreSST 💀@sst.trade Faça parte</t>
  </si>
  <si>
    <t>🎓Master in Math Finance and Economics 🇺🇸 📍New York 🗽 💻Co-founder @4p.finance🦊@freezingfoxworldsociet</t>
  </si>
  <si>
    <t>Will Bunker Te Saluda
#SiguemeYTeSigo
#Reynosafollow
#Reynosatamaulipas
#Follow #like #Siguemeycomparte
#Music #Radioporinternet #Sigueme
#Seguidores #Gana</t>
  </si>
  <si>
    <t>Analista CNPI-T
MBA Mercado Financeiro e de Capitais</t>
  </si>
  <si>
    <t>Consultor CEA e Analista CNPI-T📊🖋️
Talvez eu possa te ajudar.. 👇</t>
  </si>
  <si>
    <t>Somos uma empresa que está promovendo educação financeira para profissionais de todo o Brasil por meio dos nossos cursos online.</t>
  </si>
  <si>
    <t>Trading XAUUSD 🔥 — Análises, Dicas e Estratégias de Trading — Sinais Gratuitos XAUUSD no primeiro link abaixo 👇 — Posts como Referência Educacional</t>
  </si>
  <si>
    <t>Do maderite ao mundo 🌍🎙
Artista: @mazzolanavoz
Projeto: @anonimousongs/ @investimentodequebrada
Loja Oficial @lojamadehits
CEO: @___mazzola___
SP✈</t>
  </si>
  <si>
    <t>Você Conectado!
📊Cobertura dos principais acontecimentos da cidade
📝Jornalismo Local e Plural
📧#guarulhosonline
📲Siga o GO no Facebook e Instagram</t>
  </si>
  <si>
    <t>Empreendedor apaixonado por vendas e marketing digital. Especialista em cursos online profissionalizantes e investimentos. Saiba mais clicando no link da bio</t>
  </si>
  <si>
    <t>Página oficial de la Facultad de Ciencias Económicas de la UdeA. Una Facultad con alto sentido académico y proyectada al mundo. Vigilada Min Educación.</t>
  </si>
  <si>
    <t>Abogado especialista en Derecho Deportivo U. Buenos Aires. Híncha de @millosfcoficial 💙. amo🇨🇴 y algo 🇦🇷 ODIO EL COMUNISMO, el Capitalismo es lo correcto</t>
  </si>
  <si>
    <t>Economia Esportes</t>
  </si>
  <si>
    <t>Economista | Mestre em Finanças Corporativas | Superintendente de Crédito | Professor | Investidor</t>
  </si>
  <si>
    <t>Sócio fundador do Hub do Investidor</t>
  </si>
  <si>
    <t>Somos uma casa de análise completa que ensina como expor seus investimentos aos mercados globais.
https://t.co/U4CHfdcgSn</t>
  </si>
  <si>
    <t>🏦 Gestora de Recursos 
Seu patrimônio pode render quando investido no lugar certo.</t>
  </si>
  <si>
    <t>💼 Day trader with an eye for the next big breakout. Trading my way to financial freedom, one candlestick at a time. 📈 #DayTrader</t>
  </si>
  <si>
    <t>Notícias a partir de São Paulo para todo Brasil. Jornalismo puro em tempo real.</t>
  </si>
  <si>
    <t>📈 Trading is my language, and charts are my poetry. Let's compose some profitable verses together! 📊 #TradingPoet</t>
  </si>
  <si>
    <t>#Informação e análise jornalísticas com credibilidade, qualidade e agilidade, baseadas nos princípios editoriais do Jornal CORREIO DE MINAS.#ConselheiroLafaiete</t>
  </si>
  <si>
    <t>A BedRock é uma Asset Management de páginas digitais e investimentos que são por ela administrados visando o aumento de seus rendimentos 
BedRock 2022-2023⭐🌈☁️</t>
  </si>
  <si>
    <t>Aqui você encontra notícias de política, economia e decisões do Poder Judiciário no Amazonas e no Brasil</t>
  </si>
  <si>
    <t>- Aprenda a lucrar em dólar
- Torne-se um daytrader chefe de suas finanças
- No mínimo US$ 25 mil de patrocínio</t>
  </si>
  <si>
    <t>The future belongs to those who believe in the beauty of their dreams 
Biólogo, PhD en farmacología y fanático de los deportes, la historia y la economía</t>
  </si>
  <si>
    <t>Entregamos a solução ideal para bancários autônomos
Oferte mais de 150 produtos de 70 parceiros
Seja um Business Banker ⤵︎
https://t.co/u7OsYIQovB</t>
  </si>
  <si>
    <t>Ingeniero Industrial- Javeriana
Banca e inversión</t>
  </si>
  <si>
    <t>Lâmpada queimada não se arruma, se troca.</t>
  </si>
  <si>
    <t>Economista e Consultor de Investimentos (CVM). Falo sobre mercados e macro. #economia</t>
  </si>
  <si>
    <t>Uma visão singular sobre os principais fatos macroeconômicos e do mercado financeiro.
Siga-nos também no Instagram: @ henleconsultoria</t>
  </si>
  <si>
    <t>Aprendendo com o passado. Fazendo no presente. Pensando no futuro.
Desenvolvimento econômico e humano sustentáveis.</t>
  </si>
  <si>
    <t>Making the future a little more predictable through independent and prospective credit ratings, commentary and research.</t>
  </si>
  <si>
    <t>Melhores Práticas Em Geração De Oportunidades.</t>
  </si>
  <si>
    <t>Elena Victoria Contreras Farias
 CHILENA🇨🇱
 🗽Liberal, Minarquista, Capitalista
 apoyo a @DarekMacpherson  🥰</t>
  </si>
  <si>
    <t>Ceo MACPHERSON-GLOBAL. True Research🌍 Egres. Derecho Master Compliance Criminal-Member WCA Assoc. Compliance-Risk Analysis- #Rechazo #Derecha PATRIOTA</t>
  </si>
  <si>
    <t>🌎 Noticias y más noticias
🗞 Información al instante
📩 lagacetachile@gmail.com</t>
  </si>
  <si>
    <t>Finanças, economia e investimentos, talvez um pouco de games.⠀⠀
- Educação Financeira 
- Opiniões
- Histórias e aleatoriedades</t>
  </si>
  <si>
    <t>Mercado Financeiro. Teoria e prática</t>
  </si>
  <si>
    <t>Mestre em Economia | Economista-chefe na @sunoresearch | Opinião pessoal. 
https://t.co/z5rl49ftg3</t>
  </si>
  <si>
    <t>📈 | Te ensino a investir com pouco $$$ 🚀
📖 |Educação financeira
 🥇| Extremo Sul de SP 📈
 | GANHE DINHEIRO do seu BANCO 🤑🏦👇🏾</t>
  </si>
  <si>
    <t>Periódico líder en lectoría en la República Dominicana.</t>
  </si>
  <si>
    <t>dinheiro nunca foi um problema de verdade! chama aqui que é de graça por enquanto!</t>
  </si>
  <si>
    <t>#DataScientist #Finance
#AI #ChatGPT #Mercado #Câmbio
It is scientific only to say what is more likely and what less likely, and not to be proving all the time.</t>
  </si>
  <si>
    <t>Economía, Rock y Fútbol</t>
  </si>
  <si>
    <t>Assessor de Investimentos</t>
  </si>
  <si>
    <t>Todo lo que necesitas saber sobre economía y negocios a nivel nacional e internacional. Disponible cada primer lunes del mes con tu diario @LaNacionPy 🇵🇾</t>
  </si>
  <si>
    <t>Cumple las funciones de Banca Central del Estado.
Contacto: info@bcp.gov.py
Seguí nuestras cuentas: @InstitutoBCP y @BCPCultural</t>
  </si>
  <si>
    <t>Italian economist
#EMU #Euro #Macroeconomics #Policy
Mastodon: @saraceno@econtwitter.net
#DiarioEuropeo per @DomaniGiornale
Io ci metto nome e cognome. Voi?</t>
  </si>
  <si>
    <t>Empréstimos de pessoa para pessoa 🤝</t>
  </si>
  <si>
    <t>Serviço financeiro
Comece com um objetivo.
Persista. Trabalhe. Tenha foco.
💶💷💵💴
🏦
Advanced Campinas
#CâmbioComercial
#RemessasInternacionais
#COMEX</t>
  </si>
  <si>
    <t>Al invertir en Hodor Investments, tendrás acceso a una amplia gama de oportunidades de inversión, incluyendo acciones, bonos, fondos de inversión y más.</t>
  </si>
  <si>
    <t>CPA 10 | CPA 20 | CEA | AAI | PQO | FBB100</t>
  </si>
  <si>
    <t>Antes de tudo, um entusiasta do mercado! Colunista do E-Investidor do Estadão, CNPI e um investidor criado para o longo prazo já que o curto deu errado rsrs</t>
  </si>
  <si>
    <t>Arko Political Risk Specialist, China-Latam policy. Johns Hopkins/SAIS Alum, Sr Associate @CSIS. Columnist @estadao, @correio, Youtube: https://t.co/lJAZY1NFRa</t>
  </si>
  <si>
    <t>Sócio RJ+ Investimentos. Falo sobre o mercado e tudo de mais relevante que impacta o Seu Bolso.</t>
  </si>
  <si>
    <t>Colunista de investimentos do Estadão &amp; criador do 1Bilhão Educação Financeira. #MétodoMR2</t>
  </si>
  <si>
    <t>Estrategista de Investimentos, Analista CNPI, +20 no Mercado Financeiro, Palestrante e Investidor.  Sócio BM&amp;C News</t>
  </si>
  <si>
    <t>O OnJornal é um veículo de comunicação com foco principal em notícias de Concursos, Empregos, Licitações e Negócios em geral.</t>
  </si>
  <si>
    <t>Matemáticas Financieras, Finanzas y Economía.
Divulgación y comentarios</t>
  </si>
  <si>
    <t>📚 Sapere Aude
👨🏼‍💼 Assessor de Investimentos
🏢 Nortus Investimentos - XP</t>
  </si>
  <si>
    <t>Investidor!!! Cripto!!!   
#MintSquare
@DackieSwap Maxi</t>
  </si>
  <si>
    <t>#Mantle #MNT Daily News, Guides &amp; Featured Projects. Insightful analytics concerning #Mantle | 👾 Not affiliation with BitDAO</t>
  </si>
  <si>
    <t>Investor, trader, developer enthusiast, self-taught, reader, eternal student, liberal and headbanger.</t>
  </si>
  <si>
    <t>Twitter OFICIAL da Escola de Administração de Empresas de São Paulo da Fundação Getulio Vargas.</t>
  </si>
  <si>
    <t>Economista e Mestre em Economia Política pela PUC/SP.
Economista-chefe do ano pela OEB em 2015.
TOP 5 BCB câmbio e SELIC anual 2021.</t>
  </si>
  <si>
    <t>SOMOS LA REFERENCIA DEL DESARROLLO CONFIABLE DE PROYECTOS INMOBILIARIOS. We Build Futures</t>
  </si>
  <si>
    <t>Promoting trade and cultural relations between 🇮🇳 and 🇧🇷.</t>
  </si>
  <si>
    <t>En Yin Yang Capital somos expertos en ETFs, Cryptos, Stocks de tecnología e Inteligencia Artificial</t>
  </si>
  <si>
    <t>🌱Engenheiro Agrônomo</t>
  </si>
  <si>
    <t>Revista y diario online de #Economía y #Empresa para Dirigentes.</t>
  </si>
  <si>
    <t>Bróker especializado en Acciones, ETFs y Acciones Fraccionadas, entre otros productos.</t>
  </si>
  <si>
    <t>Economista|Experto en Bolsa|Comunicador. Fui Fundador del Fondo BBVA&amp;Partners y Dir. Análisis Técnico Banco Santander. Suscríbete a mi newsletter en mi web</t>
  </si>
  <si>
    <t>Caixinha de pergunta todos os dias no Instagram clique e siga https://t.co/iEfP8jaKKr</t>
  </si>
  <si>
    <t>🔥 Transforme seus sonhos em realidade! 🎯 Aprenda estratégias para prosperar financeiramente! 💡 Desenvolva a mentalidade que leva ao sucesso!</t>
  </si>
  <si>
    <t>Sitio web de #Noticias de #ZonaNorte del #GBA. Actualidad sobre lo que está pasando en tu municipio y temas de relevancia nacional.</t>
  </si>
  <si>
    <t>Desarrollista. Empresario textil. Secretario de Industria y Desarrollo Productivo en @produccion_arg. Dirigente de la Unión Industrial Argentina.</t>
  </si>
  <si>
    <t>Semplifica il Trading con stile su #BingX: dove le #Crypto incontrano l'eccellenza! 🇮🇹 Scambia #BTC, #Ethereum e tantissime altre Altcoin, inizia ora!</t>
  </si>
  <si>
    <t>Conhecimento que gera e preserva riqueza</t>
  </si>
  <si>
    <t>Leading Spanish think tank on international affairs and strategic studies / Think tank de estudios internacionales y estratégicos [EN] [ES] @elcanobrussels</t>
  </si>
  <si>
    <t>Director, Master of Arts in Transatlantic Affairs; Professor, Department of European Political and Administrative Studies, College of Europe</t>
  </si>
  <si>
    <t>Periódico independiente.</t>
  </si>
  <si>
    <t>Conteúdo sobre investimentos no Brasil e exterior</t>
  </si>
  <si>
    <t>Impulsamos las microfinanzas del Ecuador</t>
  </si>
  <si>
    <t>Cuenta oficial del Banco Central del Ecuador. Autonomía técnica al servicio de la ciudadanía.</t>
  </si>
  <si>
    <t>PhD in Business Science 📝 
MBA Programs Professor 💱📈
International Finance Broadcast Analyst 🌎💰
Chemical Engineering Petroleum Specialist 🛢️⛽</t>
  </si>
  <si>
    <t>Antioqueño.Hincha del Poderoso Dim.</t>
  </si>
  <si>
    <t>Instagram: https://t.co/SPbDF41tpe…
Site: https://t.co/a4RgVnOdt5</t>
  </si>
  <si>
    <t>Twitter oficial da TV Cultura. Siga também os perfis: @jornal_cultura e @rodaviva. Acompanhe a nossa programação pelo nosso site!</t>
  </si>
  <si>
    <t>PhD Economics, Data Scientist &amp; Policy Evaluation | Consultant @PitPolicy | Coord @RedGlobalMX for LAC 🌎 | Innovation, Blockchain, Fintech, QuantumML | Eng/Spa</t>
  </si>
  <si>
    <t>Fundación privada patrocinada por CECA, con más de 30 años dedicados a la investigación económica y social, cuyos resultados se publican periódicamente</t>
  </si>
  <si>
    <t>Rebelde y Luchador por la Libertad. 
Amante de la República. 
El feminismo es la sombra de la esclavitud moderna.</t>
  </si>
  <si>
    <t>Happy soul. Good vibes only. Proud 🐕mum</t>
  </si>
  <si>
    <t>📊 Market observer decoding the charts for hidden gems. Sharing insights and market analysis daily! 🔍 #MarketObserver</t>
  </si>
  <si>
    <t>Perfil oficial do Fórum Permanente em Defesa do Serviço Público</t>
  </si>
  <si>
    <t>Há 30 anos otimizando e apoiando as operações de tecnologia e de negócios dos nossos clientes
🎯 Inovação
📲 Transformação Digital
👩‍💻 Business Agility</t>
  </si>
  <si>
    <t>https://t.co/JtaRmrkQc6
#ChileLibreDeComunismo
#CURiOSAiNTELiGENCiA
#PorLaRazon o #LaFuerza
Único país que los derrotó 4 veces
 Restituida!!! @yojitann</t>
  </si>
  <si>
    <t>🚀 Investing in crypto for the thrill of the ride. Buckle up and join me on this rollercoaster journey! 🎢 #CryptoThrills</t>
  </si>
  <si>
    <t>Mais poder para o seu dinheiro, investimento sustentável 💚</t>
  </si>
  <si>
    <t>Prepare-se para nova economia! Tudo será tokenizado, entenda com a BLOCKBR! 🚀</t>
  </si>
  <si>
    <t>Comunidad de entusiastas de Python. Cuenta de la comunidad de Python Ecuador.</t>
  </si>
  <si>
    <t>🔍 Seeking hidden gems in the crypto world and sharing my discoveries. Let's find the next big thing together! 💎 #CryptoGemHunter</t>
  </si>
  <si>
    <t>Equity Research; CNPI Analyst; Candidata at CFA Program, Level 1; Macroeconomicas; Tecnical and Fundamental Analysis; Much risk and little ego.</t>
  </si>
  <si>
    <t>red colombiana de turismo, economía regional y ruralidad ambientalmente ecosostenible</t>
  </si>
  <si>
    <t>A Somas é uma empresa de tecnologia financeira com a missão de empoderar as pessoas a tomarem melhores decisões financeiras e para a vida.</t>
  </si>
  <si>
    <t>Hi I'm Sahil. Welcome to my Twitterverse. 
Creating content on Crypto Clarity to enable more mindful crypto adoption
Business Enquiry:cryptoclarity0@gmail.com</t>
  </si>
  <si>
    <t>Edição e publicação de livros digitais em todas as áreas do conhecimento.</t>
  </si>
  <si>
    <t>Mercado imobiliário, B3 e Criptomoedas. #BTC #ETH 🇧🇷</t>
  </si>
  <si>
    <t>Invista com quem mais entende de ativos digitais. Tecnologia exclusiva e equipe especializada trabalhando a favor do seu patrimônio.</t>
  </si>
  <si>
    <t>A credibilidade da sua marca pode transformar suas despesas bancárias em receitas!</t>
  </si>
  <si>
    <t>Há mais de 20 anos, fazemos a ponte entre o mercado e sociedade, e nos propomos a impulsionar a nova geração de investimentos e investidores conscientes.</t>
  </si>
  <si>
    <t>Obradorista, chilanga, diputada de #Iztacalco y secretaria general de @MorenaCiudadMex.</t>
  </si>
  <si>
    <t>Young and dynamic full-service law firm established in 2002. Our client basis is essentially international and we currently represent clients from 44 countries</t>
  </si>
  <si>
    <t>Fique por dentro de tudo que o BC publica: https://t.co/VrFnR3Etep…</t>
  </si>
  <si>
    <t>A plataforma dos empreendedores que querem crescer. Quer ter acesso a conteúdos exclusivos de ​PEGN? É só clicar aqui e assinar:  https://t.co/gRWQgZIOtX</t>
  </si>
  <si>
    <t>A family-member
A technologist
an entrepreneur, Stock-Enthusiast</t>
  </si>
  <si>
    <t>Former Manager CIBC| Angel Investor| Stock Trader| Consultant
University of Guelph
North Dundas District High School</t>
  </si>
  <si>
    <t>Trading and investments / University of Waterloo Alumni</t>
  </si>
  <si>
    <t>Passionate about fatherhood and conquering the markets 📈 | Balancing life as a doting dad and a skilled day trader | Embracing the volatility of parenthood</t>
  </si>
  <si>
    <t>“The world’s greatest achievers have been those who have always stayed focussed on their goals and have been consistent in their efforts.”
    Dr Roopleen</t>
  </si>
  <si>
    <t>Há 22 anos produzindo jornalismo de qualidade e independente! https://t.co/deiM7RbLuS - "A Marca da Notícia"</t>
  </si>
  <si>
    <t>Administrador de empresas y mercadotecnia. Máster en Alta Dirección.
Clic aquí👇🏽</t>
  </si>
  <si>
    <t>Team to serve investors in our funds! Purchase our shares or token duly registered with the American SEC. Contact us. +55 (16)997431197 Email . Fukuoka @foresta</t>
  </si>
  <si>
    <t>Ph.D. y M.Econ. Univ. Pennsylvania; M.Econ. Williams College. Fue Economista del Banco Mundial e investigador Univ. Harvard. 
Prof.Tit. Macroeconomía UBA.</t>
  </si>
  <si>
    <t>Transparência, rentabilidade e segurança são os objetivos da nossa casa de investimentos.</t>
  </si>
  <si>
    <t>Oui c'est moi</t>
  </si>
  <si>
    <t>Pague o ÓDIO, com AMOR!!!
O Pecador Aki tbm tem alma
Pra vc #Vida #Longa e #Progressao
Eu creio em #Deus 
Eu #Amo a #Liberdade</t>
  </si>
  <si>
    <t>M&amp;A+PE+Banca de inversión. Man of the people. Opiniones personales.</t>
  </si>
  <si>
    <t>Investigative journalist. Mariñeira 📩 lgrana@farodevigo.es</t>
  </si>
  <si>
    <t>Aquí contigo desde 1853. Suscríbete ➡ https://t.co/AdiTKqKMB1
Más noticias en @FaroOMorrazo; @FaroPontevedra; @FaroArousa; @FaroOurense; @FaroDezaEstrada</t>
  </si>
  <si>
    <t>Declaração de Risco:
https://t.co/PA7EaibRnx</t>
  </si>
  <si>
    <t>💸I don't talk about day trading, I talk about freedom
🚀5 years reading flow and contradicting statistics.
👇learn everything here</t>
  </si>
  <si>
    <t>Aprenda a controlar suas finanças.
Acesse: https://t.co/hQN2NcsHKR
Publi e parcerias: 
📬 contato@ https://t.co/hQN2NcsHKR
#investimento #finanças</t>
  </si>
  <si>
    <t>Senior lawyer for education. Trader and technical analyst of financial markets and crypto.</t>
  </si>
  <si>
    <t>Analista de investimento
#Administração</t>
  </si>
  <si>
    <t>Há mais de 13 anos educando e ajudando empresas, empresários e pessoas captarem recursos e a investirem de forma inteligente e saudável.</t>
  </si>
  <si>
    <t>Centro Latinoamericano de Políticas Económicas y Sociales de la Pontificia Universidad Católica de Chile.</t>
  </si>
  <si>
    <t>Economista, con interés en finanzas y políticas públicas. Panelista #MásQueNúmeros de #RadioInfinita</t>
  </si>
  <si>
    <t>Periodista @InfinitaFM/ MAS QUE NUMEROS 9 - 10 hrs./ QUE HAY DE NUEVO 12 - 14 hrs. ❤ correr/reflexionar/amar ❤ @exantecl</t>
  </si>
  <si>
    <t>Magister en Economía @IE_UC. Clapes UC @clapesuc-Profesor de @derechouchile y Consejero Fiscal. Ex Coordinador macro y jefe de asesores del @min_hacienda</t>
  </si>
  <si>
    <t>🎙 #PalabrasConPoder | 📻 100.1 FM en Santiago | Síguenos en Facebook (https://t.co/Adip6C8ZtL) e Instagram (https://t.co/owTcePIfCR)</t>
  </si>
  <si>
    <t>Conhece-te a ti mesmo e conhecerás o universo e os deuses.</t>
  </si>
  <si>
    <t>EDN TV tu nueva y mejor opción en programación digital; pone a tu alcance su amplia variedad de contenido con una imagen fresca, original y de alto perfil.</t>
  </si>
  <si>
    <t>Corretor Imóvel em Bauru/SP desde 2001 Creci 71.244 | Amante da Vida e do Criador | Marido | Pai | Faixa Preta 🥋 Jiu-Jitsu 3º Grau | A9 ⚽️ | Cross Fit 🏋🏽</t>
  </si>
  <si>
    <t>Resultados e fatos relevantes das empresas listadas na bolsa. Mercado de câmbio e renda fixa. Somente dados e fatos objetivos. Desenvolvido por @MupiSystems</t>
  </si>
  <si>
    <t>Operações Day Trade ao vivo no Youtube das 9h as 12h. Indicador #Mufasa</t>
  </si>
  <si>
    <t>LOS NADIES TIENEN VOZ
#REDPROGRESISTA 🐦</t>
  </si>
  <si>
    <t>Nuestro objetivo es mantener la capacidad de compra de nuestro dinero y así contribuir para que la economía produzca al máximo nivel de sus capacidades.</t>
  </si>
  <si>
    <t>🔥 INVEX, um grupo de Trading focado no seu desempenho dentro do mercado financeiro!
🪙  Cripto 🌎  Macroeconomia 📈 Trading 
Acompanhe nosso dia a dia👇🏻</t>
  </si>
  <si>
    <t>https://t.co/0bLgVXJzNu
Transporte | Logística | Energía</t>
  </si>
  <si>
    <t>Abogado || Ministro de Economía de la Nación.           
🏛️ @Economia_Ar</t>
  </si>
  <si>
    <t>Somos a primeira gestora independente do Brasil focada em #ETFs. E queremos tornar o brasileiro um investidor global🌎 #ETFs #USTK11</t>
  </si>
  <si>
    <t>Acompanhe o resultado das simulações de Day Trade em Mini Índice e para mais informações siga o nosso perfil no Instagram: https://t.co/gKlc734q4L</t>
  </si>
  <si>
    <t>📈 Trading stocks, trading crypto - chasing green candles all day long! Let's make those charts smile! 😁 #GreenCandleChaser</t>
  </si>
  <si>
    <t>Mit verantwortungsvoller und zukunftsorientierter Finanzpolitik ein Klima für Innovation und Investition schaffen.</t>
  </si>
  <si>
    <t>Minister of Finance of Ukraine
https://t.co/OnQFLBUHq0</t>
  </si>
  <si>
    <t>Perfil oficial de la Embajadora de Alemania en Madrid, Maria Margarete Gosse y su equipo. Follows &amp; RTs≠endorsement
Impressum: https://t.co/Dlfd2rq3Cj</t>
  </si>
  <si>
    <t>Bundesminister der Finanzen. Bundesvorsitzender der Freien Demokraten. Es twittern er selbst (CL) und sein Team (TL).</t>
  </si>
  <si>
    <t>🔥 Trading hot takes and crypto tips. Let's make the market dance to our tune! 💃 #CryptoDancer</t>
  </si>
  <si>
    <t>La mejor herramienta de información y análisis para la toma de decisiones de negocios.</t>
  </si>
  <si>
    <t>Economía. Antes en @Gestionpe ahora en @SEMANAeconomica
email: jterranova@se.pe</t>
  </si>
  <si>
    <t>Nuestro propósito es la promoción del desarrollo equilibrado y sostenido del Perú, mediante el perfeccionamiento de la economía de mercado.</t>
  </si>
  <si>
    <t>Compartilhando inovações com a blockchain que conectam o mercado cripto e tradicional 🚀</t>
  </si>
  <si>
    <t>Mamá de Ariadna, Productora de Radio y Tv</t>
  </si>
  <si>
    <t>Ministro de Hacienda de #Misiones @misionhacienda. Misionerista. Militante del @FRdelaConcordia. Vecino y parte de la comunidad de #Apóstoles</t>
  </si>
  <si>
    <t>Lic.en Periodismo (@USalvador)
Locutor Nacional (ISARM)🟢
Posgrado en Comunicación Política @UNRosario
💻📻Dtor de @newsmisiones.
📺Conductor en @CanalCuatroPM.</t>
  </si>
  <si>
    <t>📊Day Trader Profissional  💰Investidor</t>
  </si>
  <si>
    <t>Prohibido girar hacia la ⬅️,siempre por la ➡️➡️➡️➡️</t>
  </si>
  <si>
    <t>Programa de Jóvenes por Finanzas más Sostenibles en América Latina y el Caribe</t>
  </si>
  <si>
    <t>Trabajamos en red para que el financiamiento climático sea efectivo, justo y transparente, garantice derechos humanos y atienda brechas de género</t>
  </si>
  <si>
    <t>INVESTIDOR 🇧🇷🇺🇲🇮🇱 # 
Você é a única pessoa que pode mudar sua realidade!
Você só falha quando Desisti!</t>
  </si>
  <si>
    <t>Fundador da Monex | Economia • Mercados • Investimentos</t>
  </si>
  <si>
    <t>Plataforma especializada em conteúdos sobre economia, mercado financeiro, investimentos e criptomoedas. Resumos diários dos principais sites do Brasil.</t>
  </si>
  <si>
    <t>Acceda a mercados globales con un Broker ECN multirregulado desde 2005. Actualizaciones de mercado a cargo de expertos. No dirigido a residentes de la UE.</t>
  </si>
  <si>
    <t>O Seu Dinheiro é um site de notícias e análises sobre investimentos voltado para a pessoa física</t>
  </si>
  <si>
    <t>Economista -- Corporate Finance y más
https://t.co/JtvtdWqX85</t>
  </si>
  <si>
    <t>Socio en Teknidata Consultores/ Profesor  Rosario, CESA, UIS/ RACIONALIDAD Y TOLERANCIA. Cuestiono lo que otros aceptan. No creo en ninguna ideología extrema.👫</t>
  </si>
  <si>
    <t>Every word of God is pure, he is a shield to those who trust in him.🙏🏾 Financial planner 💼 Ex-Football Player ⚽️  Entrepreneur 💻 🇧🇷 🇵🇹 🇬🇧</t>
  </si>
  <si>
    <t>Investimentos Inteligentes</t>
  </si>
  <si>
    <t>Docente Investigador Universitario
Posdoctorante #CCSS #UBA
Doctorado #Filosofía #UH
Maestría #Comunicación
Árbitro #UNAM (Mex) #UCM (Esp)
VIVA #PALESTINA LIBRE</t>
  </si>
  <si>
    <t>Envidio a los luchadores incansables. Yo me canso, pero sigo luchando.😉</t>
  </si>
  <si>
    <t>Medico Cirujano</t>
  </si>
  <si>
    <t>🎨 NFT artist turning pixels into NFT masterpieces. Join me on my journey to redefine digital art! 🖌️#tradingpsychology #tradingsuccess</t>
  </si>
  <si>
    <t>Assessor de Investimentos || Cordier Investimentos | BTG Pactual.</t>
  </si>
  <si>
    <t>Macro Strategy BTG Pactual | Mestre em Economia pela Universidade de São Paulo | Em busca do modelo perfeito | #rstats | all opinions are my own</t>
  </si>
  <si>
    <t>Macro, política e investimentos. Economista do @btgpactual</t>
  </si>
  <si>
    <t>artist,graphic designer, i love comic books, ciency fiction and adult movies, and the photography</t>
  </si>
  <si>
    <t>Investidor Qualificado 📈
Empresário 👨🏻‍💻</t>
  </si>
  <si>
    <t>Há 25 anos desenvolvemos conteúdos educacionais e soluções em tecnologia, sempre com o cuidado e respeito ao ser humano.</t>
  </si>
  <si>
    <t>A notícia que rende.</t>
  </si>
  <si>
    <t>Palma de Mallorca (1953)       Catedrático de Economía en la Universitat de Barcelona.</t>
  </si>
  <si>
    <t>Asesor Financiero Europeo UPV. Certificado EFPA Socio 33367. Colaborador https://t.co/swqFaRHvQJ, https://t.co/I9Hi1TkSy1, https://t.co/hBjxUKd9EH. Canal alertas  https://t.co/jHOet4yieA</t>
  </si>
  <si>
    <t>66.96% de inversores minoristas pierden dinero al negociar CFD con este proveedor. Debe considerar si puede permitirse correr el alto riesgo de perder su dinero</t>
  </si>
  <si>
    <t>Professor de Língua Portuguesa, Redação e Literatura.
Sem a luta de classes, não há revolução.</t>
  </si>
  <si>
    <t>Profissional no marketing  de mercado financeiro de criptoativos,as criptomoedas mais promissoras para aquisição e prestação de serviços para novos parceiros.</t>
  </si>
  <si>
    <t>Il mio blog sui mercati finanziari al link https://t.co/bGWTcOvME5</t>
  </si>
  <si>
    <t>🎢 Protecting my crypto like a dragon guards its treasure. Security first, profits second! 🐉 #CryptoGuardian</t>
  </si>
  <si>
    <t>Siga https://t.co/jSHeajpBM9
#ABPoeta</t>
  </si>
  <si>
    <t>Jornalista freelance. Estudos Sociais (História, OSPB, Geografia).  Escritor, redator, revisor.  Autor de teleteatros/programas TV e livros.</t>
  </si>
  <si>
    <t>Único jornal especializado em Economia, Gestão e Negócios de Minas Gerais</t>
  </si>
  <si>
    <t>Contador, Consultor, em Belo Horizonte, Especialista em Abertura de Empresas e Contabilidade. Accounting manager in Belo Horizonte, MG, Nasci em Rancagua, Chile</t>
  </si>
  <si>
    <t>#RedProgresista #ProgresistaSigueProgresista</t>
  </si>
  <si>
    <t>▶️APRENDA A GANHAR 30k por mês COM YOUTUBE💰  Clica no link abaixo e adquira o MILIONÁRIO COM YOUTUBE 👇</t>
  </si>
  <si>
    <t>El primer canal de economía de la Argentina. Cableoperadores: Td: 25.6 | Telecentro: 21 | Directv: 1722 | Clarotv: 22 | Sensa: 196 | Telered: 126 | Trimi: 24</t>
  </si>
  <si>
    <t>Instituição sem fins lucrativos, dedicada ao ensino e à pesquisa. Oferecemos cursos de graduação, pós-graduação, educação executiva e customizados.</t>
  </si>
  <si>
    <t>Estou aqui para compartilhar minha visão sobre investimentos.</t>
  </si>
  <si>
    <t>Imagem e semelhança do Criador 
🚨Os códigos estão no Instagram @cllaudioleite 🚨
💰💰 Empreendedor nato | Aprendiz no Mercado Financeiro 📈📉</t>
  </si>
  <si>
    <t>jornalismo, mercado financeiro e tudo que envolve cenário econômico.</t>
  </si>
  <si>
    <t>Jornalista. Palmeirense  Apresentador e Produtor de conteúdo do @tcinvestimentos.</t>
  </si>
  <si>
    <t>Flawless | IT Expert | Educator | Stock Enthusiast |
Entrepreneur | Investor  |
Don't just live a life, leave a legacy...</t>
  </si>
  <si>
    <t>Faço análise de dados, resumo notícias e compartilho. Falo sobre #economia, #mercadofinanceiro, #dados  e #educação. Tbm reclamo de absurdos e marco empresas!</t>
  </si>
  <si>
    <t>Through data capture and AI, Tholian Data Solutions fosters the furtherance of the global digital economy.</t>
  </si>
  <si>
    <t>📚 Student of the market, always striving for financial growth. Learning, earning, and sharing along the way! 📈 #MarketStudent</t>
  </si>
  <si>
    <t>Resumo de cartas de gestoras de fundos utilizando o GPT 4 com referências para cada trecho citado.</t>
  </si>
  <si>
    <t>Gestor financeiro do RAL BANK</t>
  </si>
  <si>
    <t>Portal de notícias com conteúdo de #negócios #economia #tecnologia</t>
  </si>
  <si>
    <t>📉 Embracing the dips and celebrating the peaks. That's the life of a crypto and stock enthusiast! 📈 #CryptoLife</t>
  </si>
  <si>
    <t>La pagina de referencia para la información financiera. Noticias y datos a nivel mundial, portafolios de referencia y un equipo de expertos y apasionados.</t>
  </si>
  <si>
    <t>Amante de la industria Cripto y Blockchain. ¡Aprendamos juntos! 
🎥 LBRY: @ElCryptonauta</t>
  </si>
  <si>
    <t>💼 9 to 5 analyst turned crypto enthusiast. Analyzing blockchain projects and sharing my findings. 📊 #CryptoAnalyst</t>
  </si>
  <si>
    <t>Quer conversar sobre #investimentos? Do início ao avançado 👉 https://t.co/baTRTtnSFN</t>
  </si>
  <si>
    <t>Economês em bom português</t>
  </si>
  <si>
    <t>A Infratech que nasceu do sonho de descomplicar o mercado de capitais através da tecnologia.
https://t.co/wDdKjaqTFO</t>
  </si>
  <si>
    <t>We are a South-led global coalition in the #TaxJustice movement 🌎 @justiciafiscal @TaxJusticeAfric @WeAreTAFJA @FACTCoalition @FairTaxCanada</t>
  </si>
  <si>
    <t>Economista e tomador de café profissional.</t>
  </si>
  <si>
    <t>Finance Advice
Join My YouTube Channel 😉</t>
  </si>
  <si>
    <t>PMO, 36y, Corinthiano 🦅🖤🤍 - Países ✈️ : 🇧🇷🇨🇭🇩🇪 🇮🇹 🇫🇷 🇨🇱 🇩🇴 🇵🇦 🇲🇽 🇦🇷 🇵🇪 🇨🇴 🇺🇾 🇵🇾 🇺🇸 🇵🇹 🇳🇱 🇦🇹 🇭🇺 🇨🇿 🇸🇰 e...😎 🥃🥊</t>
  </si>
  <si>
    <t>Padtec is a company dedicated to the development, manufacturing and sales of high capacity optic communication systems.</t>
  </si>
  <si>
    <t>Somos um site de educação financeira e nosso foco é te ensinar a investir 📊
Invista em aprender com os melhores. Inscreva-se na Money Week 👇🏻</t>
  </si>
  <si>
    <t>Demos acesso à internet para uma Inteligência Artificial, com o objetivo dela elencar as notícias mais importantes do momento.</t>
  </si>
  <si>
    <t>🔑 Unlocking the potential of blockchain technology, one project at a time. Join me in the world of crypto innovation! #BlockchainExplorer</t>
  </si>
  <si>
    <t>📚 Crypto scholar dissecting whitepapers and unraveling the mysteries of blockchain tech. Join me in the classroom of crypto! 📖 #CryptoScholar</t>
  </si>
  <si>
    <t>Compartilhando informações sobre mercado financeiro e palpitando nos posts alheios...</t>
  </si>
  <si>
    <t>Leer es fenomenal</t>
  </si>
  <si>
    <t>📧: contato.adrianossantos@gmail.com</t>
  </si>
  <si>
    <t>A Tamer Comunicação está no mercado corporativo há 30 anos e oferece soluções em Assessoria de Imprensa, Marketing, Relações Públicas para seus clientes.</t>
  </si>
  <si>
    <t>Funcionário público☎️, investidor B3/NYSE📊, trader esportivo⚽🏀, PC gamer, Flamengo, Milan, Liverpool, Boston Celtics e Denver Nuggets,capricórnio♑</t>
  </si>
  <si>
    <t>Startup de conteúdo RQD pra geração Z. Pop é ser inteligente! https://t.co/yvXrvKUj7p by gabivalente</t>
  </si>
  <si>
    <t>No tengo culpa de tener el Corazón en la Izquierda y la sangre roja...</t>
  </si>
  <si>
    <t>Inversor privado y creador de contenidos: Dinero, Macroeconomia, Energía y sobre todo Oro y Plata
⚡️dragonoroplata@getalby.com</t>
  </si>
  <si>
    <t>El que busca la verdad corre el riesgo de encontrarla. Canal Twitch https://t.co/2UucK1nJdq Canal telegram https://t.co/y7Gnc0ssU3…</t>
  </si>
  <si>
    <t>Acompanhe todos os seus investimentos em um só lugar.
+ de 1 milhão de pessoas à frente do seu próprio dinheiro 🤑💰
Conheça e baixe o #KinvoApp</t>
  </si>
  <si>
    <t>🌐 Decentralization advocate on a mission to empower the people. Join the revolution! 🚀 #DecentralizeItAll</t>
  </si>
  <si>
    <t>🔥Christ | 💪Entrepreneur | 🌇Real Estate Consultant | 💻ITguy | 📈Marketer | ⏳ History buff</t>
  </si>
  <si>
    <t>Especialista com Certificação CNPI-T e CFP® | Há mais de 20 anos no mundo dos negócios | Vamos falar sobre suas finanças| Instagram: @ocleydsontrader</t>
  </si>
  <si>
    <t>Periodista, siempre. Premio Vida y Obra Club de la Prensa Medellín 2017. Director programa ASI VA ANTIOQUIA. Múnera Eastman790AM, lunes a viernes, 7 a 7:30 pm.</t>
  </si>
  <si>
    <t>Economía.
Analista y Trader
#fx #sp #nq #xau #xag #btc #eth</t>
  </si>
  <si>
    <t>📊 Información de #negocios #economía #agro #finanzas #gestión y #emprendimientos de la Región Centro de #Argentina 🇦🇷</t>
  </si>
  <si>
    <t>Ingeniero Agrónomo @FAUBA_oficial y Socio Gerente Zorraquín+Meneses con @AleMenesesZM</t>
  </si>
  <si>
    <t>📰 El diario digital de Rosario y la región.</t>
  </si>
  <si>
    <t>Ingeniero Industrial y Economista especializado en Finanzas Públicas y Macroeconomía.</t>
  </si>
  <si>
    <t>Pipeline, site de negócios do Valor Econômico</t>
  </si>
  <si>
    <t>Analista de información, analista de seguridad informática, programador de software, desarrollador de APPS móviles,Growth hacking, simplemente El Creador.</t>
  </si>
  <si>
    <t>Uma sofisticada plataforma de investimentos focada em atender o interior de SP</t>
  </si>
  <si>
    <t>Trader desde 2018, apaixonado pelo mercado de forex e criptomoedas. Objetivo, postar analises e noticias interessante sobre os mercados.</t>
  </si>
  <si>
    <t>Cuenta oficial de la Universidad Nacional de La Matanza.</t>
  </si>
  <si>
    <t>🌟 NFT creator forging digital art on the blockchain. Turning imagination into tokenized reality! ✨ #NFTCreator</t>
  </si>
  <si>
    <t>Brazilian 🇧🇷,
Software Engineer 💻</t>
  </si>
  <si>
    <t>A mais completa e admirada cobertura de economia, negócios e finanças. Notícias que geram negócios.</t>
  </si>
  <si>
    <t>Educação Financeira de forma descomplicada e ao alcance de todos!
Ações, FII, Altcoins, NFT.
Trading, Price Action.</t>
  </si>
  <si>
    <t>🖥️ Tecnólogo em Redes
📊 Trading, política &amp; mercados.
💡📝📚 Nunca pare de aprender, pois a vida nunca para de ensinar.
📊🎯</t>
  </si>
  <si>
    <t>ExCorresponsal @RadNalCo. ExDir. @BoyacaRCNRadio. ExPte Juntas Cám. Comercio-Consejo Mpal. Cultura Duitama. VicePte @FLIP_org Corresp. Boyacá Periodista-Locutor</t>
  </si>
  <si>
    <t>¡Bienvenido! Este espacio es para tener una comunicación más ágil, cercana y simple. 🇨🇴 Director General: @luiscrh</t>
  </si>
  <si>
    <t>Compartilhando conteúdo de economia academicamente mainstream em uma internet lotada de heterodoxias.</t>
  </si>
  <si>
    <t>Cuenta oficial del Centro de Innovación Docente y Educación Digital (CIED) de la URJC. Marcas: URJC online – URJCx – Aula Virtual.
Blog: https://t.co/CeegpgnAMR</t>
  </si>
  <si>
    <t>principalmente, docente. #YosoyURJC</t>
  </si>
  <si>
    <t>Cuenta oficial de la Universidad Rey Juan Carlos #YoSoyURJC</t>
  </si>
  <si>
    <t>Fórmate en las nuevas competencias y habilidades para el trabajo de hoy: #Ciberseguridad #Programación #Idiomas #eSports #PMP y ¡mucho más!</t>
  </si>
  <si>
    <t>A maneira objetiva de analisar o mercado!
Youtube: Trend Squad 
https://t.co/Tz6UFdHDSB</t>
  </si>
  <si>
    <t>Vença em #bolsadevalores (Brasil ou EUA) e conquiste #prosperidadefinanceira!  Por Ricardo Vasconcellos, certificado CME Institute, Chicago, EUA.</t>
  </si>
  <si>
    <t>Bem-vindo ao Com Lucro!
Com Lucro é mais do que um simples site, é um portal criado com o objetivo de auxiliar e orientar os traders investidores a tomarem as m</t>
  </si>
  <si>
    <t>Jornal regional de informação geral e inspiração cristã.
https://t.co/k99to9Qfai
https://t.co/iMa9BX1EOP</t>
  </si>
  <si>
    <t>Tired scouting for updates on Hedge fund industry, Family Offices, FPIs &amp; macro economic trends?
430am Buzz brings a one-stop solution to your info search woes</t>
  </si>
  <si>
    <t>En busca de la Libertad Financiera ayudando a que todos inviertan en criptomonedas #ADA #SOL #VET #SAND #SHIBA #CHILLIZ #HEDERA</t>
  </si>
  <si>
    <t>⚡️ Utilizamos energia ociosa para alimentar data centers de alta performance, unindo a tecnologia ao meio ambiente!</t>
  </si>
  <si>
    <t>📌A Falcon Trader é uma das maiores escolas de investimentos do Brasil com credenciamento na APIMEC.</t>
  </si>
  <si>
    <t>Facebook: https://t.co/117tqHc3sU
Instagram: @jovempannews 
Telegram: https://t.co/qKvdBLVYUT
Newsletter: https://t.co/yzW9nEWqXu</t>
  </si>
  <si>
    <t>🌐 Operador Financeiro 
🎓 Gestão Financeira
🌏 Especialista em leitura de fluxo</t>
  </si>
  <si>
    <t>🚀 Cryptonaut exploring the far reaches of the crypto universe. To the moon and beyond! 🌌 #CryptoExplorer</t>
  </si>
  <si>
    <t>CEO de @Grupo_RC2008 Cofundador de @quelibroleo y @quaterni Profesor en @estudiosCEF y @Udima #Marketing 🏷 y #Libros 📚</t>
  </si>
  <si>
    <t>Mais tecnologia. Menos processos. É o Jeito Gondim.</t>
  </si>
  <si>
    <t>Compartilhando idéias proprietárias tiradas da minha cabeça. que olha esse caos controlado chamado mercado, a um bom tempo!</t>
  </si>
  <si>
    <t>👍🏻🇧🇷</t>
  </si>
  <si>
    <t>Rentabilizando Capital principalmente en el Mercado Americano. Operando desde 1989. Ninguno de estos tweets son recomendaciones de Compra o Venta.</t>
  </si>
  <si>
    <t>Carlos Martins #CM, fundador do Trader Gráfico, utiliza o twitter para divulgar suas análises e opiniões. Siga.</t>
  </si>
  <si>
    <t>The first global law firm with a local soul.
 El primer despacho global con alma local. 
#ontiernoeslomismo</t>
  </si>
  <si>
    <t>Entidad constitucionalmente autónoma que tiene el mandato de preservar la estabilidad monetaria del país.</t>
  </si>
  <si>
    <t>RUC: 20101917003
Razón Social: Cámara de Comercio Americana del Perú</t>
  </si>
  <si>
    <t>Repórter do Diário do Comércio 👨‍💻📰</t>
  </si>
  <si>
    <t>Insights, dados diários e notícias sobre o mercado financeiro, macroeconomia e ações. Investidor desde 2012 📈📉📊</t>
  </si>
  <si>
    <t>Piu’ #agraria🔬🌳🍷🌳🌹🐞☄️🌾 🐱🐶🦊 che giornalista 💻 @agrotecnici @odglombardia - mamma ❣️ #HumanRights ⚖️ #SulleRegole #CRIMilano - RT not endorsement</t>
  </si>
  <si>
    <t>Senatrice Pd. Ulivista. Seconda di cinque fratelli e sorelle. Amante della musica, mostly Mozart. Appassionata di Tolstoj, Guerra e Pace in testa</t>
  </si>
  <si>
    <t>Fundada em 1983, a Enfoque é uma empresa provedora de informações, ferramentas e soluções para o mercado financeiro.
https://t.co/VH96ufg0le</t>
  </si>
  <si>
    <t>Here you will find my #trades on #B3. I also develop projects and share ideas... @versacafe @azuapp_</t>
  </si>
  <si>
    <t>Nada mais que a verdade!</t>
  </si>
  <si>
    <t>Esquerdismos, são paulo futebol clube e leves doses de depressão 
☭
🔴⚪⚫
https://t.co/pj8q57BIeh</t>
  </si>
  <si>
    <t>Manager Artist Stefan
Fotógrafo e Videomaker</t>
  </si>
  <si>
    <t>Fundação de Previdência Complementar do Servidor Público Federal do Poder Executivo</t>
  </si>
  <si>
    <t>https://t.co/hpe0gAzYIV | Conectando Investidores</t>
  </si>
  <si>
    <t>🌾Federación Nacional de Arroceros-Fedearroz 
📍Asociación de carácter gremial y nacional.
🇨🇴Desde 1947 al servicio de los agricultores arroceros colombianos.</t>
  </si>
  <si>
    <t>Alianza de empresas de aplicaciones e innovación de Colombia. Brindamos soluciones tecnológicas de impacto social y económico a la ciudadanía.</t>
  </si>
  <si>
    <t>Cuenta oficial de Migración Colombia. Canal de orientación. No es un canal oficial de respuesta. Para respuestas Oficiales haga click aquí 👇🏼</t>
  </si>
  <si>
    <t>The leading independent provider of research and consulting services to the global maritime and shipping industry.</t>
  </si>
  <si>
    <t>Centro de investigación económica y social. Contribuimos al diseño, seguimiento y mejoramiento de las políticas públicas.  Director Ejecutivo: @LuisFerMejia</t>
  </si>
  <si>
    <t>Cuenta oficial de la Presidencia de la República de Colombia.</t>
  </si>
  <si>
    <t>Cuenta oficial de la Cámara de Representantes de Colombia 🏛️. ¡Aquí vive la democracia! Presidente: @AndresCalleA</t>
  </si>
  <si>
    <t>Cuenta oficial de la Comisión Económica para América Latina y el Caribe. Sigue @eclac_un en inglés. #75añosCEPAL</t>
  </si>
  <si>
    <t>Asociación Nacional de Movilidad Sostenible - Colombia</t>
  </si>
  <si>
    <t>¡Solo un amigo acepta ser tu fiador! Somos la entidad líder en garantías para las mipymes y de la economía popular de Colombia. 🇨🇴 Presidente: @JCuellar2023</t>
  </si>
  <si>
    <t>Promovemos la competitividad de la industria automotriz colombiana bajo una visión innovadora de ascenso tecnológico, seguridad e impacto social y ambiental.</t>
  </si>
  <si>
    <t>En ASOMICROFINANZAS trabajamos como gremio por el fortalecimiento y consolidación de la industria de las microfinanzas en Colombia.🇨🇴</t>
  </si>
  <si>
    <t>Ciudadana, mamá, congresista.</t>
  </si>
  <si>
    <t>Canal oficial del Fondo Nacional del Ahorro
Convertimos las #Cesantías y el #Ahorro 💰 de los colombianos en #ViviendaPropia. Horario de atención: 08:00 – 17:00</t>
  </si>
  <si>
    <t>The official Twitter channel of the Board of Governors of the Federal Reserve System. Privacy Policy: http://t.co/pbRRCfwyou</t>
  </si>
  <si>
    <t>¡Cerramos inscripciones! Pronto anunciaremos los equipos que competirán por la gloria en la #CopaCracksDeCorazón. Sigue el torneo en nuestras redes. ⚽🏆</t>
  </si>
  <si>
    <t>Bienvenidos a la Bolsa de Valores de Colombia. Un lugar en donde TODOS podemos crecer. 💙🤝</t>
  </si>
  <si>
    <t>Official account for the latest company news and updates from Asset Management, Private Banking, Commercial Banking, and the Corporate and Investment Bank.</t>
  </si>
  <si>
    <t>Are you following me? Are you following me? Well suffer, my pretty warriors, and follow me.</t>
  </si>
  <si>
    <t>Cuenta oficial del Sistema de Transporte Masivo de Bogotá y referente mundial.</t>
  </si>
  <si>
    <t>Economista, abogado, padre de Familia. Director Nacional de Crédito Público y Tesoro Nacional en @MinHacienda. Defensor Autonomía de Banca Central y ReglaFiscal</t>
  </si>
  <si>
    <t>Gobernador del departamento del Meta.
¡Orgullosamente Llanero!</t>
  </si>
  <si>
    <t>Federación Nacional de Comerciantes. ¡Somos la fuerza que une al comercio de Colombia!🇨🇴</t>
  </si>
  <si>
    <t>Cuenta oficial del Ministerio de Vivienda, Ciudad y Territorio, liderado por la ministra @CATALINAVELASCO.
República de Colombia.</t>
  </si>
  <si>
    <t>Representamos y articulamos la cadena de valor de la construcción e impulsamos el desarrollo competitivo de Colombia. Nuestro Presidente @gherreracas</t>
  </si>
  <si>
    <t>60 Años siendo el centro articulador que fortalece la comunidad de empresas de capital estadounidense establecidas en Colombia.</t>
  </si>
  <si>
    <t>Somos el gremio que representa a las micro, pequeñas y medianas empresas del país. Trabajamos para su desarrollo y competitividad.</t>
  </si>
  <si>
    <t>Últimas noticias y alertas del Fondo Monetario Internacional. Também temos atualizações em português.</t>
  </si>
  <si>
    <t>REPRESENTANTE A LA CÁMARA 2018-2022. Ing. Industrial (Uniandes)y Master en Gob y Políticas públicas de la U. Externado. Política, fútbol y música.</t>
  </si>
  <si>
    <t>Economista, Rector Universidad EIA | Exministro de Hacienda y de Comercio, Industria Turismo | Trabajando por 🇨🇴 https://t.co/v6wWMkfaFK</t>
  </si>
  <si>
    <t>Principal canal de comunicación de la Organización para la Cooperación y el Desarrollo Económicos en español.</t>
  </si>
  <si>
    <t>Cuenta oficial del Ministerio del Interior de Colombia.
Ministro @velascoluisf.</t>
  </si>
  <si>
    <t>Ministro @MinInterior | Expresidente del Congreso, exconsejero presidencial, exalcalde de Popayán, expresidente Caucanos por la Paz, Liberal 🇨🇴</t>
  </si>
  <si>
    <t>Sostenibilidad de las Finanzas Públicas</t>
  </si>
  <si>
    <t>Organización Gremial Cúpula de Colombia, reúne a los 32 gremios más representativos del país</t>
  </si>
  <si>
    <t>Zona Franca Bogotá con más de 25 años de experiencia en el desarrollo de actividades industriales, de bienes y servicios con incentivos del Régimen Franco.</t>
  </si>
  <si>
    <t>💙 🇦🇷 🇧🇴 🇧🇷 🇨🇱 🇨🇴 🇨🇷 🇨🇺 🇪🇨 🇸🇻 🇪🇸 🇺🇸 🇬🇹 🇭🇳 🇲🇽 🇳🇮 🇵🇾 🇵🇦 🇵🇪 🇵🇷 🇩🇴 🇺🇾 🇻🇪 💙</t>
  </si>
  <si>
    <t>𝗨𝗡𝗜𝗗𝗢𝗦  Cámara Intergremial del Transporte</t>
  </si>
  <si>
    <t>Profesor de la Escuela de Asuntos Internacionales y Públicos de la Universidad de Columbia.</t>
  </si>
  <si>
    <t>Trabajamos por una 🇨🇴 sin pobreza, construyendo el futuro que refleje una sociedad más equitativa, incluyente y reconciliada. El camino es la #PazTotal</t>
  </si>
  <si>
    <t>Economista. Ministro de Comercio, Industria y Turismo @Mincomercioco</t>
  </si>
  <si>
    <t>Dedicado a la investigación en temas de política económica y social, para contribuir al debate y diseño de políticas públicas.</t>
  </si>
  <si>
    <t>96 años trabajando por las familias caficultoras de Colombia ☕🇨🇴</t>
  </si>
  <si>
    <t>🇨🇴 Ministra de Agricultura y Desarrollo Rural | Constructora de Paz</t>
  </si>
  <si>
    <t>Cuenta oficial Ministerio de Agricultura y Desarrollo Rural #Col 🇨🇴 Ministra Jhenifer Mojica Flórez @jmojicaflorez</t>
  </si>
  <si>
    <t>Desarrollo Social / @ANDI_Colombia/Más Empleo y Oportunidades/Empresa actor de desarrollo/Diálogo Social/Activista de las Soluciones/ Consejo Nal de Paz 🇨🇴</t>
  </si>
  <si>
    <t>Asociación Nacional de Empresarios de Colombia. Desde 1944 trabajando por el desarrollo empresarial y del país 🇨🇴.  
#MásPaísANDI</t>
  </si>
  <si>
    <t>Ex Ministra Minas&amp;Energia Col. AcadémicaActivisita. Decidida defensora de la vida y de la justicia social y ambiental. Madre, Hija, Esposa, Profe.</t>
  </si>
  <si>
    <t>Ministro de Hacienda, Ex-Presidente Findeter. Ex-Secretario Hacienda Bogotá. Miembro ACCE. Economista Profesor Pensionado Universidad Nacional Colombia</t>
  </si>
  <si>
    <t>La Superintendencia Financiera de Colombia es un organismo técnico, adscrito al Ministerio de Hacienda y Crédito Público.</t>
  </si>
  <si>
    <t>Somos la Federación de #Aseguradores #Colombianos. Impulsamos la cultura de los #seguros y la modernización de la #industria.</t>
  </si>
  <si>
    <t>The global association of the financial industry</t>
  </si>
  <si>
    <t>Presidente @AMVcolombia; Ex Director General de Crédito Público y Tesoro Nacional; Ex Goldman Sachs; Ph.D. Economía Northwestern U; Opiniones personales.</t>
  </si>
  <si>
    <t>Cuenta oficial del Senado de la República de Colombia 🏛️. Presidente del Congreso, Iván Leonidas Name Vásquez. @IvanNameVasquez @PartidoVerdeCol</t>
  </si>
  <si>
    <t>Cuenta oficial del Ministerio de Comercio, Industria y Turismo de Colombia 🇨🇴</t>
  </si>
  <si>
    <t>Asociación Hotelera y Turística de Colombia, entidad sin ánimo de lucro, que fortalece y agrupa los establecimientos de alojamiento en Colombia desde 1954.</t>
  </si>
  <si>
    <t>Inversor 📈/Gamer 🎮/Cinefilo 📼
Emprendedor 🏛️/Creador De Contenido 🌐
Mined Academy 💻 
Hazlo o Dejalo, No Hay Intentos.. ✨💙
Hablame A Mis Redes 👇👇👇</t>
  </si>
  <si>
    <t>aposentado, contador,patriota🇧🇷🇧🇷🇧🇷
joares.pereira@hotmail.com</t>
  </si>
  <si>
    <t>📻 Radio líder en información sobre #economía #finanzas, #mercados y #criptomonedas 📈
Síguenos también en Telegram 📲 https://t.co/kWSKcVqfcj…</t>
  </si>
  <si>
    <t>Nem melhor, nem pior. Apenas diferente.😉</t>
  </si>
  <si>
    <t>Que más da si cuento algo que sea verdad sobre la crisis financiera ?</t>
  </si>
  <si>
    <t>Criado em 2016, Elite Of Shaddows é um comando de GTA Online, onde a zoeira não tem limite.
Elite Of Links 👇👇</t>
  </si>
  <si>
    <t>Lorem ipsum dolor sit amet, consectetur adipiscing elit. Nam venenatis pretium neque.</t>
  </si>
  <si>
    <t>🟢Criptoinversor desde 2017, $ADA holder. Tradeando se puede vencer al #criptomercado . Enlaces oficiales aquí👇👇👇</t>
  </si>
  <si>
    <t>A rádio que toca notícia também no Twitter! Acompanhe a CBN Vitória por aqui, em 92,5FM, no site, app, e nas plataformas de podcast. #OuçaNaCBNVitória</t>
  </si>
  <si>
    <t>Administrador Financiero.
Llanero, Acacireño. 
Cero Comunismo, marxismo.  No le gusta lo que Lee, siga bajando con el dedo.
URIBISTA.</t>
  </si>
  <si>
    <t>Devoted and Insightful individual
Qualified ICT Data analyst, Stock enthusiastic
Entrepreneur</t>
  </si>
  <si>
    <t>Economista - 
Especialista em Gestão Pública Especialista em Gestão Pública Municipal - 
Franquia @b2b_solucoes - 
App @nivelcashback - 
Sócio-Prop. @bprsolar</t>
  </si>
  <si>
    <t>🌌 Navigating the crypto cosmos, searching for hidden gems. Sharing my insights and discoveries along the way! 💎 #CryptoExplorer</t>
  </si>
  <si>
    <t>Caderno de economia com as notícias mais importantes sobre negócios, mercado financeiro, finanças e tecnologia</t>
  </si>
  <si>
    <t>Acolhedora de cancelados e injustiçados. Se o politicamente correto estiver de um lado eu PROVAVELMENTE estarei do outro.</t>
  </si>
  <si>
    <t>Seguimiento Electoral en el Mundo - Noticias</t>
  </si>
  <si>
    <t>Economista. Asesoría Macro, Datos Macro, Finanzas y FinTech; Institucionalidad y Transparencia. Discusiones en positivo. El futuro es de valientes. DFS.</t>
  </si>
  <si>
    <t>💯100% Winning Rate
📱Online Mentorship
💰Wealthy Mindset
👩🏻‍💻Providing Awareness And Education To Everyone On How To Profit
From The Stock Market 📲💻</t>
  </si>
  <si>
    <t>Investor &amp; Trading   👨🏻‍💻 📈</t>
  </si>
  <si>
    <t>Liberando el Poder Todopoderoso del Análisis Bursátil en el Bull Market de la Bolsa de Valores de Buenos Aires
Nuestras inversiones siempre son riesgosas.</t>
  </si>
  <si>
    <t>Cuenta Oficial de la Secretaría de Asuntos Económicos del Partido Revolucionario Moderno (@prm_oficial)</t>
  </si>
  <si>
    <t>Partido Revolucionario Moderno | Organización Política de la Democracia | Desarrollo | Igualdad | #YoCreoEnTi</t>
  </si>
  <si>
    <t>URIBISTA 100%</t>
  </si>
  <si>
    <t>Prof. @ColumbiaSIPA + @ColumbiaUenergy.
https://t.co/OvWAdlbzhv https://t.co/qrMzEFr2C8… https://t.co/mGcReVp9sv…</t>
  </si>
  <si>
    <t>💡 Crypto enthusiast with a passion for learning and sharing knowledge. Join me in the pursuit of crypto wisdom! 📚 #CryptoWisdom</t>
  </si>
  <si>
    <t>Informação para você ter o controle de seu conhecimento e não permitir que manipulem sua vida e futuro</t>
  </si>
  <si>
    <t>Estudando sobre investimentos e aplicando para uma carteira de longo prazo com foco em dividendos.     📊📈📉</t>
  </si>
  <si>
    <t>Sejam bem vindos a Crypto Investidor! 
https://t.co/KiglEufYiT</t>
  </si>
  <si>
    <t>Il futuro è qui
blockchain crypto NFT fintech IA Macroeconomia</t>
  </si>
  <si>
    <t>🇧🇷🇦🇷 🇵🇹 🇮🇹🇻🇦🇪🇸🇳🇱🇬🇧🇫🇷🇨🇱🇩🇴🇺🇾🇺🇸🇲🇽🇦🇪🇨🇼 Médico🩺, casado , guitarrista de blues🎸, gamer, MBA em investimentos, Ninjutsu Black Belt🥋</t>
  </si>
  <si>
    <t>Astrophysicist | Climate Change Advocate | StockTrader</t>
  </si>
  <si>
    <t>Ponemos color a las noticias</t>
  </si>
  <si>
    <t>O Portal dos Paraibanos</t>
  </si>
  <si>
    <t>Soluções de TI, Telecom e Mobilidade para habilitar a sua empresa para o próximo nível.</t>
  </si>
  <si>
    <t>Consultora de inversión financiera / Nosotros nos encargamos de tu FUTURO / Multiplicamos tus ahorros para que le ganes a la inflación /</t>
  </si>
  <si>
    <t>No lo vas a leer, ni ver, ni escuchar en otro lado</t>
  </si>
  <si>
    <t>Economista</t>
  </si>
  <si>
    <t>🇪🇸  Beati Bellicosi 
🇦🇷  #argentinosenelexterior</t>
  </si>
  <si>
    <t>A resenha aqui é sobre #Economia 🤑</t>
  </si>
  <si>
    <t>👇🏼Teaching FREE English/Spanish Educational Lessons On #YOUTUBE👇🏼
Computer Science (B.A) Engineer | 2017 #BITCOIN OG
Went From 0 To 6-FIGURES With #CRYPTO</t>
  </si>
  <si>
    <t>No caminho da luz! 🌌
Prestigiem o fixado 🥰</t>
  </si>
  <si>
    <t>Este é o perfil do escritório Francel Menezes contabilidade no Twitter, uma empresa de assessoria tributária e contabil focada em empreendedores digitais.</t>
  </si>
  <si>
    <t>Hоrnу womаn 💥🌹😸</t>
  </si>
  <si>
    <t>Perito Criminal Federal aposentado. Atualmente CEO da Central de Serviços Patrimoniais. 
Está com problemas com o seu Patrimônio?
Dr. Covesa resolve 👊</t>
  </si>
  <si>
    <t>Ciudadano, Intendente ®PONAL, #K5DOGS #EntrenadorCanino #Diomedista #Art20 Libertad de Expresión, Veeduría Control Ciudadano Colombia. #ControlCiudadanoEs.</t>
  </si>
  <si>
    <t>Broker Online desde 2001. Negocie nos mercados globais. Acesso a mais de 1000 instrumentos com a melhor execução.</t>
  </si>
  <si>
    <t>💵Economista 👜 Mulheres ricas compram bolsas...mulheres inteligentes investem na bolsa! Análise sempre de maneira fria e racional!</t>
  </si>
  <si>
    <t>"📈 Trading de call y puts. 💡 Inversiones de menos de $50 por contrato bueno para NOVATOS. ❌ Mis Tweets No son recomendaciones.
https://t.co/VmpBqAIfcg</t>
  </si>
  <si>
    <t>Conectamos investidores locais aos melhores gestores globais. 
Diversifique seus investimentos com nossos Feeder Funds Internacionais</t>
  </si>
  <si>
    <t>Danilo Petri</t>
  </si>
  <si>
    <t>Guiding wise life and investment decisions. 
Learn the power of smart choices for lasting success. 
Join the journey to wisdom! 🌟📈💰</t>
  </si>
  <si>
    <t>Que tal investir sem ter tempo?
TRENDSET: Estratégia #Passiva de #Investimentos
https://t.co/l0d0t7n9hQ
Podcast: https://t.co/xF4WaKZ819</t>
  </si>
  <si>
    <t>Escritório credenciado da XP Investimentos onde você encontra investimentos diversos, plataforma online completa e atendimento personalizado.</t>
  </si>
  <si>
    <t>▶️ + de 68 mil pessoas iniciaram comigo
↗️ Comece com menos de mil reais
⤵️ 𝐒𝐀𝐈𝐁𝐀 𝐌𝐀𝐈𝐒</t>
  </si>
  <si>
    <t>➡ ¡Ponte al día con nosotros y aprende a #invertir , #ahorrar y mucho más! ⬅ 📈 Eventos, Cursos, Videos, Másters  📣 ¿A qué esperas para unirte? 📣</t>
  </si>
  <si>
    <t>Cofundador y Gerente de @ValoraAnalitik | https://t.co/wBATnbD9q7 | Servicio de información #premium para quienes toman decisiones!</t>
  </si>
  <si>
    <t>Your money, your rules: discover the power of our DEFI ecosystem
Telegram: https://t.co/2TBTnlGWHH</t>
  </si>
  <si>
    <t>A melhor preparação para amanhã é fazer o seu melhor hoje.</t>
  </si>
  <si>
    <t>Hub de Comunidade e Inteligência em Crypto e Blockchain mais ativa do Brasil desde 2017</t>
  </si>
  <si>
    <t>📚 La plataforma educativa especializada en Economía y Finanzas. 
Con Infox accede a más de 100 cursos.
👉🏻 https://t.co/QL9hS7ogt6</t>
  </si>
  <si>
    <t>Trader Profissional</t>
  </si>
  <si>
    <t>Cuento #historias y observo #datos en @publico_es, @arainfonoticias, @Aragontv y @ElDiarioAragon, entre.otras pantallas</t>
  </si>
  <si>
    <t>🔴 Periodismo crítico para un público exigente
📢 Juntas somos la República de Público
➡ @tremending @PublicoUwu @Memoria_Publica</t>
  </si>
  <si>
    <t>Un programa de periodismo, análisis y conclusiones.</t>
  </si>
  <si>
    <t>Padre, economista, servidor de mi país Ecuador.</t>
  </si>
  <si>
    <t>Experto en Gestión de Entorno y Asuntos Corporativos. Consultor Político y Economista.</t>
  </si>
  <si>
    <t>Fuja do Sistema. Liberdade !
Tiktok:@educacaosemsistema
Instagram:@educacaosemsistema
Snap:@educacaosemsist</t>
  </si>
  <si>
    <t>Amante del HighEnergy y el Italodisco. #OpiniónEnSerio sobre política y gobierno. En contra totalmente de la manipulación incluida la de la #4T de #AMLO</t>
  </si>
  <si>
    <t>Periodista. Conductor de #PorLaMañana en @radio_formula y de #ImagenNoticias en @ImagenTVMex. Tuits de Ciro Gómez Leyva: CGL</t>
  </si>
  <si>
    <t>Nossa plataforma transforma a sua jornada financeira. Pra gente, informação é investimento.</t>
  </si>
  <si>
    <t>Quem investe, lê. 🎯 Notícias sobre economia, mercado financeiro, investimentos e todo o lifestyle da Faria Lima.</t>
  </si>
  <si>
    <t>🔰Pertrad🔰 🌐 (Sociología, Bienes raíces y Trading)🌐</t>
  </si>
  <si>
    <t>Página oficial da Platinum Investimentos. Assessoria financeira pela XP.
Desde 2009 sendo a melhor escolha para o seu legado.
Credenciado @xpinvestimentos</t>
  </si>
  <si>
    <t>Analisando números e especulando movimentos 📊</t>
  </si>
  <si>
    <t>Mais de 18 anos de experiência em Alta Renda, Private Banking e Corporate
Credenciada @xpinvestimentos</t>
  </si>
  <si>
    <t>Especulador, economista y analista de datos || 💶Follow the Fucking Money💶 || FinTwitt Contrarian President 🌚</t>
  </si>
  <si>
    <t>Congreso Colombiano enemigo del pueblo</t>
  </si>
  <si>
    <t>exDirector Estudios Económicos ECOVA-Observatorio Económico-Comercio Exterior-Profesor CEUCYL #BigData #DataScience  #finance  #BusinessIntel #machineLearning</t>
  </si>
  <si>
    <t>Assessoria de comunicação</t>
  </si>
  <si>
    <t>• Trader Autônomo | Análise Técnica
• Programador 
• F1 Entusiasta
• Todo post 100% educacional, meu caderno de anotações, não faço nenhum tipo de recomendação!</t>
  </si>
  <si>
    <t>Pro trader for 37-yrs; Author of 5 trading books; Educator; Speaker; #Bitcoin #hodler</t>
  </si>
  <si>
    <t>Conheça os melhores cursos profissionalizantes e os melhores cursos online clicando no link abaixo.</t>
  </si>
  <si>
    <t>A Bitypreço é o maior marketplace cripto da América Latina que conecta várias exchanges em um lugar, buscando sempre o melhor preço para você.</t>
  </si>
  <si>
    <t>Divulgar entre la comunidad universitaria e investigadores el acervo científico de la UCE</t>
  </si>
  <si>
    <t>Imóveis de todos os padrões, em qualquer região de São Paulo, na planta 📝📐, em construção 🚧 🏗🧱ou prontos  🏛🏡 ligue 99111-0426 Creci 189428-F</t>
  </si>
  <si>
    <t>Pague tudo com Cripto!</t>
  </si>
  <si>
    <t>"Belt and Road Initiative: the new foundations of the Euro-Asian continent" 尤里·卡鲁奇</t>
  </si>
  <si>
    <t>Nato a Spezia,università a Pisa e Bochum,laurea e PhD alla Normale,dal 1995 nel settore finanziario. Libri recenti: Anschluss, Hegel, Filosofia dell’Ottocento.</t>
  </si>
  <si>
    <t>Engenheiro Agrônomo, curioso e questionador. Navegar é sempre preciso, bem afirma Fernando Pessoa.</t>
  </si>
  <si>
    <t>Impulsamos la auditoría interna como función clave de buen gobierno en España. Somos más de 3.600 socios integrados en la Red Global de Auditores Internos.</t>
  </si>
  <si>
    <t>Nobel laureate. Op-Ed columnist, @nytopinion. Author, “The Return of Depression Economics,” “The Great Unraveling,” "Arguing With Zombies,"  + more.</t>
  </si>
  <si>
    <t>This account is now closed.  For the best of FT journalism, including breaking news and analysis, follow @ft</t>
  </si>
  <si>
    <t>Toda la información económica de Europa Press.</t>
  </si>
  <si>
    <t>El Banco de España es el banco central nacional y, en el marco del Mecanismo Único de Supervisión, el supervisor del sistema bancario español junto al BCE</t>
  </si>
  <si>
    <t>🔶 Medio líder en España en información de economía, empresas, finanzas, bolsa y mercados.
Ponte al día de toda la actualidad económica 📲</t>
  </si>
  <si>
    <t>Ensino você a conquistar a liberdade financeira                 /📊 Economista / Conteúdo exclusivo ⤵️</t>
  </si>
  <si>
    <t>Tech, Política, bolsa de valores, esportes e família. Trader desde 2002 simplificando ao máximo.</t>
  </si>
  <si>
    <t>Aqui você encontra tudo o que acontece no Brasil e no mundo!
- Siga também: @redetv</t>
  </si>
  <si>
    <t>🤝🏼𝗪𝗵𝗮𝘁𝘀𝗮𝗽𝗽: 𝟬𝟭𝟭 𝟵𝟳𝟯𝟮𝟭-𝟯𝟬𝟰𝟴
💰𝗦ó 𝗮𝗾𝘂𝗶 𝘃𝗼𝗰ê 𝘁𝗲𝗺 𝘀𝗲𝘂 𝗱𝗶𝗻𝗵𝗲𝗶𝗿𝗼 𝗴𝗮𝗿𝗮𝗻𝘁𝗶𝗱𝗼.</t>
  </si>
  <si>
    <t>O tempo perguntou ao tempo quanto tempo o tempo tem, o tempo respondeu ao tempo que o tempo tem tanto tempo quanto o tempo tem.</t>
  </si>
  <si>
    <t>Interessada em estratégias de crescimento, otimização de campanhas e oportunidades de investimento. 📈🔎
Mine π: https://t.co/3q9ptkZ8OS</t>
  </si>
  <si>
    <t>A melhor cobertura jornalista sobre mercado financeiro do Brasil 📰💼
Insides, notícias e educação financeira!</t>
  </si>
  <si>
    <t>DENUNCIA LOS SITIOS PELIGROSOS DE BOGOTA EN ESTE TWITTER, AMA A BOGOTA CON ACTOS DE VALOR ...NO MAS MIEDO! TIPS DE SEGURIDAD QUE PUEDEN SALVAR VIDAS! ACTUALIDAD</t>
  </si>
  <si>
    <t>Fundada em 2023 por uma equipe com décadas de experiência no mercado financeiro e tecnologia, somos uma empresa de investimentos credenciada pela XP.</t>
  </si>
  <si>
    <t>📊 Trading is my art, and the charts are my canvas. Let's create some profitable masterpieces! 🎨 #TradingArtist</t>
  </si>
  <si>
    <t>Brasileira revoltada com a corrupção no país. Fiz campanha, votei, apoio e continuo apoiando Bolsonaro.</t>
  </si>
  <si>
    <t>Ao invés de odiar a realidade, vou te mostrar como dobrá-la à sua vontade... Siga a tribo para expandir sua mente e carteira...</t>
  </si>
  <si>
    <t>🥇TOP 01 Analista Financeiro do Brasil/ANBIMA 🤝| Sócio Dica de Hoje Research | 🥇 Referência em Fundos de Investimentos🇧🇷 https://t.co/cgEjt6R3aQ</t>
  </si>
  <si>
    <t>Minério de ferro - Fundamentos e Tendências. O que os grandes Bancos, Corretoras e Imprensa não mostram.
Consultor Contábil e Financeiro - EDM Ass Cont e Financ</t>
  </si>
  <si>
    <t>Gimme5 è il salvadanaio digitale per risparmiare e investire in modo smart</t>
  </si>
  <si>
    <t>CFA Level I Candidate – Nov. 2023 Exam Date | Aprovado no 40º Exame CFP® | CEA, Ancord, S-PRO | MBA Investimentos e Private Banking</t>
  </si>
  <si>
    <t>Sejam bem-vindos ao Banco Digital dos Investidores. Preparem-se: a revolução chegou mais de uma vez para vocês!</t>
  </si>
  <si>
    <t>👑Entusiasta 💯Financeiro: 📰📉 Forex, Nyse, B3, Crypto Ativos. 🏹🎯  #Forex #B3 #Crypto #PlaytoEarn #Web3 #Empreendedor📈📊</t>
  </si>
  <si>
    <t>Administrador de Empresas; MBA - Gestão Empresarial-FGV; Especialista em Gestão Comercial e PDCA; Investidor desde 2007; AAI - ANCORD</t>
  </si>
  <si>
    <t>🚀 | Valencia Bitcoin Compra-Venta-Exchange 👨🏻‍💻 | Expertos en criptomonedas | 🚀 | Wallets.Seguridad-Investing-GBTCtoken💰GBTCPAY📍C/Garrigues 1 Valencia</t>
  </si>
  <si>
    <t>From silent success to sharing secrets.
Let's walk the path to financial greatness together! 
Trading tips for your success.</t>
  </si>
  <si>
    <t>Cirurgião Dentista (Dentista Raíz), Violeiro, Pai de Dois, Colecionador de Discografias, Rei das Playlists e Corinthiano Realizado!
#BOLSONARONACADEIA</t>
  </si>
  <si>
    <t>Experto en mercados financieros, Strategic Investment Manager, profesor en @IEF_org., trader en #OPTIONS y sobre todo #Alive &amp; #Kicking</t>
  </si>
  <si>
    <t>Organizando o mercado de investimentos</t>
  </si>
  <si>
    <t>bit.ly/3deLmRM</t>
  </si>
  <si>
    <t>thetwitterinvestor.com.br</t>
  </si>
  <si>
    <t>cryptoid.com.br</t>
  </si>
  <si>
    <t>dane.gov.co</t>
  </si>
  <si>
    <t>youtube.com/c/RangelCampos…</t>
  </si>
  <si>
    <t>linkpop.com/financa</t>
  </si>
  <si>
    <t>emprc.us/ePyxaD</t>
  </si>
  <si>
    <t>metodo4q.com.br</t>
  </si>
  <si>
    <t>viuu.com.br</t>
  </si>
  <si>
    <t>sfainvestimentos.com.br</t>
  </si>
  <si>
    <t>youtube.com/@mercadofinanc…</t>
  </si>
  <si>
    <t>abuladomercado.com.br</t>
  </si>
  <si>
    <t>imef.org.mx</t>
  </si>
  <si>
    <t>youtube.com/channel/UCH554…</t>
  </si>
  <si>
    <t>linktr.ee/jornadacapital</t>
  </si>
  <si>
    <t>linkme.bio/ibest-ricardo-…</t>
  </si>
  <si>
    <t>pawealth.in</t>
  </si>
  <si>
    <t>blog.pawealth.in</t>
  </si>
  <si>
    <t>unespeculador.com</t>
  </si>
  <si>
    <t>linktr.ee/costafilhojoao</t>
  </si>
  <si>
    <t>clinicawashingtonamancio.com</t>
  </si>
  <si>
    <t>linktr.ee/seebumuarama</t>
  </si>
  <si>
    <t>tc.com.br</t>
  </si>
  <si>
    <t>pandhora.com</t>
  </si>
  <si>
    <t>youtube.com/@Cabral7e10?su…</t>
  </si>
  <si>
    <t>instagram.com/tatobarros/</t>
  </si>
  <si>
    <t>luizfernandoroxo.com.br</t>
  </si>
  <si>
    <t>poenobolso.com.br</t>
  </si>
  <si>
    <t>instagram.com/moisesbeida?ig…</t>
  </si>
  <si>
    <t>brasil61.com</t>
  </si>
  <si>
    <t>twitch.tv/hectorchamizo</t>
  </si>
  <si>
    <t>coinex.com</t>
  </si>
  <si>
    <t>youtu.be/O4oJIG7SpHM</t>
  </si>
  <si>
    <t>med.etoro.com/B20497_A117433…</t>
  </si>
  <si>
    <t>academiadodinheiro.com.br</t>
  </si>
  <si>
    <t>linktr.ee/smarttradingcl…</t>
  </si>
  <si>
    <t>aleciomarinho.com.br</t>
  </si>
  <si>
    <t>bit.ly/ExpertRendaVar…</t>
  </si>
  <si>
    <t>reporterbrasilia.com.br</t>
  </si>
  <si>
    <t>moneytimes.com.br</t>
  </si>
  <si>
    <t>charlandodeminas.com</t>
  </si>
  <si>
    <t>professoreconomia.com</t>
  </si>
  <si>
    <t>minhacienda.gov.co</t>
  </si>
  <si>
    <t>negocios.com/directo/</t>
  </si>
  <si>
    <t>instagram.com/estrategia_fox…</t>
  </si>
  <si>
    <t>linktr.ee/sonartradeofic…</t>
  </si>
  <si>
    <t>cofecon.org.br</t>
  </si>
  <si>
    <t>mla.bs/c134bfe0</t>
  </si>
  <si>
    <t>linktr.ee/alencarsantana…</t>
  </si>
  <si>
    <t>youtube.com/@grdotrader</t>
  </si>
  <si>
    <t>gsgbusinesshub.com</t>
  </si>
  <si>
    <t>bolsamania.com</t>
  </si>
  <si>
    <t>cnnespanol.cnn.com</t>
  </si>
  <si>
    <t>cincodias.elpais.com</t>
  </si>
  <si>
    <t>msha.ke/mulhernabolsa</t>
  </si>
  <si>
    <t>jornalcontabil.com.br</t>
  </si>
  <si>
    <t>williamhunt.com.br/segredos-dos-i…</t>
  </si>
  <si>
    <t>tonyfinancas.com.br</t>
  </si>
  <si>
    <t>btvacademy.com.br</t>
  </si>
  <si>
    <t>investireperguadagnare.it</t>
  </si>
  <si>
    <t>linktr.ee/spreaker</t>
  </si>
  <si>
    <t>comprargeneradordeozono.es</t>
  </si>
  <si>
    <t>fedesarrollo.org.co</t>
  </si>
  <si>
    <t>gustavopetro.co</t>
  </si>
  <si>
    <t>youtube.com/playlist?list=…</t>
  </si>
  <si>
    <t>linkedin.com/in/massimopoli…</t>
  </si>
  <si>
    <t>facebook.com/GiovanniMaiora…</t>
  </si>
  <si>
    <t>luciomalan.it</t>
  </si>
  <si>
    <t>linkr.bio/deriv</t>
  </si>
  <si>
    <t>falkcapital.com.br</t>
  </si>
  <si>
    <t>instagram.com/jarlisonjss</t>
  </si>
  <si>
    <t>mla.bs/c1acb5b4</t>
  </si>
  <si>
    <t>instagram.com/educacaofinanc…</t>
  </si>
  <si>
    <t>proeducacional.com/?ref=23</t>
  </si>
  <si>
    <t>portalvgv.com.br</t>
  </si>
  <si>
    <t>4p.finance</t>
  </si>
  <si>
    <t>youtube.com/channel/UC9-bY…</t>
  </si>
  <si>
    <t>prospectinvestimentos.com</t>
  </si>
  <si>
    <t>proeducacional.com</t>
  </si>
  <si>
    <t>bit.ly/m/TraderVlogLi…</t>
  </si>
  <si>
    <t>linktr.ee/studiomadehits</t>
  </si>
  <si>
    <t>guarulhosonline.com.br</t>
  </si>
  <si>
    <t>linktr.ee/digitaleducaci…</t>
  </si>
  <si>
    <t>economicas.udea.edu.co</t>
  </si>
  <si>
    <t>averatrading.com</t>
  </si>
  <si>
    <t>hubdoinvestidor.com.br</t>
  </si>
  <si>
    <t>klainvest.com</t>
  </si>
  <si>
    <t>brasil.perfil.com</t>
  </si>
  <si>
    <t>correiodeminas.com.br</t>
  </si>
  <si>
    <t>sites.google.com/view/www-bedro…</t>
  </si>
  <si>
    <t>ovies.com.br</t>
  </si>
  <si>
    <t>earn2trade.com/pt/</t>
  </si>
  <si>
    <t>teddydigital.io</t>
  </si>
  <si>
    <t>linktr.ee/igormundstock</t>
  </si>
  <si>
    <t>portaldeprefeitura.com.br</t>
  </si>
  <si>
    <t>fitchratings.com</t>
  </si>
  <si>
    <t>youtube.com/@ElenaDeLibera…</t>
  </si>
  <si>
    <t>linktr.ee/darekmacpherson</t>
  </si>
  <si>
    <t>linktr.ee/antonioblvs</t>
  </si>
  <si>
    <t>youtu.be/VUYPKy7pw2I</t>
  </si>
  <si>
    <t>diariolibre.com</t>
  </si>
  <si>
    <t>linkfly.to/ProfissaoMoney</t>
  </si>
  <si>
    <t>rmdgarfias.substack.com</t>
  </si>
  <si>
    <t>revistafoco.com.py</t>
  </si>
  <si>
    <t>bcp.gov.py</t>
  </si>
  <si>
    <t>fsaraceno.wordpress.com</t>
  </si>
  <si>
    <t>fido.com.vc</t>
  </si>
  <si>
    <t>mla.bs/38cea3ad</t>
  </si>
  <si>
    <t>hodorinvestments.com/app/register?c…</t>
  </si>
  <si>
    <t>gruppekurheinzich.wordpress.com</t>
  </si>
  <si>
    <t>instagram.com/vmiziara/</t>
  </si>
  <si>
    <t>linktr.ee/ThiagodeAragao</t>
  </si>
  <si>
    <t>1bilhao.com.br</t>
  </si>
  <si>
    <t>linktr.ee/marcosaravalle</t>
  </si>
  <si>
    <t>onjornal.com</t>
  </si>
  <si>
    <t>nortusinvestimentos.com.br</t>
  </si>
  <si>
    <t>t.me/sc_recap</t>
  </si>
  <si>
    <t>github.com/BrunoGianetti</t>
  </si>
  <si>
    <t>fgv.br/eaesp</t>
  </si>
  <si>
    <t>mercadolivre.com.br/perfil/GOUVEIA…</t>
  </si>
  <si>
    <t>noriegagroup.com</t>
  </si>
  <si>
    <t>linktr.ee/ccib</t>
  </si>
  <si>
    <t>yinyangcap.com</t>
  </si>
  <si>
    <t>linkedin.com/in/daniloramos…</t>
  </si>
  <si>
    <t>xtb.com/es</t>
  </si>
  <si>
    <t>pablogiltrader.com</t>
  </si>
  <si>
    <t>conectasolucoes.com</t>
  </si>
  <si>
    <t>norteinforma.com.ar</t>
  </si>
  <si>
    <t>argentina.gob.ar/produccion</t>
  </si>
  <si>
    <t>linktr.ee/bingxitaly</t>
  </si>
  <si>
    <t>b18.com.br</t>
  </si>
  <si>
    <t>eldia.com.do</t>
  </si>
  <si>
    <t>asomifecuador.com</t>
  </si>
  <si>
    <t>bce.ec</t>
  </si>
  <si>
    <t>facebook.com/danielsucharzo…</t>
  </si>
  <si>
    <t>hermescapital.com.br</t>
  </si>
  <si>
    <t>tvcultura.com.br</t>
  </si>
  <si>
    <t>linkedin.com/in/juan-pablo-…</t>
  </si>
  <si>
    <t>forumservicopublicoceara.org.br</t>
  </si>
  <si>
    <t>trescon.com.br</t>
  </si>
  <si>
    <t>linktr.ee/blockbr</t>
  </si>
  <si>
    <t>python.ec</t>
  </si>
  <si>
    <t>filipebarros.substack.com/?r=1m3qda&amp;utm_…</t>
  </si>
  <si>
    <t>somas.io</t>
  </si>
  <si>
    <t>youtube.com/channel/UCqliJ…</t>
  </si>
  <si>
    <t>editorapublicar.com.br</t>
  </si>
  <si>
    <t>titaniumasset.com.br</t>
  </si>
  <si>
    <t>riobravo.com.br</t>
  </si>
  <si>
    <t>linktr.ee/lourdespaz</t>
  </si>
  <si>
    <t>klalaw.com.br</t>
  </si>
  <si>
    <t>bcb.gov.br</t>
  </si>
  <si>
    <t>revistapegn.globo.com</t>
  </si>
  <si>
    <t>ucho.info</t>
  </si>
  <si>
    <t>youtube.com/channel/UC_jVz…</t>
  </si>
  <si>
    <t>Forestaugreen.com</t>
  </si>
  <si>
    <t>eduardoconesa.com.ar</t>
  </si>
  <si>
    <t>linktr.ee/agorainvestime…</t>
  </si>
  <si>
    <t>linktr.ee/lilianeferrari</t>
  </si>
  <si>
    <t>leadr.com.br/share/profile/…</t>
  </si>
  <si>
    <t>linkedin.com/in/laragrana</t>
  </si>
  <si>
    <t>farodevigo.es</t>
  </si>
  <si>
    <t>tradeinflow.com.br</t>
  </si>
  <si>
    <t>invistafinancas.com.br</t>
  </si>
  <si>
    <t>partner.bitget.com/bg/7LKGF3</t>
  </si>
  <si>
    <t>clapesuc.cl</t>
  </si>
  <si>
    <t>catalinaed.cl</t>
  </si>
  <si>
    <t>edntvhn.com</t>
  </si>
  <si>
    <t>instagran.com/anderson_alves</t>
  </si>
  <si>
    <t>instagram.com/mktstats/</t>
  </si>
  <si>
    <t>youtube.com/@fernandopaiva…</t>
  </si>
  <si>
    <t>apolo.delaware.us</t>
  </si>
  <si>
    <t>banrep.gov.co</t>
  </si>
  <si>
    <t>linktr.ee/invexcripto</t>
  </si>
  <si>
    <t>linktr.ee/investoetf</t>
  </si>
  <si>
    <t>bundesfinanzministerium.de/Web/DE/Service…</t>
  </si>
  <si>
    <t>linktr.ee/alemaniaenespa…</t>
  </si>
  <si>
    <t>christian-lindner.de/content/impres…</t>
  </si>
  <si>
    <t>ipe.org.pe/portal/</t>
  </si>
  <si>
    <t>ig.rdstation.com/liqibr</t>
  </si>
  <si>
    <t>hacienda.gob.ar</t>
  </si>
  <si>
    <t>radionewsmisiones.ar</t>
  </si>
  <si>
    <t>claudinhotrader.com.br</t>
  </si>
  <si>
    <t>sustainablefinance4future.org</t>
  </si>
  <si>
    <t>gflac.org</t>
  </si>
  <si>
    <t>vistatradecapital.com/?ref=robinunes</t>
  </si>
  <si>
    <t>bit.ly/CanalMonex</t>
  </si>
  <si>
    <t>linktr.ee/fpmarketslatam</t>
  </si>
  <si>
    <t>joaquinbarquero.wordpress.com</t>
  </si>
  <si>
    <t>…andopoliticaspublicas.blogspot.com.co</t>
  </si>
  <si>
    <t>instagram.com/vitinhopreto?u…</t>
  </si>
  <si>
    <t>scholar.google.es/citations?hl=e…</t>
  </si>
  <si>
    <t>economiaenbicicleta.com</t>
  </si>
  <si>
    <t>macroconvexity.substack.com</t>
  </si>
  <si>
    <t>linktr.ee/alvarofrasson</t>
  </si>
  <si>
    <t>linkr.bio/omarcos</t>
  </si>
  <si>
    <t>cgd.com.br</t>
  </si>
  <si>
    <t>bpmoney.com.br</t>
  </si>
  <si>
    <t>managerfinanciero.com</t>
  </si>
  <si>
    <t>bit.ly/3gK445v</t>
  </si>
  <si>
    <t>sintomazul.blogspot.com.br</t>
  </si>
  <si>
    <t>shre.ink/QHJb</t>
  </si>
  <si>
    <t>lapiensoladigo.blogspot.com</t>
  </si>
  <si>
    <t>poemaserrados.blogspot.com</t>
  </si>
  <si>
    <t>diariodocomercio.com.br</t>
  </si>
  <si>
    <t>victorgaete.com.br</t>
  </si>
  <si>
    <t>youtube.com/c/Babycris2000</t>
  </si>
  <si>
    <t>payfast.greenn.com.br/redirect/32767…</t>
  </si>
  <si>
    <t>perfil.com/canal-e</t>
  </si>
  <si>
    <t>instagram.com/franciscoberto…</t>
  </si>
  <si>
    <t>insper.edu.br</t>
  </si>
  <si>
    <t>wa.me/message/YAFAFB…</t>
  </si>
  <si>
    <t>t.me/Vagnermayerb3</t>
  </si>
  <si>
    <t>anchor.fm/podcastpoeocin…</t>
  </si>
  <si>
    <t>cartasgpt.com.br</t>
  </si>
  <si>
    <t>economicnewsbrasil.com.br</t>
  </si>
  <si>
    <t>es.marketscreener.com</t>
  </si>
  <si>
    <t>udson07.wordpress.com</t>
  </si>
  <si>
    <t>wagnergeremia.com</t>
  </si>
  <si>
    <t>porque.com.br</t>
  </si>
  <si>
    <t>vortx.com.br</t>
  </si>
  <si>
    <t>globaltaxjustice.org</t>
  </si>
  <si>
    <t>youtube.com/@financeinfohi…</t>
  </si>
  <si>
    <t>padtec.com</t>
  </si>
  <si>
    <t>bit.ly/EUQUEROMW9</t>
  </si>
  <si>
    <t>cerrilperundia.blogspot.com.es</t>
  </si>
  <si>
    <t>linktr.ee/adriianosilva</t>
  </si>
  <si>
    <t>tamer.com.br</t>
  </si>
  <si>
    <t>instagram.com/rafaeu_3</t>
  </si>
  <si>
    <t>bpop.club</t>
  </si>
  <si>
    <t>linktr.ee/DragonOroPlata</t>
  </si>
  <si>
    <t>youtube.com/@Elcrackdel23</t>
  </si>
  <si>
    <t>ig.rdstation.com/kinvoapp</t>
  </si>
  <si>
    <t>linkedin.com/in/sílvio-quen…</t>
  </si>
  <si>
    <t>ecos365.com.ar</t>
  </si>
  <si>
    <t>zorraquinmeneses.com</t>
  </si>
  <si>
    <t>rosario3.com</t>
  </si>
  <si>
    <t>Pipelinevalor.globo.com</t>
  </si>
  <si>
    <t>witinvest.com.br</t>
  </si>
  <si>
    <t>instagram.com/6trading_/</t>
  </si>
  <si>
    <t>unlam.edu.ar</t>
  </si>
  <si>
    <t>valor.globo.com</t>
  </si>
  <si>
    <t>dian.gov.co</t>
  </si>
  <si>
    <t>economiamainstream.com.br</t>
  </si>
  <si>
    <t>cied.urjc.es</t>
  </si>
  <si>
    <t>…nomiajuancarlosaguado.blogspot.com.es</t>
  </si>
  <si>
    <t>miriadax.net</t>
  </si>
  <si>
    <t>linktr.ee/girlishgiggle</t>
  </si>
  <si>
    <t>youtube.com/@ataorienta</t>
  </si>
  <si>
    <t>comlucro.com.br</t>
  </si>
  <si>
    <t>430am.in</t>
  </si>
  <si>
    <t>arthurmining.com</t>
  </si>
  <si>
    <t>instagram.com/falcontraderca…</t>
  </si>
  <si>
    <t>jovempan.com.br</t>
  </si>
  <si>
    <t>linktr.ee/jlramirez</t>
  </si>
  <si>
    <t>gondimadv.com.br</t>
  </si>
  <si>
    <t>ontier.net</t>
  </si>
  <si>
    <t>bcrp.gob.pe</t>
  </si>
  <si>
    <t>amcham.org.pe</t>
  </si>
  <si>
    <t>diariodocomercio.com.br/author/leonard…</t>
  </si>
  <si>
    <t>Instagram.com/alfiacingari</t>
  </si>
  <si>
    <t>enfoque.com.br</t>
  </si>
  <si>
    <t>azu.digital</t>
  </si>
  <si>
    <t>youtube.com/@domvicto</t>
  </si>
  <si>
    <t>stefanoficial.com.br</t>
  </si>
  <si>
    <t>funpresp.com.br</t>
  </si>
  <si>
    <t>izzinvest.com</t>
  </si>
  <si>
    <t>fedearroz.com.co</t>
  </si>
  <si>
    <t>alianzain.com</t>
  </si>
  <si>
    <t>migracioncolombia.gov.co/atencion-al-ci…</t>
  </si>
  <si>
    <t>drewry.co.uk</t>
  </si>
  <si>
    <t>petro.presidencia.gov.co</t>
  </si>
  <si>
    <t>camara.gov.co</t>
  </si>
  <si>
    <t>cepal.org</t>
  </si>
  <si>
    <t>andemos.org</t>
  </si>
  <si>
    <t>fng.gov.co</t>
  </si>
  <si>
    <t>davivienda.com</t>
  </si>
  <si>
    <t>andi.com.co/Home/Camara/4-…</t>
  </si>
  <si>
    <t>asomicrofinanzas.com.co</t>
  </si>
  <si>
    <t>mirandabogota.com</t>
  </si>
  <si>
    <t>fna.gov.co</t>
  </si>
  <si>
    <t>federalreserve.gov</t>
  </si>
  <si>
    <t>bancolombia.com</t>
  </si>
  <si>
    <t>linktr.ee/bolsadevalores…</t>
  </si>
  <si>
    <t>bit.ly/JPMCSocialTerms</t>
  </si>
  <si>
    <t>christopherpetro.com</t>
  </si>
  <si>
    <t>transmilenio.gov.co</t>
  </si>
  <si>
    <t>meta.gov.co</t>
  </si>
  <si>
    <t>fenalco.com.co</t>
  </si>
  <si>
    <t>bit.ly/36Yvujc</t>
  </si>
  <si>
    <t>camacol.co</t>
  </si>
  <si>
    <t>ceacolombia.com</t>
  </si>
  <si>
    <t>acopi.org.co</t>
  </si>
  <si>
    <t>imf.org/es</t>
  </si>
  <si>
    <t>oecd.org/espanol</t>
  </si>
  <si>
    <t>mininterior.gov.co</t>
  </si>
  <si>
    <t>instagram.com/velascoluisf?u…</t>
  </si>
  <si>
    <t>carf.gov.co</t>
  </si>
  <si>
    <t>zonafrancabogota.com</t>
  </si>
  <si>
    <t>linktr.ee/chelseafc</t>
  </si>
  <si>
    <t>ocampojoseantonio.com</t>
  </si>
  <si>
    <t>prosperidadsocial.gov.co</t>
  </si>
  <si>
    <t>portafolio.co/opinion/german…</t>
  </si>
  <si>
    <t>anif.com.co</t>
  </si>
  <si>
    <t>federaciondecafeteros.org</t>
  </si>
  <si>
    <t>minagricultura.gov.co</t>
  </si>
  <si>
    <t>instagram.com/brucemacmaster…</t>
  </si>
  <si>
    <t>andi.com.co</t>
  </si>
  <si>
    <t>superfinanciera.gov.co</t>
  </si>
  <si>
    <t>fasecolda.com</t>
  </si>
  <si>
    <t>iif.com</t>
  </si>
  <si>
    <t>senado.gov.co</t>
  </si>
  <si>
    <t>mincit.gov.co</t>
  </si>
  <si>
    <t>cotelco.org</t>
  </si>
  <si>
    <t>linktr.ee/nahuel_melero?…</t>
  </si>
  <si>
    <t>intereconomia.com</t>
  </si>
  <si>
    <t>youtube.com/@EdtSomar</t>
  </si>
  <si>
    <t>canva.com/design/DAFVyIx…</t>
  </si>
  <si>
    <t>samynews.sancalproducoes.com.br</t>
  </si>
  <si>
    <t>encriptos.es/enlaces/</t>
  </si>
  <si>
    <t>cbnvitoria.com.br</t>
  </si>
  <si>
    <t>nivel.com.br/b2b_solucoes</t>
  </si>
  <si>
    <t>folha.com/mercado</t>
  </si>
  <si>
    <t>t.me/Datoworld24</t>
  </si>
  <si>
    <t>prm.org.do</t>
  </si>
  <si>
    <t>mauriciocardenas.co</t>
  </si>
  <si>
    <t>investidoresbrasil.com.br</t>
  </si>
  <si>
    <t>cryptoinvestidor.com</t>
  </si>
  <si>
    <t>criptopportunity.com</t>
  </si>
  <si>
    <t>nbnparaiba.com.br</t>
  </si>
  <si>
    <t>embratel.com.br</t>
  </si>
  <si>
    <t>mercurica.com</t>
  </si>
  <si>
    <t>youtube.com/channel/UCnejI…</t>
  </si>
  <si>
    <t>linktr.ee/valdemar.almei…</t>
  </si>
  <si>
    <t>linktr.ee/BilingualInves…</t>
  </si>
  <si>
    <t>menezescontabilidade.com.br</t>
  </si>
  <si>
    <t>activtrades.com/pt/</t>
  </si>
  <si>
    <t>facebook.com/silvavanessa7</t>
  </si>
  <si>
    <t>comosertrader.com</t>
  </si>
  <si>
    <t>gamainvestimentos.com.br</t>
  </si>
  <si>
    <t>trendsetconsulting.com/pt</t>
  </si>
  <si>
    <t>instabio.cc/xghmarkets</t>
  </si>
  <si>
    <t>zonavalue.com</t>
  </si>
  <si>
    <t>yodacoinswap.io</t>
  </si>
  <si>
    <t>profito.club</t>
  </si>
  <si>
    <t>infoxeduca.com</t>
  </si>
  <si>
    <t>Instagram.com/eltinhobranco</t>
  </si>
  <si>
    <t>ecuavisa.com/programas/nues…</t>
  </si>
  <si>
    <t>youtube.com/@EducacaoSemSi…</t>
  </si>
  <si>
    <t>youtube.com/@opinionenseri…</t>
  </si>
  <si>
    <t>radioformula.com.mx</t>
  </si>
  <si>
    <t>inteligenciafinanceira.com.br</t>
  </si>
  <si>
    <t>flj.com.br</t>
  </si>
  <si>
    <t>t.me/+FrV_6F7mR6s2O…</t>
  </si>
  <si>
    <t>platinuminvest.com.br</t>
  </si>
  <si>
    <t>instagram.com/halexnogueira?…</t>
  </si>
  <si>
    <t>s6investimentos.com.br</t>
  </si>
  <si>
    <t>javiermliron.blogspot.com.es</t>
  </si>
  <si>
    <t>rodadecuia.com.br</t>
  </si>
  <si>
    <t>bitcoinolivervelez.com</t>
  </si>
  <si>
    <t>linktr.ee/digital.profit1</t>
  </si>
  <si>
    <t>bitypreco.com</t>
  </si>
  <si>
    <t>contacripto.com.br</t>
  </si>
  <si>
    <t>vladimirogiacche.academia.edu</t>
  </si>
  <si>
    <t>auditoresinternos.es</t>
  </si>
  <si>
    <t>nytimes.com/column/paul-kr…</t>
  </si>
  <si>
    <t>europapress.es/economia/</t>
  </si>
  <si>
    <t>linktr.ee/carlosteles_</t>
  </si>
  <si>
    <t>instagram.com/alexandremelo_…</t>
  </si>
  <si>
    <t>redetv.uol.com.br/jornalismo</t>
  </si>
  <si>
    <t>wa.me/5511973213048</t>
  </si>
  <si>
    <t>lnkiy.in/ElasProsperam</t>
  </si>
  <si>
    <t>linktr.ee/telosinvest</t>
  </si>
  <si>
    <t>linktr.ee/CarteiraZ</t>
  </si>
  <si>
    <t>gimme5.app</t>
  </si>
  <si>
    <t>instagram.com/alissondpo</t>
  </si>
  <si>
    <t>modalmais.com.br</t>
  </si>
  <si>
    <t>youtube.com/@CharlesFibona…</t>
  </si>
  <si>
    <t>linktr.ee/gbtcvalencia</t>
  </si>
  <si>
    <t>youtube.com/channel/UC06dU…</t>
  </si>
  <si>
    <t>gorila.com.br</t>
  </si>
  <si>
    <t>https://t.co/fCA29wtRHd https://t.co/aWKRaJ6ZDY</t>
  </si>
  <si>
    <t>https://t.co/QevH0DLisA https://t.co/iXIigdOLPr https://t.co/DZgH9n4vAI</t>
  </si>
  <si>
    <t>https://t.co/SPbDF41tpe https://t.co/a4RgVnOdt5</t>
  </si>
  <si>
    <t>https://t.co/hQN2NcsHKR https://t.co/hQN2NcsHKR</t>
  </si>
  <si>
    <t>https://t.co/Adip6C8ZtL https://t.co/owTcePIfCR</t>
  </si>
  <si>
    <t>https://t.co/swqFaRHvQJ https://t.co/I9Hi1TkSy1 https://t.co/hBjxUKd9EH https://t.co/jHOet4yieA</t>
  </si>
  <si>
    <t>https://t.co/2UucK1nJdq https://t.co/y7Gnc0ssU3</t>
  </si>
  <si>
    <t>https://t.co/k99to9Qfai https://t.co/iMa9BX1EOP</t>
  </si>
  <si>
    <t>https://t.co/117tqHc3sU https://t.co/qKvdBLVYUT https://t.co/yzW9nEWqXu</t>
  </si>
  <si>
    <t>https://t.co/OvWAdlbzhv https://t.co/qrMzEFr2C8 https://t.co/mGcReVp9sv</t>
  </si>
  <si>
    <t>https://t.co/l0d0t7n9hQ https://t.co/xF4WaKZ819</t>
  </si>
  <si>
    <t>http://t.me/unespeculador http://bit.ly/3jKH0Z9</t>
  </si>
  <si>
    <t>http://wsj.com/newsletters http://wsj.com/tips http://customercenter.wsj.com</t>
  </si>
  <si>
    <t>http://instagram.com/glaucojarzinsk http://hermescapital.com.br</t>
  </si>
  <si>
    <t>http://invistafinancas.com.br http://invistafinancas.com.br</t>
  </si>
  <si>
    <t>http://bit.ly/2AhTP3J http://bit.ly/2ExicPc</t>
  </si>
  <si>
    <t>http://Investing.com http://FxStreet.es http://Rankia.com http://t.me/alertasdivisas</t>
  </si>
  <si>
    <t>https://www.twitch.tv/elcrackdel23 http://t.me/elcrackdel23ca</t>
  </si>
  <si>
    <t>http://fb.com/diariodominho http://instagram.com/diariodominho</t>
  </si>
  <si>
    <t>http://facebook.com/jovempannews http://t.me/oficialjpnews http://bit.ly/41IoMIO</t>
  </si>
  <si>
    <t>http://instagram.com/mauriciocard_ http://youtube.com/MauricioCarden http://linkedin.com/in/mauriciocar</t>
  </si>
  <si>
    <t>http://trendset.com.br http://anchor.fm/trendset</t>
  </si>
  <si>
    <t>t.me/unespeculador bit.ly/3jKH0Z9</t>
  </si>
  <si>
    <t>youtube.com/@DiegoTrindade…</t>
  </si>
  <si>
    <t>ton.com.br/catalogo/?refe…</t>
  </si>
  <si>
    <t>wsj.com/newsletters wsj.com/tips customercenter.wsj.com</t>
  </si>
  <si>
    <t>linktr.ee/btvacademy</t>
  </si>
  <si>
    <t>smartenergy.net</t>
  </si>
  <si>
    <t>twitch.tv/keynesionomia</t>
  </si>
  <si>
    <t>M.Sc</t>
  </si>
  <si>
    <t>linktr.ee/hubdoinvestidor</t>
  </si>
  <si>
    <t>teddydigital.io/teddy-360/</t>
  </si>
  <si>
    <t>instagram.com/_gustavo.sung/</t>
  </si>
  <si>
    <t>bit.ly/ThiagodeAragao</t>
  </si>
  <si>
    <t>instagram.com/guilhermehcunha</t>
  </si>
  <si>
    <t>instagram.com/glaucojarzinsk hermescapital.com.br</t>
  </si>
  <si>
    <t>bit.ly/3FZh7vQ</t>
  </si>
  <si>
    <t>linktr.ee/bancocentraldo</t>
  </si>
  <si>
    <t>bit.ly/pegn_assine</t>
  </si>
  <si>
    <t>UCHO.INFO</t>
  </si>
  <si>
    <t>bit.ly/unete-a-faro</t>
  </si>
  <si>
    <t>bit.ly/3ebkhm6</t>
  </si>
  <si>
    <t>invistafinancas.com.br invistafinancas.com.br</t>
  </si>
  <si>
    <t>bit.ly/2AhTP3J bit.ly/2ExicPc</t>
  </si>
  <si>
    <t>instagram.com/projeto4ciclos</t>
  </si>
  <si>
    <t>mof.gov.ua</t>
  </si>
  <si>
    <t>spanien.diplo.de/es-es/impressum</t>
  </si>
  <si>
    <t>linkedin.com/in/joaquín-bar…</t>
  </si>
  <si>
    <t>Investing.com FxStreet.es Rankia.com t.me/alertasdivisas</t>
  </si>
  <si>
    <t>macrotradingfinance.blogspot.com</t>
  </si>
  <si>
    <t>instagram.com/abpoeta</t>
  </si>
  <si>
    <t>linktr.ee/vortxbr</t>
  </si>
  <si>
    <t>twitch.tv/elcrackdel23 t.me/elcrackdel23ca</t>
  </si>
  <si>
    <t>dindinsemfim.blogspot.com</t>
  </si>
  <si>
    <t>github.com/verodato</t>
  </si>
  <si>
    <t>cied.urjc.es/blog</t>
  </si>
  <si>
    <t>ingridkas.wixsite.com/my-site</t>
  </si>
  <si>
    <t>fb.com/diariodominho instagram.com/diariodominho</t>
  </si>
  <si>
    <t>facebook.com/jovempannews t.me/oficialjpnews bit.ly/41IoMIO</t>
  </si>
  <si>
    <t>facebook.com/enfoqueif</t>
  </si>
  <si>
    <t>instagram.com/_mattlcs?igshi…</t>
  </si>
  <si>
    <t>iZZinvest.com</t>
  </si>
  <si>
    <t>federalreserve.gov/privacy.htm</t>
  </si>
  <si>
    <t>instagram.com/jmrestrepoa</t>
  </si>
  <si>
    <t>t.me/radiointerecon</t>
  </si>
  <si>
    <t>instagram.com/mauriciocard_ youtube.com/MauricioCarden linkedin.com/in/mauriciocar</t>
  </si>
  <si>
    <t>linktr.ee/cryptoinvestid…</t>
  </si>
  <si>
    <t>bit.ly/41Fd3dr</t>
  </si>
  <si>
    <t>trendset.com.br anchor.fm/trendset</t>
  </si>
  <si>
    <t>t.me/YodaCoinSwaps</t>
  </si>
  <si>
    <t>linktr.ee/infox_educa</t>
  </si>
  <si>
    <t>minepi.com/RenataRhicci</t>
  </si>
  <si>
    <t>Instagram.com/Rafael.Zattar</t>
  </si>
  <si>
    <t>sensitive_media</t>
  </si>
  <si>
    <t>none</t>
  </si>
  <si>
    <t>regular</t>
  </si>
  <si>
    <t>Open Twitter Page for This Person</t>
  </si>
  <si>
    <t xml:space="preserve">valorinveste
</t>
  </si>
  <si>
    <t>iberezanski
A tranquilidade financeira é um
objetivo que pode ser alcançado
por meio de planejamento cuidadoso
e hábitos financeiros saudáveis.
#habitossaudaveis #mercadofinanceiro
#saudefinanceira #financaspessoais
#planejamentofinanceiro #dicasfinanceiras
https://t.co/JZQqqf6LBc</t>
  </si>
  <si>
    <t>guigrochanke
A gente sabe onde termina a politicagem.
#investimentos #finanças #mercadofinanceiro</t>
  </si>
  <si>
    <t>leiatheinvestor
https://t.co/Js9FtpPTGU</t>
  </si>
  <si>
    <t>wallstsuccess22
"The key to making money in stocks
is not to get scared out of them."
- Peter Lynch #binaryoptions #futurestrading
#mercadofinanceiro</t>
  </si>
  <si>
    <t>portalcryptoid
Entenda as implicações do crescimento
de private banking de investimento
e varejo #MercadoFinanceiro #PrivateBanking
#Varejo #Tecnologia https://t.co/h80b9sAWRP</t>
  </si>
  <si>
    <t>trader_wealthy
"The key to making money in stocks
is not to get scared out of them."
- Peter Lynch #binaryoptions #futurestrading
#mercadofinanceiro</t>
  </si>
  <si>
    <t>inteligenciaes
#Macroeconomía | Producción industrial
en Colombia sigue de capa caída:
acumula caída del 2,6 % en 2023
@DANE_Colombia https://t.co/2TVAepEjbT</t>
  </si>
  <si>
    <t xml:space="preserve">dane_colombia
</t>
  </si>
  <si>
    <t>rangelmachado87
📈 Investir em ações americanas:
o momento é propício? Descubra
neste vídeo! Analisamos o impacto
do aumento das taxas de juros e
a valorização das ações de tecnologia.
#Investimentos #MercadoFinanceiro
#Diversificação #dolar https://t.co/z9UeegiMhi
https://t.co/458xrsuUuE</t>
  </si>
  <si>
    <t>flaviosouza2810
#atrio #atrioinvestimentos #investimentos
#mercadofinanceiro #XP #xpinvestimentos
https://t.co/B1fvqXy3gL</t>
  </si>
  <si>
    <t>financad
https://t.co/3tKiByU9A9 A VBI Prime
Properties é um dos fundos que
merecem sua atenção por ser uma
excelente oportunidade de resultados
no médio prazo. #investimentos
#fundosimobiliarios #fiis #financaspessoais
#investir #mercadofinanceiro #bolsadevalores
#educaçãofinanceira https://t.co/lQng8sjfwe</t>
  </si>
  <si>
    <t>leononatotrader
🟢 Só sobrevive no mercado quem
tem disciplina! Como anda a sua?
#mercadofinanceiro #trade #daytrade
#dolar #usd $usd $dolar $usdbrl
https://t.co/4SEMUir5dW</t>
  </si>
  <si>
    <t>dalinustrader
📈 Aprenda o Poder do Day Trading!
🚀 📚 O que é Day Trading? O Day
Trading é a arte de negociar ativos
financeiros em curto prazo, buscando
lucros diários com base em análise
técnica e táticas inteligentes.
#DayTrading #Trader #BolsadeValores
#MercadoFinanceiro #Investimentos
https://t.co/dKVv1AK3fg</t>
  </si>
  <si>
    <t>viuuoficial
Boletim Focus revela novas estimativas
para a economia brasileira, incluindo
PIB, inflação e taxa Selic. #BoletimFocusdoBancoCentral
#cotaçãododólar #Inflação #MercadoFinanceiro
https://t.co/tsYut9QtaI https://t.co/tsYut9QtaI</t>
  </si>
  <si>
    <t>wagner_chavez_
RT @SFAInvest: 2. A visita teve
a finalidade de vermos os avanços
tecnológicos no ramo de segurança
e conversarmos com as principais
empres…</t>
  </si>
  <si>
    <t>sfainvest
2. A visita teve a finalidade de
vermos os avanços tecnológicos
no ramo de segurança e conversarmos
com as principais empresas que
prestam esse tipo de serviço no
Brasil como o Grupo GPS e Verzani
&amp;amp; Sandrini. #investimentos
#SFA #empresas #segurança #mercadofinanceiro
#fintwit https://t.co/d1h1vLQM1s</t>
  </si>
  <si>
    <t>jonatha93806011
O Sucesso Financeiro exige uma
sequência de pensamentos e atitudes
que por mais que pareçam simples,
a longo prazo se tornam poderosas
no processo de crescimento da sua
vida financeira #mercadofinanceiro
#forex #trader #investir #bolsadevalores
#trade #sucesso #conquista #money
https://t.co/5NJDHPDsGK</t>
  </si>
  <si>
    <t>torresrodrigom
Estudo sobre a curva de juros e
sua relação com recessões econômicas
nos EUA. A diferença entre taxas
de longo e curto prazo é um indicador
poderoso, prevendo antecipadamente
a atividade econômica. #Economia
#investimentos #mercadofinanceiro
#b3 #educa https://t.co/9TMfRGYnfj</t>
  </si>
  <si>
    <t>jc_rs
#MercadoFinanceiro: O Índice oscilou
entre mínima 119.706,26 e máxima
120.660,21, e tem avanço de 1,78%
no mês de julho https://t.co/526GxBAopU</t>
  </si>
  <si>
    <t>alertaeconomica
#JorgeBacaCampodonio | La curva
de Phillips, en #Macroeconomía,
muestra la relación entre la #tasadedesempleo
y la #inflación. La evidencia empírica
muestra que, por lo general, estas
dos variables tienen una correlación
negativa... #CASER https://t.co/F5kMHcIW0w</t>
  </si>
  <si>
    <t>mercadotododia1
Futuros de NY sobem antes da reunião
do Fed. Expectativa de pausa nas
taxas, mas abertura para aumentos
futuros. Inflação global cresce
devido ao petróleo. Futuros: Dow
Jones +0,22%, S&amp;amp;P +0,22%, Nasdaq
+0,18%. BofA eleva previsão S&amp;amp;P
500. #MercadoFinanceiro #Fed #Economia</t>
  </si>
  <si>
    <t>oliviabulla
Leia a Bula do Mercado desta quinta-feira
(28). Sua dose diária de informação
sobre o #mercadofinanceiro: #ibovespa
#dólar #mercados https://t.co/Rglos8W7T8
via @LinkedIn</t>
  </si>
  <si>
    <t xml:space="preserve">linkedin
</t>
  </si>
  <si>
    <t>imefoficial
📣 Resultados de la encuesta mensual
de expectativas económicas IMEF
en septiembre 2023: 👉🏻 https://t.co/8kcxvFkqmc
#PIB #Inflación #Empleo #TipodeCambio
#Macroeconomía https://t.co/JilsoMYOf0</t>
  </si>
  <si>
    <t>viny_trader
Conheça as famosas Gregas das opções
#mercadofinanceiro #opções #vinytrader
#B3 https://t.co/C3x9a5upfP</t>
  </si>
  <si>
    <t>mindfulinvestp1
Don't anchor to arbitrary price
levels. Assess value, not temporary
price fluctuations. #investimento
#mercadofinanceiro</t>
  </si>
  <si>
    <t>jornadacapital
Reed Jobs e sua nova missão com
o fundo de Venture Capital “Yosemite”.
Leia mais em: https://t.co/dA1uJVi8Rx
#ReedJobs #Yosemite #JornadaCapital
#Finanças #Investimentos #Política
#Economia #EconomiaBrasileira #MercadoFinanceiro
#TaxaSelic #Brasil #BolsadeValores
https://t.co/o1sixHrqXq</t>
  </si>
  <si>
    <t>rodrigoalv1981
LOOK AT HIM, EURUSD FINALIZADO
COM SUCESSO, #forex #forextrading
#MercadoCambiario #mercadofinanceiro
#forexprofit #forexstrategy #B3
#bolsadevalores #investimento https://t.co/Vy7Y53QYUF</t>
  </si>
  <si>
    <t>jedimosqueteiro
RT @Ricamconsult: Todo tipo de
ativo financeiro oscila. Quando
você ouvir falar sobre qualquer
investimento que só se valoriza
sempre, CUID…</t>
  </si>
  <si>
    <t>ricamconsult
Todo tipo de ativo financeiro oscila.
Quando você ouvir falar sobre qualquer
investimento que só se valoriza
sempre, CUIDADO. Isso simplesmente
não existe. Assista e entenda.
#investimentos #mercadofinanceiro
#ricardoamorim #economia https://t.co/hIoGTQEz0E</t>
  </si>
  <si>
    <t>pawealthh
50% for needs, 20% for savings
and debt, 30% for wants. Get in
Touch: @PARASBEHL7 Explore our
expertise in: Stocks | PMS | AIF
| Mutual Funds | Startup Investments
#finance #liberdadefinanceira #personalfinance
#mercadofinanceiro #finances #educacaofinanceira
#ipo #refinance https://t.co/n8mNzOb2w8</t>
  </si>
  <si>
    <t xml:space="preserve">parasbehl7
</t>
  </si>
  <si>
    <t>enricjaimez
💼 Excess No More? Dwindling Pandemic
Savings En este reciente estudio
(Abdelrahman y Oliveira 2023),
se analizan los patrones de ahorro
de los hogares por la pandemia.
#Macroeconomía ✍Los hogares acumularon
rápidamente niveles sin precedentes
de ahorro excesivo, definido como…
https://t.co/3i0O4hrYvr</t>
  </si>
  <si>
    <t>juliossousa22
📊 Perspectivas econômicas para
2023 - André Esteves e Roberto
Sallouti - #BTGTalks 2023. 👏📽️#Economia
#mercado #mercadofinanceiro https://t.co/FJWwjkJ6zu</t>
  </si>
  <si>
    <t>confi_trader
Don't anchor to arbitrary price
levels. Assess value, not temporary
price fluctuations. #investimento
#mercadofinanceiro</t>
  </si>
  <si>
    <t>costafilhojoao
Este semestre, volto a ministrar
#Macroeconomia para os alunos do
1o ano do curso. É sempre fascinante
apresentar a área para quem acabou
de ingressar na faculdade. Os materiais
ficarão disponíveis aqui: https://t.co/wNqZjfzMWz
https://t.co/9jruw8SEWL</t>
  </si>
  <si>
    <t>marcia23403
#mentoria #mentoring #mercadofinanceiro
#mestrado #metaverso #minasgerais
https://t.co/rlk3qSqx7X</t>
  </si>
  <si>
    <t>seebumuarama
Mercado prevê PIB de 2,24% este
ano #BancoCentral #PIB #MercadoFinanceiro
#Câmbio #Juros #selic #Pactu #PactuBancários
#seebumuarama #Umuarama https://t.co/AYoKS92o2m
https://t.co/7yaBFallWK</t>
  </si>
  <si>
    <t>qg_sardinhas
Me prometeram que a bolsa ia subir
depois do corte de juros 😭😭😭😭😭
#ibovespa #mercadofinanceiro #juros
https://t.co/TeqRUYP4sx</t>
  </si>
  <si>
    <t>carlosmvr
RT @ValoraAnalitik: #Macroeconomía
| Gobierno de Estados Unidos no
cree que sea hora de renegociar
TLC con Colombia https://t.co/R3DtfaZVk…</t>
  </si>
  <si>
    <t>valoraanalitik
#Macroeconomía | Para el séptimo
mes de este año, la ocupación hotelera
cerró en 61,03 %, una cifra que
reflejó un descenso de 4,93 puntos
porcentuales @Cotelcolombia @MincomercioCo
https://t.co/4Sics5xCR7</t>
  </si>
  <si>
    <t>tcinvestimentos
“As mulheres vão de forma intencional
para o mercado”. Você concorda
com o que foi dito? #mercadofinanceiro
#disciplina #dinheiro Opinião por:
Carol Rosa https://t.co/c1iAOCHog5</t>
  </si>
  <si>
    <t xml:space="preserve">boghosian
</t>
  </si>
  <si>
    <t xml:space="preserve">alexcabral71
</t>
  </si>
  <si>
    <t xml:space="preserve">tatobarros
</t>
  </si>
  <si>
    <t xml:space="preserve">luizferoxo
</t>
  </si>
  <si>
    <t xml:space="preserve">jaquerofinancas
</t>
  </si>
  <si>
    <t xml:space="preserve">poenobolso
</t>
  </si>
  <si>
    <t xml:space="preserve">moises_beida
</t>
  </si>
  <si>
    <t xml:space="preserve">albuquerque_af
</t>
  </si>
  <si>
    <t>andrecerque
2-10) A análise gráfica pode ser
uma aliada poderosa para tomar
decisões mais fundamentadas no
mercado de ações. Ela não oferece
garantias, mas ajuda a compreender
melhor a dinâmica dos preços e
a identificar oportunidades e riscos.
🧐 #MercadoFinanceiro"</t>
  </si>
  <si>
    <t>brasil61_
As tensões geopolíticas relacionadas
a materiais críticos aumentaram
em junho de 2023. Leia mais em https://t.co/tOP8hZCLZJ
#BrasilMineral #MercadoFinanceiro
#Mineração</t>
  </si>
  <si>
    <t>skyclaw4
#MarcoMori #Macroeconomia https://t.co/VVXNcbjzRs
#MarioDraghi</t>
  </si>
  <si>
    <t>ulisesarayad
Rotación de sectores, debido al
cambio en el ciclo económico. #macroeconomia
#macrofinanzas</t>
  </si>
  <si>
    <t>hectorchamizo
🚨👉La mesa de trading de JP Morgan
desvela una sangría de salida de
dinero en esta semana del sector
financiero, ETFs y consumo discrecional.
Interesante tendencia... Y entrada
en sector salud y energía 🤔 https://t.co/5hgSZ23xnq</t>
  </si>
  <si>
    <t>coinexportugues
No mercado de baixa, evite tomar
decisões precipitadas. 🐻 Pense
duas vezes e estude sobre o mercado.
#criptomoedas #mercadofinanceiro
#Crypto #CoinEx #cripto</t>
  </si>
  <si>
    <t>dexfase
💡 Entender los conceptos básicos
de la macroeconomía es esencial
para comprender cómo funcionan
las economías a nivel nacional
e internacional. #Macroeconomía
#EducaciónFinanciera</t>
  </si>
  <si>
    <t>diegotraderb3
Video novo no nosso canal Você
sabe o que é day trade? https://t.co/PrXzwPQczo
#miniindice #minidolar #b3 #mercadofinanceiro
#trader #ibov #ibovespa #daytrade
https://t.co/iTJqGIhe6y</t>
  </si>
  <si>
    <t>treidingp1
ÚLTIMA HORA |🚨 Foot Locker se
hundían un 33,1% en la Bolsa neoyorquina,
una hora después de la apertura
de sesión, tras anunciar otro trimestre
de caída de ventas y recortar sus
perspectivas por segunda vez este
año. #footlocker #mercadofinanceiro
#Economia https://t.co/moQn4DdSID</t>
  </si>
  <si>
    <t>j_ramacciotti
RT @tcinvestimentos: “Escolha uma
ação e compre sem olhar o preço”.
Você tem apetite para risco? #ações
#mercadofinanceiro Opinião por:
Jan…</t>
  </si>
  <si>
    <t>calilecalil
Enquanto eles falam, você constrói.
#Dividendos #Investimentos #Ações
#RendaPassiva #Investidores #FinançasPessoais
#BolsadeValores #IndependênciaFinanceira
#MercadoFinanceiro #EducaçãoFinanceira
https://t.co/FFZbPItQy8</t>
  </si>
  <si>
    <t>smarttradingcl1
💼💹 ¿Has escuchado que el Trading
es la manera más difícil de hacer
dinero? ¡Déjame decirte que también
es una gran oportunidad! #mercadofinanceiro
#profit #ethereum #bitcoinmining
#traders #motivation #forexlife
#dinheiro #forexmarket #financialfreedom
#bitcoins #binary https://t.co/IHD9CvKNzC</t>
  </si>
  <si>
    <t>prof_aleciom
Esse silêncio é assustador! Baixa
volatilidade pode indicar uma calmaria
momentânea, mas, essa quietude
pode ser o sossego antes da tempestade!
Não sabemos a direção para onde
isso explode... bearish por favor📈💨
#MercadoFinanceiro #Volatilidade</t>
  </si>
  <si>
    <t>casal_trader
Chegou o final do mês e bateu o
medo de olhar os resultados? Pare
agora mesmo de ter esse medo! Veja
no vídeo como superar esse medo!
#mercadofinanceiro #swingtrade
#b3 https://t.co/DN2Ic7ATl8</t>
  </si>
  <si>
    <t>mendyaisha43014
🚨🚨 ATENÇÃO 🚨🚨 . Este é meu
único perfil e não ofereço nenhum
tipo de investimento! . Não caiam
nesse golpe! . . #mercadofinanceiro
#ibovespa #mulheresnabolsa #mercadofuturo
#ibov https://t.co/3z08LhNBjd</t>
  </si>
  <si>
    <t>reportbrasilia
Monitorar a gradação do desmatamento
do Cerrado, bioma que tem perdido
áreas para o cultivo de soja, é
algo que já vem sendo reportado
por especialistas. https://t.co/74Ih12qdMX
#reporterbrasilia #soja #cerrado
#agronegocio #mercadofinanceiro
#desmatamento #grilagem</t>
  </si>
  <si>
    <t>marcio_mendonc
RT @leiamoneytimes: Temporada de
leilões de imóveis por bancos esquenta;
vale a pena comprar nessas operações?
#imoveis #mercadofinanceiro…</t>
  </si>
  <si>
    <t>leiamoneytimes
Acompanhe as movimentações do Ibovespa
(IBOV) em Tempo Real. #Ibovespa
#Acoes #VALE3 #MercadoFinanceiro
#MoneyTimes https://t.co/alNkORe81t</t>
  </si>
  <si>
    <t>charlandodminas
4/8 @jraixelamarkets nos hace un
breve resumen de #macroeconomia,
nos explica la bicotomia actual
de los #mercados terminando su
exposición con "cuando abramos
los ojos y veamos que el pais de
las #maravillas no existe y todo
se puede transformar en, quizas,
una dura #realidad" https://t.co/McRW7WMXHU</t>
  </si>
  <si>
    <t>coinharbinger
"The key to making money in stocks
is not to get scared out of them."
- Peter Lynch #binaryoptions #futurestrading
#mercadofinanceiro</t>
  </si>
  <si>
    <t>to_do_retweet
RT @ValoraAnalitik: #Macroeconomía
| La DIAN junto a la Comisión Nacional
del Servicio Civil adelantan un
proceso de pruebas para que colom…</t>
  </si>
  <si>
    <t>psychstock
Don't anchor to arbitrary price
levels. Assess value, not temporary
price fluctuations. #investimento
#mercadofinanceiro</t>
  </si>
  <si>
    <t>pi_salvador
COPOM 📈 Diretoria do BC reduz
a Selic em 0,50%, colocando a taxa
básica de juros para o patamar
de 13,25% ao ano. #COPOM #Selic
#ReduçãoDeJuros #TaxaBásicaDeJuros
#BC #Economia #MercadoFinanceiro
#Brasil #AnáliseEconômica #PolíticaMonetária
#TaxaDeJuros #EconomiaBrasileira</t>
  </si>
  <si>
    <t>ciromorah
RT @ValoraAnalitik: #Macroeconomía
| Ministro Bonilla advierte: por
aumento del petróleo, gasolina
podría subir hasta $16.000 @MinHacienda…</t>
  </si>
  <si>
    <t xml:space="preserve">minhacienda
</t>
  </si>
  <si>
    <t>billpoint_co
Ele se tornou um símbolo de resiliência
e determinação, inspirando muitos
a desafiar o status quo. Alguns
o admiravam; outros o desprezavam.
Mas ninguém pode negar seu impacto
no mundo das finanças e no cenário
global. #mercadofinanceiro #investidor
#GeorgeSoros</t>
  </si>
  <si>
    <t>alexbukowsky
RT @negocios_tv: Falsedades en
el mercado del oro: las razones
por las que no puede subir ni bajar
mucho. Iturralde #trading #bolsadevalo…</t>
  </si>
  <si>
    <t>negocios_tv
Falsedades en el mercado del oro:
las razones por las que no puede
subir ni bajar mucho. Iturralde
#trading #bolsadevalores #oro #bolsa
#china #divisas #mercados #inversiones
#invertir #iturralde #mercadofinanceiro
#bolsadevalores https://t.co/BSFkFsryyQ
https://t.co/XNWNLHbv3K</t>
  </si>
  <si>
    <t>estrategia_fox
#ibov #dolar #mercadofinanceiro
https://t.co/fTMddA8wsl</t>
  </si>
  <si>
    <t>jripollgarciam1
RT @negocios_tv: Falsedades en
el mercado del oro: las razones
por las que no puede subir ni bajar
mucho. Iturralde #trading #bolsadevalo…</t>
  </si>
  <si>
    <t>sonartrade
Se você estava ansioso aguardando
as carteiras Absolute 15 e Absolute
30 Benndorf Research, saiba que
já estão publicadas no app SonarTrade.
Aproveite! #SonarTrade #carteirarecomendada
#finanças #mercadofinanceiro #ibov
#BenndorfResearch https://t.co/Vf3WO93ZkW</t>
  </si>
  <si>
    <t>cofeconeconomia
💡Confira a matéria completa, com
vídeo em https://t.co/7RSrwlgOpl
#TaxaDeJuros #BancoCentral #PolíticaMonetária
#EconomiaBrasileira #Inflação #DesenvolvimentoEconômico
#MercadoFinanceiro #CenárioEconômico
#Investimentos #EstabilidadeFinanceira
https://t.co/3m3gXhsQrD</t>
  </si>
  <si>
    <t>maquininhaton1
As Melhores Taxas Do Brasil. •Tá
Com Ton, Tá Com Tudo• Vem Maximizar
O Seu Lucro!!! 💚💚💚💚💚💚💚💚💚
#empreendedorismo #empreender #emprendedores
#ton #tacomtontacomtudo #marketing
#mercadofinanceiro #ultraton #vendasonline
https://t.co/xfJHQ2637W</t>
  </si>
  <si>
    <t>oficialjumba
Bora de 🧶!? 1- No dia 03/08, um
player montou um ratio em opções
do IBOV para o vencimento OUT/23.
Trata-se de um ratio, também conhecido
como booster. Essa estrutura possui
proporções diferentes entre as
opções compradas e vendidas. #MercadoFinanceiro
#OpçõesIBOV https://t.co/ptDZ1A9yui</t>
  </si>
  <si>
    <t>lawrencemiuller
Yo y mis dos amigos en un crucero
cuando vemos que nos llegó el pago
de los dividendos: #dividendo #mercadofinanceiro
#Finanzas https://t.co/gmqK6G9bAj</t>
  </si>
  <si>
    <t>betorossi7
@AlencarBraga13 Grande Hamilton
de nossa Macro PT Sorocaba . #GovernoLula
#MacroEconomia https://t.co/b5vpKWa0ep</t>
  </si>
  <si>
    <t xml:space="preserve">alencarbraga13
</t>
  </si>
  <si>
    <t>grdotrader
A INFLAÇÃO É IGUAL AO ALC00LISMO!
#mercadofinanceiro #educaçãofinanceira...
https://t.co/yhMUS52v8A via @YouTube</t>
  </si>
  <si>
    <t xml:space="preserve">youtube
</t>
  </si>
  <si>
    <t>gandres1982
RT @ValoraAnalitik: #Macroeconomía
| Ministro Bonilla advierte: por
aumento del petróleo, gasolina
podría subir hasta $16.000 @MinHacienda…</t>
  </si>
  <si>
    <t>ylearth
DOLAR MASTIGADO! LIVE NA https://t.co/LDQmcBdIqx
às 8:40 QUEM QUISER TIVER DÚVIDAS
DO MAIS BÁSICO ATÉ AVANÇADO. VAMOS
CONVERSAR SOBRE MERCADO E UNS INSIGHTS
LEGAIS PARA QUEM FICAR LIGEIRO!
BOA NOITE, FIQUEM NA PAZ DE DEUS!
#MercadoFinanceiro #dolarfuturo
https://t.co/93BSMcxZva</t>
  </si>
  <si>
    <t>gsgbusinessh
#Macroeconomía | ¿Funcionan los
"Bidenomics"? https://t.co/7KJtY2s35U
a través de @CNNEE</t>
  </si>
  <si>
    <t xml:space="preserve">bolsamania
</t>
  </si>
  <si>
    <t xml:space="preserve">washingtonpost
</t>
  </si>
  <si>
    <t xml:space="preserve">wsj
</t>
  </si>
  <si>
    <t xml:space="preserve">biespana
</t>
  </si>
  <si>
    <t xml:space="preserve">cnnee
</t>
  </si>
  <si>
    <t>cincodiascom
La vicepresidenta económica defiende
su candidatura y confirma que seguiría
en el Gobierno hasta enero. #Macroeconomía
https://t.co/sn3STJApPX</t>
  </si>
  <si>
    <t>carolinedaher
Valeu, Brasil 🇧🇷 #firstposition🏆
#escritórionamochila #sanfrancisco
#california #googlebrasil #mulhernabolsa
#tradesdodia #análisetécnica #análisegráfica
#mercadofinanceiro #ibov #ibovespa
#bitcoin #btc #winfut #dolfut https://t.co/R1IwIhwQAG</t>
  </si>
  <si>
    <t>agatatrade60180
CANDLE CARECA 👩‍🦲⚠️ Os candles
que fecham sem PAVIO tem uma alta
probabilidade de fazer uma reversão
no candle seguinte, ja observaram
isso no gráfico? #mercadofinanceiro
#opcoesbinarias #daytrade #traderbrasil
#traderlifestyle https://t.co/8QnnIs2oto</t>
  </si>
  <si>
    <t>ig
Mercado financeiro elevaram a projeção
de crescimento da economia para
este ano, passando de 2,89% para
2,92%. #PortaliG #MercadoFinanceiro
https://t.co/XcZG64k2Fu</t>
  </si>
  <si>
    <t>srsucesso137
Como Warren Buffett Ficou Rico,
Variante Tempo #mercadofinanceiro
#networking #bitcoin #marketing
#investimento https://t.co/4liCCClcxj</t>
  </si>
  <si>
    <t>alejandrocharry
RT @ValoraAnalitik: #Macroeconomía
| La DIAN junto a la Comisión Nacional
del Servicio Civil adelantan un
proceso de pruebas para que colom…</t>
  </si>
  <si>
    <t>omarrios22
🔴 #MacroEconomía con Omar Ríos
🌍 "El BRICS Imparable: ¿El FIN
del dólar?" 📅 30 de Agosto, 8
pm (CDMX) en YouTube. Con la incorporación
de 6 NUEVOS MIEMBROS, ¿cómo cambiará
el panorama económico global? 📈
No te lo pierdas: 🔗 https://t.co/pqQDzHIiVE
#BRICS #Dólar https://t.co/ywDzFVM5Y0</t>
  </si>
  <si>
    <t>jornalcontabil_
No cenário econômico atual, a volatilidade
é uma constante. Empresas e investidores
enfrentam incertezas em diversas
frentes, desde oscilações do mercado
financeiro até eventos geopolíticos
inesperados. #estaofinanceiros
#empresas #mercadofinanceiro https://t.co/thBebdxxFP</t>
  </si>
  <si>
    <t>williamhuntbr
Descubra como desbloquear sua Liberdade
Financeira de uma vez por todas:
https://t.co/i8OqlzIrwZ #investir
#dolar #mercadofinanceiro #bolsadevalores
#investimentos #comoinvestir #financas
#finanças #educaçãofinanceira https://t.co/yZoWwLAnuU</t>
  </si>
  <si>
    <t>tony_financas
Alguém conhece esse cara? #mercadofinanceiro
https://t.co/TFqizaxo0c</t>
  </si>
  <si>
    <t>btvacademy
Palavras usadas no Mercado Financeiro💵💰📈
Vem conferir! Nos siga para mais
conteúdos no @BTVAcademy - Escola
de inglês #mercadofinanceiro #finanças
#financeiro #contabilidade #ingles
https://t.co/U53mfC1cct</t>
  </si>
  <si>
    <t>ipg_investire
📣 New Podcast! "25.09.23 Macroeconomia
settimanale" on @Spreaker #crescita
#economia #fondamentali #guadagno
#investimenti #ipg #macroeconomia
#mercatifinanziari #numeri #opportunita
#pil #recessione https://t.co/8Dhflg2HMC</t>
  </si>
  <si>
    <t xml:space="preserve">spreaker
</t>
  </si>
  <si>
    <t>raspay_
Nossas soluções de pagamento ajudam
você a escalar seu negócio online.
- Integração Flexível - Customização
- Pagamentos B2B Acesse nosso site
e fale com nossa equipe! #raspay
#fintechs #meiosdepagamento #pix
#mercadofinanceiro #criptomoedas
#formasdepagamento https://t.co/QYUhHze9DG</t>
  </si>
  <si>
    <t>marketcasero
#Macroeconomía. Definición y concepto.
https://t.co/LOpKTocIcA</t>
  </si>
  <si>
    <t>wallstwealthy
"The key to making money in stocks
is not to get scared out of them."
- Peter Lynch #binaryoptions #futurestrading
#mercadofinanceiro</t>
  </si>
  <si>
    <t>johanfelipe94
RT @ValoraAnalitik: #Macroeconomía
| Tasas de interés Colombia: ¿Las
bajará el Banco de la República
en su próxima junta? https://t.co/k32…</t>
  </si>
  <si>
    <t xml:space="preserve">luisfermejia
</t>
  </si>
  <si>
    <t xml:space="preserve">petrogustavo
</t>
  </si>
  <si>
    <t>kawanandradec
Alguém já pulou o CPA 10 e foi
direto pra 20? #certificação #anbima
#cpa10 #cpa20 #mercadofinanceiro</t>
  </si>
  <si>
    <t>sigler_marcia
Quem sou eu? https://t.co/lcmNOeGFcl
#mepoupe #mercadodetrabalho #mercadofinanceiro
#MercadoInterno</t>
  </si>
  <si>
    <t>massimopoli
@GioMaiorano_ La scuola è importante,
soprattutto per chi Governa… studiate
cialtroni! #macroeconomia</t>
  </si>
  <si>
    <t xml:space="preserve">giomaiorano_
</t>
  </si>
  <si>
    <t xml:space="preserve">luciomalan
</t>
  </si>
  <si>
    <t>el82ye78
RT @ValoraAnalitik: #Macroeconomía
| Gobierno de Estados Unidos no
cree que sea hora de renegociar
TLC con Colombia https://t.co/R3DtfaZVk…</t>
  </si>
  <si>
    <t>diarinho
EQI gere mais de R$ 20 bilhões
em investimentos. #tonodiarinho
#mercadofinanceiro #investimentos
#itajaí https://t.co/xGLGq8YwJa</t>
  </si>
  <si>
    <t>eep_fumep
Ppalestras sobre Investimentos
e Mercado Financeiro. Acesse: https://t.co/Y8uYw7bO6w
#fumep #eep #administração #ciênciascontábeis
#ptgpactual #investimentos #mercadofinanceiro
https://t.co/RiwF9Navsg</t>
  </si>
  <si>
    <t>keyfallent
Exciting times ahead Lucy Scientific
Discovery Inc. sends a proposal
to acquire Pasithea Therapeutics
Corp. paving the way for groundbreaking
medical solutions. $lsdi #trading
#mercadofinanceiro #forextradin</t>
  </si>
  <si>
    <t>keynesionomia
Cada vez mais Campos Neto se mostra
agente político da proposta de
governo perdedora. #camposneto
#economia #BC #politica #keynes
#selic #mercadofinanceiro #B3 #TikTok
https://t.co/RdmkHgv3AF</t>
  </si>
  <si>
    <t>ayronferreira
#federalreserve #mercadofinanceiro
#investing #money #economia #economy
#stocks #ações #trading #bitcoin
#ibovespa #nasdaq</t>
  </si>
  <si>
    <t>edsonderiv
Descubra as principais corretoras
de Forex e Opções Binárias em nosso
site. Torne-se um Trader de sucesso
e obtenha comissões incríveis por
meio do nosso programa de afiliados.
Para mais detalhes, visite o nosso
site em https://t.co/lAikrsBH0t
#MercadoFinanceiro #ForexBrasil
https://t.co/bGDpLLSI2P</t>
  </si>
  <si>
    <t>falkalertas
RT @falkcapital: 📊 BOLETIM FOCUS:
Confira as perspectivas do mercado
para o Relatório Focus em 22/09/2023.
Toda semana, trazemos as proje…</t>
  </si>
  <si>
    <t>falkcapital
📊 BOLETIM FOCUS: Confira as perspectivas
do mercado para o Relatório Focus
em 08/09/2023. Toda semana, trazemos
as projeções atualizadas para #IPCA,
#PIB, #SELIC e #Dolar. Fique por
dentro das expectativas do #MercadoFinanceiro
https://t.co/CK1tE8VRbT</t>
  </si>
  <si>
    <t>jesuisjavi
RT @ValoraAnalitik: #Macroeconomía
| El Dane reveló que en julio el
Indicador de Seguimiento a la Economía
(ISE) creció 1,18 % respecto…</t>
  </si>
  <si>
    <t>suportehotdog
💚Liza: #segueagente #FolloMe #follow
#Followus e vamos dar muitas dicas,
novidades e explicar direitinho
tanto para os novatos quanto para
os experts tudo sobre #mercadofinanceiro
e #Criptomoedas ! #hotdogGirls
# BTC #ETH #BNB #Cryptotwitter
#Crypto #market #cryptocurrencies
🌭 https://t.co/dqBnTK3fb1</t>
  </si>
  <si>
    <t>vellascoofc
RT @SuporteHotDog: 💚Liza: #segueagente
#FolloMe #follow #Followus e vamos
dar muitas dicas, novidades e explicar
direitinho tanto para os n…</t>
  </si>
  <si>
    <t>jarlisonjss
Entenda que você não tem pessoas
para impressionar. Vocês tem objetivos
e metas para alcançar! #b3 #MercadoFinanceiro
#daytrade</t>
  </si>
  <si>
    <t>victor_dhn
Código #3 - Regressão Linear aplicada
ao Mercado Financeiro 📈💼 Descubra
como prever o valor de uma empresa
com indicadores financeiros!" #DataScience
#MercadoFinanceiro 📊💰 https://t.co/Q5kTMNoxJn
https://t.co/jbUJCoF4vL</t>
  </si>
  <si>
    <t>opnet67
RT @EInvestidor: 📈 As ações preferenciais
da Petrobras (#PETR4) fecharam
o pregão em alta de 0,71% nesta
segunda-feira (25), cotadas a R$
3…</t>
  </si>
  <si>
    <t>einvestidor
5º lugar no Prêmio Broadcast Empresas:
RaiaDrogasil, com expansão geográfica,
digitalização e atendimento de
qualidade nos últimos anos. Veja
#mercadofinanceiro #investimentos
https://t.co/wZphpWZguK</t>
  </si>
  <si>
    <t>juanero1982
El pasado viernes 4 de agosto JP
MORGAN AUNCIÓ: "Ya no se espera
una RECESIÓN" el mismo viernes
en cuestión de minutos el índice
S&amp;amp;P 500 cayó 50 puntos y borró
miles de millones de capitalización
de mercado. #Manipulacion #mercadofinanceiro
https://t.co/34ITok4sbW</t>
  </si>
  <si>
    <t>verodatobr
B3 interbank deposit futures: today
and a month ago #FuturodoCDI #mercadofinanceiro
https://t.co/RwmXfdbfwK</t>
  </si>
  <si>
    <t>viniciusantosa
O mercado financeiro é feito de
ciclos, e aparentemente 2023 pode
marcar o ano da plantação de recursos
em busca da colheita de riquezas.
#mercadofinanceiro #educaçãofinanceira
#mindset #criptomoedas #investimentos
https://t.co/hSxA7MWX9P</t>
  </si>
  <si>
    <t>eddie_poker
Conheça a nova revolução do mercado
Financeiro. Opere de forma automática
com o robô investidor trader. Tenha
mais de 80% de acerto nos seus
trades. #MercadoFinanceiro #bolsadevalores
#Investir #Ibovespa #daytrade Saiba
mais ➡️ https://t.co/4SWXDfkeVK
https://t.co/Ra3xD0udxG</t>
  </si>
  <si>
    <t>portalvgv
A previsão do #mercadofinanceiro
para o #IPCA – considerado a inflação
oficial do país – caiu de 4,9%
para 4,84% neste ano. A estimativa
está no Boletim Focus desta segunda-feira
(31), pesquisa divulgada semanalmente
pelo #BancoCentral Entenda: https://t.co/59956XeJ26
https://t.co/av9q9DdoR2</t>
  </si>
  <si>
    <t>eduardo_garufi
nesse fundo imediato, ele pode
ficar bem encaixotado no range
de 115k e 119k. Vamos observar
com cautela os próximos dias e
seguir à risca as premissas operacionais
para reagir ao preço com boa precisão!
#ibov #trading #mercadofinanceiro</t>
  </si>
  <si>
    <t>ocriptomestre
Estamos naqueles momentos do mercado
que todo mundo tem medo de comprar.
A China ruindo, inflação duvidosa,
FED tirando dinheiro da economia,
fundos acumulando cash. #investimentos
#mercadofinanceiro #economia #criptomoedas
https://t.co/7X0eVjbfrN</t>
  </si>
  <si>
    <t>elbunkerradior
#business #Finanzas #Economia #Negocios
#empresas #mercadofinanceiro https://t.co/TcVbb9pnHB</t>
  </si>
  <si>
    <t>sanchezzandre
Vai confiando que com as contas
públicas com déficit, não vai sobrar
pra nós. Só confia 🤡. #deficit
#brasil #mercadofinanceiro #ibov
#impostos https://t.co/L5cEjhRyPD</t>
  </si>
  <si>
    <t>jhonata13179362
Bora de Mentor Responde! E o assunto
é Opções.. completo no insta @jhonata.slima
#vemserproedu #analistadeinvestimentos
#consultordeinvestimentos #correlacaoentreativos
#bolsadevalores #mercadofinanceiro
#certificacaofinanceira https://t.co/DLcfJxCZc2</t>
  </si>
  <si>
    <t xml:space="preserve">proeducacional
</t>
  </si>
  <si>
    <t xml:space="preserve">jhonata
</t>
  </si>
  <si>
    <t>tradervlog
#NFP Quer entender por que este
evento é tão impactante para o
mercado Forex? Não perca nosso
vídeo 'NonFarm Payroll EXPLICADO:
Por que é tão Importante para o
Mercado Forex'. https://t.co/XCuCpoFHN8
#forex #investimentos #mercadofinanceiro
#nonfarmpayroll #gold</t>
  </si>
  <si>
    <t>made_hits
As dificuldades de conciliar o
trabalho CLT com a paixão pela
fotografia e ainda encontrar tempo
para o merecido descanso.😂😴🤯
#fotografa #fotografia #foto #fotografar
#fotografando #investimento #educaçãofinanceira
#mercadofinanceiro #financas #fyp
#popular #likeforlikes https://t.co/g4rfskw6Zx</t>
  </si>
  <si>
    <t>guarulhosonline
Mercado eleva para 2,64% projeção
do crescimento da economia em 2023.
#bancocentral #boletimfocus #economia
#mercadofinanceiro #guarulhosonline
https://t.co/c6k2NRWpVd</t>
  </si>
  <si>
    <t>digital_educ10
Pare de quebrar a cabeça no mercado
financeiro. Opere de forma automática
com a ajuda da inteligência artificial.
Conheça o robô investidor trader
#Investimentos #MercadoFinanceiro
#bolsadevalores #daytrade #miniindice
#minidolar Saiba mais ➡️ https://t.co/jSfNg3SrBt
https://t.co/SmAFFJuUP1</t>
  </si>
  <si>
    <t>economicasudea
Nuestro profesor Wilman Arturo
Gómez Muñoz aporta su mirada macroeconómica
sobre el fenómeno del niño y el
alza del precio de los alimentos,
para el Encuentro de Innovación
Agropecuaria realizado por la Gobernación
de Antioquia https://t.co/vLoMRvmXrH
#FCE #UdeA #Macroeconomía</t>
  </si>
  <si>
    <t>vallejo1rodri2
RT @ValoraAnalitik: #Macroeconomía
| Ministro Bonilla advierte: por
aumento del petróleo, gasolina
podría subir hasta $16.000 @MinHacienda…</t>
  </si>
  <si>
    <t>rmac_avera
Os destaques de volume no pregão
de 21 de julho de 2023 na B3. Uma
boa referência para começar os
estudos no final de semana. O Avera+
disponibiliza essa e outras diversas
informações que orientam os estudos
no mercado de ações. #mercadofinanceiro
#investidorinteligente https://t.co/TwezTUaaor</t>
  </si>
  <si>
    <t>j_henrique_
Isso permitirá que a transação
financeira ocorra de forma simultânea
com a transferência do bem, reduzindo
custos, burocracia e aumentando
a segurança para os negócios. #finanças
#economia #inovação #tecnologia
#DREX #sistemafinanceiro #mercadofinanceiro
#negócios</t>
  </si>
  <si>
    <t>r_penhafilho
RT @HubInvestidor: A Booking Holdings
é uma empresa digital do setor
de turismo. Atualmente o grupo
possui valor de mercado de US$
108 bilh…</t>
  </si>
  <si>
    <t>hubinvestidor
A Booking Holdings é uma empresa
digital do setor de turismo. Atualmente
o grupo possui valor de mercado
de US$ 108 bilhões de dólares,
conta com uma série de vantagens
competitivas importantes! Confira:
https://t.co/9Im2wONNmL #bookingcom
#mercadofinanceiro</t>
  </si>
  <si>
    <t>invest_kla
3- #mercadofinanceiro diminui previsão
de inflação e reforça expectativa
por queda nos juros📉🤔 4- Ibovespa
fecha em queda e volta aos 117
mil pontos, puxado por Vale e empresas
de varejo📉🫰</t>
  </si>
  <si>
    <t>zenstockjourney
"The key to making money in stocks
is not to get scared out of them."
- Peter Lynch #binaryoptions #futurestrading
#mercadofinanceiro</t>
  </si>
  <si>
    <t>perfilcombrasil
#brasil #Crescimento #Economia
#MercadoFinanceiro #PIB https://t.co/VwDGwe0byJ</t>
  </si>
  <si>
    <t>posistockwizard
Don't anchor to arbitrary price
levels. Assess value, not temporary
price fluctuations. #investimento
#mercadofinanceiro</t>
  </si>
  <si>
    <t>zealberto_rios
RT @tcinvestimentos: “Eu vou investir
onde está rendendo mais no momento”.
Você comete ou já cometeu esse
erro? #bolsa #mercadofinanceiro
#…</t>
  </si>
  <si>
    <t>correiodeminas
A empresa brasileira que mais gera
bilionários: saiba qual é #correiodeminas
#empresa #empresabrasileira #geração
#bilionarios #mercadofinanceiro
#correiodeminasonline https://t.co/ibDC86j6Re
https://t.co/jdz0QGWMl3</t>
  </si>
  <si>
    <t>amalia38886043
RT @negocios_tv: Falsedades en
el mercado del oro: las razones
por las que no puede subir ni bajar
mucho. Iturralde #trading #bolsadevalo…</t>
  </si>
  <si>
    <t>bedrock079tm
Ações da Tesla $TSLA supreendem
e sobem mais de 10%! Parece que
as apostas de Bill Gates de que
Elon não atingiria o nível de carros
autônomos estava errada. #ElonMusk
#Tesla #BillGates #stockmarkets
#Ações #Mercado #mercadofinanceiro
#ibovespa BedRock™💸 https://t.co/3SZEEexGmD</t>
  </si>
  <si>
    <t>viesdanoticia
💰 Mercado eleva para 2,29% projeção
do crescimento da economia em 2023
#ViesdaNoticia #MercadoFinanceiro
#Economia https://t.co/MiA6CbEvOE</t>
  </si>
  <si>
    <t>earn2trade_br
Fazer parte de uma comunidade de
trading pode ser uma ferramenta
poderosa para traders novatos e
experientes. Confira nosso artigo
para descobrir algumas comunidades
de trading que você pode participar.
https://t.co/MAPULQIXZW #daytrader
#earn2tradebrasil #mercadofinanceiro
https://t.co/uyCW2DWIie</t>
  </si>
  <si>
    <t>neo_silva
RT @negocios_tv: Falsedades en
el mercado del oro: las razones
por las que no puede subir ni bajar
mucho. Iturralde #trading #bolsadevalo…</t>
  </si>
  <si>
    <t>teddyopen
4 Passos para se tornar um Business
Banker de sucesso com a Teddy!
https://t.co/MxBGRCFgcz #bancario
#mercadofinanceiro #bancocentral</t>
  </si>
  <si>
    <t>alejandro994
RT @ValoraAnalitik: #Macroeconomía
| Ministro Bonilla advierte: por
aumento del petróleo, gasolina
podría subir hasta $16.000 @MinHacienda…</t>
  </si>
  <si>
    <t>drodri1972
Creo hilo, primer año del presidente
y las cifras economicas mejoraron
totalmente, pero la oposición dice
que nada mejor #macroeconomia #petro
#inflacion #desempleo #Colombia
https://t.co/quOALkSGfT</t>
  </si>
  <si>
    <t>ygor_fbc
Aguardando o @igor_mundstock com
a tradução do Powell. #macroeconomia
#btc #quedainfinita https://t.co/HstY4N2iDe</t>
  </si>
  <si>
    <t xml:space="preserve">igor_mundstock
</t>
  </si>
  <si>
    <t>henleinvest
#investimentos #investimento #bolsadevalores
#bovespa #rendavariavel #ações
#mercadofinanceiro #liberdadefinanceira
#finanças #planejamentofinanceiro
#trader #stocks #dinheiro #henleinvestimentos
#economia #dividendos #ibovespa
#agro #agronegocio #soja #milho
#keplerweber https://t.co/6OtaOVbeb4</t>
  </si>
  <si>
    <t>p_prefeitura
#Economia PROJEÇÃO de crescimento
ECONÔMICO sobe para 2,89% em 2023,
aponta MERCADO #portaldeprefeitura
#economia #brasil #mercadofinanceiro
#projeção #crescimentoeconomico
https://t.co/Q8w5xqBvmu</t>
  </si>
  <si>
    <t>thinkonomics
Confiança da indústria cai pela
primeira vez em cinco meses #industria
#economia #macroeconomia #confianca
#cni #empresario https://t.co/fFMYGP8SBs
https://t.co/bRORfnstY5</t>
  </si>
  <si>
    <t xml:space="preserve">fitchratings
</t>
  </si>
  <si>
    <t>businessd4
📣 Descubra como investir estrategicamente
na B3, utilizando dados e análises
precisas! 💼🚀 Acesse o artigo
completo no Blog da D4Business:
https://t.co/yD7LwL3Tye #Investimentos
#B3 #Estratégia #DataDriven #AnáliseDeDados
#MercadoFinanceiro #D4Business
https://t.co/zT59Hvk9J1</t>
  </si>
  <si>
    <t>elenaliberal
@lagacetachile Tribunal Constitucional
aprueba ley de delitos Económicos
@DarekMacpherson #Economia #economics
#Finanzas #Macroeconomia #Microeconomia
https://t.co/gYldEfegPU</t>
  </si>
  <si>
    <t xml:space="preserve">darekmacpherson
</t>
  </si>
  <si>
    <t xml:space="preserve">lagacetachile
</t>
  </si>
  <si>
    <t>financialstream
📈 Perfil Suitability, o Perfil
de risco do Investidor. Conservador,
Moderado e Arrojado. Descubra qual
deles melhor se encaixa melhor
em seus objetivos financeiros!
💰 #MercadoFinanceiro #Investimentos
#Finanças</t>
  </si>
  <si>
    <t>antonioblvs
conhece alguém prejudicado ou alguma
"autoridade" envolvida que poderia
solucionar o caso de forma mais
franca? só me chamar. 25/25 (FIM).
#Governance #mercadofinanceiro
#loteamento #investimento #caruaru
#pernambuco</t>
  </si>
  <si>
    <t>sunggustavo
Agenda da Semana - 25/09 a 29/09
Semana agitada com diversos dados
no Brasil e lá fora. Fique atento
pois eles poderão gerar alguma
volatilidade sobre os mercados.
#suno #mercadofinanceiro #economia
#agendadasemana #ipca15 #igpm #pce
#caged #pnad https://t.co/WB5QP3nXPc</t>
  </si>
  <si>
    <t>mano_investidor
ENTENDA a DIFERENÇA ENTRE AS AÇÕES
3, 4, 5, 6 e 11 🤑📈🚀 #ações #bolsadevalores
#mercadofinanceiro #investidoriniciante
#educacaofinanceira #dinheiro #rendavariavel
#rendapassiva #dinheiroonline https://t.co/tConM8axZR</t>
  </si>
  <si>
    <t>diariolibre
💰| #EconomíaDL | El Gran Santo
Domingo se mantiene como el de
mayor participación en el PIB nacional
🔗https://t.co/vBWQYe2VBg #DiarioLibre
#Economía #Macroeconomía #GSD #SantoDomingo
#GranSantoDomingo #PIBNacional
#ProductoInternoBruto #PIB https://t.co/2ZvQnmrAEo</t>
  </si>
  <si>
    <t>infinitgo
Com nossa incrível ala de recomendação
de entradas de compra e venda,
você pode transformar sua vida
financeira! Ganhe até R$3500 por
mês com apenas duas 💰🚀 #Trading
#RendaExtra #OportunidadeFinanceira
#AprimoramentoPessoal #MercadoFinanceiro
#SucessoFinanceiro #OlympTrade
https://t.co/J1Nnp5NHDV</t>
  </si>
  <si>
    <t>danielg_s6
#Economia #IndicadoresEconômicos
#Consumo #Investimentos #Inflação
#Emprego #PoderDeCompra #Turismo
#Inovação #MercadoFinanceiro #Educação
#Bolsa</t>
  </si>
  <si>
    <t>elizave12948781
Fachada de edifício cai no Bairro
Alto - Portugal #bairroalto #Economía
#Lisboa #macroeconomia #negóciosefinanças
#ruadodiáriodenotícias https://t.co/i5EqemuvsY</t>
  </si>
  <si>
    <t>rmdgarfias
¿La crisis de Peru nos afecto más
que la guerra? https://t.co/Yq2mcbCBja
Una pequeño pronostico sobre lo
que se espera del primer semestre
de la economía. #Bolivia #macroeconomia
#Economia</t>
  </si>
  <si>
    <t>barbruno8
Diretores do BC fazem as primeiras
reuniões do trimestre com economistas
para elaboração do Relatório Trimestral
de Inflação (RTI). Entre os indicadores,
a FGV informa o IGP-10 de agosto
às 8h. #mercadofinanceiro #bolsadevalores
#bancocentral</t>
  </si>
  <si>
    <t>revistafocopy
#macroeconomía 🇵🇾 El Indicador
Mensual de Actividad Económica
del Paraguay del @BCP_PY registró
en mayo un crecimiento de 7,0%
con respecto al mismo mes del año
anterior. ➡️ Nota completa aquí:
https://t.co/tCCFDBDeLk</t>
  </si>
  <si>
    <t xml:space="preserve">bcp_py
</t>
  </si>
  <si>
    <t>fsaraceno
Subito dietro ai pesi massimi in
#macroeconomia 😂 #OltreleBancheCentrali
si difende bene sul sito di Amazon
#inflazione #disuguaglianza https://t.co/6laI3aLLb5</t>
  </si>
  <si>
    <t>always4wards
RT @negocios_tv: Falsedades en
el mercado del oro: las razones
por las que no puede subir ni bajar
mucho. Iturralde #trading #bolsadevalo…</t>
  </si>
  <si>
    <t>fidocomvc
Qual o valor ideal para começar
a investir? #fidoeduca e tira essa
dúvida para você que está pensando
em começar no mercado financeiro
agora! Quer saber mais? Clica no
link da nossa bio! #fidocomvc #fido
#investimento #comecarainvestir
#mercadofinanceiro #desenrola https://t.co/PrYjgSqL4O</t>
  </si>
  <si>
    <t>acerqueira_adv
O cliente perguntando qual a taxa
de #USD do dia. O gráfico intraday.
#volatilidadebrasil #dolar #mercadofinanceiro
#cambio #analisetecnica #advancedcorretora
https://t.co/PrATXOYhlY</t>
  </si>
  <si>
    <t>hodorfunds
¿Esperando que la Vida se te pase
sin tener la vida que quieres?
. Diversifica tus fuentes de ingreso
y reduce el riesgo financiero en
tu vida ❤️ . Hacemos trading de
forma diferente 🙌🏼 . #BBNaijaAllStars
#JorgeLosa #bitcoin #dolar #trading
#MercadoFinanceiro</t>
  </si>
  <si>
    <t>pedrorenatogc
Pq o Ibovespa está caindo mesmo
com a queda da taxa Selic? #TaxaSelic
#BancoCentral #FED #MercadoFinanceiro
https://t.co/KNugLNcZk6</t>
  </si>
  <si>
    <t>rodaseca
RT @PedroRenatoGC: Pq o Ibovespa
está caindo mesmo com a queda da
taxa Selic? #TaxaSelic #BancoCentral
#FED #MercadoFinanceiro https://t.c…</t>
  </si>
  <si>
    <t>herdersonfile
Confira os principais fatores que
influenciam os mercados financeiros
em todo o mundo nesta sexta-feira,
11 de agosto #mercadofinanceiro
#Economia #trade https://t.co/CUX5XVV4G3</t>
  </si>
  <si>
    <t xml:space="preserve">vmiziara_
</t>
  </si>
  <si>
    <t xml:space="preserve">luciana_seabra
</t>
  </si>
  <si>
    <t xml:space="preserve">thiagogdearagao
</t>
  </si>
  <si>
    <t xml:space="preserve">brunomonsanto_
</t>
  </si>
  <si>
    <t xml:space="preserve">1bilhao_
</t>
  </si>
  <si>
    <t xml:space="preserve">marcosaravalle
</t>
  </si>
  <si>
    <t>imlondono
RT @ValoraAnalitik: #Macroeconomía
| Esto debería pasar en Colombia
para que el PIB del 2023 crezca
al 2 % @petrogustavo @LuisFerMejia
h…</t>
  </si>
  <si>
    <t>onjornal1
Entenda como funciona a segurança
das criptomoeadas. O modelo é seguro
contra invasores. Veja a entrevista
completa com o especialista Dr.
Davi de Oliveira, no https://t.co/PqEiIWNP4R
#cripto #mercadofinanceiro #inovações
#investimento #valores https://t.co/y5hM3RFMIU</t>
  </si>
  <si>
    <t>luisyfinanzas
#macroeconomía #culturaeconómica,
dado que hace unos días se presentó
el paquete económico para 2024.
Según el art. 74 de la Constitución:
*El Ejecutivo Federal hará llegar
a la Cámara de Diputados la Iniciativa
de Ley de Ingresos y el Proyecto
de Presupuesto de Egresos</t>
  </si>
  <si>
    <t>thiagobudni
"Crescer não é apenas acumular
experiências e anos de vida, mas
se abrir com humildade ao aprendizado
e busca de conhecimento." Abílio
Diniz #AbilioDiniz #experiencias
#conhecimento #economia #investimentos #mercados #dinheiro #mercadofinanceiro
#frasedodia #pensamentos https://t.co/P54Pj6g4se</t>
  </si>
  <si>
    <t>granattif
@mantledaily_ #cryptomarket #mercadofinanceiro
#investment</t>
  </si>
  <si>
    <t xml:space="preserve">mantledaily_
</t>
  </si>
  <si>
    <t>bruno_gianetti
#mercadofinanceiro #mercadodecapitais
#mercados #data #dataanalysis #datascience
#data #dados #ibov #ibovespa #dólar
#índice #futuros #futures #derivatives
#wti #petróleo #oil #markets #trader
#traderlifestyle #traderlife</t>
  </si>
  <si>
    <t>fgv_eaesp
Pesquisa de Claudia Yoshinaga,
Bianca Checon e Laura Gomes, realizada
com 240 profissionais do mercado
financeiro, concluíram que apenas
7% dos cargos de alta hierarquia
são ocupados por mulheres. Confira: https://t.co/BlfHR0Mp7I
#BlogImpacto #FGVEAESP #mercadofinanceiro
https://t.co/gfeGsBG2R8</t>
  </si>
  <si>
    <t>gouveia_fernand
RT @perpheito: Para aprender como
me “ler” e de quebra ajudar a vc
fazer projeções. ———————— Siga
para comentários de economia, política
e…</t>
  </si>
  <si>
    <t>perpheito
Toda decisão técnica necessariamente
tem efeito político. ———————— Siga
para comentários de economia, política
e finanças. Redes sociais no link
na bio. #projecoes #mercadofinanceiro
#bcb #selic #pensaaí #andreperfeito
#financas #aposentadoria #opcoes
#voudeixarissoaqui https://t.co/PxMrWm32dH</t>
  </si>
  <si>
    <t>noriegagroup
Banco Central sacrifica el crecimiento
y logra detener la inflación https://t.co/9x7sdN2FZX
#BancoCentral #crecimiento #inflación
#macroeconomía #estabilidad #políticamonetaria
#reserva #economíaglobal #políticaeconómica</t>
  </si>
  <si>
    <t>indiabrazilcha1
Através do Setor em Foco, exploramos
as tendências, oportunidades e
desafios que moldam os mercados
globais. Fiquem ligados para mais
insights e análises! 💼🌟 Fonte:
CNN 🇮🇳💫🇧🇷 #MercadoFinanceiro
#Ações #Investimentos #Índia</t>
  </si>
  <si>
    <t>russelbransil
Que tal um snickers? #CBDC #DólarDigital
#RussellBrand #PoderDoGoverno #Criptomoedas
#Bitcoin    #DólarDigital #MoedasDigitais
#TecnologiaFinanceira #Governança
#PolíticaMonetária #EconomiaDigital
#InovaçãoFinanceira #Blockchain
#MercadoFinanceiro https://t.co/TnLxXTsbla</t>
  </si>
  <si>
    <t>yinyangcapi
Los ETFs de Bitcoin son pools de
activos relacionados al Bitcoin
que se ofrecen para poder generar
una rentabilidad sin poseer directamente
ningún BTC. #btc #etf #exchangetradedfunds
#bitcoins #cyptocurrency #mercadofinanceiro
#bolsadevalores #wallstreet #invesment
#yinyang https://t.co/MfJsXCUFx7</t>
  </si>
  <si>
    <t>danniloramos_
Excelente livro! Ensinamentos que
se provaram ao longo do tempo.
Leitura obrigatória para investidores,
especialmente para os de longo
prazo. #Leitura #MercadoFinanceiro
#Investimentos #BolsadeValores
https://t.co/x5jMIPBhqp</t>
  </si>
  <si>
    <t>dirigentesdg
#Mercados📈 #Macroeconomía y su
impacto en las #criptomonedas.
👉 #Entrevista🗣️ Pablo Gil (@PabloGilTrader)
analista de XTB (@xtbes) “Hay que
tener un porcentaje de la cartera
invertido en criptomonedas”. https://t.co/5qWX2KO5cs</t>
  </si>
  <si>
    <t xml:space="preserve">xtbes
</t>
  </si>
  <si>
    <t xml:space="preserve">pablogiltrader
</t>
  </si>
  <si>
    <t>guicunhatc
RT @tcinvestimentos: “Dá pra investir
devendo?”. Você concorda que não
é recomendado para os inadimplentes?
#devendo #investir #mercadofina…</t>
  </si>
  <si>
    <t>m_milionarios
🔱📝 Os movimentos milionários
estão redefinindo a forma como
investidores abordam o mercado
financeiro. 💼💰 #Milionarios #Investimentos
#MercadoFinanceiro</t>
  </si>
  <si>
    <t>norte_informa
"Se tomaron medidas para dar previsibilidad
y estabilidad macroeconómica",
afirmó de @dmvasco El titular de
la Secretaría de Industria y Progreso
Productivo, declaró este martes
sobre las nuevas implementaciones.
Nota Completa: https://t.co/qpRx3z7TqM
#Macroeconomía https://t.co/z3F8yka5Uy</t>
  </si>
  <si>
    <t xml:space="preserve">dmvasco
</t>
  </si>
  <si>
    <t>bingx_italy
Tutti gli occhi sono puntati sulla
riunione del FOMC poiché la Fed
sta prendendo in considerazione
un aumento dei tassi di interesse.
#macroeconomia #FOMC #tassi #PIL
#Economia</t>
  </si>
  <si>
    <t>b18editora
Começamos a semana com artigo de
David Silva sobre #investimentofinanceiro
por meio de #empresas #offshore
e os impactos na #tributação trazidos
pela MP 1171/2023. https://t.co/zaKzBRkidP
#mercadofinanceiro #contabilidade
#finançaspessoais #direito #direitotributario
https://t.co/rt416ASdF4</t>
  </si>
  <si>
    <t>rielcano
How should the #EU fund European
reindustrialisation? Progress on
banking union and capital markets
union can help. ✍️Analysis by @michelemchang.
https://t.co/atMzQxu1gS</t>
  </si>
  <si>
    <t xml:space="preserve">michelemchang
</t>
  </si>
  <si>
    <t>eldia_do
#Económicas | País busca alternativas
bajar dependencia trigo importado
https://t.co/XjHp0FtIbe #PeriódicoElDía
#Alternativas #dependencia #macroeconomía
#sectoresproductivos #trigo</t>
  </si>
  <si>
    <t>rafael__costa__
#viverderenda #educacaofinanceira
#comoinvestir #mercadofinanceiro
#investimentos #liberdadefinanceira
#ipca #cdi #igpm #HGRU #HGRU11
#CSHG #CREDITSUISSE #rendimentos
#HIBRIDO #rendaurbana #varejo</t>
  </si>
  <si>
    <t>asomifecuador
💡¿Sabías que el @BancoCentral_Ec
recorta de nuevo la previsión de
PIB para 2023?🛢️ Entérate aquí:
👉🔗https://t.co/Mbz8cnj9c7 #PIB
#previsiónpib #macroeconomia #proyecciones
https://t.co/g0lplwYhsL</t>
  </si>
  <si>
    <t xml:space="preserve">bancocentral_ec
</t>
  </si>
  <si>
    <t>danielsuchar
#UH #UltimaHora Las nuevas perspectivas
mundiales del #FMI sobre el crecimiento
económico siguen en mejora !!!...
👏🏻👌🏻☺️💰 #Economia #Finanzas
#Macroeconomia https://t.co/emPUkkxA98</t>
  </si>
  <si>
    <t>gabrielpelaeza
RT @ValoraAnalitik: #Macroeconomía
| Tasas de interés Colombia: ¿Las
bajará el Banco de la República
en su próxima junta? https://t.co/k32…</t>
  </si>
  <si>
    <t>glaucojarzinski
Morning Call: Principais destaques
do dia 02/08/2023 #hermescapital
#safra #safrainvest #investimentos
#mercadofinanceiro #petroleo #commodities
#empresas #dolar #juros #economia
https://t.co/XNyIaZD03S</t>
  </si>
  <si>
    <t>tvcultura
65% dos entrevistados avaliam o
ministro positivamente; em março,
porcentagem era de apenas 10%.
https://t.co/f9eaYoEHXo #TVCultura
#Haddad #MercadoFinanceiro</t>
  </si>
  <si>
    <t>fabioasalamanca
RT @ValoraAnalitik: #Macroeconomía
| Una persona pobre en Colombia
tiene $13.228 al día para sobrevivir
https://t.co/AQqMFI0Nag @petrogus…</t>
  </si>
  <si>
    <t>jp_economics
La globalización y los bloques
geopolíticos: Los intercambios
entre la UE y el resto del mundo
pierden vigor, lo que redunda en
un déficit creciente con China
y un superávit menguante con EEUU
👉 https://t.co/xJ0tdpzq8O via
@funcases #Macroeconomía #ComercioInteracional</t>
  </si>
  <si>
    <t xml:space="preserve">funcases
</t>
  </si>
  <si>
    <t>feanor_noldorin
RT @negocios_tv: Falsedades en
el mercado del oro: las razones
por las que no puede subir ni bajar
mucho. Iturralde #trading #bolsadevalo…</t>
  </si>
  <si>
    <t>kimyellestuart
The launch of "Twilight" by Lucy
Scientific Inc. is expected to
drive significant growth in the
company's stock price. #LucyScientificInc
$LSDI #mercadofinanceiro #forextrading
#business #daytrading #stocks #cryptocurrency
#money</t>
  </si>
  <si>
    <t>heromindfulx
"The key to making money in stocks
is not to get scared out of them."
- Peter Lynch #binaryoptions #futurestrading
#mercadofinanceiro</t>
  </si>
  <si>
    <t>chatico79168
RT @ValoraAnalitik: #Macroeconomía
| Exministro Ocampo le pide al
gobierno Petro subir el precio
de los peajes https://t.co/YRX3yOjP1B
@…</t>
  </si>
  <si>
    <t>forumdefesa
Pela quinta semana seguida, a previsão
do mercado financeiro para o crescimento
da economia brasileira este ano
subiu, passando de 2,89% para 2,92%.
Leia em: https://t.co/ggpsyAqKx6
#mercadofinanceiro #economiabrasileira
#forumservicopublicoceara https://t.co/TOhS5dqN50</t>
  </si>
  <si>
    <t>trescon
Nos dias 16 e 17 de agosto, a Oca
do Ibirapuera, em São Paulo, está
sendo o epicentro das discussões
sobre o mundo dos investimentos
no ANBIMA Summit 2023. #ANBIMASummit2023
#MercadoFinanceiro #Investimentos
#Inovação #InteligênciaArtificial
#Tokenização #FuturoFinanceiro
https://t.co/sprAuVxW6Q</t>
  </si>
  <si>
    <t>curiosaintelig1
#MacroEconomia Los saudíes tomaron
el control de petrobas Chile https://t.co/oI7IX5owU8</t>
  </si>
  <si>
    <t>investwithheart
"The key to making money in stocks
is not to get scared out of them."
- Peter Lynch #binaryoptions #futurestrading
#mercadofinanceiro</t>
  </si>
  <si>
    <t>grupoayonel
Saiba como funciona o investimento
sustentável no #GrupoAyonel #Lucroverde!
#B3 #investimento #reciclagem #empredimento
#meioambiente #empresas #oportunidadesfinanceira
#investir #financeiro #BTC #dinheiro
#Rendapassiva #mercadofinanceiro
#finançaspessoais #investirfuturo
https://t.co/aYYwQ8Rnjt</t>
  </si>
  <si>
    <t>diariodia_es
La inflación industrial ahonda
su caída en junio hasta el 8,1%
por el menor coste del gas https://t.co/0x1JbfvWlR
#economíafinanzas #macroeconomía</t>
  </si>
  <si>
    <t>blockbr_
Aguardamos sua visita no espaço
INOVAÇÃO, para falarmos tudo sobre
tokenização. Não fique de fora!
#anbima #mercadofinanceiro #summit
#tokenização</t>
  </si>
  <si>
    <t>pyecuador
📌Comparte con nosotros un momento
de aprendizaje #Macroeconomía básica
con #Python 📆26 de agosto 🕖09
a 11 am Un espacio donde se tratará:
✅Composición del PIB ✅Producción
de equilibrio ✅Equilibrio del mercado
¿dónde? https://t.co/f0u7iFmO4Y
https://t.co/QinWD8X07B</t>
  </si>
  <si>
    <t>zentraderjourn1
Don't anchor to arbitrary price
levels. Assess value, not temporary
price fluctuations. #investimento
#mercadofinanceiro</t>
  </si>
  <si>
    <t>filipebarrosoo
O ouro continua em processo de
consolidação. 💰✨ #Ouro #Investimentos
#MercadoFinanceiro https://t.co/jcZul6L8C1</t>
  </si>
  <si>
    <t>terraecolombia
RT @ValoraAnalitik: #Macroeconomía
| Una persona pobre en Colombia
tiene $13.228 al día para sobrevivir
https://t.co/AQqMFI0Nag @petrogus…</t>
  </si>
  <si>
    <t>somasinvest
Mercados atentos aos resultados
de grandes bancos americanos, com
a temporada de balanços ganhando
tração #MercadoFinanceiro</t>
  </si>
  <si>
    <t>cryptoclarity5
1/ 🚀 Hey folks! Ever wonder how
the big economic picture affects
assets like crypto? Let's dive
into some macro magic! 💫 #crypto
#macro #Macroeconomía</t>
  </si>
  <si>
    <t>e_publicar
LANÇAMENTO! 📕 Coletânea de macroeconomia
aplicada: Crescimento, inflação
e dívida pública Acesso: https://t.co/nIYTB1I8NP
Parabéns para os organizadores
e autores da obra! Desejamos muito
sucesso! 👏🎉👏🎉 #lançamento #livro
#macroeconomia #dividapublica #inflação
#gestão https://t.co/SsXxW2pEXb</t>
  </si>
  <si>
    <t>renandiel
📈 Excelente dia no mercado financeiro
brasileiro, com o Ibovespa subindo!
💰💹 #Ibovespa #MercadoFinanceiro
#EconomiaBrasileira</t>
  </si>
  <si>
    <t>assettitanium
De acordo com dados do CompaniesMarketCap,
confira quais são as 10 empresas
mais valiosas dos EUA atualmente.
#tecnologia #mercadofinanceiro
#fundosdeinvestimento #investimentos
#titanium #titaniumasset https://t.co/QgVsgFj2d7</t>
  </si>
  <si>
    <t>ras_brl
Economize com a melhor taxa do
mercado! Nossa solução tem integração
direta com as principais plataformas
de e-commerce. Não perca tempo,
acesse nosso site e fale conosco!
#ras #raspay #fintechs #meiosdepagamento
#pix #bitcoin #mercadofinanceiro
https://t.co/8an6RXXOSc</t>
  </si>
  <si>
    <t>rio_bravo
#RioBravoInvestimentos #AsInstituiçõesEstãoFuncionando?
#MercadoFinanceiro #Liderança #MaurícioZanoide
#EducaçãoFinanceira</t>
  </si>
  <si>
    <t>zro_zone
Mentira‼️ En 2015 con #Peña el
#dolar fluctuaba en $15 Pesos en
Junio y en el mes de Julio entre
$15.00 y $16.00‼️ O sea que #Peña
tenia una "Super #Macroeconomia"
#Mexicana, su peso era mas fuerte
que ahora 😏 https://t.co/gEb0SgqZQA</t>
  </si>
  <si>
    <t>lourdespaz24
Diversos indicadores son muestra
de la fuerza de la macroeconomía
mexicana, y el #SúperPeso mexicano
es una de ellas: por primera vez
en 8 años llega a los $16.87 frente
al #dólar. https://t.co/fzBeoQ0zMl</t>
  </si>
  <si>
    <t>klaadvogados
O sócio de #direitobancario, Antonio
Aires, concedeu entrevista à revista
@peqempresas para abordar os esquemas
de #pirmidesfinanceiras trazidos
à tona pelo caso #123milhas https://t.co/ceKCUaLO2I
#investimentos #mercadofinanceiro</t>
  </si>
  <si>
    <t xml:space="preserve">bancocentralbr
</t>
  </si>
  <si>
    <t xml:space="preserve">peqempresas
</t>
  </si>
  <si>
    <t>jaym_willy
From Discovery to Production: $LSDI's
Journey to Lead the Psychedelic
Compound Market. $LSDI #finance
#trading #mercadofinanceiro #forextrading</t>
  </si>
  <si>
    <t>dawanhutt
@BuskardSteve @HarperSimps Join
the Twilight movement and discover
the power of optimized sleep. #LucyScientificInc
is dedicated to your well-being
and a restful night's sleep. $LSDI
🌟 #mercadofinanceiro #forextrading
#business #daytrading #stocks #cryptocurrency
#money #daytrader https://t.co/vS9V6fJ6Fq</t>
  </si>
  <si>
    <t xml:space="preserve">rwalker1_r
</t>
  </si>
  <si>
    <t xml:space="preserve">hermesmoon
</t>
  </si>
  <si>
    <t xml:space="preserve">harpersimps
</t>
  </si>
  <si>
    <t>uchoinfo
Mercado financeiro eleva para 2,89%
projeção de crescimento da economia
em 2023 https://t.co/2kGE6jr6oa
#BancoCentral #BC #BoletimFocus
#mercadofinanceiro #PIB #inflacao
#IPCA #taxadejuro #Selic #cambio
#dolar https://t.co/vBKqxIKhUf</t>
  </si>
  <si>
    <t>elielnaves
Vocês aí pagando taxa de adm pra
fundo que não bate o CDI enquanto
tem opções rendendo 17% ao ano
SEM IR. #fintwit #cdi #rendafixa
#tokensderecebiveis #mercadofinanceiro
#financas #bolsadevalores #rendapassiva
https://t.co/5shSpF9Ahg</t>
  </si>
  <si>
    <t>mundo_asmr
¿Que es la #macroeconomia? Aquí
te lo explico todo. ....................😇
..........👇🏽 https://t.co/nUo3flcPws
* * * #MasterAEMC #AEMC #SEOyCEO
#SEO #CEO #preguntadeldia #negocios
#negociosinternacionales #dinero
#dinerofácil #inversionbancariaacortoplazo
#Armenia #NuevoLaredo</t>
  </si>
  <si>
    <t>forestausale
#radiomassa #Token2049 #tupan #pauloguedes
#pablomarçal #mercadofinanceiro
#Money1BstreamProject #ElonMusk
#tupan #Amazonas #Brazil #bioeconomia
#BTG #xpinvestimentos #B3 #eua
#meioambiente #safra #dinheiro
#novaeconomia #Bolsonaro #BNB https://t.co/eGsMefLUSd</t>
  </si>
  <si>
    <t>edconesa
Tipo de cambio fijo real alto y
tasas de interés bajas son la clave
para lograr un crecimiento veloz
porque son los dos precios más
importantes de una economía. #macroeconomía
👇🏼</t>
  </si>
  <si>
    <t>agoracorretora
RT @EInvestidor: 📊 Mercado Intraday:
Tensão global permanece e pressiona
bolsas; Ibovespa cai. Confira #mercadofinanceiro
#investimentos #e…</t>
  </si>
  <si>
    <t>nicolslpezm2
RT @ValoraAnalitik: #Macroeconomía
| MinHacienda desmiente que subsidio
de gasolina a taxistas saldrá del
Fondo de Combustibles @MinHacien…</t>
  </si>
  <si>
    <t>lilianeferrari
RT @EInvestidor: 🛒📊Casas Bahia
(#BHIA3): aposta na recuperação
judicial? O que explica o ‘short’
na ex-Via (#VIIA3). #varejo #mercadofinanc…</t>
  </si>
  <si>
    <t>careca4p
#Filme🎬 #MercadoFinanceiro https://t.co/R3eX872x58</t>
  </si>
  <si>
    <t>sousadavi
O Day Trade pode ser emocionante
e recompensador para alguns, mas
é uma abordagem que exige dedicação,
responsabilidade e conscientização
dos riscos envolvidos. #DayTrade
#MercadoFinanceiro #Investimentos
#Trader #BolsaDeValores</t>
  </si>
  <si>
    <t>egonzalez314
En el recuadro, artículo que publico
hoy en @Farodevigo sobre Mercados
financieros y Pyme. Muchas gracias,
as usual, a @lara_grana por su
ayuda. #pyme #mercadofinanceiro
#bolsa #pymes #derechomercantil
https://t.co/jhwln214t3</t>
  </si>
  <si>
    <t xml:space="preserve">lara_grana
</t>
  </si>
  <si>
    <t xml:space="preserve">farodevigo
</t>
  </si>
  <si>
    <t>tradeinflow
• QUEDA DO DÓLAR após FITCH elevar
nota de Crédito do Brasil • . .
. . #Brasil #Dolar #mercadofinanceiro
https://t.co/3Moewl3Pu3</t>
  </si>
  <si>
    <t>palmezanip74904
Traveling and operating.📊💻 Knowing
that I can take my work with me
anywhere (with internet lol) I
go is amazing! But let's go slowly...
I don't live the philosophy of
#lifetrader trade from the beach.
#mercadofinanceiro #bolsadevalores
#investimentos #liberdadefinanceira
https://t.co/xFS3POcvg9</t>
  </si>
  <si>
    <t>invistafinancas
Descubra por que investir em commodities
é uma opção lucrativa e segura
para diversificar sua carteira
de investimentos. Saiba mais: https://t.co/mEikGILvky
#commodities #diversificação #investimentos
#mercadofinanceiro #retornofinanceiro</t>
  </si>
  <si>
    <t>nachosb77
#SP500 Trade buscando rotura de
soporte MUY relevante. 1º target
mínimo (azul), 2º target zona muy
relevante en el pasado..... 🏋🏻‍♀️
#TradingView #mercadofinanceiro
#Trader https://t.co/yrAwuYFZco</t>
  </si>
  <si>
    <t>andrezaczilusny
Me chamo Andreza,sou de Curitiba
PR e sou nova aqui nesta plataforma,gosto
de falar de mercado financeiro
e de investir na bolsa de valores
#mercadofinanceiro #b3 https://t.co/8pgrXhgYa8</t>
  </si>
  <si>
    <t>bravacapital
Entre em contato com a Brava! #lei
#investimento #mercadofinanceiro
#economia</t>
  </si>
  <si>
    <t>clapesuc
[ENTREVISTA @InfinitaFM] Nuestro
coordinador @hegonzalb conversó
en #MásQueNumeros con @Cata_Edwards
y @Pato_Eskenazi sobre la #macroeconomía
en Chile, las expectativas de #inflación,
proyección de #crecimiento y el
precio del #dólar entre otros.
🎙️ https://t.co/kg5SdmwJU6 https://t.co/EUfxpGf8pN</t>
  </si>
  <si>
    <t xml:space="preserve">pato_eskenazi
</t>
  </si>
  <si>
    <t xml:space="preserve">cata_edwards
</t>
  </si>
  <si>
    <t xml:space="preserve">hegonzalb
</t>
  </si>
  <si>
    <t xml:space="preserve">infinitafm
</t>
  </si>
  <si>
    <t>allanwalkerrio
Como investir, criar negócios com
700,00. #mercadofinanceiro</t>
  </si>
  <si>
    <t>edntvhn
#NoticiasEDN 2/2 el interés de
los países por formar parte de
esta élite se ha expandido, pese
a que no tienen ningún interés
por competir, sino de potenciar
y dinamizar la macroeconomía. #EDNTV
#BRICS #Cumbre #BloqueEconómico
#Macroeconomía</t>
  </si>
  <si>
    <t>andersonbroker
O mercado imobiliário é conservador
e o mais seguro dos mercados. #mercadoimobiliario
#imoveis #seguranca #liquidez #rentabilidade
#mercadofinanceiro #bauru #brasil
#andersonalvescorretor</t>
  </si>
  <si>
    <t>mercadosbrasil
Gráfico apresentando o histórico
do índice ibovespa ao longo dos
últimos 5 anos #mercadofinanceiro
#ibovespa https://t.co/2zoqaHJkF2</t>
  </si>
  <si>
    <t>ferpatrader
Siga meu canal no YouTube e participe
das lives todos os dias. https://t.co/thTwmkjATu
#daytrade #trader #trading #trade
#mercadofinanceiro https://t.co/PQ9ypiv0i8</t>
  </si>
  <si>
    <t>apoloc8
Ustedes que todos lo saben y lo
que no saben se lo inventan le
pueden explicar esto en versión
dummie: #Macroeconomía Importante
caída del déficit de cuenta corriente
de Colombia en primer semestre
@BancoRepublica @MinHacienda</t>
  </si>
  <si>
    <t xml:space="preserve">bancorepublica
</t>
  </si>
  <si>
    <t>invexcripto
Fundos sendo quebrados mostra força
vendedora e blocos de ordens vendedoras
surgem para que façamos nossas
entradas em zona de oferta. #smartmoneyconcepts
#trading #daytrading #daytrade
#bitcoin #btc #mercadofinanceiro</t>
  </si>
  <si>
    <t>dinamicargweb
#Energía | El impacto de la falta
de dólares en Vaca Muerta🚨 ∙ YPF
busca proveedores chinos para pagar
con yuanes. La nota👇 https://t.co/vLWUTeEZbx
#importar #insumos #BCRA #Swap
@SergioMassa #SIRA #macroeconomía
#DLSArcher #dólar</t>
  </si>
  <si>
    <t xml:space="preserve">sergiomassa
</t>
  </si>
  <si>
    <t>investoetf
Os ETFs permitem que o investidor
participe das tendências globais
investindo em mercados e setores
de maneira diversificada e com
benefícios tributários. Conheça
os ETFs Investo: https://t.co/nBS1vKhGid
#ETF #Investimento #MercadoFinanceiro
https://t.co/W3YWJut5Z4</t>
  </si>
  <si>
    <t>projeto4ciclos
O Projeto 4 Ciclos publicou a sua
segunda centena de simulações obtendo
um Percentual Médio de Operações
Negativas de 27%. . #Projeto4Ciclos
#B3 #Daytradebrasil #minindice
#ibovespa #ibov #fintech #startup
#crowdfunding #economiacolaborativa
#mercadofinanceiro #trading https://t.co/Yf8LVfdNww</t>
  </si>
  <si>
    <t>positivetrades1
Don't anchor to arbitrary price
levels. Assess value, not temporary
price fluctuations. #investimento
#mercadofinanceiro</t>
  </si>
  <si>
    <t>bmf_bund
Minister @c_lindner und sein 🇺🇦
Amtskollege @SergiiMarchenk3 haben
eine gemeinsame Absichtserklärung
zur Stärkung der Zusammenarbeit
unterzeichnet. Es geht um Kooperation
in den Bereichen #Finanzmarkt,
#Zoll sowie dem Management von
Staatsbeteiligungen und Privatisierungen.
https://t.co/tKCw8R3jJh</t>
  </si>
  <si>
    <t xml:space="preserve">sergiimarchenk3
</t>
  </si>
  <si>
    <t>alemaniadiplo
El ministro @c_lindner y su homólogo
de 🇺🇦 @SergiiMarchenk3 han firmado
un Memorando de Entendimiento para
reforzar la cooperación. Se trata
de la cooperación en las áreas
de #mercadofinanceiro, #aduanas,
así como la gestión de participaciones
estatales y privatizaciones.</t>
  </si>
  <si>
    <t xml:space="preserve">c_lindner
</t>
  </si>
  <si>
    <t>strongmindinv
"The key to making money in stocks
is not to get scared out of them."
- Peter Lynch #binaryoptions #futurestrading
#mercadofinanceiro</t>
  </si>
  <si>
    <t>semanaeconomica
Tras la contracción del 1S23, los
límites a las tasas de interés
elevan el racionamiento de créditos.
Según cifras del @IPEopinion, los
topes habrían excluido del sistema
financiero al 25% de los créditos
de consumo y mype. Por @cabecitaterri
#TasasdeInterés #BCR #Macroeconomía</t>
  </si>
  <si>
    <t xml:space="preserve">cabecitaterri
</t>
  </si>
  <si>
    <t xml:space="preserve">ipeopinion
</t>
  </si>
  <si>
    <t>liqibr
Você conhece a CVM (Comissão de
Valores Mobiliários), uma das principais
instituições reguladoras para os
investidores brasileiros? Vamos
te explicar tudo sobre ela em menos
de dois minutos no #SopaDeLetrinhas
da semana! #cvm #valormobiliario
#mercadofinanceiro #investimentos
https://t.co/iuonr6ETU0</t>
  </si>
  <si>
    <t>sol_ku
#Ahora en vivo @ArielSayas junto
a @adolfosafran #Economia #ProgramasAhora
#Créditos #Macroeconomia en #ActualidadDiaria
@CanalCuatroPM https://t.co/3jOXqcMatk</t>
  </si>
  <si>
    <t xml:space="preserve">adolfosafran
</t>
  </si>
  <si>
    <t xml:space="preserve">arielsayas
</t>
  </si>
  <si>
    <t>claudinhotrader
Preparado para mais um dia abençoado
e próspero no mercado financeiro?
#DayTrading #bolsadevalores #mercadofinanceiro
#investimento https://t.co/p6DdaSFTnq</t>
  </si>
  <si>
    <t>eliafaher
RT @ValoraAnalitik: #Macroeconomía
| MinHacienda desmiente que subsidio
de gasolina a taxistas saldrá del
Fondo de Combustibles @MinHacien…</t>
  </si>
  <si>
    <t>hubfinanzassmx
🔴 ahora: Alternativas para el
tratamiento de deuda en países
de #AMLAT #Macroeconomia Sintonízalo
por zoom @GrupoGFLAC 👇</t>
  </si>
  <si>
    <t>grupogflac
📣Estamos en ¡VIVO! Sigue la conversación
aquí 👇🏻https://t.co/pZQ0boua8h
https://t.co/4bp90iE9OR</t>
  </si>
  <si>
    <t>robervalpnunes
"Nunca desencoraje alguém que continuamente
tenha progresso, não importa quão
lento seja." - Plato #sucesso #Politica
#Brasil #mercadofinanceiro https://t.co/1tsXQhaXRI</t>
  </si>
  <si>
    <t>arthurodriguex
Análise em 1 minuto de Intelbras
(INTB3). #investimentos #ações
#bolsadevalores #intelbras #intb3
#economia #mercadofinanceiro #ibovespa
#analisedeações https://t.co/Jcxqhg19lM</t>
  </si>
  <si>
    <t>pauta_economica
IBOVESPA E DÓLAR HOJE: SERVIÇOS
NO BRASIL, INFLAÇÃO AO PRODUTOR
E VAREJO NOS EUA, JUROS DO BCE
E + #economia #mercadofinanceiro
https://t.co/nJmGvpjiVu</t>
  </si>
  <si>
    <t>fpmarkets_latam
AUD/USD Gráfico del Día #FPMarkets
#Gráficodehoy #fx #Forex #mercadosfinancieros
#AUDUSD #graficododia #mercadofinanceiro
#AUD #USD https://t.co/x9XMPdf9Cr</t>
  </si>
  <si>
    <t>seu_dinheiro_br
Felipe Miranda: O que está acontecendo
com o PIB? #Agronegócio #Brasil
#Macroeconomia https://t.co/UcZIyZKgog</t>
  </si>
  <si>
    <t>amilcar22000
Mensajes del ahorro https://t.co/NAAU7S2d0Q
a través de @funcases; #Macroeconomia
#Ahorro</t>
  </si>
  <si>
    <t>armandoardilad
La #Macroeconomía contemporánea
es una mezcla de puntos de vista,
producto de dinámicas históricas
de prueba y error. El monetarismo
dominante es la mezcla de los conceptos
Clásicos y Keynesianos, ¿por qué
alguien querría devolverse a etapas
superadas? https://t.co/PJPZXmPZYX</t>
  </si>
  <si>
    <t>vitinhopretouk
Resultado do nosso InvestorBot
#forex #mercadofinanceiro #forexlifestyle
#day #lifegoals #lifestyle #ForexMarket
https://t.co/YkOE7A6Xlu</t>
  </si>
  <si>
    <t>kasun8564245679
RT @vitinhopretouk: Resultado do
nosso InvestorBot #forex #mercadofinanceiro
#forexlifestyle #day #lifegoals
#lifestyle #ForexMarket https…</t>
  </si>
  <si>
    <t>raphael_tesla
KLBN4 vs. SUZB3: Duelo das Gigantes
da Celulose! Analisando as ações
da KLBN4 (Klabin) e SUZB3 (Suzano).
Líderes da indústria de celulose:
produção e inovação em destaque.
Receita, estratégias e impactos
no setor em análise. #Investimentos
#Ações #Mercadofinanceiro #Finanças
https://t.co/iWeTSbX8rg</t>
  </si>
  <si>
    <t>tomasrodri
@MashiRafael En los últimos 5,5
años (2017-2022) el Estado ha manejado
200 mil millones de USD de presupuesto...y
no hay obra pública, ni inversión,
ni baja la deuda externa, ni NADA.
Solo se piensa, actúa y gobierna
para el 1% de la población. (Fuente:
BCE) #Ecuador #MacroEconomía</t>
  </si>
  <si>
    <t xml:space="preserve">mashirafael
</t>
  </si>
  <si>
    <t>barreirodr
RT @tomasrodri: @MashiRafael En
los últimos 5,5 años (2017-2022)
el Estado ha manejado 200 mil millones
de USD de presupuesto...y no hay
ob…</t>
  </si>
  <si>
    <t>wallst_optimist
Don't anchor to arbitrary price
levels. Assess value, not temporary
price fluctuations. #investimento
#mercadofinanceiro</t>
  </si>
  <si>
    <t>o_turco_
Realizei uma venda de put em USIM5,
USIMV667. Esperar agora uma alta
para vender uma call, fomando um
strangle. #opções #delta #gregas
#MercadoFinanceiro</t>
  </si>
  <si>
    <t>caiorlvilar
(7/7) Por sua vez, minero de ferro
segue recuando no mês por conta
do enfraquecimento da China, sobretudo
o setor imobiliário. #macroeconomia
#taxadejuros #rendavariavel #Commodities
#dolar</t>
  </si>
  <si>
    <t xml:space="preserve">arthurlulam
</t>
  </si>
  <si>
    <t xml:space="preserve">alvarosfrasson
</t>
  </si>
  <si>
    <t>rubenswilde
RT @negocios_tv: Falsedades en
el mercado del oro: las razones
por las que no puede subir ni bajar
mucho. Iturralde #trading #bolsadevalo…</t>
  </si>
  <si>
    <t>omarcosviniciuz
Selic teve corte de 0,5 e agora
está em 13,25%, Campos Neto e promessa
de mais cortes; tudo o que surpreendeu
(positivamente) o mercado #Selic
#ibov #MercadoFinanceiro</t>
  </si>
  <si>
    <t>cgdcursos
Fiquem atentos, pois essa novidade
vai ajudar a transformar a vida
financeira de muitos alunos. Link
para inscrição da Live, disponível
na tela inicial do CGD Gestão!
🚀💰 #Novidade #EducaçãoFinanceira
#Mercadofinanceiro #metodoCGD #parceriaCGD
#CursosCGD #plataformaCGD https://t.co/q0Ihm4XX5Y</t>
  </si>
  <si>
    <t>bpmoney_
#ipo #investimentos #economia #mercadofinanceiro
#bpmoney</t>
  </si>
  <si>
    <t xml:space="preserve">jtugoresques
</t>
  </si>
  <si>
    <t xml:space="preserve">jmlermafinanzas
</t>
  </si>
  <si>
    <t xml:space="preserve">espanoljfd
</t>
  </si>
  <si>
    <t>juliaview
RT @ReginaldoProfe: Essa expressão
do #BancoCentral independente é
uma falácia. O Banco Central é
totalmente dependente e controlado
pelo #…</t>
  </si>
  <si>
    <t>reginaldoprofe
Essa expressão do #BancoCentral
independente é uma falácia. O Banco
Central é totalmente dependente
e controlado pelo #MercadoFinanceiro,
que está pouco se lixando pro combate
à #fome, geração de #emprego e
#industrialização do #país. O #mercado
quer é #rentismo.</t>
  </si>
  <si>
    <t>polibanza
Posicionamento oportunidade de
negócios a nível global! buscamos
pessoas com mente aberta empreendedora,
interessados fazer seu cadastro
urgente! link na descrição do vídeo!
https://t.co/lfAOte4VxR #criptomoedas
#MercadoFinanceiro #Oportunidades
#MMNProfissional</t>
  </si>
  <si>
    <t>matteofarci1
Investire in azioni e obbligazioni
con la macroeconomia #investimenti
#macroeconomia #mercatifinanziari
https://t.co/tNPvGFA8Gb via @YouTube</t>
  </si>
  <si>
    <t>lapiensoladigo
Como Chile es un país que reacciona
a eventos, con la pandemia se formó
una flexibilidad de trabajo que
hoy en día se encuentra vigente
y que lo llamamos  “teletrabajo”,
VISITA Y COMENTA! https://t.co/au3mYdIPW0
#comenta #lapiensoyladigo #visitaelblog
#macroeconomia #unap2023 https://t.co/PTpoza0DGP</t>
  </si>
  <si>
    <t>trademindfulne1
Don't anchor to arbitrary price
levels. Assess value, not temporary
price fluctuations. #investimento
#mercadofinanceiro</t>
  </si>
  <si>
    <t>abpoeta
#poesia #ABPoeta #metropole #cidadegrande
#megalopole #SãoPaulo #SP #CentroSP
#SPCapital #financeirizacao #mercadofinanceiro
#cracolandia #moradorderua #trabalhador
#tripalium #indústria #burguês
#desemprego #prostituição #menorabandonado
#antrópica https://t.co/a4xgGlhS2F</t>
  </si>
  <si>
    <t>jmartinsfilho2
RT @diario_comercio: Companhias
que atuam no setor financeiro,
principalmente as que dependem
fortemente de receita oriunda da
renda variáv…</t>
  </si>
  <si>
    <t>diario_comercio
Companhias que atuam no setor financeiro,
principalmente as que dependem
fortemente de receita oriunda da
renda variável, serão as primeiras
a acelerar no mercado. Entenda!
#juros #selic #bolsadevalores #mercadofinanceiro
https://t.co/YPDLyINAxe</t>
  </si>
  <si>
    <t>victorgaete
RT @radiobandnewsfm: #Mercadofinanceiro
prevê crescimento de 2,92% no #PIB
em 2023 l Juliana Rosa: https://t.co/NKCiejpTqq</t>
  </si>
  <si>
    <t>radiobandnewsfm
#Mercadofinanceiro revisa projeção
do #PIB de 2023 l Juliana Rosa:
https://t.co/wMYuOwNGzp</t>
  </si>
  <si>
    <t>vivabemcombr
LIVE - Signals #MERCADOFINANCEIRO
#bitcoin #gold buy/sell real time.
https://t.co/oGVeccEvtD via @YouTube</t>
  </si>
  <si>
    <t>alverti6451
#Macroeconomía Inversión Extranjera
Directa en junio, la segunda mejor
en la historia en Colombia. #AvanzaElCambio
#ColombiaVaBien #GobiernoDelCambio
https://t.co/xP7vavrEop</t>
  </si>
  <si>
    <t>shortsdoraiam
Estude Economia #mercadofinanceiro
#dinheiro #financas #grana https://t.co/owxxR7gsgw</t>
  </si>
  <si>
    <t>canaleconomico
Aseguran que “la macro está enfrentando
una situación de mucho estrés”
https://t.co/zmaqWcvUIz #canaleconomico
#economia #canale #argentina #dolar
#estressfinanciero #macroeconomia</t>
  </si>
  <si>
    <t>franciscob_at
RELÁTORIO DE RECOMENDAÇÃO - SWING
TRADE AÇÕES ATIVO: RENT3 EMPRESA:
LOCALIZA Analista Técnico Responsável
Francisco Bertoldi Neto CNPI-T
Nº 3803 #mercadofinanceiro #cnpi
#ações #swingtrading #investimentos
#analistacnpi #analisetecnicaclassica
#analisetecnica https://t.co/gyfwbSL2a0</t>
  </si>
  <si>
    <t>insper
No Insper, temos programas de pós-graduação
de excelência com foco em finanças.
Consulte os cursos com inscrições
abertas: https://t.co/pAQZ8mZYKe
#SomosInsper #pós #finanças #gestãofinanceira
#mercadofinanceiro #finançascorporativas
#gestão https://t.co/QNeq0Mg5We</t>
  </si>
  <si>
    <t>vitorfaustinoyt
A queda das ações da Braskem é
um sinal de alerta para os investidores.
A companhia enfrenta desafios no
curto prazo e pode levar tempo
para se recuperar. Eu só invisto
na Brasken de um jeito: de jeito
nehum. #Braskem #ações #mercadofinanceiro</t>
  </si>
  <si>
    <t>cllaudioleite
O mercado financeiro é como um
quebra-cabeça em constante mudança.
Decisões informadas são as peças
que o compõem. Investir em conhecimento
é o primeiro passo para tomar as
melhores decisões financeiras.
📈💡 #MercadoFinanceiro #EducaçãoFinanceira</t>
  </si>
  <si>
    <t>galanteinvest
- Diversifique - Trace uma estratégia
que fique de acordo com teu perfil
- O longo prazo é a melhor opção
- Crie um habito para investir
um valor todos os meses Aprenda
com essas lições e compartilhe
esse segredo com seus amigos! #MercadoFinanceiro
#IndependênciaFinanceira</t>
  </si>
  <si>
    <t>vagnermayerb3
Discussões sobre o mercado financeiro,
cenário econômico e compartilhamento
de estudos https://t.co/dOQKEFs6IB
#B3 #mercadofinanceiro #investimentos
#bolsadevalores #economia #trading</t>
  </si>
  <si>
    <t>sobcustodio
"A mudança não é fácil nem quando
você tem um problema cardíaco que
coloca em cheque a sua vida" Joaquim
Santini, fundador e diretor da
Exo, durante o podcast Olá, Investidor
#olainvestidor #entrevista #podcast
#jornalismo #mercadofinanceiro
#habito https://t.co/wsY5dUFqEz</t>
  </si>
  <si>
    <t>tomi_l33
$LSDI has the potential to capitalize
on the $200 billion health care
funding announced by the Government
of Canada. #LucyscientificInc $LSDI
#mercadofinanceiro #forextrading
#business #daytrading #stocks #cryptocurrency</t>
  </si>
  <si>
    <t>osdadosmostram
Enquanto uns choram, outros vendem
lenços. Essa é uma das máximas
do mercado. Os Títulos do Tesouro
Direto IPCA já sentiram o impacto
da queda da inflação e apresentam
menores rendimentos. #tesouro #finanças
#mercadofinanceiro</t>
  </si>
  <si>
    <t>buskardsteve
@dawanhutt @TangoYYC Lucy Scientific
Discovery Inc. unveils Twilight,
an innovative solution for restfulness
and enhanced well-being. Expect
a positive impact on the company's
growth and share price. #LucyScientificInc
$LSDI 💤✨#trading #mercadofinanceiro
#forextrading #business https://t.co/VB6PLElm9b</t>
  </si>
  <si>
    <t xml:space="preserve">tangoyyc
</t>
  </si>
  <si>
    <t>wmindset22
Don't anchor to arbitrary price
levels. Assess value, not temporary
price fluctuations. #investimento
#mercadofinanceiro</t>
  </si>
  <si>
    <t>cartasgpt
(9 de 9) Carta completa em: https://t.co/suWYwel7Tn
#investimentos #mercadofinanceiro
#economia #ai</t>
  </si>
  <si>
    <t>drancelmoramos
Pela primeira vez em quase três
anos, o Comitê de Política Monetária
(Copom) do Banco Central decidiu
reduzir a taxa de juros básicos
da economia brasileira. A taxa
caiu de 13,75% para 13,25%. #TaxaSelic
#MercadoFinanceiro #MercadoDeAções
#Investimentos https://t.co/9J6cmZBfel</t>
  </si>
  <si>
    <t>elton_placido
Petróleo DISPARA, Bolsas Derretem,
PIB e Fala do Powell nos EUA https://t.co/fdolohSRcH
via @YouTube #petroleo #pib #powell
#mercadofinanceiro</t>
  </si>
  <si>
    <t>economicnewsbr
Nesta quarta-feira, 13 de setembro,
o mercado financeiro apresentou
movimentações significativas, com
destaque para a alta do Ibovespa
e a queda do Dólar Comercial.#B3
#Dólar #Economia #EconomicNewsBrasil
#Ibovespa #Investimento #MercadoFinanceiro
https://t.co/y3DiUqmQUY https://t.co/7wodUVO3uY</t>
  </si>
  <si>
    <t>stockdukeoliver
Don't anchor to arbitrary price
levels. Assess value, not temporary
price fluctuations. #investimento
#mercadofinanceiro</t>
  </si>
  <si>
    <t>marketscreener5
👨‍💼El boletín semanal del inversor:
Un fin de semana de respiro antes
del resto de publicaciones📈📉
#Índices #MateriasPrimas #Bonos
#Divisas #Macroeconomía #PMI #FED
#BCE #Brent #WTI #Inflación #Bitcoin
#Cripto #IBEX35 #USA #Europa #Tops
#Flops ➡️https://t.co/L29FW3YJq3⬅️
https://t.co/hGrWccb9t3</t>
  </si>
  <si>
    <t>elcryptonauta
⚠️ Atención Esta semana otra vez
la Fed y el viejito definen que
hacen con los tipos de interés
en 🇺🇲... parece que se viene
un incremento #Bitcoin #Criptomonedas
#FED #Macroeconomía #Inversiones</t>
  </si>
  <si>
    <t>udsonloved
Cursos de Bacharelado e Licenciatura
em Ciências e em Física #podcastsabidao,
#ensinomedio, #fuvest, #ensinosuperior,
#fisicaaplicada, #fisicacomputacional,
#biomoleculares, #fisicamedica,
#biofotonica, #cancer, #mercadofinanceiro
https://t.co/4oASqe20Y0 via @YouTube</t>
  </si>
  <si>
    <t>wealthmindpower
Don't anchor to arbitrary price
levels. Assess value, not temporary
price fluctuations. #investimento
#mercadofinanceiro</t>
  </si>
  <si>
    <t>wagnergeremia
JUROS DO BRASIL E MUNDO VÃO MUDAR!
VEJA COMO GANHAR DINHEIRO Veja
mais 👇 https://t.co/wlaxudWtHT
#mercadofinanceiro #mercadoamericano
#mercadobrasileiro #wagnergeremia
#investimento #valuation #AÇÕES
#fundosinvestimentos #tesourodireto
#rendafixa #rendimentos https://t.co/f4foroqEDk</t>
  </si>
  <si>
    <t>porque_com_br
O professor Dudu apresenta o economista
John Cochrane, com carreira calcada
em macroeconomia e finanças, a
quem ele define como “polêmico”,
mas que não dá para deixar de acompanhar.
Entenda  por que no vídeo! https://t.co/A17xP1JhRc
#economia #macroeconomia #financas</t>
  </si>
  <si>
    <t>vortxbr
Encontre o desafio que é a sua
cara! Acesse nossas páginas de
carreira na Gupy. Gestão &amp;amp;
Negócios: https://t.co/5CF7epGNwX
Tech &amp;amp; Produto: https://t.co/jXza5QOytj
O que você vive aqui muda tudo.
Vórtx. Together &amp;amp; Beyond. #vagas
#mercadofinanceiro #mercadodecapitais
#carreira https://t.co/NfmZCbCg3l</t>
  </si>
  <si>
    <t>ga4tj
🔮Participe del futuro de la #JusticiaFiscalFeminista!
📌El futuro de la #JusticiaFiscal
#feminista entre los panoramas
cambiantes de la #macroeconomía
mundial, el #clima, la #digitalización
y la #democracia 📅28/09, 1 - 4
pm UCT ➡️Inscripción: https://t.co/FQyG1w5ZK0
https://t.co/WGGWLpdBTY</t>
  </si>
  <si>
    <t>economia_cafe
de aplicativos e da comunidade
em geral é essencial para o sucesso
desse projeto. #Economia #Finanças
#Investimentos #Dinheiro #Negócios
#MercadoFinanceiro #GestãoFinanceira
#EducaçãoFinanceira #Empreendedorismo
#PlanejamentoFinanceiro #CrescimentoEconômico</t>
  </si>
  <si>
    <t>infohindi009
Really Help Full 🌝 #finance #liberdadefinanceira
#personalfinance #mercadofinanceiro
#finances #educacaofinanceira #independenciafinanceira
#planejamentofinanceiro #refinance
#sucessofinanceiro #financeiro
#financetips #inteligenciafinanceira
#gestaofinanceira #carfinance https://t.co/DsLTdwcNj1</t>
  </si>
  <si>
    <t>andrelenski
Acredito que esse tenha sido um
dos mais importantes FRs que a
empresa soltou até hoje no mercado
financeiro. Apesar de não ter valores,
o que acho um erro, o mesmo deve
ser bem significativo. @Padtec
#Padtec #MercadoFinanceiro #acoes
https://t.co/AS3qaUuN7M</t>
  </si>
  <si>
    <t xml:space="preserve">padtec
</t>
  </si>
  <si>
    <t>euqueroinvestir
Sua transformação como investidor
começa em 10 dias. Inscreva-se
no link da e garanta sua vaga:
https://t.co/Vm9vLwh4xD #investimentos
#mercadofinanceiro https://t.co/W7ryCOi40X</t>
  </si>
  <si>
    <t>theinfoveritas
🚨 NOTÍCIA: "Mercado financeiro
abalado pelo temor de aumento prolongado
nas taxas de juros nos EUA. Ações
caem e investidores temem impacto
na economia global. #Economia #BolsaDeValores
#TaxaDeJuros #Investimentos #EUA
#MercadoFinanceiro" Fonte: France
24.</t>
  </si>
  <si>
    <t>mindfulstocks21
Don't anchor to arbitrary price
levels. Assess value, not temporary
price fluctuations. #investimento
#mercadofinanceiro</t>
  </si>
  <si>
    <t>cryptomasterlu
"The key to making money in stocks
is not to get scared out of them."
- Peter Lynch #binaryoptions #futurestrading
#mercadofinanceiro</t>
  </si>
  <si>
    <t>jonasojunior
RT @EInvestidor: 📈 Os rendimentos
dos títulos do Tesouro dos Estados
Unidos tiveram nova rodada de alta
nesta quarta-feira, com a taxa
do p…</t>
  </si>
  <si>
    <t>ym9496
RT @ValoraAnalitik: #Macroeconomía
| Expertos señalan que pobreza
monetaria debió haber caído más
en 2022, debido al crecimiento
de la eco…</t>
  </si>
  <si>
    <t>collacerril
RT @negocios_tv: Falsedades en
el mercado del oro: las razones
por las que no puede subir ni bajar
mucho. Iturralde #trading #bolsadevalo…</t>
  </si>
  <si>
    <t>_adrianossantos
Hoje tive o prazer de acompanhar
uma entrevista do Gustavo Spinola
Lopes da Cruz, Estrategista Chefe
da RB Investimentos nos Flow News
representando a @AgenciaTamer.
#rbinvestimentos #mercadofinanceiro
#estudiosflow #flownews #tamercomunicacao
https://t.co/GLrFdRjhIX</t>
  </si>
  <si>
    <t xml:space="preserve">agenciatamer
</t>
  </si>
  <si>
    <t>rafa_oliver_
RT @EInvestidor: 📊Mercado hoje:
de olho nos juros, atenções se
concentram nas decisões de política
monetária no Brasil e nos EUA.
#investim…</t>
  </si>
  <si>
    <t>bpopeconomia
🚨E a restrição dos vôos no aeroporto
Galeão?! #enocomia #macroeconomia
#aeroportogaleão #finanças https://t.co/TS4im0N3Wm</t>
  </si>
  <si>
    <t>lezama14
RT @negocios_tv: Falsedades en
el mercado del oro: las razones
por las que no puede subir ni bajar
mucho. Iturralde #trading #bolsadevalo…</t>
  </si>
  <si>
    <t>dragonoroplata
Pocas colaboraciones me han dejado
tan buen sabor de boca tras terminar.
Con el grandísimo @elcrackdel23
hablando de oro y geopolítica me
lo pasé como un gobierno con leyes
nuevas. #gold #oro #macroeconomía
https://t.co/spfs47G6xB</t>
  </si>
  <si>
    <t xml:space="preserve">elcrackdel23
</t>
  </si>
  <si>
    <t>kinvoapp
Quando você abre o Kinvo, já bate
o olho em informações importantes
sobre o que tá rolando com o seu
dinheiro. 💰 ▶️ Assista ao vídeo
e descubra tudo sobre a tela inicial
do Kinvo e o que as pistas significam.
#Kinvo #PistasKinvo #investimentos
#mercadofinanceiro https://t.co/BvHa3rC0NI</t>
  </si>
  <si>
    <t>memoburu1971
RT @ValoraAnalitik: #Macroeconomía
| Gobierno de Estados Unidos no
cree que sea hora de renegociar
TLC con Colombia https://t.co/R3DtfaZVk…</t>
  </si>
  <si>
    <t>zeninveststrat
Don't anchor to arbitrary price
levels. Assess value, not temporary
price fluctuations. #investimento
#mercadofinanceiro</t>
  </si>
  <si>
    <t>silviodoquental
𝑻𝒉𝒆 𝑾𝒐𝒓𝒍𝒅'𝒔 𝑴𝒐𝒔𝒕 𝑷𝒐𝒘𝒆𝒓𝒇𝒖𝒍
𝑬𝒄𝒐𝒏𝒐𝒎𝒊𝒆𝒔 The rankings
of economies over time have changed
considerably mainly after wars.
Video Source: World Bank, IMF More
details on comments... #world #brasil
#economy #economia #mercadofinanceiro
https://t.co/PJuVUfhoKE</t>
  </si>
  <si>
    <t>ocleydsontrader
#MercadoFinanceiro 🇧🇷ITSA4-Amortização
antecipa de R$1,6bi em debêntures
🇧🇷ALSO3-Vende 20% do Plaza Sul
Shopp 🇧🇷AMAR3- agrupamento de
ações (5 p/ 1) 🇧🇷RENT3-Aprovou
R$ 428mi em JCP 🇸🇬Inflação 4,0%
12m ago. 🇺🇸Futuros queda #Bitcoin
-1,9% 🇬🇧Petróleo +0,2% 🇨🇳Minério
-2,0%</t>
  </si>
  <si>
    <t>javeye
RT @ValoraAnalitik: #Macroeconomía
| Ministro Bonilla advierte: por
aumento del petróleo, gasolina
podría subir hasta $16.000 @MinHacienda…</t>
  </si>
  <si>
    <t>frankbullboss
#tradingtips #trading #tradingmotivation
#economíasustentable #intags #tradingcrypto
#tradingstrategy #swingtrading
#daytrading #intradaytrading #cryptotrading
#bitcointrading #macroeconomía
#fxtrading #forextrading #goldtrading
#tradinggold #economía #tradingforex</t>
  </si>
  <si>
    <t>ecos365
📊 Navegar en aguas turbulentas:
las empresas del agro y el desafío
llegar a la orilla: @TeoZorraquinZM pone sobre
la mesa los #problemas del sector,
en una #macroeconomía tan #frágil ¿Qué
hacer en plena "#fiesta financiera"?
| @Ecos365 https://t.co/otA4gPko21</t>
  </si>
  <si>
    <t xml:space="preserve">teozorraquinzm
</t>
  </si>
  <si>
    <t>rosariotres
RT @Ecos365: 📊 Navegar en aguas
turbulentas: las empresas del agro
y el desafío llegar a la orilla:
@TeoZorraquinZM pone sobre la mesa
los…</t>
  </si>
  <si>
    <t>magindiazrd
Puedes leer mi artículo completo
aquí : El sector financiero en
la mirilla tributaria https://t.co/X3lM39VWEE
#MagínDíaz #Macroeconomía #FinanzasPúblicas
#economia #crecimientoeconomico
#republicadominicana🇩🇴</t>
  </si>
  <si>
    <t>pipelinevalor
Egressos do Credit Suisse abrem
butique com foco em techs #mercadofinanceiro
#newharbour #fusoeseaquisicoes
#tech https://t.co/FAdrRA6Mci</t>
  </si>
  <si>
    <t>realpauloborba
💼 Uma elevação nos juros do FED
amanhã pode deixar o mercado cada
vez mais próximo de um pouso não
suave. 📈📉 #Economia #Fed #MercadoFinanceiro
#Emprego #Varejo</t>
  </si>
  <si>
    <t>juanpablosecure
RT @ValoraAnalitik: #Macroeconomía
| La DIAN junto a la Comisión Nacional
del Servicio Civil adelantan un
proceso de pruebas para que colom…</t>
  </si>
  <si>
    <t>verodatoapp
Market expectations: Selic #mercadofinanceiro
https://t.co/7DuDTqqFlF</t>
  </si>
  <si>
    <t>wit_invest
Acompanhe as notícias que movimentam
os mercados no Brasil e no mundo
nesta sexta-feira, no Morning Call
da WIT Invest. #witinvest #assessoriadeinvestimentos
#morningcall #mercadofinanceiro
#noticias #economia #indicadores
#resultados #investimentos https://t.co/Rob4DzYqc2</t>
  </si>
  <si>
    <t>6trading_
Faltam apenas alguns minutos para
alguns dados saírem e consequentemente,
podendo trazer volatilidade para
os mercado de renda variável, então
vale a pena ficar de olho. #mercadofinanceiro
#Bitcoin #BTC #Ethereum #trading
#TradingSignals #criptomoedas https://t.co/duCsTXNZz4</t>
  </si>
  <si>
    <t>unlamoficial
▶ Organiza: Departamento de Ciencias
Económicas Para más información:
☎️ 4480-8900, interno 8954 #Macroeconomía
#Argentina #políticamonetaria #políticafiscal</t>
  </si>
  <si>
    <t>psych_stock
Don't anchor to arbitrary price
levels. Assess value, not temporary
price fluctuations. #investimento
#mercadofinanceiro</t>
  </si>
  <si>
    <t>paulotec96
Nunca em hipótese alguma, assine
uma revista ou jornal da Globo
como @peqempresas @valoreconomico!
É pior que vender a alma pro Diabo!
Pior que cancelar telefone! Simplesmente
sou ignorado igual um trouxa! #empreendedorismo
#mercado #mercadofinanceiro #bolsadevalores
#Negocios</t>
  </si>
  <si>
    <t xml:space="preserve">valoreconomico
</t>
  </si>
  <si>
    <t>combsandream
As psychedelics begin breaking
in the mainstream, we can look
to the emergence and growth of
the psychotropic industry as a
glimpse of what is to come. $LSDI
$ATAI $CMPS $NEON #daytrade #LucyScientific
#stockmarket #finance #trading
#mercadofinanceiro #forextrading</t>
  </si>
  <si>
    <t>lucaspereira_ef
No vídeo de hoje eu falo com você
pode receber dividendos o ano todo,
tendo poucas ações encarteiradas,
quer aprender também? acessa lá!
https://t.co/NoGmEW72Sm #dinheiro
#economia #investimentos #ativos
#ações #educaçãofinanceira #rendapassiva
#mercadofinanceiro #bolsadevalores</t>
  </si>
  <si>
    <t>mariosfmartins
Veja o Desespero do Apresentador
vendo o SP500 Caindo e ele querendo
zer... https://t.co/t44eC0xs4n
via @YouTube #trading #Loss #mercadofinanceiro</t>
  </si>
  <si>
    <t>ricardocipago
RT @ValoraAnalitik: #Macroeconomía
| Tasas de interés Colombia: ¿Las
bajará el Banco de la República
en su próxima junta? https://t.co/k32…</t>
  </si>
  <si>
    <t xml:space="preserve">diancolombia
</t>
  </si>
  <si>
    <t>economainstream
Introdução à macroeconomia da política
fiscal: gastos do governo #economia
#governo #macroeconomia https://t.co/Tv5BHEq1T8
https://t.co/eaiYQMGfem</t>
  </si>
  <si>
    <t>urjconline
¡No te pierdas el #MOOC "Curso
fundamental de #Macroeconomía"
de #URJCx en @miriadax! ¡Hoy comienza
y aún puedes inscribirte! ¡Apúntate
y aprende modelos para profundizar
en fenómenos económicos cotidianos!
👉https://t.co/Inh9cBGAHx #online
y acceso #gratis @urjc @juancaraguado
https://t.co/gLy1L5qOYm</t>
  </si>
  <si>
    <t xml:space="preserve">juancaraguado
</t>
  </si>
  <si>
    <t xml:space="preserve">urjc
</t>
  </si>
  <si>
    <t xml:space="preserve">miriadax
</t>
  </si>
  <si>
    <t>girlishgiggle
#BBSE3: suporte em 31.60 #BBSeguridade
#Ibovespa #Finance #earningsseason
#Daytrader #insurance #Brasil #mercadofinanceiro
#recession #trading #dolar #EmergingMarkets
https://t.co/zJgy6oHxWt</t>
  </si>
  <si>
    <t>ataorienta
#mercadodeopções #derivativos #investimentos
#educaçãofinanceira #finanças #prosperidade
#prosperidadefinanceira #liberdadefinanceira
#macroeconomia</t>
  </si>
  <si>
    <t>canalcomlucro
https://t.co/XDmaqy8CMd #MétodoDeWyckoff
#Abreviações #AnáliseTécnica #CompositeMan
#Trader #MercadoFinanceiro #AnáliseDeMercado
#ComLucro #TendênciaDeAlta #TendênciaDeBaixa
#Acumulação #Distribuição #DiagramasDeWyckoff
#AprendizadoFinanceiro https://t.co/Z19B9wkUAa</t>
  </si>
  <si>
    <t>cazanova_gisele
✅️ Resultado de estudo: 31,3% de
lucro! Siga nosso Instagram: https://t.co/fM9qPzU0l8
#sqia3 #mercadofinanceiro #dolar
#b3 #gain #DayTrading #swingtrading
#analisegraficadagi https://t.co/UDHNymg8fn</t>
  </si>
  <si>
    <t>diariodominho
Juros da dívida sobem a dois, cinco
e 10 anos https://t.co/vlRkD2e43U
#economia #macroeconomia #NegocioseFinanças
#mercadodívida</t>
  </si>
  <si>
    <t>suelencintra
Em algumas horas uma aula de economia
do Paulo Guedes do Podcast. Espero
que o Brasil tenha mais pessoas
com este conhecimento e leitura
do mercado. #thiagonigro #pauloguedes
#economia #mercadofinanceiro</t>
  </si>
  <si>
    <t>430ambuzz
#Macroeconomía Inspite of continued
weakness of domestic demand as
families struggle in the face of
raising prices, world's third largest
economy -Japanese economy expands
1.5%, beating expectations and
forecast of 0.8 percent growth.
https://t.co/TjfwzPR56Y</t>
  </si>
  <si>
    <t>drcrypto2023
Enterate de las noticias de #Finanzas
#Macroeconomia #criptomonedas #BTC
QUE todo suma al mercado y a tus
decisiones y sobretodo ten en cuenta
que el mercado suele ser #irracional
y en lo que menos lo piensas aparece
un #CisneNegro https://t.co/2TJn8nvtHd</t>
  </si>
  <si>
    <t>arthurmining
Como você tem se preparado para
o halving? #halving #bitcoin #bullmarket
#mercadofinanceiro https://t.co/6yEWE3gKzp</t>
  </si>
  <si>
    <t>falconcampinas
⚠️NOVIDADE⚠️ 🎓CURSO PRESENCIAL
Introdução ao Mercado Financeiro
✅ Conquiste a confiança para INVESTIR
NO MERCADO FINANCEIRO. ✅ Aprenda
os FUNDAMENTOS, ESTRATÉGIAS e FERRAMENTAS
ESSENCIAIS para tomar decisões
inteligentes. NÃO FIQUE DE FORA
🚀 #mercadofinanceiro https://t.co/DRX7fpn4s0</t>
  </si>
  <si>
    <t>cesargonandy
RT @JovemPanNews: #ShowBusiness
| Patrick Burnett , presidente
do Inove Banco, fala sobre trajetória
de vida e dificuldades financeiras;…</t>
  </si>
  <si>
    <t>jovempannews
#JornaldaManhã | Minuto Touro de
Ouro: as bolsas amanhecem em queda
após Fitch rebaixar a nota da dívida
dos EUA; no Brasil, expectativa
para reunião do Copom, que deve
iniciar o ciclo de corte de juros
no país 📺 Confira na JP News #PabloSpyer
#Economia #MercadoFinanceiro https://t.co/EdjZ82koYL</t>
  </si>
  <si>
    <t>daanseloni
Índice apresenta uma projeção de
juros em 116.690, região que os
players sairão no tapa para ver
quem leva... Ouro ensaiando perder
força e abrir o bico... #bolsadevalores
#Mercadocambiario #ibovespa #mercadofinanceiro
#tryd #nelogica</t>
  </si>
  <si>
    <t>edimosip
RT @EInvestidor: 💵📲 Agora, a
modalidade está empatada com o
cartão de crédito e é também um
dos meios de pagamento mais disponibilizados
pe…</t>
  </si>
  <si>
    <t>confidenttrade3
Don't anchor to arbitrary price
levels. Assess value, not temporary
price fluctuations. #investimento
#mercadofinanceiro</t>
  </si>
  <si>
    <t>jose_gruporc
Uno de #MacroEconomia Cuando la
rentabilidad de la deuda a LP &amp;gt;
CP se prevé crecimiento económico
y 🔼 tipos de interés (Para incentivar
la inversión a LP es necesario
ofrecer rentabilidades más altas
que convenzan al inversor) (1/2)
https://t.co/UL04xxb2oX</t>
  </si>
  <si>
    <t>gondimadv
para compartilharem suas perspectivas
sobre temas relevantes para a indústria
de pagamentos nas esferas regulatória
e concorrencial. Não poderíamos
perder a chance de prestigiar esse
evento e expandir nossos conhecimentos!
#JeitoGondim #Gondimadv #Evento
#MercadoFinanceiro</t>
  </si>
  <si>
    <t>econoptions86
Sinais pessoal! Será que ele vai
acertar novamente? #mercadofinanceiro
#ibov https://t.co/Dp5pTWG28r</t>
  </si>
  <si>
    <t>pierrebomfim
Estude, Trabalhe e Invista. Você
pode sair do CLT, prósperar com
a liberdade financeira e qualidade
de vida. #MercadoFinanceiro #fintwit
https://t.co/aJ8nQVPllK</t>
  </si>
  <si>
    <t>profits_capital
Tienes que sentirte incómodo durante
algunos años para sentirte cómodo
por el resto de tu vida. #IndependenciaFinanciera
#Dinero #MercadoFinanceiro</t>
  </si>
  <si>
    <t>tradergrafico
Veja agora o Ranking Parcial dos
10 melhores Robôs de hoje Veja
em: https://t.co/TYMErTuD1j #WINV23
#WDOV23 #b3 #thautobot #dinheiro
#robos #bolsadevalores #sucesso
#daytrader #daytrade #cm #mercadofinanceiro
#bmf #investimentos #traderlife
#bovespa #tophedger #trader https://t.co/GiAxU6lyIV</t>
  </si>
  <si>
    <t>ontierlaw
Ayer, Aldo Cornejo, socio de ONTIER
Perú y Vicepresidente del Comité
de Asuntos Financieros de @amchamperu
participó en el Foro Económico
2023, donde asistió como principal
ponente el Presidente del @bcrpoficial
Dr. Julio Velarde. #macroeconomia
https://t.co/EPAd8feXFm</t>
  </si>
  <si>
    <t xml:space="preserve">bcrpoficial
</t>
  </si>
  <si>
    <t xml:space="preserve">amchamperu
</t>
  </si>
  <si>
    <t>leonardo_leao3
RT @diario_comercio: Companhias
que atuam no setor financeiro,
principalmente as que dependem
fortemente de receita oriunda da
renda variáv…</t>
  </si>
  <si>
    <t>otonielcj
RT @perpheito: Toda decisão técnica
necessariamente tem efeito político.
———————— Siga para comentários
de economia, política e finanças.…</t>
  </si>
  <si>
    <t>alcinx
@szampa56 @LucioMalan In dieci
anni i #ciclieconomici possono
rivoluzionare tutto. A digiuno
di #macroeconomia?</t>
  </si>
  <si>
    <t xml:space="preserve">szampa56
</t>
  </si>
  <si>
    <t>enfoqueif
CÂMBIO: Dólar deve iniciar a semana
com viés de alta 🤑 https://t.co/nKusY9KpOq
#b3 #dolar #inflação #bc #mercadofinanceiro
#investidores</t>
  </si>
  <si>
    <t>edsonsilva_sv
Gráfico de operações hoje em WINV23.
Complicado mas positivo. A volatilidade
e indecisão da manhã não foi benéfica
p/ o operacional… não opero no
mobile. #daytrade #miniindice #mercadofinanceiro
#trade #wdo #forex https://t.co/P2Mlm0hD6b</t>
  </si>
  <si>
    <t>canaldomvicto
Em resumo, o mercado financeiro
é um espelho da saúde econômica
e, ao mesmo tempo, um motor que
a impulsiona. Aprender a interpretar
suas nuances é fundamental para
compreender as forças que moldam
nossa economia. 🌐 #Economia #MercadoFinanceiro
#Investimentos #ImpactoEconômico</t>
  </si>
  <si>
    <t>_mattlcs
RT @perpheito: Toda decisão técnica
necessariamente tem efeito político.
———————— Siga para comentários
de economia, política e finanças.…</t>
  </si>
  <si>
    <t>mariocssantana
Uma conversa realmente necessária!
Entenda como nossa visão de mundo
é moldada por sociopatas do mercado
financeiro. #mercadofinanceiro
#icl #eduardomoreira #embrulhasemroteiro
https://t.co/fl4QmCy37F</t>
  </si>
  <si>
    <t>funpresp
O que aconteceu no cenário financeiro
e econômico de junho e como tudo
impactou as carteiras da Funpresp?
🤔 Vamos descobrir nesse fio! 🧶⬇️
#investimentos #economia #mercadofinanceiro</t>
  </si>
  <si>
    <t>izzinvest
🆓 &amp;gt; Recomendações de opções
para o dia de hoje. O SaraOptions
Pró aponta as melhores relações
de RISCO X RETORNO, sugere os PREÇOS
LIMITES DE COMPRA e VENDA, além
de "STOP GAIN" e "STOP LOSS" de
acordo com cada perfil. #mercadofinanceiro
#acoes #opcoes https://t.co/8kkH20DEF1</t>
  </si>
  <si>
    <t xml:space="preserve">fedearrozgremio
</t>
  </si>
  <si>
    <t xml:space="preserve">alianzain1
</t>
  </si>
  <si>
    <t xml:space="preserve">migracioncol
</t>
  </si>
  <si>
    <t xml:space="preserve">drewryshipping
</t>
  </si>
  <si>
    <t xml:space="preserve">fedesarrollo
</t>
  </si>
  <si>
    <t xml:space="preserve">infopresidencia
</t>
  </si>
  <si>
    <t xml:space="preserve">camaracolombia
</t>
  </si>
  <si>
    <t xml:space="preserve">cepal_onu
</t>
  </si>
  <si>
    <t xml:space="preserve">andemos_col
</t>
  </si>
  <si>
    <t xml:space="preserve">fngsa
</t>
  </si>
  <si>
    <t xml:space="preserve">davivienda
</t>
  </si>
  <si>
    <t xml:space="preserve">automotrizandi
</t>
  </si>
  <si>
    <t xml:space="preserve">asomicrofinanza
</t>
  </si>
  <si>
    <t xml:space="preserve">mirandabogota
</t>
  </si>
  <si>
    <t xml:space="preserve">fnaahorro
</t>
  </si>
  <si>
    <t xml:space="preserve">federalreserve
</t>
  </si>
  <si>
    <t xml:space="preserve">petrog
</t>
  </si>
  <si>
    <t xml:space="preserve">bancolombia
</t>
  </si>
  <si>
    <t xml:space="preserve">bvccolombia
</t>
  </si>
  <si>
    <t xml:space="preserve">jpmorgan
</t>
  </si>
  <si>
    <t xml:space="preserve">petro
</t>
  </si>
  <si>
    <t xml:space="preserve">transmilenio
</t>
  </si>
  <si>
    <t xml:space="preserve">jrobertoacosta1
</t>
  </si>
  <si>
    <t xml:space="preserve">juangzuluaga
</t>
  </si>
  <si>
    <t xml:space="preserve">fenalconacional
</t>
  </si>
  <si>
    <t xml:space="preserve">minvivienda
</t>
  </si>
  <si>
    <t xml:space="preserve">camacolcolombia
</t>
  </si>
  <si>
    <t xml:space="preserve">ceacolombia
</t>
  </si>
  <si>
    <t xml:space="preserve">acopi_nacional
</t>
  </si>
  <si>
    <t xml:space="preserve">fminoticias
</t>
  </si>
  <si>
    <t xml:space="preserve">wmanzur
</t>
  </si>
  <si>
    <t xml:space="preserve">jrestrp
</t>
  </si>
  <si>
    <t xml:space="preserve">ocdeenespanol
</t>
  </si>
  <si>
    <t xml:space="preserve">mininterior
</t>
  </si>
  <si>
    <t xml:space="preserve">velascoluisf
</t>
  </si>
  <si>
    <t xml:space="preserve">carfcolombia
</t>
  </si>
  <si>
    <t xml:space="preserve">consejogremial
</t>
  </si>
  <si>
    <t xml:space="preserve">zfbta
</t>
  </si>
  <si>
    <t xml:space="preserve">chelseafc_sp
</t>
  </si>
  <si>
    <t xml:space="preserve">unidos_camara
</t>
  </si>
  <si>
    <t xml:space="preserve">josea_ocampo
</t>
  </si>
  <si>
    <t xml:space="preserve">prosperidadcol
</t>
  </si>
  <si>
    <t xml:space="preserve">germanumanam
</t>
  </si>
  <si>
    <t xml:space="preserve">anifco
</t>
  </si>
  <si>
    <t xml:space="preserve">fedecafeteros
</t>
  </si>
  <si>
    <t xml:space="preserve">jmojicaflorez
</t>
  </si>
  <si>
    <t xml:space="preserve">minagricultura
</t>
  </si>
  <si>
    <t xml:space="preserve">brucemacmaster
</t>
  </si>
  <si>
    <t xml:space="preserve">andi_colombia
</t>
  </si>
  <si>
    <t xml:space="preserve">irenevelezt
</t>
  </si>
  <si>
    <t xml:space="preserve">ricardobonillag
</t>
  </si>
  <si>
    <t xml:space="preserve">sfcsupervisor
</t>
  </si>
  <si>
    <t xml:space="preserve">fasecoldaoficia
</t>
  </si>
  <si>
    <t xml:space="preserve">iif
</t>
  </si>
  <si>
    <t xml:space="preserve">micheljanna
</t>
  </si>
  <si>
    <t xml:space="preserve">senadogovco
</t>
  </si>
  <si>
    <t xml:space="preserve">mincomercioco
</t>
  </si>
  <si>
    <t xml:space="preserve">cotelcolombia
</t>
  </si>
  <si>
    <t>nahu_meler
Las 3 cosas que Nadie te dice sobre
el Trading 🤔 recuerden que el
Trading es una Carrera igual que
todas las carreras convencionales,
pero con ciertas ventajas sobre
esas otras carreras 🧐 #emprendedores
#negociosdigitales #trading #mercadofinanceiro
#doctops #mined https://t.co/yKJR1wAAWc</t>
  </si>
  <si>
    <t>joares_antonio
RT @JovemPanNews: #ShowBusiness
| Patrick Burnett , presidente
do Inove Banco, fala sobre trajetória
de vida e dificuldades financeiras;…</t>
  </si>
  <si>
    <t>rintereconomia
¿Crees que tendremos Presupuestos
Generales de 2024 en tiempo y forma?
Déjanos tu comentario ⬇️ ​​​#Gobierno
#Feijoo #PedroSanchez #PGE #macroeconomía</t>
  </si>
  <si>
    <t>deniseedt
Melhor Plataforma de Trading para
análise de Ativos financeiro diversos!
Experimete e garanta já seu Bônus
aqui 👇 #tradingview #trading #mercadofinanceiro
#plataforma</t>
  </si>
  <si>
    <t>armandoseoane
RT @negocios_tv: Falsedades en
el mercado del oro: las razones
por las que no puede subir ni bajar
mucho. Iturralde #trading #bolsadevalo…</t>
  </si>
  <si>
    <t>eshaddows
O Fusca da Bibi! #พี่กบ #Memes
#Noticias #benbvolliefde #SalmonMabarDiBalikpapan
#อิงล็อต #ปิ่นภักดิ์ #zoeira #NFTCommunity
#NFTs #NFTartists #kkkk #Brasileirão
#MercadoFinanceiro #MercadoCampesino
#mercado #farmacia #curadepressao
https://t.co/GM9uF5ZFvQ</t>
  </si>
  <si>
    <t>sm_news23
📢 Contratos futuros do #petróleo
atingem maior nível em meses graças
aos cortes de oferta. Saiba mais
sobre o impacto dessa alta na economia
global! #Energia #MercadoFinanceiro
https://t.co/JFDFOOPnhx</t>
  </si>
  <si>
    <t>0xgabinvest
4/6 A decisão dos reguladores norte-americanos,
embora tardia em relação ao Canadá,
ressalta o potencial das criptomoedas
em transformar o mercado financeiro
mundial. #BitcoinETF #MercadoFinanceiro</t>
  </si>
  <si>
    <t>doctorencriptos
La #macroeconomía tiene un impacto
directo sobre el #criptomercado.
La apreciación de los cereales
en el supermercado, reduce el poder
adquisitivo de los #criptoinversores
minoristas, evitando que puedan
ahorrar e #invertir en #criptoactivos.
https://t.co/aSFzwP6Epu</t>
  </si>
  <si>
    <t>cbnvitoria
Mercado aberto e operando! Ouça
os números do #MercadoFinanceiro
Ouça no rádio em 92,5FM 📻, no
app CBN Vitória 📲, e no site https://t.co/gw7mjXje7A
🖥️</t>
  </si>
  <si>
    <t>albeirobejarano
RT @ValoraAnalitik: #Macroeconomía
| Esto debería pasar en Colombia
para que el PIB del 2023 crezca
al 2 % @petrogustavo @LuisFerMejia
h…</t>
  </si>
  <si>
    <t>robert_johnsto
#LSDI Redefining the Landscape
of Psychedelic Medicine with Large-Scale
Production $LSDI #trading #mercadofinanceiro
#forextradin</t>
  </si>
  <si>
    <t>rodrigobarboza7
Dia de análise semanal para avaliar
as operações Trade #trade #trading
#mercadofinanceiro #acoes #Indices
#FTMO https://t.co/fPKtKQazxi</t>
  </si>
  <si>
    <t>rodrigues590804
RT @EInvestidor: 📈 Apesar de oscilações,
as ações da varejista ficaram atrás
apenas da Petrobras (#PETR4) e
Vale (#VALE3). Veja #mercadofin…</t>
  </si>
  <si>
    <t>positivetradem1
"The key to making money in stocks
is not to get scared out of them."
- Peter Lynch #binaryoptions #futurestrading
#mercadofinanceiro</t>
  </si>
  <si>
    <t>folha_mercado
Petróleo fecha em maior patamar
desde abril e pressiona Petrobras
https://t.co/BSQH4vUzRi</t>
  </si>
  <si>
    <t>ivana_p_almeida
Petrólio contra Petrobras é tipo
filho contra pai não é? Ganha (encarece)
o subsídio/matéria prima... ou
aquele se apropria dele? Essa eu
quero ver! 😏 #MercadoFinanceiro
#ValoreTrending</t>
  </si>
  <si>
    <t>datoworld
🇦🇷 ARGENTINA 15 de Agosto 🛒Inflación
116% 🏚️Pobreza 39% 💵Dólar 725
🏦Tasa de interés 118% 💲Devaluación
oficial del 22% 🍖🥛Prohibición
de exportaciones de carne y lácteos
https://t.co/8ddYYZqy3j</t>
  </si>
  <si>
    <t>obrodr
El Salvador - #Riesgos La precariedad
de la #macroeconomía que ha llevado
a nulo acceso a financ. externo,
lleva al sistema financiero a elevar
su exposición a inversiones de
alto riesgo, y a tener menor nivel
de liquidez. No es sostenible.
Semáforo en amarillo. #TalóndeAquiles
https://t.co/NmbPpSLKtz</t>
  </si>
  <si>
    <t>rafaeljuiz8
Sigam nos comentários ! O que vocês
acharam das operações. E qual a
opinião de vocês ? Sala forex?
Mentoria forex? Mentoria com sala
forex? #mercadofinanceiro #forex
https://t.co/KueHlljYEY</t>
  </si>
  <si>
    <t>fernand30827525
Que dureza #MercadoFinanceiro https://t.co/pVhqIKOteK</t>
  </si>
  <si>
    <t>gabrielaprocpi9
RT @EInvestidor: 🧐 Embora semelhantes,
há diferenças importantes entre
as opções que devem ser consideradas.
Confira #mercadofinanceiro #in…</t>
  </si>
  <si>
    <t>lamervaletacom
En el mes Dycasa sube un 49,07
%, con sólido crecimiento de ingresos
#merval #acciones #byma #inversiones
#MercadoFinanceiro https://t.co/4ecCj5lNdH</t>
  </si>
  <si>
    <t>economia_prm
¡La industria de Zonas Francas
y el Turismo continúan siendo el
motor del crecimiento económico
dominicano! #SAE #PRM #YoCreoEnTi
#EstamosCambiando #AsuntosEconomicos
#Economia #YoCreoEnElPRM #MacroEconomia
https://t.co/FdeYnDbJfY</t>
  </si>
  <si>
    <t xml:space="preserve">prm_oficial
</t>
  </si>
  <si>
    <t>pepamango
RT @ValoraAnalitik: #Macroeconomía
| Exministro Mauricio Cárdenas:
Petro no va a cumplir la Regla
Fiscal @MauricioCard @petrogustavo
@CARF…</t>
  </si>
  <si>
    <t xml:space="preserve">mauriciocard
</t>
  </si>
  <si>
    <t>stmindfulness
Don't anchor to arbitrary price
levels. Assess value, not temporary
price fluctuations. #investimento
#mercadofinanceiro</t>
  </si>
  <si>
    <t>investidoreso
“Trata-se de um nome de peso com
histórico comprovado no mercado
financeiro e uma pessoa que admiramos
e confiamos”, diz o CEO da Legend
Investimentos, Pedro Salles. #ECONOMIA
#MERCADOFINANCEIRO https://t.co/3xuxdyitMt
https://t.co/LzRA2pacnS</t>
  </si>
  <si>
    <t>marcelocastell0
Hoje tenho mais força e determinação
do que ontem, e amanhã terei mais
do que hoje. Fazer o que amamos
é fundamental e acima de tudo me
motiva e me realiza como pessoa
e profissional. #finanças #executivo
#bancos #mercadofinanceiro #gratidão
#motivação #resiliência #bancodigital
https://t.co/ihAv9kewQF</t>
  </si>
  <si>
    <t>investimentobrl
Homenagem a alguns operadores do
mercado financeiro 🤭 #sardinhadomercado
#mercadofinanceiro https://t.co/XqxIVdPC0g</t>
  </si>
  <si>
    <t>cryptoinvestido
Bom dia pessoal! Tudo bem? Hoje
ao meio dia teremos nosso encontro!
Então ja acesse o link, ative a
notificação para ser avisado sobre
o inicio da live. #bitcoin #btc
#altcoins #criptomoedas #mercadofinanceiro
https://t.co/tPkbE0BaS2</t>
  </si>
  <si>
    <t>hermilton5
"Estratégias comprovadas para ganhar
de 1500 a 2000 reais por mês".
Não perca mais tempo e clique no
link da nossa bio para fazer o
download agora mesmo, do nosso
E-book Gratis! 💪💰 #forexcomhermiltondias
#forex #mercadofinanceiro #finanças
#investimento #investidor #trader
https://t.co/KYBUGeRIh7</t>
  </si>
  <si>
    <t>cri_opportunity
gli investitori sono sempre più
ottimisti su uno scenario di "atterraggio
morbido" per l'economia dopo la
pubblicazione di questa mattina
di un rapporto molto positivo sulla
produzione di luglio della #Fed
di New York. #Macroeconomía #inflacion
#Crypto</t>
  </si>
  <si>
    <t>drjuliomiranda
Explorar o mundo das ações vai
além do dinheiro. É uma jornada
de aprendizado contínuo. Investir
pode potencializar seu capital,
mas também requer pesquisa, paciência
e gestão de riscos. Educação financeira
é a chave. #bolsadevalores #mercadofinanceiro</t>
  </si>
  <si>
    <t>mckinney_moorez
As pioneers in the field of psychotropic
drug development, #LucyScientific
Discovery is dedicated to pushing
boundaries and delivering exceptional
products. Join us on our mission
to redefine medical possibilities.
$LSDI #mercadofinanceiro #forextrading
#daytrading #stocks</t>
  </si>
  <si>
    <t>cromaticanews
🔵 Fallece Ángel Torres, vicepresidente
de la CNMC, dejando un legado de
profesionalidad y capacidad regulatoria
#Luto #Macroeconomía https://t.co/HVboFnoOjU</t>
  </si>
  <si>
    <t>oproflucassilva
TAXA SELIC A 13,25% 😱 Por que
essa redução? Segue o 🧶 #taxaselic
#selic #mercadofinanceiro https://t.co/QSUX4XCCyF</t>
  </si>
  <si>
    <t>nbnbrasil
Presidente Lula defende o fim do
Dólar nas negociações. Isso pode
causar uma escassez da moeda americana
nos próximos meses. #Dolar #Lula
#MercadoFinanceiro #Brasil #China
#NBNParaíba https://t.co/mgFhKkWuXZ</t>
  </si>
  <si>
    <t>embratel
João Del Nero, nosso Diretor de
Data Analytics, fala sobre como
os dados são relevantes e valiosos
para os bancos. Entenda como os
dados habilitam o #PróximoNível
do mercado financeiro: https://t.co/xYlADdRv2O
#analytics #finanças #mercadofinanceiro
https://t.co/3DwDCmL6AT</t>
  </si>
  <si>
    <t>mercuricajujuy
Les dejamos una guía de los pasos
para empezar a invertir. Además
les damos #Tips de Cedears con
los q pueden dolarizar su dinero💸
ya q aumentan de acuerdo a la moneda
y reciben rendimientos de las acciones💰
Esperamos sean de utilidad!🙌🏻
#inversion #ahorro #mercadofinanceiro
https://t.co/yqP3sw5DcZ</t>
  </si>
  <si>
    <t>agarra_pala
PASEO TOTAL DE MILEI A ALFANO Y
BONELLI POR EL CIERRE DEL CONICET
EN TN: "La NASA tiene 17.000 personas,
el Conicet 35.000" @JMilei #LaLibertadAvanza
https://t.co/aigyQC5Ova</t>
  </si>
  <si>
    <t xml:space="preserve">jmilei
</t>
  </si>
  <si>
    <t>hbcecilia
Milei haciendo de Milei... Argumenta
constantemente con datos, destroza
el relato "periodístico" Gracias
a @JMilei estoy aprendiendo #macroeconomía
con sus libros. #MileiVillarruel2023</t>
  </si>
  <si>
    <t>valdemarplaneja
#juros #economia #hipoteca #eua
#macroeconomia #valdemar #imobiliarias
#imoveis</t>
  </si>
  <si>
    <t>bilingualinvest
👇ÚLTIMOS MOVIMIENTOS DE #BTC !
👇 https://t.co/ck8UEoXTi3 #Bitcoin
#ETH #Criptomonedas #Cripto #Altcoins
#Dinero #Graficas #Noticias #Oro
#Plata #Youtube #Twitter #Instagram
#Facebook #TikTok #Inflacion #Recesion
#Macroeconomia #NFT #Shorts #Youtubeshorts</t>
  </si>
  <si>
    <t>sue_ellen_bb
Mais uma vez pergunto, onde estão
os puxa sacos do L que em dias
que a bolsa sobe afirmam que é
por conta das decisões que o L
toma, que a economia ta no rumo
certo e blá blá blá. e em dias
que a bolsa cai somem? Mercado
ta lateral a meses! #mercadoFinanceiro</t>
  </si>
  <si>
    <t>francelmc
Investir seu dinheiro é importante
para fazer com que ele trabalhe
a seu favor, gerando rendimentos
e aumentando seu patrimônio ao
longo do tempo. #fmc #escritoriofmc
#francel #investimento #mercadofinanceiro
https://t.co/LlpJc6rGmQ</t>
  </si>
  <si>
    <t>eva__6946
RT @MCovesa: O Mercado Financeiro
é uma grande Pirâmide só que é
Legalizado. Problemas com o seu
Patrimônio? Dr. Covesa resolve
👊 #Contabi…</t>
  </si>
  <si>
    <t>mcovesa
O Mercado Financeiro é uma grande
Pirâmide só que é Legalizado. Problemas
com o seu Patrimônio? Dr. Covesa
resolve 👊 #Contabilidade #MercadoFinanceiro
#Perícia #Patrimonio #EducacaoFinanceira</t>
  </si>
  <si>
    <t>acriollo_m5
#FelizMartes Y como va la economía
en el #GobiernoDelCambio... #Macroeconomía
| De acuerdo con datos entregados
por el @BancoRepublica, la Inversión
Extranjera Directa (IED) que llegó
a Colombia en junio de 2023 fue
de US$1.728 millones</t>
  </si>
  <si>
    <t>activtrades_pt
🏦 Ações dos bancos ampliam recuperação
com terceiro dia de ganhos. Investidores
avaliam sinais de recuperação em
grandes bancos após resultados
trimestrais. Goldman Sachs otimista
sobre recuperação. #MercadoFinanceiro
84% dos negociadores de retalho
perdem dinheiro.</t>
  </si>
  <si>
    <t>nessaapprentice
Como que você navega em momentos
de caos? Principalmente nesse momento
político do Brasil? Esse é um dos
fatores que algumas pessoas são
bem-sucedidas e outras não! #nassimtaleb
#mercadofinanceiro #iludidospeloacaso
https://t.co/ys7Hb0c2Hs</t>
  </si>
  <si>
    <t>comosertrader
$V 242.5 es la zona de resistencia
más fuerte en este momento 📉🤑
$SPY $SPX #mercadofinanceiro https://t.co/Xg8X3UHEwL</t>
  </si>
  <si>
    <t>gamainvestiment
Aperte os cintos e entre na corrida
dos investimentos globais! Venha
fazer um pit stop no estande Gama,
conheça nossos gestores globais
e tire suas dúvidas sobre diversificação
internacional. Te esperamos no
P11! #ExpertXP2023 #mercadofinanceiro
#xpinvestimentos #gama https://t.co/wKGsV97g08</t>
  </si>
  <si>
    <t>petri_danilo
Amanhã em nosso relatório teremos
informações bem interessantes.
O sentimento bullish foi muito
forte hoje. https://t.co/auMTWohf0j
#spx #spy #qqq #nasdaq #futuros
#mercadoamericano #mercadofinanceiro
#vix #ibov https://t.co/dkxpCVsvj7</t>
  </si>
  <si>
    <t>now_wisely
Don't anchor to arbitrary price
levels. Assess value, not temporary
price fluctuations. #investimento
#mercadofinanceiro</t>
  </si>
  <si>
    <t>anasanchezayal1
RT @negocios_tv: Falsedades en
el mercado del oro: las razones
por las que no puede subir ni bajar
mucho. Iturralde #trading #bolsadevalo…</t>
  </si>
  <si>
    <t>arthurvallephd
#basquete levou um certo tempo
pra perceber que #cestas de 3 pontos
são mais efetivas Quantas décadas
ainda o #mercadofinanceiro irá
levar pra perceber que a #estrategiapassiva
é mais efetiva? Você também concorda?
Siga-me pra mais #verdades inconvenientes
sobre #investimentos</t>
  </si>
  <si>
    <t>rnainvest
Descubra como um Agente Autônomo
de Investimentos pode ajudar você
a investir com segurança e aproveitar
as oportunidades do mercado financeiro.
Saiba mais no Blog da RNA Invest.
#Investimentos #AgenteAutônomo
#MercadoFinanceiro #COE #Diversificação
#RNAInvest https://t.co/t1ILSL1v5w</t>
  </si>
  <si>
    <t>xghmarkets
E acredite, se eu consegui me controlar,
você também consegue se controlar!
#Insight #TakeProfit #MercadoFinanceiro
#Trader #Forex #Bovespa #IQOption</t>
  </si>
  <si>
    <t>zonavalue
Las posiciones bajistas reflejan
como el euro💶ha ido perdiendo
la confianza de los inversores.
Hasta julio había recuperado frente
al dólar💰casi un 5%. En las últimas
semanas ha perdido toda la diferencia.
#mercadofinanceiro #euro #divisas
#fondosdeinversion #noticiaeconomica</t>
  </si>
  <si>
    <t>camilosilvaj
RT @ValoraAnalitik: #Macroeconomía
| Ministro Bonilla advierte: por
aumento del petróleo, gasolina
podría subir hasta $16.000 @MinHacienda…</t>
  </si>
  <si>
    <t>fundsmarkets
#Mercados📈 #Macroeconomía y su
impacto en las #criptomonedas.
👉 #Entrevista🗣️ Pablo Gil (@PabloGilTrader)
analista de XTB (@xtbes) “Hay que
tener un porcentaje de la cartera
invertido en criptomonedas”. https://t.co/DiGkswZmm5</t>
  </si>
  <si>
    <t>yodacoinswap
#YodaCoinSwap #Jedals #Criptomoedas
#Batalhas #Vitórias #Sucesso #InteligênciaFinanceira
#Resiliência #Comunidade #Evolução
#MercadoFinanceiro https://t.co/WnoLUAeFx3</t>
  </si>
  <si>
    <t>tiagosi54861365
O indicador nunca falha🔥🦅 #likeforlike
#Bitcoin #mercadofinanceiro #benbvolliefde
#Prigozhin #gamescom2023 #THEGIRLS
https://t.co/GYfExj1BwZ</t>
  </si>
  <si>
    <t>profitoclub
Muita informação e dados de qualidade
sobre o mercado crypto e blockchain
todos os dias! https://t.co/EYigxsxVjy
#Bitcoin $BTC #NFT #Blockchain
#Research #Criptomoedas #Crypto
#MercadoFinanceiro</t>
  </si>
  <si>
    <t>infox_educa
💥¡Domina la Macroeconomía! 📚
En nuestro Taller de Resolución
de Ejercicios de Macroeconomía.
💬 Únete al grupo de estudio aquí:
https://t.co/v5CEC6LH6r #macroeconomia
#infox #economia https://t.co/ZpjpDNtMK2</t>
  </si>
  <si>
    <t>ivanrondon05
RT @ValoraAnalitik: #Macroeconomía
| MinHacienda desmiente que subsidio
de gasolina a taxistas saldrá del
Fondo de Combustibles @MinHacien…</t>
  </si>
  <si>
    <t>branco_elton
Começando bem mais uma semana,
bora pro day trade! https://t.co/rUsYOfN5gy
Quer operar com a gente e fazer
parte do nosso Staff? Contato /
Whatsapp: 24988134849 #MercadoFinanceiro
#Bolsadevalores #Dólar #WDO #DayTrade
#B3 #Trader #TradeAovivo</t>
  </si>
  <si>
    <t>e_bayona
La #macroeconomia resiste en #España
a un #BCE que asfixia a #pymes
e hipotecados al encarecer el #crédito
¿Cuál es el objetivo más allá de
desestabilizar la #UE y gripar
su #Economia? https://t.co/Is3Ta9QA2J
Vía @publico_es</t>
  </si>
  <si>
    <t xml:space="preserve">publico_es
</t>
  </si>
  <si>
    <t>politikcorrecta
📢 #LoDijoEnPolíticamenteCorrecto
.Juan Rivadeneira (@juanchoriva),
consultor económico, le pregunta
a Otto Sonnenholzner (@ottosonnenh):
¿Cómo manejaría la #macroeconomía
en un año y medio sin caer en el
populismo para se reelegido? Mira
su respuesta aquí. ⬇️ https://t.co/rOZRNiJm0j</t>
  </si>
  <si>
    <t xml:space="preserve">ottosonnenh
</t>
  </si>
  <si>
    <t xml:space="preserve">juanchoriva
</t>
  </si>
  <si>
    <t>educacaosemsist
O que são Criptomoedas ? #Tecnologia
#ai #criptomoedas #Bitcoin #educação
#sistema #investimento #mercadofinanceiro
#liberdade #prospero #evolução
#livre https://t.co/nhRhfwPCIP</t>
  </si>
  <si>
    <t>elbote
¡@CiroGomezL celebra #macroeconomia
en la #4T de #AMLO!. ¿Quienes en
verdad son los beneficiados? https://t.co/brzMpIKoM2
#macroeconomia #4T #AMLO #beneficiados</t>
  </si>
  <si>
    <t xml:space="preserve">cirogomezl
</t>
  </si>
  <si>
    <t>sigaif
Apesar de ser considerada uma operação
de alto risco, é possível, segundo
os especialistas do Itaú BBA, ter
mais segurança na hora de operar.
#mercadofinanceiro https://t.co/9l4OlRGZKN</t>
  </si>
  <si>
    <t>leiaflj
Confira a agenda com os principais
acontecimentos que estão no radar
do mercado nesta semana. Quer acompanhar
de perto cada um desses acontecimentos?
Acompanhe o FLJ ao longo da semana.
Acesse: https://t.co/DlwkmBRfP3
#agendademercado #mercado #b3 #ações
#mercadofinanceiro https://t.co/M5gENPl80T</t>
  </si>
  <si>
    <t>javierska2
🥱QUE SE PREOCUPEN LOS HOLDER,
NOSOTROS SOMOS TRADERS🫡 #bitcoin
#criptomonedas #ethereum #cardano
#viral #trading #tendencia #inversion
#altcoin #parati #fypシ #economia
#macroeconomia #recesion #bybit
#binance #kukoin #bitget #BingX
https://t.co/ofxcOsqtCI</t>
  </si>
  <si>
    <t>platinum_invest
Boa semana a todos! #xpinvestimentos
#boletimfocus #PlatinumInvest #MercadoFinanceiro
#Assessoria https://t.co/SMWHZ23SUD</t>
  </si>
  <si>
    <t>hlxnogueira
O mercado é manipulado por necessidade
de liquidez. #daytrade #investidor
#mercadofinanceiro</t>
  </si>
  <si>
    <t>s6investimentos
URGENTE: A taxa básica de juros
foi reduzida para 13,25%, após
ser mantida por sete vezes consecutivas.
Fonte: https://t.co/v8JdOZHbWQ
#s6investimentos #xpinvestimentos
#assessoriaxp #investimentos #assessoriadeinvestimentos
#investimentoseguro #mercadofinanceiro
#COPOM https://t.co/5pi5hcO2Fl</t>
  </si>
  <si>
    <t>alfiedata
Vía Crucis para inversores y especuladores
esta semana 🇺🇸 #datosmacro #macroeconomía
#empleo #nóminas https://t.co/nEasXSUhn5</t>
  </si>
  <si>
    <t>migue6
RT @ValoraAnalitik: #Macroeconomía
| Exministro Ocampo le pide al
gobierno Petro subir el precio
de los peajes https://t.co/YRX3yOjP1B
@…</t>
  </si>
  <si>
    <t>infogainbrazil
📣💼 Sexta-feira no Mercado Financeiro:
Fique Alerta! Se aproxima mais
uma sexta-feira no mercado financeiro,
e é importante lembrar da cautela
nesse dia. #MercadoFinanceiro #SextaFeira
#Cautela #infogain https://t.co/gNg8Wjj9yg</t>
  </si>
  <si>
    <t>jmendezliron
El Índice de Producción Industrial
#IPI de #Madrid registró un incremento
en junio del 3,07% respecto al
mes anterior. Ver más: https://t.co/Lt9kCLtGOa
#macroeconomics #BusinessIntelligence
#macroeconomia #industria #data
#ine https://t.co/eGXsnkNzQD</t>
  </si>
  <si>
    <t>rodadecuia
Mercado prevê inflação de 4,95%
para este ano O mercado financeiro
reduziu a previsão da inflação
para este ano pela oitava vez.
Segundo projeção do Boletim Focus,
divulgada nesta segunda-feira (10)
#economia #inflação #INFLAÇÃO2023
#MERCADOFINANCEIRO https://t.co/N4sd7znj5a</t>
  </si>
  <si>
    <t>brunocantao_
Tendo oportunidade de conhecer
@olvelez007 e seus ensinamentos
ao vivo! BOOOUUUMMM #ifoundtraders
#bolsa #bolsadevalores #mercadofinanceiro
#trader #at #analisetecnica https://t.co/YA6942VQUh</t>
  </si>
  <si>
    <t xml:space="preserve">olvelez007
</t>
  </si>
  <si>
    <t>ivancri90130867
Neste primeiro post, gostaria de
destacar que dois setores acabaram
de entrar no quadrante verde: Materiais
Básicos e Utilidades Públicas.
Há muito mais a explorar e compartilhar
sobre este tema, e estarei fazendo
isso. 📈💼 #Finanças #Investimentos
#MercadoFinanceiro</t>
  </si>
  <si>
    <t>digital_profit1
Pare de quebrar a cabeça no mercado
financeiro. Opere de forma automática
com a ajuda da inteligência artificial.
Conheça o robô investidor trader
#Investimentos #MercadoFinanceiro
#bolsadevalores #daytrade #miniindice
#minidolar Saiba mais ➡️ https://t.co/BC37DY4utw
https://t.co/6EgdVhFyCf</t>
  </si>
  <si>
    <t>bitypreco
Do tradicional à revolução digital:
As gigantes abraçam o universo
cripto, provando que o futuro financeiro
já é agora. 🚀🌐 E você, já está
posicionado para o futuro? #Bitypreço
#Bitcoin #Cripto #Inovação #MercadoFinanceiro
https://t.co/JT2CdXmtej</t>
  </si>
  <si>
    <t>investigauce
#ArtículodeInvestigación 📊📉 Los
grandes impactos provenientes de
la pandemia sanitaria del COVID-
19 mostraron los límites economicistas
e instrumentalistas de la política
fiscal. Revisa 🔎 https://t.co/DWbWinCiam
#políticafiscal #bienestar #buenvivir
#macroeconomía https://t.co/L3oWOBWsbn</t>
  </si>
  <si>
    <t>poolreis97
Venha conhecer este breve lançamento
em Pinheiros, oportunidade para
você morar próximo ao metrô Oscar
Freire. Maiores informações com
Douglas corretor 99111-0426 Creci
189428-F https://t.co/pPfdculjs7
#lançamento #decorado #imoveisdeluxo
#altopadrao #bmw #mercadofinanceiro
https://t.co/llk6dpBskf</t>
  </si>
  <si>
    <t>contacripto_
Diga adeus aos problemas com seu
banco tradicional! Descubra a liberdade
e praticidade de uma experiência
bancária moderna e descomplicada.
Abra sua ContaCripto! #ContaCripto
#paguecomcripto #fintechs #meiosdepagamento
#pix #bitcoin #mercadofinanceiro
#criptomoedas https://t.co/ocDJ42InXd</t>
  </si>
  <si>
    <t>italybri
@Comunardo Ma il comunicato stampa
#Farnesina è esilarante (davvero).
Usciamo dalla #ViadellaSeta per
"riequilibrare la bilancia commerciale"
tra la #Cina e #l'Italia. Da giovanotti
haanno saltato i corsi di febbraio
di #macroeconomia per fare la settimana
bianca. https://t.co/GHTWkYGngL</t>
  </si>
  <si>
    <t xml:space="preserve">comunardo
</t>
  </si>
  <si>
    <t>jlionunes11
RT @perpheito: Toda decisão técnica
necessariamente tem efeito político.
———————— Siga para comentários
de economia, política e finanças.…</t>
  </si>
  <si>
    <t>alexandercio
RT @ValoraAnalitik: #Macroeconomía
| El Dane reveló que en julio el
Indicador de Seguimiento a la Economía
(ISE) creció 1,18 % respecto…</t>
  </si>
  <si>
    <t>holistic_invest
The keys to your financial freedom.
Play them wisely . . . #finance
#libertadfinanciera #liberdadefinanceira
#finances #personalfinance #financetips
#mercadofinanceiro #educacionfinanciera
#educacaofinanceira #planejamentofinanceiro
#independenciafinanceira #educaçãofinanceira
https://t.co/ltpHCoycnb</t>
  </si>
  <si>
    <t>auditorinterno
La inflación subió hasta el 2,3%
en julio y los alimentos se encarecieron
un 10,8%, medio punto más #Macroeconomía
https://t.co/NanvvoX01C</t>
  </si>
  <si>
    <t>paulkrugman
I agree with Jason Furman's call
for a 3% inflation target — the
rationale for 2% has been overtaken
by a couple of decades' experience
(and many of us have been saying
this for a while). But ... 1/ https://t.co/qz9tQQotqS</t>
  </si>
  <si>
    <t>financialtimes
Maersk forecasts long and deep
contraction in global trade https://t.co/7dhdWzpLeu</t>
  </si>
  <si>
    <t xml:space="preserve">epeconomia
</t>
  </si>
  <si>
    <t>bancodeespana
Hemos actualizado las proyecciones
macroeconómicas de la economía
española para el período 2023-2025,
incluidas en nuestro Informe Trimestral
📄 https://t.co/WEi0QxzCka #bdeProyecciones
#bdeInformeTrimestral #bdePublicaciones
1/7 https://t.co/EVOEX3ZxdK</t>
  </si>
  <si>
    <t xml:space="preserve">eleconomistaes
</t>
  </si>
  <si>
    <t>carlosteles__
Feliz dias dos pais e não esqueça
de avisar o velho que poupança
não é investimento. Ps: Diga a
ele também que apostar no jogo
do bicho e jogar baralho, não investimento.
#dia #pais #diadospais #economia
#mercadofinanceiro #ações #tesouro
#finanças #futuro #longoprazo #hoje
https://t.co/5C5fnrt9aS</t>
  </si>
  <si>
    <t>amelosbc
Figuras gráficas estao sendo formadas
a todo momento em diversas formas
dos diversos time-frames diferentes..
numa qtde que seu dinheiro não
consegue acompanhar. Refute.. #bolsa
#stock #b3 #fintwit #mercadofinanceiro
#trading</t>
  </si>
  <si>
    <t>noticiasredetv
Mercado eleva para 2,89% projeção
do crescimento da economia em 2023
- Estimativa de inflação caiu para
4,86% #mercadofinanceiro #economia
#crescimento #inflação Saiba mais:
https://t.co/CYhsrB2GxN</t>
  </si>
  <si>
    <t>pix_notasfake
#dinheiroextra #rj #ganhardinheiro
#mercadofinanceiro #dinheironobolso
#trader #economia #dinheiroonline
#sp #carros https://t.co/r9rkQfDX1x</t>
  </si>
  <si>
    <t>palcarva
Equilíbrio de Mercado: OPINIÃO:
O Mercado de Ações não é a Economia
https://t.co/GSamBdG81k #investimento
#ETF #mercadofinanceiro</t>
  </si>
  <si>
    <t>1nverpersona1
RT @EInvestidor: 📊Em recuperação
judicial, Oi (#OIBR3, #OIBR4) fecha
acordo milionário com BTG Pactual
(#BPAC11). #mercadofinanceiro https:…</t>
  </si>
  <si>
    <t>renatarhicci
Mundo do trader: um comerciante
financeiro que especula e negocia
ativos para lucros de curto prazo,
trazendo liquidez e movimento ao
mercado. #Trader #MercadoFinanceiro
https://t.co/P6yXxC87jg</t>
  </si>
  <si>
    <t>mecfin
#mercadofinanceiro #b3 https://t.co/Ch7xHnfyDT</t>
  </si>
  <si>
    <t>bogotasinmiedo
RT @ValoraAnalitik: #Macroeconomía
| Ministro Bonilla advierte: por
aumento del petróleo, gasolina
podría subir hasta $16.000 @MinHacienda…</t>
  </si>
  <si>
    <t>telosinvest
O nosso processo inicia-se com
uma compreensão profunda de quem
você é e quais são seus objetivos
financeiros. A partir dessa análise
personalizada, combinamos suas
aspirações com nossa vasta experiência
no setor. Saiba mais! Link na bio.
#telos #ai #ia #aai #mercadofinanceiro
https://t.co/wKkXz9uXrn</t>
  </si>
  <si>
    <t>tradermindcoach
Don't anchor to arbitrary price
levels. Assess value, not temporary
price fluctuations. #investimento
#mercadofinanceiro</t>
  </si>
  <si>
    <t>salseira
RT @JovemPanNews: #ShowBusiness
| Patrick Burnett , presidente
do Inove Banco, fala sobre trajetória
de vida e dificuldades financeiras;…</t>
  </si>
  <si>
    <t>tomeacao
@Dantas452637111 Na negociação,
cautela é fundamental. Os mercados
são imprevisíveis - continue informado
e faça suas jogadas de acordo.
#MercadoFinanceiro</t>
  </si>
  <si>
    <t xml:space="preserve">zattarrafael
</t>
  </si>
  <si>
    <t xml:space="preserve">dantas452637111
</t>
  </si>
  <si>
    <t>gimme5app
Insieme a Pasquale Diana, Senior
Macro Economist di Finisterre Capital,
scopriamo quali sono gli obiettivi
e le sfide di un #Macroeconomist
e come sono cambiati negli anni
🎯 🔗 Ascolta la nuova puntata:
https://t.co/bB4ldkUM1J #economia
#edufin #podcast #gimme5 #macroeconomia
https://t.co/Dp3Aq1Bslf</t>
  </si>
  <si>
    <t>alissondpo
**5. Mercado Financeiro Reage Positivamente
ao Alívio Fiscal** O mercado reage
positivamente ao alívio fiscal
proporcionado pelas votações, resultando
em alta do Ibovespa e queda do
dólar. #MercadoFinanceiro #AlívioFiscal
#Ibovespa #Dólar</t>
  </si>
  <si>
    <t>modalmais
A nossa sala ao vivo com o analista
CNPI Rafael Lage já está no ar.
https://t.co/qkHxWZ09Y3 #SomosTraders
#Trader #investimentos #noticias
#mercadofinanceiro</t>
  </si>
  <si>
    <t>charlesfibonacc
#MACROECONOMIA Higher for longer
Nos Estados Unidos, O #FOMC subiu
a #taxadejuros em 25 bps para o
intervalo entre 5,25% – 5,50%,
conforme amplamente esperado pelo
mercado. Leitura: 4 min. @modalmais
#vemsermodalmais 🖱️💻📉📈⤵️ https://t.co/S5K4xyoyll</t>
  </si>
  <si>
    <t>villasboasvi
Semana começando. Decisão de política
monetária dos EUA, Brasil, BoE,
BoJ e PBoC. Sendo nomeia importante
a decisão do FED na quarta-feira.
Dados de inflação na Europa e atividades
econômicas pelo Mundo. Semana bem
agitada. #investimento #mercadofinanceiro</t>
  </si>
  <si>
    <t>gbtcvalencia
"Discurso de Powell en Jackson
Hole, Affirm supera expectativas:
5 claves en Wall Street" - https://t.co/nE48lnUHmt
#mercadocripto #seguimientoBTC
#macroeconomia</t>
  </si>
  <si>
    <t>tradermindninja
Don't anchor to arbitrary price
levels. Assess value, not temporary
price fluctuations. #investimento
#mercadofinanceiro</t>
  </si>
  <si>
    <t>eltonplacido
Petróleo DISPARA, Bolsas Derretem,
PIB e Fala do Powell nos EUA https://t.co/65688P6wvT
via @YouTube #bolsadevalores #economia
#macroeconomia</t>
  </si>
  <si>
    <t>foronibruno
Olha isso.... Farialimers, CamposNeto,
Empresários Patriotas, Agrotrogloditas
e todos os setores podres da sociedade....
vão pra PQP. #ForaCamposNeto #mercadofinanceiro</t>
  </si>
  <si>
    <t xml:space="preserve">jraixelamarkets
</t>
  </si>
  <si>
    <t>gorilainvest
A agenda está em dia? Acompanhe
no nosso blog o calendário econômico
dos dias 25 a 29 de setembro e
confira os principais indicadores
nacionais e internacionais da semana!
📅 Para ler o artigo completo,
acesse o link do primeiro comentário.
#Economia #MercadoFinanceiro https://t.co/ftMBmDXP6Q</t>
  </si>
  <si>
    <t>GraphSource░TwitterSearch3▓GraphTerm░#mercadofinanceiro OR #macroeconomia▓ImportDescription░The graph represents a network of 673 Twitter users whose recent tweets contained "#mercadofinanceiro OR #macroeconomia", or who were replied to, mentioned, retweeted or quoted in those tweets, taken from a data set limited to a maximum of 4.000 tweets, tweeted between 01/01/2023 13:01:32 and 28/09/2023 13:01:32.  The network was obtained from Twitter on Thursday, 28 September 2023 at 15:50 UTC._x000D_
_x000D_
The tweets in the network were tweeted over the 79-day, 22-hour, 19-minute period from Monday, 10 July 2023 at 15:30 UTC to Thursday, 28 September 2023 at 13:50 UTC._x000D_
_x000D_
There is an edge for each "replies-to" relationship in a tweet, an edge for each "mentions" relationship in a tweet, an edge for each "retweet" relationship in a tweet, an edge for each "quote" relationship in a tweet, an edge for each "mention in retweet" relationship in a tweet, an edge for each "mention in reply-to" relationship in a tweet, an edge for each "mention in quote" relationship in a tweet, an edge for each "mention in quote reply-to" relationship in a tweet, and a self-loop edge for each tweet that is not from above.▓ImportSuggestedTitle░#mercadofinanceiro OR #macroeconomia Twitter NodeXL SNA Map and Report for quinta-feira, 28 setembro 2023 at 15:04 UTC▓ImportSuggestedFileNameNoExtension░2023-09-28 15-04-00 NodeXL Twitter Search #mercadofinanceiro OR #macroeconomia</t>
  </si>
  <si>
    <t>Directed</t>
  </si>
  <si>
    <t>Graph Type</t>
  </si>
  <si>
    <t>Modularity</t>
  </si>
  <si>
    <t>NodeXL Version</t>
  </si>
  <si>
    <t>Graph Gallery URL</t>
  </si>
  <si>
    <t>Graph Image URL</t>
  </si>
  <si>
    <t>Graph Source</t>
  </si>
  <si>
    <t>Graph Term</t>
  </si>
  <si>
    <t>Data Import</t>
  </si>
  <si>
    <t>Layout Algorithm</t>
  </si>
  <si>
    <t>Groups</t>
  </si>
  <si>
    <t>Edge Alpha</t>
  </si>
  <si>
    <t>Edge Color</t>
  </si>
  <si>
    <t>Edge Width</t>
  </si>
  <si>
    <t>Vertex Alpha</t>
  </si>
  <si>
    <t>Vertex Radius</t>
  </si>
  <si>
    <t>Vertex X</t>
  </si>
  <si>
    <t>Vertex y</t>
  </si>
  <si>
    <t>Not Applicable</t>
  </si>
  <si>
    <t>1.0.1.522</t>
  </si>
  <si>
    <t>TwitterSearch3</t>
  </si>
  <si>
    <t>#mercadofinanceiro OR #macroeconomia</t>
  </si>
  <si>
    <t>The graph represents a network of 673 Twitter users whose recent tweets contained "#mercadofinanceiro OR #macroeconomia", or who were replied to, mentioned, retweeted or quoted in those tweets, taken from a data set limited to a maximum of 4.000 tweets, tweeted between 01/01/2023 13:01:32 and 28/09/2023 13:01:32.  The network was obtained from Twitter on Thursday, 28 September 2023 at 15:50 UTC._x000D_
_x000D_
The tweets in the network were tweeted over the 79-day, 22-hour, 19-minute period from Monday, 10 July 2023 at 15:30 UTC to Thursday, 28 September 2023 at 13:50 UTC._x000D_
_x000D_
There is an edge for each "replies-to" relationship in a tweet, an edge for each "mentions" relationship in a tweet, an edge for each "retweet" relationship in a tweet, an edge for each "quote" relationship in a tweet, an edge for each "mention in retweet" relationship in a tweet, an edge for each "mention in reply-to" relationship in a tweet, an edge for each "mention in quote" relationship in a tweet, an edge for each "mention in quote reply-to" relationship in a tweet, and a self-loop edge for each tweet that is not from above.</t>
  </si>
  <si>
    <t>Key</t>
  </si>
  <si>
    <t>Action Label</t>
  </si>
  <si>
    <t>Action URL</t>
  </si>
  <si>
    <t>Brand Logo</t>
  </si>
  <si>
    <t>Brand URL</t>
  </si>
  <si>
    <t>Hashtag</t>
  </si>
  <si>
    <t>&lt;?xml version="1.0" encoding="utf-8"?&gt;_x000D_
&lt;configuration&gt;_x000D_
  &lt;configSections&gt;_x000D_
    &lt;sectionGroup name="userSettings" type="System.Configuration.UserSettingsGroup, System, Version=2.0.0.0, Culture=neutral, PublicKeyToken=b77a5c561934e089"&gt;_x000D_
      &lt;section name="AutoScaleUserSettings"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name="GraphMetricUserSettings"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&lt;AutoScaleUserSettings&gt;_x000D_
      &lt;setting name="AutoScale" serializeAs="String"&gt;_x000D_
        &lt;value&gt;False&lt;/value&gt;_x000D_
      &lt;/setting&gt;_x000D_
    &lt;/AutoScaleUserSettings&gt;_x000D_
    &lt;GraphZoomAndScaleUserSettings&gt;_x000D_
      &lt;setting name="GraphScale" serializeAs="String"&gt;_x000D_
        &lt;value&gt;1&lt;/value&gt;_x000D_
      &lt;/setting&gt;_x000D_
    &lt;/GraphZoomAndScaleUserSettings&gt;_x000D_
    &lt;GraphMetricUserSettings&gt;_x000D_
      &lt;setting name="GraphMetricsToCalculate" serializeAs="String"&gt;_x000D_
        &lt;value&gt;OverallMetrics&lt;/value&gt;_x000D_
      &lt;/setting&gt;_x000D_
    &lt;/GraphMetricUserSettings&gt;_x000D_
    &lt;GeneralUserSettings4&gt;_x000D_
      &lt;setting name="NewWorkbookGraphDirectedness" serializeAs="String"&gt;_x000D_
        &lt;value&gt;Directed&lt;/value&gt;_x000D_
      &lt;/setting&gt;_x000D_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&lt;/GeneralUserSettings4&gt;_x000D_
  &lt;/userSettings&gt;_x000D_
&lt;/configuration&gt;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</si>
</sst>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05">
    <xf numFmtId="0" fontId="0" fillId="0" borderId="0" xfId="0"/>
    <xf numFmtId="49" fontId="0" fillId="0" borderId="0" xfId="0" applyNumberFormat="1"/>
    <xf numFmtId="1"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Font="1"/>
    <xf numFmtId="4" fontId="0" fillId="0" borderId="0" xfId="0" applyNumberFormat="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ill="1" applyBorder="1"/>
    <xf numFmtId="0" fontId="0" fillId="8" borderId="6" xfId="0" applyFill="1" applyBorder="1"/>
    <xf numFmtId="4" fontId="0" fillId="9" borderId="5" xfId="0" applyNumberFormat="1" applyFill="1" applyBorder="1"/>
    <xf numFmtId="0" fontId="0" fillId="9" borderId="6" xfId="0" applyFill="1" applyBorder="1"/>
    <xf numFmtId="4" fontId="0" fillId="9" borderId="7" xfId="0" applyNumberFormat="1" applyFill="1" applyBorder="1"/>
    <xf numFmtId="0" fontId="0" fillId="9" borderId="0" xfId="0" applyFill="1"/>
    <xf numFmtId="0" fontId="0" fillId="8" borderId="5" xfId="0" applyFill="1" applyBorder="1"/>
    <xf numFmtId="0" fontId="0" fillId="9" borderId="5" xfId="0" applyFill="1" applyBorder="1"/>
    <xf numFmtId="0" fontId="0" fillId="9" borderId="7" xfId="0"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13" fillId="0" borderId="0" xfId="9" applyFill="1" applyAlignment="1"/>
    <xf numFmtId="0" fontId="0" fillId="0" borderId="0" xfId="0" quotePrefix="1" applyAlignment="1"/>
    <xf numFmtId="0" fontId="0" fillId="0" borderId="0" xfId="0" quotePrefix="1" applyFill="1" applyAlignment="1"/>
    <xf numFmtId="0" fontId="13" fillId="0" borderId="0" xfId="9" applyAlignment="1"/>
    <xf numFmtId="14" fontId="0" fillId="0" borderId="0" xfId="0" applyNumberFormat="1" applyAlignment="1"/>
    <xf numFmtId="14" fontId="0" fillId="0" borderId="0" xfId="0" applyNumberFormat="1" applyFill="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0" fontId="13" fillId="5" borderId="1" xfId="9" applyNumberFormat="1" applyFill="1" applyBorder="1" applyAlignment="1"/>
    <xf numFmtId="0" fontId="13" fillId="5" borderId="11" xfId="9" applyNumberFormat="1" applyFill="1" applyBorder="1" applyAlignment="1"/>
    <xf numFmtId="0" fontId="5" fillId="5" borderId="1" xfId="8" applyNumberFormat="1" applyAlignment="1"/>
  </cellXfs>
  <cellStyles count="10">
    <cellStyle name="Hiperlink" xfId="9" builtinId="8"/>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88">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border outline="0">
        <right style="thin">
          <color theme="0"/>
        </right>
      </border>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87"/>
      <tableStyleElement type="headerRow" dxfId="186"/>
    </tableStyle>
    <tableStyle name="NodeXL Table" pivot="0" count="1" xr9:uid="{00000000-0011-0000-FFFF-FFFF01000000}">
      <tableStyleElement type="headerRow" dxfId="18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Metrics'!$E$2:$E$41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3010-45F8-B4C4-EF4E8FB7C35C}"/>
            </c:ext>
          </c:extLst>
        </c:ser>
        <c:dLbls>
          <c:showLegendKey val="0"/>
          <c:showVal val="0"/>
          <c:showCatName val="0"/>
          <c:showSerName val="0"/>
          <c:showPercent val="0"/>
          <c:showBubbleSize val="0"/>
        </c:dLbls>
        <c:gapWidth val="0"/>
        <c:axId val="1190537248"/>
        <c:axId val="1190542144"/>
      </c:barChart>
      <c:catAx>
        <c:axId val="1190537248"/>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90542144"/>
        <c:crosses val="autoZero"/>
        <c:auto val="1"/>
        <c:lblAlgn val="ctr"/>
        <c:lblOffset val="100"/>
        <c:noMultiLvlLbl val="0"/>
      </c:catAx>
      <c:valAx>
        <c:axId val="11905421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72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Metrics'!$G$2:$G$41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77FD-44DA-A211-9D90CEE4C825}"/>
            </c:ext>
          </c:extLst>
        </c:ser>
        <c:dLbls>
          <c:showLegendKey val="0"/>
          <c:showVal val="0"/>
          <c:showCatName val="0"/>
          <c:showSerName val="0"/>
          <c:showPercent val="0"/>
          <c:showBubbleSize val="0"/>
        </c:dLbls>
        <c:gapWidth val="0"/>
        <c:axId val="1190542688"/>
        <c:axId val="1190537792"/>
      </c:barChart>
      <c:catAx>
        <c:axId val="1190542688"/>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90537792"/>
        <c:crosses val="autoZero"/>
        <c:auto val="1"/>
        <c:lblAlgn val="ctr"/>
        <c:lblOffset val="100"/>
        <c:noMultiLvlLbl val="0"/>
      </c:catAx>
      <c:valAx>
        <c:axId val="11905377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268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Metrics'!$I$2:$I$41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6B8B-4C7A-BEA4-3D0E5C494DE2}"/>
            </c:ext>
          </c:extLst>
        </c:ser>
        <c:dLbls>
          <c:showLegendKey val="0"/>
          <c:showVal val="0"/>
          <c:showCatName val="0"/>
          <c:showSerName val="0"/>
          <c:showPercent val="0"/>
          <c:showBubbleSize val="0"/>
        </c:dLbls>
        <c:gapWidth val="0"/>
        <c:axId val="1190539424"/>
        <c:axId val="1190543232"/>
      </c:barChart>
      <c:catAx>
        <c:axId val="1190539424"/>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90543232"/>
        <c:crosses val="autoZero"/>
        <c:auto val="1"/>
        <c:lblAlgn val="ctr"/>
        <c:lblOffset val="100"/>
        <c:noMultiLvlLbl val="0"/>
      </c:catAx>
      <c:valAx>
        <c:axId val="119054323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94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Metrics'!$K$2:$K$41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1A25-4813-A558-2237774C3462}"/>
            </c:ext>
          </c:extLst>
        </c:ser>
        <c:dLbls>
          <c:showLegendKey val="0"/>
          <c:showVal val="0"/>
          <c:showCatName val="0"/>
          <c:showSerName val="0"/>
          <c:showPercent val="0"/>
          <c:showBubbleSize val="0"/>
        </c:dLbls>
        <c:gapWidth val="0"/>
        <c:axId val="1190543776"/>
        <c:axId val="1190548128"/>
      </c:barChart>
      <c:catAx>
        <c:axId val="1190543776"/>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90548128"/>
        <c:crosses val="autoZero"/>
        <c:auto val="1"/>
        <c:lblAlgn val="ctr"/>
        <c:lblOffset val="100"/>
        <c:noMultiLvlLbl val="0"/>
      </c:catAx>
      <c:valAx>
        <c:axId val="119054812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37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Metrics'!$M$2:$M$41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AE73-451D-B459-85C8714CA976}"/>
            </c:ext>
          </c:extLst>
        </c:ser>
        <c:dLbls>
          <c:showLegendKey val="0"/>
          <c:showVal val="0"/>
          <c:showCatName val="0"/>
          <c:showSerName val="0"/>
          <c:showPercent val="0"/>
          <c:showBubbleSize val="0"/>
        </c:dLbls>
        <c:gapWidth val="0"/>
        <c:axId val="1190536704"/>
        <c:axId val="1190549760"/>
      </c:barChart>
      <c:catAx>
        <c:axId val="1190536704"/>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90549760"/>
        <c:crosses val="autoZero"/>
        <c:auto val="1"/>
        <c:lblAlgn val="ctr"/>
        <c:lblOffset val="100"/>
        <c:noMultiLvlLbl val="0"/>
      </c:catAx>
      <c:valAx>
        <c:axId val="119054976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6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Metrics'!$O$2:$O$41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7C3A-4E06-BE43-0F387AE84C64}"/>
            </c:ext>
          </c:extLst>
        </c:ser>
        <c:dLbls>
          <c:showLegendKey val="0"/>
          <c:showVal val="0"/>
          <c:showCatName val="0"/>
          <c:showSerName val="0"/>
          <c:showPercent val="0"/>
          <c:showBubbleSize val="0"/>
        </c:dLbls>
        <c:gapWidth val="0"/>
        <c:axId val="1190544320"/>
        <c:axId val="1190548672"/>
      </c:barChart>
      <c:catAx>
        <c:axId val="1190544320"/>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90548672"/>
        <c:crosses val="autoZero"/>
        <c:auto val="1"/>
        <c:lblAlgn val="ctr"/>
        <c:lblOffset val="100"/>
        <c:noMultiLvlLbl val="0"/>
      </c:catAx>
      <c:valAx>
        <c:axId val="11905486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432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Metrics'!$S$2:$S$41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8807-4CAF-A43B-671E86BE4F30}"/>
            </c:ext>
          </c:extLst>
        </c:ser>
        <c:dLbls>
          <c:showLegendKey val="0"/>
          <c:showVal val="0"/>
          <c:showCatName val="0"/>
          <c:showSerName val="0"/>
          <c:showPercent val="0"/>
          <c:showBubbleSize val="0"/>
        </c:dLbls>
        <c:gapWidth val="0"/>
        <c:axId val="1190545408"/>
        <c:axId val="1190545952"/>
      </c:barChart>
      <c:catAx>
        <c:axId val="1190545408"/>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90545952"/>
        <c:crosses val="autoZero"/>
        <c:auto val="1"/>
        <c:lblAlgn val="ctr"/>
        <c:lblOffset val="100"/>
        <c:noMultiLvlLbl val="0"/>
      </c:catAx>
      <c:valAx>
        <c:axId val="119054595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540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Metrics'!$Q$2:$Q$41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FF1F-4B09-8586-B3A52CC378C0}"/>
            </c:ext>
          </c:extLst>
        </c:ser>
        <c:dLbls>
          <c:showLegendKey val="0"/>
          <c:showVal val="0"/>
          <c:showCatName val="0"/>
          <c:showSerName val="0"/>
          <c:showPercent val="0"/>
          <c:showBubbleSize val="0"/>
        </c:dLbls>
        <c:gapWidth val="0"/>
        <c:axId val="1190546496"/>
        <c:axId val="1190547040"/>
      </c:barChart>
      <c:catAx>
        <c:axId val="1190546496"/>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90547040"/>
        <c:crosses val="autoZero"/>
        <c:auto val="1"/>
        <c:lblAlgn val="ctr"/>
        <c:lblOffset val="100"/>
        <c:noMultiLvlLbl val="0"/>
      </c:catAx>
      <c:valAx>
        <c:axId val="119054704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649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Metrics'!$U$2:$U$41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172E-4404-B318-93DBD182A1BA}"/>
            </c:ext>
          </c:extLst>
        </c:ser>
        <c:dLbls>
          <c:showLegendKey val="0"/>
          <c:showVal val="0"/>
          <c:showCatName val="0"/>
          <c:showSerName val="0"/>
          <c:showPercent val="0"/>
          <c:showBubbleSize val="0"/>
        </c:dLbls>
        <c:gapWidth val="0"/>
        <c:axId val="1190549216"/>
        <c:axId val="1190550304"/>
      </c:barChart>
      <c:catAx>
        <c:axId val="1190549216"/>
        <c:scaling>
          <c:orientation val="minMax"/>
        </c:scaling>
        <c:delete val="1"/>
        <c:axPos val="b"/>
        <c:numFmt formatCode="#,##0.00" sourceLinked="1"/>
        <c:majorTickMark val="out"/>
        <c:minorTickMark val="none"/>
        <c:tickLblPos val="none"/>
        <c:crossAx val="1190550304"/>
        <c:crosses val="autoZero"/>
        <c:auto val="1"/>
        <c:lblAlgn val="ctr"/>
        <c:lblOffset val="100"/>
        <c:noMultiLvlLbl val="0"/>
      </c:catAx>
      <c:valAx>
        <c:axId val="1190550304"/>
        <c:scaling>
          <c:orientation val="minMax"/>
        </c:scaling>
        <c:delete val="1"/>
        <c:axPos val="l"/>
        <c:numFmt formatCode="General" sourceLinked="1"/>
        <c:majorTickMark val="out"/>
        <c:minorTickMark val="none"/>
        <c:tickLblPos val="none"/>
        <c:crossAx val="1190549216"/>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65</xdr:row>
      <xdr:rowOff>38100</xdr:rowOff>
    </xdr:from>
    <xdr:to>
      <xdr:col>1</xdr:col>
      <xdr:colOff>918209</xdr:colOff>
      <xdr:row>72</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79</xdr:row>
      <xdr:rowOff>38100</xdr:rowOff>
    </xdr:from>
    <xdr:to>
      <xdr:col>1</xdr:col>
      <xdr:colOff>918209</xdr:colOff>
      <xdr:row>86</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93</xdr:row>
      <xdr:rowOff>28575</xdr:rowOff>
    </xdr:from>
    <xdr:to>
      <xdr:col>1</xdr:col>
      <xdr:colOff>918209</xdr:colOff>
      <xdr:row>100</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107</xdr:row>
      <xdr:rowOff>9525</xdr:rowOff>
    </xdr:from>
    <xdr:to>
      <xdr:col>1</xdr:col>
      <xdr:colOff>918210</xdr:colOff>
      <xdr:row>114</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121</xdr:row>
      <xdr:rowOff>19050</xdr:rowOff>
    </xdr:from>
    <xdr:to>
      <xdr:col>2</xdr:col>
      <xdr:colOff>0</xdr:colOff>
      <xdr:row>128</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135</xdr:row>
      <xdr:rowOff>19050</xdr:rowOff>
    </xdr:from>
    <xdr:to>
      <xdr:col>1</xdr:col>
      <xdr:colOff>918210</xdr:colOff>
      <xdr:row>142</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163</xdr:row>
      <xdr:rowOff>9525</xdr:rowOff>
    </xdr:from>
    <xdr:to>
      <xdr:col>1</xdr:col>
      <xdr:colOff>918210</xdr:colOff>
      <xdr:row>170</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149</xdr:row>
      <xdr:rowOff>0</xdr:rowOff>
    </xdr:from>
    <xdr:to>
      <xdr:col>1</xdr:col>
      <xdr:colOff>918210</xdr:colOff>
      <xdr:row>156</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BI4164" totalsRowShown="0" headerRowDxfId="184" dataDxfId="125">
  <autoFilter ref="A2:BI4164" xr:uid="{00000000-0009-0000-0100-000001000000}"/>
  <tableColumns count="61">
    <tableColumn id="1" xr3:uid="{00000000-0010-0000-0000-000001000000}" name="Vertex 1" dataDxfId="101" dataCellStyle="NodeXL Required"/>
    <tableColumn id="2" xr3:uid="{00000000-0010-0000-0000-000002000000}" name="Vertex 2" dataDxfId="99" dataCellStyle="NodeXL Required"/>
    <tableColumn id="3" xr3:uid="{00000000-0010-0000-0000-000003000000}" name="Color" dataDxfId="100" dataCellStyle="NodeXL Visual Property"/>
    <tableColumn id="4" xr3:uid="{00000000-0010-0000-0000-000004000000}" name="Width" dataDxfId="135" dataCellStyle="NodeXL Visual Property"/>
    <tableColumn id="11" xr3:uid="{00000000-0010-0000-0000-00000B000000}" name="Style" dataDxfId="134" dataCellStyle="NodeXL Visual Property"/>
    <tableColumn id="5" xr3:uid="{00000000-0010-0000-0000-000005000000}" name="Opacity" dataDxfId="133" dataCellStyle="NodeXL Visual Property"/>
    <tableColumn id="6" xr3:uid="{00000000-0010-0000-0000-000006000000}" name="Visibility" dataDxfId="132" dataCellStyle="NodeXL Visual Property"/>
    <tableColumn id="10" xr3:uid="{00000000-0010-0000-0000-00000A000000}" name="Label" dataDxfId="131" dataCellStyle="NodeXL Label"/>
    <tableColumn id="12" xr3:uid="{00000000-0010-0000-0000-00000C000000}" name="Label Text Color" dataDxfId="130" dataCellStyle="NodeXL Label"/>
    <tableColumn id="13" xr3:uid="{00000000-0010-0000-0000-00000D000000}" name="Label Font Size" dataDxfId="129" dataCellStyle="NodeXL Label"/>
    <tableColumn id="14" xr3:uid="{00000000-0010-0000-0000-00000E000000}" name="Reciprocated?" dataDxfId="128" dataCellStyle="NodeXL Graph Metric"/>
    <tableColumn id="7" xr3:uid="{00000000-0010-0000-0000-000007000000}" name="ID" dataDxfId="127" dataCellStyle="NodeXL Do Not Edit"/>
    <tableColumn id="9" xr3:uid="{00000000-0010-0000-0000-000009000000}" name="Dynamic Filter" dataDxfId="126" dataCellStyle="NodeXL Do Not Edit"/>
    <tableColumn id="8" xr3:uid="{00000000-0010-0000-0000-000008000000}" name="Add Your Own Columns Here" dataDxfId="98" dataCellStyle="NodeXL Other Column"/>
    <tableColumn id="15" xr3:uid="{5007CEEE-2211-4F8B-928C-543D450436DA}" name="Relationship" dataDxfId="97" dataCellStyle="Normal"/>
    <tableColumn id="16" xr3:uid="{2B6AE066-42CB-4C2C-A32C-D85125287B13}" name="Relationship Date (UTC)" dataDxfId="96" dataCellStyle="Normal"/>
    <tableColumn id="17" xr3:uid="{54C13904-A1FE-46E3-A893-89A4A6FDCE7C}" name="Tweet" dataDxfId="95" dataCellStyle="Normal"/>
    <tableColumn id="18" xr3:uid="{D07A25B6-3058-4DA4-B665-44703CB41CDC}" name="Retweet Count" dataDxfId="94" dataCellStyle="Normal"/>
    <tableColumn id="19" xr3:uid="{4DFBC23B-6E75-4727-8249-D570075D64C6}" name="Favorite Count" dataDxfId="93" dataCellStyle="Normal"/>
    <tableColumn id="20" xr3:uid="{C71EBECF-B04E-428D-8916-97FD50DE4DFD}" name="Reply Count" dataDxfId="92" dataCellStyle="Normal"/>
    <tableColumn id="21" xr3:uid="{27AB2628-0D15-4483-9B2B-768D5E4BDFF6}" name="Quote Count" dataDxfId="91" dataCellStyle="Normal"/>
    <tableColumn id="22" xr3:uid="{1F4F3281-6119-4044-9F54-8923BB4583A2}" name="Impression Count" dataDxfId="90" dataCellStyle="Normal"/>
    <tableColumn id="23" xr3:uid="{3874F010-5F5A-4674-B345-6EFBF5363F37}" name="Hashtags in Tweet" dataDxfId="89" dataCellStyle="Normal"/>
    <tableColumn id="24" xr3:uid="{E13A89A6-7233-4D6C-AEDD-3C5BB677DF65}" name="URLs in Tweet" dataDxfId="88" dataCellStyle="Normal"/>
    <tableColumn id="25" xr3:uid="{AB67DB4B-1251-4FF3-8229-1DC8796005D8}" name="Domains in Tweet" dataDxfId="87" dataCellStyle="Normal"/>
    <tableColumn id="26" xr3:uid="{C9900955-8F63-4440-8CA3-BBE59C768774}" name="Mentions in Tweet" dataDxfId="86" dataCellStyle="Normal"/>
    <tableColumn id="27" xr3:uid="{8EEF8DD9-9290-4D12-8AE8-2BB5AA9E96B7}" name="Media in Tweet" dataDxfId="85" dataCellStyle="Normal"/>
    <tableColumn id="28" xr3:uid="{C0E21737-CD04-425E-B001-F93CE560AA99}" name="Media Type" dataDxfId="84" dataCellStyle="Normal"/>
    <tableColumn id="29" xr3:uid="{DFF736E0-D918-4A9D-8E41-107CEBB7DB4B}" name="Source" dataDxfId="83" dataCellStyle="Normal"/>
    <tableColumn id="30" xr3:uid="{1104D85D-089C-47D1-ABB1-653F3FD2F0F5}" name="Language" dataDxfId="82" dataCellStyle="Normal"/>
    <tableColumn id="31" xr3:uid="{E57EDF6F-379A-487D-91DD-23B5A0CE9E9F}" name="Twitter Page for Tweet" dataDxfId="81" dataCellStyle="Normal"/>
    <tableColumn id="32" xr3:uid="{79713556-9A82-47CF-BEEB-7F88E54783E3}" name="Tweet Date (UTC)" dataDxfId="80" dataCellStyle="Normal"/>
    <tableColumn id="33" xr3:uid="{A00D12A7-EA58-4A74-90BC-5E1FCCC3E7D5}" name="Date" dataDxfId="79" dataCellStyle="Normal"/>
    <tableColumn id="34" xr3:uid="{4931BEB2-1721-4193-982A-A3B269E6CC49}" name="Time" dataDxfId="78" dataCellStyle="Normal"/>
    <tableColumn id="35" xr3:uid="{3F36827E-003F-4BFB-805F-D38F93658C5E}" name="Possibly Sensitive" dataDxfId="77" dataCellStyle="Normal"/>
    <tableColumn id="36" xr3:uid="{5816B1DD-31D9-42F4-A93B-3FFB258E46EE}" name="Place Bounding Box" dataDxfId="76" dataCellStyle="Normal"/>
    <tableColumn id="37" xr3:uid="{F5E57819-0041-4FA0-83C5-4FEDF89B2F2E}" name="Place Country" dataDxfId="75" dataCellStyle="Normal"/>
    <tableColumn id="38" xr3:uid="{776345DA-3E49-4342-BF51-C8FE8C8A939A}" name="Place Country Code" dataDxfId="74" dataCellStyle="Normal"/>
    <tableColumn id="39" xr3:uid="{E712A228-F9FB-4C5C-BEBB-2F11811182B7}" name="Place Full Name" dataDxfId="73" dataCellStyle="Normal"/>
    <tableColumn id="40" xr3:uid="{3C222979-5F88-419B-8E34-2202908B4420}" name="Place ID" dataDxfId="72" dataCellStyle="Normal"/>
    <tableColumn id="41" xr3:uid="{815055ED-28E6-48D1-A5E7-5C02A055CFEC}" name="Place Name" dataDxfId="71" dataCellStyle="Normal"/>
    <tableColumn id="42" xr3:uid="{A4F73FC6-0001-4941-9171-4D5ECE9C4D1F}" name="Place Type" dataDxfId="70" dataCellStyle="Normal"/>
    <tableColumn id="43" xr3:uid="{7A6BF5A7-FF2F-4F0E-A44C-A276F59C2EC3}" name="Media Key" dataDxfId="69" dataCellStyle="Normal"/>
    <tableColumn id="44" xr3:uid="{A1C5A74D-CFA4-458D-BD2E-2A523DD04377}" name="Media Duration (ms)" dataDxfId="68" dataCellStyle="Normal"/>
    <tableColumn id="45" xr3:uid="{C35ACB08-B964-4ADD-9A54-793119613553}" name="Media Height" dataDxfId="67" dataCellStyle="Normal"/>
    <tableColumn id="46" xr3:uid="{4664A866-EA9D-4130-A875-A5DA4A3CB0C3}" name="Media Width" dataDxfId="66" dataCellStyle="Normal"/>
    <tableColumn id="47" xr3:uid="{C0406992-6EED-45A3-A47D-59D3B4DE553F}" name="Media View Count" dataDxfId="65" dataCellStyle="Normal"/>
    <tableColumn id="48" xr3:uid="{797989D3-3C5C-4347-9DA8-8610AAFF273E}" name="Tweet Image File" dataDxfId="64" dataCellStyle="Normal"/>
    <tableColumn id="49" xr3:uid="{3327AC6B-5C85-408C-BF1B-B57DD0F917B7}" name="Imported ID" dataDxfId="63" dataCellStyle="Normal"/>
    <tableColumn id="50" xr3:uid="{26FA9A92-340D-4918-A113-D679791042F0}" name="Conversation ID" dataDxfId="62" dataCellStyle="Normal"/>
    <tableColumn id="51" xr3:uid="{1795B889-791E-483E-BEF4-39B3A6A42EB9}" name="In Reply To User ID" dataDxfId="61" dataCellStyle="Normal"/>
    <tableColumn id="52" xr3:uid="{812EB744-2B36-46A9-B814-AC94886B486F}" name="In Reply To Tweet ID" dataDxfId="60" dataCellStyle="Normal"/>
    <tableColumn id="53" xr3:uid="{DAD7ACA9-543E-4858-BB45-8DCA5AFDCE6B}" name="Quoted Status ID" dataDxfId="59" dataCellStyle="Normal"/>
    <tableColumn id="54" xr3:uid="{C72687D7-E2D6-4D84-BB9D-C13D6701419D}" name="Retweet ID" dataDxfId="58" dataCellStyle="Normal"/>
    <tableColumn id="55" xr3:uid="{46C4AA8B-3567-4431-8728-63FF7A295DA3}" name="Unified Twitter ID" dataDxfId="57" dataCellStyle="Normal"/>
    <tableColumn id="56" xr3:uid="{9BB95E82-EC59-4D8D-B23C-7634475D5850}" name="Author ID" dataDxfId="56" dataCellStyle="Normal"/>
    <tableColumn id="57" xr3:uid="{940EE84B-FC9E-4E26-9D80-61A034C81DC9}" name="Poll ID" dataDxfId="55" dataCellStyle="Normal"/>
    <tableColumn id="58" xr3:uid="{4016E93A-8E4B-43D2-9B86-F73FABC2FEC7}" name="Poll Options" dataDxfId="54" dataCellStyle="Normal"/>
    <tableColumn id="59" xr3:uid="{AE9E07AC-ADBF-4562-9416-9A8E894FF67F}" name="Poll Duration" dataDxfId="53" dataCellStyle="Normal"/>
    <tableColumn id="60" xr3:uid="{6331545C-426B-4B36-ADE5-05FEF99A23D1}" name="Poll End Date" dataDxfId="52" dataCellStyle="Normal"/>
    <tableColumn id="61" xr3:uid="{02A22F1B-AB81-40A1-B482-321D8196D35F}" name="Poll Voting Status" dataDxfId="51" dataCellStyle="Normal"/>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BO675" totalsRowShown="0" headerRowDxfId="183" dataDxfId="102">
  <autoFilter ref="A2:BO675" xr:uid="{00000000-0009-0000-0100-000002000000}"/>
  <tableColumns count="67">
    <tableColumn id="1" xr3:uid="{00000000-0010-0000-0100-000001000000}" name="Vertex" dataDxfId="124" dataCellStyle="NodeXL Required"/>
    <tableColumn id="2" xr3:uid="{00000000-0010-0000-0100-000002000000}" name="Color" dataDxfId="123" dataCellStyle="NodeXL Visual Property"/>
    <tableColumn id="5" xr3:uid="{00000000-0010-0000-0100-000005000000}" name="Shape" dataDxfId="122" dataCellStyle="NodeXL Visual Property"/>
    <tableColumn id="6" xr3:uid="{00000000-0010-0000-0100-000006000000}" name="Size" dataDxfId="121" dataCellStyle="NodeXL Visual Property"/>
    <tableColumn id="4" xr3:uid="{00000000-0010-0000-0100-000004000000}" name="Opacity" dataDxfId="14" dataCellStyle="NodeXL Visual Property"/>
    <tableColumn id="7" xr3:uid="{00000000-0010-0000-0100-000007000000}" name="Image File" dataDxfId="12" dataCellStyle="NodeXL Visual Property"/>
    <tableColumn id="3" xr3:uid="{00000000-0010-0000-0100-000003000000}" name="Visibility" dataDxfId="13" dataCellStyle="NodeXL Visual Property"/>
    <tableColumn id="10" xr3:uid="{00000000-0010-0000-0100-00000A000000}" name="Label" dataDxfId="120" dataCellStyle="NodeXL Label"/>
    <tableColumn id="16" xr3:uid="{00000000-0010-0000-0100-000010000000}" name="Label Fill Color" dataDxfId="119" dataCellStyle="NodeXL Label"/>
    <tableColumn id="9" xr3:uid="{00000000-0010-0000-0100-000009000000}" name="Label Position" dataDxfId="8" dataCellStyle="NodeXL Label"/>
    <tableColumn id="8" xr3:uid="{00000000-0010-0000-0100-000008000000}" name="Tooltip" dataDxfId="6" dataCellStyle="NodeXL Label"/>
    <tableColumn id="18" xr3:uid="{00000000-0010-0000-0100-000012000000}" name="Layout Order" dataDxfId="7" dataCellStyle="NodeXL Layout"/>
    <tableColumn id="13" xr3:uid="{00000000-0010-0000-0100-00000D000000}" name="X" dataDxfId="118" dataCellStyle="NodeXL Layout"/>
    <tableColumn id="14" xr3:uid="{00000000-0010-0000-0100-00000E000000}" name="Y" dataDxfId="117" dataCellStyle="NodeXL Layout"/>
    <tableColumn id="12" xr3:uid="{00000000-0010-0000-0100-00000C000000}" name="Locked?" dataDxfId="116" dataCellStyle="NodeXL Layout"/>
    <tableColumn id="19" xr3:uid="{00000000-0010-0000-0100-000013000000}" name="Polar R" dataDxfId="115" dataCellStyle="NodeXL Layout"/>
    <tableColumn id="20" xr3:uid="{00000000-0010-0000-0100-000014000000}" name="Polar Angle" dataDxfId="114" dataCellStyle="NodeXL Layout"/>
    <tableColumn id="21" xr3:uid="{00000000-0010-0000-0100-000015000000}" name="Degree" dataDxfId="113" dataCellStyle="NodeXL Graph Metric"/>
    <tableColumn id="22" xr3:uid="{00000000-0010-0000-0100-000016000000}" name="In-Degree" dataDxfId="112" dataCellStyle="NodeXL Graph Metric"/>
    <tableColumn id="23" xr3:uid="{00000000-0010-0000-0100-000017000000}" name="Out-Degree" dataDxfId="111" dataCellStyle="NodeXL Graph Metric"/>
    <tableColumn id="24" xr3:uid="{00000000-0010-0000-0100-000018000000}" name="Betweenness Centrality" dataDxfId="110" dataCellStyle="NodeXL Graph Metric"/>
    <tableColumn id="25" xr3:uid="{00000000-0010-0000-0100-000019000000}" name="Closeness Centrality" dataDxfId="109" dataCellStyle="NodeXL Graph Metric"/>
    <tableColumn id="26" xr3:uid="{00000000-0010-0000-0100-00001A000000}" name="Eigenvector Centrality" dataDxfId="108" dataCellStyle="NodeXL Graph Metric"/>
    <tableColumn id="15" xr3:uid="{00000000-0010-0000-0100-00000F000000}" name="PageRank" dataDxfId="107" dataCellStyle="NodeXL Graph Metric"/>
    <tableColumn id="27" xr3:uid="{00000000-0010-0000-0100-00001B000000}" name="Clustering Coefficient" dataDxfId="106" dataCellStyle="NodeXL Graph Metric"/>
    <tableColumn id="29" xr3:uid="{00000000-0010-0000-0100-00001D000000}" name="Reciprocated Vertex Pair Ratio" dataDxfId="105" dataCellStyle="NodeXL Graph Metric"/>
    <tableColumn id="11" xr3:uid="{00000000-0010-0000-0100-00000B000000}" name="ID" dataDxfId="104" dataCellStyle="NodeXL Do Not Edit"/>
    <tableColumn id="28" xr3:uid="{00000000-0010-0000-0100-00001C000000}" name="Dynamic Filter" dataDxfId="103" dataCellStyle="NodeXL Do Not Edit"/>
    <tableColumn id="17" xr3:uid="{00000000-0010-0000-0100-000011000000}" name="Add Your Own Columns Here" dataDxfId="50" dataCellStyle="NodeXL Other Column"/>
    <tableColumn id="30" xr3:uid="{1356603A-6501-4C33-9B30-18CFA5F6F1EE}" name="Name" dataDxfId="49" dataCellStyle="Normal"/>
    <tableColumn id="31" xr3:uid="{BC39B337-6A2C-48A8-B570-E7A8EE0E4053}" name="User ID" dataDxfId="48" dataCellStyle="Normal"/>
    <tableColumn id="32" xr3:uid="{BB51922F-BD45-422D-9D35-84F8E21D5E2D}" name="Followers" dataDxfId="47" dataCellStyle="Normal"/>
    <tableColumn id="33" xr3:uid="{831DE719-CBB1-4AB2-BDAB-DF149C5DC1EE}" name="Followed" dataDxfId="46" dataCellStyle="Normal"/>
    <tableColumn id="34" xr3:uid="{DB063FA0-F6D8-4BB6-B2DE-F5017AB6B1EF}" name="Tweets" dataDxfId="45" dataCellStyle="Normal"/>
    <tableColumn id="35" xr3:uid="{93581B09-97D9-47C4-A2E8-39B9B54F7AE5}" name="Listed Count" dataDxfId="44" dataCellStyle="Normal"/>
    <tableColumn id="36" xr3:uid="{542518AD-807A-460C-8BD4-4D994C701147}" name="Favourites Count" dataDxfId="43" dataCellStyle="Normal"/>
    <tableColumn id="37" xr3:uid="{81A6D330-8E12-4DFF-84AF-4705F31C87A2}" name="Media Count" dataDxfId="42" dataCellStyle="Normal"/>
    <tableColumn id="38" xr3:uid="{4AAE95A8-7AF2-4F3D-88B3-FA1D95F719EB}" name="Verified" dataDxfId="41" dataCellStyle="Normal"/>
    <tableColumn id="39" xr3:uid="{31D1394B-3E12-428A-AABC-AEF2FD545754}" name="Joined Twitter Date (UTC)" dataDxfId="40" dataCellStyle="Normal"/>
    <tableColumn id="40" xr3:uid="{3E441066-46EA-4155-9C6F-2DD07DF5C342}" name="Location" dataDxfId="39" dataCellStyle="Normal"/>
    <tableColumn id="41" xr3:uid="{F3F5E36B-801F-40B6-B600-C7DFC378F73F}" name="Description" dataDxfId="38" dataCellStyle="Normal"/>
    <tableColumn id="42" xr3:uid="{B16DF777-52BF-4D15-B179-467D846D4B5B}" name="URLs (Details)" dataDxfId="37" dataCellStyle="Normal"/>
    <tableColumn id="43" xr3:uid="{88D2789C-9461-4B07-A14B-52216BE8821D}" name="Expanded URLs (Details)" dataDxfId="36" dataCellStyle="Normal"/>
    <tableColumn id="44" xr3:uid="{7E5EA6D9-764E-4F70-BB0E-584E4AF5B9FE}" name="Display URLs (Details)" dataDxfId="35" dataCellStyle="Normal"/>
    <tableColumn id="45" xr3:uid="{2BE34A94-F1DF-4F79-A192-661A6A81AFA7}" name="Description URLs (Details)" dataDxfId="34" dataCellStyle="Normal"/>
    <tableColumn id="46" xr3:uid="{C9446955-0BA1-4622-8A9F-3F8A2FFD9D6B}" name="Description Expanded URLs (Details)" dataDxfId="33" dataCellStyle="Normal"/>
    <tableColumn id="47" xr3:uid="{B9B6D80E-0E8A-440E-8780-45E19F822670}" name="Description Display URLS (Details)" dataDxfId="32" dataCellStyle="Normal"/>
    <tableColumn id="48" xr3:uid="{E5C311D1-0A4E-44DE-858C-D8346CCDABE5}" name="Pinned Tweet ID" dataDxfId="31" dataCellStyle="Normal"/>
    <tableColumn id="49" xr3:uid="{C4F75AED-8C96-4A38-94EB-7D10B14BBCC7}" name="URL" dataDxfId="30" dataCellStyle="Normal"/>
    <tableColumn id="50" xr3:uid="{909197C9-B29B-4CBD-8AC6-0347C533EAE8}" name="Is Blue Verified" dataDxfId="29" dataCellStyle="Normal"/>
    <tableColumn id="51" xr3:uid="{A5BF84B7-D82E-4C53-AA93-5569529CAC6F}" name="You Are Followed By" dataDxfId="28" dataCellStyle="Normal"/>
    <tableColumn id="52" xr3:uid="{E83D5C4D-2F84-4A2D-A58B-D23D6E02ED62}" name="You Are Following" dataDxfId="27" dataCellStyle="Normal"/>
    <tableColumn id="53" xr3:uid="{29CD35C6-749B-4A5C-B6C9-97933A62B4F7}" name="Can DM" dataDxfId="26" dataCellStyle="Normal"/>
    <tableColumn id="54" xr3:uid="{43560A82-8344-4771-9333-B3128A72E302}" name="Can Media Tag" dataDxfId="25" dataCellStyle="Normal"/>
    <tableColumn id="55" xr3:uid="{74C68D28-1CA2-4B3B-B10A-F8C98B557871}" name="Default Profile" dataDxfId="24" dataCellStyle="Normal"/>
    <tableColumn id="56" xr3:uid="{E0BDCD1A-894D-47DB-A4C8-026796C8E3F3}" name="Default Profile Image" dataDxfId="23" dataCellStyle="Normal"/>
    <tableColumn id="57" xr3:uid="{4D76A5AD-FBC2-4D98-9ED2-9240A93FF797}" name="Has Custom Timelines" dataDxfId="22" dataCellStyle="Normal"/>
    <tableColumn id="58" xr3:uid="{5B434EC3-5788-4973-8895-7E30076F197D}" name="Is Translator" dataDxfId="21" dataCellStyle="Normal"/>
    <tableColumn id="59" xr3:uid="{333F56EB-B20D-499A-B205-C8C99FFC4CF9}" name="Possibly Sensitive" dataDxfId="20" dataCellStyle="Normal"/>
    <tableColumn id="60" xr3:uid="{46B0CBF4-2793-4B5C-8456-B24CD86C81FF}" name="Profile Banner URL" dataDxfId="19" dataCellStyle="Normal"/>
    <tableColumn id="61" xr3:uid="{862F8521-E30C-45A8-AC66-586C2616B9C6}" name="Profile Interstitial Type" dataDxfId="18" dataCellStyle="Normal"/>
    <tableColumn id="62" xr3:uid="{6449D450-8196-416A-A618-4E634BDD9FDB}" name="Translator Type" dataDxfId="17" dataCellStyle="Normal"/>
    <tableColumn id="63" xr3:uid="{3F0179A4-576C-4776-9260-EDB580904138}" name="Want Retweets" dataDxfId="16" dataCellStyle="Normal"/>
    <tableColumn id="64" xr3:uid="{24C8DAC9-16E8-4DD3-AA27-1AAC10631D1B}" name="Withheld" dataDxfId="15" dataCellStyle="Normal"/>
    <tableColumn id="65" xr3:uid="{CFB744F5-9B81-4420-9514-123D01DF8463}" name="Tweeted Search Term?" dataDxfId="11" dataCellStyle="Normal"/>
    <tableColumn id="66" xr3:uid="{DDD93F66-4CB0-45B5-82FA-DE30863A0C4A}" name="Custom Menu Item Text" dataDxfId="10" dataCellStyle="Normal"/>
    <tableColumn id="67" xr3:uid="{3473F962-2703-4518-9F4D-87BA04E48684}" name="Custom Menu Item Action" dataDxfId="9" dataCellStyle="Normal"/>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X3" insertRow="1" totalsRowShown="0" headerRowDxfId="182">
  <autoFilter ref="A2:X3" xr:uid="{00000000-0009-0000-0100-000004000000}"/>
  <tableColumns count="24">
    <tableColumn id="1" xr3:uid="{00000000-0010-0000-0200-000001000000}" name="Group" dataDxfId="181" dataCellStyle="NodeXL Required"/>
    <tableColumn id="2" xr3:uid="{00000000-0010-0000-0200-000002000000}" name="Vertex Color" dataDxfId="180" dataCellStyle="NodeXL Visual Property"/>
    <tableColumn id="3" xr3:uid="{00000000-0010-0000-0200-000003000000}" name="Vertex Shape" dataDxfId="179" dataCellStyle="NodeXL Visual Property"/>
    <tableColumn id="22" xr3:uid="{00000000-0010-0000-0200-000016000000}" name="Visibility" dataDxfId="178" dataCellStyle="NodeXL Visual Property"/>
    <tableColumn id="4" xr3:uid="{00000000-0010-0000-0200-000004000000}" name="Collapsed?" dataCellStyle="NodeXL Visual Property"/>
    <tableColumn id="18" xr3:uid="{00000000-0010-0000-0200-000012000000}" name="Label" dataDxfId="177"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176" dataCellStyle="NodeXL Do Not Edit"/>
    <tableColumn id="19" xr3:uid="{00000000-0010-0000-0200-000013000000}" name="Collapsed Properties" dataDxfId="175" dataCellStyle="NodeXL Do Not Edit"/>
    <tableColumn id="5" xr3:uid="{00000000-0010-0000-0200-000005000000}" name="Vertices" dataDxfId="174" dataCellStyle="NodeXL Graph Metric"/>
    <tableColumn id="7" xr3:uid="{00000000-0010-0000-0200-000007000000}" name="Unique Edges" dataDxfId="173" dataCellStyle="NodeXL Graph Metric"/>
    <tableColumn id="8" xr3:uid="{00000000-0010-0000-0200-000008000000}" name="Edges With Duplicates" dataDxfId="172" dataCellStyle="NodeXL Graph Metric"/>
    <tableColumn id="9" xr3:uid="{00000000-0010-0000-0200-000009000000}" name="Total Edges" dataDxfId="171" dataCellStyle="NodeXL Graph Metric"/>
    <tableColumn id="10" xr3:uid="{00000000-0010-0000-0200-00000A000000}" name="Self-Loops" dataDxfId="170" dataCellStyle="NodeXL Graph Metric"/>
    <tableColumn id="24" xr3:uid="{00000000-0010-0000-0200-000018000000}" name="Reciprocated Vertex Pair Ratio" dataDxfId="169" dataCellStyle="NodeXL Graph Metric"/>
    <tableColumn id="25" xr3:uid="{00000000-0010-0000-0200-000019000000}" name="Reciprocated Edge Ratio" dataDxfId="168" dataCellStyle="NodeXL Graph Metric"/>
    <tableColumn id="11" xr3:uid="{00000000-0010-0000-0200-00000B000000}" name="Connected Components" dataDxfId="167" dataCellStyle="NodeXL Graph Metric"/>
    <tableColumn id="12" xr3:uid="{00000000-0010-0000-0200-00000C000000}" name="Single-Vertex Connected Components" dataDxfId="166" dataCellStyle="NodeXL Graph Metric"/>
    <tableColumn id="13" xr3:uid="{00000000-0010-0000-0200-00000D000000}" name="Maximum Vertices in a Connected Component" dataDxfId="165" dataCellStyle="NodeXL Graph Metric"/>
    <tableColumn id="14" xr3:uid="{00000000-0010-0000-0200-00000E000000}" name="Maximum Edges in a Connected Component" dataDxfId="164" dataCellStyle="NodeXL Graph Metric"/>
    <tableColumn id="15" xr3:uid="{00000000-0010-0000-0200-00000F000000}" name="Maximum Geodesic Distance (Diameter)" dataDxfId="163" dataCellStyle="NodeXL Graph Metric"/>
    <tableColumn id="16" xr3:uid="{00000000-0010-0000-0200-000010000000}" name="Average Geodesic Distance" dataDxfId="162" dataCellStyle="NodeXL Graph Metric"/>
    <tableColumn id="17" xr3:uid="{00000000-0010-0000-0200-000011000000}" name="Graph Density" dataDxfId="161" dataCellStyle="NodeXL Graph Metric"/>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160" dataDxfId="159">
  <autoFilter ref="A1:C2" xr:uid="{00000000-0009-0000-0100-000005000000}"/>
  <tableColumns count="3">
    <tableColumn id="1" xr3:uid="{00000000-0010-0000-0300-000001000000}" name="Group" dataDxfId="158"/>
    <tableColumn id="2" xr3:uid="{00000000-0010-0000-0300-000002000000}" name="Vertex" dataDxfId="157"/>
    <tableColumn id="3" xr3:uid="{00000000-0010-0000-0300-000003000000}" name="Vertex ID" dataDxfId="156"/>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43" totalsRowShown="0" dataCellStyle="NodeXL Graph Metric">
  <autoFilter ref="A1:B43" xr:uid="{00000000-0009-0000-0100-000006000000}"/>
  <tableColumns count="2">
    <tableColumn id="1" xr3:uid="{00000000-0010-0000-0400-000001000000}" name="Graph Metric" dataDxfId="5" dataCellStyle="NodeXL Graph Metric"/>
    <tableColumn id="2" xr3:uid="{00000000-0010-0000-0400-000002000000}" name="Value" dataDxfId="4"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36" totalsRowShown="0">
  <autoFilter ref="D1:U36" xr:uid="{00000000-0009-0000-0100-000003000000}"/>
  <tableColumns count="18">
    <tableColumn id="1" xr3:uid="{00000000-0010-0000-0500-000001000000}" name="Degree Bin" dataDxfId="155"/>
    <tableColumn id="2" xr3:uid="{00000000-0010-0000-0500-000002000000}" name="Degree Frequency" dataDxfId="154">
      <calculatedColumnFormula>COUNTIF(Vertices[Degree], "&gt;= " &amp; D2) - COUNTIF(Vertices[Degree], "&gt;=" &amp; D3)</calculatedColumnFormula>
    </tableColumn>
    <tableColumn id="3" xr3:uid="{00000000-0010-0000-0500-000003000000}" name="In-Degree Bin" dataDxfId="153"/>
    <tableColumn id="4" xr3:uid="{00000000-0010-0000-0500-000004000000}" name="In-Degree Frequency" dataDxfId="152">
      <calculatedColumnFormula>COUNTIF(Vertices[In-Degree], "&gt;= " &amp; F2) - COUNTIF(Vertices[In-Degree], "&gt;=" &amp; F3)</calculatedColumnFormula>
    </tableColumn>
    <tableColumn id="5" xr3:uid="{00000000-0010-0000-0500-000005000000}" name="Out-Degree Bin" dataDxfId="151"/>
    <tableColumn id="6" xr3:uid="{00000000-0010-0000-0500-000006000000}" name="Out-Degree Frequency" dataDxfId="150">
      <calculatedColumnFormula>COUNTIF(Vertices[Out-Degree], "&gt;= " &amp; H2) - COUNTIF(Vertices[Out-Degree], "&gt;=" &amp; H3)</calculatedColumnFormula>
    </tableColumn>
    <tableColumn id="7" xr3:uid="{00000000-0010-0000-0500-000007000000}" name="Betweenness Centrality Bin" dataDxfId="149"/>
    <tableColumn id="8" xr3:uid="{00000000-0010-0000-0500-000008000000}" name="Betweenness Centrality Frequency" dataDxfId="148">
      <calculatedColumnFormula>COUNTIF(Vertices[Betweenness Centrality], "&gt;= " &amp; J2) - COUNTIF(Vertices[Betweenness Centrality], "&gt;=" &amp; J3)</calculatedColumnFormula>
    </tableColumn>
    <tableColumn id="9" xr3:uid="{00000000-0010-0000-0500-000009000000}" name="Closeness Centrality Bin" dataDxfId="147"/>
    <tableColumn id="10" xr3:uid="{00000000-0010-0000-0500-00000A000000}" name="Closeness Centrality Frequency" dataDxfId="146">
      <calculatedColumnFormula>COUNTIF(Vertices[Closeness Centrality], "&gt;= " &amp; L2) - COUNTIF(Vertices[Closeness Centrality], "&gt;=" &amp; L3)</calculatedColumnFormula>
    </tableColumn>
    <tableColumn id="11" xr3:uid="{00000000-0010-0000-0500-00000B000000}" name="Eigenvector Centrality Bin" dataDxfId="145"/>
    <tableColumn id="12" xr3:uid="{00000000-0010-0000-0500-00000C000000}" name="Eigenvector Centrality Frequency" dataDxfId="144">
      <calculatedColumnFormula>COUNTIF(Vertices[Eigenvector Centrality], "&gt;= " &amp; N2) - COUNTIF(Vertices[Eigenvector Centrality], "&gt;=" &amp; N3)</calculatedColumnFormula>
    </tableColumn>
    <tableColumn id="18" xr3:uid="{00000000-0010-0000-0500-000012000000}" name="PageRank Bin" dataDxfId="143"/>
    <tableColumn id="17" xr3:uid="{00000000-0010-0000-0500-000011000000}" name="PageRank Frequency" dataDxfId="142">
      <calculatedColumnFormula>COUNTIF(Vertices[Eigenvector Centrality], "&gt;= " &amp; P2) - COUNTIF(Vertices[Eigenvector Centrality], "&gt;=" &amp; P3)</calculatedColumnFormula>
    </tableColumn>
    <tableColumn id="13" xr3:uid="{00000000-0010-0000-0500-00000D000000}" name="Clustering Coefficient Bin" dataDxfId="141"/>
    <tableColumn id="14" xr3:uid="{00000000-0010-0000-0500-00000E000000}" name="Clustering Coefficient Frequency" dataDxfId="140">
      <calculatedColumnFormula>COUNTIF(Vertices[Clustering Coefficient], "&gt;= " &amp; R2) - COUNTIF(Vertices[Clustering Coefficient], "&gt;=" &amp; R3)</calculatedColumnFormula>
    </tableColumn>
    <tableColumn id="15" xr3:uid="{00000000-0010-0000-0500-00000F000000}" name="Dynamic Filter Bin" dataDxfId="139"/>
    <tableColumn id="16" xr3:uid="{00000000-0010-0000-0500-000010000000}" name="Dynamic Filter Frequency" dataDxfId="138">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60:B61" insertRow="1" totalsRowShown="0" dataCellStyle="NodeXL Graph Metric">
  <autoFilter ref="A60:B61"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8" totalsRowShown="0" headerRowDxfId="137">
  <autoFilter ref="J1:K8"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2" totalsRowShown="0" headerRowDxfId="136">
  <autoFilter ref="M1:P2"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DC99CC9-D237-4A94-A6BB-C7D4F54DD61D}" name="ExportOptions" displayName="ExportOptions" ref="A1:B7" totalsRowShown="0" headerRowDxfId="3" dataDxfId="2" dataCellStyle="Normal">
  <autoFilter ref="A1:B7" xr:uid="{7DC99CC9-D237-4A94-A6BB-C7D4F54DD61D}"/>
  <tableColumns count="2">
    <tableColumn id="1" xr3:uid="{DBBBC0FF-881C-4D7C-9A03-C8023B5E7F91}" name="Key" dataDxfId="1" dataCellStyle="Normal"/>
    <tableColumn id="2" xr3:uid="{D73D2D4D-589A-4B2C-8E05-35C7EC6616FA}" name="Value" dataDxfId="0" dataCellStyle="Normal"/>
  </tableColumns>
  <tableStyleInfo name="NodeXL Table"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I4164"/>
  <sheetViews>
    <sheetView workbookViewId="0">
      <pane xSplit="2" ySplit="2" topLeftCell="C3" activePane="bottomRight" state="frozen"/>
      <selection pane="topRight" activeCell="C1" sqref="C1"/>
      <selection pane="bottomLeft" activeCell="A3" sqref="A3"/>
      <selection pane="bottomRight" activeCell="A5" sqref="A5"/>
    </sheetView>
  </sheetViews>
  <sheetFormatPr defaultRowHeight="15" x14ac:dyDescent="0.25"/>
  <cols>
    <col min="1" max="2" width="10.42578125" style="1" customWidth="1"/>
    <col min="3" max="3" width="7.85546875" bestFit="1" customWidth="1"/>
    <col min="4" max="4" width="8.7109375" style="2" bestFit="1" customWidth="1"/>
    <col min="5" max="5" width="7.7109375" style="2" bestFit="1" customWidth="1"/>
    <col min="6" max="6" width="9.85546875" style="2" bestFit="1" customWidth="1"/>
    <col min="7" max="7" width="11" bestFit="1" customWidth="1"/>
    <col min="8" max="8" width="8" style="1" bestFit="1" customWidth="1"/>
    <col min="9" max="9" width="12.28515625" bestFit="1" customWidth="1"/>
    <col min="10" max="10" width="12.42578125" bestFit="1" customWidth="1"/>
    <col min="11" max="11" width="15.5703125" hidden="1" customWidth="1"/>
    <col min="12" max="12" width="11" hidden="1" customWidth="1"/>
    <col min="13" max="13" width="10.85546875" hidden="1" customWidth="1"/>
    <col min="14" max="14" width="16" bestFit="1" customWidth="1"/>
    <col min="15" max="15" width="12.7109375" bestFit="1" customWidth="1"/>
    <col min="16" max="16" width="14.42578125" bestFit="1" customWidth="1"/>
    <col min="17" max="17" width="8.85546875" bestFit="1" customWidth="1"/>
    <col min="18" max="18" width="10.85546875" bestFit="1" customWidth="1"/>
    <col min="19" max="19" width="10.5703125" bestFit="1" customWidth="1"/>
    <col min="20" max="20" width="8.5703125" bestFit="1" customWidth="1"/>
    <col min="21" max="21" width="8.85546875" bestFit="1" customWidth="1"/>
    <col min="22" max="22" width="13.140625" bestFit="1" customWidth="1"/>
    <col min="23" max="23" width="13.28515625" bestFit="1" customWidth="1"/>
    <col min="24" max="24" width="9.5703125" bestFit="1" customWidth="1"/>
    <col min="25" max="25" width="13.140625" bestFit="1" customWidth="1"/>
    <col min="26" max="26" width="13.85546875" bestFit="1" customWidth="1"/>
    <col min="27" max="27" width="11" bestFit="1" customWidth="1"/>
    <col min="28" max="28" width="8.85546875" bestFit="1" customWidth="1"/>
    <col min="29" max="29" width="9.28515625" bestFit="1" customWidth="1"/>
    <col min="30" max="30" width="11.5703125" bestFit="1" customWidth="1"/>
    <col min="31" max="31" width="14.42578125" bestFit="1" customWidth="1"/>
    <col min="32" max="32" width="13.42578125" bestFit="1" customWidth="1"/>
    <col min="33" max="33" width="7.42578125" bestFit="1" customWidth="1"/>
    <col min="34" max="34" width="7.7109375" bestFit="1" customWidth="1"/>
    <col min="35" max="35" width="11.42578125" bestFit="1" customWidth="1"/>
    <col min="36" max="36" width="17" bestFit="1" customWidth="1"/>
    <col min="37" max="37" width="10.28515625" bestFit="1" customWidth="1"/>
    <col min="38" max="38" width="15.5703125" bestFit="1" customWidth="1"/>
    <col min="39" max="39" width="11.7109375" bestFit="1" customWidth="1"/>
    <col min="40" max="40" width="10.28515625" bestFit="1" customWidth="1"/>
    <col min="41" max="41" width="8.5703125" bestFit="1" customWidth="1"/>
    <col min="42" max="42" width="8" bestFit="1" customWidth="1"/>
    <col min="43" max="43" width="8.85546875" bestFit="1" customWidth="1"/>
    <col min="44" max="44" width="17.140625" bestFit="1" customWidth="1"/>
    <col min="46" max="46" width="8.85546875" bestFit="1" customWidth="1"/>
    <col min="47" max="47" width="13.85546875" bestFit="1" customWidth="1"/>
    <col min="48" max="48" width="14.7109375" bestFit="1" customWidth="1"/>
    <col min="49" max="49" width="11.5703125" bestFit="1" customWidth="1"/>
    <col min="50" max="50" width="12.7109375" bestFit="1" customWidth="1"/>
    <col min="51" max="52" width="13" bestFit="1" customWidth="1"/>
    <col min="53" max="53" width="11" bestFit="1" customWidth="1"/>
    <col min="54" max="54" width="13.140625" bestFit="1" customWidth="1"/>
    <col min="55" max="55" width="12" bestFit="1" customWidth="1"/>
    <col min="56" max="56" width="11.7109375" bestFit="1" customWidth="1"/>
    <col min="57" max="57" width="9" bestFit="1" customWidth="1"/>
    <col min="58" max="58" width="10.28515625" bestFit="1" customWidth="1"/>
    <col min="59" max="59" width="11" bestFit="1" customWidth="1"/>
    <col min="60" max="60" width="10.42578125" bestFit="1" customWidth="1"/>
    <col min="61" max="61" width="13" bestFit="1" customWidth="1"/>
  </cols>
  <sheetData>
    <row r="1" spans="1:61" x14ac:dyDescent="0.25">
      <c r="C1" s="15" t="s">
        <v>39</v>
      </c>
      <c r="D1" s="16"/>
      <c r="E1" s="16"/>
      <c r="F1" s="16"/>
      <c r="G1" s="15"/>
      <c r="H1" s="13" t="s">
        <v>43</v>
      </c>
      <c r="I1" s="50"/>
      <c r="J1" s="50"/>
      <c r="K1" s="31" t="s">
        <v>42</v>
      </c>
      <c r="L1" s="17" t="s">
        <v>40</v>
      </c>
      <c r="M1" s="17"/>
      <c r="N1" s="14" t="s">
        <v>41</v>
      </c>
    </row>
    <row r="2" spans="1:61" ht="30" customHeight="1" x14ac:dyDescent="0.25">
      <c r="A2" s="10" t="s">
        <v>0</v>
      </c>
      <c r="B2" s="10" t="s">
        <v>1</v>
      </c>
      <c r="C2" s="7" t="s">
        <v>2</v>
      </c>
      <c r="D2" s="7" t="s">
        <v>3</v>
      </c>
      <c r="E2" s="7" t="s">
        <v>130</v>
      </c>
      <c r="F2" s="7" t="s">
        <v>4</v>
      </c>
      <c r="G2" s="7" t="s">
        <v>11</v>
      </c>
      <c r="H2" s="10" t="s">
        <v>46</v>
      </c>
      <c r="I2" s="7" t="s">
        <v>160</v>
      </c>
      <c r="J2" s="7" t="s">
        <v>161</v>
      </c>
      <c r="K2" s="7" t="s">
        <v>165</v>
      </c>
      <c r="L2" s="7" t="s">
        <v>12</v>
      </c>
      <c r="M2" s="7" t="s">
        <v>38</v>
      </c>
      <c r="N2" s="7" t="s">
        <v>26</v>
      </c>
      <c r="O2" s="7" t="s">
        <v>177</v>
      </c>
      <c r="P2" s="7" t="s">
        <v>178</v>
      </c>
      <c r="Q2" s="7" t="s">
        <v>179</v>
      </c>
      <c r="R2" s="7" t="s">
        <v>180</v>
      </c>
      <c r="S2" s="7" t="s">
        <v>181</v>
      </c>
      <c r="T2" s="7" t="s">
        <v>182</v>
      </c>
      <c r="U2" s="7" t="s">
        <v>183</v>
      </c>
      <c r="V2" s="7" t="s">
        <v>184</v>
      </c>
      <c r="W2" s="7" t="s">
        <v>185</v>
      </c>
      <c r="X2" s="7" t="s">
        <v>186</v>
      </c>
      <c r="Y2" s="7" t="s">
        <v>187</v>
      </c>
      <c r="Z2" s="7" t="s">
        <v>188</v>
      </c>
      <c r="AA2" s="7" t="s">
        <v>189</v>
      </c>
      <c r="AB2" s="7" t="s">
        <v>190</v>
      </c>
      <c r="AC2" s="7" t="s">
        <v>191</v>
      </c>
      <c r="AD2" s="7" t="s">
        <v>192</v>
      </c>
      <c r="AE2" s="7" t="s">
        <v>193</v>
      </c>
      <c r="AF2" s="7" t="s">
        <v>194</v>
      </c>
      <c r="AG2" s="7" t="s">
        <v>195</v>
      </c>
      <c r="AH2" s="7" t="s">
        <v>196</v>
      </c>
      <c r="AI2" s="7" t="s">
        <v>197</v>
      </c>
      <c r="AJ2" s="7" t="s">
        <v>198</v>
      </c>
      <c r="AK2" s="7" t="s">
        <v>199</v>
      </c>
      <c r="AL2" s="7" t="s">
        <v>200</v>
      </c>
      <c r="AM2" s="7" t="s">
        <v>201</v>
      </c>
      <c r="AN2" s="7" t="s">
        <v>202</v>
      </c>
      <c r="AO2" s="7" t="s">
        <v>203</v>
      </c>
      <c r="AP2" s="7" t="s">
        <v>204</v>
      </c>
      <c r="AQ2" s="7" t="s">
        <v>205</v>
      </c>
      <c r="AR2" s="7" t="s">
        <v>206</v>
      </c>
      <c r="AS2" s="7" t="s">
        <v>207</v>
      </c>
      <c r="AT2" s="7" t="s">
        <v>208</v>
      </c>
      <c r="AU2" s="7" t="s">
        <v>209</v>
      </c>
      <c r="AV2" s="7" t="s">
        <v>210</v>
      </c>
      <c r="AW2" s="7" t="s">
        <v>211</v>
      </c>
      <c r="AX2" s="7" t="s">
        <v>212</v>
      </c>
      <c r="AY2" s="7" t="s">
        <v>213</v>
      </c>
      <c r="AZ2" s="7" t="s">
        <v>214</v>
      </c>
      <c r="BA2" s="7" t="s">
        <v>215</v>
      </c>
      <c r="BB2" s="7" t="s">
        <v>216</v>
      </c>
      <c r="BC2" s="7" t="s">
        <v>217</v>
      </c>
      <c r="BD2" s="7" t="s">
        <v>218</v>
      </c>
      <c r="BE2" s="7" t="s">
        <v>219</v>
      </c>
      <c r="BF2" s="7" t="s">
        <v>220</v>
      </c>
      <c r="BG2" s="7" t="s">
        <v>221</v>
      </c>
      <c r="BH2" s="7" t="s">
        <v>222</v>
      </c>
      <c r="BI2" s="7" t="s">
        <v>223</v>
      </c>
    </row>
    <row r="3" spans="1:61" ht="15" customHeight="1" x14ac:dyDescent="0.25">
      <c r="A3" s="62" t="s">
        <v>224</v>
      </c>
      <c r="B3" s="62" t="s">
        <v>741</v>
      </c>
      <c r="C3" s="63"/>
      <c r="D3" s="64"/>
      <c r="E3" s="65"/>
      <c r="F3" s="66"/>
      <c r="G3" s="63"/>
      <c r="H3" s="67"/>
      <c r="I3" s="68"/>
      <c r="J3" s="68"/>
      <c r="K3" s="32"/>
      <c r="L3" s="69">
        <v>3</v>
      </c>
      <c r="M3" s="69"/>
      <c r="N3" s="70"/>
      <c r="O3" s="76" t="s">
        <v>895</v>
      </c>
      <c r="P3" s="78">
        <v>45124.756932870368</v>
      </c>
      <c r="Q3" s="76" t="s">
        <v>4806</v>
      </c>
      <c r="R3" s="76">
        <v>0</v>
      </c>
      <c r="S3" s="76">
        <v>1</v>
      </c>
      <c r="T3" s="76">
        <v>1</v>
      </c>
      <c r="U3" s="76">
        <v>0</v>
      </c>
      <c r="V3" s="76">
        <v>255</v>
      </c>
      <c r="W3" s="81" t="s">
        <v>6461</v>
      </c>
      <c r="X3" s="76"/>
      <c r="Y3" s="76"/>
      <c r="Z3" s="76" t="s">
        <v>741</v>
      </c>
      <c r="AA3" s="76" t="s">
        <v>7741</v>
      </c>
      <c r="AB3" s="76" t="s">
        <v>7742</v>
      </c>
      <c r="AC3" s="81" t="s">
        <v>7750</v>
      </c>
      <c r="AD3" s="76" t="s">
        <v>7788</v>
      </c>
      <c r="AE3" s="83" t="str">
        <f>HYPERLINK("https://twitter.com/gorilainvest/status/1681003327985778689")</f>
        <v>https://twitter.com/gorilainvest/status/1681003327985778689</v>
      </c>
      <c r="AF3" s="78">
        <v>45124.756932870368</v>
      </c>
      <c r="AG3" s="84">
        <v>45124</v>
      </c>
      <c r="AH3" s="81" t="s">
        <v>10558</v>
      </c>
      <c r="AI3" s="76" t="b">
        <v>0</v>
      </c>
      <c r="AJ3" s="76"/>
      <c r="AK3" s="76"/>
      <c r="AL3" s="76"/>
      <c r="AM3" s="76"/>
      <c r="AN3" s="76"/>
      <c r="AO3" s="76"/>
      <c r="AP3" s="76"/>
      <c r="AQ3" s="76" t="s">
        <v>11713</v>
      </c>
      <c r="AR3" s="76"/>
      <c r="AS3" s="76"/>
      <c r="AT3" s="76"/>
      <c r="AU3" s="76"/>
      <c r="AV3" s="83" t="str">
        <f>HYPERLINK("https://pbs.twimg.com/media/F1QfnHLX0AIX08Z.jpg")</f>
        <v>https://pbs.twimg.com/media/F1QfnHLX0AIX08Z.jpg</v>
      </c>
      <c r="AW3" s="81" t="s">
        <v>15736</v>
      </c>
      <c r="AX3" s="81" t="s">
        <v>15736</v>
      </c>
      <c r="AY3" s="76"/>
      <c r="AZ3" s="81" t="s">
        <v>15984</v>
      </c>
      <c r="BA3" s="81" t="s">
        <v>15984</v>
      </c>
      <c r="BB3" s="81" t="s">
        <v>15984</v>
      </c>
      <c r="BC3" s="81" t="s">
        <v>15736</v>
      </c>
      <c r="BD3" s="81" t="s">
        <v>16098</v>
      </c>
      <c r="BE3" s="76"/>
      <c r="BF3" s="76"/>
      <c r="BG3" s="76"/>
      <c r="BH3" s="76"/>
      <c r="BI3" s="76"/>
    </row>
    <row r="4" spans="1:61" ht="15" customHeight="1" x14ac:dyDescent="0.25">
      <c r="A4" s="62" t="s">
        <v>224</v>
      </c>
      <c r="B4" s="62" t="s">
        <v>741</v>
      </c>
      <c r="C4" s="63"/>
      <c r="D4" s="64"/>
      <c r="E4" s="65"/>
      <c r="F4" s="66"/>
      <c r="G4" s="63"/>
      <c r="H4" s="67"/>
      <c r="I4" s="68"/>
      <c r="J4" s="68"/>
      <c r="K4" s="32"/>
      <c r="L4" s="75">
        <v>4</v>
      </c>
      <c r="M4" s="75"/>
      <c r="N4" s="70"/>
      <c r="O4" s="77" t="s">
        <v>895</v>
      </c>
      <c r="P4" s="79">
        <v>45188.759166666663</v>
      </c>
      <c r="Q4" s="77" t="s">
        <v>903</v>
      </c>
      <c r="R4" s="77">
        <v>0</v>
      </c>
      <c r="S4" s="77">
        <v>1</v>
      </c>
      <c r="T4" s="77">
        <v>1</v>
      </c>
      <c r="U4" s="77">
        <v>0</v>
      </c>
      <c r="V4" s="77">
        <v>168</v>
      </c>
      <c r="W4" s="82" t="s">
        <v>4807</v>
      </c>
      <c r="X4" s="77"/>
      <c r="Y4" s="77"/>
      <c r="Z4" s="77" t="s">
        <v>741</v>
      </c>
      <c r="AA4" s="77" t="s">
        <v>6641</v>
      </c>
      <c r="AB4" s="77" t="s">
        <v>7742</v>
      </c>
      <c r="AC4" s="82" t="s">
        <v>7749</v>
      </c>
      <c r="AD4" s="77" t="s">
        <v>7788</v>
      </c>
      <c r="AE4" s="80" t="str">
        <f>HYPERLINK("https://twitter.com/gorilainvest/status/1704196959429611908")</f>
        <v>https://twitter.com/gorilainvest/status/1704196959429611908</v>
      </c>
      <c r="AF4" s="79">
        <v>45188.759166666663</v>
      </c>
      <c r="AG4" s="85">
        <v>45188</v>
      </c>
      <c r="AH4" s="82" t="s">
        <v>7803</v>
      </c>
      <c r="AI4" s="77" t="b">
        <v>0</v>
      </c>
      <c r="AJ4" s="77"/>
      <c r="AK4" s="77"/>
      <c r="AL4" s="77"/>
      <c r="AM4" s="77"/>
      <c r="AN4" s="77"/>
      <c r="AO4" s="77"/>
      <c r="AP4" s="77"/>
      <c r="AQ4" s="77" t="s">
        <v>10613</v>
      </c>
      <c r="AR4" s="77"/>
      <c r="AS4" s="77"/>
      <c r="AT4" s="77"/>
      <c r="AU4" s="77"/>
      <c r="AV4" s="80" t="str">
        <f>HYPERLINK("https://pbs.twimg.com/media/F6aGGdEWsAAMzXe.jpg")</f>
        <v>https://pbs.twimg.com/media/F6aGGdEWsAAMzXe.jpg</v>
      </c>
      <c r="AW4" s="82" t="s">
        <v>11714</v>
      </c>
      <c r="AX4" s="82" t="s">
        <v>11714</v>
      </c>
      <c r="AY4" s="77"/>
      <c r="AZ4" s="82" t="s">
        <v>15984</v>
      </c>
      <c r="BA4" s="82" t="s">
        <v>15984</v>
      </c>
      <c r="BB4" s="82" t="s">
        <v>15984</v>
      </c>
      <c r="BC4" s="82" t="s">
        <v>11714</v>
      </c>
      <c r="BD4" s="82" t="s">
        <v>16098</v>
      </c>
      <c r="BE4" s="77"/>
      <c r="BF4" s="77"/>
      <c r="BG4" s="77"/>
      <c r="BH4" s="77"/>
      <c r="BI4" s="77"/>
    </row>
    <row r="5" spans="1:61" x14ac:dyDescent="0.25">
      <c r="A5" s="62" t="s">
        <v>224</v>
      </c>
      <c r="B5" s="62" t="s">
        <v>224</v>
      </c>
      <c r="C5" s="63"/>
      <c r="D5" s="64"/>
      <c r="E5" s="65"/>
      <c r="F5" s="66"/>
      <c r="G5" s="63"/>
      <c r="H5" s="67"/>
      <c r="I5" s="68"/>
      <c r="J5" s="68"/>
      <c r="K5" s="32"/>
      <c r="L5" s="75">
        <v>5</v>
      </c>
      <c r="M5" s="75"/>
      <c r="N5" s="70"/>
      <c r="O5" s="77" t="s">
        <v>179</v>
      </c>
      <c r="P5" s="79">
        <v>45121.798738425925</v>
      </c>
      <c r="Q5" s="77" t="s">
        <v>904</v>
      </c>
      <c r="R5" s="77">
        <v>0</v>
      </c>
      <c r="S5" s="77">
        <v>1</v>
      </c>
      <c r="T5" s="77">
        <v>0</v>
      </c>
      <c r="U5" s="77">
        <v>0</v>
      </c>
      <c r="V5" s="77">
        <v>184</v>
      </c>
      <c r="W5" s="82" t="s">
        <v>4808</v>
      </c>
      <c r="X5" s="80" t="str">
        <f>HYPERLINK("https://bit.ly/3NR6iQv")</f>
        <v>https://bit.ly/3NR6iQv</v>
      </c>
      <c r="Y5" s="77" t="s">
        <v>6468</v>
      </c>
      <c r="Z5" s="77"/>
      <c r="AA5" s="77" t="s">
        <v>6642</v>
      </c>
      <c r="AB5" s="77" t="s">
        <v>7742</v>
      </c>
      <c r="AC5" s="82" t="s">
        <v>7749</v>
      </c>
      <c r="AD5" s="77" t="s">
        <v>7788</v>
      </c>
      <c r="AE5" s="80" t="str">
        <f>HYPERLINK("https://twitter.com/gorilainvest/status/1679931314911469568")</f>
        <v>https://twitter.com/gorilainvest/status/1679931314911469568</v>
      </c>
      <c r="AF5" s="79">
        <v>45121.798738425925</v>
      </c>
      <c r="AG5" s="85">
        <v>45121</v>
      </c>
      <c r="AH5" s="82" t="s">
        <v>7804</v>
      </c>
      <c r="AI5" s="77" t="b">
        <v>0</v>
      </c>
      <c r="AJ5" s="77"/>
      <c r="AK5" s="77"/>
      <c r="AL5" s="77"/>
      <c r="AM5" s="77"/>
      <c r="AN5" s="77"/>
      <c r="AO5" s="77"/>
      <c r="AP5" s="77"/>
      <c r="AQ5" s="77" t="s">
        <v>10614</v>
      </c>
      <c r="AR5" s="77"/>
      <c r="AS5" s="77"/>
      <c r="AT5" s="77"/>
      <c r="AU5" s="77"/>
      <c r="AV5" s="80" t="str">
        <f>HYPERLINK("https://pbs.twimg.com/media/F1BQnG9WwAQIfvA.jpg")</f>
        <v>https://pbs.twimg.com/media/F1BQnG9WwAQIfvA.jpg</v>
      </c>
      <c r="AW5" s="82" t="s">
        <v>11715</v>
      </c>
      <c r="AX5" s="82" t="s">
        <v>11715</v>
      </c>
      <c r="AY5" s="77"/>
      <c r="AZ5" s="82" t="s">
        <v>15984</v>
      </c>
      <c r="BA5" s="82" t="s">
        <v>15984</v>
      </c>
      <c r="BB5" s="82" t="s">
        <v>15984</v>
      </c>
      <c r="BC5" s="82" t="s">
        <v>11715</v>
      </c>
      <c r="BD5" s="82" t="s">
        <v>16098</v>
      </c>
      <c r="BE5" s="77"/>
      <c r="BF5" s="77"/>
      <c r="BG5" s="77"/>
      <c r="BH5" s="77"/>
      <c r="BI5" s="77"/>
    </row>
    <row r="6" spans="1:61" x14ac:dyDescent="0.25">
      <c r="A6" s="62" t="s">
        <v>224</v>
      </c>
      <c r="B6" s="62" t="s">
        <v>224</v>
      </c>
      <c r="C6" s="63"/>
      <c r="D6" s="64"/>
      <c r="E6" s="65"/>
      <c r="F6" s="66"/>
      <c r="G6" s="63"/>
      <c r="H6" s="67"/>
      <c r="I6" s="68"/>
      <c r="J6" s="68"/>
      <c r="K6" s="32"/>
      <c r="L6" s="75">
        <v>6</v>
      </c>
      <c r="M6" s="75"/>
      <c r="N6" s="70"/>
      <c r="O6" s="77" t="s">
        <v>179</v>
      </c>
      <c r="P6" s="79">
        <v>45142.834097222221</v>
      </c>
      <c r="Q6" s="77" t="s">
        <v>905</v>
      </c>
      <c r="R6" s="77">
        <v>0</v>
      </c>
      <c r="S6" s="77">
        <v>0</v>
      </c>
      <c r="T6" s="77">
        <v>1</v>
      </c>
      <c r="U6" s="77">
        <v>0</v>
      </c>
      <c r="V6" s="77">
        <v>174</v>
      </c>
      <c r="W6" s="82" t="s">
        <v>4809</v>
      </c>
      <c r="X6" s="77"/>
      <c r="Y6" s="77"/>
      <c r="Z6" s="77"/>
      <c r="AA6" s="77" t="s">
        <v>6643</v>
      </c>
      <c r="AB6" s="77" t="s">
        <v>7742</v>
      </c>
      <c r="AC6" s="82" t="s">
        <v>7749</v>
      </c>
      <c r="AD6" s="77" t="s">
        <v>7788</v>
      </c>
      <c r="AE6" s="80" t="str">
        <f>HYPERLINK("https://twitter.com/gorilainvest/status/1687554273981120512")</f>
        <v>https://twitter.com/gorilainvest/status/1687554273981120512</v>
      </c>
      <c r="AF6" s="79">
        <v>45142.834097222221</v>
      </c>
      <c r="AG6" s="85">
        <v>45142</v>
      </c>
      <c r="AH6" s="82" t="s">
        <v>7805</v>
      </c>
      <c r="AI6" s="77" t="b">
        <v>0</v>
      </c>
      <c r="AJ6" s="77"/>
      <c r="AK6" s="77"/>
      <c r="AL6" s="77"/>
      <c r="AM6" s="77"/>
      <c r="AN6" s="77"/>
      <c r="AO6" s="77"/>
      <c r="AP6" s="77"/>
      <c r="AQ6" s="77" t="s">
        <v>10615</v>
      </c>
      <c r="AR6" s="77"/>
      <c r="AS6" s="77"/>
      <c r="AT6" s="77"/>
      <c r="AU6" s="77"/>
      <c r="AV6" s="80" t="str">
        <f>HYPERLINK("https://pbs.twimg.com/media/F2tljoWWUAAoSX8.jpg")</f>
        <v>https://pbs.twimg.com/media/F2tljoWWUAAoSX8.jpg</v>
      </c>
      <c r="AW6" s="82" t="s">
        <v>11716</v>
      </c>
      <c r="AX6" s="82" t="s">
        <v>11716</v>
      </c>
      <c r="AY6" s="77"/>
      <c r="AZ6" s="82" t="s">
        <v>15984</v>
      </c>
      <c r="BA6" s="82" t="s">
        <v>15984</v>
      </c>
      <c r="BB6" s="82" t="s">
        <v>15984</v>
      </c>
      <c r="BC6" s="82" t="s">
        <v>11716</v>
      </c>
      <c r="BD6" s="82" t="s">
        <v>16098</v>
      </c>
      <c r="BE6" s="77"/>
      <c r="BF6" s="77"/>
      <c r="BG6" s="77"/>
      <c r="BH6" s="77"/>
      <c r="BI6" s="77"/>
    </row>
    <row r="7" spans="1:61" x14ac:dyDescent="0.25">
      <c r="A7" s="62" t="s">
        <v>224</v>
      </c>
      <c r="B7" s="62" t="s">
        <v>224</v>
      </c>
      <c r="C7" s="63"/>
      <c r="D7" s="64"/>
      <c r="E7" s="65"/>
      <c r="F7" s="66"/>
      <c r="G7" s="63"/>
      <c r="H7" s="67"/>
      <c r="I7" s="68"/>
      <c r="J7" s="68"/>
      <c r="K7" s="32"/>
      <c r="L7" s="75">
        <v>7</v>
      </c>
      <c r="M7" s="75"/>
      <c r="N7" s="70"/>
      <c r="O7" s="77" t="s">
        <v>179</v>
      </c>
      <c r="P7" s="79">
        <v>45149.761874999997</v>
      </c>
      <c r="Q7" s="77" t="s">
        <v>906</v>
      </c>
      <c r="R7" s="77">
        <v>0</v>
      </c>
      <c r="S7" s="77">
        <v>1</v>
      </c>
      <c r="T7" s="77">
        <v>1</v>
      </c>
      <c r="U7" s="77">
        <v>0</v>
      </c>
      <c r="V7" s="77">
        <v>229</v>
      </c>
      <c r="W7" s="82" t="s">
        <v>4809</v>
      </c>
      <c r="X7" s="77"/>
      <c r="Y7" s="77"/>
      <c r="Z7" s="77"/>
      <c r="AA7" s="77" t="s">
        <v>6644</v>
      </c>
      <c r="AB7" s="77" t="s">
        <v>7742</v>
      </c>
      <c r="AC7" s="82" t="s">
        <v>7749</v>
      </c>
      <c r="AD7" s="77" t="s">
        <v>7788</v>
      </c>
      <c r="AE7" s="80" t="str">
        <f>HYPERLINK("https://twitter.com/gorilainvest/status/1690064816868659200")</f>
        <v>https://twitter.com/gorilainvest/status/1690064816868659200</v>
      </c>
      <c r="AF7" s="79">
        <v>45149.761874999997</v>
      </c>
      <c r="AG7" s="85">
        <v>45149</v>
      </c>
      <c r="AH7" s="82" t="s">
        <v>7806</v>
      </c>
      <c r="AI7" s="77" t="b">
        <v>0</v>
      </c>
      <c r="AJ7" s="77"/>
      <c r="AK7" s="77"/>
      <c r="AL7" s="77"/>
      <c r="AM7" s="77"/>
      <c r="AN7" s="77"/>
      <c r="AO7" s="77"/>
      <c r="AP7" s="77"/>
      <c r="AQ7" s="77" t="s">
        <v>10616</v>
      </c>
      <c r="AR7" s="77"/>
      <c r="AS7" s="77"/>
      <c r="AT7" s="77"/>
      <c r="AU7" s="77"/>
      <c r="AV7" s="80" t="str">
        <f>HYPERLINK("https://pbs.twimg.com/media/F3RQ-joWsAA2UHg.jpg")</f>
        <v>https://pbs.twimg.com/media/F3RQ-joWsAA2UHg.jpg</v>
      </c>
      <c r="AW7" s="82" t="s">
        <v>11717</v>
      </c>
      <c r="AX7" s="82" t="s">
        <v>11717</v>
      </c>
      <c r="AY7" s="77"/>
      <c r="AZ7" s="82" t="s">
        <v>15984</v>
      </c>
      <c r="BA7" s="82" t="s">
        <v>15984</v>
      </c>
      <c r="BB7" s="82" t="s">
        <v>15984</v>
      </c>
      <c r="BC7" s="82" t="s">
        <v>11717</v>
      </c>
      <c r="BD7" s="82" t="s">
        <v>16098</v>
      </c>
      <c r="BE7" s="77"/>
      <c r="BF7" s="77"/>
      <c r="BG7" s="77"/>
      <c r="BH7" s="77"/>
      <c r="BI7" s="77"/>
    </row>
    <row r="8" spans="1:61" x14ac:dyDescent="0.25">
      <c r="A8" s="62" t="s">
        <v>224</v>
      </c>
      <c r="B8" s="62" t="s">
        <v>224</v>
      </c>
      <c r="C8" s="63"/>
      <c r="D8" s="64"/>
      <c r="E8" s="65"/>
      <c r="F8" s="66"/>
      <c r="G8" s="63"/>
      <c r="H8" s="67"/>
      <c r="I8" s="68"/>
      <c r="J8" s="68"/>
      <c r="K8" s="32"/>
      <c r="L8" s="75">
        <v>8</v>
      </c>
      <c r="M8" s="75"/>
      <c r="N8" s="70"/>
      <c r="O8" s="77" t="s">
        <v>179</v>
      </c>
      <c r="P8" s="79">
        <v>45148.675810185188</v>
      </c>
      <c r="Q8" s="77" t="s">
        <v>907</v>
      </c>
      <c r="R8" s="77">
        <v>0</v>
      </c>
      <c r="S8" s="77">
        <v>1</v>
      </c>
      <c r="T8" s="77">
        <v>1</v>
      </c>
      <c r="U8" s="77">
        <v>0</v>
      </c>
      <c r="V8" s="77">
        <v>186</v>
      </c>
      <c r="W8" s="82" t="s">
        <v>4810</v>
      </c>
      <c r="X8" s="77"/>
      <c r="Y8" s="77"/>
      <c r="Z8" s="77"/>
      <c r="AA8" s="77" t="s">
        <v>6645</v>
      </c>
      <c r="AB8" s="77" t="s">
        <v>7742</v>
      </c>
      <c r="AC8" s="82" t="s">
        <v>7750</v>
      </c>
      <c r="AD8" s="77" t="s">
        <v>7788</v>
      </c>
      <c r="AE8" s="80" t="str">
        <f>HYPERLINK("https://twitter.com/gorilainvest/status/1689671238996860928")</f>
        <v>https://twitter.com/gorilainvest/status/1689671238996860928</v>
      </c>
      <c r="AF8" s="79">
        <v>45148.675810185188</v>
      </c>
      <c r="AG8" s="85">
        <v>45148</v>
      </c>
      <c r="AH8" s="82" t="s">
        <v>7807</v>
      </c>
      <c r="AI8" s="77" t="b">
        <v>0</v>
      </c>
      <c r="AJ8" s="77"/>
      <c r="AK8" s="77"/>
      <c r="AL8" s="77"/>
      <c r="AM8" s="77"/>
      <c r="AN8" s="77"/>
      <c r="AO8" s="77"/>
      <c r="AP8" s="77"/>
      <c r="AQ8" s="77" t="s">
        <v>10617</v>
      </c>
      <c r="AR8" s="77"/>
      <c r="AS8" s="77"/>
      <c r="AT8" s="77"/>
      <c r="AU8" s="77"/>
      <c r="AV8" s="80" t="str">
        <f>HYPERLINK("https://pbs.twimg.com/media/F3LrCHcWoAAlTSC.jpg")</f>
        <v>https://pbs.twimg.com/media/F3LrCHcWoAAlTSC.jpg</v>
      </c>
      <c r="AW8" s="82" t="s">
        <v>11718</v>
      </c>
      <c r="AX8" s="82" t="s">
        <v>11718</v>
      </c>
      <c r="AY8" s="77"/>
      <c r="AZ8" s="82" t="s">
        <v>15984</v>
      </c>
      <c r="BA8" s="82" t="s">
        <v>15984</v>
      </c>
      <c r="BB8" s="82" t="s">
        <v>15984</v>
      </c>
      <c r="BC8" s="82" t="s">
        <v>11718</v>
      </c>
      <c r="BD8" s="82" t="s">
        <v>16098</v>
      </c>
      <c r="BE8" s="77"/>
      <c r="BF8" s="77"/>
      <c r="BG8" s="77"/>
      <c r="BH8" s="77"/>
      <c r="BI8" s="77"/>
    </row>
    <row r="9" spans="1:61" x14ac:dyDescent="0.25">
      <c r="A9" s="62" t="s">
        <v>224</v>
      </c>
      <c r="B9" s="62" t="s">
        <v>224</v>
      </c>
      <c r="C9" s="63"/>
      <c r="D9" s="64"/>
      <c r="E9" s="65"/>
      <c r="F9" s="66"/>
      <c r="G9" s="63"/>
      <c r="H9" s="67"/>
      <c r="I9" s="68"/>
      <c r="J9" s="68"/>
      <c r="K9" s="32"/>
      <c r="L9" s="75">
        <v>9</v>
      </c>
      <c r="M9" s="75"/>
      <c r="N9" s="70"/>
      <c r="O9" s="77" t="s">
        <v>179</v>
      </c>
      <c r="P9" s="79">
        <v>45163.846597222226</v>
      </c>
      <c r="Q9" s="77" t="s">
        <v>908</v>
      </c>
      <c r="R9" s="77">
        <v>0</v>
      </c>
      <c r="S9" s="77">
        <v>0</v>
      </c>
      <c r="T9" s="77">
        <v>1</v>
      </c>
      <c r="U9" s="77">
        <v>0</v>
      </c>
      <c r="V9" s="77">
        <v>266</v>
      </c>
      <c r="W9" s="82" t="s">
        <v>4809</v>
      </c>
      <c r="X9" s="77"/>
      <c r="Y9" s="77"/>
      <c r="Z9" s="77"/>
      <c r="AA9" s="77" t="s">
        <v>6646</v>
      </c>
      <c r="AB9" s="77" t="s">
        <v>7742</v>
      </c>
      <c r="AC9" s="82" t="s">
        <v>7749</v>
      </c>
      <c r="AD9" s="77" t="s">
        <v>7788</v>
      </c>
      <c r="AE9" s="80" t="str">
        <f>HYPERLINK("https://twitter.com/gorilainvest/status/1695168948096868617")</f>
        <v>https://twitter.com/gorilainvest/status/1695168948096868617</v>
      </c>
      <c r="AF9" s="79">
        <v>45163.846597222226</v>
      </c>
      <c r="AG9" s="85">
        <v>45163</v>
      </c>
      <c r="AH9" s="82" t="s">
        <v>7808</v>
      </c>
      <c r="AI9" s="77" t="b">
        <v>0</v>
      </c>
      <c r="AJ9" s="77"/>
      <c r="AK9" s="77"/>
      <c r="AL9" s="77"/>
      <c r="AM9" s="77"/>
      <c r="AN9" s="77"/>
      <c r="AO9" s="77"/>
      <c r="AP9" s="77"/>
      <c r="AQ9" s="77" t="s">
        <v>10618</v>
      </c>
      <c r="AR9" s="77"/>
      <c r="AS9" s="77"/>
      <c r="AT9" s="77"/>
      <c r="AU9" s="77"/>
      <c r="AV9" s="80" t="str">
        <f>HYPERLINK("https://pbs.twimg.com/media/F4ZzKG8XcAILEJF.jpg")</f>
        <v>https://pbs.twimg.com/media/F4ZzKG8XcAILEJF.jpg</v>
      </c>
      <c r="AW9" s="82" t="s">
        <v>11719</v>
      </c>
      <c r="AX9" s="82" t="s">
        <v>11719</v>
      </c>
      <c r="AY9" s="77"/>
      <c r="AZ9" s="82" t="s">
        <v>15984</v>
      </c>
      <c r="BA9" s="82" t="s">
        <v>15984</v>
      </c>
      <c r="BB9" s="82" t="s">
        <v>15984</v>
      </c>
      <c r="BC9" s="82" t="s">
        <v>11719</v>
      </c>
      <c r="BD9" s="82" t="s">
        <v>16098</v>
      </c>
      <c r="BE9" s="77"/>
      <c r="BF9" s="77"/>
      <c r="BG9" s="77"/>
      <c r="BH9" s="77"/>
      <c r="BI9" s="77"/>
    </row>
    <row r="10" spans="1:61" x14ac:dyDescent="0.25">
      <c r="A10" s="62" t="s">
        <v>224</v>
      </c>
      <c r="B10" s="62" t="s">
        <v>224</v>
      </c>
      <c r="C10" s="63"/>
      <c r="D10" s="64"/>
      <c r="E10" s="65"/>
      <c r="F10" s="66"/>
      <c r="G10" s="63"/>
      <c r="H10" s="67"/>
      <c r="I10" s="68"/>
      <c r="J10" s="68"/>
      <c r="K10" s="32"/>
      <c r="L10" s="75">
        <v>10</v>
      </c>
      <c r="M10" s="75"/>
      <c r="N10" s="70"/>
      <c r="O10" s="77" t="s">
        <v>179</v>
      </c>
      <c r="P10" s="79">
        <v>45156.854259259257</v>
      </c>
      <c r="Q10" s="77" t="s">
        <v>909</v>
      </c>
      <c r="R10" s="77">
        <v>0</v>
      </c>
      <c r="S10" s="77">
        <v>0</v>
      </c>
      <c r="T10" s="77">
        <v>1</v>
      </c>
      <c r="U10" s="77">
        <v>0</v>
      </c>
      <c r="V10" s="77">
        <v>217</v>
      </c>
      <c r="W10" s="82" t="s">
        <v>4809</v>
      </c>
      <c r="X10" s="77"/>
      <c r="Y10" s="77"/>
      <c r="Z10" s="77"/>
      <c r="AA10" s="77" t="s">
        <v>6647</v>
      </c>
      <c r="AB10" s="77" t="s">
        <v>7742</v>
      </c>
      <c r="AC10" s="82" t="s">
        <v>7749</v>
      </c>
      <c r="AD10" s="77" t="s">
        <v>7788</v>
      </c>
      <c r="AE10" s="80" t="str">
        <f>HYPERLINK("https://twitter.com/gorilainvest/status/1692635010761719965")</f>
        <v>https://twitter.com/gorilainvest/status/1692635010761719965</v>
      </c>
      <c r="AF10" s="79">
        <v>45156.854259259257</v>
      </c>
      <c r="AG10" s="85">
        <v>45156</v>
      </c>
      <c r="AH10" s="82" t="s">
        <v>7809</v>
      </c>
      <c r="AI10" s="77" t="b">
        <v>0</v>
      </c>
      <c r="AJ10" s="77"/>
      <c r="AK10" s="77"/>
      <c r="AL10" s="77"/>
      <c r="AM10" s="77"/>
      <c r="AN10" s="77"/>
      <c r="AO10" s="77"/>
      <c r="AP10" s="77"/>
      <c r="AQ10" s="77" t="s">
        <v>10619</v>
      </c>
      <c r="AR10" s="77"/>
      <c r="AS10" s="77"/>
      <c r="AT10" s="77"/>
      <c r="AU10" s="77"/>
      <c r="AV10" s="80" t="str">
        <f>HYPERLINK("https://pbs.twimg.com/media/F31yjiRXEAIDJLo.jpg")</f>
        <v>https://pbs.twimg.com/media/F31yjiRXEAIDJLo.jpg</v>
      </c>
      <c r="AW10" s="82" t="s">
        <v>11720</v>
      </c>
      <c r="AX10" s="82" t="s">
        <v>11720</v>
      </c>
      <c r="AY10" s="77"/>
      <c r="AZ10" s="82" t="s">
        <v>15984</v>
      </c>
      <c r="BA10" s="82" t="s">
        <v>15984</v>
      </c>
      <c r="BB10" s="82" t="s">
        <v>15984</v>
      </c>
      <c r="BC10" s="82" t="s">
        <v>11720</v>
      </c>
      <c r="BD10" s="82" t="s">
        <v>16098</v>
      </c>
      <c r="BE10" s="77"/>
      <c r="BF10" s="77"/>
      <c r="BG10" s="77"/>
      <c r="BH10" s="77"/>
      <c r="BI10" s="77"/>
    </row>
    <row r="11" spans="1:61" x14ac:dyDescent="0.25">
      <c r="A11" s="62" t="s">
        <v>224</v>
      </c>
      <c r="B11" s="62" t="s">
        <v>224</v>
      </c>
      <c r="C11" s="63"/>
      <c r="D11" s="64"/>
      <c r="E11" s="65"/>
      <c r="F11" s="66"/>
      <c r="G11" s="63"/>
      <c r="H11" s="67"/>
      <c r="I11" s="68"/>
      <c r="J11" s="68"/>
      <c r="K11" s="32"/>
      <c r="L11" s="75">
        <v>11</v>
      </c>
      <c r="M11" s="75"/>
      <c r="N11" s="70"/>
      <c r="O11" s="77" t="s">
        <v>179</v>
      </c>
      <c r="P11" s="79">
        <v>45182.661192129628</v>
      </c>
      <c r="Q11" s="77" t="s">
        <v>910</v>
      </c>
      <c r="R11" s="77">
        <v>0</v>
      </c>
      <c r="S11" s="77">
        <v>3</v>
      </c>
      <c r="T11" s="77">
        <v>1</v>
      </c>
      <c r="U11" s="77">
        <v>0</v>
      </c>
      <c r="V11" s="77">
        <v>189</v>
      </c>
      <c r="W11" s="82" t="s">
        <v>4811</v>
      </c>
      <c r="X11" s="77"/>
      <c r="Y11" s="77"/>
      <c r="Z11" s="77"/>
      <c r="AA11" s="77" t="s">
        <v>6648</v>
      </c>
      <c r="AB11" s="77" t="s">
        <v>7742</v>
      </c>
      <c r="AC11" s="82" t="s">
        <v>7750</v>
      </c>
      <c r="AD11" s="77" t="s">
        <v>7788</v>
      </c>
      <c r="AE11" s="80" t="str">
        <f>HYPERLINK("https://twitter.com/gorilainvest/status/1701987130426241459")</f>
        <v>https://twitter.com/gorilainvest/status/1701987130426241459</v>
      </c>
      <c r="AF11" s="79">
        <v>45182.661192129628</v>
      </c>
      <c r="AG11" s="85">
        <v>45182</v>
      </c>
      <c r="AH11" s="82" t="s">
        <v>7810</v>
      </c>
      <c r="AI11" s="77" t="b">
        <v>0</v>
      </c>
      <c r="AJ11" s="77"/>
      <c r="AK11" s="77"/>
      <c r="AL11" s="77"/>
      <c r="AM11" s="77"/>
      <c r="AN11" s="77"/>
      <c r="AO11" s="77"/>
      <c r="AP11" s="77"/>
      <c r="AQ11" s="77" t="s">
        <v>10620</v>
      </c>
      <c r="AR11" s="77"/>
      <c r="AS11" s="77"/>
      <c r="AT11" s="77"/>
      <c r="AU11" s="77"/>
      <c r="AV11" s="80" t="str">
        <f>HYPERLINK("https://pbs.twimg.com/media/F56sGcXWUAAxNru.jpg")</f>
        <v>https://pbs.twimg.com/media/F56sGcXWUAAxNru.jpg</v>
      </c>
      <c r="AW11" s="82" t="s">
        <v>11721</v>
      </c>
      <c r="AX11" s="82" t="s">
        <v>11721</v>
      </c>
      <c r="AY11" s="77"/>
      <c r="AZ11" s="82" t="s">
        <v>15984</v>
      </c>
      <c r="BA11" s="82" t="s">
        <v>15984</v>
      </c>
      <c r="BB11" s="82" t="s">
        <v>15984</v>
      </c>
      <c r="BC11" s="82" t="s">
        <v>11721</v>
      </c>
      <c r="BD11" s="82" t="s">
        <v>16098</v>
      </c>
      <c r="BE11" s="77"/>
      <c r="BF11" s="77"/>
      <c r="BG11" s="77"/>
      <c r="BH11" s="77"/>
      <c r="BI11" s="77"/>
    </row>
    <row r="12" spans="1:61" x14ac:dyDescent="0.25">
      <c r="A12" s="62" t="s">
        <v>224</v>
      </c>
      <c r="B12" s="62" t="s">
        <v>224</v>
      </c>
      <c r="C12" s="63"/>
      <c r="D12" s="64"/>
      <c r="E12" s="65"/>
      <c r="F12" s="66"/>
      <c r="G12" s="63"/>
      <c r="H12" s="67"/>
      <c r="I12" s="68"/>
      <c r="J12" s="68"/>
      <c r="K12" s="32"/>
      <c r="L12" s="75">
        <v>12</v>
      </c>
      <c r="M12" s="75"/>
      <c r="N12" s="70"/>
      <c r="O12" s="77" t="s">
        <v>179</v>
      </c>
      <c r="P12" s="79">
        <v>45170.831446759257</v>
      </c>
      <c r="Q12" s="77" t="s">
        <v>911</v>
      </c>
      <c r="R12" s="77">
        <v>0</v>
      </c>
      <c r="S12" s="77">
        <v>0</v>
      </c>
      <c r="T12" s="77">
        <v>1</v>
      </c>
      <c r="U12" s="77">
        <v>0</v>
      </c>
      <c r="V12" s="77">
        <v>212</v>
      </c>
      <c r="W12" s="82" t="s">
        <v>4809</v>
      </c>
      <c r="X12" s="77"/>
      <c r="Y12" s="77"/>
      <c r="Z12" s="77"/>
      <c r="AA12" s="77" t="s">
        <v>6649</v>
      </c>
      <c r="AB12" s="77" t="s">
        <v>7742</v>
      </c>
      <c r="AC12" s="82" t="s">
        <v>7750</v>
      </c>
      <c r="AD12" s="77" t="s">
        <v>7788</v>
      </c>
      <c r="AE12" s="80" t="str">
        <f>HYPERLINK("https://twitter.com/gorilainvest/status/1697700173932052921")</f>
        <v>https://twitter.com/gorilainvest/status/1697700173932052921</v>
      </c>
      <c r="AF12" s="79">
        <v>45170.831446759257</v>
      </c>
      <c r="AG12" s="85">
        <v>45170</v>
      </c>
      <c r="AH12" s="82" t="s">
        <v>7811</v>
      </c>
      <c r="AI12" s="77" t="b">
        <v>0</v>
      </c>
      <c r="AJ12" s="77"/>
      <c r="AK12" s="77"/>
      <c r="AL12" s="77"/>
      <c r="AM12" s="77"/>
      <c r="AN12" s="77"/>
      <c r="AO12" s="77"/>
      <c r="AP12" s="77"/>
      <c r="AQ12" s="77" t="s">
        <v>10621</v>
      </c>
      <c r="AR12" s="77"/>
      <c r="AS12" s="77"/>
      <c r="AT12" s="77"/>
      <c r="AU12" s="77"/>
      <c r="AV12" s="80" t="str">
        <f>HYPERLINK("https://pbs.twimg.com/media/F49xS9vXQAA18t5.jpg")</f>
        <v>https://pbs.twimg.com/media/F49xS9vXQAA18t5.jpg</v>
      </c>
      <c r="AW12" s="82" t="s">
        <v>11722</v>
      </c>
      <c r="AX12" s="82" t="s">
        <v>11722</v>
      </c>
      <c r="AY12" s="77"/>
      <c r="AZ12" s="82" t="s">
        <v>15984</v>
      </c>
      <c r="BA12" s="82" t="s">
        <v>15984</v>
      </c>
      <c r="BB12" s="82" t="s">
        <v>15984</v>
      </c>
      <c r="BC12" s="82" t="s">
        <v>11722</v>
      </c>
      <c r="BD12" s="82" t="s">
        <v>16098</v>
      </c>
      <c r="BE12" s="77"/>
      <c r="BF12" s="77"/>
      <c r="BG12" s="77"/>
      <c r="BH12" s="77"/>
      <c r="BI12" s="77"/>
    </row>
    <row r="13" spans="1:61" x14ac:dyDescent="0.25">
      <c r="A13" s="62" t="s">
        <v>224</v>
      </c>
      <c r="B13" s="62" t="s">
        <v>224</v>
      </c>
      <c r="C13" s="63"/>
      <c r="D13" s="64"/>
      <c r="E13" s="65"/>
      <c r="F13" s="66"/>
      <c r="G13" s="63"/>
      <c r="H13" s="67"/>
      <c r="I13" s="68"/>
      <c r="J13" s="68"/>
      <c r="K13" s="32"/>
      <c r="L13" s="75">
        <v>13</v>
      </c>
      <c r="M13" s="75"/>
      <c r="N13" s="70"/>
      <c r="O13" s="77" t="s">
        <v>179</v>
      </c>
      <c r="P13" s="79">
        <v>45135.763969907406</v>
      </c>
      <c r="Q13" s="77" t="s">
        <v>912</v>
      </c>
      <c r="R13" s="77">
        <v>0</v>
      </c>
      <c r="S13" s="77">
        <v>1</v>
      </c>
      <c r="T13" s="77">
        <v>1</v>
      </c>
      <c r="U13" s="77">
        <v>0</v>
      </c>
      <c r="V13" s="77">
        <v>293</v>
      </c>
      <c r="W13" s="82" t="s">
        <v>4809</v>
      </c>
      <c r="X13" s="77"/>
      <c r="Y13" s="77"/>
      <c r="Z13" s="77"/>
      <c r="AA13" s="77" t="s">
        <v>6650</v>
      </c>
      <c r="AB13" s="77" t="s">
        <v>7742</v>
      </c>
      <c r="AC13" s="82" t="s">
        <v>7749</v>
      </c>
      <c r="AD13" s="77" t="s">
        <v>7788</v>
      </c>
      <c r="AE13" s="80" t="str">
        <f>HYPERLINK("https://twitter.com/gorilainvest/status/1684992142840623119")</f>
        <v>https://twitter.com/gorilainvest/status/1684992142840623119</v>
      </c>
      <c r="AF13" s="79">
        <v>45135.763969907406</v>
      </c>
      <c r="AG13" s="85">
        <v>45135</v>
      </c>
      <c r="AH13" s="82" t="s">
        <v>7812</v>
      </c>
      <c r="AI13" s="77" t="b">
        <v>0</v>
      </c>
      <c r="AJ13" s="77"/>
      <c r="AK13" s="77"/>
      <c r="AL13" s="77"/>
      <c r="AM13" s="77"/>
      <c r="AN13" s="77"/>
      <c r="AO13" s="77"/>
      <c r="AP13" s="77"/>
      <c r="AQ13" s="77" t="s">
        <v>10622</v>
      </c>
      <c r="AR13" s="77"/>
      <c r="AS13" s="77"/>
      <c r="AT13" s="77"/>
      <c r="AU13" s="77"/>
      <c r="AV13" s="80" t="str">
        <f>HYPERLINK("https://pbs.twimg.com/media/F2JLaEmXwAA0PKO.jpg")</f>
        <v>https://pbs.twimg.com/media/F2JLaEmXwAA0PKO.jpg</v>
      </c>
      <c r="AW13" s="82" t="s">
        <v>11723</v>
      </c>
      <c r="AX13" s="82" t="s">
        <v>11723</v>
      </c>
      <c r="AY13" s="77"/>
      <c r="AZ13" s="82" t="s">
        <v>15984</v>
      </c>
      <c r="BA13" s="82" t="s">
        <v>15984</v>
      </c>
      <c r="BB13" s="82" t="s">
        <v>15984</v>
      </c>
      <c r="BC13" s="82" t="s">
        <v>11723</v>
      </c>
      <c r="BD13" s="82" t="s">
        <v>16098</v>
      </c>
      <c r="BE13" s="77"/>
      <c r="BF13" s="77"/>
      <c r="BG13" s="77"/>
      <c r="BH13" s="77"/>
      <c r="BI13" s="77"/>
    </row>
    <row r="14" spans="1:61" x14ac:dyDescent="0.25">
      <c r="A14" s="62" t="s">
        <v>224</v>
      </c>
      <c r="B14" s="62" t="s">
        <v>224</v>
      </c>
      <c r="C14" s="63"/>
      <c r="D14" s="64"/>
      <c r="E14" s="65"/>
      <c r="F14" s="66"/>
      <c r="G14" s="63"/>
      <c r="H14" s="67"/>
      <c r="I14" s="68"/>
      <c r="J14" s="68"/>
      <c r="K14" s="32"/>
      <c r="L14" s="75">
        <v>14</v>
      </c>
      <c r="M14" s="75"/>
      <c r="N14" s="70"/>
      <c r="O14" s="77" t="s">
        <v>179</v>
      </c>
      <c r="P14" s="79">
        <v>45184.72929398148</v>
      </c>
      <c r="Q14" s="77" t="s">
        <v>913</v>
      </c>
      <c r="R14" s="77">
        <v>0</v>
      </c>
      <c r="S14" s="77">
        <v>1</v>
      </c>
      <c r="T14" s="77">
        <v>1</v>
      </c>
      <c r="U14" s="77">
        <v>0</v>
      </c>
      <c r="V14" s="77">
        <v>206</v>
      </c>
      <c r="W14" s="82" t="s">
        <v>4809</v>
      </c>
      <c r="X14" s="77"/>
      <c r="Y14" s="77"/>
      <c r="Z14" s="77"/>
      <c r="AA14" s="77" t="s">
        <v>6651</v>
      </c>
      <c r="AB14" s="77" t="s">
        <v>7742</v>
      </c>
      <c r="AC14" s="82" t="s">
        <v>7749</v>
      </c>
      <c r="AD14" s="77" t="s">
        <v>7788</v>
      </c>
      <c r="AE14" s="80" t="str">
        <f>HYPERLINK("https://twitter.com/gorilainvest/status/1702736581604319621")</f>
        <v>https://twitter.com/gorilainvest/status/1702736581604319621</v>
      </c>
      <c r="AF14" s="79">
        <v>45184.72929398148</v>
      </c>
      <c r="AG14" s="85">
        <v>45184</v>
      </c>
      <c r="AH14" s="82" t="s">
        <v>7813</v>
      </c>
      <c r="AI14" s="77" t="b">
        <v>0</v>
      </c>
      <c r="AJ14" s="77"/>
      <c r="AK14" s="77"/>
      <c r="AL14" s="77"/>
      <c r="AM14" s="77"/>
      <c r="AN14" s="77"/>
      <c r="AO14" s="77"/>
      <c r="AP14" s="77"/>
      <c r="AQ14" s="77" t="s">
        <v>10623</v>
      </c>
      <c r="AR14" s="77"/>
      <c r="AS14" s="77"/>
      <c r="AT14" s="77"/>
      <c r="AU14" s="77"/>
      <c r="AV14" s="80" t="str">
        <f>HYPERLINK("https://pbs.twimg.com/media/F6FV4VlWAAAkwZU.jpg")</f>
        <v>https://pbs.twimg.com/media/F6FV4VlWAAAkwZU.jpg</v>
      </c>
      <c r="AW14" s="82" t="s">
        <v>11724</v>
      </c>
      <c r="AX14" s="82" t="s">
        <v>11724</v>
      </c>
      <c r="AY14" s="77"/>
      <c r="AZ14" s="82" t="s">
        <v>15984</v>
      </c>
      <c r="BA14" s="82" t="s">
        <v>15984</v>
      </c>
      <c r="BB14" s="82" t="s">
        <v>15984</v>
      </c>
      <c r="BC14" s="82" t="s">
        <v>11724</v>
      </c>
      <c r="BD14" s="82" t="s">
        <v>16098</v>
      </c>
      <c r="BE14" s="77"/>
      <c r="BF14" s="77"/>
      <c r="BG14" s="77"/>
      <c r="BH14" s="77"/>
      <c r="BI14" s="77"/>
    </row>
    <row r="15" spans="1:61" x14ac:dyDescent="0.25">
      <c r="A15" s="62" t="s">
        <v>224</v>
      </c>
      <c r="B15" s="62" t="s">
        <v>224</v>
      </c>
      <c r="C15" s="63"/>
      <c r="D15" s="64"/>
      <c r="E15" s="65"/>
      <c r="F15" s="66"/>
      <c r="G15" s="63"/>
      <c r="H15" s="67"/>
      <c r="I15" s="68"/>
      <c r="J15" s="68"/>
      <c r="K15" s="32"/>
      <c r="L15" s="75">
        <v>15</v>
      </c>
      <c r="M15" s="75"/>
      <c r="N15" s="70"/>
      <c r="O15" s="77" t="s">
        <v>179</v>
      </c>
      <c r="P15" s="79">
        <v>45196.738379629627</v>
      </c>
      <c r="Q15" s="77" t="s">
        <v>914</v>
      </c>
      <c r="R15" s="77">
        <v>0</v>
      </c>
      <c r="S15" s="77">
        <v>0</v>
      </c>
      <c r="T15" s="77">
        <v>0</v>
      </c>
      <c r="U15" s="77">
        <v>0</v>
      </c>
      <c r="V15" s="77">
        <v>129</v>
      </c>
      <c r="W15" s="82" t="s">
        <v>4812</v>
      </c>
      <c r="X15" s="77"/>
      <c r="Y15" s="77"/>
      <c r="Z15" s="77"/>
      <c r="AA15" s="77" t="s">
        <v>6652</v>
      </c>
      <c r="AB15" s="77" t="s">
        <v>7743</v>
      </c>
      <c r="AC15" s="82" t="s">
        <v>7749</v>
      </c>
      <c r="AD15" s="77" t="s">
        <v>7788</v>
      </c>
      <c r="AE15" s="80" t="str">
        <f>HYPERLINK("https://twitter.com/gorilainvest/status/1707088530382442728")</f>
        <v>https://twitter.com/gorilainvest/status/1707088530382442728</v>
      </c>
      <c r="AF15" s="79">
        <v>45196.738379629627</v>
      </c>
      <c r="AG15" s="85">
        <v>45196</v>
      </c>
      <c r="AH15" s="82" t="s">
        <v>7814</v>
      </c>
      <c r="AI15" s="77" t="b">
        <v>0</v>
      </c>
      <c r="AJ15" s="77"/>
      <c r="AK15" s="77"/>
      <c r="AL15" s="77"/>
      <c r="AM15" s="77"/>
      <c r="AN15" s="77"/>
      <c r="AO15" s="77"/>
      <c r="AP15" s="77"/>
      <c r="AQ15" s="77" t="s">
        <v>10624</v>
      </c>
      <c r="AR15" s="77">
        <v>52385</v>
      </c>
      <c r="AS15" s="77"/>
      <c r="AT15" s="77"/>
      <c r="AU15" s="77"/>
      <c r="AV15" s="80" t="str">
        <f>HYPERLINK("https://pbs.twimg.com/ext_tw_video_thumb/1707088467098804225/pu/img/WxYVESabLSh4Qcso.jpg")</f>
        <v>https://pbs.twimg.com/ext_tw_video_thumb/1707088467098804225/pu/img/WxYVESabLSh4Qcso.jpg</v>
      </c>
      <c r="AW15" s="82" t="s">
        <v>11725</v>
      </c>
      <c r="AX15" s="82" t="s">
        <v>11725</v>
      </c>
      <c r="AY15" s="77"/>
      <c r="AZ15" s="82" t="s">
        <v>15984</v>
      </c>
      <c r="BA15" s="82" t="s">
        <v>15984</v>
      </c>
      <c r="BB15" s="82" t="s">
        <v>15984</v>
      </c>
      <c r="BC15" s="82" t="s">
        <v>11725</v>
      </c>
      <c r="BD15" s="82" t="s">
        <v>16098</v>
      </c>
      <c r="BE15" s="77"/>
      <c r="BF15" s="77"/>
      <c r="BG15" s="77"/>
      <c r="BH15" s="77"/>
      <c r="BI15" s="77"/>
    </row>
    <row r="16" spans="1:61" x14ac:dyDescent="0.25">
      <c r="A16" s="62" t="s">
        <v>224</v>
      </c>
      <c r="B16" s="62" t="s">
        <v>224</v>
      </c>
      <c r="C16" s="63"/>
      <c r="D16" s="64"/>
      <c r="E16" s="65"/>
      <c r="F16" s="66"/>
      <c r="G16" s="63"/>
      <c r="H16" s="67"/>
      <c r="I16" s="68"/>
      <c r="J16" s="68"/>
      <c r="K16" s="32"/>
      <c r="L16" s="75">
        <v>16</v>
      </c>
      <c r="M16" s="75"/>
      <c r="N16" s="70"/>
      <c r="O16" s="77" t="s">
        <v>179</v>
      </c>
      <c r="P16" s="79">
        <v>45191.876886574071</v>
      </c>
      <c r="Q16" s="77" t="s">
        <v>915</v>
      </c>
      <c r="R16" s="77">
        <v>0</v>
      </c>
      <c r="S16" s="77">
        <v>1</v>
      </c>
      <c r="T16" s="77">
        <v>1</v>
      </c>
      <c r="U16" s="77">
        <v>0</v>
      </c>
      <c r="V16" s="77">
        <v>192</v>
      </c>
      <c r="W16" s="82" t="s">
        <v>4809</v>
      </c>
      <c r="X16" s="77"/>
      <c r="Y16" s="77"/>
      <c r="Z16" s="77"/>
      <c r="AA16" s="77" t="s">
        <v>6653</v>
      </c>
      <c r="AB16" s="77" t="s">
        <v>7742</v>
      </c>
      <c r="AC16" s="82" t="s">
        <v>7750</v>
      </c>
      <c r="AD16" s="77" t="s">
        <v>7788</v>
      </c>
      <c r="AE16" s="80" t="str">
        <f>HYPERLINK("https://twitter.com/gorilainvest/status/1705326785171263868")</f>
        <v>https://twitter.com/gorilainvest/status/1705326785171263868</v>
      </c>
      <c r="AF16" s="79">
        <v>45191.876886574071</v>
      </c>
      <c r="AG16" s="85">
        <v>45191</v>
      </c>
      <c r="AH16" s="82" t="s">
        <v>7815</v>
      </c>
      <c r="AI16" s="77" t="b">
        <v>0</v>
      </c>
      <c r="AJ16" s="77"/>
      <c r="AK16" s="77"/>
      <c r="AL16" s="77"/>
      <c r="AM16" s="77"/>
      <c r="AN16" s="77"/>
      <c r="AO16" s="77"/>
      <c r="AP16" s="77"/>
      <c r="AQ16" s="77" t="s">
        <v>10625</v>
      </c>
      <c r="AR16" s="77"/>
      <c r="AS16" s="77"/>
      <c r="AT16" s="77"/>
      <c r="AU16" s="77"/>
      <c r="AV16" s="80" t="str">
        <f>HYPERLINK("https://pbs.twimg.com/media/F6qJqiOWgAIqW4p.jpg")</f>
        <v>https://pbs.twimg.com/media/F6qJqiOWgAIqW4p.jpg</v>
      </c>
      <c r="AW16" s="82" t="s">
        <v>11726</v>
      </c>
      <c r="AX16" s="82" t="s">
        <v>11726</v>
      </c>
      <c r="AY16" s="77"/>
      <c r="AZ16" s="82" t="s">
        <v>15984</v>
      </c>
      <c r="BA16" s="82" t="s">
        <v>15984</v>
      </c>
      <c r="BB16" s="82" t="s">
        <v>15984</v>
      </c>
      <c r="BC16" s="82" t="s">
        <v>11726</v>
      </c>
      <c r="BD16" s="82" t="s">
        <v>16098</v>
      </c>
      <c r="BE16" s="77"/>
      <c r="BF16" s="77"/>
      <c r="BG16" s="77"/>
      <c r="BH16" s="77"/>
      <c r="BI16" s="77"/>
    </row>
    <row r="17" spans="1:61" x14ac:dyDescent="0.25">
      <c r="A17" s="62" t="s">
        <v>225</v>
      </c>
      <c r="B17" s="62" t="s">
        <v>225</v>
      </c>
      <c r="C17" s="63"/>
      <c r="D17" s="64"/>
      <c r="E17" s="65"/>
      <c r="F17" s="66"/>
      <c r="G17" s="63"/>
      <c r="H17" s="67"/>
      <c r="I17" s="68"/>
      <c r="J17" s="68"/>
      <c r="K17" s="32"/>
      <c r="L17" s="75">
        <v>17</v>
      </c>
      <c r="M17" s="75"/>
      <c r="N17" s="70"/>
      <c r="O17" s="77" t="s">
        <v>179</v>
      </c>
      <c r="P17" s="79">
        <v>45146.592303240737</v>
      </c>
      <c r="Q17" s="77" t="s">
        <v>916</v>
      </c>
      <c r="R17" s="77">
        <v>0</v>
      </c>
      <c r="S17" s="77">
        <v>0</v>
      </c>
      <c r="T17" s="77">
        <v>0</v>
      </c>
      <c r="U17" s="77">
        <v>0</v>
      </c>
      <c r="V17" s="77">
        <v>82</v>
      </c>
      <c r="W17" s="82" t="s">
        <v>4813</v>
      </c>
      <c r="X17" s="80" t="str">
        <f>HYPERLINK("https://www.instagram.com/reel/Cvr6EsHOqmr/?igshid=MTc4MmM1YmI2Ng==")</f>
        <v>https://www.instagram.com/reel/Cvr6EsHOqmr/?igshid=MTc4MmM1YmI2Ng==</v>
      </c>
      <c r="Y17" s="77" t="s">
        <v>6469</v>
      </c>
      <c r="Z17" s="77"/>
      <c r="AA17" s="77"/>
      <c r="AB17" s="77"/>
      <c r="AC17" s="82" t="s">
        <v>7751</v>
      </c>
      <c r="AD17" s="77" t="s">
        <v>7788</v>
      </c>
      <c r="AE17" s="80" t="str">
        <f>HYPERLINK("https://twitter.com/iberezanski/status/1688916201152606211")</f>
        <v>https://twitter.com/iberezanski/status/1688916201152606211</v>
      </c>
      <c r="AF17" s="79">
        <v>45146.592303240737</v>
      </c>
      <c r="AG17" s="85">
        <v>45146</v>
      </c>
      <c r="AH17" s="82" t="s">
        <v>7816</v>
      </c>
      <c r="AI17" s="77" t="b">
        <v>0</v>
      </c>
      <c r="AJ17" s="77"/>
      <c r="AK17" s="77"/>
      <c r="AL17" s="77"/>
      <c r="AM17" s="77"/>
      <c r="AN17" s="77"/>
      <c r="AO17" s="77"/>
      <c r="AP17" s="77"/>
      <c r="AQ17" s="77"/>
      <c r="AR17" s="77"/>
      <c r="AS17" s="77"/>
      <c r="AT17" s="77"/>
      <c r="AU17" s="77"/>
      <c r="AV17" s="80" t="str">
        <f>HYPERLINK("https://pbs.twimg.com/profile_images/1667326263093067777/r3PmTWr2_normal.jpg")</f>
        <v>https://pbs.twimg.com/profile_images/1667326263093067777/r3PmTWr2_normal.jpg</v>
      </c>
      <c r="AW17" s="82" t="s">
        <v>11727</v>
      </c>
      <c r="AX17" s="82" t="s">
        <v>11727</v>
      </c>
      <c r="AY17" s="77"/>
      <c r="AZ17" s="82" t="s">
        <v>15984</v>
      </c>
      <c r="BA17" s="82" t="s">
        <v>15984</v>
      </c>
      <c r="BB17" s="82" t="s">
        <v>15984</v>
      </c>
      <c r="BC17" s="82" t="s">
        <v>11727</v>
      </c>
      <c r="BD17" s="82" t="s">
        <v>16099</v>
      </c>
      <c r="BE17" s="77"/>
      <c r="BF17" s="77"/>
      <c r="BG17" s="77"/>
      <c r="BH17" s="77"/>
      <c r="BI17" s="77"/>
    </row>
    <row r="18" spans="1:61" x14ac:dyDescent="0.25">
      <c r="A18" s="62" t="s">
        <v>226</v>
      </c>
      <c r="B18" s="62" t="s">
        <v>601</v>
      </c>
      <c r="C18" s="63"/>
      <c r="D18" s="64"/>
      <c r="E18" s="65"/>
      <c r="F18" s="66"/>
      <c r="G18" s="63"/>
      <c r="H18" s="67"/>
      <c r="I18" s="68"/>
      <c r="J18" s="68"/>
      <c r="K18" s="32"/>
      <c r="L18" s="75">
        <v>18</v>
      </c>
      <c r="M18" s="75"/>
      <c r="N18" s="70"/>
      <c r="O18" s="77" t="s">
        <v>896</v>
      </c>
      <c r="P18" s="79">
        <v>45195.742986111109</v>
      </c>
      <c r="Q18" s="77" t="s">
        <v>917</v>
      </c>
      <c r="R18" s="77">
        <v>0</v>
      </c>
      <c r="S18" s="77">
        <v>0</v>
      </c>
      <c r="T18" s="77">
        <v>0</v>
      </c>
      <c r="U18" s="77">
        <v>0</v>
      </c>
      <c r="V18" s="77">
        <v>10</v>
      </c>
      <c r="W18" s="82" t="s">
        <v>4814</v>
      </c>
      <c r="X18" s="77"/>
      <c r="Y18" s="77"/>
      <c r="Z18" s="77"/>
      <c r="AA18" s="77"/>
      <c r="AB18" s="77"/>
      <c r="AC18" s="82" t="s">
        <v>7751</v>
      </c>
      <c r="AD18" s="77" t="s">
        <v>7788</v>
      </c>
      <c r="AE18" s="80" t="str">
        <f>HYPERLINK("https://twitter.com/guigrochanke/status/1706727813985059261")</f>
        <v>https://twitter.com/guigrochanke/status/1706727813985059261</v>
      </c>
      <c r="AF18" s="79">
        <v>45195.742986111109</v>
      </c>
      <c r="AG18" s="85">
        <v>45195</v>
      </c>
      <c r="AH18" s="82" t="s">
        <v>7817</v>
      </c>
      <c r="AI18" s="77"/>
      <c r="AJ18" s="77"/>
      <c r="AK18" s="77"/>
      <c r="AL18" s="77"/>
      <c r="AM18" s="77"/>
      <c r="AN18" s="77"/>
      <c r="AO18" s="77"/>
      <c r="AP18" s="77"/>
      <c r="AQ18" s="77"/>
      <c r="AR18" s="77"/>
      <c r="AS18" s="77"/>
      <c r="AT18" s="77"/>
      <c r="AU18" s="77"/>
      <c r="AV18" s="80" t="str">
        <f>HYPERLINK("https://pbs.twimg.com/profile_images/1682039671407398913/wN6YU-tx_normal.jpg")</f>
        <v>https://pbs.twimg.com/profile_images/1682039671407398913/wN6YU-tx_normal.jpg</v>
      </c>
      <c r="AW18" s="82" t="s">
        <v>11728</v>
      </c>
      <c r="AX18" s="82" t="s">
        <v>11728</v>
      </c>
      <c r="AY18" s="77"/>
      <c r="AZ18" s="82" t="s">
        <v>15984</v>
      </c>
      <c r="BA18" s="82" t="s">
        <v>12888</v>
      </c>
      <c r="BB18" s="82" t="s">
        <v>15984</v>
      </c>
      <c r="BC18" s="82" t="s">
        <v>12888</v>
      </c>
      <c r="BD18" s="82" t="s">
        <v>16100</v>
      </c>
      <c r="BE18" s="77"/>
      <c r="BF18" s="77"/>
      <c r="BG18" s="77"/>
      <c r="BH18" s="77"/>
      <c r="BI18" s="77"/>
    </row>
    <row r="19" spans="1:61" x14ac:dyDescent="0.25">
      <c r="A19" s="62" t="s">
        <v>227</v>
      </c>
      <c r="B19" s="62" t="s">
        <v>227</v>
      </c>
      <c r="C19" s="63"/>
      <c r="D19" s="64"/>
      <c r="E19" s="65"/>
      <c r="F19" s="66"/>
      <c r="G19" s="63"/>
      <c r="H19" s="67"/>
      <c r="I19" s="68"/>
      <c r="J19" s="68"/>
      <c r="K19" s="32"/>
      <c r="L19" s="75">
        <v>19</v>
      </c>
      <c r="M19" s="75"/>
      <c r="N19" s="70"/>
      <c r="O19" s="77" t="s">
        <v>179</v>
      </c>
      <c r="P19" s="79">
        <v>45187.390127314815</v>
      </c>
      <c r="Q19" s="77" t="s">
        <v>918</v>
      </c>
      <c r="R19" s="77">
        <v>0</v>
      </c>
      <c r="S19" s="77">
        <v>0</v>
      </c>
      <c r="T19" s="77">
        <v>0</v>
      </c>
      <c r="U19" s="77">
        <v>0</v>
      </c>
      <c r="V19" s="77">
        <v>11</v>
      </c>
      <c r="W19" s="82" t="s">
        <v>4815</v>
      </c>
      <c r="X19" s="77"/>
      <c r="Y19" s="77"/>
      <c r="Z19" s="77"/>
      <c r="AA19" s="77"/>
      <c r="AB19" s="77"/>
      <c r="AC19" s="82" t="s">
        <v>7750</v>
      </c>
      <c r="AD19" s="77" t="s">
        <v>7789</v>
      </c>
      <c r="AE19" s="80" t="str">
        <f>HYPERLINK("https://twitter.com/wallstsuccess22/status/1703700839192219917")</f>
        <v>https://twitter.com/wallstsuccess22/status/1703700839192219917</v>
      </c>
      <c r="AF19" s="79">
        <v>45187.390127314815</v>
      </c>
      <c r="AG19" s="85">
        <v>45187</v>
      </c>
      <c r="AH19" s="82" t="s">
        <v>7818</v>
      </c>
      <c r="AI19" s="77"/>
      <c r="AJ19" s="77"/>
      <c r="AK19" s="77"/>
      <c r="AL19" s="77"/>
      <c r="AM19" s="77"/>
      <c r="AN19" s="77"/>
      <c r="AO19" s="77"/>
      <c r="AP19" s="77"/>
      <c r="AQ19" s="77"/>
      <c r="AR19" s="77"/>
      <c r="AS19" s="77"/>
      <c r="AT19" s="77"/>
      <c r="AU19" s="77"/>
      <c r="AV19" s="80" t="str">
        <f>HYPERLINK("https://pbs.twimg.com/profile_images/1699843870110920704/galmcRb1_normal.jpg")</f>
        <v>https://pbs.twimg.com/profile_images/1699843870110920704/galmcRb1_normal.jpg</v>
      </c>
      <c r="AW19" s="82" t="s">
        <v>11729</v>
      </c>
      <c r="AX19" s="82" t="s">
        <v>11729</v>
      </c>
      <c r="AY19" s="77"/>
      <c r="AZ19" s="82" t="s">
        <v>15984</v>
      </c>
      <c r="BA19" s="82" t="s">
        <v>15984</v>
      </c>
      <c r="BB19" s="82" t="s">
        <v>15984</v>
      </c>
      <c r="BC19" s="82" t="s">
        <v>11729</v>
      </c>
      <c r="BD19" s="82" t="s">
        <v>16101</v>
      </c>
      <c r="BE19" s="77"/>
      <c r="BF19" s="77"/>
      <c r="BG19" s="77"/>
      <c r="BH19" s="77"/>
      <c r="BI19" s="77"/>
    </row>
    <row r="20" spans="1:61" x14ac:dyDescent="0.25">
      <c r="A20" s="62" t="s">
        <v>228</v>
      </c>
      <c r="B20" s="62" t="s">
        <v>228</v>
      </c>
      <c r="C20" s="63"/>
      <c r="D20" s="64"/>
      <c r="E20" s="65"/>
      <c r="F20" s="66"/>
      <c r="G20" s="63"/>
      <c r="H20" s="67"/>
      <c r="I20" s="68"/>
      <c r="J20" s="68"/>
      <c r="K20" s="32"/>
      <c r="L20" s="75">
        <v>20</v>
      </c>
      <c r="M20" s="75"/>
      <c r="N20" s="70"/>
      <c r="O20" s="77" t="s">
        <v>179</v>
      </c>
      <c r="P20" s="79">
        <v>45118.784398148149</v>
      </c>
      <c r="Q20" s="77" t="s">
        <v>919</v>
      </c>
      <c r="R20" s="77">
        <v>0</v>
      </c>
      <c r="S20" s="77">
        <v>0</v>
      </c>
      <c r="T20" s="77">
        <v>1</v>
      </c>
      <c r="U20" s="77">
        <v>0</v>
      </c>
      <c r="V20" s="77">
        <v>15</v>
      </c>
      <c r="W20" s="82" t="s">
        <v>4816</v>
      </c>
      <c r="X20" s="80" t="str">
        <f>HYPERLINK("https://cryptoid.com.br/criptografia-identificacao-digital-id-biometria/bancos-sao-responsaveis-por-fraudes-contra-clientes/")</f>
        <v>https://cryptoid.com.br/criptografia-identificacao-digital-id-biometria/bancos-sao-responsaveis-por-fraudes-contra-clientes/</v>
      </c>
      <c r="Y20" s="77" t="s">
        <v>6470</v>
      </c>
      <c r="Z20" s="77"/>
      <c r="AA20" s="77"/>
      <c r="AB20" s="77"/>
      <c r="AC20" s="82" t="s">
        <v>7750</v>
      </c>
      <c r="AD20" s="77" t="s">
        <v>7788</v>
      </c>
      <c r="AE20" s="80" t="str">
        <f>HYPERLINK("https://twitter.com/portalcryptoid/status/1678838953519063041")</f>
        <v>https://twitter.com/portalcryptoid/status/1678838953519063041</v>
      </c>
      <c r="AF20" s="79">
        <v>45118.784398148149</v>
      </c>
      <c r="AG20" s="85">
        <v>45118</v>
      </c>
      <c r="AH20" s="82" t="s">
        <v>7819</v>
      </c>
      <c r="AI20" s="77" t="b">
        <v>0</v>
      </c>
      <c r="AJ20" s="77"/>
      <c r="AK20" s="77"/>
      <c r="AL20" s="77"/>
      <c r="AM20" s="77"/>
      <c r="AN20" s="77"/>
      <c r="AO20" s="77"/>
      <c r="AP20" s="77"/>
      <c r="AQ20" s="77"/>
      <c r="AR20" s="77"/>
      <c r="AS20" s="77"/>
      <c r="AT20" s="77"/>
      <c r="AU20" s="77"/>
      <c r="AV20" s="80" t="str">
        <f>HYPERLINK("https://pbs.twimg.com/profile_images/1184825992810024960/BeoJylTY_normal.jpg")</f>
        <v>https://pbs.twimg.com/profile_images/1184825992810024960/BeoJylTY_normal.jpg</v>
      </c>
      <c r="AW20" s="82" t="s">
        <v>11730</v>
      </c>
      <c r="AX20" s="82" t="s">
        <v>11730</v>
      </c>
      <c r="AY20" s="77"/>
      <c r="AZ20" s="82" t="s">
        <v>15984</v>
      </c>
      <c r="BA20" s="82" t="s">
        <v>15984</v>
      </c>
      <c r="BB20" s="82" t="s">
        <v>15984</v>
      </c>
      <c r="BC20" s="82" t="s">
        <v>11730</v>
      </c>
      <c r="BD20" s="77">
        <v>2613462672</v>
      </c>
      <c r="BE20" s="77"/>
      <c r="BF20" s="77"/>
      <c r="BG20" s="77"/>
      <c r="BH20" s="77"/>
      <c r="BI20" s="77"/>
    </row>
    <row r="21" spans="1:61" x14ac:dyDescent="0.25">
      <c r="A21" s="62" t="s">
        <v>228</v>
      </c>
      <c r="B21" s="62" t="s">
        <v>228</v>
      </c>
      <c r="C21" s="63"/>
      <c r="D21" s="64"/>
      <c r="E21" s="65"/>
      <c r="F21" s="66"/>
      <c r="G21" s="63"/>
      <c r="H21" s="67"/>
      <c r="I21" s="68"/>
      <c r="J21" s="68"/>
      <c r="K21" s="32"/>
      <c r="L21" s="75">
        <v>21</v>
      </c>
      <c r="M21" s="75"/>
      <c r="N21" s="70"/>
      <c r="O21" s="77" t="s">
        <v>179</v>
      </c>
      <c r="P21" s="79">
        <v>45120.599039351851</v>
      </c>
      <c r="Q21" s="77" t="s">
        <v>920</v>
      </c>
      <c r="R21" s="77">
        <v>0</v>
      </c>
      <c r="S21" s="77">
        <v>0</v>
      </c>
      <c r="T21" s="77">
        <v>1</v>
      </c>
      <c r="U21" s="77">
        <v>0</v>
      </c>
      <c r="V21" s="77">
        <v>18</v>
      </c>
      <c r="W21" s="82" t="s">
        <v>4817</v>
      </c>
      <c r="X21" s="80" t="str">
        <f>HYPERLINK("https://cryptoid.com.br/identidade-digital-destaques/neobanks-e-open-finance-avancam-em-tecnologia-bancaria-para-pequenas-empresas/")</f>
        <v>https://cryptoid.com.br/identidade-digital-destaques/neobanks-e-open-finance-avancam-em-tecnologia-bancaria-para-pequenas-empresas/</v>
      </c>
      <c r="Y21" s="77" t="s">
        <v>6470</v>
      </c>
      <c r="Z21" s="77"/>
      <c r="AA21" s="77"/>
      <c r="AB21" s="77"/>
      <c r="AC21" s="82" t="s">
        <v>7750</v>
      </c>
      <c r="AD21" s="77" t="s">
        <v>7788</v>
      </c>
      <c r="AE21" s="80" t="str">
        <f>HYPERLINK("https://twitter.com/portalcryptoid/status/1679496557014532096")</f>
        <v>https://twitter.com/portalcryptoid/status/1679496557014532096</v>
      </c>
      <c r="AF21" s="79">
        <v>45120.599039351851</v>
      </c>
      <c r="AG21" s="85">
        <v>45120</v>
      </c>
      <c r="AH21" s="82" t="s">
        <v>7820</v>
      </c>
      <c r="AI21" s="77" t="b">
        <v>0</v>
      </c>
      <c r="AJ21" s="77"/>
      <c r="AK21" s="77"/>
      <c r="AL21" s="77"/>
      <c r="AM21" s="77"/>
      <c r="AN21" s="77"/>
      <c r="AO21" s="77"/>
      <c r="AP21" s="77"/>
      <c r="AQ21" s="77"/>
      <c r="AR21" s="77"/>
      <c r="AS21" s="77"/>
      <c r="AT21" s="77"/>
      <c r="AU21" s="77"/>
      <c r="AV21" s="80" t="str">
        <f>HYPERLINK("https://pbs.twimg.com/profile_images/1184825992810024960/BeoJylTY_normal.jpg")</f>
        <v>https://pbs.twimg.com/profile_images/1184825992810024960/BeoJylTY_normal.jpg</v>
      </c>
      <c r="AW21" s="82" t="s">
        <v>11731</v>
      </c>
      <c r="AX21" s="82" t="s">
        <v>11731</v>
      </c>
      <c r="AY21" s="77"/>
      <c r="AZ21" s="82" t="s">
        <v>15984</v>
      </c>
      <c r="BA21" s="82" t="s">
        <v>15984</v>
      </c>
      <c r="BB21" s="82" t="s">
        <v>15984</v>
      </c>
      <c r="BC21" s="82" t="s">
        <v>11731</v>
      </c>
      <c r="BD21" s="77">
        <v>2613462672</v>
      </c>
      <c r="BE21" s="77"/>
      <c r="BF21" s="77"/>
      <c r="BG21" s="77"/>
      <c r="BH21" s="77"/>
      <c r="BI21" s="77"/>
    </row>
    <row r="22" spans="1:61" x14ac:dyDescent="0.25">
      <c r="A22" s="62" t="s">
        <v>228</v>
      </c>
      <c r="B22" s="62" t="s">
        <v>228</v>
      </c>
      <c r="C22" s="63"/>
      <c r="D22" s="64"/>
      <c r="E22" s="65"/>
      <c r="F22" s="66"/>
      <c r="G22" s="63"/>
      <c r="H22" s="67"/>
      <c r="I22" s="68"/>
      <c r="J22" s="68"/>
      <c r="K22" s="32"/>
      <c r="L22" s="75">
        <v>22</v>
      </c>
      <c r="M22" s="75"/>
      <c r="N22" s="70"/>
      <c r="O22" s="77" t="s">
        <v>179</v>
      </c>
      <c r="P22" s="79">
        <v>45125.738113425927</v>
      </c>
      <c r="Q22" s="77" t="s">
        <v>921</v>
      </c>
      <c r="R22" s="77">
        <v>0</v>
      </c>
      <c r="S22" s="77">
        <v>0</v>
      </c>
      <c r="T22" s="77">
        <v>0</v>
      </c>
      <c r="U22" s="77">
        <v>0</v>
      </c>
      <c r="V22" s="77">
        <v>10</v>
      </c>
      <c r="W22" s="82" t="s">
        <v>4818</v>
      </c>
      <c r="X22" s="80" t="str">
        <f>HYPERLINK("https://cryptoid.com.br/criptografia-identificacao-digital-id-biometria/na-era-do-pix-como-a-geolocalizacao-pode-trazer-mais-seguranca-aos-servicos-financeiros/")</f>
        <v>https://cryptoid.com.br/criptografia-identificacao-digital-id-biometria/na-era-do-pix-como-a-geolocalizacao-pode-trazer-mais-seguranca-aos-servicos-financeiros/</v>
      </c>
      <c r="Y22" s="77" t="s">
        <v>6470</v>
      </c>
      <c r="Z22" s="77"/>
      <c r="AA22" s="77"/>
      <c r="AB22" s="77"/>
      <c r="AC22" s="82" t="s">
        <v>7750</v>
      </c>
      <c r="AD22" s="77" t="s">
        <v>7788</v>
      </c>
      <c r="AE22" s="80" t="str">
        <f>HYPERLINK("https://twitter.com/portalcryptoid/status/1681358893962739739")</f>
        <v>https://twitter.com/portalcryptoid/status/1681358893962739739</v>
      </c>
      <c r="AF22" s="79">
        <v>45125.738113425927</v>
      </c>
      <c r="AG22" s="85">
        <v>45125</v>
      </c>
      <c r="AH22" s="82" t="s">
        <v>7821</v>
      </c>
      <c r="AI22" s="77" t="b">
        <v>0</v>
      </c>
      <c r="AJ22" s="77"/>
      <c r="AK22" s="77"/>
      <c r="AL22" s="77"/>
      <c r="AM22" s="77"/>
      <c r="AN22" s="77"/>
      <c r="AO22" s="77"/>
      <c r="AP22" s="77"/>
      <c r="AQ22" s="77"/>
      <c r="AR22" s="77"/>
      <c r="AS22" s="77"/>
      <c r="AT22" s="77"/>
      <c r="AU22" s="77"/>
      <c r="AV22" s="80" t="str">
        <f>HYPERLINK("https://pbs.twimg.com/profile_images/1184825992810024960/BeoJylTY_normal.jpg")</f>
        <v>https://pbs.twimg.com/profile_images/1184825992810024960/BeoJylTY_normal.jpg</v>
      </c>
      <c r="AW22" s="82" t="s">
        <v>11732</v>
      </c>
      <c r="AX22" s="82" t="s">
        <v>11732</v>
      </c>
      <c r="AY22" s="77"/>
      <c r="AZ22" s="82" t="s">
        <v>15984</v>
      </c>
      <c r="BA22" s="82" t="s">
        <v>15984</v>
      </c>
      <c r="BB22" s="82" t="s">
        <v>15984</v>
      </c>
      <c r="BC22" s="82" t="s">
        <v>11732</v>
      </c>
      <c r="BD22" s="77">
        <v>2613462672</v>
      </c>
      <c r="BE22" s="77"/>
      <c r="BF22" s="77"/>
      <c r="BG22" s="77"/>
      <c r="BH22" s="77"/>
      <c r="BI22" s="77"/>
    </row>
    <row r="23" spans="1:61" x14ac:dyDescent="0.25">
      <c r="A23" s="62" t="s">
        <v>228</v>
      </c>
      <c r="B23" s="62" t="s">
        <v>228</v>
      </c>
      <c r="C23" s="63"/>
      <c r="D23" s="64"/>
      <c r="E23" s="65"/>
      <c r="F23" s="66"/>
      <c r="G23" s="63"/>
      <c r="H23" s="67"/>
      <c r="I23" s="68"/>
      <c r="J23" s="68"/>
      <c r="K23" s="32"/>
      <c r="L23" s="75">
        <v>23</v>
      </c>
      <c r="M23" s="75"/>
      <c r="N23" s="70"/>
      <c r="O23" s="77" t="s">
        <v>179</v>
      </c>
      <c r="P23" s="79">
        <v>45141.793946759259</v>
      </c>
      <c r="Q23" s="77" t="s">
        <v>922</v>
      </c>
      <c r="R23" s="77">
        <v>0</v>
      </c>
      <c r="S23" s="77">
        <v>0</v>
      </c>
      <c r="T23" s="77">
        <v>1</v>
      </c>
      <c r="U23" s="77">
        <v>0</v>
      </c>
      <c r="V23" s="77">
        <v>14</v>
      </c>
      <c r="W23" s="82" t="s">
        <v>4819</v>
      </c>
      <c r="X23" s="80" t="str">
        <f>HYPERLINK("https://cryptoid.com.br/id-rd/estudo-de-caso-o-impacto-de-uma-atualizacao-do-liveness-ativo-para-passivo/")</f>
        <v>https://cryptoid.com.br/id-rd/estudo-de-caso-o-impacto-de-uma-atualizacao-do-liveness-ativo-para-passivo/</v>
      </c>
      <c r="Y23" s="77" t="s">
        <v>6470</v>
      </c>
      <c r="Z23" s="77"/>
      <c r="AA23" s="77"/>
      <c r="AB23" s="77"/>
      <c r="AC23" s="82" t="s">
        <v>7750</v>
      </c>
      <c r="AD23" s="77" t="s">
        <v>7788</v>
      </c>
      <c r="AE23" s="80" t="str">
        <f>HYPERLINK("https://twitter.com/portalcryptoid/status/1687177334208507907")</f>
        <v>https://twitter.com/portalcryptoid/status/1687177334208507907</v>
      </c>
      <c r="AF23" s="79">
        <v>45141.793946759259</v>
      </c>
      <c r="AG23" s="85">
        <v>45141</v>
      </c>
      <c r="AH23" s="82" t="s">
        <v>7822</v>
      </c>
      <c r="AI23" s="77" t="b">
        <v>0</v>
      </c>
      <c r="AJ23" s="77"/>
      <c r="AK23" s="77"/>
      <c r="AL23" s="77"/>
      <c r="AM23" s="77"/>
      <c r="AN23" s="77"/>
      <c r="AO23" s="77"/>
      <c r="AP23" s="77"/>
      <c r="AQ23" s="77"/>
      <c r="AR23" s="77"/>
      <c r="AS23" s="77"/>
      <c r="AT23" s="77"/>
      <c r="AU23" s="77"/>
      <c r="AV23" s="80" t="str">
        <f>HYPERLINK("https://pbs.twimg.com/profile_images/1184825992810024960/BeoJylTY_normal.jpg")</f>
        <v>https://pbs.twimg.com/profile_images/1184825992810024960/BeoJylTY_normal.jpg</v>
      </c>
      <c r="AW23" s="82" t="s">
        <v>11733</v>
      </c>
      <c r="AX23" s="82" t="s">
        <v>11733</v>
      </c>
      <c r="AY23" s="77"/>
      <c r="AZ23" s="82" t="s">
        <v>15984</v>
      </c>
      <c r="BA23" s="82" t="s">
        <v>15984</v>
      </c>
      <c r="BB23" s="82" t="s">
        <v>15984</v>
      </c>
      <c r="BC23" s="82" t="s">
        <v>11733</v>
      </c>
      <c r="BD23" s="77">
        <v>2613462672</v>
      </c>
      <c r="BE23" s="77"/>
      <c r="BF23" s="77"/>
      <c r="BG23" s="77"/>
      <c r="BH23" s="77"/>
      <c r="BI23" s="77"/>
    </row>
    <row r="24" spans="1:61" x14ac:dyDescent="0.25">
      <c r="A24" s="62" t="s">
        <v>228</v>
      </c>
      <c r="B24" s="62" t="s">
        <v>228</v>
      </c>
      <c r="C24" s="63"/>
      <c r="D24" s="64"/>
      <c r="E24" s="65"/>
      <c r="F24" s="66"/>
      <c r="G24" s="63"/>
      <c r="H24" s="67"/>
      <c r="I24" s="68"/>
      <c r="J24" s="68"/>
      <c r="K24" s="32"/>
      <c r="L24" s="75">
        <v>24</v>
      </c>
      <c r="M24" s="75"/>
      <c r="N24" s="70"/>
      <c r="O24" s="77" t="s">
        <v>179</v>
      </c>
      <c r="P24" s="79">
        <v>45159.844895833332</v>
      </c>
      <c r="Q24" s="77" t="s">
        <v>923</v>
      </c>
      <c r="R24" s="77">
        <v>0</v>
      </c>
      <c r="S24" s="77">
        <v>0</v>
      </c>
      <c r="T24" s="77">
        <v>1</v>
      </c>
      <c r="U24" s="77">
        <v>0</v>
      </c>
      <c r="V24" s="77">
        <v>14</v>
      </c>
      <c r="W24" s="82" t="s">
        <v>4820</v>
      </c>
      <c r="X24" s="80" t="str">
        <f>HYPERLINK("https://cryptoid.com.br/criptografia-identificacao-digital-id-biometria/entenda-as-implicacoes-do-crescimento-de-private-banking-de-investimento-e-varejo/")</f>
        <v>https://cryptoid.com.br/criptografia-identificacao-digital-id-biometria/entenda-as-implicacoes-do-crescimento-de-private-banking-de-investimento-e-varejo/</v>
      </c>
      <c r="Y24" s="77" t="s">
        <v>6470</v>
      </c>
      <c r="Z24" s="77"/>
      <c r="AA24" s="77"/>
      <c r="AB24" s="77"/>
      <c r="AC24" s="82" t="s">
        <v>7750</v>
      </c>
      <c r="AD24" s="77" t="s">
        <v>7788</v>
      </c>
      <c r="AE24" s="80" t="str">
        <f>HYPERLINK("https://twitter.com/portalcryptoid/status/1693718781216821581")</f>
        <v>https://twitter.com/portalcryptoid/status/1693718781216821581</v>
      </c>
      <c r="AF24" s="79">
        <v>45159.844895833332</v>
      </c>
      <c r="AG24" s="85">
        <v>45159</v>
      </c>
      <c r="AH24" s="82" t="s">
        <v>7823</v>
      </c>
      <c r="AI24" s="77" t="b">
        <v>0</v>
      </c>
      <c r="AJ24" s="77"/>
      <c r="AK24" s="77"/>
      <c r="AL24" s="77"/>
      <c r="AM24" s="77"/>
      <c r="AN24" s="77"/>
      <c r="AO24" s="77"/>
      <c r="AP24" s="77"/>
      <c r="AQ24" s="77"/>
      <c r="AR24" s="77"/>
      <c r="AS24" s="77"/>
      <c r="AT24" s="77"/>
      <c r="AU24" s="77"/>
      <c r="AV24" s="80" t="str">
        <f>HYPERLINK("https://pbs.twimg.com/profile_images/1184825992810024960/BeoJylTY_normal.jpg")</f>
        <v>https://pbs.twimg.com/profile_images/1184825992810024960/BeoJylTY_normal.jpg</v>
      </c>
      <c r="AW24" s="82" t="s">
        <v>11734</v>
      </c>
      <c r="AX24" s="82" t="s">
        <v>11734</v>
      </c>
      <c r="AY24" s="77"/>
      <c r="AZ24" s="82" t="s">
        <v>15984</v>
      </c>
      <c r="BA24" s="82" t="s">
        <v>15984</v>
      </c>
      <c r="BB24" s="82" t="s">
        <v>15984</v>
      </c>
      <c r="BC24" s="82" t="s">
        <v>11734</v>
      </c>
      <c r="BD24" s="77">
        <v>2613462672</v>
      </c>
      <c r="BE24" s="77"/>
      <c r="BF24" s="77"/>
      <c r="BG24" s="77"/>
      <c r="BH24" s="77"/>
      <c r="BI24" s="77"/>
    </row>
    <row r="25" spans="1:61" x14ac:dyDescent="0.25">
      <c r="A25" s="62" t="s">
        <v>229</v>
      </c>
      <c r="B25" s="62" t="s">
        <v>229</v>
      </c>
      <c r="C25" s="63"/>
      <c r="D25" s="64"/>
      <c r="E25" s="65"/>
      <c r="F25" s="66"/>
      <c r="G25" s="63"/>
      <c r="H25" s="67"/>
      <c r="I25" s="68"/>
      <c r="J25" s="68"/>
      <c r="K25" s="32"/>
      <c r="L25" s="75">
        <v>25</v>
      </c>
      <c r="M25" s="75"/>
      <c r="N25" s="70"/>
      <c r="O25" s="77" t="s">
        <v>179</v>
      </c>
      <c r="P25" s="79">
        <v>45187.485254629632</v>
      </c>
      <c r="Q25" s="77" t="s">
        <v>918</v>
      </c>
      <c r="R25" s="77">
        <v>0</v>
      </c>
      <c r="S25" s="77">
        <v>1</v>
      </c>
      <c r="T25" s="77">
        <v>0</v>
      </c>
      <c r="U25" s="77">
        <v>0</v>
      </c>
      <c r="V25" s="77">
        <v>14</v>
      </c>
      <c r="W25" s="82" t="s">
        <v>4815</v>
      </c>
      <c r="X25" s="77"/>
      <c r="Y25" s="77"/>
      <c r="Z25" s="77"/>
      <c r="AA25" s="77"/>
      <c r="AB25" s="77"/>
      <c r="AC25" s="82" t="s">
        <v>7750</v>
      </c>
      <c r="AD25" s="77" t="s">
        <v>7789</v>
      </c>
      <c r="AE25" s="80" t="str">
        <f>HYPERLINK("https://twitter.com/trader_wealthy/status/1703735310905950301")</f>
        <v>https://twitter.com/trader_wealthy/status/1703735310905950301</v>
      </c>
      <c r="AF25" s="79">
        <v>45187.485254629632</v>
      </c>
      <c r="AG25" s="85">
        <v>45187</v>
      </c>
      <c r="AH25" s="82" t="s">
        <v>7824</v>
      </c>
      <c r="AI25" s="77"/>
      <c r="AJ25" s="77"/>
      <c r="AK25" s="77"/>
      <c r="AL25" s="77"/>
      <c r="AM25" s="77"/>
      <c r="AN25" s="77"/>
      <c r="AO25" s="77"/>
      <c r="AP25" s="77"/>
      <c r="AQ25" s="77"/>
      <c r="AR25" s="77"/>
      <c r="AS25" s="77"/>
      <c r="AT25" s="77"/>
      <c r="AU25" s="77"/>
      <c r="AV25" s="80" t="str">
        <f>HYPERLINK("https://pbs.twimg.com/profile_images/1699367802035945472/Unn4886K_normal.jpg")</f>
        <v>https://pbs.twimg.com/profile_images/1699367802035945472/Unn4886K_normal.jpg</v>
      </c>
      <c r="AW25" s="82" t="s">
        <v>11735</v>
      </c>
      <c r="AX25" s="82" t="s">
        <v>11735</v>
      </c>
      <c r="AY25" s="77"/>
      <c r="AZ25" s="82" t="s">
        <v>15984</v>
      </c>
      <c r="BA25" s="82" t="s">
        <v>15984</v>
      </c>
      <c r="BB25" s="82" t="s">
        <v>15984</v>
      </c>
      <c r="BC25" s="82" t="s">
        <v>11735</v>
      </c>
      <c r="BD25" s="82" t="s">
        <v>16102</v>
      </c>
      <c r="BE25" s="77"/>
      <c r="BF25" s="77"/>
      <c r="BG25" s="77"/>
      <c r="BH25" s="77"/>
      <c r="BI25" s="77"/>
    </row>
    <row r="26" spans="1:61" x14ac:dyDescent="0.25">
      <c r="A26" s="62" t="s">
        <v>230</v>
      </c>
      <c r="B26" s="62" t="s">
        <v>742</v>
      </c>
      <c r="C26" s="63"/>
      <c r="D26" s="64"/>
      <c r="E26" s="65"/>
      <c r="F26" s="66"/>
      <c r="G26" s="63"/>
      <c r="H26" s="67"/>
      <c r="I26" s="68"/>
      <c r="J26" s="68"/>
      <c r="K26" s="32"/>
      <c r="L26" s="75">
        <v>26</v>
      </c>
      <c r="M26" s="75"/>
      <c r="N26" s="70"/>
      <c r="O26" s="77" t="s">
        <v>895</v>
      </c>
      <c r="P26" s="79">
        <v>45152.706423611111</v>
      </c>
      <c r="Q26" s="77" t="s">
        <v>924</v>
      </c>
      <c r="R26" s="77">
        <v>0</v>
      </c>
      <c r="S26" s="77">
        <v>1</v>
      </c>
      <c r="T26" s="77">
        <v>0</v>
      </c>
      <c r="U26" s="77">
        <v>0</v>
      </c>
      <c r="V26" s="77">
        <v>51</v>
      </c>
      <c r="W26" s="82" t="s">
        <v>4821</v>
      </c>
      <c r="X26" s="80" t="str">
        <f>HYPERLINK("https://www.valoraanalitik.com/2023/08/14/produccion-industrial-en-colombia-sigue-de-capa-caida/")</f>
        <v>https://www.valoraanalitik.com/2023/08/14/produccion-industrial-en-colombia-sigue-de-capa-caida/</v>
      </c>
      <c r="Y26" s="77" t="s">
        <v>6471</v>
      </c>
      <c r="Z26" s="77" t="s">
        <v>742</v>
      </c>
      <c r="AA26" s="77"/>
      <c r="AB26" s="77"/>
      <c r="AC26" s="82" t="s">
        <v>7750</v>
      </c>
      <c r="AD26" s="77" t="s">
        <v>7790</v>
      </c>
      <c r="AE26" s="80" t="str">
        <f>HYPERLINK("https://twitter.com/inteligenciaes/status/1691131883592044544")</f>
        <v>https://twitter.com/inteligenciaes/status/1691131883592044544</v>
      </c>
      <c r="AF26" s="79">
        <v>45152.706423611111</v>
      </c>
      <c r="AG26" s="85">
        <v>45152</v>
      </c>
      <c r="AH26" s="82" t="s">
        <v>7825</v>
      </c>
      <c r="AI26" s="77" t="b">
        <v>0</v>
      </c>
      <c r="AJ26" s="77"/>
      <c r="AK26" s="77"/>
      <c r="AL26" s="77"/>
      <c r="AM26" s="77"/>
      <c r="AN26" s="77"/>
      <c r="AO26" s="77"/>
      <c r="AP26" s="77"/>
      <c r="AQ26" s="77"/>
      <c r="AR26" s="77"/>
      <c r="AS26" s="77"/>
      <c r="AT26" s="77"/>
      <c r="AU26" s="77"/>
      <c r="AV26" s="80" t="str">
        <f>HYPERLINK("https://pbs.twimg.com/profile_images/1673737808521969664/TZO69tVx_normal.jpg")</f>
        <v>https://pbs.twimg.com/profile_images/1673737808521969664/TZO69tVx_normal.jpg</v>
      </c>
      <c r="AW26" s="82" t="s">
        <v>11736</v>
      </c>
      <c r="AX26" s="82" t="s">
        <v>11736</v>
      </c>
      <c r="AY26" s="77"/>
      <c r="AZ26" s="82" t="s">
        <v>15984</v>
      </c>
      <c r="BA26" s="82" t="s">
        <v>15984</v>
      </c>
      <c r="BB26" s="82" t="s">
        <v>15984</v>
      </c>
      <c r="BC26" s="82" t="s">
        <v>11736</v>
      </c>
      <c r="BD26" s="82" t="s">
        <v>16103</v>
      </c>
      <c r="BE26" s="77"/>
      <c r="BF26" s="77"/>
      <c r="BG26" s="77"/>
      <c r="BH26" s="77"/>
      <c r="BI26" s="77"/>
    </row>
    <row r="27" spans="1:61" x14ac:dyDescent="0.25">
      <c r="A27" s="62" t="s">
        <v>231</v>
      </c>
      <c r="B27" s="62" t="s">
        <v>231</v>
      </c>
      <c r="C27" s="63"/>
      <c r="D27" s="64"/>
      <c r="E27" s="65"/>
      <c r="F27" s="66"/>
      <c r="G27" s="63"/>
      <c r="H27" s="67"/>
      <c r="I27" s="68"/>
      <c r="J27" s="68"/>
      <c r="K27" s="32"/>
      <c r="L27" s="75">
        <v>27</v>
      </c>
      <c r="M27" s="75"/>
      <c r="N27" s="70"/>
      <c r="O27" s="77" t="s">
        <v>179</v>
      </c>
      <c r="P27" s="79">
        <v>45156.648738425924</v>
      </c>
      <c r="Q27" s="77" t="s">
        <v>925</v>
      </c>
      <c r="R27" s="77">
        <v>0</v>
      </c>
      <c r="S27" s="77">
        <v>0</v>
      </c>
      <c r="T27" s="77">
        <v>0</v>
      </c>
      <c r="U27" s="77">
        <v>0</v>
      </c>
      <c r="V27" s="77">
        <v>109</v>
      </c>
      <c r="W27" s="82" t="s">
        <v>4822</v>
      </c>
      <c r="X27" s="80" t="str">
        <f>HYPERLINK("https://youtu.be/JzebKyWn8fA")</f>
        <v>https://youtu.be/JzebKyWn8fA</v>
      </c>
      <c r="Y27" s="77" t="s">
        <v>6472</v>
      </c>
      <c r="Z27" s="77"/>
      <c r="AA27" s="77" t="s">
        <v>6654</v>
      </c>
      <c r="AB27" s="77" t="s">
        <v>7742</v>
      </c>
      <c r="AC27" s="82" t="s">
        <v>7751</v>
      </c>
      <c r="AD27" s="77" t="s">
        <v>7788</v>
      </c>
      <c r="AE27" s="80" t="str">
        <f>HYPERLINK("https://twitter.com/rangelmachado87/status/1692560529380770268")</f>
        <v>https://twitter.com/rangelmachado87/status/1692560529380770268</v>
      </c>
      <c r="AF27" s="79">
        <v>45156.648738425924</v>
      </c>
      <c r="AG27" s="85">
        <v>45156</v>
      </c>
      <c r="AH27" s="82" t="s">
        <v>7826</v>
      </c>
      <c r="AI27" s="77" t="b">
        <v>0</v>
      </c>
      <c r="AJ27" s="77" t="s">
        <v>10559</v>
      </c>
      <c r="AK27" s="77" t="s">
        <v>10570</v>
      </c>
      <c r="AL27" s="77" t="s">
        <v>10574</v>
      </c>
      <c r="AM27" s="77" t="s">
        <v>10578</v>
      </c>
      <c r="AN27" s="77" t="s">
        <v>10588</v>
      </c>
      <c r="AO27" s="77" t="s">
        <v>10599</v>
      </c>
      <c r="AP27" s="77" t="s">
        <v>10609</v>
      </c>
      <c r="AQ27" s="77" t="s">
        <v>10626</v>
      </c>
      <c r="AR27" s="77"/>
      <c r="AS27" s="77"/>
      <c r="AT27" s="77"/>
      <c r="AU27" s="77"/>
      <c r="AV27" s="80" t="str">
        <f>HYPERLINK("https://pbs.twimg.com/media/F30u1PLW8AEgNDY.jpg")</f>
        <v>https://pbs.twimg.com/media/F30u1PLW8AEgNDY.jpg</v>
      </c>
      <c r="AW27" s="82" t="s">
        <v>11737</v>
      </c>
      <c r="AX27" s="82" t="s">
        <v>11737</v>
      </c>
      <c r="AY27" s="77"/>
      <c r="AZ27" s="82" t="s">
        <v>15984</v>
      </c>
      <c r="BA27" s="82" t="s">
        <v>15984</v>
      </c>
      <c r="BB27" s="82" t="s">
        <v>15984</v>
      </c>
      <c r="BC27" s="82" t="s">
        <v>11737</v>
      </c>
      <c r="BD27" s="82" t="s">
        <v>16104</v>
      </c>
      <c r="BE27" s="77"/>
      <c r="BF27" s="77"/>
      <c r="BG27" s="77"/>
      <c r="BH27" s="77"/>
      <c r="BI27" s="77"/>
    </row>
    <row r="28" spans="1:61" x14ac:dyDescent="0.25">
      <c r="A28" s="62" t="s">
        <v>232</v>
      </c>
      <c r="B28" s="62" t="s">
        <v>232</v>
      </c>
      <c r="C28" s="63"/>
      <c r="D28" s="64"/>
      <c r="E28" s="65"/>
      <c r="F28" s="66"/>
      <c r="G28" s="63"/>
      <c r="H28" s="67"/>
      <c r="I28" s="68"/>
      <c r="J28" s="68"/>
      <c r="K28" s="32"/>
      <c r="L28" s="75">
        <v>28</v>
      </c>
      <c r="M28" s="75"/>
      <c r="N28" s="70"/>
      <c r="O28" s="77" t="s">
        <v>179</v>
      </c>
      <c r="P28" s="79">
        <v>45121.375543981485</v>
      </c>
      <c r="Q28" s="77" t="s">
        <v>926</v>
      </c>
      <c r="R28" s="77">
        <v>0</v>
      </c>
      <c r="S28" s="77">
        <v>0</v>
      </c>
      <c r="T28" s="77">
        <v>0</v>
      </c>
      <c r="U28" s="77">
        <v>0</v>
      </c>
      <c r="V28" s="77">
        <v>13</v>
      </c>
      <c r="W28" s="82" t="s">
        <v>4823</v>
      </c>
      <c r="X28" s="77"/>
      <c r="Y28" s="77"/>
      <c r="Z28" s="77"/>
      <c r="AA28" s="77" t="s">
        <v>6655</v>
      </c>
      <c r="AB28" s="77" t="s">
        <v>7742</v>
      </c>
      <c r="AC28" s="82" t="s">
        <v>7752</v>
      </c>
      <c r="AD28" s="77" t="s">
        <v>7791</v>
      </c>
      <c r="AE28" s="80" t="str">
        <f>HYPERLINK("https://twitter.com/flaviosouza2810/status/1679777955076091904")</f>
        <v>https://twitter.com/flaviosouza2810/status/1679777955076091904</v>
      </c>
      <c r="AF28" s="79">
        <v>45121.375543981485</v>
      </c>
      <c r="AG28" s="85">
        <v>45121</v>
      </c>
      <c r="AH28" s="82" t="s">
        <v>7827</v>
      </c>
      <c r="AI28" s="77" t="b">
        <v>0</v>
      </c>
      <c r="AJ28" s="77"/>
      <c r="AK28" s="77"/>
      <c r="AL28" s="77"/>
      <c r="AM28" s="77"/>
      <c r="AN28" s="77"/>
      <c r="AO28" s="77"/>
      <c r="AP28" s="77"/>
      <c r="AQ28" s="77" t="s">
        <v>10627</v>
      </c>
      <c r="AR28" s="77"/>
      <c r="AS28" s="77"/>
      <c r="AT28" s="77"/>
      <c r="AU28" s="77"/>
      <c r="AV28" s="80" t="str">
        <f>HYPERLINK("https://pbs.twimg.com/media/F0_FJOgXoAENy_4.jpg")</f>
        <v>https://pbs.twimg.com/media/F0_FJOgXoAENy_4.jpg</v>
      </c>
      <c r="AW28" s="82" t="s">
        <v>11738</v>
      </c>
      <c r="AX28" s="82" t="s">
        <v>11738</v>
      </c>
      <c r="AY28" s="77"/>
      <c r="AZ28" s="82" t="s">
        <v>15984</v>
      </c>
      <c r="BA28" s="82" t="s">
        <v>15984</v>
      </c>
      <c r="BB28" s="82" t="s">
        <v>15984</v>
      </c>
      <c r="BC28" s="82" t="s">
        <v>11738</v>
      </c>
      <c r="BD28" s="82" t="s">
        <v>16105</v>
      </c>
      <c r="BE28" s="77"/>
      <c r="BF28" s="77"/>
      <c r="BG28" s="77"/>
      <c r="BH28" s="77"/>
      <c r="BI28" s="77"/>
    </row>
    <row r="29" spans="1:61" x14ac:dyDescent="0.25">
      <c r="A29" s="62" t="s">
        <v>232</v>
      </c>
      <c r="B29" s="62" t="s">
        <v>232</v>
      </c>
      <c r="C29" s="63"/>
      <c r="D29" s="64"/>
      <c r="E29" s="65"/>
      <c r="F29" s="66"/>
      <c r="G29" s="63"/>
      <c r="H29" s="67"/>
      <c r="I29" s="68"/>
      <c r="J29" s="68"/>
      <c r="K29" s="32"/>
      <c r="L29" s="75">
        <v>29</v>
      </c>
      <c r="M29" s="75"/>
      <c r="N29" s="70"/>
      <c r="O29" s="77" t="s">
        <v>179</v>
      </c>
      <c r="P29" s="79">
        <v>45118.432696759257</v>
      </c>
      <c r="Q29" s="77" t="s">
        <v>927</v>
      </c>
      <c r="R29" s="77">
        <v>0</v>
      </c>
      <c r="S29" s="77">
        <v>0</v>
      </c>
      <c r="T29" s="77">
        <v>0</v>
      </c>
      <c r="U29" s="77">
        <v>0</v>
      </c>
      <c r="V29" s="77">
        <v>13</v>
      </c>
      <c r="W29" s="82" t="s">
        <v>4824</v>
      </c>
      <c r="X29" s="77"/>
      <c r="Y29" s="77"/>
      <c r="Z29" s="77"/>
      <c r="AA29" s="77" t="s">
        <v>6656</v>
      </c>
      <c r="AB29" s="77" t="s">
        <v>7742</v>
      </c>
      <c r="AC29" s="82" t="s">
        <v>7752</v>
      </c>
      <c r="AD29" s="77" t="s">
        <v>7791</v>
      </c>
      <c r="AE29" s="80" t="str">
        <f>HYPERLINK("https://twitter.com/flaviosouza2810/status/1678711500251201537")</f>
        <v>https://twitter.com/flaviosouza2810/status/1678711500251201537</v>
      </c>
      <c r="AF29" s="79">
        <v>45118.432696759257</v>
      </c>
      <c r="AG29" s="85">
        <v>45118</v>
      </c>
      <c r="AH29" s="82" t="s">
        <v>7828</v>
      </c>
      <c r="AI29" s="77" t="b">
        <v>0</v>
      </c>
      <c r="AJ29" s="77"/>
      <c r="AK29" s="77"/>
      <c r="AL29" s="77"/>
      <c r="AM29" s="77"/>
      <c r="AN29" s="77"/>
      <c r="AO29" s="77"/>
      <c r="AP29" s="77"/>
      <c r="AQ29" s="77" t="s">
        <v>10628</v>
      </c>
      <c r="AR29" s="77"/>
      <c r="AS29" s="77"/>
      <c r="AT29" s="77"/>
      <c r="AU29" s="77"/>
      <c r="AV29" s="80" t="str">
        <f>HYPERLINK("https://pbs.twimg.com/media/F0v7NiQXoAArGMg.jpg")</f>
        <v>https://pbs.twimg.com/media/F0v7NiQXoAArGMg.jpg</v>
      </c>
      <c r="AW29" s="82" t="s">
        <v>11739</v>
      </c>
      <c r="AX29" s="82" t="s">
        <v>11739</v>
      </c>
      <c r="AY29" s="77"/>
      <c r="AZ29" s="82" t="s">
        <v>15984</v>
      </c>
      <c r="BA29" s="82" t="s">
        <v>15984</v>
      </c>
      <c r="BB29" s="82" t="s">
        <v>15984</v>
      </c>
      <c r="BC29" s="82" t="s">
        <v>11739</v>
      </c>
      <c r="BD29" s="82" t="s">
        <v>16105</v>
      </c>
      <c r="BE29" s="77"/>
      <c r="BF29" s="77"/>
      <c r="BG29" s="77"/>
      <c r="BH29" s="77"/>
      <c r="BI29" s="77"/>
    </row>
    <row r="30" spans="1:61" x14ac:dyDescent="0.25">
      <c r="A30" s="62" t="s">
        <v>232</v>
      </c>
      <c r="B30" s="62" t="s">
        <v>232</v>
      </c>
      <c r="C30" s="63"/>
      <c r="D30" s="64"/>
      <c r="E30" s="65"/>
      <c r="F30" s="66"/>
      <c r="G30" s="63"/>
      <c r="H30" s="67"/>
      <c r="I30" s="68"/>
      <c r="J30" s="68"/>
      <c r="K30" s="32"/>
      <c r="L30" s="75">
        <v>30</v>
      </c>
      <c r="M30" s="75"/>
      <c r="N30" s="70"/>
      <c r="O30" s="77" t="s">
        <v>179</v>
      </c>
      <c r="P30" s="79">
        <v>45118.403726851851</v>
      </c>
      <c r="Q30" s="77" t="s">
        <v>928</v>
      </c>
      <c r="R30" s="77">
        <v>0</v>
      </c>
      <c r="S30" s="77">
        <v>0</v>
      </c>
      <c r="T30" s="77">
        <v>0</v>
      </c>
      <c r="U30" s="77">
        <v>0</v>
      </c>
      <c r="V30" s="77">
        <v>9</v>
      </c>
      <c r="W30" s="82" t="s">
        <v>4825</v>
      </c>
      <c r="X30" s="77"/>
      <c r="Y30" s="77"/>
      <c r="Z30" s="77"/>
      <c r="AA30" s="77" t="s">
        <v>6657</v>
      </c>
      <c r="AB30" s="77" t="s">
        <v>7742</v>
      </c>
      <c r="AC30" s="82" t="s">
        <v>7752</v>
      </c>
      <c r="AD30" s="77" t="s">
        <v>7791</v>
      </c>
      <c r="AE30" s="80" t="str">
        <f>HYPERLINK("https://twitter.com/flaviosouza2810/status/1678701003204358145")</f>
        <v>https://twitter.com/flaviosouza2810/status/1678701003204358145</v>
      </c>
      <c r="AF30" s="79">
        <v>45118.403726851851</v>
      </c>
      <c r="AG30" s="85">
        <v>45118</v>
      </c>
      <c r="AH30" s="82" t="s">
        <v>7829</v>
      </c>
      <c r="AI30" s="77" t="b">
        <v>0</v>
      </c>
      <c r="AJ30" s="77"/>
      <c r="AK30" s="77"/>
      <c r="AL30" s="77"/>
      <c r="AM30" s="77"/>
      <c r="AN30" s="77"/>
      <c r="AO30" s="77"/>
      <c r="AP30" s="77"/>
      <c r="AQ30" s="77" t="s">
        <v>10629</v>
      </c>
      <c r="AR30" s="77"/>
      <c r="AS30" s="77"/>
      <c r="AT30" s="77"/>
      <c r="AU30" s="77"/>
      <c r="AV30" s="80" t="str">
        <f>HYPERLINK("https://pbs.twimg.com/media/F0vxqhmXgAEeqIv.jpg")</f>
        <v>https://pbs.twimg.com/media/F0vxqhmXgAEeqIv.jpg</v>
      </c>
      <c r="AW30" s="82" t="s">
        <v>11740</v>
      </c>
      <c r="AX30" s="82" t="s">
        <v>11740</v>
      </c>
      <c r="AY30" s="77"/>
      <c r="AZ30" s="82" t="s">
        <v>15984</v>
      </c>
      <c r="BA30" s="82" t="s">
        <v>15984</v>
      </c>
      <c r="BB30" s="82" t="s">
        <v>15984</v>
      </c>
      <c r="BC30" s="82" t="s">
        <v>11740</v>
      </c>
      <c r="BD30" s="82" t="s">
        <v>16105</v>
      </c>
      <c r="BE30" s="77"/>
      <c r="BF30" s="77"/>
      <c r="BG30" s="77"/>
      <c r="BH30" s="77"/>
      <c r="BI30" s="77"/>
    </row>
    <row r="31" spans="1:61" x14ac:dyDescent="0.25">
      <c r="A31" s="62" t="s">
        <v>232</v>
      </c>
      <c r="B31" s="62" t="s">
        <v>232</v>
      </c>
      <c r="C31" s="63"/>
      <c r="D31" s="64"/>
      <c r="E31" s="65"/>
      <c r="F31" s="66"/>
      <c r="G31" s="63"/>
      <c r="H31" s="67"/>
      <c r="I31" s="68"/>
      <c r="J31" s="68"/>
      <c r="K31" s="32"/>
      <c r="L31" s="75">
        <v>31</v>
      </c>
      <c r="M31" s="75"/>
      <c r="N31" s="70"/>
      <c r="O31" s="77" t="s">
        <v>179</v>
      </c>
      <c r="P31" s="79">
        <v>45118.375578703701</v>
      </c>
      <c r="Q31" s="77" t="s">
        <v>929</v>
      </c>
      <c r="R31" s="77">
        <v>0</v>
      </c>
      <c r="S31" s="77">
        <v>0</v>
      </c>
      <c r="T31" s="77">
        <v>0</v>
      </c>
      <c r="U31" s="77">
        <v>0</v>
      </c>
      <c r="V31" s="77">
        <v>8</v>
      </c>
      <c r="W31" s="82" t="s">
        <v>4825</v>
      </c>
      <c r="X31" s="77"/>
      <c r="Y31" s="77"/>
      <c r="Z31" s="77"/>
      <c r="AA31" s="77" t="s">
        <v>6658</v>
      </c>
      <c r="AB31" s="77" t="s">
        <v>7742</v>
      </c>
      <c r="AC31" s="82" t="s">
        <v>7752</v>
      </c>
      <c r="AD31" s="77" t="s">
        <v>7791</v>
      </c>
      <c r="AE31" s="80" t="str">
        <f>HYPERLINK("https://twitter.com/flaviosouza2810/status/1678690803080724483")</f>
        <v>https://twitter.com/flaviosouza2810/status/1678690803080724483</v>
      </c>
      <c r="AF31" s="79">
        <v>45118.375578703701</v>
      </c>
      <c r="AG31" s="85">
        <v>45118</v>
      </c>
      <c r="AH31" s="82" t="s">
        <v>7830</v>
      </c>
      <c r="AI31" s="77" t="b">
        <v>0</v>
      </c>
      <c r="AJ31" s="77"/>
      <c r="AK31" s="77"/>
      <c r="AL31" s="77"/>
      <c r="AM31" s="77"/>
      <c r="AN31" s="77"/>
      <c r="AO31" s="77"/>
      <c r="AP31" s="77"/>
      <c r="AQ31" s="77" t="s">
        <v>10630</v>
      </c>
      <c r="AR31" s="77"/>
      <c r="AS31" s="77"/>
      <c r="AT31" s="77"/>
      <c r="AU31" s="77"/>
      <c r="AV31" s="80" t="str">
        <f>HYPERLINK("https://pbs.twimg.com/media/F0voYx9WwAEJtiB.jpg")</f>
        <v>https://pbs.twimg.com/media/F0voYx9WwAEJtiB.jpg</v>
      </c>
      <c r="AW31" s="82" t="s">
        <v>11741</v>
      </c>
      <c r="AX31" s="82" t="s">
        <v>11741</v>
      </c>
      <c r="AY31" s="77"/>
      <c r="AZ31" s="82" t="s">
        <v>15984</v>
      </c>
      <c r="BA31" s="82" t="s">
        <v>15984</v>
      </c>
      <c r="BB31" s="82" t="s">
        <v>15984</v>
      </c>
      <c r="BC31" s="82" t="s">
        <v>11741</v>
      </c>
      <c r="BD31" s="82" t="s">
        <v>16105</v>
      </c>
      <c r="BE31" s="77"/>
      <c r="BF31" s="77"/>
      <c r="BG31" s="77"/>
      <c r="BH31" s="77"/>
      <c r="BI31" s="77"/>
    </row>
    <row r="32" spans="1:61" x14ac:dyDescent="0.25">
      <c r="A32" s="62" t="s">
        <v>232</v>
      </c>
      <c r="B32" s="62" t="s">
        <v>232</v>
      </c>
      <c r="C32" s="63"/>
      <c r="D32" s="64"/>
      <c r="E32" s="65"/>
      <c r="F32" s="66"/>
      <c r="G32" s="63"/>
      <c r="H32" s="67"/>
      <c r="I32" s="68"/>
      <c r="J32" s="68"/>
      <c r="K32" s="32"/>
      <c r="L32" s="75">
        <v>32</v>
      </c>
      <c r="M32" s="75"/>
      <c r="N32" s="70"/>
      <c r="O32" s="77" t="s">
        <v>179</v>
      </c>
      <c r="P32" s="79">
        <v>45139.883842592593</v>
      </c>
      <c r="Q32" s="77" t="s">
        <v>930</v>
      </c>
      <c r="R32" s="77">
        <v>0</v>
      </c>
      <c r="S32" s="77">
        <v>0</v>
      </c>
      <c r="T32" s="77">
        <v>0</v>
      </c>
      <c r="U32" s="77">
        <v>0</v>
      </c>
      <c r="V32" s="77">
        <v>9</v>
      </c>
      <c r="W32" s="82" t="s">
        <v>4826</v>
      </c>
      <c r="X32" s="77"/>
      <c r="Y32" s="77"/>
      <c r="Z32" s="77"/>
      <c r="AA32" s="77" t="s">
        <v>6659</v>
      </c>
      <c r="AB32" s="77" t="s">
        <v>7742</v>
      </c>
      <c r="AC32" s="82" t="s">
        <v>7752</v>
      </c>
      <c r="AD32" s="77" t="s">
        <v>7791</v>
      </c>
      <c r="AE32" s="80" t="str">
        <f>HYPERLINK("https://twitter.com/flaviosouza2810/status/1686485134822785025")</f>
        <v>https://twitter.com/flaviosouza2810/status/1686485134822785025</v>
      </c>
      <c r="AF32" s="79">
        <v>45139.883842592593</v>
      </c>
      <c r="AG32" s="85">
        <v>45139</v>
      </c>
      <c r="AH32" s="82" t="s">
        <v>7831</v>
      </c>
      <c r="AI32" s="77" t="b">
        <v>0</v>
      </c>
      <c r="AJ32" s="77"/>
      <c r="AK32" s="77"/>
      <c r="AL32" s="77"/>
      <c r="AM32" s="77"/>
      <c r="AN32" s="77"/>
      <c r="AO32" s="77"/>
      <c r="AP32" s="77"/>
      <c r="AQ32" s="77" t="s">
        <v>10631</v>
      </c>
      <c r="AR32" s="77"/>
      <c r="AS32" s="77"/>
      <c r="AT32" s="77"/>
      <c r="AU32" s="77"/>
      <c r="AV32" s="80" t="str">
        <f>HYPERLINK("https://pbs.twimg.com/media/F2eZSjsaAAIsLby.jpg")</f>
        <v>https://pbs.twimg.com/media/F2eZSjsaAAIsLby.jpg</v>
      </c>
      <c r="AW32" s="82" t="s">
        <v>11742</v>
      </c>
      <c r="AX32" s="82" t="s">
        <v>11742</v>
      </c>
      <c r="AY32" s="77"/>
      <c r="AZ32" s="82" t="s">
        <v>15984</v>
      </c>
      <c r="BA32" s="82" t="s">
        <v>15984</v>
      </c>
      <c r="BB32" s="82" t="s">
        <v>15984</v>
      </c>
      <c r="BC32" s="82" t="s">
        <v>11742</v>
      </c>
      <c r="BD32" s="82" t="s">
        <v>16105</v>
      </c>
      <c r="BE32" s="77"/>
      <c r="BF32" s="77"/>
      <c r="BG32" s="77"/>
      <c r="BH32" s="77"/>
      <c r="BI32" s="77"/>
    </row>
    <row r="33" spans="1:61" x14ac:dyDescent="0.25">
      <c r="A33" s="62" t="s">
        <v>232</v>
      </c>
      <c r="B33" s="62" t="s">
        <v>232</v>
      </c>
      <c r="C33" s="63"/>
      <c r="D33" s="64"/>
      <c r="E33" s="65"/>
      <c r="F33" s="66"/>
      <c r="G33" s="63"/>
      <c r="H33" s="67"/>
      <c r="I33" s="68"/>
      <c r="J33" s="68"/>
      <c r="K33" s="32"/>
      <c r="L33" s="75">
        <v>33</v>
      </c>
      <c r="M33" s="75"/>
      <c r="N33" s="70"/>
      <c r="O33" s="77" t="s">
        <v>179</v>
      </c>
      <c r="P33" s="79">
        <v>45145.483159722222</v>
      </c>
      <c r="Q33" s="77" t="s">
        <v>931</v>
      </c>
      <c r="R33" s="77">
        <v>0</v>
      </c>
      <c r="S33" s="77">
        <v>0</v>
      </c>
      <c r="T33" s="77">
        <v>0</v>
      </c>
      <c r="U33" s="77">
        <v>0</v>
      </c>
      <c r="V33" s="77">
        <v>13</v>
      </c>
      <c r="W33" s="82" t="s">
        <v>4827</v>
      </c>
      <c r="X33" s="77"/>
      <c r="Y33" s="77"/>
      <c r="Z33" s="77"/>
      <c r="AA33" s="77" t="s">
        <v>6660</v>
      </c>
      <c r="AB33" s="77" t="s">
        <v>7742</v>
      </c>
      <c r="AC33" s="82" t="s">
        <v>7752</v>
      </c>
      <c r="AD33" s="77" t="s">
        <v>7791</v>
      </c>
      <c r="AE33" s="80" t="str">
        <f>HYPERLINK("https://twitter.com/flaviosouza2810/status/1688514259150311424")</f>
        <v>https://twitter.com/flaviosouza2810/status/1688514259150311424</v>
      </c>
      <c r="AF33" s="79">
        <v>45145.483159722222</v>
      </c>
      <c r="AG33" s="85">
        <v>45145</v>
      </c>
      <c r="AH33" s="82" t="s">
        <v>7832</v>
      </c>
      <c r="AI33" s="77" t="b">
        <v>0</v>
      </c>
      <c r="AJ33" s="77"/>
      <c r="AK33" s="77"/>
      <c r="AL33" s="77"/>
      <c r="AM33" s="77"/>
      <c r="AN33" s="77"/>
      <c r="AO33" s="77"/>
      <c r="AP33" s="77"/>
      <c r="AQ33" s="77" t="s">
        <v>10632</v>
      </c>
      <c r="AR33" s="77"/>
      <c r="AS33" s="77"/>
      <c r="AT33" s="77"/>
      <c r="AU33" s="77"/>
      <c r="AV33" s="80" t="str">
        <f>HYPERLINK("https://pbs.twimg.com/media/F27OxOAXIAAs6JV.jpg")</f>
        <v>https://pbs.twimg.com/media/F27OxOAXIAAs6JV.jpg</v>
      </c>
      <c r="AW33" s="82" t="s">
        <v>11743</v>
      </c>
      <c r="AX33" s="82" t="s">
        <v>11743</v>
      </c>
      <c r="AY33" s="77"/>
      <c r="AZ33" s="82" t="s">
        <v>15984</v>
      </c>
      <c r="BA33" s="82" t="s">
        <v>15984</v>
      </c>
      <c r="BB33" s="82" t="s">
        <v>15984</v>
      </c>
      <c r="BC33" s="82" t="s">
        <v>11743</v>
      </c>
      <c r="BD33" s="82" t="s">
        <v>16105</v>
      </c>
      <c r="BE33" s="77"/>
      <c r="BF33" s="77"/>
      <c r="BG33" s="77"/>
      <c r="BH33" s="77"/>
      <c r="BI33" s="77"/>
    </row>
    <row r="34" spans="1:61" x14ac:dyDescent="0.25">
      <c r="A34" s="62" t="s">
        <v>233</v>
      </c>
      <c r="B34" s="62" t="s">
        <v>233</v>
      </c>
      <c r="C34" s="63"/>
      <c r="D34" s="64"/>
      <c r="E34" s="65"/>
      <c r="F34" s="66"/>
      <c r="G34" s="63"/>
      <c r="H34" s="67"/>
      <c r="I34" s="68"/>
      <c r="J34" s="68"/>
      <c r="K34" s="32"/>
      <c r="L34" s="75">
        <v>34</v>
      </c>
      <c r="M34" s="75"/>
      <c r="N34" s="70"/>
      <c r="O34" s="77" t="s">
        <v>179</v>
      </c>
      <c r="P34" s="79">
        <v>45186.855983796297</v>
      </c>
      <c r="Q34" s="77" t="s">
        <v>932</v>
      </c>
      <c r="R34" s="77">
        <v>0</v>
      </c>
      <c r="S34" s="77">
        <v>0</v>
      </c>
      <c r="T34" s="77">
        <v>0</v>
      </c>
      <c r="U34" s="77">
        <v>0</v>
      </c>
      <c r="V34" s="77">
        <v>65</v>
      </c>
      <c r="W34" s="82" t="s">
        <v>4828</v>
      </c>
      <c r="X34" s="80" t="str">
        <f>HYPERLINK("https://bit.ly/3PGpRgp")</f>
        <v>https://bit.ly/3PGpRgp</v>
      </c>
      <c r="Y34" s="77" t="s">
        <v>6468</v>
      </c>
      <c r="Z34" s="77"/>
      <c r="AA34" s="77" t="s">
        <v>6661</v>
      </c>
      <c r="AB34" s="77" t="s">
        <v>7742</v>
      </c>
      <c r="AC34" s="82" t="s">
        <v>7750</v>
      </c>
      <c r="AD34" s="77" t="s">
        <v>7788</v>
      </c>
      <c r="AE34" s="80" t="str">
        <f>HYPERLINK("https://twitter.com/financad/status/1703507270003257675")</f>
        <v>https://twitter.com/financad/status/1703507270003257675</v>
      </c>
      <c r="AF34" s="79">
        <v>45186.855983796297</v>
      </c>
      <c r="AG34" s="85">
        <v>45186</v>
      </c>
      <c r="AH34" s="82" t="s">
        <v>7833</v>
      </c>
      <c r="AI34" s="77" t="b">
        <v>0</v>
      </c>
      <c r="AJ34" s="77"/>
      <c r="AK34" s="77"/>
      <c r="AL34" s="77"/>
      <c r="AM34" s="77"/>
      <c r="AN34" s="77"/>
      <c r="AO34" s="77"/>
      <c r="AP34" s="77"/>
      <c r="AQ34" s="77" t="s">
        <v>10633</v>
      </c>
      <c r="AR34" s="77"/>
      <c r="AS34" s="77"/>
      <c r="AT34" s="77"/>
      <c r="AU34" s="77"/>
      <c r="AV34" s="80" t="str">
        <f>HYPERLINK("https://pbs.twimg.com/media/F6QSXm2WEAAkHnk.jpg")</f>
        <v>https://pbs.twimg.com/media/F6QSXm2WEAAkHnk.jpg</v>
      </c>
      <c r="AW34" s="82" t="s">
        <v>11744</v>
      </c>
      <c r="AX34" s="82" t="s">
        <v>11744</v>
      </c>
      <c r="AY34" s="77"/>
      <c r="AZ34" s="82" t="s">
        <v>15984</v>
      </c>
      <c r="BA34" s="82" t="s">
        <v>15984</v>
      </c>
      <c r="BB34" s="82" t="s">
        <v>15984</v>
      </c>
      <c r="BC34" s="82" t="s">
        <v>11744</v>
      </c>
      <c r="BD34" s="82" t="s">
        <v>16106</v>
      </c>
      <c r="BE34" s="77"/>
      <c r="BF34" s="77"/>
      <c r="BG34" s="77"/>
      <c r="BH34" s="77"/>
      <c r="BI34" s="77"/>
    </row>
    <row r="35" spans="1:61" x14ac:dyDescent="0.25">
      <c r="A35" s="62" t="s">
        <v>234</v>
      </c>
      <c r="B35" s="62" t="s">
        <v>234</v>
      </c>
      <c r="C35" s="63"/>
      <c r="D35" s="64"/>
      <c r="E35" s="65"/>
      <c r="F35" s="66"/>
      <c r="G35" s="63"/>
      <c r="H35" s="67"/>
      <c r="I35" s="68"/>
      <c r="J35" s="68"/>
      <c r="K35" s="32"/>
      <c r="L35" s="75">
        <v>35</v>
      </c>
      <c r="M35" s="75"/>
      <c r="N35" s="70"/>
      <c r="O35" s="77" t="s">
        <v>179</v>
      </c>
      <c r="P35" s="79">
        <v>45188.600266203706</v>
      </c>
      <c r="Q35" s="77" t="s">
        <v>933</v>
      </c>
      <c r="R35" s="77">
        <v>0</v>
      </c>
      <c r="S35" s="77">
        <v>12</v>
      </c>
      <c r="T35" s="77">
        <v>1</v>
      </c>
      <c r="U35" s="77">
        <v>0</v>
      </c>
      <c r="V35" s="77">
        <v>1366</v>
      </c>
      <c r="W35" s="82" t="s">
        <v>4829</v>
      </c>
      <c r="X35" s="77"/>
      <c r="Y35" s="77"/>
      <c r="Z35" s="77"/>
      <c r="AA35" s="77" t="s">
        <v>6662</v>
      </c>
      <c r="AB35" s="77" t="s">
        <v>7743</v>
      </c>
      <c r="AC35" s="82" t="s">
        <v>7752</v>
      </c>
      <c r="AD35" s="77" t="s">
        <v>7788</v>
      </c>
      <c r="AE35" s="80" t="str">
        <f>HYPERLINK("https://twitter.com/leononatotrader/status/1704139377624973775")</f>
        <v>https://twitter.com/leononatotrader/status/1704139377624973775</v>
      </c>
      <c r="AF35" s="79">
        <v>45188.600266203706</v>
      </c>
      <c r="AG35" s="85">
        <v>45188</v>
      </c>
      <c r="AH35" s="82" t="s">
        <v>7834</v>
      </c>
      <c r="AI35" s="77" t="b">
        <v>0</v>
      </c>
      <c r="AJ35" s="77"/>
      <c r="AK35" s="77"/>
      <c r="AL35" s="77"/>
      <c r="AM35" s="77"/>
      <c r="AN35" s="77"/>
      <c r="AO35" s="77"/>
      <c r="AP35" s="77"/>
      <c r="AQ35" s="77" t="s">
        <v>10634</v>
      </c>
      <c r="AR35" s="77">
        <v>23533</v>
      </c>
      <c r="AS35" s="77"/>
      <c r="AT35" s="77"/>
      <c r="AU35" s="77"/>
      <c r="AV35" s="80" t="str">
        <f>HYPERLINK("https://pbs.twimg.com/amplify_video_thumb/1704139277167214592/img/wgi6FbGtCPtHOIhu.jpg")</f>
        <v>https://pbs.twimg.com/amplify_video_thumb/1704139277167214592/img/wgi6FbGtCPtHOIhu.jpg</v>
      </c>
      <c r="AW35" s="82" t="s">
        <v>11745</v>
      </c>
      <c r="AX35" s="82" t="s">
        <v>11745</v>
      </c>
      <c r="AY35" s="77"/>
      <c r="AZ35" s="82" t="s">
        <v>15984</v>
      </c>
      <c r="BA35" s="82" t="s">
        <v>15984</v>
      </c>
      <c r="BB35" s="82" t="s">
        <v>15984</v>
      </c>
      <c r="BC35" s="82" t="s">
        <v>11745</v>
      </c>
      <c r="BD35" s="77">
        <v>177629082</v>
      </c>
      <c r="BE35" s="77"/>
      <c r="BF35" s="77"/>
      <c r="BG35" s="77"/>
      <c r="BH35" s="77"/>
      <c r="BI35" s="77"/>
    </row>
    <row r="36" spans="1:61" x14ac:dyDescent="0.25">
      <c r="A36" s="62" t="s">
        <v>235</v>
      </c>
      <c r="B36" s="62" t="s">
        <v>235</v>
      </c>
      <c r="C36" s="63"/>
      <c r="D36" s="64"/>
      <c r="E36" s="65"/>
      <c r="F36" s="66"/>
      <c r="G36" s="63"/>
      <c r="H36" s="67"/>
      <c r="I36" s="68"/>
      <c r="J36" s="68"/>
      <c r="K36" s="32"/>
      <c r="L36" s="75">
        <v>36</v>
      </c>
      <c r="M36" s="75"/>
      <c r="N36" s="70"/>
      <c r="O36" s="77" t="s">
        <v>179</v>
      </c>
      <c r="P36" s="79">
        <v>45134.986932870372</v>
      </c>
      <c r="Q36" s="77" t="s">
        <v>934</v>
      </c>
      <c r="R36" s="77">
        <v>0</v>
      </c>
      <c r="S36" s="77">
        <v>1</v>
      </c>
      <c r="T36" s="77">
        <v>0</v>
      </c>
      <c r="U36" s="77">
        <v>1</v>
      </c>
      <c r="V36" s="77">
        <v>24</v>
      </c>
      <c r="W36" s="82" t="s">
        <v>4830</v>
      </c>
      <c r="X36" s="80" t="str">
        <f>HYPERLINK("https://youtu.be/dQnbsdZblZM")</f>
        <v>https://youtu.be/dQnbsdZblZM</v>
      </c>
      <c r="Y36" s="77" t="s">
        <v>6472</v>
      </c>
      <c r="Z36" s="77"/>
      <c r="AA36" s="77" t="s">
        <v>6663</v>
      </c>
      <c r="AB36" s="77" t="s">
        <v>7742</v>
      </c>
      <c r="AC36" s="82" t="s">
        <v>7751</v>
      </c>
      <c r="AD36" s="77" t="s">
        <v>7788</v>
      </c>
      <c r="AE36" s="80" t="str">
        <f>HYPERLINK("https://twitter.com/dalinustrader/status/1684710555045531648")</f>
        <v>https://twitter.com/dalinustrader/status/1684710555045531648</v>
      </c>
      <c r="AF36" s="79">
        <v>45134.986932870372</v>
      </c>
      <c r="AG36" s="85">
        <v>45134</v>
      </c>
      <c r="AH36" s="82" t="s">
        <v>7835</v>
      </c>
      <c r="AI36" s="77" t="b">
        <v>0</v>
      </c>
      <c r="AJ36" s="77"/>
      <c r="AK36" s="77"/>
      <c r="AL36" s="77"/>
      <c r="AM36" s="77"/>
      <c r="AN36" s="77"/>
      <c r="AO36" s="77"/>
      <c r="AP36" s="77"/>
      <c r="AQ36" s="77" t="s">
        <v>10635</v>
      </c>
      <c r="AR36" s="77"/>
      <c r="AS36" s="77"/>
      <c r="AT36" s="77"/>
      <c r="AU36" s="77"/>
      <c r="AV36" s="80" t="str">
        <f>HYPERLINK("https://pbs.twimg.com/media/F2FLUl4WsAAfnEz.jpg")</f>
        <v>https://pbs.twimg.com/media/F2FLUl4WsAAfnEz.jpg</v>
      </c>
      <c r="AW36" s="82" t="s">
        <v>11746</v>
      </c>
      <c r="AX36" s="82" t="s">
        <v>11746</v>
      </c>
      <c r="AY36" s="77"/>
      <c r="AZ36" s="82" t="s">
        <v>15984</v>
      </c>
      <c r="BA36" s="82" t="s">
        <v>15984</v>
      </c>
      <c r="BB36" s="82" t="s">
        <v>15984</v>
      </c>
      <c r="BC36" s="82" t="s">
        <v>11746</v>
      </c>
      <c r="BD36" s="82" t="s">
        <v>16107</v>
      </c>
      <c r="BE36" s="77"/>
      <c r="BF36" s="77"/>
      <c r="BG36" s="77"/>
      <c r="BH36" s="77"/>
      <c r="BI36" s="77"/>
    </row>
    <row r="37" spans="1:61" x14ac:dyDescent="0.25">
      <c r="A37" s="62" t="s">
        <v>235</v>
      </c>
      <c r="B37" s="62" t="s">
        <v>235</v>
      </c>
      <c r="C37" s="63"/>
      <c r="D37" s="64"/>
      <c r="E37" s="65"/>
      <c r="F37" s="66"/>
      <c r="G37" s="63"/>
      <c r="H37" s="67"/>
      <c r="I37" s="68"/>
      <c r="J37" s="68"/>
      <c r="K37" s="32"/>
      <c r="L37" s="75">
        <v>37</v>
      </c>
      <c r="M37" s="75"/>
      <c r="N37" s="70"/>
      <c r="O37" s="77" t="s">
        <v>179</v>
      </c>
      <c r="P37" s="79">
        <v>45127.977847222224</v>
      </c>
      <c r="Q37" s="77" t="s">
        <v>935</v>
      </c>
      <c r="R37" s="77">
        <v>0</v>
      </c>
      <c r="S37" s="77">
        <v>0</v>
      </c>
      <c r="T37" s="77">
        <v>0</v>
      </c>
      <c r="U37" s="77">
        <v>0</v>
      </c>
      <c r="V37" s="77">
        <v>2</v>
      </c>
      <c r="W37" s="82" t="s">
        <v>4831</v>
      </c>
      <c r="X37" s="80" t="str">
        <f>HYPERLINK("https://youtu.be/dr6iIiNIP_w")</f>
        <v>https://youtu.be/dr6iIiNIP_w</v>
      </c>
      <c r="Y37" s="77" t="s">
        <v>6472</v>
      </c>
      <c r="Z37" s="77"/>
      <c r="AA37" s="77" t="s">
        <v>6664</v>
      </c>
      <c r="AB37" s="77" t="s">
        <v>7742</v>
      </c>
      <c r="AC37" s="82" t="s">
        <v>7751</v>
      </c>
      <c r="AD37" s="77" t="s">
        <v>7792</v>
      </c>
      <c r="AE37" s="80" t="str">
        <f>HYPERLINK("https://twitter.com/dalinustrader/status/1682170549022195713")</f>
        <v>https://twitter.com/dalinustrader/status/1682170549022195713</v>
      </c>
      <c r="AF37" s="79">
        <v>45127.977847222224</v>
      </c>
      <c r="AG37" s="85">
        <v>45127</v>
      </c>
      <c r="AH37" s="82" t="s">
        <v>7836</v>
      </c>
      <c r="AI37" s="77" t="b">
        <v>0</v>
      </c>
      <c r="AJ37" s="77"/>
      <c r="AK37" s="77"/>
      <c r="AL37" s="77"/>
      <c r="AM37" s="77"/>
      <c r="AN37" s="77"/>
      <c r="AO37" s="77"/>
      <c r="AP37" s="77"/>
      <c r="AQ37" s="77" t="s">
        <v>10636</v>
      </c>
      <c r="AR37" s="77"/>
      <c r="AS37" s="77"/>
      <c r="AT37" s="77"/>
      <c r="AU37" s="77"/>
      <c r="AV37" s="80" t="str">
        <f>HYPERLINK("https://pbs.twimg.com/media/F1hFMxlXwAA2BtZ.jpg")</f>
        <v>https://pbs.twimg.com/media/F1hFMxlXwAA2BtZ.jpg</v>
      </c>
      <c r="AW37" s="82" t="s">
        <v>11747</v>
      </c>
      <c r="AX37" s="82" t="s">
        <v>11747</v>
      </c>
      <c r="AY37" s="77"/>
      <c r="AZ37" s="82" t="s">
        <v>15984</v>
      </c>
      <c r="BA37" s="82" t="s">
        <v>15984</v>
      </c>
      <c r="BB37" s="82" t="s">
        <v>15984</v>
      </c>
      <c r="BC37" s="82" t="s">
        <v>11747</v>
      </c>
      <c r="BD37" s="82" t="s">
        <v>16107</v>
      </c>
      <c r="BE37" s="77"/>
      <c r="BF37" s="77"/>
      <c r="BG37" s="77"/>
      <c r="BH37" s="77"/>
      <c r="BI37" s="77"/>
    </row>
    <row r="38" spans="1:61" x14ac:dyDescent="0.25">
      <c r="A38" s="62" t="s">
        <v>235</v>
      </c>
      <c r="B38" s="62" t="s">
        <v>235</v>
      </c>
      <c r="C38" s="63"/>
      <c r="D38" s="64"/>
      <c r="E38" s="65"/>
      <c r="F38" s="66"/>
      <c r="G38" s="63"/>
      <c r="H38" s="67"/>
      <c r="I38" s="68"/>
      <c r="J38" s="68"/>
      <c r="K38" s="32"/>
      <c r="L38" s="75">
        <v>38</v>
      </c>
      <c r="M38" s="75"/>
      <c r="N38" s="70"/>
      <c r="O38" s="77" t="s">
        <v>179</v>
      </c>
      <c r="P38" s="79">
        <v>45157.960543981484</v>
      </c>
      <c r="Q38" s="77" t="s">
        <v>936</v>
      </c>
      <c r="R38" s="77">
        <v>0</v>
      </c>
      <c r="S38" s="77">
        <v>1</v>
      </c>
      <c r="T38" s="77">
        <v>0</v>
      </c>
      <c r="U38" s="77">
        <v>0</v>
      </c>
      <c r="V38" s="77">
        <v>8</v>
      </c>
      <c r="W38" s="82" t="s">
        <v>4832</v>
      </c>
      <c r="X38" s="80" t="str">
        <f>HYPERLINK("https://youtu.be/aAJBhpLBjQw")</f>
        <v>https://youtu.be/aAJBhpLBjQw</v>
      </c>
      <c r="Y38" s="77" t="s">
        <v>6472</v>
      </c>
      <c r="Z38" s="77"/>
      <c r="AA38" s="77" t="s">
        <v>6665</v>
      </c>
      <c r="AB38" s="77" t="s">
        <v>7742</v>
      </c>
      <c r="AC38" s="82" t="s">
        <v>7751</v>
      </c>
      <c r="AD38" s="77" t="s">
        <v>7788</v>
      </c>
      <c r="AE38" s="80" t="str">
        <f>HYPERLINK("https://twitter.com/dalinustrader/status/1693035913385795839")</f>
        <v>https://twitter.com/dalinustrader/status/1693035913385795839</v>
      </c>
      <c r="AF38" s="79">
        <v>45157.960543981484</v>
      </c>
      <c r="AG38" s="85">
        <v>45157</v>
      </c>
      <c r="AH38" s="82" t="s">
        <v>7837</v>
      </c>
      <c r="AI38" s="77" t="b">
        <v>0</v>
      </c>
      <c r="AJ38" s="77"/>
      <c r="AK38" s="77"/>
      <c r="AL38" s="77"/>
      <c r="AM38" s="77"/>
      <c r="AN38" s="77"/>
      <c r="AO38" s="77"/>
      <c r="AP38" s="77"/>
      <c r="AQ38" s="77" t="s">
        <v>10637</v>
      </c>
      <c r="AR38" s="77"/>
      <c r="AS38" s="77"/>
      <c r="AT38" s="77"/>
      <c r="AU38" s="77"/>
      <c r="AV38" s="80" t="str">
        <f>HYPERLINK("https://pbs.twimg.com/media/F37fMPnWoAAga_F.jpg")</f>
        <v>https://pbs.twimg.com/media/F37fMPnWoAAga_F.jpg</v>
      </c>
      <c r="AW38" s="82" t="s">
        <v>11748</v>
      </c>
      <c r="AX38" s="82" t="s">
        <v>11748</v>
      </c>
      <c r="AY38" s="77"/>
      <c r="AZ38" s="82" t="s">
        <v>15984</v>
      </c>
      <c r="BA38" s="82" t="s">
        <v>15984</v>
      </c>
      <c r="BB38" s="82" t="s">
        <v>15984</v>
      </c>
      <c r="BC38" s="82" t="s">
        <v>11748</v>
      </c>
      <c r="BD38" s="82" t="s">
        <v>16107</v>
      </c>
      <c r="BE38" s="77"/>
      <c r="BF38" s="77"/>
      <c r="BG38" s="77"/>
      <c r="BH38" s="77"/>
      <c r="BI38" s="77"/>
    </row>
    <row r="39" spans="1:61" x14ac:dyDescent="0.25">
      <c r="A39" s="62" t="s">
        <v>235</v>
      </c>
      <c r="B39" s="62" t="s">
        <v>235</v>
      </c>
      <c r="C39" s="63"/>
      <c r="D39" s="64"/>
      <c r="E39" s="65"/>
      <c r="F39" s="66"/>
      <c r="G39" s="63"/>
      <c r="H39" s="67"/>
      <c r="I39" s="68"/>
      <c r="J39" s="68"/>
      <c r="K39" s="32"/>
      <c r="L39" s="75">
        <v>39</v>
      </c>
      <c r="M39" s="75"/>
      <c r="N39" s="70"/>
      <c r="O39" s="77" t="s">
        <v>179</v>
      </c>
      <c r="P39" s="79">
        <v>45183.965844907405</v>
      </c>
      <c r="Q39" s="77" t="s">
        <v>937</v>
      </c>
      <c r="R39" s="77">
        <v>0</v>
      </c>
      <c r="S39" s="77">
        <v>0</v>
      </c>
      <c r="T39" s="77">
        <v>0</v>
      </c>
      <c r="U39" s="77">
        <v>0</v>
      </c>
      <c r="V39" s="77">
        <v>5</v>
      </c>
      <c r="W39" s="82" t="s">
        <v>4833</v>
      </c>
      <c r="X39" s="80" t="str">
        <f>HYPERLINK("https://youtu.be/twRqmCqt1DE?si=VWCLdfLy_qsDo9v3")</f>
        <v>https://youtu.be/twRqmCqt1DE?si=VWCLdfLy_qsDo9v3</v>
      </c>
      <c r="Y39" s="77" t="s">
        <v>6472</v>
      </c>
      <c r="Z39" s="77"/>
      <c r="AA39" s="77" t="s">
        <v>6666</v>
      </c>
      <c r="AB39" s="77" t="s">
        <v>7742</v>
      </c>
      <c r="AC39" s="82" t="s">
        <v>7751</v>
      </c>
      <c r="AD39" s="77" t="s">
        <v>7788</v>
      </c>
      <c r="AE39" s="80" t="str">
        <f>HYPERLINK("https://twitter.com/dalinustrader/status/1702459918148628770")</f>
        <v>https://twitter.com/dalinustrader/status/1702459918148628770</v>
      </c>
      <c r="AF39" s="79">
        <v>45183.965844907405</v>
      </c>
      <c r="AG39" s="85">
        <v>45183</v>
      </c>
      <c r="AH39" s="82" t="s">
        <v>7838</v>
      </c>
      <c r="AI39" s="77" t="b">
        <v>0</v>
      </c>
      <c r="AJ39" s="77"/>
      <c r="AK39" s="77"/>
      <c r="AL39" s="77"/>
      <c r="AM39" s="77"/>
      <c r="AN39" s="77"/>
      <c r="AO39" s="77"/>
      <c r="AP39" s="77"/>
      <c r="AQ39" s="77" t="s">
        <v>10638</v>
      </c>
      <c r="AR39" s="77"/>
      <c r="AS39" s="77"/>
      <c r="AT39" s="77"/>
      <c r="AU39" s="77"/>
      <c r="AV39" s="80" t="str">
        <f>HYPERLINK("https://pbs.twimg.com/media/F6BaRiWXAAAzNgV.jpg")</f>
        <v>https://pbs.twimg.com/media/F6BaRiWXAAAzNgV.jpg</v>
      </c>
      <c r="AW39" s="82" t="s">
        <v>11749</v>
      </c>
      <c r="AX39" s="82" t="s">
        <v>11749</v>
      </c>
      <c r="AY39" s="77"/>
      <c r="AZ39" s="82" t="s">
        <v>15984</v>
      </c>
      <c r="BA39" s="82" t="s">
        <v>15984</v>
      </c>
      <c r="BB39" s="82" t="s">
        <v>15984</v>
      </c>
      <c r="BC39" s="82" t="s">
        <v>11749</v>
      </c>
      <c r="BD39" s="82" t="s">
        <v>16107</v>
      </c>
      <c r="BE39" s="77"/>
      <c r="BF39" s="77"/>
      <c r="BG39" s="77"/>
      <c r="BH39" s="77"/>
      <c r="BI39" s="77"/>
    </row>
    <row r="40" spans="1:61" x14ac:dyDescent="0.25">
      <c r="A40" s="62" t="s">
        <v>235</v>
      </c>
      <c r="B40" s="62" t="s">
        <v>235</v>
      </c>
      <c r="C40" s="63"/>
      <c r="D40" s="64"/>
      <c r="E40" s="65"/>
      <c r="F40" s="66"/>
      <c r="G40" s="63"/>
      <c r="H40" s="67"/>
      <c r="I40" s="68"/>
      <c r="J40" s="68"/>
      <c r="K40" s="32"/>
      <c r="L40" s="75">
        <v>40</v>
      </c>
      <c r="M40" s="75"/>
      <c r="N40" s="70"/>
      <c r="O40" s="77" t="s">
        <v>179</v>
      </c>
      <c r="P40" s="79">
        <v>45143.844236111108</v>
      </c>
      <c r="Q40" s="77" t="s">
        <v>938</v>
      </c>
      <c r="R40" s="77">
        <v>0</v>
      </c>
      <c r="S40" s="77">
        <v>4</v>
      </c>
      <c r="T40" s="77">
        <v>2</v>
      </c>
      <c r="U40" s="77">
        <v>1</v>
      </c>
      <c r="V40" s="77">
        <v>29</v>
      </c>
      <c r="W40" s="82" t="s">
        <v>4834</v>
      </c>
      <c r="X40" s="77"/>
      <c r="Y40" s="77"/>
      <c r="Z40" s="77"/>
      <c r="AA40" s="77" t="s">
        <v>6667</v>
      </c>
      <c r="AB40" s="77" t="s">
        <v>7742</v>
      </c>
      <c r="AC40" s="82" t="s">
        <v>7750</v>
      </c>
      <c r="AD40" s="77" t="s">
        <v>7788</v>
      </c>
      <c r="AE40" s="80" t="str">
        <f>HYPERLINK("https://twitter.com/dalinustrader/status/1687920335918690304")</f>
        <v>https://twitter.com/dalinustrader/status/1687920335918690304</v>
      </c>
      <c r="AF40" s="79">
        <v>45143.844236111108</v>
      </c>
      <c r="AG40" s="85">
        <v>45143</v>
      </c>
      <c r="AH40" s="82" t="s">
        <v>7839</v>
      </c>
      <c r="AI40" s="77" t="b">
        <v>0</v>
      </c>
      <c r="AJ40" s="77"/>
      <c r="AK40" s="77"/>
      <c r="AL40" s="77"/>
      <c r="AM40" s="77"/>
      <c r="AN40" s="77"/>
      <c r="AO40" s="77"/>
      <c r="AP40" s="77"/>
      <c r="AQ40" s="77" t="s">
        <v>10639</v>
      </c>
      <c r="AR40" s="77"/>
      <c r="AS40" s="77"/>
      <c r="AT40" s="77"/>
      <c r="AU40" s="77"/>
      <c r="AV40" s="80" t="str">
        <f>HYPERLINK("https://pbs.twimg.com/media/F2yyGlOW4AAwtgc.jpg")</f>
        <v>https://pbs.twimg.com/media/F2yyGlOW4AAwtgc.jpg</v>
      </c>
      <c r="AW40" s="82" t="s">
        <v>11750</v>
      </c>
      <c r="AX40" s="82" t="s">
        <v>11750</v>
      </c>
      <c r="AY40" s="77"/>
      <c r="AZ40" s="82" t="s">
        <v>15984</v>
      </c>
      <c r="BA40" s="82" t="s">
        <v>15984</v>
      </c>
      <c r="BB40" s="82" t="s">
        <v>15984</v>
      </c>
      <c r="BC40" s="82" t="s">
        <v>11750</v>
      </c>
      <c r="BD40" s="82" t="s">
        <v>16107</v>
      </c>
      <c r="BE40" s="77"/>
      <c r="BF40" s="77"/>
      <c r="BG40" s="77"/>
      <c r="BH40" s="77"/>
      <c r="BI40" s="77"/>
    </row>
    <row r="41" spans="1:61" x14ac:dyDescent="0.25">
      <c r="A41" s="62" t="s">
        <v>236</v>
      </c>
      <c r="B41" s="62" t="s">
        <v>236</v>
      </c>
      <c r="C41" s="63"/>
      <c r="D41" s="64"/>
      <c r="E41" s="65"/>
      <c r="F41" s="66"/>
      <c r="G41" s="63"/>
      <c r="H41" s="67"/>
      <c r="I41" s="68"/>
      <c r="J41" s="68"/>
      <c r="K41" s="32"/>
      <c r="L41" s="75">
        <v>41</v>
      </c>
      <c r="M41" s="75"/>
      <c r="N41" s="70"/>
      <c r="O41" s="77" t="s">
        <v>179</v>
      </c>
      <c r="P41" s="79">
        <v>45134.589849537035</v>
      </c>
      <c r="Q41" s="77" t="s">
        <v>939</v>
      </c>
      <c r="R41" s="77">
        <v>0</v>
      </c>
      <c r="S41" s="77">
        <v>0</v>
      </c>
      <c r="T41" s="77">
        <v>0</v>
      </c>
      <c r="U41" s="77">
        <v>0</v>
      </c>
      <c r="V41" s="77">
        <v>4</v>
      </c>
      <c r="W41" s="82" t="s">
        <v>4835</v>
      </c>
      <c r="X41" s="77" t="s">
        <v>6462</v>
      </c>
      <c r="Y41" s="77" t="s">
        <v>6473</v>
      </c>
      <c r="Z41" s="77"/>
      <c r="AA41" s="77"/>
      <c r="AB41" s="77"/>
      <c r="AC41" s="82" t="s">
        <v>7753</v>
      </c>
      <c r="AD41" s="77" t="s">
        <v>7788</v>
      </c>
      <c r="AE41" s="80" t="str">
        <f>HYPERLINK("https://twitter.com/viuuoficial/status/1684566659145805826")</f>
        <v>https://twitter.com/viuuoficial/status/1684566659145805826</v>
      </c>
      <c r="AF41" s="79">
        <v>45134.589849537035</v>
      </c>
      <c r="AG41" s="85">
        <v>45134</v>
      </c>
      <c r="AH41" s="82" t="s">
        <v>7840</v>
      </c>
      <c r="AI41" s="77" t="b">
        <v>0</v>
      </c>
      <c r="AJ41" s="77"/>
      <c r="AK41" s="77"/>
      <c r="AL41" s="77"/>
      <c r="AM41" s="77"/>
      <c r="AN41" s="77"/>
      <c r="AO41" s="77"/>
      <c r="AP41" s="77"/>
      <c r="AQ41" s="77"/>
      <c r="AR41" s="77"/>
      <c r="AS41" s="77"/>
      <c r="AT41" s="77"/>
      <c r="AU41" s="77"/>
      <c r="AV41" s="80" t="str">
        <f>HYPERLINK("https://pbs.twimg.com/profile_images/1652089890237042688/3_LRRCjG_normal.jpg")</f>
        <v>https://pbs.twimg.com/profile_images/1652089890237042688/3_LRRCjG_normal.jpg</v>
      </c>
      <c r="AW41" s="82" t="s">
        <v>11751</v>
      </c>
      <c r="AX41" s="82" t="s">
        <v>11751</v>
      </c>
      <c r="AY41" s="77"/>
      <c r="AZ41" s="82" t="s">
        <v>15984</v>
      </c>
      <c r="BA41" s="82" t="s">
        <v>15984</v>
      </c>
      <c r="BB41" s="82" t="s">
        <v>15984</v>
      </c>
      <c r="BC41" s="82" t="s">
        <v>11751</v>
      </c>
      <c r="BD41" s="82" t="s">
        <v>16108</v>
      </c>
      <c r="BE41" s="77"/>
      <c r="BF41" s="77"/>
      <c r="BG41" s="77"/>
      <c r="BH41" s="77"/>
      <c r="BI41" s="77"/>
    </row>
    <row r="42" spans="1:61" x14ac:dyDescent="0.25">
      <c r="A42" s="62" t="s">
        <v>236</v>
      </c>
      <c r="B42" s="62" t="s">
        <v>236</v>
      </c>
      <c r="C42" s="63"/>
      <c r="D42" s="64"/>
      <c r="E42" s="65"/>
      <c r="F42" s="66"/>
      <c r="G42" s="63"/>
      <c r="H42" s="67"/>
      <c r="I42" s="68"/>
      <c r="J42" s="68"/>
      <c r="K42" s="32"/>
      <c r="L42" s="75">
        <v>42</v>
      </c>
      <c r="M42" s="75"/>
      <c r="N42" s="70"/>
      <c r="O42" s="77" t="s">
        <v>179</v>
      </c>
      <c r="P42" s="79">
        <v>45166.598969907405</v>
      </c>
      <c r="Q42" s="77" t="s">
        <v>940</v>
      </c>
      <c r="R42" s="77">
        <v>0</v>
      </c>
      <c r="S42" s="77">
        <v>0</v>
      </c>
      <c r="T42" s="77">
        <v>0</v>
      </c>
      <c r="U42" s="77">
        <v>0</v>
      </c>
      <c r="V42" s="77">
        <v>17</v>
      </c>
      <c r="W42" s="82" t="s">
        <v>4836</v>
      </c>
      <c r="X42" s="77" t="s">
        <v>6463</v>
      </c>
      <c r="Y42" s="77" t="s">
        <v>6473</v>
      </c>
      <c r="Z42" s="77"/>
      <c r="AA42" s="77"/>
      <c r="AB42" s="77"/>
      <c r="AC42" s="82" t="s">
        <v>7753</v>
      </c>
      <c r="AD42" s="77" t="s">
        <v>7788</v>
      </c>
      <c r="AE42" s="80" t="str">
        <f>HYPERLINK("https://twitter.com/viuuoficial/status/1696166372118585690")</f>
        <v>https://twitter.com/viuuoficial/status/1696166372118585690</v>
      </c>
      <c r="AF42" s="79">
        <v>45166.598969907405</v>
      </c>
      <c r="AG42" s="85">
        <v>45166</v>
      </c>
      <c r="AH42" s="82" t="s">
        <v>7841</v>
      </c>
      <c r="AI42" s="77" t="b">
        <v>0</v>
      </c>
      <c r="AJ42" s="77"/>
      <c r="AK42" s="77"/>
      <c r="AL42" s="77"/>
      <c r="AM42" s="77"/>
      <c r="AN42" s="77"/>
      <c r="AO42" s="77"/>
      <c r="AP42" s="77"/>
      <c r="AQ42" s="77"/>
      <c r="AR42" s="77"/>
      <c r="AS42" s="77"/>
      <c r="AT42" s="77"/>
      <c r="AU42" s="77"/>
      <c r="AV42" s="80" t="str">
        <f>HYPERLINK("https://pbs.twimg.com/profile_images/1652089890237042688/3_LRRCjG_normal.jpg")</f>
        <v>https://pbs.twimg.com/profile_images/1652089890237042688/3_LRRCjG_normal.jpg</v>
      </c>
      <c r="AW42" s="82" t="s">
        <v>11752</v>
      </c>
      <c r="AX42" s="82" t="s">
        <v>11752</v>
      </c>
      <c r="AY42" s="77"/>
      <c r="AZ42" s="82" t="s">
        <v>15984</v>
      </c>
      <c r="BA42" s="82" t="s">
        <v>15984</v>
      </c>
      <c r="BB42" s="82" t="s">
        <v>15984</v>
      </c>
      <c r="BC42" s="82" t="s">
        <v>11752</v>
      </c>
      <c r="BD42" s="82" t="s">
        <v>16108</v>
      </c>
      <c r="BE42" s="77"/>
      <c r="BF42" s="77"/>
      <c r="BG42" s="77"/>
      <c r="BH42" s="77"/>
      <c r="BI42" s="77"/>
    </row>
    <row r="43" spans="1:61" x14ac:dyDescent="0.25">
      <c r="A43" s="62" t="s">
        <v>237</v>
      </c>
      <c r="B43" s="62" t="s">
        <v>254</v>
      </c>
      <c r="C43" s="63"/>
      <c r="D43" s="64"/>
      <c r="E43" s="65"/>
      <c r="F43" s="66"/>
      <c r="G43" s="63"/>
      <c r="H43" s="67"/>
      <c r="I43" s="68"/>
      <c r="J43" s="68"/>
      <c r="K43" s="32"/>
      <c r="L43" s="75">
        <v>43</v>
      </c>
      <c r="M43" s="75"/>
      <c r="N43" s="70"/>
      <c r="O43" s="77" t="s">
        <v>897</v>
      </c>
      <c r="P43" s="79">
        <v>45194.878680555557</v>
      </c>
      <c r="Q43" s="77" t="s">
        <v>941</v>
      </c>
      <c r="R43" s="77">
        <v>1</v>
      </c>
      <c r="S43" s="77">
        <v>0</v>
      </c>
      <c r="T43" s="77">
        <v>0</v>
      </c>
      <c r="U43" s="77">
        <v>0</v>
      </c>
      <c r="V43" s="77"/>
      <c r="W43" s="77"/>
      <c r="X43" s="77"/>
      <c r="Y43" s="77"/>
      <c r="Z43" s="77" t="s">
        <v>254</v>
      </c>
      <c r="AA43" s="77"/>
      <c r="AB43" s="77"/>
      <c r="AC43" s="82" t="s">
        <v>7750</v>
      </c>
      <c r="AD43" s="77" t="s">
        <v>7788</v>
      </c>
      <c r="AE43" s="80" t="str">
        <f>HYPERLINK("https://twitter.com/wagner_chavez_/status/1706414597555540370")</f>
        <v>https://twitter.com/wagner_chavez_/status/1706414597555540370</v>
      </c>
      <c r="AF43" s="79">
        <v>45194.878680555557</v>
      </c>
      <c r="AG43" s="85">
        <v>45194</v>
      </c>
      <c r="AH43" s="82" t="s">
        <v>7842</v>
      </c>
      <c r="AI43" s="77"/>
      <c r="AJ43" s="77"/>
      <c r="AK43" s="77"/>
      <c r="AL43" s="77"/>
      <c r="AM43" s="77"/>
      <c r="AN43" s="77"/>
      <c r="AO43" s="77"/>
      <c r="AP43" s="77"/>
      <c r="AQ43" s="77"/>
      <c r="AR43" s="77"/>
      <c r="AS43" s="77"/>
      <c r="AT43" s="77"/>
      <c r="AU43" s="77"/>
      <c r="AV43" s="80" t="str">
        <f>HYPERLINK("https://pbs.twimg.com/profile_images/1615555551869411329/Wg4vOBND_normal.jpg")</f>
        <v>https://pbs.twimg.com/profile_images/1615555551869411329/Wg4vOBND_normal.jpg</v>
      </c>
      <c r="AW43" s="82" t="s">
        <v>11753</v>
      </c>
      <c r="AX43" s="82" t="s">
        <v>11753</v>
      </c>
      <c r="AY43" s="77"/>
      <c r="AZ43" s="82" t="s">
        <v>15984</v>
      </c>
      <c r="BA43" s="82" t="s">
        <v>15984</v>
      </c>
      <c r="BB43" s="82" t="s">
        <v>11842</v>
      </c>
      <c r="BC43" s="82" t="s">
        <v>11842</v>
      </c>
      <c r="BD43" s="82" t="s">
        <v>16109</v>
      </c>
      <c r="BE43" s="77"/>
      <c r="BF43" s="77"/>
      <c r="BG43" s="77"/>
      <c r="BH43" s="77"/>
      <c r="BI43" s="77"/>
    </row>
    <row r="44" spans="1:61" x14ac:dyDescent="0.25">
      <c r="A44" s="62" t="s">
        <v>238</v>
      </c>
      <c r="B44" s="62" t="s">
        <v>238</v>
      </c>
      <c r="C44" s="63"/>
      <c r="D44" s="64"/>
      <c r="E44" s="65"/>
      <c r="F44" s="66"/>
      <c r="G44" s="63"/>
      <c r="H44" s="67"/>
      <c r="I44" s="68"/>
      <c r="J44" s="68"/>
      <c r="K44" s="32"/>
      <c r="L44" s="75">
        <v>44</v>
      </c>
      <c r="M44" s="75"/>
      <c r="N44" s="70"/>
      <c r="O44" s="77" t="s">
        <v>179</v>
      </c>
      <c r="P44" s="79">
        <v>45130.061516203707</v>
      </c>
      <c r="Q44" s="77" t="s">
        <v>942</v>
      </c>
      <c r="R44" s="77">
        <v>0</v>
      </c>
      <c r="S44" s="77">
        <v>0</v>
      </c>
      <c r="T44" s="77">
        <v>0</v>
      </c>
      <c r="U44" s="77">
        <v>0</v>
      </c>
      <c r="V44" s="77">
        <v>24</v>
      </c>
      <c r="W44" s="82" t="s">
        <v>4837</v>
      </c>
      <c r="X44" s="77"/>
      <c r="Y44" s="77"/>
      <c r="Z44" s="77"/>
      <c r="AA44" s="77" t="s">
        <v>6668</v>
      </c>
      <c r="AB44" s="77" t="s">
        <v>7742</v>
      </c>
      <c r="AC44" s="82" t="s">
        <v>7752</v>
      </c>
      <c r="AD44" s="77" t="s">
        <v>7788</v>
      </c>
      <c r="AE44" s="80" t="str">
        <f>HYPERLINK("https://twitter.com/jonatha93806011/status/1682925644525498368")</f>
        <v>https://twitter.com/jonatha93806011/status/1682925644525498368</v>
      </c>
      <c r="AF44" s="79">
        <v>45130.061516203707</v>
      </c>
      <c r="AG44" s="85">
        <v>45130</v>
      </c>
      <c r="AH44" s="82" t="s">
        <v>7843</v>
      </c>
      <c r="AI44" s="77" t="b">
        <v>0</v>
      </c>
      <c r="AJ44" s="77"/>
      <c r="AK44" s="77"/>
      <c r="AL44" s="77"/>
      <c r="AM44" s="77"/>
      <c r="AN44" s="77"/>
      <c r="AO44" s="77"/>
      <c r="AP44" s="77"/>
      <c r="AQ44" s="77" t="s">
        <v>10640</v>
      </c>
      <c r="AR44" s="77"/>
      <c r="AS44" s="77"/>
      <c r="AT44" s="77"/>
      <c r="AU44" s="77"/>
      <c r="AV44" s="80" t="str">
        <f>HYPERLINK("https://pbs.twimg.com/media/F1rz880WcAEsrdj.jpg")</f>
        <v>https://pbs.twimg.com/media/F1rz880WcAEsrdj.jpg</v>
      </c>
      <c r="AW44" s="82" t="s">
        <v>11754</v>
      </c>
      <c r="AX44" s="82" t="s">
        <v>11754</v>
      </c>
      <c r="AY44" s="77"/>
      <c r="AZ44" s="82" t="s">
        <v>15984</v>
      </c>
      <c r="BA44" s="82" t="s">
        <v>15984</v>
      </c>
      <c r="BB44" s="82" t="s">
        <v>15984</v>
      </c>
      <c r="BC44" s="82" t="s">
        <v>11754</v>
      </c>
      <c r="BD44" s="82" t="s">
        <v>16110</v>
      </c>
      <c r="BE44" s="77"/>
      <c r="BF44" s="77"/>
      <c r="BG44" s="77"/>
      <c r="BH44" s="77"/>
      <c r="BI44" s="77"/>
    </row>
    <row r="45" spans="1:61" x14ac:dyDescent="0.25">
      <c r="A45" s="62" t="s">
        <v>239</v>
      </c>
      <c r="B45" s="62" t="s">
        <v>239</v>
      </c>
      <c r="C45" s="63"/>
      <c r="D45" s="64"/>
      <c r="E45" s="65"/>
      <c r="F45" s="66"/>
      <c r="G45" s="63"/>
      <c r="H45" s="67"/>
      <c r="I45" s="68"/>
      <c r="J45" s="68"/>
      <c r="K45" s="32"/>
      <c r="L45" s="75">
        <v>45</v>
      </c>
      <c r="M45" s="75"/>
      <c r="N45" s="70"/>
      <c r="O45" s="77" t="s">
        <v>179</v>
      </c>
      <c r="P45" s="79">
        <v>45180.699629629627</v>
      </c>
      <c r="Q45" s="77" t="s">
        <v>943</v>
      </c>
      <c r="R45" s="77">
        <v>0</v>
      </c>
      <c r="S45" s="77">
        <v>0</v>
      </c>
      <c r="T45" s="77">
        <v>0</v>
      </c>
      <c r="U45" s="77">
        <v>0</v>
      </c>
      <c r="V45" s="77">
        <v>16</v>
      </c>
      <c r="W45" s="82" t="s">
        <v>4838</v>
      </c>
      <c r="X45" s="80" t="str">
        <f>HYPERLINK("https://br.tradingview.com/chart/US10Y/m2kszUM6/")</f>
        <v>https://br.tradingview.com/chart/US10Y/m2kszUM6/</v>
      </c>
      <c r="Y45" s="77" t="s">
        <v>6474</v>
      </c>
      <c r="Z45" s="77"/>
      <c r="AA45" s="77"/>
      <c r="AB45" s="77"/>
      <c r="AC45" s="82" t="s">
        <v>7752</v>
      </c>
      <c r="AD45" s="77" t="s">
        <v>7788</v>
      </c>
      <c r="AE45" s="80" t="str">
        <f>HYPERLINK("https://twitter.com/torresrodrigom/status/1701276280191136082")</f>
        <v>https://twitter.com/torresrodrigom/status/1701276280191136082</v>
      </c>
      <c r="AF45" s="79">
        <v>45180.699629629627</v>
      </c>
      <c r="AG45" s="85">
        <v>45180</v>
      </c>
      <c r="AH45" s="82" t="s">
        <v>7844</v>
      </c>
      <c r="AI45" s="77" t="b">
        <v>0</v>
      </c>
      <c r="AJ45" s="77" t="s">
        <v>10560</v>
      </c>
      <c r="AK45" s="77" t="s">
        <v>10571</v>
      </c>
      <c r="AL45" s="77" t="s">
        <v>10575</v>
      </c>
      <c r="AM45" s="77" t="s">
        <v>10579</v>
      </c>
      <c r="AN45" s="77" t="s">
        <v>10589</v>
      </c>
      <c r="AO45" s="77" t="s">
        <v>10600</v>
      </c>
      <c r="AP45" s="77" t="s">
        <v>10610</v>
      </c>
      <c r="AQ45" s="77"/>
      <c r="AR45" s="77"/>
      <c r="AS45" s="77"/>
      <c r="AT45" s="77"/>
      <c r="AU45" s="77"/>
      <c r="AV45" s="80" t="str">
        <f>HYPERLINK("https://pbs.twimg.com/profile_images/1245684400668446720/pyBMJ-BE_normal.jpg")</f>
        <v>https://pbs.twimg.com/profile_images/1245684400668446720/pyBMJ-BE_normal.jpg</v>
      </c>
      <c r="AW45" s="82" t="s">
        <v>11755</v>
      </c>
      <c r="AX45" s="82" t="s">
        <v>11755</v>
      </c>
      <c r="AY45" s="77"/>
      <c r="AZ45" s="82" t="s">
        <v>15984</v>
      </c>
      <c r="BA45" s="82" t="s">
        <v>15984</v>
      </c>
      <c r="BB45" s="82" t="s">
        <v>15984</v>
      </c>
      <c r="BC45" s="82" t="s">
        <v>11755</v>
      </c>
      <c r="BD45" s="77">
        <v>440767378</v>
      </c>
      <c r="BE45" s="77"/>
      <c r="BF45" s="77"/>
      <c r="BG45" s="77"/>
      <c r="BH45" s="77"/>
      <c r="BI45" s="77"/>
    </row>
    <row r="46" spans="1:61" x14ac:dyDescent="0.25">
      <c r="A46" s="62" t="s">
        <v>240</v>
      </c>
      <c r="B46" s="62" t="s">
        <v>240</v>
      </c>
      <c r="C46" s="63"/>
      <c r="D46" s="64"/>
      <c r="E46" s="65"/>
      <c r="F46" s="66"/>
      <c r="G46" s="63"/>
      <c r="H46" s="67"/>
      <c r="I46" s="68"/>
      <c r="J46" s="68"/>
      <c r="K46" s="32"/>
      <c r="L46" s="75">
        <v>46</v>
      </c>
      <c r="M46" s="75"/>
      <c r="N46" s="70"/>
      <c r="O46" s="77" t="s">
        <v>179</v>
      </c>
      <c r="P46" s="79">
        <v>45125.722222222219</v>
      </c>
      <c r="Q46" s="77" t="s">
        <v>944</v>
      </c>
      <c r="R46" s="77">
        <v>0</v>
      </c>
      <c r="S46" s="77">
        <v>0</v>
      </c>
      <c r="T46" s="77">
        <v>0</v>
      </c>
      <c r="U46" s="77">
        <v>0</v>
      </c>
      <c r="V46" s="77">
        <v>290</v>
      </c>
      <c r="W46" s="82" t="s">
        <v>4839</v>
      </c>
      <c r="X46" s="80" t="str">
        <f>HYPERLINK("https://www.jornaldocomercio.com/economia/2023/07/1115514-agenda-esvaziada-e-temor-com-fraqueza-mundial-limitam-alta-do-ibovespa-por-commodities.html")</f>
        <v>https://www.jornaldocomercio.com/economia/2023/07/1115514-agenda-esvaziada-e-temor-com-fraqueza-mundial-limitam-alta-do-ibovespa-por-commodities.html</v>
      </c>
      <c r="Y46" s="77" t="s">
        <v>6475</v>
      </c>
      <c r="Z46" s="77"/>
      <c r="AA46" s="77"/>
      <c r="AB46" s="77"/>
      <c r="AC46" s="82" t="s">
        <v>7754</v>
      </c>
      <c r="AD46" s="77" t="s">
        <v>7788</v>
      </c>
      <c r="AE46" s="80" t="str">
        <f>HYPERLINK("https://twitter.com/jc_rs/status/1681353135753773059")</f>
        <v>https://twitter.com/jc_rs/status/1681353135753773059</v>
      </c>
      <c r="AF46" s="79">
        <v>45125.722222222219</v>
      </c>
      <c r="AG46" s="85">
        <v>45125</v>
      </c>
      <c r="AH46" s="82" t="s">
        <v>7845</v>
      </c>
      <c r="AI46" s="77" t="b">
        <v>0</v>
      </c>
      <c r="AJ46" s="77"/>
      <c r="AK46" s="77"/>
      <c r="AL46" s="77"/>
      <c r="AM46" s="77"/>
      <c r="AN46" s="77"/>
      <c r="AO46" s="77"/>
      <c r="AP46" s="77"/>
      <c r="AQ46" s="77"/>
      <c r="AR46" s="77"/>
      <c r="AS46" s="77"/>
      <c r="AT46" s="77"/>
      <c r="AU46" s="77"/>
      <c r="AV46" s="80" t="str">
        <f>HYPERLINK("https://pbs.twimg.com/profile_images/1531317937075806210/7oEvwlvr_normal.jpg")</f>
        <v>https://pbs.twimg.com/profile_images/1531317937075806210/7oEvwlvr_normal.jpg</v>
      </c>
      <c r="AW46" s="82" t="s">
        <v>11756</v>
      </c>
      <c r="AX46" s="82" t="s">
        <v>11756</v>
      </c>
      <c r="AY46" s="77"/>
      <c r="AZ46" s="82" t="s">
        <v>15984</v>
      </c>
      <c r="BA46" s="82" t="s">
        <v>15984</v>
      </c>
      <c r="BB46" s="82" t="s">
        <v>15984</v>
      </c>
      <c r="BC46" s="82" t="s">
        <v>11756</v>
      </c>
      <c r="BD46" s="77">
        <v>17118982</v>
      </c>
      <c r="BE46" s="77"/>
      <c r="BF46" s="77"/>
      <c r="BG46" s="77"/>
      <c r="BH46" s="77"/>
      <c r="BI46" s="77"/>
    </row>
    <row r="47" spans="1:61" x14ac:dyDescent="0.25">
      <c r="A47" s="62" t="s">
        <v>240</v>
      </c>
      <c r="B47" s="62" t="s">
        <v>240</v>
      </c>
      <c r="C47" s="63"/>
      <c r="D47" s="64"/>
      <c r="E47" s="65"/>
      <c r="F47" s="66"/>
      <c r="G47" s="63"/>
      <c r="H47" s="67"/>
      <c r="I47" s="68"/>
      <c r="J47" s="68"/>
      <c r="K47" s="32"/>
      <c r="L47" s="75">
        <v>47</v>
      </c>
      <c r="M47" s="75"/>
      <c r="N47" s="70"/>
      <c r="O47" s="77" t="s">
        <v>179</v>
      </c>
      <c r="P47" s="79">
        <v>45117.726770833331</v>
      </c>
      <c r="Q47" s="77" t="s">
        <v>945</v>
      </c>
      <c r="R47" s="77">
        <v>1</v>
      </c>
      <c r="S47" s="77">
        <v>1</v>
      </c>
      <c r="T47" s="77">
        <v>0</v>
      </c>
      <c r="U47" s="77">
        <v>0</v>
      </c>
      <c r="V47" s="77">
        <v>276</v>
      </c>
      <c r="W47" s="82" t="s">
        <v>4839</v>
      </c>
      <c r="X47" s="80" t="str">
        <f>HYPERLINK("https://www.jornaldocomercio.com/economia/2023/07/1114292-incertezas-com-china-e-juros-nos-eua-puxam-queda-do-ibovespa-apos-alta-na-sexta-feira.html")</f>
        <v>https://www.jornaldocomercio.com/economia/2023/07/1114292-incertezas-com-china-e-juros-nos-eua-puxam-queda-do-ibovespa-apos-alta-na-sexta-feira.html</v>
      </c>
      <c r="Y47" s="77" t="s">
        <v>6475</v>
      </c>
      <c r="Z47" s="77"/>
      <c r="AA47" s="77"/>
      <c r="AB47" s="77"/>
      <c r="AC47" s="82" t="s">
        <v>7754</v>
      </c>
      <c r="AD47" s="77" t="s">
        <v>7788</v>
      </c>
      <c r="AE47" s="80" t="str">
        <f>HYPERLINK("https://twitter.com/jc_rs/status/1678455683241451544")</f>
        <v>https://twitter.com/jc_rs/status/1678455683241451544</v>
      </c>
      <c r="AF47" s="79">
        <v>45117.726770833331</v>
      </c>
      <c r="AG47" s="85">
        <v>45117</v>
      </c>
      <c r="AH47" s="82" t="s">
        <v>7846</v>
      </c>
      <c r="AI47" s="77" t="b">
        <v>0</v>
      </c>
      <c r="AJ47" s="77"/>
      <c r="AK47" s="77"/>
      <c r="AL47" s="77"/>
      <c r="AM47" s="77"/>
      <c r="AN47" s="77"/>
      <c r="AO47" s="77"/>
      <c r="AP47" s="77"/>
      <c r="AQ47" s="77"/>
      <c r="AR47" s="77"/>
      <c r="AS47" s="77"/>
      <c r="AT47" s="77"/>
      <c r="AU47" s="77"/>
      <c r="AV47" s="80" t="str">
        <f>HYPERLINK("https://pbs.twimg.com/profile_images/1531317937075806210/7oEvwlvr_normal.jpg")</f>
        <v>https://pbs.twimg.com/profile_images/1531317937075806210/7oEvwlvr_normal.jpg</v>
      </c>
      <c r="AW47" s="82" t="s">
        <v>11757</v>
      </c>
      <c r="AX47" s="82" t="s">
        <v>11757</v>
      </c>
      <c r="AY47" s="77"/>
      <c r="AZ47" s="82" t="s">
        <v>15984</v>
      </c>
      <c r="BA47" s="82" t="s">
        <v>15984</v>
      </c>
      <c r="BB47" s="82" t="s">
        <v>15984</v>
      </c>
      <c r="BC47" s="82" t="s">
        <v>11757</v>
      </c>
      <c r="BD47" s="77">
        <v>17118982</v>
      </c>
      <c r="BE47" s="77"/>
      <c r="BF47" s="77"/>
      <c r="BG47" s="77"/>
      <c r="BH47" s="77"/>
      <c r="BI47" s="77"/>
    </row>
    <row r="48" spans="1:61" x14ac:dyDescent="0.25">
      <c r="A48" s="62" t="s">
        <v>240</v>
      </c>
      <c r="B48" s="62" t="s">
        <v>240</v>
      </c>
      <c r="C48" s="63"/>
      <c r="D48" s="64"/>
      <c r="E48" s="65"/>
      <c r="F48" s="66"/>
      <c r="G48" s="63"/>
      <c r="H48" s="67"/>
      <c r="I48" s="68"/>
      <c r="J48" s="68"/>
      <c r="K48" s="32"/>
      <c r="L48" s="75">
        <v>48</v>
      </c>
      <c r="M48" s="75"/>
      <c r="N48" s="70"/>
      <c r="O48" s="77" t="s">
        <v>179</v>
      </c>
      <c r="P48" s="79">
        <v>45118.472222222219</v>
      </c>
      <c r="Q48" s="77" t="s">
        <v>946</v>
      </c>
      <c r="R48" s="77">
        <v>0</v>
      </c>
      <c r="S48" s="77">
        <v>1</v>
      </c>
      <c r="T48" s="77">
        <v>0</v>
      </c>
      <c r="U48" s="77">
        <v>0</v>
      </c>
      <c r="V48" s="77">
        <v>263</v>
      </c>
      <c r="W48" s="82" t="s">
        <v>4839</v>
      </c>
      <c r="X48" s="80" t="str">
        <f>HYPERLINK("https://www.jornaldocomercio.com/economia/2023/07/1114498-bolsas-da-asia-fecham-em-alta-apos-recuperacao-em-ny-e-com-estimulos-na-china.html")</f>
        <v>https://www.jornaldocomercio.com/economia/2023/07/1114498-bolsas-da-asia-fecham-em-alta-apos-recuperacao-em-ny-e-com-estimulos-na-china.html</v>
      </c>
      <c r="Y48" s="77" t="s">
        <v>6475</v>
      </c>
      <c r="Z48" s="77"/>
      <c r="AA48" s="77"/>
      <c r="AB48" s="77"/>
      <c r="AC48" s="82" t="s">
        <v>7754</v>
      </c>
      <c r="AD48" s="77" t="s">
        <v>7788</v>
      </c>
      <c r="AE48" s="80" t="str">
        <f>HYPERLINK("https://twitter.com/jc_rs/status/1678725823581544453")</f>
        <v>https://twitter.com/jc_rs/status/1678725823581544453</v>
      </c>
      <c r="AF48" s="79">
        <v>45118.472222222219</v>
      </c>
      <c r="AG48" s="85">
        <v>45118</v>
      </c>
      <c r="AH48" s="82" t="s">
        <v>7847</v>
      </c>
      <c r="AI48" s="77" t="b">
        <v>0</v>
      </c>
      <c r="AJ48" s="77"/>
      <c r="AK48" s="77"/>
      <c r="AL48" s="77"/>
      <c r="AM48" s="77"/>
      <c r="AN48" s="77"/>
      <c r="AO48" s="77"/>
      <c r="AP48" s="77"/>
      <c r="AQ48" s="77"/>
      <c r="AR48" s="77"/>
      <c r="AS48" s="77"/>
      <c r="AT48" s="77"/>
      <c r="AU48" s="77"/>
      <c r="AV48" s="80" t="str">
        <f>HYPERLINK("https://pbs.twimg.com/profile_images/1531317937075806210/7oEvwlvr_normal.jpg")</f>
        <v>https://pbs.twimg.com/profile_images/1531317937075806210/7oEvwlvr_normal.jpg</v>
      </c>
      <c r="AW48" s="82" t="s">
        <v>11758</v>
      </c>
      <c r="AX48" s="82" t="s">
        <v>11758</v>
      </c>
      <c r="AY48" s="77"/>
      <c r="AZ48" s="82" t="s">
        <v>15984</v>
      </c>
      <c r="BA48" s="82" t="s">
        <v>15984</v>
      </c>
      <c r="BB48" s="82" t="s">
        <v>15984</v>
      </c>
      <c r="BC48" s="82" t="s">
        <v>11758</v>
      </c>
      <c r="BD48" s="77">
        <v>17118982</v>
      </c>
      <c r="BE48" s="77"/>
      <c r="BF48" s="77"/>
      <c r="BG48" s="77"/>
      <c r="BH48" s="77"/>
      <c r="BI48" s="77"/>
    </row>
    <row r="49" spans="1:61" x14ac:dyDescent="0.25">
      <c r="A49" s="62" t="s">
        <v>240</v>
      </c>
      <c r="B49" s="62" t="s">
        <v>240</v>
      </c>
      <c r="C49" s="63"/>
      <c r="D49" s="64"/>
      <c r="E49" s="65"/>
      <c r="F49" s="66"/>
      <c r="G49" s="63"/>
      <c r="H49" s="67"/>
      <c r="I49" s="68"/>
      <c r="J49" s="68"/>
      <c r="K49" s="32"/>
      <c r="L49" s="75">
        <v>49</v>
      </c>
      <c r="M49" s="75"/>
      <c r="N49" s="70"/>
      <c r="O49" s="77" t="s">
        <v>179</v>
      </c>
      <c r="P49" s="79">
        <v>45140.57</v>
      </c>
      <c r="Q49" s="77" t="s">
        <v>947</v>
      </c>
      <c r="R49" s="77">
        <v>0</v>
      </c>
      <c r="S49" s="77">
        <v>0</v>
      </c>
      <c r="T49" s="77">
        <v>0</v>
      </c>
      <c r="U49" s="77">
        <v>0</v>
      </c>
      <c r="V49" s="77">
        <v>223</v>
      </c>
      <c r="W49" s="82" t="s">
        <v>4839</v>
      </c>
      <c r="X49" s="80" t="str">
        <f>HYPERLINK("https://www.jornaldocomercio.com/economia/2023/08/1117490-dolar-hesita-e-cede-depois-de-subir-com-dxy-na-esteira-de-adp-forte.html")</f>
        <v>https://www.jornaldocomercio.com/economia/2023/08/1117490-dolar-hesita-e-cede-depois-de-subir-com-dxy-na-esteira-de-adp-forte.html</v>
      </c>
      <c r="Y49" s="77" t="s">
        <v>6475</v>
      </c>
      <c r="Z49" s="77"/>
      <c r="AA49" s="77"/>
      <c r="AB49" s="77"/>
      <c r="AC49" s="82" t="s">
        <v>7754</v>
      </c>
      <c r="AD49" s="77" t="s">
        <v>7788</v>
      </c>
      <c r="AE49" s="80" t="str">
        <f>HYPERLINK("https://twitter.com/jc_rs/status/1686733790054334470")</f>
        <v>https://twitter.com/jc_rs/status/1686733790054334470</v>
      </c>
      <c r="AF49" s="79">
        <v>45140.57</v>
      </c>
      <c r="AG49" s="85">
        <v>45140</v>
      </c>
      <c r="AH49" s="82" t="s">
        <v>7848</v>
      </c>
      <c r="AI49" s="77" t="b">
        <v>0</v>
      </c>
      <c r="AJ49" s="77"/>
      <c r="AK49" s="77"/>
      <c r="AL49" s="77"/>
      <c r="AM49" s="77"/>
      <c r="AN49" s="77"/>
      <c r="AO49" s="77"/>
      <c r="AP49" s="77"/>
      <c r="AQ49" s="77"/>
      <c r="AR49" s="77"/>
      <c r="AS49" s="77"/>
      <c r="AT49" s="77"/>
      <c r="AU49" s="77"/>
      <c r="AV49" s="80" t="str">
        <f>HYPERLINK("https://pbs.twimg.com/profile_images/1531317937075806210/7oEvwlvr_normal.jpg")</f>
        <v>https://pbs.twimg.com/profile_images/1531317937075806210/7oEvwlvr_normal.jpg</v>
      </c>
      <c r="AW49" s="82" t="s">
        <v>11759</v>
      </c>
      <c r="AX49" s="82" t="s">
        <v>11759</v>
      </c>
      <c r="AY49" s="77"/>
      <c r="AZ49" s="82" t="s">
        <v>15984</v>
      </c>
      <c r="BA49" s="82" t="s">
        <v>15984</v>
      </c>
      <c r="BB49" s="82" t="s">
        <v>15984</v>
      </c>
      <c r="BC49" s="82" t="s">
        <v>11759</v>
      </c>
      <c r="BD49" s="77">
        <v>17118982</v>
      </c>
      <c r="BE49" s="77"/>
      <c r="BF49" s="77"/>
      <c r="BG49" s="77"/>
      <c r="BH49" s="77"/>
      <c r="BI49" s="77"/>
    </row>
    <row r="50" spans="1:61" x14ac:dyDescent="0.25">
      <c r="A50" s="62" t="s">
        <v>240</v>
      </c>
      <c r="B50" s="62" t="s">
        <v>240</v>
      </c>
      <c r="C50" s="63"/>
      <c r="D50" s="64"/>
      <c r="E50" s="65"/>
      <c r="F50" s="66"/>
      <c r="G50" s="63"/>
      <c r="H50" s="67"/>
      <c r="I50" s="68"/>
      <c r="J50" s="68"/>
      <c r="K50" s="32"/>
      <c r="L50" s="75">
        <v>50</v>
      </c>
      <c r="M50" s="75"/>
      <c r="N50" s="70"/>
      <c r="O50" s="77" t="s">
        <v>179</v>
      </c>
      <c r="P50" s="79">
        <v>45149.464849537035</v>
      </c>
      <c r="Q50" s="77" t="s">
        <v>948</v>
      </c>
      <c r="R50" s="77">
        <v>0</v>
      </c>
      <c r="S50" s="77">
        <v>0</v>
      </c>
      <c r="T50" s="77">
        <v>0</v>
      </c>
      <c r="U50" s="77">
        <v>0</v>
      </c>
      <c r="V50" s="77">
        <v>249</v>
      </c>
      <c r="W50" s="82" t="s">
        <v>4839</v>
      </c>
      <c r="X50" s="80" t="str">
        <f>HYPERLINK("https://www.jornaldocomercio.com/economia/2023/08/1118813-bolsas-da-asia-fecham-em-queda-com-xangai-em-baixa-de-2-nesta-sexta-feira.html")</f>
        <v>https://www.jornaldocomercio.com/economia/2023/08/1118813-bolsas-da-asia-fecham-em-queda-com-xangai-em-baixa-de-2-nesta-sexta-feira.html</v>
      </c>
      <c r="Y50" s="77" t="s">
        <v>6475</v>
      </c>
      <c r="Z50" s="77"/>
      <c r="AA50" s="77"/>
      <c r="AB50" s="77"/>
      <c r="AC50" s="82" t="s">
        <v>7754</v>
      </c>
      <c r="AD50" s="77" t="s">
        <v>7788</v>
      </c>
      <c r="AE50" s="80" t="str">
        <f>HYPERLINK("https://twitter.com/jc_rs/status/1689957175777525760")</f>
        <v>https://twitter.com/jc_rs/status/1689957175777525760</v>
      </c>
      <c r="AF50" s="79">
        <v>45149.464849537035</v>
      </c>
      <c r="AG50" s="85">
        <v>45149</v>
      </c>
      <c r="AH50" s="82" t="s">
        <v>7849</v>
      </c>
      <c r="AI50" s="77" t="b">
        <v>0</v>
      </c>
      <c r="AJ50" s="77"/>
      <c r="AK50" s="77"/>
      <c r="AL50" s="77"/>
      <c r="AM50" s="77"/>
      <c r="AN50" s="77"/>
      <c r="AO50" s="77"/>
      <c r="AP50" s="77"/>
      <c r="AQ50" s="77"/>
      <c r="AR50" s="77"/>
      <c r="AS50" s="77"/>
      <c r="AT50" s="77"/>
      <c r="AU50" s="77"/>
      <c r="AV50" s="80" t="str">
        <f>HYPERLINK("https://pbs.twimg.com/profile_images/1531317937075806210/7oEvwlvr_normal.jpg")</f>
        <v>https://pbs.twimg.com/profile_images/1531317937075806210/7oEvwlvr_normal.jpg</v>
      </c>
      <c r="AW50" s="82" t="s">
        <v>11760</v>
      </c>
      <c r="AX50" s="82" t="s">
        <v>11760</v>
      </c>
      <c r="AY50" s="77"/>
      <c r="AZ50" s="82" t="s">
        <v>15984</v>
      </c>
      <c r="BA50" s="82" t="s">
        <v>15984</v>
      </c>
      <c r="BB50" s="82" t="s">
        <v>15984</v>
      </c>
      <c r="BC50" s="82" t="s">
        <v>11760</v>
      </c>
      <c r="BD50" s="77">
        <v>17118982</v>
      </c>
      <c r="BE50" s="77"/>
      <c r="BF50" s="77"/>
      <c r="BG50" s="77"/>
      <c r="BH50" s="77"/>
      <c r="BI50" s="77"/>
    </row>
    <row r="51" spans="1:61" x14ac:dyDescent="0.25">
      <c r="A51" s="62" t="s">
        <v>240</v>
      </c>
      <c r="B51" s="62" t="s">
        <v>240</v>
      </c>
      <c r="C51" s="63"/>
      <c r="D51" s="64"/>
      <c r="E51" s="65"/>
      <c r="F51" s="66"/>
      <c r="G51" s="63"/>
      <c r="H51" s="67"/>
      <c r="I51" s="68"/>
      <c r="J51" s="68"/>
      <c r="K51" s="32"/>
      <c r="L51" s="75">
        <v>51</v>
      </c>
      <c r="M51" s="75"/>
      <c r="N51" s="70"/>
      <c r="O51" s="77" t="s">
        <v>179</v>
      </c>
      <c r="P51" s="79">
        <v>45142.819444444445</v>
      </c>
      <c r="Q51" s="77" t="s">
        <v>949</v>
      </c>
      <c r="R51" s="77">
        <v>0</v>
      </c>
      <c r="S51" s="77">
        <v>1</v>
      </c>
      <c r="T51" s="77">
        <v>0</v>
      </c>
      <c r="U51" s="77">
        <v>0</v>
      </c>
      <c r="V51" s="77">
        <v>265</v>
      </c>
      <c r="W51" s="82" t="s">
        <v>4839</v>
      </c>
      <c r="X51" s="80" t="str">
        <f>HYPERLINK("https://www.jornaldocomercio.com/economia/2023/08/1117920-haddad-pede-cautela-nas-analises-por-conta-de-turbulencia-no-mercado-atribuida-a-corte-na-selic.html")</f>
        <v>https://www.jornaldocomercio.com/economia/2023/08/1117920-haddad-pede-cautela-nas-analises-por-conta-de-turbulencia-no-mercado-atribuida-a-corte-na-selic.html</v>
      </c>
      <c r="Y51" s="77" t="s">
        <v>6475</v>
      </c>
      <c r="Z51" s="77"/>
      <c r="AA51" s="77"/>
      <c r="AB51" s="77"/>
      <c r="AC51" s="82" t="s">
        <v>7754</v>
      </c>
      <c r="AD51" s="77" t="s">
        <v>7788</v>
      </c>
      <c r="AE51" s="80" t="str">
        <f>HYPERLINK("https://twitter.com/jc_rs/status/1687548961320505344")</f>
        <v>https://twitter.com/jc_rs/status/1687548961320505344</v>
      </c>
      <c r="AF51" s="79">
        <v>45142.819444444445</v>
      </c>
      <c r="AG51" s="85">
        <v>45142</v>
      </c>
      <c r="AH51" s="82" t="s">
        <v>7850</v>
      </c>
      <c r="AI51" s="77" t="b">
        <v>0</v>
      </c>
      <c r="AJ51" s="77"/>
      <c r="AK51" s="77"/>
      <c r="AL51" s="77"/>
      <c r="AM51" s="77"/>
      <c r="AN51" s="77"/>
      <c r="AO51" s="77"/>
      <c r="AP51" s="77"/>
      <c r="AQ51" s="77"/>
      <c r="AR51" s="77"/>
      <c r="AS51" s="77"/>
      <c r="AT51" s="77"/>
      <c r="AU51" s="77"/>
      <c r="AV51" s="80" t="str">
        <f>HYPERLINK("https://pbs.twimg.com/profile_images/1531317937075806210/7oEvwlvr_normal.jpg")</f>
        <v>https://pbs.twimg.com/profile_images/1531317937075806210/7oEvwlvr_normal.jpg</v>
      </c>
      <c r="AW51" s="82" t="s">
        <v>11761</v>
      </c>
      <c r="AX51" s="82" t="s">
        <v>11761</v>
      </c>
      <c r="AY51" s="77"/>
      <c r="AZ51" s="82" t="s">
        <v>15984</v>
      </c>
      <c r="BA51" s="82" t="s">
        <v>15984</v>
      </c>
      <c r="BB51" s="82" t="s">
        <v>15984</v>
      </c>
      <c r="BC51" s="82" t="s">
        <v>11761</v>
      </c>
      <c r="BD51" s="77">
        <v>17118982</v>
      </c>
      <c r="BE51" s="77"/>
      <c r="BF51" s="77"/>
      <c r="BG51" s="77"/>
      <c r="BH51" s="77"/>
      <c r="BI51" s="77"/>
    </row>
    <row r="52" spans="1:61" x14ac:dyDescent="0.25">
      <c r="A52" s="62" t="s">
        <v>240</v>
      </c>
      <c r="B52" s="62" t="s">
        <v>240</v>
      </c>
      <c r="C52" s="63"/>
      <c r="D52" s="64"/>
      <c r="E52" s="65"/>
      <c r="F52" s="66"/>
      <c r="G52" s="63"/>
      <c r="H52" s="67"/>
      <c r="I52" s="68"/>
      <c r="J52" s="68"/>
      <c r="K52" s="32"/>
      <c r="L52" s="75">
        <v>52</v>
      </c>
      <c r="M52" s="75"/>
      <c r="N52" s="70"/>
      <c r="O52" s="77" t="s">
        <v>179</v>
      </c>
      <c r="P52" s="79">
        <v>45125.472222222219</v>
      </c>
      <c r="Q52" s="77" t="s">
        <v>950</v>
      </c>
      <c r="R52" s="77">
        <v>0</v>
      </c>
      <c r="S52" s="77">
        <v>0</v>
      </c>
      <c r="T52" s="77">
        <v>0</v>
      </c>
      <c r="U52" s="77">
        <v>0</v>
      </c>
      <c r="V52" s="77">
        <v>264</v>
      </c>
      <c r="W52" s="82" t="s">
        <v>4839</v>
      </c>
      <c r="X52" s="80" t="str">
        <f>HYPERLINK("https://www.jornaldocomercio.com/economia/2023/07/1115492-bolsas-da-asia-fecham-em-baixa-ainda-pressionadas-por-dados-chineses-fracos.html")</f>
        <v>https://www.jornaldocomercio.com/economia/2023/07/1115492-bolsas-da-asia-fecham-em-baixa-ainda-pressionadas-por-dados-chineses-fracos.html</v>
      </c>
      <c r="Y52" s="77" t="s">
        <v>6475</v>
      </c>
      <c r="Z52" s="77"/>
      <c r="AA52" s="77"/>
      <c r="AB52" s="77"/>
      <c r="AC52" s="82" t="s">
        <v>7754</v>
      </c>
      <c r="AD52" s="77" t="s">
        <v>7788</v>
      </c>
      <c r="AE52" s="80" t="str">
        <f>HYPERLINK("https://twitter.com/jc_rs/status/1681262539114688514")</f>
        <v>https://twitter.com/jc_rs/status/1681262539114688514</v>
      </c>
      <c r="AF52" s="79">
        <v>45125.472222222219</v>
      </c>
      <c r="AG52" s="85">
        <v>45125</v>
      </c>
      <c r="AH52" s="82" t="s">
        <v>7847</v>
      </c>
      <c r="AI52" s="77" t="b">
        <v>0</v>
      </c>
      <c r="AJ52" s="77"/>
      <c r="AK52" s="77"/>
      <c r="AL52" s="77"/>
      <c r="AM52" s="77"/>
      <c r="AN52" s="77"/>
      <c r="AO52" s="77"/>
      <c r="AP52" s="77"/>
      <c r="AQ52" s="77"/>
      <c r="AR52" s="77"/>
      <c r="AS52" s="77"/>
      <c r="AT52" s="77"/>
      <c r="AU52" s="77"/>
      <c r="AV52" s="80" t="str">
        <f>HYPERLINK("https://pbs.twimg.com/profile_images/1531317937075806210/7oEvwlvr_normal.jpg")</f>
        <v>https://pbs.twimg.com/profile_images/1531317937075806210/7oEvwlvr_normal.jpg</v>
      </c>
      <c r="AW52" s="82" t="s">
        <v>11762</v>
      </c>
      <c r="AX52" s="82" t="s">
        <v>11762</v>
      </c>
      <c r="AY52" s="77"/>
      <c r="AZ52" s="82" t="s">
        <v>15984</v>
      </c>
      <c r="BA52" s="82" t="s">
        <v>15984</v>
      </c>
      <c r="BB52" s="82" t="s">
        <v>15984</v>
      </c>
      <c r="BC52" s="82" t="s">
        <v>11762</v>
      </c>
      <c r="BD52" s="77">
        <v>17118982</v>
      </c>
      <c r="BE52" s="77"/>
      <c r="BF52" s="77"/>
      <c r="BG52" s="77"/>
      <c r="BH52" s="77"/>
      <c r="BI52" s="77"/>
    </row>
    <row r="53" spans="1:61" x14ac:dyDescent="0.25">
      <c r="A53" s="62" t="s">
        <v>240</v>
      </c>
      <c r="B53" s="62" t="s">
        <v>240</v>
      </c>
      <c r="C53" s="63"/>
      <c r="D53" s="64"/>
      <c r="E53" s="65"/>
      <c r="F53" s="66"/>
      <c r="G53" s="63"/>
      <c r="H53" s="67"/>
      <c r="I53" s="68"/>
      <c r="J53" s="68"/>
      <c r="K53" s="32"/>
      <c r="L53" s="75">
        <v>53</v>
      </c>
      <c r="M53" s="75"/>
      <c r="N53" s="70"/>
      <c r="O53" s="77" t="s">
        <v>179</v>
      </c>
      <c r="P53" s="79">
        <v>45148.479166666664</v>
      </c>
      <c r="Q53" s="77" t="s">
        <v>951</v>
      </c>
      <c r="R53" s="77">
        <v>0</v>
      </c>
      <c r="S53" s="77">
        <v>1</v>
      </c>
      <c r="T53" s="77">
        <v>0</v>
      </c>
      <c r="U53" s="77">
        <v>0</v>
      </c>
      <c r="V53" s="77">
        <v>264</v>
      </c>
      <c r="W53" s="82" t="s">
        <v>4839</v>
      </c>
      <c r="X53" s="80" t="str">
        <f>HYPERLINK("https://www.jornaldocomercio.com/economia/2023/08/1118645-bolsas-da-asia-fecham-na-maioria-em-alta-com-ganhos-em-xangai-e-toquio.html")</f>
        <v>https://www.jornaldocomercio.com/economia/2023/08/1118645-bolsas-da-asia-fecham-na-maioria-em-alta-com-ganhos-em-xangai-e-toquio.html</v>
      </c>
      <c r="Y53" s="77" t="s">
        <v>6475</v>
      </c>
      <c r="Z53" s="77"/>
      <c r="AA53" s="77"/>
      <c r="AB53" s="77"/>
      <c r="AC53" s="82" t="s">
        <v>7754</v>
      </c>
      <c r="AD53" s="77" t="s">
        <v>7788</v>
      </c>
      <c r="AE53" s="80" t="str">
        <f>HYPERLINK("https://twitter.com/jc_rs/status/1689599976106512385")</f>
        <v>https://twitter.com/jc_rs/status/1689599976106512385</v>
      </c>
      <c r="AF53" s="79">
        <v>45148.479166666664</v>
      </c>
      <c r="AG53" s="85">
        <v>45148</v>
      </c>
      <c r="AH53" s="82" t="s">
        <v>7851</v>
      </c>
      <c r="AI53" s="77" t="b">
        <v>0</v>
      </c>
      <c r="AJ53" s="77"/>
      <c r="AK53" s="77"/>
      <c r="AL53" s="77"/>
      <c r="AM53" s="77"/>
      <c r="AN53" s="77"/>
      <c r="AO53" s="77"/>
      <c r="AP53" s="77"/>
      <c r="AQ53" s="77"/>
      <c r="AR53" s="77"/>
      <c r="AS53" s="77"/>
      <c r="AT53" s="77"/>
      <c r="AU53" s="77"/>
      <c r="AV53" s="80" t="str">
        <f>HYPERLINK("https://pbs.twimg.com/profile_images/1531317937075806210/7oEvwlvr_normal.jpg")</f>
        <v>https://pbs.twimg.com/profile_images/1531317937075806210/7oEvwlvr_normal.jpg</v>
      </c>
      <c r="AW53" s="82" t="s">
        <v>11763</v>
      </c>
      <c r="AX53" s="82" t="s">
        <v>11763</v>
      </c>
      <c r="AY53" s="77"/>
      <c r="AZ53" s="82" t="s">
        <v>15984</v>
      </c>
      <c r="BA53" s="82" t="s">
        <v>15984</v>
      </c>
      <c r="BB53" s="82" t="s">
        <v>15984</v>
      </c>
      <c r="BC53" s="82" t="s">
        <v>11763</v>
      </c>
      <c r="BD53" s="77">
        <v>17118982</v>
      </c>
      <c r="BE53" s="77"/>
      <c r="BF53" s="77"/>
      <c r="BG53" s="77"/>
      <c r="BH53" s="77"/>
      <c r="BI53" s="77"/>
    </row>
    <row r="54" spans="1:61" x14ac:dyDescent="0.25">
      <c r="A54" s="62" t="s">
        <v>240</v>
      </c>
      <c r="B54" s="62" t="s">
        <v>240</v>
      </c>
      <c r="C54" s="63"/>
      <c r="D54" s="64"/>
      <c r="E54" s="65"/>
      <c r="F54" s="66"/>
      <c r="G54" s="63"/>
      <c r="H54" s="67"/>
      <c r="I54" s="68"/>
      <c r="J54" s="68"/>
      <c r="K54" s="32"/>
      <c r="L54" s="75">
        <v>54</v>
      </c>
      <c r="M54" s="75"/>
      <c r="N54" s="70"/>
      <c r="O54" s="77" t="s">
        <v>179</v>
      </c>
      <c r="P54" s="79">
        <v>45147.513888888891</v>
      </c>
      <c r="Q54" s="77" t="s">
        <v>952</v>
      </c>
      <c r="R54" s="77">
        <v>0</v>
      </c>
      <c r="S54" s="77">
        <v>2</v>
      </c>
      <c r="T54" s="77">
        <v>0</v>
      </c>
      <c r="U54" s="77">
        <v>0</v>
      </c>
      <c r="V54" s="77">
        <v>261</v>
      </c>
      <c r="W54" s="82" t="s">
        <v>4839</v>
      </c>
      <c r="X54" s="80" t="str">
        <f>HYPERLINK("https://www.jornaldocomercio.com/economia/2023/08/1118446-bolsas-da-asia-fecham-sem-direcao-unica-mas-xangai-cai-em-dia-de-dados-de-inflacao-na-china.html")</f>
        <v>https://www.jornaldocomercio.com/economia/2023/08/1118446-bolsas-da-asia-fecham-sem-direcao-unica-mas-xangai-cai-em-dia-de-dados-de-inflacao-na-china.html</v>
      </c>
      <c r="Y54" s="77" t="s">
        <v>6475</v>
      </c>
      <c r="Z54" s="77"/>
      <c r="AA54" s="77"/>
      <c r="AB54" s="77"/>
      <c r="AC54" s="82" t="s">
        <v>7754</v>
      </c>
      <c r="AD54" s="77" t="s">
        <v>7788</v>
      </c>
      <c r="AE54" s="80" t="str">
        <f>HYPERLINK("https://twitter.com/jc_rs/status/1689250171748831232")</f>
        <v>https://twitter.com/jc_rs/status/1689250171748831232</v>
      </c>
      <c r="AF54" s="79">
        <v>45147.513888888891</v>
      </c>
      <c r="AG54" s="85">
        <v>45147</v>
      </c>
      <c r="AH54" s="82" t="s">
        <v>7852</v>
      </c>
      <c r="AI54" s="77" t="b">
        <v>0</v>
      </c>
      <c r="AJ54" s="77"/>
      <c r="AK54" s="77"/>
      <c r="AL54" s="77"/>
      <c r="AM54" s="77"/>
      <c r="AN54" s="77"/>
      <c r="AO54" s="77"/>
      <c r="AP54" s="77"/>
      <c r="AQ54" s="77"/>
      <c r="AR54" s="77"/>
      <c r="AS54" s="77"/>
      <c r="AT54" s="77"/>
      <c r="AU54" s="77"/>
      <c r="AV54" s="80" t="str">
        <f>HYPERLINK("https://pbs.twimg.com/profile_images/1531317937075806210/7oEvwlvr_normal.jpg")</f>
        <v>https://pbs.twimg.com/profile_images/1531317937075806210/7oEvwlvr_normal.jpg</v>
      </c>
      <c r="AW54" s="82" t="s">
        <v>11764</v>
      </c>
      <c r="AX54" s="82" t="s">
        <v>11764</v>
      </c>
      <c r="AY54" s="77"/>
      <c r="AZ54" s="82" t="s">
        <v>15984</v>
      </c>
      <c r="BA54" s="82" t="s">
        <v>15984</v>
      </c>
      <c r="BB54" s="82" t="s">
        <v>15984</v>
      </c>
      <c r="BC54" s="82" t="s">
        <v>11764</v>
      </c>
      <c r="BD54" s="77">
        <v>17118982</v>
      </c>
      <c r="BE54" s="77"/>
      <c r="BF54" s="77"/>
      <c r="BG54" s="77"/>
      <c r="BH54" s="77"/>
      <c r="BI54" s="77"/>
    </row>
    <row r="55" spans="1:61" x14ac:dyDescent="0.25">
      <c r="A55" s="62" t="s">
        <v>240</v>
      </c>
      <c r="B55" s="62" t="s">
        <v>240</v>
      </c>
      <c r="C55" s="63"/>
      <c r="D55" s="64"/>
      <c r="E55" s="65"/>
      <c r="F55" s="66"/>
      <c r="G55" s="63"/>
      <c r="H55" s="67"/>
      <c r="I55" s="68"/>
      <c r="J55" s="68"/>
      <c r="K55" s="32"/>
      <c r="L55" s="75">
        <v>55</v>
      </c>
      <c r="M55" s="75"/>
      <c r="N55" s="70"/>
      <c r="O55" s="77" t="s">
        <v>179</v>
      </c>
      <c r="P55" s="79">
        <v>45128.472222222219</v>
      </c>
      <c r="Q55" s="77" t="s">
        <v>953</v>
      </c>
      <c r="R55" s="77">
        <v>0</v>
      </c>
      <c r="S55" s="77">
        <v>0</v>
      </c>
      <c r="T55" s="77">
        <v>0</v>
      </c>
      <c r="U55" s="77">
        <v>0</v>
      </c>
      <c r="V55" s="77">
        <v>294</v>
      </c>
      <c r="W55" s="82" t="s">
        <v>4839</v>
      </c>
      <c r="X55" s="80" t="str">
        <f>HYPERLINK("https://www.jornaldocomercio.com/economia/2023/07/1115997-bolsas-da-asia-fecham-mistas-apos-cpi-japones-e-de-olho-em-reuniao-de-lideranca-chinesa.html")</f>
        <v>https://www.jornaldocomercio.com/economia/2023/07/1115997-bolsas-da-asia-fecham-mistas-apos-cpi-japones-e-de-olho-em-reuniao-de-lideranca-chinesa.html</v>
      </c>
      <c r="Y55" s="77" t="s">
        <v>6475</v>
      </c>
      <c r="Z55" s="77"/>
      <c r="AA55" s="77"/>
      <c r="AB55" s="77"/>
      <c r="AC55" s="82" t="s">
        <v>7754</v>
      </c>
      <c r="AD55" s="77" t="s">
        <v>7788</v>
      </c>
      <c r="AE55" s="80" t="str">
        <f>HYPERLINK("https://twitter.com/jc_rs/status/1682349702560509954")</f>
        <v>https://twitter.com/jc_rs/status/1682349702560509954</v>
      </c>
      <c r="AF55" s="79">
        <v>45128.472222222219</v>
      </c>
      <c r="AG55" s="85">
        <v>45128</v>
      </c>
      <c r="AH55" s="82" t="s">
        <v>7847</v>
      </c>
      <c r="AI55" s="77" t="b">
        <v>0</v>
      </c>
      <c r="AJ55" s="77"/>
      <c r="AK55" s="77"/>
      <c r="AL55" s="77"/>
      <c r="AM55" s="77"/>
      <c r="AN55" s="77"/>
      <c r="AO55" s="77"/>
      <c r="AP55" s="77"/>
      <c r="AQ55" s="77"/>
      <c r="AR55" s="77"/>
      <c r="AS55" s="77"/>
      <c r="AT55" s="77"/>
      <c r="AU55" s="77"/>
      <c r="AV55" s="80" t="str">
        <f>HYPERLINK("https://pbs.twimg.com/profile_images/1531317937075806210/7oEvwlvr_normal.jpg")</f>
        <v>https://pbs.twimg.com/profile_images/1531317937075806210/7oEvwlvr_normal.jpg</v>
      </c>
      <c r="AW55" s="82" t="s">
        <v>11765</v>
      </c>
      <c r="AX55" s="82" t="s">
        <v>11765</v>
      </c>
      <c r="AY55" s="77"/>
      <c r="AZ55" s="82" t="s">
        <v>15984</v>
      </c>
      <c r="BA55" s="82" t="s">
        <v>15984</v>
      </c>
      <c r="BB55" s="82" t="s">
        <v>15984</v>
      </c>
      <c r="BC55" s="82" t="s">
        <v>11765</v>
      </c>
      <c r="BD55" s="77">
        <v>17118982</v>
      </c>
      <c r="BE55" s="77"/>
      <c r="BF55" s="77"/>
      <c r="BG55" s="77"/>
      <c r="BH55" s="77"/>
      <c r="BI55" s="77"/>
    </row>
    <row r="56" spans="1:61" x14ac:dyDescent="0.25">
      <c r="A56" s="62" t="s">
        <v>240</v>
      </c>
      <c r="B56" s="62" t="s">
        <v>240</v>
      </c>
      <c r="C56" s="63"/>
      <c r="D56" s="64"/>
      <c r="E56" s="65"/>
      <c r="F56" s="66"/>
      <c r="G56" s="63"/>
      <c r="H56" s="67"/>
      <c r="I56" s="68"/>
      <c r="J56" s="68"/>
      <c r="K56" s="32"/>
      <c r="L56" s="75">
        <v>56</v>
      </c>
      <c r="M56" s="75"/>
      <c r="N56" s="70"/>
      <c r="O56" s="77" t="s">
        <v>179</v>
      </c>
      <c r="P56" s="79">
        <v>45152.466770833336</v>
      </c>
      <c r="Q56" s="77" t="s">
        <v>954</v>
      </c>
      <c r="R56" s="77">
        <v>0</v>
      </c>
      <c r="S56" s="77">
        <v>1</v>
      </c>
      <c r="T56" s="77">
        <v>0</v>
      </c>
      <c r="U56" s="77">
        <v>0</v>
      </c>
      <c r="V56" s="77">
        <v>343</v>
      </c>
      <c r="W56" s="82" t="s">
        <v>4839</v>
      </c>
      <c r="X56" s="80" t="str">
        <f>HYPERLINK("https://www.jornaldocomercio.com/economia/2023/08/1119019-bolsas-da-asia-fecham-em-baixa-com-cautela-por-incorporadora-country-garden-da-china.html")</f>
        <v>https://www.jornaldocomercio.com/economia/2023/08/1119019-bolsas-da-asia-fecham-em-baixa-com-cautela-por-incorporadora-country-garden-da-china.html</v>
      </c>
      <c r="Y56" s="77" t="s">
        <v>6475</v>
      </c>
      <c r="Z56" s="77"/>
      <c r="AA56" s="77"/>
      <c r="AB56" s="77"/>
      <c r="AC56" s="82" t="s">
        <v>7754</v>
      </c>
      <c r="AD56" s="77" t="s">
        <v>7788</v>
      </c>
      <c r="AE56" s="80" t="str">
        <f>HYPERLINK("https://twitter.com/jc_rs/status/1691045037864296448")</f>
        <v>https://twitter.com/jc_rs/status/1691045037864296448</v>
      </c>
      <c r="AF56" s="79">
        <v>45152.466770833336</v>
      </c>
      <c r="AG56" s="85">
        <v>45152</v>
      </c>
      <c r="AH56" s="82" t="s">
        <v>7853</v>
      </c>
      <c r="AI56" s="77" t="b">
        <v>0</v>
      </c>
      <c r="AJ56" s="77"/>
      <c r="AK56" s="77"/>
      <c r="AL56" s="77"/>
      <c r="AM56" s="77"/>
      <c r="AN56" s="77"/>
      <c r="AO56" s="77"/>
      <c r="AP56" s="77"/>
      <c r="AQ56" s="77"/>
      <c r="AR56" s="77"/>
      <c r="AS56" s="77"/>
      <c r="AT56" s="77"/>
      <c r="AU56" s="77"/>
      <c r="AV56" s="80" t="str">
        <f>HYPERLINK("https://pbs.twimg.com/profile_images/1531317937075806210/7oEvwlvr_normal.jpg")</f>
        <v>https://pbs.twimg.com/profile_images/1531317937075806210/7oEvwlvr_normal.jpg</v>
      </c>
      <c r="AW56" s="82" t="s">
        <v>11766</v>
      </c>
      <c r="AX56" s="82" t="s">
        <v>11766</v>
      </c>
      <c r="AY56" s="77"/>
      <c r="AZ56" s="82" t="s">
        <v>15984</v>
      </c>
      <c r="BA56" s="82" t="s">
        <v>15984</v>
      </c>
      <c r="BB56" s="82" t="s">
        <v>15984</v>
      </c>
      <c r="BC56" s="82" t="s">
        <v>11766</v>
      </c>
      <c r="BD56" s="77">
        <v>17118982</v>
      </c>
      <c r="BE56" s="77"/>
      <c r="BF56" s="77"/>
      <c r="BG56" s="77"/>
      <c r="BH56" s="77"/>
      <c r="BI56" s="77"/>
    </row>
    <row r="57" spans="1:61" x14ac:dyDescent="0.25">
      <c r="A57" s="62" t="s">
        <v>240</v>
      </c>
      <c r="B57" s="62" t="s">
        <v>240</v>
      </c>
      <c r="C57" s="63"/>
      <c r="D57" s="64"/>
      <c r="E57" s="65"/>
      <c r="F57" s="66"/>
      <c r="G57" s="63"/>
      <c r="H57" s="67"/>
      <c r="I57" s="68"/>
      <c r="J57" s="68"/>
      <c r="K57" s="32"/>
      <c r="L57" s="75">
        <v>57</v>
      </c>
      <c r="M57" s="75"/>
      <c r="N57" s="70"/>
      <c r="O57" s="77" t="s">
        <v>179</v>
      </c>
      <c r="P57" s="79">
        <v>45162.625034722223</v>
      </c>
      <c r="Q57" s="77" t="s">
        <v>955</v>
      </c>
      <c r="R57" s="77">
        <v>0</v>
      </c>
      <c r="S57" s="77">
        <v>0</v>
      </c>
      <c r="T57" s="77">
        <v>0</v>
      </c>
      <c r="U57" s="77">
        <v>0</v>
      </c>
      <c r="V57" s="77">
        <v>265</v>
      </c>
      <c r="W57" s="82" t="s">
        <v>4839</v>
      </c>
      <c r="X57" s="80" t="str">
        <f>HYPERLINK("https://www.jornaldocomercio.com/economia/2023/08/1120576-bolsas-da-asia-fecham-em-alta-com-setor-de-tecnologia-apoiado-por-balanco-da-nvidia.html")</f>
        <v>https://www.jornaldocomercio.com/economia/2023/08/1120576-bolsas-da-asia-fecham-em-alta-com-setor-de-tecnologia-apoiado-por-balanco-da-nvidia.html</v>
      </c>
      <c r="Y57" s="77" t="s">
        <v>6475</v>
      </c>
      <c r="Z57" s="77"/>
      <c r="AA57" s="77"/>
      <c r="AB57" s="77"/>
      <c r="AC57" s="82" t="s">
        <v>7750</v>
      </c>
      <c r="AD57" s="77" t="s">
        <v>7788</v>
      </c>
      <c r="AE57" s="80" t="str">
        <f>HYPERLINK("https://twitter.com/jc_rs/status/1694726266405183866")</f>
        <v>https://twitter.com/jc_rs/status/1694726266405183866</v>
      </c>
      <c r="AF57" s="79">
        <v>45162.625034722223</v>
      </c>
      <c r="AG57" s="85">
        <v>45162</v>
      </c>
      <c r="AH57" s="82" t="s">
        <v>7854</v>
      </c>
      <c r="AI57" s="77" t="b">
        <v>0</v>
      </c>
      <c r="AJ57" s="77"/>
      <c r="AK57" s="77"/>
      <c r="AL57" s="77"/>
      <c r="AM57" s="77"/>
      <c r="AN57" s="77"/>
      <c r="AO57" s="77"/>
      <c r="AP57" s="77"/>
      <c r="AQ57" s="77"/>
      <c r="AR57" s="77"/>
      <c r="AS57" s="77"/>
      <c r="AT57" s="77"/>
      <c r="AU57" s="77"/>
      <c r="AV57" s="80" t="str">
        <f>HYPERLINK("https://pbs.twimg.com/profile_images/1531317937075806210/7oEvwlvr_normal.jpg")</f>
        <v>https://pbs.twimg.com/profile_images/1531317937075806210/7oEvwlvr_normal.jpg</v>
      </c>
      <c r="AW57" s="82" t="s">
        <v>11767</v>
      </c>
      <c r="AX57" s="82" t="s">
        <v>11767</v>
      </c>
      <c r="AY57" s="77"/>
      <c r="AZ57" s="82" t="s">
        <v>15984</v>
      </c>
      <c r="BA57" s="82" t="s">
        <v>15984</v>
      </c>
      <c r="BB57" s="82" t="s">
        <v>15984</v>
      </c>
      <c r="BC57" s="82" t="s">
        <v>11767</v>
      </c>
      <c r="BD57" s="77">
        <v>17118982</v>
      </c>
      <c r="BE57" s="77"/>
      <c r="BF57" s="77"/>
      <c r="BG57" s="77"/>
      <c r="BH57" s="77"/>
      <c r="BI57" s="77"/>
    </row>
    <row r="58" spans="1:61" x14ac:dyDescent="0.25">
      <c r="A58" s="62" t="s">
        <v>240</v>
      </c>
      <c r="B58" s="62" t="s">
        <v>240</v>
      </c>
      <c r="C58" s="63"/>
      <c r="D58" s="64"/>
      <c r="E58" s="65"/>
      <c r="F58" s="66"/>
      <c r="G58" s="63"/>
      <c r="H58" s="67"/>
      <c r="I58" s="68"/>
      <c r="J58" s="68"/>
      <c r="K58" s="32"/>
      <c r="L58" s="75">
        <v>58</v>
      </c>
      <c r="M58" s="75"/>
      <c r="N58" s="70"/>
      <c r="O58" s="77" t="s">
        <v>179</v>
      </c>
      <c r="P58" s="79">
        <v>45124.472222222219</v>
      </c>
      <c r="Q58" s="77" t="s">
        <v>956</v>
      </c>
      <c r="R58" s="77">
        <v>0</v>
      </c>
      <c r="S58" s="77">
        <v>0</v>
      </c>
      <c r="T58" s="77">
        <v>0</v>
      </c>
      <c r="U58" s="77">
        <v>0</v>
      </c>
      <c r="V58" s="77">
        <v>299</v>
      </c>
      <c r="W58" s="82" t="s">
        <v>4839</v>
      </c>
      <c r="X58" s="80" t="str">
        <f>HYPERLINK("https://www.jornaldocomercio.com/economia/2023/07/1115291-bolsas-da-asia-e-pacifico-fecham-majoritariamente-em-baixa-apos-pib-chines-decepcionar.html")</f>
        <v>https://www.jornaldocomercio.com/economia/2023/07/1115291-bolsas-da-asia-e-pacifico-fecham-majoritariamente-em-baixa-apos-pib-chines-decepcionar.html</v>
      </c>
      <c r="Y58" s="77" t="s">
        <v>6475</v>
      </c>
      <c r="Z58" s="77"/>
      <c r="AA58" s="77"/>
      <c r="AB58" s="77"/>
      <c r="AC58" s="82" t="s">
        <v>7754</v>
      </c>
      <c r="AD58" s="77" t="s">
        <v>7788</v>
      </c>
      <c r="AE58" s="80" t="str">
        <f>HYPERLINK("https://twitter.com/jc_rs/status/1680900151156801538")</f>
        <v>https://twitter.com/jc_rs/status/1680900151156801538</v>
      </c>
      <c r="AF58" s="79">
        <v>45124.472222222219</v>
      </c>
      <c r="AG58" s="85">
        <v>45124</v>
      </c>
      <c r="AH58" s="82" t="s">
        <v>7847</v>
      </c>
      <c r="AI58" s="77" t="b">
        <v>0</v>
      </c>
      <c r="AJ58" s="77"/>
      <c r="AK58" s="77"/>
      <c r="AL58" s="77"/>
      <c r="AM58" s="77"/>
      <c r="AN58" s="77"/>
      <c r="AO58" s="77"/>
      <c r="AP58" s="77"/>
      <c r="AQ58" s="77"/>
      <c r="AR58" s="77"/>
      <c r="AS58" s="77"/>
      <c r="AT58" s="77"/>
      <c r="AU58" s="77"/>
      <c r="AV58" s="80" t="str">
        <f>HYPERLINK("https://pbs.twimg.com/profile_images/1531317937075806210/7oEvwlvr_normal.jpg")</f>
        <v>https://pbs.twimg.com/profile_images/1531317937075806210/7oEvwlvr_normal.jpg</v>
      </c>
      <c r="AW58" s="82" t="s">
        <v>11768</v>
      </c>
      <c r="AX58" s="82" t="s">
        <v>11768</v>
      </c>
      <c r="AY58" s="77"/>
      <c r="AZ58" s="82" t="s">
        <v>15984</v>
      </c>
      <c r="BA58" s="82" t="s">
        <v>15984</v>
      </c>
      <c r="BB58" s="82" t="s">
        <v>15984</v>
      </c>
      <c r="BC58" s="82" t="s">
        <v>11768</v>
      </c>
      <c r="BD58" s="77">
        <v>17118982</v>
      </c>
      <c r="BE58" s="77"/>
      <c r="BF58" s="77"/>
      <c r="BG58" s="77"/>
      <c r="BH58" s="77"/>
      <c r="BI58" s="77"/>
    </row>
    <row r="59" spans="1:61" x14ac:dyDescent="0.25">
      <c r="A59" s="62" t="s">
        <v>240</v>
      </c>
      <c r="B59" s="62" t="s">
        <v>240</v>
      </c>
      <c r="C59" s="63"/>
      <c r="D59" s="64"/>
      <c r="E59" s="65"/>
      <c r="F59" s="66"/>
      <c r="G59" s="63"/>
      <c r="H59" s="67"/>
      <c r="I59" s="68"/>
      <c r="J59" s="68"/>
      <c r="K59" s="32"/>
      <c r="L59" s="75">
        <v>59</v>
      </c>
      <c r="M59" s="75"/>
      <c r="N59" s="70"/>
      <c r="O59" s="77" t="s">
        <v>179</v>
      </c>
      <c r="P59" s="79">
        <v>45160.545289351852</v>
      </c>
      <c r="Q59" s="77" t="s">
        <v>957</v>
      </c>
      <c r="R59" s="77">
        <v>0</v>
      </c>
      <c r="S59" s="77">
        <v>2</v>
      </c>
      <c r="T59" s="77">
        <v>1</v>
      </c>
      <c r="U59" s="77">
        <v>0</v>
      </c>
      <c r="V59" s="77">
        <v>258</v>
      </c>
      <c r="W59" s="82" t="s">
        <v>4839</v>
      </c>
      <c r="X59" s="80" t="str">
        <f>HYPERLINK("https://www.jornaldocomercio.com/economia/2023/08/1120237-dolar-recua-com-alivio-em-rendimento-de-treasuries-e-alta-de-commodities.html")</f>
        <v>https://www.jornaldocomercio.com/economia/2023/08/1120237-dolar-recua-com-alivio-em-rendimento-de-treasuries-e-alta-de-commodities.html</v>
      </c>
      <c r="Y59" s="77" t="s">
        <v>6475</v>
      </c>
      <c r="Z59" s="77"/>
      <c r="AA59" s="77"/>
      <c r="AB59" s="77"/>
      <c r="AC59" s="82" t="s">
        <v>7750</v>
      </c>
      <c r="AD59" s="77" t="s">
        <v>7788</v>
      </c>
      <c r="AE59" s="80" t="str">
        <f>HYPERLINK("https://twitter.com/jc_rs/status/1693972594746142827")</f>
        <v>https://twitter.com/jc_rs/status/1693972594746142827</v>
      </c>
      <c r="AF59" s="79">
        <v>45160.545289351852</v>
      </c>
      <c r="AG59" s="85">
        <v>45160</v>
      </c>
      <c r="AH59" s="82" t="s">
        <v>7855</v>
      </c>
      <c r="AI59" s="77" t="b">
        <v>0</v>
      </c>
      <c r="AJ59" s="77"/>
      <c r="AK59" s="77"/>
      <c r="AL59" s="77"/>
      <c r="AM59" s="77"/>
      <c r="AN59" s="77"/>
      <c r="AO59" s="77"/>
      <c r="AP59" s="77"/>
      <c r="AQ59" s="77"/>
      <c r="AR59" s="77"/>
      <c r="AS59" s="77"/>
      <c r="AT59" s="77"/>
      <c r="AU59" s="77"/>
      <c r="AV59" s="80" t="str">
        <f>HYPERLINK("https://pbs.twimg.com/profile_images/1531317937075806210/7oEvwlvr_normal.jpg")</f>
        <v>https://pbs.twimg.com/profile_images/1531317937075806210/7oEvwlvr_normal.jpg</v>
      </c>
      <c r="AW59" s="82" t="s">
        <v>11769</v>
      </c>
      <c r="AX59" s="82" t="s">
        <v>11769</v>
      </c>
      <c r="AY59" s="77"/>
      <c r="AZ59" s="82" t="s">
        <v>15984</v>
      </c>
      <c r="BA59" s="82" t="s">
        <v>15984</v>
      </c>
      <c r="BB59" s="82" t="s">
        <v>15984</v>
      </c>
      <c r="BC59" s="82" t="s">
        <v>11769</v>
      </c>
      <c r="BD59" s="77">
        <v>17118982</v>
      </c>
      <c r="BE59" s="77"/>
      <c r="BF59" s="77"/>
      <c r="BG59" s="77"/>
      <c r="BH59" s="77"/>
      <c r="BI59" s="77"/>
    </row>
    <row r="60" spans="1:61" x14ac:dyDescent="0.25">
      <c r="A60" s="62" t="s">
        <v>240</v>
      </c>
      <c r="B60" s="62" t="s">
        <v>240</v>
      </c>
      <c r="C60" s="63"/>
      <c r="D60" s="64"/>
      <c r="E60" s="65"/>
      <c r="F60" s="66"/>
      <c r="G60" s="63"/>
      <c r="H60" s="67"/>
      <c r="I60" s="68"/>
      <c r="J60" s="68"/>
      <c r="K60" s="32"/>
      <c r="L60" s="75">
        <v>60</v>
      </c>
      <c r="M60" s="75"/>
      <c r="N60" s="70"/>
      <c r="O60" s="77" t="s">
        <v>179</v>
      </c>
      <c r="P60" s="79">
        <v>45126.472222222219</v>
      </c>
      <c r="Q60" s="77" t="s">
        <v>958</v>
      </c>
      <c r="R60" s="77">
        <v>0</v>
      </c>
      <c r="S60" s="77">
        <v>1</v>
      </c>
      <c r="T60" s="77">
        <v>0</v>
      </c>
      <c r="U60" s="77">
        <v>0</v>
      </c>
      <c r="V60" s="77">
        <v>288</v>
      </c>
      <c r="W60" s="82" t="s">
        <v>4839</v>
      </c>
      <c r="X60" s="80" t="str">
        <f>HYPERLINK("https://www.jornaldocomercio.com/economia/2023/07/1115663-bolsas-da-asia-fecham-mistas-apos-ny-estender-ganhos-e-em-meio-a-preocupacao-com-china.html")</f>
        <v>https://www.jornaldocomercio.com/economia/2023/07/1115663-bolsas-da-asia-fecham-mistas-apos-ny-estender-ganhos-e-em-meio-a-preocupacao-com-china.html</v>
      </c>
      <c r="Y60" s="77" t="s">
        <v>6475</v>
      </c>
      <c r="Z60" s="77"/>
      <c r="AA60" s="77"/>
      <c r="AB60" s="77"/>
      <c r="AC60" s="82" t="s">
        <v>7754</v>
      </c>
      <c r="AD60" s="77" t="s">
        <v>7788</v>
      </c>
      <c r="AE60" s="80" t="str">
        <f>HYPERLINK("https://twitter.com/jc_rs/status/1681624926804140033")</f>
        <v>https://twitter.com/jc_rs/status/1681624926804140033</v>
      </c>
      <c r="AF60" s="79">
        <v>45126.472222222219</v>
      </c>
      <c r="AG60" s="85">
        <v>45126</v>
      </c>
      <c r="AH60" s="82" t="s">
        <v>7847</v>
      </c>
      <c r="AI60" s="77" t="b">
        <v>0</v>
      </c>
      <c r="AJ60" s="77"/>
      <c r="AK60" s="77"/>
      <c r="AL60" s="77"/>
      <c r="AM60" s="77"/>
      <c r="AN60" s="77"/>
      <c r="AO60" s="77"/>
      <c r="AP60" s="77"/>
      <c r="AQ60" s="77"/>
      <c r="AR60" s="77"/>
      <c r="AS60" s="77"/>
      <c r="AT60" s="77"/>
      <c r="AU60" s="77"/>
      <c r="AV60" s="80" t="str">
        <f>HYPERLINK("https://pbs.twimg.com/profile_images/1531317937075806210/7oEvwlvr_normal.jpg")</f>
        <v>https://pbs.twimg.com/profile_images/1531317937075806210/7oEvwlvr_normal.jpg</v>
      </c>
      <c r="AW60" s="82" t="s">
        <v>11770</v>
      </c>
      <c r="AX60" s="82" t="s">
        <v>11770</v>
      </c>
      <c r="AY60" s="77"/>
      <c r="AZ60" s="82" t="s">
        <v>15984</v>
      </c>
      <c r="BA60" s="82" t="s">
        <v>15984</v>
      </c>
      <c r="BB60" s="82" t="s">
        <v>15984</v>
      </c>
      <c r="BC60" s="82" t="s">
        <v>11770</v>
      </c>
      <c r="BD60" s="77">
        <v>17118982</v>
      </c>
      <c r="BE60" s="77"/>
      <c r="BF60" s="77"/>
      <c r="BG60" s="77"/>
      <c r="BH60" s="77"/>
      <c r="BI60" s="77"/>
    </row>
    <row r="61" spans="1:61" x14ac:dyDescent="0.25">
      <c r="A61" s="62" t="s">
        <v>240</v>
      </c>
      <c r="B61" s="62" t="s">
        <v>240</v>
      </c>
      <c r="C61" s="63"/>
      <c r="D61" s="64"/>
      <c r="E61" s="65"/>
      <c r="F61" s="66"/>
      <c r="G61" s="63"/>
      <c r="H61" s="67"/>
      <c r="I61" s="68"/>
      <c r="J61" s="68"/>
      <c r="K61" s="32"/>
      <c r="L61" s="75">
        <v>61</v>
      </c>
      <c r="M61" s="75"/>
      <c r="N61" s="70"/>
      <c r="O61" s="77" t="s">
        <v>179</v>
      </c>
      <c r="P61" s="79">
        <v>45160.646805555552</v>
      </c>
      <c r="Q61" s="77" t="s">
        <v>959</v>
      </c>
      <c r="R61" s="77">
        <v>0</v>
      </c>
      <c r="S61" s="77">
        <v>1</v>
      </c>
      <c r="T61" s="77">
        <v>0</v>
      </c>
      <c r="U61" s="77">
        <v>0</v>
      </c>
      <c r="V61" s="77">
        <v>326</v>
      </c>
      <c r="W61" s="82" t="s">
        <v>4839</v>
      </c>
      <c r="X61" s="80" t="str">
        <f>HYPERLINK("https://www.jornaldocomercio.com/economia/2023/08/1120248-com-ajuda-de-commodities-ibovespa-opera-em-alta-de-1-em-dia-de-recuperacao.html")</f>
        <v>https://www.jornaldocomercio.com/economia/2023/08/1120248-com-ajuda-de-commodities-ibovespa-opera-em-alta-de-1-em-dia-de-recuperacao.html</v>
      </c>
      <c r="Y61" s="77" t="s">
        <v>6475</v>
      </c>
      <c r="Z61" s="77"/>
      <c r="AA61" s="77"/>
      <c r="AB61" s="77"/>
      <c r="AC61" s="82" t="s">
        <v>7750</v>
      </c>
      <c r="AD61" s="77" t="s">
        <v>7788</v>
      </c>
      <c r="AE61" s="80" t="str">
        <f>HYPERLINK("https://twitter.com/jc_rs/status/1694009382692848106")</f>
        <v>https://twitter.com/jc_rs/status/1694009382692848106</v>
      </c>
      <c r="AF61" s="79">
        <v>45160.646805555552</v>
      </c>
      <c r="AG61" s="85">
        <v>45160</v>
      </c>
      <c r="AH61" s="82" t="s">
        <v>7856</v>
      </c>
      <c r="AI61" s="77" t="b">
        <v>0</v>
      </c>
      <c r="AJ61" s="77"/>
      <c r="AK61" s="77"/>
      <c r="AL61" s="77"/>
      <c r="AM61" s="77"/>
      <c r="AN61" s="77"/>
      <c r="AO61" s="77"/>
      <c r="AP61" s="77"/>
      <c r="AQ61" s="77"/>
      <c r="AR61" s="77"/>
      <c r="AS61" s="77"/>
      <c r="AT61" s="77"/>
      <c r="AU61" s="77"/>
      <c r="AV61" s="80" t="str">
        <f>HYPERLINK("https://pbs.twimg.com/profile_images/1531317937075806210/7oEvwlvr_normal.jpg")</f>
        <v>https://pbs.twimg.com/profile_images/1531317937075806210/7oEvwlvr_normal.jpg</v>
      </c>
      <c r="AW61" s="82" t="s">
        <v>11771</v>
      </c>
      <c r="AX61" s="82" t="s">
        <v>11771</v>
      </c>
      <c r="AY61" s="77"/>
      <c r="AZ61" s="82" t="s">
        <v>15984</v>
      </c>
      <c r="BA61" s="82" t="s">
        <v>15984</v>
      </c>
      <c r="BB61" s="82" t="s">
        <v>15984</v>
      </c>
      <c r="BC61" s="82" t="s">
        <v>11771</v>
      </c>
      <c r="BD61" s="77">
        <v>17118982</v>
      </c>
      <c r="BE61" s="77"/>
      <c r="BF61" s="77"/>
      <c r="BG61" s="77"/>
      <c r="BH61" s="77"/>
      <c r="BI61" s="77"/>
    </row>
    <row r="62" spans="1:61" x14ac:dyDescent="0.25">
      <c r="A62" s="62" t="s">
        <v>240</v>
      </c>
      <c r="B62" s="62" t="s">
        <v>240</v>
      </c>
      <c r="C62" s="63"/>
      <c r="D62" s="64"/>
      <c r="E62" s="65"/>
      <c r="F62" s="66"/>
      <c r="G62" s="63"/>
      <c r="H62" s="67"/>
      <c r="I62" s="68"/>
      <c r="J62" s="68"/>
      <c r="K62" s="32"/>
      <c r="L62" s="75">
        <v>62</v>
      </c>
      <c r="M62" s="75"/>
      <c r="N62" s="70"/>
      <c r="O62" s="77" t="s">
        <v>179</v>
      </c>
      <c r="P62" s="79">
        <v>45149.906655092593</v>
      </c>
      <c r="Q62" s="77" t="s">
        <v>960</v>
      </c>
      <c r="R62" s="77">
        <v>0</v>
      </c>
      <c r="S62" s="77">
        <v>3</v>
      </c>
      <c r="T62" s="77">
        <v>0</v>
      </c>
      <c r="U62" s="77">
        <v>0</v>
      </c>
      <c r="V62" s="77">
        <v>323</v>
      </c>
      <c r="W62" s="82" t="s">
        <v>4839</v>
      </c>
      <c r="X62" s="80" t="str">
        <f>HYPERLINK("https://www.jornaldocomercio.com/economia/2023/08/1118926-dolar-a-vista-sobe-045-e-volta-a-rs-490-de-olho-em-inflacao-nos-eua.html")</f>
        <v>https://www.jornaldocomercio.com/economia/2023/08/1118926-dolar-a-vista-sobe-045-e-volta-a-rs-490-de-olho-em-inflacao-nos-eua.html</v>
      </c>
      <c r="Y62" s="77" t="s">
        <v>6475</v>
      </c>
      <c r="Z62" s="77"/>
      <c r="AA62" s="77"/>
      <c r="AB62" s="77"/>
      <c r="AC62" s="82" t="s">
        <v>7754</v>
      </c>
      <c r="AD62" s="77" t="s">
        <v>7788</v>
      </c>
      <c r="AE62" s="80" t="str">
        <f>HYPERLINK("https://twitter.com/jc_rs/status/1690117280200626177")</f>
        <v>https://twitter.com/jc_rs/status/1690117280200626177</v>
      </c>
      <c r="AF62" s="79">
        <v>45149.906655092593</v>
      </c>
      <c r="AG62" s="85">
        <v>45149</v>
      </c>
      <c r="AH62" s="82" t="s">
        <v>7857</v>
      </c>
      <c r="AI62" s="77" t="b">
        <v>0</v>
      </c>
      <c r="AJ62" s="77"/>
      <c r="AK62" s="77"/>
      <c r="AL62" s="77"/>
      <c r="AM62" s="77"/>
      <c r="AN62" s="77"/>
      <c r="AO62" s="77"/>
      <c r="AP62" s="77"/>
      <c r="AQ62" s="77"/>
      <c r="AR62" s="77"/>
      <c r="AS62" s="77"/>
      <c r="AT62" s="77"/>
      <c r="AU62" s="77"/>
      <c r="AV62" s="80" t="str">
        <f>HYPERLINK("https://pbs.twimg.com/profile_images/1531317937075806210/7oEvwlvr_normal.jpg")</f>
        <v>https://pbs.twimg.com/profile_images/1531317937075806210/7oEvwlvr_normal.jpg</v>
      </c>
      <c r="AW62" s="82" t="s">
        <v>11772</v>
      </c>
      <c r="AX62" s="82" t="s">
        <v>11772</v>
      </c>
      <c r="AY62" s="77"/>
      <c r="AZ62" s="82" t="s">
        <v>15984</v>
      </c>
      <c r="BA62" s="82" t="s">
        <v>15984</v>
      </c>
      <c r="BB62" s="82" t="s">
        <v>15984</v>
      </c>
      <c r="BC62" s="82" t="s">
        <v>11772</v>
      </c>
      <c r="BD62" s="77">
        <v>17118982</v>
      </c>
      <c r="BE62" s="77"/>
      <c r="BF62" s="77"/>
      <c r="BG62" s="77"/>
      <c r="BH62" s="77"/>
      <c r="BI62" s="77"/>
    </row>
    <row r="63" spans="1:61" x14ac:dyDescent="0.25">
      <c r="A63" s="62" t="s">
        <v>240</v>
      </c>
      <c r="B63" s="62" t="s">
        <v>240</v>
      </c>
      <c r="C63" s="63"/>
      <c r="D63" s="64"/>
      <c r="E63" s="65"/>
      <c r="F63" s="66"/>
      <c r="G63" s="63"/>
      <c r="H63" s="67"/>
      <c r="I63" s="68"/>
      <c r="J63" s="68"/>
      <c r="K63" s="32"/>
      <c r="L63" s="75">
        <v>63</v>
      </c>
      <c r="M63" s="75"/>
      <c r="N63" s="70"/>
      <c r="O63" s="77" t="s">
        <v>179</v>
      </c>
      <c r="P63" s="79">
        <v>45141.652777777781</v>
      </c>
      <c r="Q63" s="77" t="s">
        <v>961</v>
      </c>
      <c r="R63" s="77">
        <v>0</v>
      </c>
      <c r="S63" s="77">
        <v>1</v>
      </c>
      <c r="T63" s="77">
        <v>0</v>
      </c>
      <c r="U63" s="77">
        <v>0</v>
      </c>
      <c r="V63" s="77">
        <v>255</v>
      </c>
      <c r="W63" s="82" t="s">
        <v>4839</v>
      </c>
      <c r="X63" s="80" t="str">
        <f>HYPERLINK("https://www.jornaldocomercio.com/economia/2023/08/1117692-dolar-sobe-por-copom-e-exterior.html")</f>
        <v>https://www.jornaldocomercio.com/economia/2023/08/1117692-dolar-sobe-por-copom-e-exterior.html</v>
      </c>
      <c r="Y63" s="77" t="s">
        <v>6475</v>
      </c>
      <c r="Z63" s="77"/>
      <c r="AA63" s="77"/>
      <c r="AB63" s="77"/>
      <c r="AC63" s="82" t="s">
        <v>7754</v>
      </c>
      <c r="AD63" s="77" t="s">
        <v>7788</v>
      </c>
      <c r="AE63" s="80" t="str">
        <f>HYPERLINK("https://twitter.com/jc_rs/status/1687126175762587649")</f>
        <v>https://twitter.com/jc_rs/status/1687126175762587649</v>
      </c>
      <c r="AF63" s="79">
        <v>45141.652777777781</v>
      </c>
      <c r="AG63" s="85">
        <v>45141</v>
      </c>
      <c r="AH63" s="82" t="s">
        <v>7858</v>
      </c>
      <c r="AI63" s="77" t="b">
        <v>0</v>
      </c>
      <c r="AJ63" s="77"/>
      <c r="AK63" s="77"/>
      <c r="AL63" s="77"/>
      <c r="AM63" s="77"/>
      <c r="AN63" s="77"/>
      <c r="AO63" s="77"/>
      <c r="AP63" s="77"/>
      <c r="AQ63" s="77"/>
      <c r="AR63" s="77"/>
      <c r="AS63" s="77"/>
      <c r="AT63" s="77"/>
      <c r="AU63" s="77"/>
      <c r="AV63" s="80" t="str">
        <f>HYPERLINK("https://pbs.twimg.com/profile_images/1531317937075806210/7oEvwlvr_normal.jpg")</f>
        <v>https://pbs.twimg.com/profile_images/1531317937075806210/7oEvwlvr_normal.jpg</v>
      </c>
      <c r="AW63" s="82" t="s">
        <v>11773</v>
      </c>
      <c r="AX63" s="82" t="s">
        <v>11773</v>
      </c>
      <c r="AY63" s="77"/>
      <c r="AZ63" s="82" t="s">
        <v>15984</v>
      </c>
      <c r="BA63" s="82" t="s">
        <v>15984</v>
      </c>
      <c r="BB63" s="82" t="s">
        <v>15984</v>
      </c>
      <c r="BC63" s="82" t="s">
        <v>11773</v>
      </c>
      <c r="BD63" s="77">
        <v>17118982</v>
      </c>
      <c r="BE63" s="77"/>
      <c r="BF63" s="77"/>
      <c r="BG63" s="77"/>
      <c r="BH63" s="77"/>
      <c r="BI63" s="77"/>
    </row>
    <row r="64" spans="1:61" x14ac:dyDescent="0.25">
      <c r="A64" s="62" t="s">
        <v>240</v>
      </c>
      <c r="B64" s="62" t="s">
        <v>240</v>
      </c>
      <c r="C64" s="63"/>
      <c r="D64" s="64"/>
      <c r="E64" s="65"/>
      <c r="F64" s="66"/>
      <c r="G64" s="63"/>
      <c r="H64" s="67"/>
      <c r="I64" s="68"/>
      <c r="J64" s="68"/>
      <c r="K64" s="32"/>
      <c r="L64" s="75">
        <v>64</v>
      </c>
      <c r="M64" s="75"/>
      <c r="N64" s="70"/>
      <c r="O64" s="77" t="s">
        <v>179</v>
      </c>
      <c r="P64" s="79">
        <v>45161.611111111109</v>
      </c>
      <c r="Q64" s="77" t="s">
        <v>962</v>
      </c>
      <c r="R64" s="77">
        <v>0</v>
      </c>
      <c r="S64" s="77">
        <v>2</v>
      </c>
      <c r="T64" s="77">
        <v>0</v>
      </c>
      <c r="U64" s="77">
        <v>0</v>
      </c>
      <c r="V64" s="77">
        <v>292</v>
      </c>
      <c r="W64" s="82" t="s">
        <v>4839</v>
      </c>
      <c r="X64" s="80" t="str">
        <f>HYPERLINK("https://www.jornaldocomercio.com/economia/2023/08/1120418-bolsas-da-asia-fecham-sem-sinal-unico-com-xangai-em-baixa-de-mais-de-1-e-ganhos-em-toquio.html")</f>
        <v>https://www.jornaldocomercio.com/economia/2023/08/1120418-bolsas-da-asia-fecham-sem-sinal-unico-com-xangai-em-baixa-de-mais-de-1-e-ganhos-em-toquio.html</v>
      </c>
      <c r="Y64" s="77" t="s">
        <v>6475</v>
      </c>
      <c r="Z64" s="77"/>
      <c r="AA64" s="77"/>
      <c r="AB64" s="77"/>
      <c r="AC64" s="82" t="s">
        <v>7750</v>
      </c>
      <c r="AD64" s="77" t="s">
        <v>7788</v>
      </c>
      <c r="AE64" s="80" t="str">
        <f>HYPERLINK("https://twitter.com/jc_rs/status/1694358833601089551")</f>
        <v>https://twitter.com/jc_rs/status/1694358833601089551</v>
      </c>
      <c r="AF64" s="79">
        <v>45161.611111111109</v>
      </c>
      <c r="AG64" s="85">
        <v>45161</v>
      </c>
      <c r="AH64" s="82" t="s">
        <v>7859</v>
      </c>
      <c r="AI64" s="77" t="b">
        <v>0</v>
      </c>
      <c r="AJ64" s="77"/>
      <c r="AK64" s="77"/>
      <c r="AL64" s="77"/>
      <c r="AM64" s="77"/>
      <c r="AN64" s="77"/>
      <c r="AO64" s="77"/>
      <c r="AP64" s="77"/>
      <c r="AQ64" s="77"/>
      <c r="AR64" s="77"/>
      <c r="AS64" s="77"/>
      <c r="AT64" s="77"/>
      <c r="AU64" s="77"/>
      <c r="AV64" s="80" t="str">
        <f>HYPERLINK("https://pbs.twimg.com/profile_images/1531317937075806210/7oEvwlvr_normal.jpg")</f>
        <v>https://pbs.twimg.com/profile_images/1531317937075806210/7oEvwlvr_normal.jpg</v>
      </c>
      <c r="AW64" s="82" t="s">
        <v>11774</v>
      </c>
      <c r="AX64" s="82" t="s">
        <v>11774</v>
      </c>
      <c r="AY64" s="77"/>
      <c r="AZ64" s="82" t="s">
        <v>15984</v>
      </c>
      <c r="BA64" s="82" t="s">
        <v>15984</v>
      </c>
      <c r="BB64" s="82" t="s">
        <v>15984</v>
      </c>
      <c r="BC64" s="82" t="s">
        <v>11774</v>
      </c>
      <c r="BD64" s="77">
        <v>17118982</v>
      </c>
      <c r="BE64" s="77"/>
      <c r="BF64" s="77"/>
      <c r="BG64" s="77"/>
      <c r="BH64" s="77"/>
      <c r="BI64" s="77"/>
    </row>
    <row r="65" spans="1:61" x14ac:dyDescent="0.25">
      <c r="A65" s="62" t="s">
        <v>240</v>
      </c>
      <c r="B65" s="62" t="s">
        <v>240</v>
      </c>
      <c r="C65" s="63"/>
      <c r="D65" s="64"/>
      <c r="E65" s="65"/>
      <c r="F65" s="66"/>
      <c r="G65" s="63"/>
      <c r="H65" s="67"/>
      <c r="I65" s="68"/>
      <c r="J65" s="68"/>
      <c r="K65" s="32"/>
      <c r="L65" s="75">
        <v>65</v>
      </c>
      <c r="M65" s="75"/>
      <c r="N65" s="70"/>
      <c r="O65" s="77" t="s">
        <v>179</v>
      </c>
      <c r="P65" s="79">
        <v>45154.583344907405</v>
      </c>
      <c r="Q65" s="77" t="s">
        <v>963</v>
      </c>
      <c r="R65" s="77">
        <v>1</v>
      </c>
      <c r="S65" s="77">
        <v>1</v>
      </c>
      <c r="T65" s="77">
        <v>0</v>
      </c>
      <c r="U65" s="77">
        <v>0</v>
      </c>
      <c r="V65" s="77">
        <v>195</v>
      </c>
      <c r="W65" s="82" t="s">
        <v>4839</v>
      </c>
      <c r="X65" s="80" t="str">
        <f>HYPERLINK("https://www.jornaldocomercio.com/economia/2023/08/1119379-bolsas-da-asia-fecham-em-queda-com-perda-de-cerca-de-15-em-toquio.html")</f>
        <v>https://www.jornaldocomercio.com/economia/2023/08/1119379-bolsas-da-asia-fecham-em-queda-com-perda-de-cerca-de-15-em-toquio.html</v>
      </c>
      <c r="Y65" s="77" t="s">
        <v>6475</v>
      </c>
      <c r="Z65" s="77"/>
      <c r="AA65" s="77"/>
      <c r="AB65" s="77"/>
      <c r="AC65" s="82" t="s">
        <v>7750</v>
      </c>
      <c r="AD65" s="77" t="s">
        <v>7788</v>
      </c>
      <c r="AE65" s="80" t="str">
        <f>HYPERLINK("https://twitter.com/jc_rs/status/1691812057732034792")</f>
        <v>https://twitter.com/jc_rs/status/1691812057732034792</v>
      </c>
      <c r="AF65" s="79">
        <v>45154.583344907405</v>
      </c>
      <c r="AG65" s="85">
        <v>45154</v>
      </c>
      <c r="AH65" s="82" t="s">
        <v>7860</v>
      </c>
      <c r="AI65" s="77" t="b">
        <v>0</v>
      </c>
      <c r="AJ65" s="77"/>
      <c r="AK65" s="77"/>
      <c r="AL65" s="77"/>
      <c r="AM65" s="77"/>
      <c r="AN65" s="77"/>
      <c r="AO65" s="77"/>
      <c r="AP65" s="77"/>
      <c r="AQ65" s="77"/>
      <c r="AR65" s="77"/>
      <c r="AS65" s="77"/>
      <c r="AT65" s="77"/>
      <c r="AU65" s="77"/>
      <c r="AV65" s="80" t="str">
        <f>HYPERLINK("https://pbs.twimg.com/profile_images/1531317937075806210/7oEvwlvr_normal.jpg")</f>
        <v>https://pbs.twimg.com/profile_images/1531317937075806210/7oEvwlvr_normal.jpg</v>
      </c>
      <c r="AW65" s="82" t="s">
        <v>11775</v>
      </c>
      <c r="AX65" s="82" t="s">
        <v>11775</v>
      </c>
      <c r="AY65" s="77"/>
      <c r="AZ65" s="82" t="s">
        <v>15984</v>
      </c>
      <c r="BA65" s="82" t="s">
        <v>15984</v>
      </c>
      <c r="BB65" s="82" t="s">
        <v>15984</v>
      </c>
      <c r="BC65" s="82" t="s">
        <v>11775</v>
      </c>
      <c r="BD65" s="77">
        <v>17118982</v>
      </c>
      <c r="BE65" s="77"/>
      <c r="BF65" s="77"/>
      <c r="BG65" s="77"/>
      <c r="BH65" s="77"/>
      <c r="BI65" s="77"/>
    </row>
    <row r="66" spans="1:61" x14ac:dyDescent="0.25">
      <c r="A66" s="62" t="s">
        <v>240</v>
      </c>
      <c r="B66" s="62" t="s">
        <v>240</v>
      </c>
      <c r="C66" s="63"/>
      <c r="D66" s="64"/>
      <c r="E66" s="65"/>
      <c r="F66" s="66"/>
      <c r="G66" s="63"/>
      <c r="H66" s="67"/>
      <c r="I66" s="68"/>
      <c r="J66" s="68"/>
      <c r="K66" s="32"/>
      <c r="L66" s="75">
        <v>66</v>
      </c>
      <c r="M66" s="75"/>
      <c r="N66" s="70"/>
      <c r="O66" s="77" t="s">
        <v>179</v>
      </c>
      <c r="P66" s="79">
        <v>45141.482638888891</v>
      </c>
      <c r="Q66" s="77" t="s">
        <v>964</v>
      </c>
      <c r="R66" s="77">
        <v>0</v>
      </c>
      <c r="S66" s="77">
        <v>1</v>
      </c>
      <c r="T66" s="77">
        <v>0</v>
      </c>
      <c r="U66" s="77">
        <v>0</v>
      </c>
      <c r="V66" s="77">
        <v>302</v>
      </c>
      <c r="W66" s="82" t="s">
        <v>4839</v>
      </c>
      <c r="X66" s="80" t="str">
        <f>HYPERLINK("https://www.jornaldocomercio.com/economia/2023/08/1117678-bolsas-da-asia-fecham-mistas-apos-perdas-em-ny-por-efeito-fitch-e-pmi-chines-favoravel.html")</f>
        <v>https://www.jornaldocomercio.com/economia/2023/08/1117678-bolsas-da-asia-fecham-mistas-apos-perdas-em-ny-por-efeito-fitch-e-pmi-chines-favoravel.html</v>
      </c>
      <c r="Y66" s="77" t="s">
        <v>6475</v>
      </c>
      <c r="Z66" s="77"/>
      <c r="AA66" s="77"/>
      <c r="AB66" s="77"/>
      <c r="AC66" s="82" t="s">
        <v>7754</v>
      </c>
      <c r="AD66" s="77" t="s">
        <v>7788</v>
      </c>
      <c r="AE66" s="80" t="str">
        <f>HYPERLINK("https://twitter.com/jc_rs/status/1687064519464374272")</f>
        <v>https://twitter.com/jc_rs/status/1687064519464374272</v>
      </c>
      <c r="AF66" s="79">
        <v>45141.482638888891</v>
      </c>
      <c r="AG66" s="85">
        <v>45141</v>
      </c>
      <c r="AH66" s="82" t="s">
        <v>7861</v>
      </c>
      <c r="AI66" s="77" t="b">
        <v>0</v>
      </c>
      <c r="AJ66" s="77"/>
      <c r="AK66" s="77"/>
      <c r="AL66" s="77"/>
      <c r="AM66" s="77"/>
      <c r="AN66" s="77"/>
      <c r="AO66" s="77"/>
      <c r="AP66" s="77"/>
      <c r="AQ66" s="77"/>
      <c r="AR66" s="77"/>
      <c r="AS66" s="77"/>
      <c r="AT66" s="77"/>
      <c r="AU66" s="77"/>
      <c r="AV66" s="80" t="str">
        <f>HYPERLINK("https://pbs.twimg.com/profile_images/1531317937075806210/7oEvwlvr_normal.jpg")</f>
        <v>https://pbs.twimg.com/profile_images/1531317937075806210/7oEvwlvr_normal.jpg</v>
      </c>
      <c r="AW66" s="82" t="s">
        <v>11776</v>
      </c>
      <c r="AX66" s="82" t="s">
        <v>11776</v>
      </c>
      <c r="AY66" s="77"/>
      <c r="AZ66" s="82" t="s">
        <v>15984</v>
      </c>
      <c r="BA66" s="82" t="s">
        <v>15984</v>
      </c>
      <c r="BB66" s="82" t="s">
        <v>15984</v>
      </c>
      <c r="BC66" s="82" t="s">
        <v>11776</v>
      </c>
      <c r="BD66" s="77">
        <v>17118982</v>
      </c>
      <c r="BE66" s="77"/>
      <c r="BF66" s="77"/>
      <c r="BG66" s="77"/>
      <c r="BH66" s="77"/>
      <c r="BI66" s="77"/>
    </row>
    <row r="67" spans="1:61" x14ac:dyDescent="0.25">
      <c r="A67" s="62" t="s">
        <v>240</v>
      </c>
      <c r="B67" s="62" t="s">
        <v>240</v>
      </c>
      <c r="C67" s="63"/>
      <c r="D67" s="64"/>
      <c r="E67" s="65"/>
      <c r="F67" s="66"/>
      <c r="G67" s="63"/>
      <c r="H67" s="67"/>
      <c r="I67" s="68"/>
      <c r="J67" s="68"/>
      <c r="K67" s="32"/>
      <c r="L67" s="75">
        <v>67</v>
      </c>
      <c r="M67" s="75"/>
      <c r="N67" s="70"/>
      <c r="O67" s="77" t="s">
        <v>179</v>
      </c>
      <c r="P67" s="79">
        <v>45166.583344907405</v>
      </c>
      <c r="Q67" s="77" t="s">
        <v>965</v>
      </c>
      <c r="R67" s="77">
        <v>0</v>
      </c>
      <c r="S67" s="77">
        <v>1</v>
      </c>
      <c r="T67" s="77">
        <v>0</v>
      </c>
      <c r="U67" s="77">
        <v>0</v>
      </c>
      <c r="V67" s="77">
        <v>298</v>
      </c>
      <c r="W67" s="82" t="s">
        <v>4839</v>
      </c>
      <c r="X67" s="80" t="str">
        <f>HYPERLINK("https://www.jornaldocomercio.com/economia/2023/08/1120970-bolsas-da-asia-fecham-em-alta-com-estimulos-de-pequim-mas-evergrande-cai-89-em-hong-kong.html")</f>
        <v>https://www.jornaldocomercio.com/economia/2023/08/1120970-bolsas-da-asia-fecham-em-alta-com-estimulos-de-pequim-mas-evergrande-cai-89-em-hong-kong.html</v>
      </c>
      <c r="Y67" s="77" t="s">
        <v>6475</v>
      </c>
      <c r="Z67" s="77"/>
      <c r="AA67" s="77"/>
      <c r="AB67" s="77"/>
      <c r="AC67" s="82" t="s">
        <v>7750</v>
      </c>
      <c r="AD67" s="77" t="s">
        <v>7788</v>
      </c>
      <c r="AE67" s="80" t="str">
        <f>HYPERLINK("https://twitter.com/jc_rs/status/1696160710571475033")</f>
        <v>https://twitter.com/jc_rs/status/1696160710571475033</v>
      </c>
      <c r="AF67" s="79">
        <v>45166.583344907405</v>
      </c>
      <c r="AG67" s="85">
        <v>45166</v>
      </c>
      <c r="AH67" s="82" t="s">
        <v>7860</v>
      </c>
      <c r="AI67" s="77" t="b">
        <v>0</v>
      </c>
      <c r="AJ67" s="77"/>
      <c r="AK67" s="77"/>
      <c r="AL67" s="77"/>
      <c r="AM67" s="77"/>
      <c r="AN67" s="77"/>
      <c r="AO67" s="77"/>
      <c r="AP67" s="77"/>
      <c r="AQ67" s="77"/>
      <c r="AR67" s="77"/>
      <c r="AS67" s="77"/>
      <c r="AT67" s="77"/>
      <c r="AU67" s="77"/>
      <c r="AV67" s="80" t="str">
        <f>HYPERLINK("https://pbs.twimg.com/profile_images/1531317937075806210/7oEvwlvr_normal.jpg")</f>
        <v>https://pbs.twimg.com/profile_images/1531317937075806210/7oEvwlvr_normal.jpg</v>
      </c>
      <c r="AW67" s="82" t="s">
        <v>11777</v>
      </c>
      <c r="AX67" s="82" t="s">
        <v>11777</v>
      </c>
      <c r="AY67" s="77"/>
      <c r="AZ67" s="82" t="s">
        <v>15984</v>
      </c>
      <c r="BA67" s="82" t="s">
        <v>15984</v>
      </c>
      <c r="BB67" s="82" t="s">
        <v>15984</v>
      </c>
      <c r="BC67" s="82" t="s">
        <v>11777</v>
      </c>
      <c r="BD67" s="77">
        <v>17118982</v>
      </c>
      <c r="BE67" s="77"/>
      <c r="BF67" s="77"/>
      <c r="BG67" s="77"/>
      <c r="BH67" s="77"/>
      <c r="BI67" s="77"/>
    </row>
    <row r="68" spans="1:61" x14ac:dyDescent="0.25">
      <c r="A68" s="62" t="s">
        <v>240</v>
      </c>
      <c r="B68" s="62" t="s">
        <v>240</v>
      </c>
      <c r="C68" s="63"/>
      <c r="D68" s="64"/>
      <c r="E68" s="65"/>
      <c r="F68" s="66"/>
      <c r="G68" s="63"/>
      <c r="H68" s="67"/>
      <c r="I68" s="68"/>
      <c r="J68" s="68"/>
      <c r="K68" s="32"/>
      <c r="L68" s="75">
        <v>68</v>
      </c>
      <c r="M68" s="75"/>
      <c r="N68" s="70"/>
      <c r="O68" s="77" t="s">
        <v>179</v>
      </c>
      <c r="P68" s="79">
        <v>45147.625</v>
      </c>
      <c r="Q68" s="77" t="s">
        <v>966</v>
      </c>
      <c r="R68" s="77">
        <v>1</v>
      </c>
      <c r="S68" s="77">
        <v>2</v>
      </c>
      <c r="T68" s="77">
        <v>0</v>
      </c>
      <c r="U68" s="77">
        <v>0</v>
      </c>
      <c r="V68" s="77">
        <v>209</v>
      </c>
      <c r="W68" s="82" t="s">
        <v>4839</v>
      </c>
      <c r="X68" s="80" t="str">
        <f>HYPERLINK("https://www.jornaldocomercio.com/economia/2023/08/1118457-dolar-cai-a-rs-487-com-ingresso-de-fluxo-estrangeiro.html")</f>
        <v>https://www.jornaldocomercio.com/economia/2023/08/1118457-dolar-cai-a-rs-487-com-ingresso-de-fluxo-estrangeiro.html</v>
      </c>
      <c r="Y68" s="77" t="s">
        <v>6475</v>
      </c>
      <c r="Z68" s="77"/>
      <c r="AA68" s="77"/>
      <c r="AB68" s="77"/>
      <c r="AC68" s="82" t="s">
        <v>7754</v>
      </c>
      <c r="AD68" s="77" t="s">
        <v>7788</v>
      </c>
      <c r="AE68" s="80" t="str">
        <f>HYPERLINK("https://twitter.com/jc_rs/status/1689290436282892288")</f>
        <v>https://twitter.com/jc_rs/status/1689290436282892288</v>
      </c>
      <c r="AF68" s="79">
        <v>45147.625</v>
      </c>
      <c r="AG68" s="85">
        <v>45147</v>
      </c>
      <c r="AH68" s="82" t="s">
        <v>7862</v>
      </c>
      <c r="AI68" s="77" t="b">
        <v>0</v>
      </c>
      <c r="AJ68" s="77"/>
      <c r="AK68" s="77"/>
      <c r="AL68" s="77"/>
      <c r="AM68" s="77"/>
      <c r="AN68" s="77"/>
      <c r="AO68" s="77"/>
      <c r="AP68" s="77"/>
      <c r="AQ68" s="77"/>
      <c r="AR68" s="77"/>
      <c r="AS68" s="77"/>
      <c r="AT68" s="77"/>
      <c r="AU68" s="77"/>
      <c r="AV68" s="80" t="str">
        <f>HYPERLINK("https://pbs.twimg.com/profile_images/1531317937075806210/7oEvwlvr_normal.jpg")</f>
        <v>https://pbs.twimg.com/profile_images/1531317937075806210/7oEvwlvr_normal.jpg</v>
      </c>
      <c r="AW68" s="82" t="s">
        <v>11778</v>
      </c>
      <c r="AX68" s="82" t="s">
        <v>11778</v>
      </c>
      <c r="AY68" s="77"/>
      <c r="AZ68" s="82" t="s">
        <v>15984</v>
      </c>
      <c r="BA68" s="82" t="s">
        <v>15984</v>
      </c>
      <c r="BB68" s="82" t="s">
        <v>15984</v>
      </c>
      <c r="BC68" s="82" t="s">
        <v>11778</v>
      </c>
      <c r="BD68" s="77">
        <v>17118982</v>
      </c>
      <c r="BE68" s="77"/>
      <c r="BF68" s="77"/>
      <c r="BG68" s="77"/>
      <c r="BH68" s="77"/>
      <c r="BI68" s="77"/>
    </row>
    <row r="69" spans="1:61" x14ac:dyDescent="0.25">
      <c r="A69" s="62" t="s">
        <v>240</v>
      </c>
      <c r="B69" s="62" t="s">
        <v>240</v>
      </c>
      <c r="C69" s="63"/>
      <c r="D69" s="64"/>
      <c r="E69" s="65"/>
      <c r="F69" s="66"/>
      <c r="G69" s="63"/>
      <c r="H69" s="67"/>
      <c r="I69" s="68"/>
      <c r="J69" s="68"/>
      <c r="K69" s="32"/>
      <c r="L69" s="75">
        <v>69</v>
      </c>
      <c r="M69" s="75"/>
      <c r="N69" s="70"/>
      <c r="O69" s="77" t="s">
        <v>179</v>
      </c>
      <c r="P69" s="79">
        <v>45138.49726851852</v>
      </c>
      <c r="Q69" s="77" t="s">
        <v>967</v>
      </c>
      <c r="R69" s="77">
        <v>0</v>
      </c>
      <c r="S69" s="77">
        <v>1</v>
      </c>
      <c r="T69" s="77">
        <v>0</v>
      </c>
      <c r="U69" s="77">
        <v>0</v>
      </c>
      <c r="V69" s="77">
        <v>253</v>
      </c>
      <c r="W69" s="82" t="s">
        <v>4839</v>
      </c>
      <c r="X69" s="80" t="str">
        <f>HYPERLINK("https://www.jornaldocomercio.com/economia/2023/07/1117120-bolsas-da-asia-fecham-em-alta-apos-pmi-industrial-e-mais-estimulos-na-china.html")</f>
        <v>https://www.jornaldocomercio.com/economia/2023/07/1117120-bolsas-da-asia-fecham-em-alta-apos-pmi-industrial-e-mais-estimulos-na-china.html</v>
      </c>
      <c r="Y69" s="77" t="s">
        <v>6475</v>
      </c>
      <c r="Z69" s="77"/>
      <c r="AA69" s="77"/>
      <c r="AB69" s="77"/>
      <c r="AC69" s="82" t="s">
        <v>7754</v>
      </c>
      <c r="AD69" s="77" t="s">
        <v>7788</v>
      </c>
      <c r="AE69" s="80" t="str">
        <f>HYPERLINK("https://twitter.com/jc_rs/status/1685982658608627712")</f>
        <v>https://twitter.com/jc_rs/status/1685982658608627712</v>
      </c>
      <c r="AF69" s="79">
        <v>45138.49726851852</v>
      </c>
      <c r="AG69" s="85">
        <v>45138</v>
      </c>
      <c r="AH69" s="82" t="s">
        <v>7863</v>
      </c>
      <c r="AI69" s="77" t="b">
        <v>0</v>
      </c>
      <c r="AJ69" s="77"/>
      <c r="AK69" s="77"/>
      <c r="AL69" s="77"/>
      <c r="AM69" s="77"/>
      <c r="AN69" s="77"/>
      <c r="AO69" s="77"/>
      <c r="AP69" s="77"/>
      <c r="AQ69" s="77"/>
      <c r="AR69" s="77"/>
      <c r="AS69" s="77"/>
      <c r="AT69" s="77"/>
      <c r="AU69" s="77"/>
      <c r="AV69" s="80" t="str">
        <f>HYPERLINK("https://pbs.twimg.com/profile_images/1531317937075806210/7oEvwlvr_normal.jpg")</f>
        <v>https://pbs.twimg.com/profile_images/1531317937075806210/7oEvwlvr_normal.jpg</v>
      </c>
      <c r="AW69" s="82" t="s">
        <v>11779</v>
      </c>
      <c r="AX69" s="82" t="s">
        <v>11779</v>
      </c>
      <c r="AY69" s="77"/>
      <c r="AZ69" s="82" t="s">
        <v>15984</v>
      </c>
      <c r="BA69" s="82" t="s">
        <v>15984</v>
      </c>
      <c r="BB69" s="82" t="s">
        <v>15984</v>
      </c>
      <c r="BC69" s="82" t="s">
        <v>11779</v>
      </c>
      <c r="BD69" s="77">
        <v>17118982</v>
      </c>
      <c r="BE69" s="77"/>
      <c r="BF69" s="77"/>
      <c r="BG69" s="77"/>
      <c r="BH69" s="77"/>
      <c r="BI69" s="77"/>
    </row>
    <row r="70" spans="1:61" x14ac:dyDescent="0.25">
      <c r="A70" s="62" t="s">
        <v>240</v>
      </c>
      <c r="B70" s="62" t="s">
        <v>240</v>
      </c>
      <c r="C70" s="63"/>
      <c r="D70" s="64"/>
      <c r="E70" s="65"/>
      <c r="F70" s="66"/>
      <c r="G70" s="63"/>
      <c r="H70" s="67"/>
      <c r="I70" s="68"/>
      <c r="J70" s="68"/>
      <c r="K70" s="32"/>
      <c r="L70" s="75">
        <v>70</v>
      </c>
      <c r="M70" s="75"/>
      <c r="N70" s="70"/>
      <c r="O70" s="77" t="s">
        <v>179</v>
      </c>
      <c r="P70" s="79">
        <v>45119.472222222219</v>
      </c>
      <c r="Q70" s="77" t="s">
        <v>968</v>
      </c>
      <c r="R70" s="77">
        <v>0</v>
      </c>
      <c r="S70" s="77">
        <v>1</v>
      </c>
      <c r="T70" s="77">
        <v>0</v>
      </c>
      <c r="U70" s="77">
        <v>0</v>
      </c>
      <c r="V70" s="77">
        <v>396</v>
      </c>
      <c r="W70" s="82" t="s">
        <v>4839</v>
      </c>
      <c r="X70" s="80" t="str">
        <f>HYPERLINK("https://www.jornaldocomercio.com/economia/2023/07/1114700-bolsas-da-asia-fecham-mistas-antes-de-cpi-dos-eua-e-com-fatores-geopoliticos-e-tecnicos.html")</f>
        <v>https://www.jornaldocomercio.com/economia/2023/07/1114700-bolsas-da-asia-fecham-mistas-antes-de-cpi-dos-eua-e-com-fatores-geopoliticos-e-tecnicos.html</v>
      </c>
      <c r="Y70" s="77" t="s">
        <v>6475</v>
      </c>
      <c r="Z70" s="77"/>
      <c r="AA70" s="77"/>
      <c r="AB70" s="77"/>
      <c r="AC70" s="82" t="s">
        <v>7754</v>
      </c>
      <c r="AD70" s="77" t="s">
        <v>7788</v>
      </c>
      <c r="AE70" s="80" t="str">
        <f>HYPERLINK("https://twitter.com/jc_rs/status/1679088211769827329")</f>
        <v>https://twitter.com/jc_rs/status/1679088211769827329</v>
      </c>
      <c r="AF70" s="79">
        <v>45119.472222222219</v>
      </c>
      <c r="AG70" s="85">
        <v>45119</v>
      </c>
      <c r="AH70" s="82" t="s">
        <v>7847</v>
      </c>
      <c r="AI70" s="77" t="b">
        <v>0</v>
      </c>
      <c r="AJ70" s="77"/>
      <c r="AK70" s="77"/>
      <c r="AL70" s="77"/>
      <c r="AM70" s="77"/>
      <c r="AN70" s="77"/>
      <c r="AO70" s="77"/>
      <c r="AP70" s="77"/>
      <c r="AQ70" s="77"/>
      <c r="AR70" s="77"/>
      <c r="AS70" s="77"/>
      <c r="AT70" s="77"/>
      <c r="AU70" s="77"/>
      <c r="AV70" s="80" t="str">
        <f>HYPERLINK("https://pbs.twimg.com/profile_images/1531317937075806210/7oEvwlvr_normal.jpg")</f>
        <v>https://pbs.twimg.com/profile_images/1531317937075806210/7oEvwlvr_normal.jpg</v>
      </c>
      <c r="AW70" s="82" t="s">
        <v>11780</v>
      </c>
      <c r="AX70" s="82" t="s">
        <v>11780</v>
      </c>
      <c r="AY70" s="77"/>
      <c r="AZ70" s="82" t="s">
        <v>15984</v>
      </c>
      <c r="BA70" s="82" t="s">
        <v>15984</v>
      </c>
      <c r="BB70" s="82" t="s">
        <v>15984</v>
      </c>
      <c r="BC70" s="82" t="s">
        <v>11780</v>
      </c>
      <c r="BD70" s="77">
        <v>17118982</v>
      </c>
      <c r="BE70" s="77"/>
      <c r="BF70" s="77"/>
      <c r="BG70" s="77"/>
      <c r="BH70" s="77"/>
      <c r="BI70" s="77"/>
    </row>
    <row r="71" spans="1:61" x14ac:dyDescent="0.25">
      <c r="A71" s="62" t="s">
        <v>240</v>
      </c>
      <c r="B71" s="62" t="s">
        <v>240</v>
      </c>
      <c r="C71" s="63"/>
      <c r="D71" s="64"/>
      <c r="E71" s="65"/>
      <c r="F71" s="66"/>
      <c r="G71" s="63"/>
      <c r="H71" s="67"/>
      <c r="I71" s="68"/>
      <c r="J71" s="68"/>
      <c r="K71" s="32"/>
      <c r="L71" s="75">
        <v>71</v>
      </c>
      <c r="M71" s="75"/>
      <c r="N71" s="70"/>
      <c r="O71" s="77" t="s">
        <v>179</v>
      </c>
      <c r="P71" s="79">
        <v>45167.555555555555</v>
      </c>
      <c r="Q71" s="77" t="s">
        <v>969</v>
      </c>
      <c r="R71" s="77">
        <v>0</v>
      </c>
      <c r="S71" s="77">
        <v>1</v>
      </c>
      <c r="T71" s="77">
        <v>0</v>
      </c>
      <c r="U71" s="77">
        <v>0</v>
      </c>
      <c r="V71" s="77">
        <v>224</v>
      </c>
      <c r="W71" s="82" t="s">
        <v>4839</v>
      </c>
      <c r="X71" s="80" t="str">
        <f>HYPERLINK("https://www.jornaldocomercio.com/economia/2023/08/1121129-bolsas-da-asia-fecham-em-alta-com-xangai-ainda-apoiada-por-estimulos-recentes-da-china.html")</f>
        <v>https://www.jornaldocomercio.com/economia/2023/08/1121129-bolsas-da-asia-fecham-em-alta-com-xangai-ainda-apoiada-por-estimulos-recentes-da-china.html</v>
      </c>
      <c r="Y71" s="77" t="s">
        <v>6475</v>
      </c>
      <c r="Z71" s="77"/>
      <c r="AA71" s="77"/>
      <c r="AB71" s="77"/>
      <c r="AC71" s="82" t="s">
        <v>7750</v>
      </c>
      <c r="AD71" s="77" t="s">
        <v>7788</v>
      </c>
      <c r="AE71" s="80" t="str">
        <f>HYPERLINK("https://twitter.com/jc_rs/status/1696513028106174577")</f>
        <v>https://twitter.com/jc_rs/status/1696513028106174577</v>
      </c>
      <c r="AF71" s="79">
        <v>45167.555555555555</v>
      </c>
      <c r="AG71" s="85">
        <v>45167</v>
      </c>
      <c r="AH71" s="82" t="s">
        <v>7864</v>
      </c>
      <c r="AI71" s="77" t="b">
        <v>0</v>
      </c>
      <c r="AJ71" s="77"/>
      <c r="AK71" s="77"/>
      <c r="AL71" s="77"/>
      <c r="AM71" s="77"/>
      <c r="AN71" s="77"/>
      <c r="AO71" s="77"/>
      <c r="AP71" s="77"/>
      <c r="AQ71" s="77"/>
      <c r="AR71" s="77"/>
      <c r="AS71" s="77"/>
      <c r="AT71" s="77"/>
      <c r="AU71" s="77"/>
      <c r="AV71" s="80" t="str">
        <f>HYPERLINK("https://pbs.twimg.com/profile_images/1531317937075806210/7oEvwlvr_normal.jpg")</f>
        <v>https://pbs.twimg.com/profile_images/1531317937075806210/7oEvwlvr_normal.jpg</v>
      </c>
      <c r="AW71" s="82" t="s">
        <v>11781</v>
      </c>
      <c r="AX71" s="82" t="s">
        <v>11781</v>
      </c>
      <c r="AY71" s="77"/>
      <c r="AZ71" s="82" t="s">
        <v>15984</v>
      </c>
      <c r="BA71" s="82" t="s">
        <v>15984</v>
      </c>
      <c r="BB71" s="82" t="s">
        <v>15984</v>
      </c>
      <c r="BC71" s="82" t="s">
        <v>11781</v>
      </c>
      <c r="BD71" s="77">
        <v>17118982</v>
      </c>
      <c r="BE71" s="77"/>
      <c r="BF71" s="77"/>
      <c r="BG71" s="77"/>
      <c r="BH71" s="77"/>
      <c r="BI71" s="77"/>
    </row>
    <row r="72" spans="1:61" x14ac:dyDescent="0.25">
      <c r="A72" s="62" t="s">
        <v>240</v>
      </c>
      <c r="B72" s="62" t="s">
        <v>240</v>
      </c>
      <c r="C72" s="63"/>
      <c r="D72" s="64"/>
      <c r="E72" s="65"/>
      <c r="F72" s="66"/>
      <c r="G72" s="63"/>
      <c r="H72" s="67"/>
      <c r="I72" s="68"/>
      <c r="J72" s="68"/>
      <c r="K72" s="32"/>
      <c r="L72" s="75">
        <v>72</v>
      </c>
      <c r="M72" s="75"/>
      <c r="N72" s="70"/>
      <c r="O72" s="77" t="s">
        <v>179</v>
      </c>
      <c r="P72" s="79">
        <v>45140.534722222219</v>
      </c>
      <c r="Q72" s="77" t="s">
        <v>970</v>
      </c>
      <c r="R72" s="77">
        <v>0</v>
      </c>
      <c r="S72" s="77">
        <v>2</v>
      </c>
      <c r="T72" s="77">
        <v>0</v>
      </c>
      <c r="U72" s="77">
        <v>0</v>
      </c>
      <c r="V72" s="77">
        <v>242</v>
      </c>
      <c r="W72" s="82" t="s">
        <v>4839</v>
      </c>
      <c r="X72" s="80" t="str">
        <f>HYPERLINK("https://www.jornaldocomercio.com/economia/2023/08/1117482-bolsas-da-asia-fecham-em-baixa-apos-rebaixamento-dos-eua-pela-fitch.html")</f>
        <v>https://www.jornaldocomercio.com/economia/2023/08/1117482-bolsas-da-asia-fecham-em-baixa-apos-rebaixamento-dos-eua-pela-fitch.html</v>
      </c>
      <c r="Y72" s="77" t="s">
        <v>6475</v>
      </c>
      <c r="Z72" s="77"/>
      <c r="AA72" s="77"/>
      <c r="AB72" s="77"/>
      <c r="AC72" s="82" t="s">
        <v>7754</v>
      </c>
      <c r="AD72" s="77" t="s">
        <v>7788</v>
      </c>
      <c r="AE72" s="80" t="str">
        <f>HYPERLINK("https://twitter.com/jc_rs/status/1686721005732216832")</f>
        <v>https://twitter.com/jc_rs/status/1686721005732216832</v>
      </c>
      <c r="AF72" s="79">
        <v>45140.534722222219</v>
      </c>
      <c r="AG72" s="85">
        <v>45140</v>
      </c>
      <c r="AH72" s="82" t="s">
        <v>7865</v>
      </c>
      <c r="AI72" s="77" t="b">
        <v>0</v>
      </c>
      <c r="AJ72" s="77"/>
      <c r="AK72" s="77"/>
      <c r="AL72" s="77"/>
      <c r="AM72" s="77"/>
      <c r="AN72" s="77"/>
      <c r="AO72" s="77"/>
      <c r="AP72" s="77"/>
      <c r="AQ72" s="77"/>
      <c r="AR72" s="77"/>
      <c r="AS72" s="77"/>
      <c r="AT72" s="77"/>
      <c r="AU72" s="77"/>
      <c r="AV72" s="80" t="str">
        <f>HYPERLINK("https://pbs.twimg.com/profile_images/1531317937075806210/7oEvwlvr_normal.jpg")</f>
        <v>https://pbs.twimg.com/profile_images/1531317937075806210/7oEvwlvr_normal.jpg</v>
      </c>
      <c r="AW72" s="82" t="s">
        <v>11782</v>
      </c>
      <c r="AX72" s="82" t="s">
        <v>11782</v>
      </c>
      <c r="AY72" s="77"/>
      <c r="AZ72" s="82" t="s">
        <v>15984</v>
      </c>
      <c r="BA72" s="82" t="s">
        <v>15984</v>
      </c>
      <c r="BB72" s="82" t="s">
        <v>15984</v>
      </c>
      <c r="BC72" s="82" t="s">
        <v>11782</v>
      </c>
      <c r="BD72" s="77">
        <v>17118982</v>
      </c>
      <c r="BE72" s="77"/>
      <c r="BF72" s="77"/>
      <c r="BG72" s="77"/>
      <c r="BH72" s="77"/>
      <c r="BI72" s="77"/>
    </row>
    <row r="73" spans="1:61" x14ac:dyDescent="0.25">
      <c r="A73" s="62" t="s">
        <v>240</v>
      </c>
      <c r="B73" s="62" t="s">
        <v>240</v>
      </c>
      <c r="C73" s="63"/>
      <c r="D73" s="64"/>
      <c r="E73" s="65"/>
      <c r="F73" s="66"/>
      <c r="G73" s="63"/>
      <c r="H73" s="67"/>
      <c r="I73" s="68"/>
      <c r="J73" s="68"/>
      <c r="K73" s="32"/>
      <c r="L73" s="75">
        <v>73</v>
      </c>
      <c r="M73" s="75"/>
      <c r="N73" s="70"/>
      <c r="O73" s="77" t="s">
        <v>179</v>
      </c>
      <c r="P73" s="79">
        <v>45174.597222222219</v>
      </c>
      <c r="Q73" s="77" t="s">
        <v>971</v>
      </c>
      <c r="R73" s="77">
        <v>0</v>
      </c>
      <c r="S73" s="77">
        <v>0</v>
      </c>
      <c r="T73" s="77">
        <v>0</v>
      </c>
      <c r="U73" s="77">
        <v>0</v>
      </c>
      <c r="V73" s="77">
        <v>173</v>
      </c>
      <c r="W73" s="82" t="s">
        <v>4839</v>
      </c>
      <c r="X73" s="80" t="str">
        <f>HYPERLINK("https://www.jornaldocomercio.com/economia/2023/09/1122058-bolsas-da-asia-fecham-na-maioria-em-baixa-apos-pmis-da-china.html")</f>
        <v>https://www.jornaldocomercio.com/economia/2023/09/1122058-bolsas-da-asia-fecham-na-maioria-em-baixa-apos-pmis-da-china.html</v>
      </c>
      <c r="Y73" s="77" t="s">
        <v>6475</v>
      </c>
      <c r="Z73" s="77"/>
      <c r="AA73" s="77"/>
      <c r="AB73" s="77"/>
      <c r="AC73" s="82" t="s">
        <v>7750</v>
      </c>
      <c r="AD73" s="77" t="s">
        <v>7788</v>
      </c>
      <c r="AE73" s="80" t="str">
        <f>HYPERLINK("https://twitter.com/jc_rs/status/1699064842462564772")</f>
        <v>https://twitter.com/jc_rs/status/1699064842462564772</v>
      </c>
      <c r="AF73" s="79">
        <v>45174.597222222219</v>
      </c>
      <c r="AG73" s="85">
        <v>45174</v>
      </c>
      <c r="AH73" s="82" t="s">
        <v>7866</v>
      </c>
      <c r="AI73" s="77" t="b">
        <v>0</v>
      </c>
      <c r="AJ73" s="77"/>
      <c r="AK73" s="77"/>
      <c r="AL73" s="77"/>
      <c r="AM73" s="77"/>
      <c r="AN73" s="77"/>
      <c r="AO73" s="77"/>
      <c r="AP73" s="77"/>
      <c r="AQ73" s="77"/>
      <c r="AR73" s="77"/>
      <c r="AS73" s="77"/>
      <c r="AT73" s="77"/>
      <c r="AU73" s="77"/>
      <c r="AV73" s="80" t="str">
        <f>HYPERLINK("https://pbs.twimg.com/profile_images/1531317937075806210/7oEvwlvr_normal.jpg")</f>
        <v>https://pbs.twimg.com/profile_images/1531317937075806210/7oEvwlvr_normal.jpg</v>
      </c>
      <c r="AW73" s="82" t="s">
        <v>11783</v>
      </c>
      <c r="AX73" s="82" t="s">
        <v>11783</v>
      </c>
      <c r="AY73" s="77"/>
      <c r="AZ73" s="82" t="s">
        <v>15984</v>
      </c>
      <c r="BA73" s="82" t="s">
        <v>15984</v>
      </c>
      <c r="BB73" s="82" t="s">
        <v>15984</v>
      </c>
      <c r="BC73" s="82" t="s">
        <v>11783</v>
      </c>
      <c r="BD73" s="77">
        <v>17118982</v>
      </c>
      <c r="BE73" s="77"/>
      <c r="BF73" s="77"/>
      <c r="BG73" s="77"/>
      <c r="BH73" s="77"/>
      <c r="BI73" s="77"/>
    </row>
    <row r="74" spans="1:61" x14ac:dyDescent="0.25">
      <c r="A74" s="62" t="s">
        <v>240</v>
      </c>
      <c r="B74" s="62" t="s">
        <v>240</v>
      </c>
      <c r="C74" s="63"/>
      <c r="D74" s="64"/>
      <c r="E74" s="65"/>
      <c r="F74" s="66"/>
      <c r="G74" s="63"/>
      <c r="H74" s="67"/>
      <c r="I74" s="68"/>
      <c r="J74" s="68"/>
      <c r="K74" s="32"/>
      <c r="L74" s="75">
        <v>74</v>
      </c>
      <c r="M74" s="75"/>
      <c r="N74" s="70"/>
      <c r="O74" s="77" t="s">
        <v>179</v>
      </c>
      <c r="P74" s="79">
        <v>45142.49895833333</v>
      </c>
      <c r="Q74" s="77" t="s">
        <v>972</v>
      </c>
      <c r="R74" s="77">
        <v>0</v>
      </c>
      <c r="S74" s="77">
        <v>0</v>
      </c>
      <c r="T74" s="77">
        <v>0</v>
      </c>
      <c r="U74" s="77">
        <v>0</v>
      </c>
      <c r="V74" s="77">
        <v>259</v>
      </c>
      <c r="W74" s="82" t="s">
        <v>4839</v>
      </c>
      <c r="X74" s="80" t="str">
        <f>HYPERLINK("https://www.jornaldocomercio.com/economia/2023/08/1117871-bolsas-da-asia-fecham-mistas-de-olho-em-payroll-dos-eua-e-apos-bc-chines-prometer-estimulos.html")</f>
        <v>https://www.jornaldocomercio.com/economia/2023/08/1117871-bolsas-da-asia-fecham-mistas-de-olho-em-payroll-dos-eua-e-apos-bc-chines-prometer-estimulos.html</v>
      </c>
      <c r="Y74" s="77" t="s">
        <v>6475</v>
      </c>
      <c r="Z74" s="77"/>
      <c r="AA74" s="77"/>
      <c r="AB74" s="77"/>
      <c r="AC74" s="82" t="s">
        <v>7754</v>
      </c>
      <c r="AD74" s="77" t="s">
        <v>7788</v>
      </c>
      <c r="AE74" s="80" t="str">
        <f>HYPERLINK("https://twitter.com/jc_rs/status/1687432822129143808")</f>
        <v>https://twitter.com/jc_rs/status/1687432822129143808</v>
      </c>
      <c r="AF74" s="79">
        <v>45142.49895833333</v>
      </c>
      <c r="AG74" s="85">
        <v>45142</v>
      </c>
      <c r="AH74" s="82" t="s">
        <v>7867</v>
      </c>
      <c r="AI74" s="77" t="b">
        <v>0</v>
      </c>
      <c r="AJ74" s="77"/>
      <c r="AK74" s="77"/>
      <c r="AL74" s="77"/>
      <c r="AM74" s="77"/>
      <c r="AN74" s="77"/>
      <c r="AO74" s="77"/>
      <c r="AP74" s="77"/>
      <c r="AQ74" s="77"/>
      <c r="AR74" s="77"/>
      <c r="AS74" s="77"/>
      <c r="AT74" s="77"/>
      <c r="AU74" s="77"/>
      <c r="AV74" s="80" t="str">
        <f>HYPERLINK("https://pbs.twimg.com/profile_images/1531317937075806210/7oEvwlvr_normal.jpg")</f>
        <v>https://pbs.twimg.com/profile_images/1531317937075806210/7oEvwlvr_normal.jpg</v>
      </c>
      <c r="AW74" s="82" t="s">
        <v>11784</v>
      </c>
      <c r="AX74" s="82" t="s">
        <v>11784</v>
      </c>
      <c r="AY74" s="77"/>
      <c r="AZ74" s="82" t="s">
        <v>15984</v>
      </c>
      <c r="BA74" s="82" t="s">
        <v>15984</v>
      </c>
      <c r="BB74" s="82" t="s">
        <v>15984</v>
      </c>
      <c r="BC74" s="82" t="s">
        <v>11784</v>
      </c>
      <c r="BD74" s="77">
        <v>17118982</v>
      </c>
      <c r="BE74" s="77"/>
      <c r="BF74" s="77"/>
      <c r="BG74" s="77"/>
      <c r="BH74" s="77"/>
      <c r="BI74" s="77"/>
    </row>
    <row r="75" spans="1:61" x14ac:dyDescent="0.25">
      <c r="A75" s="62" t="s">
        <v>240</v>
      </c>
      <c r="B75" s="62" t="s">
        <v>240</v>
      </c>
      <c r="C75" s="63"/>
      <c r="D75" s="64"/>
      <c r="E75" s="65"/>
      <c r="F75" s="66"/>
      <c r="G75" s="63"/>
      <c r="H75" s="67"/>
      <c r="I75" s="68"/>
      <c r="J75" s="68"/>
      <c r="K75" s="32"/>
      <c r="L75" s="75">
        <v>75</v>
      </c>
      <c r="M75" s="75"/>
      <c r="N75" s="70"/>
      <c r="O75" s="77" t="s">
        <v>179</v>
      </c>
      <c r="P75" s="79">
        <v>45176.802083333336</v>
      </c>
      <c r="Q75" s="77" t="s">
        <v>973</v>
      </c>
      <c r="R75" s="77">
        <v>0</v>
      </c>
      <c r="S75" s="77">
        <v>0</v>
      </c>
      <c r="T75" s="77">
        <v>0</v>
      </c>
      <c r="U75" s="77">
        <v>0</v>
      </c>
      <c r="V75" s="77">
        <v>260</v>
      </c>
      <c r="W75" s="82" t="s">
        <v>4839</v>
      </c>
      <c r="X75" s="80" t="str">
        <f>HYPERLINK("https://www.jornaldocomercio.com/economia/2023/09/1122372-ouro-fecha-em-queda-em-meio-a-expectativa-de-mais-aperto-pelo-fed.html")</f>
        <v>https://www.jornaldocomercio.com/economia/2023/09/1122372-ouro-fecha-em-queda-em-meio-a-expectativa-de-mais-aperto-pelo-fed.html</v>
      </c>
      <c r="Y75" s="77" t="s">
        <v>6475</v>
      </c>
      <c r="Z75" s="77"/>
      <c r="AA75" s="77"/>
      <c r="AB75" s="77"/>
      <c r="AC75" s="82" t="s">
        <v>7750</v>
      </c>
      <c r="AD75" s="77" t="s">
        <v>7788</v>
      </c>
      <c r="AE75" s="80" t="str">
        <f>HYPERLINK("https://twitter.com/jc_rs/status/1699863857714299345")</f>
        <v>https://twitter.com/jc_rs/status/1699863857714299345</v>
      </c>
      <c r="AF75" s="79">
        <v>45176.802083333336</v>
      </c>
      <c r="AG75" s="85">
        <v>45176</v>
      </c>
      <c r="AH75" s="82" t="s">
        <v>7868</v>
      </c>
      <c r="AI75" s="77" t="b">
        <v>0</v>
      </c>
      <c r="AJ75" s="77"/>
      <c r="AK75" s="77"/>
      <c r="AL75" s="77"/>
      <c r="AM75" s="77"/>
      <c r="AN75" s="77"/>
      <c r="AO75" s="77"/>
      <c r="AP75" s="77"/>
      <c r="AQ75" s="77"/>
      <c r="AR75" s="77"/>
      <c r="AS75" s="77"/>
      <c r="AT75" s="77"/>
      <c r="AU75" s="77"/>
      <c r="AV75" s="80" t="str">
        <f>HYPERLINK("https://pbs.twimg.com/profile_images/1531317937075806210/7oEvwlvr_normal.jpg")</f>
        <v>https://pbs.twimg.com/profile_images/1531317937075806210/7oEvwlvr_normal.jpg</v>
      </c>
      <c r="AW75" s="82" t="s">
        <v>11785</v>
      </c>
      <c r="AX75" s="82" t="s">
        <v>11785</v>
      </c>
      <c r="AY75" s="77"/>
      <c r="AZ75" s="82" t="s">
        <v>15984</v>
      </c>
      <c r="BA75" s="82" t="s">
        <v>15984</v>
      </c>
      <c r="BB75" s="82" t="s">
        <v>15984</v>
      </c>
      <c r="BC75" s="82" t="s">
        <v>11785</v>
      </c>
      <c r="BD75" s="77">
        <v>17118982</v>
      </c>
      <c r="BE75" s="77"/>
      <c r="BF75" s="77"/>
      <c r="BG75" s="77"/>
      <c r="BH75" s="77"/>
      <c r="BI75" s="77"/>
    </row>
    <row r="76" spans="1:61" x14ac:dyDescent="0.25">
      <c r="A76" s="62" t="s">
        <v>240</v>
      </c>
      <c r="B76" s="62" t="s">
        <v>240</v>
      </c>
      <c r="C76" s="63"/>
      <c r="D76" s="64"/>
      <c r="E76" s="65"/>
      <c r="F76" s="66"/>
      <c r="G76" s="63"/>
      <c r="H76" s="67"/>
      <c r="I76" s="68"/>
      <c r="J76" s="68"/>
      <c r="K76" s="32"/>
      <c r="L76" s="75">
        <v>76</v>
      </c>
      <c r="M76" s="75"/>
      <c r="N76" s="70"/>
      <c r="O76" s="77" t="s">
        <v>179</v>
      </c>
      <c r="P76" s="79">
        <v>45156.625023148146</v>
      </c>
      <c r="Q76" s="77" t="s">
        <v>974</v>
      </c>
      <c r="R76" s="77">
        <v>0</v>
      </c>
      <c r="S76" s="77">
        <v>1</v>
      </c>
      <c r="T76" s="77">
        <v>0</v>
      </c>
      <c r="U76" s="77">
        <v>0</v>
      </c>
      <c r="V76" s="77">
        <v>287</v>
      </c>
      <c r="W76" s="82" t="s">
        <v>4839</v>
      </c>
      <c r="X76" s="80" t="str">
        <f>HYPERLINK("https://www.jornaldocomercio.com/economia/2023/08/1119811-bolsas-da-asia-fecham-em-queda-em-quadro-de-cautela-com-china-e-aperto-monetario-por-bcs.html")</f>
        <v>https://www.jornaldocomercio.com/economia/2023/08/1119811-bolsas-da-asia-fecham-em-queda-em-quadro-de-cautela-com-china-e-aperto-monetario-por-bcs.html</v>
      </c>
      <c r="Y76" s="77" t="s">
        <v>6475</v>
      </c>
      <c r="Z76" s="77"/>
      <c r="AA76" s="77"/>
      <c r="AB76" s="77"/>
      <c r="AC76" s="82" t="s">
        <v>7750</v>
      </c>
      <c r="AD76" s="77" t="s">
        <v>7788</v>
      </c>
      <c r="AE76" s="80" t="str">
        <f>HYPERLINK("https://twitter.com/jc_rs/status/1692551936745066762")</f>
        <v>https://twitter.com/jc_rs/status/1692551936745066762</v>
      </c>
      <c r="AF76" s="79">
        <v>45156.625023148146</v>
      </c>
      <c r="AG76" s="85">
        <v>45156</v>
      </c>
      <c r="AH76" s="82" t="s">
        <v>7869</v>
      </c>
      <c r="AI76" s="77" t="b">
        <v>0</v>
      </c>
      <c r="AJ76" s="77"/>
      <c r="AK76" s="77"/>
      <c r="AL76" s="77"/>
      <c r="AM76" s="77"/>
      <c r="AN76" s="77"/>
      <c r="AO76" s="77"/>
      <c r="AP76" s="77"/>
      <c r="AQ76" s="77"/>
      <c r="AR76" s="77"/>
      <c r="AS76" s="77"/>
      <c r="AT76" s="77"/>
      <c r="AU76" s="77"/>
      <c r="AV76" s="80" t="str">
        <f>HYPERLINK("https://pbs.twimg.com/profile_images/1531317937075806210/7oEvwlvr_normal.jpg")</f>
        <v>https://pbs.twimg.com/profile_images/1531317937075806210/7oEvwlvr_normal.jpg</v>
      </c>
      <c r="AW76" s="82" t="s">
        <v>11786</v>
      </c>
      <c r="AX76" s="82" t="s">
        <v>11786</v>
      </c>
      <c r="AY76" s="77"/>
      <c r="AZ76" s="82" t="s">
        <v>15984</v>
      </c>
      <c r="BA76" s="82" t="s">
        <v>15984</v>
      </c>
      <c r="BB76" s="82" t="s">
        <v>15984</v>
      </c>
      <c r="BC76" s="82" t="s">
        <v>11786</v>
      </c>
      <c r="BD76" s="77">
        <v>17118982</v>
      </c>
      <c r="BE76" s="77"/>
      <c r="BF76" s="77"/>
      <c r="BG76" s="77"/>
      <c r="BH76" s="77"/>
      <c r="BI76" s="77"/>
    </row>
    <row r="77" spans="1:61" x14ac:dyDescent="0.25">
      <c r="A77" s="62" t="s">
        <v>240</v>
      </c>
      <c r="B77" s="62" t="s">
        <v>240</v>
      </c>
      <c r="C77" s="63"/>
      <c r="D77" s="64"/>
      <c r="E77" s="65"/>
      <c r="F77" s="66"/>
      <c r="G77" s="63"/>
      <c r="H77" s="67"/>
      <c r="I77" s="68"/>
      <c r="J77" s="68"/>
      <c r="K77" s="32"/>
      <c r="L77" s="75">
        <v>77</v>
      </c>
      <c r="M77" s="75"/>
      <c r="N77" s="70"/>
      <c r="O77" s="77" t="s">
        <v>179</v>
      </c>
      <c r="P77" s="79">
        <v>45150.520138888889</v>
      </c>
      <c r="Q77" s="77" t="s">
        <v>975</v>
      </c>
      <c r="R77" s="77">
        <v>0</v>
      </c>
      <c r="S77" s="77">
        <v>1</v>
      </c>
      <c r="T77" s="77">
        <v>0</v>
      </c>
      <c r="U77" s="77">
        <v>0</v>
      </c>
      <c r="V77" s="77">
        <v>335</v>
      </c>
      <c r="W77" s="82" t="s">
        <v>4839</v>
      </c>
      <c r="X77" s="80" t="str">
        <f>HYPERLINK("https://www.jornaldocomercio.com/economia/2023/08/1118938-ibovespa-tem-mais-longa-serie-negativa-em-25-anos-e-recua-318-no-mes.html")</f>
        <v>https://www.jornaldocomercio.com/economia/2023/08/1118938-ibovespa-tem-mais-longa-serie-negativa-em-25-anos-e-recua-318-no-mes.html</v>
      </c>
      <c r="Y77" s="77" t="s">
        <v>6475</v>
      </c>
      <c r="Z77" s="77"/>
      <c r="AA77" s="77"/>
      <c r="AB77" s="77"/>
      <c r="AC77" s="82" t="s">
        <v>7754</v>
      </c>
      <c r="AD77" s="77" t="s">
        <v>7788</v>
      </c>
      <c r="AE77" s="80" t="str">
        <f>HYPERLINK("https://twitter.com/jc_rs/status/1690339599652958209")</f>
        <v>https://twitter.com/jc_rs/status/1690339599652958209</v>
      </c>
      <c r="AF77" s="79">
        <v>45150.520138888889</v>
      </c>
      <c r="AG77" s="85">
        <v>45150</v>
      </c>
      <c r="AH77" s="82" t="s">
        <v>7870</v>
      </c>
      <c r="AI77" s="77" t="b">
        <v>0</v>
      </c>
      <c r="AJ77" s="77"/>
      <c r="AK77" s="77"/>
      <c r="AL77" s="77"/>
      <c r="AM77" s="77"/>
      <c r="AN77" s="77"/>
      <c r="AO77" s="77"/>
      <c r="AP77" s="77"/>
      <c r="AQ77" s="77"/>
      <c r="AR77" s="77"/>
      <c r="AS77" s="77"/>
      <c r="AT77" s="77"/>
      <c r="AU77" s="77"/>
      <c r="AV77" s="80" t="str">
        <f>HYPERLINK("https://pbs.twimg.com/profile_images/1531317937075806210/7oEvwlvr_normal.jpg")</f>
        <v>https://pbs.twimg.com/profile_images/1531317937075806210/7oEvwlvr_normal.jpg</v>
      </c>
      <c r="AW77" s="82" t="s">
        <v>11787</v>
      </c>
      <c r="AX77" s="82" t="s">
        <v>11787</v>
      </c>
      <c r="AY77" s="77"/>
      <c r="AZ77" s="82" t="s">
        <v>15984</v>
      </c>
      <c r="BA77" s="82" t="s">
        <v>15984</v>
      </c>
      <c r="BB77" s="82" t="s">
        <v>15984</v>
      </c>
      <c r="BC77" s="82" t="s">
        <v>11787</v>
      </c>
      <c r="BD77" s="77">
        <v>17118982</v>
      </c>
      <c r="BE77" s="77"/>
      <c r="BF77" s="77"/>
      <c r="BG77" s="77"/>
      <c r="BH77" s="77"/>
      <c r="BI77" s="77"/>
    </row>
    <row r="78" spans="1:61" x14ac:dyDescent="0.25">
      <c r="A78" s="62" t="s">
        <v>240</v>
      </c>
      <c r="B78" s="62" t="s">
        <v>240</v>
      </c>
      <c r="C78" s="63"/>
      <c r="D78" s="64"/>
      <c r="E78" s="65"/>
      <c r="F78" s="66"/>
      <c r="G78" s="63"/>
      <c r="H78" s="67"/>
      <c r="I78" s="68"/>
      <c r="J78" s="68"/>
      <c r="K78" s="32"/>
      <c r="L78" s="75">
        <v>78</v>
      </c>
      <c r="M78" s="75"/>
      <c r="N78" s="70"/>
      <c r="O78" s="77" t="s">
        <v>179</v>
      </c>
      <c r="P78" s="79">
        <v>45176.875011574077</v>
      </c>
      <c r="Q78" s="77" t="s">
        <v>976</v>
      </c>
      <c r="R78" s="77">
        <v>1</v>
      </c>
      <c r="S78" s="77">
        <v>1</v>
      </c>
      <c r="T78" s="77">
        <v>0</v>
      </c>
      <c r="U78" s="77">
        <v>0</v>
      </c>
      <c r="V78" s="77">
        <v>301</v>
      </c>
      <c r="W78" s="82" t="s">
        <v>4839</v>
      </c>
      <c r="X78" s="80" t="str">
        <f>HYPERLINK("https://www.jornaldocomercio.com/economia/2023/09/1122413-pix-teve-adocao-massiva-e-ultrapassou-cartao-de-debito-como-meio-de-pagamento-diz-brandt.html")</f>
        <v>https://www.jornaldocomercio.com/economia/2023/09/1122413-pix-teve-adocao-massiva-e-ultrapassou-cartao-de-debito-como-meio-de-pagamento-diz-brandt.html</v>
      </c>
      <c r="Y78" s="77" t="s">
        <v>6475</v>
      </c>
      <c r="Z78" s="77"/>
      <c r="AA78" s="77"/>
      <c r="AB78" s="77"/>
      <c r="AC78" s="82" t="s">
        <v>7750</v>
      </c>
      <c r="AD78" s="77" t="s">
        <v>7788</v>
      </c>
      <c r="AE78" s="80" t="str">
        <f>HYPERLINK("https://twitter.com/jc_rs/status/1699890286829146379")</f>
        <v>https://twitter.com/jc_rs/status/1699890286829146379</v>
      </c>
      <c r="AF78" s="79">
        <v>45176.875011574077</v>
      </c>
      <c r="AG78" s="85">
        <v>45176</v>
      </c>
      <c r="AH78" s="82" t="s">
        <v>7871</v>
      </c>
      <c r="AI78" s="77" t="b">
        <v>0</v>
      </c>
      <c r="AJ78" s="77"/>
      <c r="AK78" s="77"/>
      <c r="AL78" s="77"/>
      <c r="AM78" s="77"/>
      <c r="AN78" s="77"/>
      <c r="AO78" s="77"/>
      <c r="AP78" s="77"/>
      <c r="AQ78" s="77"/>
      <c r="AR78" s="77"/>
      <c r="AS78" s="77"/>
      <c r="AT78" s="77"/>
      <c r="AU78" s="77"/>
      <c r="AV78" s="80" t="str">
        <f>HYPERLINK("https://pbs.twimg.com/profile_images/1531317937075806210/7oEvwlvr_normal.jpg")</f>
        <v>https://pbs.twimg.com/profile_images/1531317937075806210/7oEvwlvr_normal.jpg</v>
      </c>
      <c r="AW78" s="82" t="s">
        <v>11788</v>
      </c>
      <c r="AX78" s="82" t="s">
        <v>11788</v>
      </c>
      <c r="AY78" s="77"/>
      <c r="AZ78" s="82" t="s">
        <v>15984</v>
      </c>
      <c r="BA78" s="82" t="s">
        <v>15984</v>
      </c>
      <c r="BB78" s="82" t="s">
        <v>15984</v>
      </c>
      <c r="BC78" s="82" t="s">
        <v>11788</v>
      </c>
      <c r="BD78" s="77">
        <v>17118982</v>
      </c>
      <c r="BE78" s="77"/>
      <c r="BF78" s="77"/>
      <c r="BG78" s="77"/>
      <c r="BH78" s="77"/>
      <c r="BI78" s="77"/>
    </row>
    <row r="79" spans="1:61" x14ac:dyDescent="0.25">
      <c r="A79" s="62" t="s">
        <v>240</v>
      </c>
      <c r="B79" s="62" t="s">
        <v>240</v>
      </c>
      <c r="C79" s="63"/>
      <c r="D79" s="64"/>
      <c r="E79" s="65"/>
      <c r="F79" s="66"/>
      <c r="G79" s="63"/>
      <c r="H79" s="67"/>
      <c r="I79" s="68"/>
      <c r="J79" s="68"/>
      <c r="K79" s="32"/>
      <c r="L79" s="75">
        <v>79</v>
      </c>
      <c r="M79" s="75"/>
      <c r="N79" s="70"/>
      <c r="O79" s="77" t="s">
        <v>179</v>
      </c>
      <c r="P79" s="79">
        <v>45120.597222222219</v>
      </c>
      <c r="Q79" s="77" t="s">
        <v>977</v>
      </c>
      <c r="R79" s="77">
        <v>0</v>
      </c>
      <c r="S79" s="77">
        <v>2</v>
      </c>
      <c r="T79" s="77">
        <v>0</v>
      </c>
      <c r="U79" s="77">
        <v>0</v>
      </c>
      <c r="V79" s="77">
        <v>269</v>
      </c>
      <c r="W79" s="82" t="s">
        <v>4839</v>
      </c>
      <c r="X79" s="80" t="str">
        <f>HYPERLINK("https://www.jornaldocomercio.com/colunas/mercado-digital/2023/07/1114728-ia-e-gemeos-digitais-vao-liderar-inovacao-em-pesquisa-climatica.html")</f>
        <v>https://www.jornaldocomercio.com/colunas/mercado-digital/2023/07/1114728-ia-e-gemeos-digitais-vao-liderar-inovacao-em-pesquisa-climatica.html</v>
      </c>
      <c r="Y79" s="77" t="s">
        <v>6475</v>
      </c>
      <c r="Z79" s="77"/>
      <c r="AA79" s="77"/>
      <c r="AB79" s="77"/>
      <c r="AC79" s="82" t="s">
        <v>7754</v>
      </c>
      <c r="AD79" s="77" t="s">
        <v>7788</v>
      </c>
      <c r="AE79" s="80" t="str">
        <f>HYPERLINK("https://twitter.com/jc_rs/status/1679495898194231300")</f>
        <v>https://twitter.com/jc_rs/status/1679495898194231300</v>
      </c>
      <c r="AF79" s="79">
        <v>45120.597222222219</v>
      </c>
      <c r="AG79" s="85">
        <v>45120</v>
      </c>
      <c r="AH79" s="82" t="s">
        <v>7866</v>
      </c>
      <c r="AI79" s="77" t="b">
        <v>0</v>
      </c>
      <c r="AJ79" s="77"/>
      <c r="AK79" s="77"/>
      <c r="AL79" s="77"/>
      <c r="AM79" s="77"/>
      <c r="AN79" s="77"/>
      <c r="AO79" s="77"/>
      <c r="AP79" s="77"/>
      <c r="AQ79" s="77"/>
      <c r="AR79" s="77"/>
      <c r="AS79" s="77"/>
      <c r="AT79" s="77"/>
      <c r="AU79" s="77"/>
      <c r="AV79" s="80" t="str">
        <f>HYPERLINK("https://pbs.twimg.com/profile_images/1531317937075806210/7oEvwlvr_normal.jpg")</f>
        <v>https://pbs.twimg.com/profile_images/1531317937075806210/7oEvwlvr_normal.jpg</v>
      </c>
      <c r="AW79" s="82" t="s">
        <v>11789</v>
      </c>
      <c r="AX79" s="82" t="s">
        <v>11789</v>
      </c>
      <c r="AY79" s="77"/>
      <c r="AZ79" s="82" t="s">
        <v>15984</v>
      </c>
      <c r="BA79" s="82" t="s">
        <v>15984</v>
      </c>
      <c r="BB79" s="82" t="s">
        <v>15984</v>
      </c>
      <c r="BC79" s="82" t="s">
        <v>11789</v>
      </c>
      <c r="BD79" s="77">
        <v>17118982</v>
      </c>
      <c r="BE79" s="77"/>
      <c r="BF79" s="77"/>
      <c r="BG79" s="77"/>
      <c r="BH79" s="77"/>
      <c r="BI79" s="77"/>
    </row>
    <row r="80" spans="1:61" x14ac:dyDescent="0.25">
      <c r="A80" s="62" t="s">
        <v>240</v>
      </c>
      <c r="B80" s="62" t="s">
        <v>240</v>
      </c>
      <c r="C80" s="63"/>
      <c r="D80" s="64"/>
      <c r="E80" s="65"/>
      <c r="F80" s="66"/>
      <c r="G80" s="63"/>
      <c r="H80" s="67"/>
      <c r="I80" s="68"/>
      <c r="J80" s="68"/>
      <c r="K80" s="32"/>
      <c r="L80" s="75">
        <v>80</v>
      </c>
      <c r="M80" s="75"/>
      <c r="N80" s="70"/>
      <c r="O80" s="77" t="s">
        <v>179</v>
      </c>
      <c r="P80" s="79">
        <v>45120.472222222219</v>
      </c>
      <c r="Q80" s="77" t="s">
        <v>978</v>
      </c>
      <c r="R80" s="77">
        <v>0</v>
      </c>
      <c r="S80" s="77">
        <v>0</v>
      </c>
      <c r="T80" s="77">
        <v>0</v>
      </c>
      <c r="U80" s="77">
        <v>0</v>
      </c>
      <c r="V80" s="77">
        <v>309</v>
      </c>
      <c r="W80" s="82" t="s">
        <v>4839</v>
      </c>
      <c r="X80" s="80" t="str">
        <f>HYPERLINK("https://www.jornaldocomercio.com/economia/2023/07/1114863-bolsas-da-asia-fecham-em-alta-apos-cpi-dos-eua-e-sinal-de-apoio-da-china-a-setor-de-tecnologia.html")</f>
        <v>https://www.jornaldocomercio.com/economia/2023/07/1114863-bolsas-da-asia-fecham-em-alta-apos-cpi-dos-eua-e-sinal-de-apoio-da-china-a-setor-de-tecnologia.html</v>
      </c>
      <c r="Y80" s="77" t="s">
        <v>6475</v>
      </c>
      <c r="Z80" s="77"/>
      <c r="AA80" s="77"/>
      <c r="AB80" s="77"/>
      <c r="AC80" s="82" t="s">
        <v>7754</v>
      </c>
      <c r="AD80" s="77" t="s">
        <v>7788</v>
      </c>
      <c r="AE80" s="80" t="str">
        <f>HYPERLINK("https://twitter.com/jc_rs/status/1679450599342080000")</f>
        <v>https://twitter.com/jc_rs/status/1679450599342080000</v>
      </c>
      <c r="AF80" s="79">
        <v>45120.472222222219</v>
      </c>
      <c r="AG80" s="85">
        <v>45120</v>
      </c>
      <c r="AH80" s="82" t="s">
        <v>7847</v>
      </c>
      <c r="AI80" s="77" t="b">
        <v>0</v>
      </c>
      <c r="AJ80" s="77"/>
      <c r="AK80" s="77"/>
      <c r="AL80" s="77"/>
      <c r="AM80" s="77"/>
      <c r="AN80" s="77"/>
      <c r="AO80" s="77"/>
      <c r="AP80" s="77"/>
      <c r="AQ80" s="77"/>
      <c r="AR80" s="77"/>
      <c r="AS80" s="77"/>
      <c r="AT80" s="77"/>
      <c r="AU80" s="77"/>
      <c r="AV80" s="80" t="str">
        <f>HYPERLINK("https://pbs.twimg.com/profile_images/1531317937075806210/7oEvwlvr_normal.jpg")</f>
        <v>https://pbs.twimg.com/profile_images/1531317937075806210/7oEvwlvr_normal.jpg</v>
      </c>
      <c r="AW80" s="82" t="s">
        <v>11790</v>
      </c>
      <c r="AX80" s="82" t="s">
        <v>11790</v>
      </c>
      <c r="AY80" s="77"/>
      <c r="AZ80" s="82" t="s">
        <v>15984</v>
      </c>
      <c r="BA80" s="82" t="s">
        <v>15984</v>
      </c>
      <c r="BB80" s="82" t="s">
        <v>15984</v>
      </c>
      <c r="BC80" s="82" t="s">
        <v>11790</v>
      </c>
      <c r="BD80" s="77">
        <v>17118982</v>
      </c>
      <c r="BE80" s="77"/>
      <c r="BF80" s="77"/>
      <c r="BG80" s="77"/>
      <c r="BH80" s="77"/>
      <c r="BI80" s="77"/>
    </row>
    <row r="81" spans="1:61" x14ac:dyDescent="0.25">
      <c r="A81" s="62" t="s">
        <v>240</v>
      </c>
      <c r="B81" s="62" t="s">
        <v>240</v>
      </c>
      <c r="C81" s="63"/>
      <c r="D81" s="64"/>
      <c r="E81" s="65"/>
      <c r="F81" s="66"/>
      <c r="G81" s="63"/>
      <c r="H81" s="67"/>
      <c r="I81" s="68"/>
      <c r="J81" s="68"/>
      <c r="K81" s="32"/>
      <c r="L81" s="75">
        <v>81</v>
      </c>
      <c r="M81" s="75"/>
      <c r="N81" s="70"/>
      <c r="O81" s="77" t="s">
        <v>179</v>
      </c>
      <c r="P81" s="79">
        <v>45177.5</v>
      </c>
      <c r="Q81" s="77" t="s">
        <v>979</v>
      </c>
      <c r="R81" s="77">
        <v>0</v>
      </c>
      <c r="S81" s="77">
        <v>1</v>
      </c>
      <c r="T81" s="77">
        <v>0</v>
      </c>
      <c r="U81" s="77">
        <v>0</v>
      </c>
      <c r="V81" s="77">
        <v>212</v>
      </c>
      <c r="W81" s="82" t="s">
        <v>4839</v>
      </c>
      <c r="X81" s="80" t="str">
        <f>HYPERLINK("https://www.jornaldocomercio.com/economia/2023/09/1122437-bolsas-da-asia-fecham-em-queda-apos-decepcao-com-pib-do-japao-e-riscos-persistentes-na-china.html")</f>
        <v>https://www.jornaldocomercio.com/economia/2023/09/1122437-bolsas-da-asia-fecham-em-queda-apos-decepcao-com-pib-do-japao-e-riscos-persistentes-na-china.html</v>
      </c>
      <c r="Y81" s="77" t="s">
        <v>6475</v>
      </c>
      <c r="Z81" s="77"/>
      <c r="AA81" s="77"/>
      <c r="AB81" s="77"/>
      <c r="AC81" s="82" t="s">
        <v>7750</v>
      </c>
      <c r="AD81" s="77" t="s">
        <v>7788</v>
      </c>
      <c r="AE81" s="80" t="str">
        <f>HYPERLINK("https://twitter.com/jc_rs/status/1700116776275628407")</f>
        <v>https://twitter.com/jc_rs/status/1700116776275628407</v>
      </c>
      <c r="AF81" s="79">
        <v>45177.5</v>
      </c>
      <c r="AG81" s="85">
        <v>45177</v>
      </c>
      <c r="AH81" s="82" t="s">
        <v>7872</v>
      </c>
      <c r="AI81" s="77" t="b">
        <v>0</v>
      </c>
      <c r="AJ81" s="77"/>
      <c r="AK81" s="77"/>
      <c r="AL81" s="77"/>
      <c r="AM81" s="77"/>
      <c r="AN81" s="77"/>
      <c r="AO81" s="77"/>
      <c r="AP81" s="77"/>
      <c r="AQ81" s="77"/>
      <c r="AR81" s="77"/>
      <c r="AS81" s="77"/>
      <c r="AT81" s="77"/>
      <c r="AU81" s="77"/>
      <c r="AV81" s="80" t="str">
        <f>HYPERLINK("https://pbs.twimg.com/profile_images/1531317937075806210/7oEvwlvr_normal.jpg")</f>
        <v>https://pbs.twimg.com/profile_images/1531317937075806210/7oEvwlvr_normal.jpg</v>
      </c>
      <c r="AW81" s="82" t="s">
        <v>11791</v>
      </c>
      <c r="AX81" s="82" t="s">
        <v>11791</v>
      </c>
      <c r="AY81" s="77"/>
      <c r="AZ81" s="82" t="s">
        <v>15984</v>
      </c>
      <c r="BA81" s="82" t="s">
        <v>15984</v>
      </c>
      <c r="BB81" s="82" t="s">
        <v>15984</v>
      </c>
      <c r="BC81" s="82" t="s">
        <v>11791</v>
      </c>
      <c r="BD81" s="77">
        <v>17118982</v>
      </c>
      <c r="BE81" s="77"/>
      <c r="BF81" s="77"/>
      <c r="BG81" s="77"/>
      <c r="BH81" s="77"/>
      <c r="BI81" s="77"/>
    </row>
    <row r="82" spans="1:61" x14ac:dyDescent="0.25">
      <c r="A82" s="62" t="s">
        <v>240</v>
      </c>
      <c r="B82" s="62" t="s">
        <v>240</v>
      </c>
      <c r="C82" s="63"/>
      <c r="D82" s="64"/>
      <c r="E82" s="65"/>
      <c r="F82" s="66"/>
      <c r="G82" s="63"/>
      <c r="H82" s="67"/>
      <c r="I82" s="68"/>
      <c r="J82" s="68"/>
      <c r="K82" s="32"/>
      <c r="L82" s="75">
        <v>82</v>
      </c>
      <c r="M82" s="75"/>
      <c r="N82" s="70"/>
      <c r="O82" s="77" t="s">
        <v>179</v>
      </c>
      <c r="P82" s="79">
        <v>45155.541666666664</v>
      </c>
      <c r="Q82" s="77" t="s">
        <v>980</v>
      </c>
      <c r="R82" s="77">
        <v>0</v>
      </c>
      <c r="S82" s="77">
        <v>0</v>
      </c>
      <c r="T82" s="77">
        <v>0</v>
      </c>
      <c r="U82" s="77">
        <v>0</v>
      </c>
      <c r="V82" s="77">
        <v>182</v>
      </c>
      <c r="W82" s="82" t="s">
        <v>4839</v>
      </c>
      <c r="X82" s="80" t="str">
        <f>HYPERLINK("https://www.jornaldocomercio.com/economia/2023/08/1119605-bolsas-da-asia-fecham-na-maioria-em-queda-mas-xangai-avanca-apos-sequencia-negativa.html")</f>
        <v>https://www.jornaldocomercio.com/economia/2023/08/1119605-bolsas-da-asia-fecham-na-maioria-em-queda-mas-xangai-avanca-apos-sequencia-negativa.html</v>
      </c>
      <c r="Y82" s="77" t="s">
        <v>6475</v>
      </c>
      <c r="Z82" s="77"/>
      <c r="AA82" s="77"/>
      <c r="AB82" s="77"/>
      <c r="AC82" s="82" t="s">
        <v>7750</v>
      </c>
      <c r="AD82" s="77" t="s">
        <v>7788</v>
      </c>
      <c r="AE82" s="80" t="str">
        <f>HYPERLINK("https://twitter.com/jc_rs/status/1692159340734517625")</f>
        <v>https://twitter.com/jc_rs/status/1692159340734517625</v>
      </c>
      <c r="AF82" s="79">
        <v>45155.541666666664</v>
      </c>
      <c r="AG82" s="85">
        <v>45155</v>
      </c>
      <c r="AH82" s="82" t="s">
        <v>7873</v>
      </c>
      <c r="AI82" s="77" t="b">
        <v>0</v>
      </c>
      <c r="AJ82" s="77"/>
      <c r="AK82" s="77"/>
      <c r="AL82" s="77"/>
      <c r="AM82" s="77"/>
      <c r="AN82" s="77"/>
      <c r="AO82" s="77"/>
      <c r="AP82" s="77"/>
      <c r="AQ82" s="77"/>
      <c r="AR82" s="77"/>
      <c r="AS82" s="77"/>
      <c r="AT82" s="77"/>
      <c r="AU82" s="77"/>
      <c r="AV82" s="80" t="str">
        <f>HYPERLINK("https://pbs.twimg.com/profile_images/1531317937075806210/7oEvwlvr_normal.jpg")</f>
        <v>https://pbs.twimg.com/profile_images/1531317937075806210/7oEvwlvr_normal.jpg</v>
      </c>
      <c r="AW82" s="82" t="s">
        <v>11792</v>
      </c>
      <c r="AX82" s="82" t="s">
        <v>11792</v>
      </c>
      <c r="AY82" s="77"/>
      <c r="AZ82" s="82" t="s">
        <v>15984</v>
      </c>
      <c r="BA82" s="82" t="s">
        <v>15984</v>
      </c>
      <c r="BB82" s="82" t="s">
        <v>15984</v>
      </c>
      <c r="BC82" s="82" t="s">
        <v>11792</v>
      </c>
      <c r="BD82" s="77">
        <v>17118982</v>
      </c>
      <c r="BE82" s="77"/>
      <c r="BF82" s="77"/>
      <c r="BG82" s="77"/>
      <c r="BH82" s="77"/>
      <c r="BI82" s="77"/>
    </row>
    <row r="83" spans="1:61" x14ac:dyDescent="0.25">
      <c r="A83" s="62" t="s">
        <v>240</v>
      </c>
      <c r="B83" s="62" t="s">
        <v>240</v>
      </c>
      <c r="C83" s="63"/>
      <c r="D83" s="64"/>
      <c r="E83" s="65"/>
      <c r="F83" s="66"/>
      <c r="G83" s="63"/>
      <c r="H83" s="67"/>
      <c r="I83" s="68"/>
      <c r="J83" s="68"/>
      <c r="K83" s="32"/>
      <c r="L83" s="75">
        <v>83</v>
      </c>
      <c r="M83" s="75"/>
      <c r="N83" s="70"/>
      <c r="O83" s="77" t="s">
        <v>179</v>
      </c>
      <c r="P83" s="79">
        <v>45127.472222222219</v>
      </c>
      <c r="Q83" s="77" t="s">
        <v>981</v>
      </c>
      <c r="R83" s="77">
        <v>0</v>
      </c>
      <c r="S83" s="77">
        <v>2</v>
      </c>
      <c r="T83" s="77">
        <v>0</v>
      </c>
      <c r="U83" s="77">
        <v>0</v>
      </c>
      <c r="V83" s="77">
        <v>268</v>
      </c>
      <c r="W83" s="82" t="s">
        <v>4839</v>
      </c>
      <c r="X83" s="80" t="str">
        <f>HYPERLINK("https://www.jornaldocomercio.com/economia/2023/07/1115843-bolsas-da-asia-fecham-em-baixa-apos-china-deixar-principais-juros-inalterados.html")</f>
        <v>https://www.jornaldocomercio.com/economia/2023/07/1115843-bolsas-da-asia-fecham-em-baixa-apos-china-deixar-principais-juros-inalterados.html</v>
      </c>
      <c r="Y83" s="77" t="s">
        <v>6475</v>
      </c>
      <c r="Z83" s="77"/>
      <c r="AA83" s="77"/>
      <c r="AB83" s="77"/>
      <c r="AC83" s="82" t="s">
        <v>7754</v>
      </c>
      <c r="AD83" s="77" t="s">
        <v>7788</v>
      </c>
      <c r="AE83" s="80" t="str">
        <f>HYPERLINK("https://twitter.com/jc_rs/status/1681987314887823361")</f>
        <v>https://twitter.com/jc_rs/status/1681987314887823361</v>
      </c>
      <c r="AF83" s="79">
        <v>45127.472222222219</v>
      </c>
      <c r="AG83" s="85">
        <v>45127</v>
      </c>
      <c r="AH83" s="82" t="s">
        <v>7847</v>
      </c>
      <c r="AI83" s="77" t="b">
        <v>0</v>
      </c>
      <c r="AJ83" s="77"/>
      <c r="AK83" s="77"/>
      <c r="AL83" s="77"/>
      <c r="AM83" s="77"/>
      <c r="AN83" s="77"/>
      <c r="AO83" s="77"/>
      <c r="AP83" s="77"/>
      <c r="AQ83" s="77"/>
      <c r="AR83" s="77"/>
      <c r="AS83" s="77"/>
      <c r="AT83" s="77"/>
      <c r="AU83" s="77"/>
      <c r="AV83" s="80" t="str">
        <f>HYPERLINK("https://pbs.twimg.com/profile_images/1531317937075806210/7oEvwlvr_normal.jpg")</f>
        <v>https://pbs.twimg.com/profile_images/1531317937075806210/7oEvwlvr_normal.jpg</v>
      </c>
      <c r="AW83" s="82" t="s">
        <v>11793</v>
      </c>
      <c r="AX83" s="82" t="s">
        <v>11793</v>
      </c>
      <c r="AY83" s="77"/>
      <c r="AZ83" s="82" t="s">
        <v>15984</v>
      </c>
      <c r="BA83" s="82" t="s">
        <v>15984</v>
      </c>
      <c r="BB83" s="82" t="s">
        <v>15984</v>
      </c>
      <c r="BC83" s="82" t="s">
        <v>11793</v>
      </c>
      <c r="BD83" s="77">
        <v>17118982</v>
      </c>
      <c r="BE83" s="77"/>
      <c r="BF83" s="77"/>
      <c r="BG83" s="77"/>
      <c r="BH83" s="77"/>
      <c r="BI83" s="77"/>
    </row>
    <row r="84" spans="1:61" x14ac:dyDescent="0.25">
      <c r="A84" s="62" t="s">
        <v>240</v>
      </c>
      <c r="B84" s="62" t="s">
        <v>240</v>
      </c>
      <c r="C84" s="63"/>
      <c r="D84" s="64"/>
      <c r="E84" s="65"/>
      <c r="F84" s="66"/>
      <c r="G84" s="63"/>
      <c r="H84" s="67"/>
      <c r="I84" s="68"/>
      <c r="J84" s="68"/>
      <c r="K84" s="32"/>
      <c r="L84" s="75">
        <v>84</v>
      </c>
      <c r="M84" s="75"/>
      <c r="N84" s="70"/>
      <c r="O84" s="77" t="s">
        <v>179</v>
      </c>
      <c r="P84" s="79">
        <v>45184.478344907409</v>
      </c>
      <c r="Q84" s="77" t="s">
        <v>982</v>
      </c>
      <c r="R84" s="77">
        <v>0</v>
      </c>
      <c r="S84" s="77">
        <v>2</v>
      </c>
      <c r="T84" s="77">
        <v>0</v>
      </c>
      <c r="U84" s="77">
        <v>0</v>
      </c>
      <c r="V84" s="77">
        <v>279</v>
      </c>
      <c r="W84" s="82" t="s">
        <v>4839</v>
      </c>
      <c r="X84" s="80" t="str">
        <f>HYPERLINK("https://www.jornaldocomercio.com/economia/2023/09/1123397-bolsas-da-asia-fecham-mistas-com-sinais-de-recuperacao-fragil-na-china.html")</f>
        <v>https://www.jornaldocomercio.com/economia/2023/09/1123397-bolsas-da-asia-fecham-mistas-com-sinais-de-recuperacao-fragil-na-china.html</v>
      </c>
      <c r="Y84" s="77" t="s">
        <v>6475</v>
      </c>
      <c r="Z84" s="77"/>
      <c r="AA84" s="77"/>
      <c r="AB84" s="77"/>
      <c r="AC84" s="82" t="s">
        <v>7750</v>
      </c>
      <c r="AD84" s="77" t="s">
        <v>7788</v>
      </c>
      <c r="AE84" s="80" t="str">
        <f>HYPERLINK("https://twitter.com/jc_rs/status/1702645641292210293")</f>
        <v>https://twitter.com/jc_rs/status/1702645641292210293</v>
      </c>
      <c r="AF84" s="79">
        <v>45184.478344907409</v>
      </c>
      <c r="AG84" s="85">
        <v>45184</v>
      </c>
      <c r="AH84" s="82" t="s">
        <v>7874</v>
      </c>
      <c r="AI84" s="77" t="b">
        <v>0</v>
      </c>
      <c r="AJ84" s="77"/>
      <c r="AK84" s="77"/>
      <c r="AL84" s="77"/>
      <c r="AM84" s="77"/>
      <c r="AN84" s="77"/>
      <c r="AO84" s="77"/>
      <c r="AP84" s="77"/>
      <c r="AQ84" s="77"/>
      <c r="AR84" s="77"/>
      <c r="AS84" s="77"/>
      <c r="AT84" s="77"/>
      <c r="AU84" s="77"/>
      <c r="AV84" s="80" t="str">
        <f>HYPERLINK("https://pbs.twimg.com/profile_images/1531317937075806210/7oEvwlvr_normal.jpg")</f>
        <v>https://pbs.twimg.com/profile_images/1531317937075806210/7oEvwlvr_normal.jpg</v>
      </c>
      <c r="AW84" s="82" t="s">
        <v>11794</v>
      </c>
      <c r="AX84" s="82" t="s">
        <v>11794</v>
      </c>
      <c r="AY84" s="77"/>
      <c r="AZ84" s="82" t="s">
        <v>15984</v>
      </c>
      <c r="BA84" s="82" t="s">
        <v>15984</v>
      </c>
      <c r="BB84" s="82" t="s">
        <v>15984</v>
      </c>
      <c r="BC84" s="82" t="s">
        <v>11794</v>
      </c>
      <c r="BD84" s="77">
        <v>17118982</v>
      </c>
      <c r="BE84" s="77"/>
      <c r="BF84" s="77"/>
      <c r="BG84" s="77"/>
      <c r="BH84" s="77"/>
      <c r="BI84" s="77"/>
    </row>
    <row r="85" spans="1:61" x14ac:dyDescent="0.25">
      <c r="A85" s="62" t="s">
        <v>240</v>
      </c>
      <c r="B85" s="62" t="s">
        <v>240</v>
      </c>
      <c r="C85" s="63"/>
      <c r="D85" s="64"/>
      <c r="E85" s="65"/>
      <c r="F85" s="66"/>
      <c r="G85" s="63"/>
      <c r="H85" s="67"/>
      <c r="I85" s="68"/>
      <c r="J85" s="68"/>
      <c r="K85" s="32"/>
      <c r="L85" s="75">
        <v>85</v>
      </c>
      <c r="M85" s="75"/>
      <c r="N85" s="70"/>
      <c r="O85" s="77" t="s">
        <v>179</v>
      </c>
      <c r="P85" s="79">
        <v>45187.569444444445</v>
      </c>
      <c r="Q85" s="77" t="s">
        <v>983</v>
      </c>
      <c r="R85" s="77">
        <v>0</v>
      </c>
      <c r="S85" s="77">
        <v>1</v>
      </c>
      <c r="T85" s="77">
        <v>0</v>
      </c>
      <c r="U85" s="77">
        <v>0</v>
      </c>
      <c r="V85" s="77">
        <v>268</v>
      </c>
      <c r="W85" s="82" t="s">
        <v>4839</v>
      </c>
      <c r="X85" s="80" t="str">
        <f>HYPERLINK("https://www.jornaldocomercio.com/economia/2023/09/1123603-bolsas-da-asia-fecham-majoritariamente-em-baixa-a-espera-de-anuncios-de-fed-pboc-e-boj.html")</f>
        <v>https://www.jornaldocomercio.com/economia/2023/09/1123603-bolsas-da-asia-fecham-majoritariamente-em-baixa-a-espera-de-anuncios-de-fed-pboc-e-boj.html</v>
      </c>
      <c r="Y85" s="77" t="s">
        <v>6475</v>
      </c>
      <c r="Z85" s="77"/>
      <c r="AA85" s="77"/>
      <c r="AB85" s="77"/>
      <c r="AC85" s="82" t="s">
        <v>7750</v>
      </c>
      <c r="AD85" s="77" t="s">
        <v>7788</v>
      </c>
      <c r="AE85" s="80" t="str">
        <f>HYPERLINK("https://twitter.com/jc_rs/status/1703765818360868877")</f>
        <v>https://twitter.com/jc_rs/status/1703765818360868877</v>
      </c>
      <c r="AF85" s="79">
        <v>45187.569444444445</v>
      </c>
      <c r="AG85" s="85">
        <v>45187</v>
      </c>
      <c r="AH85" s="82" t="s">
        <v>7875</v>
      </c>
      <c r="AI85" s="77" t="b">
        <v>0</v>
      </c>
      <c r="AJ85" s="77"/>
      <c r="AK85" s="77"/>
      <c r="AL85" s="77"/>
      <c r="AM85" s="77"/>
      <c r="AN85" s="77"/>
      <c r="AO85" s="77"/>
      <c r="AP85" s="77"/>
      <c r="AQ85" s="77"/>
      <c r="AR85" s="77"/>
      <c r="AS85" s="77"/>
      <c r="AT85" s="77"/>
      <c r="AU85" s="77"/>
      <c r="AV85" s="80" t="str">
        <f>HYPERLINK("https://pbs.twimg.com/profile_images/1531317937075806210/7oEvwlvr_normal.jpg")</f>
        <v>https://pbs.twimg.com/profile_images/1531317937075806210/7oEvwlvr_normal.jpg</v>
      </c>
      <c r="AW85" s="82" t="s">
        <v>11795</v>
      </c>
      <c r="AX85" s="82" t="s">
        <v>11795</v>
      </c>
      <c r="AY85" s="77"/>
      <c r="AZ85" s="82" t="s">
        <v>15984</v>
      </c>
      <c r="BA85" s="82" t="s">
        <v>15984</v>
      </c>
      <c r="BB85" s="82" t="s">
        <v>15984</v>
      </c>
      <c r="BC85" s="82" t="s">
        <v>11795</v>
      </c>
      <c r="BD85" s="77">
        <v>17118982</v>
      </c>
      <c r="BE85" s="77"/>
      <c r="BF85" s="77"/>
      <c r="BG85" s="77"/>
      <c r="BH85" s="77"/>
      <c r="BI85" s="77"/>
    </row>
    <row r="86" spans="1:61" x14ac:dyDescent="0.25">
      <c r="A86" s="62" t="s">
        <v>240</v>
      </c>
      <c r="B86" s="62" t="s">
        <v>240</v>
      </c>
      <c r="C86" s="63"/>
      <c r="D86" s="64"/>
      <c r="E86" s="65"/>
      <c r="F86" s="66"/>
      <c r="G86" s="63"/>
      <c r="H86" s="67"/>
      <c r="I86" s="68"/>
      <c r="J86" s="68"/>
      <c r="K86" s="32"/>
      <c r="L86" s="75">
        <v>86</v>
      </c>
      <c r="M86" s="75"/>
      <c r="N86" s="70"/>
      <c r="O86" s="77" t="s">
        <v>179</v>
      </c>
      <c r="P86" s="79">
        <v>45188.944444444445</v>
      </c>
      <c r="Q86" s="77" t="s">
        <v>984</v>
      </c>
      <c r="R86" s="77">
        <v>0</v>
      </c>
      <c r="S86" s="77">
        <v>1</v>
      </c>
      <c r="T86" s="77">
        <v>0</v>
      </c>
      <c r="U86" s="77">
        <v>0</v>
      </c>
      <c r="V86" s="77">
        <v>230</v>
      </c>
      <c r="W86" s="82" t="s">
        <v>4839</v>
      </c>
      <c r="X86" s="80" t="str">
        <f>HYPERLINK("https://www.jornaldocomercio.com/economia/2023/09/1123864-dolar-acelera-a-tarde-e-fecha-em-alta-de-035-com-cautela-na-vespera-do-fed.html")</f>
        <v>https://www.jornaldocomercio.com/economia/2023/09/1123864-dolar-acelera-a-tarde-e-fecha-em-alta-de-035-com-cautela-na-vespera-do-fed.html</v>
      </c>
      <c r="Y86" s="77" t="s">
        <v>6475</v>
      </c>
      <c r="Z86" s="77"/>
      <c r="AA86" s="77"/>
      <c r="AB86" s="77"/>
      <c r="AC86" s="82" t="s">
        <v>7750</v>
      </c>
      <c r="AD86" s="77" t="s">
        <v>7788</v>
      </c>
      <c r="AE86" s="80" t="str">
        <f>HYPERLINK("https://twitter.com/jc_rs/status/1704264101789073741")</f>
        <v>https://twitter.com/jc_rs/status/1704264101789073741</v>
      </c>
      <c r="AF86" s="79">
        <v>45188.944444444445</v>
      </c>
      <c r="AG86" s="85">
        <v>45188</v>
      </c>
      <c r="AH86" s="82" t="s">
        <v>7876</v>
      </c>
      <c r="AI86" s="77" t="b">
        <v>0</v>
      </c>
      <c r="AJ86" s="77"/>
      <c r="AK86" s="77"/>
      <c r="AL86" s="77"/>
      <c r="AM86" s="77"/>
      <c r="AN86" s="77"/>
      <c r="AO86" s="77"/>
      <c r="AP86" s="77"/>
      <c r="AQ86" s="77"/>
      <c r="AR86" s="77"/>
      <c r="AS86" s="77"/>
      <c r="AT86" s="77"/>
      <c r="AU86" s="77"/>
      <c r="AV86" s="80" t="str">
        <f>HYPERLINK("https://pbs.twimg.com/profile_images/1531317937075806210/7oEvwlvr_normal.jpg")</f>
        <v>https://pbs.twimg.com/profile_images/1531317937075806210/7oEvwlvr_normal.jpg</v>
      </c>
      <c r="AW86" s="82" t="s">
        <v>11796</v>
      </c>
      <c r="AX86" s="82" t="s">
        <v>11796</v>
      </c>
      <c r="AY86" s="77"/>
      <c r="AZ86" s="82" t="s">
        <v>15984</v>
      </c>
      <c r="BA86" s="82" t="s">
        <v>15984</v>
      </c>
      <c r="BB86" s="82" t="s">
        <v>15984</v>
      </c>
      <c r="BC86" s="82" t="s">
        <v>11796</v>
      </c>
      <c r="BD86" s="77">
        <v>17118982</v>
      </c>
      <c r="BE86" s="77"/>
      <c r="BF86" s="77"/>
      <c r="BG86" s="77"/>
      <c r="BH86" s="77"/>
      <c r="BI86" s="77"/>
    </row>
    <row r="87" spans="1:61" x14ac:dyDescent="0.25">
      <c r="A87" s="62" t="s">
        <v>240</v>
      </c>
      <c r="B87" s="62" t="s">
        <v>240</v>
      </c>
      <c r="C87" s="63"/>
      <c r="D87" s="64"/>
      <c r="E87" s="65"/>
      <c r="F87" s="66"/>
      <c r="G87" s="63"/>
      <c r="H87" s="67"/>
      <c r="I87" s="68"/>
      <c r="J87" s="68"/>
      <c r="K87" s="32"/>
      <c r="L87" s="75">
        <v>87</v>
      </c>
      <c r="M87" s="75"/>
      <c r="N87" s="70"/>
      <c r="O87" s="77" t="s">
        <v>179</v>
      </c>
      <c r="P87" s="79">
        <v>45159.527777777781</v>
      </c>
      <c r="Q87" s="77" t="s">
        <v>985</v>
      </c>
      <c r="R87" s="77">
        <v>0</v>
      </c>
      <c r="S87" s="77">
        <v>1</v>
      </c>
      <c r="T87" s="77">
        <v>0</v>
      </c>
      <c r="U87" s="77">
        <v>0</v>
      </c>
      <c r="V87" s="77">
        <v>261</v>
      </c>
      <c r="W87" s="82" t="s">
        <v>4839</v>
      </c>
      <c r="X87" s="80" t="str">
        <f>HYPERLINK("https://www.jornaldocomercio.com/economia/2023/08/1120050-bolsas-da-asia-fecham-sem-sinal-unico-apos-decisao-do-pboc-xangai-recua-mais-de-1.html")</f>
        <v>https://www.jornaldocomercio.com/economia/2023/08/1120050-bolsas-da-asia-fecham-sem-sinal-unico-apos-decisao-do-pboc-xangai-recua-mais-de-1.html</v>
      </c>
      <c r="Y87" s="77" t="s">
        <v>6475</v>
      </c>
      <c r="Z87" s="77"/>
      <c r="AA87" s="77"/>
      <c r="AB87" s="77"/>
      <c r="AC87" s="82" t="s">
        <v>7750</v>
      </c>
      <c r="AD87" s="77" t="s">
        <v>7788</v>
      </c>
      <c r="AE87" s="80" t="str">
        <f>HYPERLINK("https://twitter.com/jc_rs/status/1693603859069804663")</f>
        <v>https://twitter.com/jc_rs/status/1693603859069804663</v>
      </c>
      <c r="AF87" s="79">
        <v>45159.527777777781</v>
      </c>
      <c r="AG87" s="85">
        <v>45159</v>
      </c>
      <c r="AH87" s="82" t="s">
        <v>7877</v>
      </c>
      <c r="AI87" s="77" t="b">
        <v>0</v>
      </c>
      <c r="AJ87" s="77"/>
      <c r="AK87" s="77"/>
      <c r="AL87" s="77"/>
      <c r="AM87" s="77"/>
      <c r="AN87" s="77"/>
      <c r="AO87" s="77"/>
      <c r="AP87" s="77"/>
      <c r="AQ87" s="77"/>
      <c r="AR87" s="77"/>
      <c r="AS87" s="77"/>
      <c r="AT87" s="77"/>
      <c r="AU87" s="77"/>
      <c r="AV87" s="80" t="str">
        <f>HYPERLINK("https://pbs.twimg.com/profile_images/1531317937075806210/7oEvwlvr_normal.jpg")</f>
        <v>https://pbs.twimg.com/profile_images/1531317937075806210/7oEvwlvr_normal.jpg</v>
      </c>
      <c r="AW87" s="82" t="s">
        <v>11797</v>
      </c>
      <c r="AX87" s="82" t="s">
        <v>11797</v>
      </c>
      <c r="AY87" s="77"/>
      <c r="AZ87" s="82" t="s">
        <v>15984</v>
      </c>
      <c r="BA87" s="82" t="s">
        <v>15984</v>
      </c>
      <c r="BB87" s="82" t="s">
        <v>15984</v>
      </c>
      <c r="BC87" s="82" t="s">
        <v>11797</v>
      </c>
      <c r="BD87" s="77">
        <v>17118982</v>
      </c>
      <c r="BE87" s="77"/>
      <c r="BF87" s="77"/>
      <c r="BG87" s="77"/>
      <c r="BH87" s="77"/>
      <c r="BI87" s="77"/>
    </row>
    <row r="88" spans="1:61" x14ac:dyDescent="0.25">
      <c r="A88" s="62" t="s">
        <v>240</v>
      </c>
      <c r="B88" s="62" t="s">
        <v>240</v>
      </c>
      <c r="C88" s="63"/>
      <c r="D88" s="64"/>
      <c r="E88" s="65"/>
      <c r="F88" s="66"/>
      <c r="G88" s="63"/>
      <c r="H88" s="67"/>
      <c r="I88" s="68"/>
      <c r="J88" s="68"/>
      <c r="K88" s="32"/>
      <c r="L88" s="75">
        <v>88</v>
      </c>
      <c r="M88" s="75"/>
      <c r="N88" s="70"/>
      <c r="O88" s="77" t="s">
        <v>179</v>
      </c>
      <c r="P88" s="79">
        <v>45121.472222222219</v>
      </c>
      <c r="Q88" s="77" t="s">
        <v>986</v>
      </c>
      <c r="R88" s="77">
        <v>0</v>
      </c>
      <c r="S88" s="77">
        <v>1</v>
      </c>
      <c r="T88" s="77">
        <v>0</v>
      </c>
      <c r="U88" s="77">
        <v>0</v>
      </c>
      <c r="V88" s="77">
        <v>327</v>
      </c>
      <c r="W88" s="82" t="s">
        <v>4839</v>
      </c>
      <c r="X88" s="80" t="str">
        <f>HYPERLINK("https://www.jornaldocomercio.com/economia/2023/07/1115079-bolsas-da-asia-e-pacifico-fecham-majoritariamente-em-alta-com-ganhos-em-ny-apos-ppi.html")</f>
        <v>https://www.jornaldocomercio.com/economia/2023/07/1115079-bolsas-da-asia-e-pacifico-fecham-majoritariamente-em-alta-com-ganhos-em-ny-apos-ppi.html</v>
      </c>
      <c r="Y88" s="77" t="s">
        <v>6475</v>
      </c>
      <c r="Z88" s="77"/>
      <c r="AA88" s="77"/>
      <c r="AB88" s="77"/>
      <c r="AC88" s="82" t="s">
        <v>7750</v>
      </c>
      <c r="AD88" s="77" t="s">
        <v>7788</v>
      </c>
      <c r="AE88" s="80" t="str">
        <f>HYPERLINK("https://twitter.com/jc_rs/status/1679812987723587584")</f>
        <v>https://twitter.com/jc_rs/status/1679812987723587584</v>
      </c>
      <c r="AF88" s="79">
        <v>45121.472222222219</v>
      </c>
      <c r="AG88" s="85">
        <v>45121</v>
      </c>
      <c r="AH88" s="82" t="s">
        <v>7847</v>
      </c>
      <c r="AI88" s="77" t="b">
        <v>0</v>
      </c>
      <c r="AJ88" s="77"/>
      <c r="AK88" s="77"/>
      <c r="AL88" s="77"/>
      <c r="AM88" s="77"/>
      <c r="AN88" s="77"/>
      <c r="AO88" s="77"/>
      <c r="AP88" s="77"/>
      <c r="AQ88" s="77"/>
      <c r="AR88" s="77"/>
      <c r="AS88" s="77"/>
      <c r="AT88" s="77"/>
      <c r="AU88" s="77"/>
      <c r="AV88" s="80" t="str">
        <f>HYPERLINK("https://pbs.twimg.com/profile_images/1531317937075806210/7oEvwlvr_normal.jpg")</f>
        <v>https://pbs.twimg.com/profile_images/1531317937075806210/7oEvwlvr_normal.jpg</v>
      </c>
      <c r="AW88" s="82" t="s">
        <v>11798</v>
      </c>
      <c r="AX88" s="82" t="s">
        <v>11798</v>
      </c>
      <c r="AY88" s="77"/>
      <c r="AZ88" s="82" t="s">
        <v>15984</v>
      </c>
      <c r="BA88" s="82" t="s">
        <v>15984</v>
      </c>
      <c r="BB88" s="82" t="s">
        <v>15984</v>
      </c>
      <c r="BC88" s="82" t="s">
        <v>11798</v>
      </c>
      <c r="BD88" s="77">
        <v>17118982</v>
      </c>
      <c r="BE88" s="77"/>
      <c r="BF88" s="77"/>
      <c r="BG88" s="77"/>
      <c r="BH88" s="77"/>
      <c r="BI88" s="77"/>
    </row>
    <row r="89" spans="1:61" x14ac:dyDescent="0.25">
      <c r="A89" s="62" t="s">
        <v>240</v>
      </c>
      <c r="B89" s="62" t="s">
        <v>240</v>
      </c>
      <c r="C89" s="63"/>
      <c r="D89" s="64"/>
      <c r="E89" s="65"/>
      <c r="F89" s="66"/>
      <c r="G89" s="63"/>
      <c r="H89" s="67"/>
      <c r="I89" s="68"/>
      <c r="J89" s="68"/>
      <c r="K89" s="32"/>
      <c r="L89" s="75">
        <v>89</v>
      </c>
      <c r="M89" s="75"/>
      <c r="N89" s="70"/>
      <c r="O89" s="77" t="s">
        <v>179</v>
      </c>
      <c r="P89" s="79">
        <v>45188.527777777781</v>
      </c>
      <c r="Q89" s="77" t="s">
        <v>987</v>
      </c>
      <c r="R89" s="77">
        <v>0</v>
      </c>
      <c r="S89" s="77">
        <v>2</v>
      </c>
      <c r="T89" s="77">
        <v>0</v>
      </c>
      <c r="U89" s="77">
        <v>0</v>
      </c>
      <c r="V89" s="77">
        <v>183</v>
      </c>
      <c r="W89" s="82" t="s">
        <v>4839</v>
      </c>
      <c r="X89" s="80" t="str">
        <f>HYPERLINK("https://www.jornaldocomercio.com/economia/2023/09/1123764-bolsas-da-asia-fecham-majoritariamente-em-baixa-com-cautela-pre-fed.html")</f>
        <v>https://www.jornaldocomercio.com/economia/2023/09/1123764-bolsas-da-asia-fecham-majoritariamente-em-baixa-com-cautela-pre-fed.html</v>
      </c>
      <c r="Y89" s="77" t="s">
        <v>6475</v>
      </c>
      <c r="Z89" s="77"/>
      <c r="AA89" s="77"/>
      <c r="AB89" s="77"/>
      <c r="AC89" s="82" t="s">
        <v>7750</v>
      </c>
      <c r="AD89" s="77" t="s">
        <v>7788</v>
      </c>
      <c r="AE89" s="80" t="str">
        <f>HYPERLINK("https://twitter.com/jc_rs/status/1704113106975412667")</f>
        <v>https://twitter.com/jc_rs/status/1704113106975412667</v>
      </c>
      <c r="AF89" s="79">
        <v>45188.527777777781</v>
      </c>
      <c r="AG89" s="85">
        <v>45188</v>
      </c>
      <c r="AH89" s="82" t="s">
        <v>7877</v>
      </c>
      <c r="AI89" s="77" t="b">
        <v>0</v>
      </c>
      <c r="AJ89" s="77"/>
      <c r="AK89" s="77"/>
      <c r="AL89" s="77"/>
      <c r="AM89" s="77"/>
      <c r="AN89" s="77"/>
      <c r="AO89" s="77"/>
      <c r="AP89" s="77"/>
      <c r="AQ89" s="77"/>
      <c r="AR89" s="77"/>
      <c r="AS89" s="77"/>
      <c r="AT89" s="77"/>
      <c r="AU89" s="77"/>
      <c r="AV89" s="80" t="str">
        <f>HYPERLINK("https://pbs.twimg.com/profile_images/1531317937075806210/7oEvwlvr_normal.jpg")</f>
        <v>https://pbs.twimg.com/profile_images/1531317937075806210/7oEvwlvr_normal.jpg</v>
      </c>
      <c r="AW89" s="82" t="s">
        <v>11799</v>
      </c>
      <c r="AX89" s="82" t="s">
        <v>11799</v>
      </c>
      <c r="AY89" s="77"/>
      <c r="AZ89" s="82" t="s">
        <v>15984</v>
      </c>
      <c r="BA89" s="82" t="s">
        <v>15984</v>
      </c>
      <c r="BB89" s="82" t="s">
        <v>15984</v>
      </c>
      <c r="BC89" s="82" t="s">
        <v>11799</v>
      </c>
      <c r="BD89" s="77">
        <v>17118982</v>
      </c>
      <c r="BE89" s="77"/>
      <c r="BF89" s="77"/>
      <c r="BG89" s="77"/>
      <c r="BH89" s="77"/>
      <c r="BI89" s="77"/>
    </row>
    <row r="90" spans="1:61" x14ac:dyDescent="0.25">
      <c r="A90" s="62" t="s">
        <v>240</v>
      </c>
      <c r="B90" s="62" t="s">
        <v>240</v>
      </c>
      <c r="C90" s="63"/>
      <c r="D90" s="64"/>
      <c r="E90" s="65"/>
      <c r="F90" s="66"/>
      <c r="G90" s="63"/>
      <c r="H90" s="67"/>
      <c r="I90" s="68"/>
      <c r="J90" s="68"/>
      <c r="K90" s="32"/>
      <c r="L90" s="75">
        <v>90</v>
      </c>
      <c r="M90" s="75"/>
      <c r="N90" s="70"/>
      <c r="O90" s="77" t="s">
        <v>179</v>
      </c>
      <c r="P90" s="79">
        <v>45188.930555555555</v>
      </c>
      <c r="Q90" s="77" t="s">
        <v>988</v>
      </c>
      <c r="R90" s="77">
        <v>0</v>
      </c>
      <c r="S90" s="77">
        <v>0</v>
      </c>
      <c r="T90" s="77">
        <v>0</v>
      </c>
      <c r="U90" s="77">
        <v>0</v>
      </c>
      <c r="V90" s="77">
        <v>251</v>
      </c>
      <c r="W90" s="82" t="s">
        <v>4839</v>
      </c>
      <c r="X90" s="80" t="str">
        <f>HYPERLINK("https://www.jornaldocomercio.com/economia/2023/09/1123866-ibovespa-cai-037-aos-1178-mil-pontos-em-baixa-pelo-3-dia-seguido.html")</f>
        <v>https://www.jornaldocomercio.com/economia/2023/09/1123866-ibovespa-cai-037-aos-1178-mil-pontos-em-baixa-pelo-3-dia-seguido.html</v>
      </c>
      <c r="Y90" s="77" t="s">
        <v>6475</v>
      </c>
      <c r="Z90" s="77"/>
      <c r="AA90" s="77"/>
      <c r="AB90" s="77"/>
      <c r="AC90" s="82" t="s">
        <v>7750</v>
      </c>
      <c r="AD90" s="77" t="s">
        <v>7788</v>
      </c>
      <c r="AE90" s="80" t="str">
        <f>HYPERLINK("https://twitter.com/jc_rs/status/1704259068645224454")</f>
        <v>https://twitter.com/jc_rs/status/1704259068645224454</v>
      </c>
      <c r="AF90" s="79">
        <v>45188.930555555555</v>
      </c>
      <c r="AG90" s="85">
        <v>45188</v>
      </c>
      <c r="AH90" s="82" t="s">
        <v>7878</v>
      </c>
      <c r="AI90" s="77" t="b">
        <v>0</v>
      </c>
      <c r="AJ90" s="77"/>
      <c r="AK90" s="77"/>
      <c r="AL90" s="77"/>
      <c r="AM90" s="77"/>
      <c r="AN90" s="77"/>
      <c r="AO90" s="77"/>
      <c r="AP90" s="77"/>
      <c r="AQ90" s="77"/>
      <c r="AR90" s="77"/>
      <c r="AS90" s="77"/>
      <c r="AT90" s="77"/>
      <c r="AU90" s="77"/>
      <c r="AV90" s="80" t="str">
        <f>HYPERLINK("https://pbs.twimg.com/profile_images/1531317937075806210/7oEvwlvr_normal.jpg")</f>
        <v>https://pbs.twimg.com/profile_images/1531317937075806210/7oEvwlvr_normal.jpg</v>
      </c>
      <c r="AW90" s="82" t="s">
        <v>11800</v>
      </c>
      <c r="AX90" s="82" t="s">
        <v>11800</v>
      </c>
      <c r="AY90" s="77"/>
      <c r="AZ90" s="82" t="s">
        <v>15984</v>
      </c>
      <c r="BA90" s="82" t="s">
        <v>15984</v>
      </c>
      <c r="BB90" s="82" t="s">
        <v>15984</v>
      </c>
      <c r="BC90" s="82" t="s">
        <v>11800</v>
      </c>
      <c r="BD90" s="77">
        <v>17118982</v>
      </c>
      <c r="BE90" s="77"/>
      <c r="BF90" s="77"/>
      <c r="BG90" s="77"/>
      <c r="BH90" s="77"/>
      <c r="BI90" s="77"/>
    </row>
    <row r="91" spans="1:61" x14ac:dyDescent="0.25">
      <c r="A91" s="62" t="s">
        <v>240</v>
      </c>
      <c r="B91" s="62" t="s">
        <v>240</v>
      </c>
      <c r="C91" s="63"/>
      <c r="D91" s="64"/>
      <c r="E91" s="65"/>
      <c r="F91" s="66"/>
      <c r="G91" s="63"/>
      <c r="H91" s="67"/>
      <c r="I91" s="68"/>
      <c r="J91" s="68"/>
      <c r="K91" s="32"/>
      <c r="L91" s="75">
        <v>91</v>
      </c>
      <c r="M91" s="75"/>
      <c r="N91" s="70"/>
      <c r="O91" s="77" t="s">
        <v>179</v>
      </c>
      <c r="P91" s="79">
        <v>45180.902777777781</v>
      </c>
      <c r="Q91" s="77" t="s">
        <v>989</v>
      </c>
      <c r="R91" s="77">
        <v>0</v>
      </c>
      <c r="S91" s="77">
        <v>1</v>
      </c>
      <c r="T91" s="77">
        <v>0</v>
      </c>
      <c r="U91" s="77">
        <v>0</v>
      </c>
      <c r="V91" s="77">
        <v>271</v>
      </c>
      <c r="W91" s="82" t="s">
        <v>4839</v>
      </c>
      <c r="X91" s="80" t="str">
        <f>HYPERLINK("https://www.jornaldocomercio.com/economia/2023/09/1122791-dolar-a-vista-cai-104-e-fecha-a-rs-49312-com-efeito-china.html")</f>
        <v>https://www.jornaldocomercio.com/economia/2023/09/1122791-dolar-a-vista-cai-104-e-fecha-a-rs-49312-com-efeito-china.html</v>
      </c>
      <c r="Y91" s="77" t="s">
        <v>6475</v>
      </c>
      <c r="Z91" s="77"/>
      <c r="AA91" s="77"/>
      <c r="AB91" s="77"/>
      <c r="AC91" s="82" t="s">
        <v>7750</v>
      </c>
      <c r="AD91" s="77" t="s">
        <v>7788</v>
      </c>
      <c r="AE91" s="80" t="str">
        <f>HYPERLINK("https://twitter.com/jc_rs/status/1701349899378602054")</f>
        <v>https://twitter.com/jc_rs/status/1701349899378602054</v>
      </c>
      <c r="AF91" s="79">
        <v>45180.902777777781</v>
      </c>
      <c r="AG91" s="85">
        <v>45180</v>
      </c>
      <c r="AH91" s="82" t="s">
        <v>7879</v>
      </c>
      <c r="AI91" s="77" t="b">
        <v>0</v>
      </c>
      <c r="AJ91" s="77"/>
      <c r="AK91" s="77"/>
      <c r="AL91" s="77"/>
      <c r="AM91" s="77"/>
      <c r="AN91" s="77"/>
      <c r="AO91" s="77"/>
      <c r="AP91" s="77"/>
      <c r="AQ91" s="77"/>
      <c r="AR91" s="77"/>
      <c r="AS91" s="77"/>
      <c r="AT91" s="77"/>
      <c r="AU91" s="77"/>
      <c r="AV91" s="80" t="str">
        <f>HYPERLINK("https://pbs.twimg.com/profile_images/1531317937075806210/7oEvwlvr_normal.jpg")</f>
        <v>https://pbs.twimg.com/profile_images/1531317937075806210/7oEvwlvr_normal.jpg</v>
      </c>
      <c r="AW91" s="82" t="s">
        <v>11801</v>
      </c>
      <c r="AX91" s="82" t="s">
        <v>11801</v>
      </c>
      <c r="AY91" s="77"/>
      <c r="AZ91" s="82" t="s">
        <v>15984</v>
      </c>
      <c r="BA91" s="82" t="s">
        <v>15984</v>
      </c>
      <c r="BB91" s="82" t="s">
        <v>15984</v>
      </c>
      <c r="BC91" s="82" t="s">
        <v>11801</v>
      </c>
      <c r="BD91" s="77">
        <v>17118982</v>
      </c>
      <c r="BE91" s="77"/>
      <c r="BF91" s="77"/>
      <c r="BG91" s="77"/>
      <c r="BH91" s="77"/>
      <c r="BI91" s="77"/>
    </row>
    <row r="92" spans="1:61" x14ac:dyDescent="0.25">
      <c r="A92" s="62" t="s">
        <v>240</v>
      </c>
      <c r="B92" s="62" t="s">
        <v>240</v>
      </c>
      <c r="C92" s="63"/>
      <c r="D92" s="64"/>
      <c r="E92" s="65"/>
      <c r="F92" s="66"/>
      <c r="G92" s="63"/>
      <c r="H92" s="67"/>
      <c r="I92" s="68"/>
      <c r="J92" s="68"/>
      <c r="K92" s="32"/>
      <c r="L92" s="75">
        <v>92</v>
      </c>
      <c r="M92" s="75"/>
      <c r="N92" s="70"/>
      <c r="O92" s="77" t="s">
        <v>179</v>
      </c>
      <c r="P92" s="79">
        <v>45190.583344907405</v>
      </c>
      <c r="Q92" s="77" t="s">
        <v>990</v>
      </c>
      <c r="R92" s="77">
        <v>0</v>
      </c>
      <c r="S92" s="77">
        <v>0</v>
      </c>
      <c r="T92" s="77">
        <v>0</v>
      </c>
      <c r="U92" s="77">
        <v>0</v>
      </c>
      <c r="V92" s="77">
        <v>148</v>
      </c>
      <c r="W92" s="82" t="s">
        <v>4839</v>
      </c>
      <c r="X92" s="80" t="str">
        <f>HYPERLINK("https://www.jornaldocomercio.com/economia/2023/09/1123972-bolsas-da-asia-fecham-em-baixa-apos-fed-manter-juros-mas-sinalizar-novo-aumento.html")</f>
        <v>https://www.jornaldocomercio.com/economia/2023/09/1123972-bolsas-da-asia-fecham-em-baixa-apos-fed-manter-juros-mas-sinalizar-novo-aumento.html</v>
      </c>
      <c r="Y92" s="77" t="s">
        <v>6475</v>
      </c>
      <c r="Z92" s="77"/>
      <c r="AA92" s="77"/>
      <c r="AB92" s="77"/>
      <c r="AC92" s="82" t="s">
        <v>7750</v>
      </c>
      <c r="AD92" s="77" t="s">
        <v>7793</v>
      </c>
      <c r="AE92" s="80" t="str">
        <f>HYPERLINK("https://twitter.com/jc_rs/status/1704858019362717961")</f>
        <v>https://twitter.com/jc_rs/status/1704858019362717961</v>
      </c>
      <c r="AF92" s="79">
        <v>45190.583344907405</v>
      </c>
      <c r="AG92" s="85">
        <v>45190</v>
      </c>
      <c r="AH92" s="82" t="s">
        <v>7860</v>
      </c>
      <c r="AI92" s="77" t="b">
        <v>0</v>
      </c>
      <c r="AJ92" s="77"/>
      <c r="AK92" s="77"/>
      <c r="AL92" s="77"/>
      <c r="AM92" s="77"/>
      <c r="AN92" s="77"/>
      <c r="AO92" s="77"/>
      <c r="AP92" s="77"/>
      <c r="AQ92" s="77"/>
      <c r="AR92" s="77"/>
      <c r="AS92" s="77"/>
      <c r="AT92" s="77"/>
      <c r="AU92" s="77"/>
      <c r="AV92" s="80" t="str">
        <f>HYPERLINK("https://pbs.twimg.com/profile_images/1531317937075806210/7oEvwlvr_normal.jpg")</f>
        <v>https://pbs.twimg.com/profile_images/1531317937075806210/7oEvwlvr_normal.jpg</v>
      </c>
      <c r="AW92" s="82" t="s">
        <v>11802</v>
      </c>
      <c r="AX92" s="82" t="s">
        <v>11802</v>
      </c>
      <c r="AY92" s="77"/>
      <c r="AZ92" s="82" t="s">
        <v>15984</v>
      </c>
      <c r="BA92" s="82" t="s">
        <v>15984</v>
      </c>
      <c r="BB92" s="82" t="s">
        <v>15984</v>
      </c>
      <c r="BC92" s="82" t="s">
        <v>11802</v>
      </c>
      <c r="BD92" s="77">
        <v>17118982</v>
      </c>
      <c r="BE92" s="77"/>
      <c r="BF92" s="77"/>
      <c r="BG92" s="77"/>
      <c r="BH92" s="77"/>
      <c r="BI92" s="77"/>
    </row>
    <row r="93" spans="1:61" x14ac:dyDescent="0.25">
      <c r="A93" s="62" t="s">
        <v>240</v>
      </c>
      <c r="B93" s="62" t="s">
        <v>240</v>
      </c>
      <c r="C93" s="63"/>
      <c r="D93" s="64"/>
      <c r="E93" s="65"/>
      <c r="F93" s="66"/>
      <c r="G93" s="63"/>
      <c r="H93" s="67"/>
      <c r="I93" s="68"/>
      <c r="J93" s="68"/>
      <c r="K93" s="32"/>
      <c r="L93" s="75">
        <v>93</v>
      </c>
      <c r="M93" s="75"/>
      <c r="N93" s="70"/>
      <c r="O93" s="77" t="s">
        <v>179</v>
      </c>
      <c r="P93" s="79">
        <v>45139.655717592592</v>
      </c>
      <c r="Q93" s="77" t="s">
        <v>991</v>
      </c>
      <c r="R93" s="77">
        <v>0</v>
      </c>
      <c r="S93" s="77">
        <v>1</v>
      </c>
      <c r="T93" s="77">
        <v>0</v>
      </c>
      <c r="U93" s="77">
        <v>0</v>
      </c>
      <c r="V93" s="77">
        <v>267</v>
      </c>
      <c r="W93" s="82" t="s">
        <v>4839</v>
      </c>
      <c r="X93" s="80" t="str">
        <f>HYPERLINK("https://www.jornaldocomercio.com/economia/2023/08/1117311-dolar-sobe-por-cautela-com-atividade-global.html")</f>
        <v>https://www.jornaldocomercio.com/economia/2023/08/1117311-dolar-sobe-por-cautela-com-atividade-global.html</v>
      </c>
      <c r="Y93" s="77" t="s">
        <v>6475</v>
      </c>
      <c r="Z93" s="77"/>
      <c r="AA93" s="77"/>
      <c r="AB93" s="77"/>
      <c r="AC93" s="82" t="s">
        <v>7750</v>
      </c>
      <c r="AD93" s="77" t="s">
        <v>7788</v>
      </c>
      <c r="AE93" s="80" t="str">
        <f>HYPERLINK("https://twitter.com/jc_rs/status/1686402464772182016")</f>
        <v>https://twitter.com/jc_rs/status/1686402464772182016</v>
      </c>
      <c r="AF93" s="79">
        <v>45139.655717592592</v>
      </c>
      <c r="AG93" s="85">
        <v>45139</v>
      </c>
      <c r="AH93" s="82" t="s">
        <v>7880</v>
      </c>
      <c r="AI93" s="77" t="b">
        <v>0</v>
      </c>
      <c r="AJ93" s="77"/>
      <c r="AK93" s="77"/>
      <c r="AL93" s="77"/>
      <c r="AM93" s="77"/>
      <c r="AN93" s="77"/>
      <c r="AO93" s="77"/>
      <c r="AP93" s="77"/>
      <c r="AQ93" s="77"/>
      <c r="AR93" s="77"/>
      <c r="AS93" s="77"/>
      <c r="AT93" s="77"/>
      <c r="AU93" s="77"/>
      <c r="AV93" s="80" t="str">
        <f>HYPERLINK("https://pbs.twimg.com/profile_images/1531317937075806210/7oEvwlvr_normal.jpg")</f>
        <v>https://pbs.twimg.com/profile_images/1531317937075806210/7oEvwlvr_normal.jpg</v>
      </c>
      <c r="AW93" s="82" t="s">
        <v>11803</v>
      </c>
      <c r="AX93" s="82" t="s">
        <v>11803</v>
      </c>
      <c r="AY93" s="77"/>
      <c r="AZ93" s="82" t="s">
        <v>15984</v>
      </c>
      <c r="BA93" s="82" t="s">
        <v>15984</v>
      </c>
      <c r="BB93" s="82" t="s">
        <v>15984</v>
      </c>
      <c r="BC93" s="82" t="s">
        <v>11803</v>
      </c>
      <c r="BD93" s="77">
        <v>17118982</v>
      </c>
      <c r="BE93" s="77"/>
      <c r="BF93" s="77"/>
      <c r="BG93" s="77"/>
      <c r="BH93" s="77"/>
      <c r="BI93" s="77"/>
    </row>
    <row r="94" spans="1:61" x14ac:dyDescent="0.25">
      <c r="A94" s="62" t="s">
        <v>240</v>
      </c>
      <c r="B94" s="62" t="s">
        <v>240</v>
      </c>
      <c r="C94" s="63"/>
      <c r="D94" s="64"/>
      <c r="E94" s="65"/>
      <c r="F94" s="66"/>
      <c r="G94" s="63"/>
      <c r="H94" s="67"/>
      <c r="I94" s="68"/>
      <c r="J94" s="68"/>
      <c r="K94" s="32"/>
      <c r="L94" s="75">
        <v>94</v>
      </c>
      <c r="M94" s="75"/>
      <c r="N94" s="70"/>
      <c r="O94" s="77" t="s">
        <v>179</v>
      </c>
      <c r="P94" s="79">
        <v>45139.491805555554</v>
      </c>
      <c r="Q94" s="77" t="s">
        <v>992</v>
      </c>
      <c r="R94" s="77">
        <v>0</v>
      </c>
      <c r="S94" s="77">
        <v>0</v>
      </c>
      <c r="T94" s="77">
        <v>0</v>
      </c>
      <c r="U94" s="77">
        <v>0</v>
      </c>
      <c r="V94" s="77">
        <v>262</v>
      </c>
      <c r="W94" s="82" t="s">
        <v>4839</v>
      </c>
      <c r="X94" s="80" t="str">
        <f>HYPERLINK("https://www.jornaldocomercio.com/economia/2023/08/1117294-bolsas-da-asia-fecham-mistas-apos-balancos-positivos-no-japao-e-pmi-chines-fraco.html")</f>
        <v>https://www.jornaldocomercio.com/economia/2023/08/1117294-bolsas-da-asia-fecham-mistas-apos-balancos-positivos-no-japao-e-pmi-chines-fraco.html</v>
      </c>
      <c r="Y94" s="77" t="s">
        <v>6475</v>
      </c>
      <c r="Z94" s="77"/>
      <c r="AA94" s="77"/>
      <c r="AB94" s="77"/>
      <c r="AC94" s="82" t="s">
        <v>7754</v>
      </c>
      <c r="AD94" s="77" t="s">
        <v>7788</v>
      </c>
      <c r="AE94" s="80" t="str">
        <f>HYPERLINK("https://twitter.com/jc_rs/status/1686343066737680384")</f>
        <v>https://twitter.com/jc_rs/status/1686343066737680384</v>
      </c>
      <c r="AF94" s="79">
        <v>45139.491805555554</v>
      </c>
      <c r="AG94" s="85">
        <v>45139</v>
      </c>
      <c r="AH94" s="82" t="s">
        <v>7881</v>
      </c>
      <c r="AI94" s="77" t="b">
        <v>0</v>
      </c>
      <c r="AJ94" s="77"/>
      <c r="AK94" s="77"/>
      <c r="AL94" s="77"/>
      <c r="AM94" s="77"/>
      <c r="AN94" s="77"/>
      <c r="AO94" s="77"/>
      <c r="AP94" s="77"/>
      <c r="AQ94" s="77"/>
      <c r="AR94" s="77"/>
      <c r="AS94" s="77"/>
      <c r="AT94" s="77"/>
      <c r="AU94" s="77"/>
      <c r="AV94" s="80" t="str">
        <f>HYPERLINK("https://pbs.twimg.com/profile_images/1531317937075806210/7oEvwlvr_normal.jpg")</f>
        <v>https://pbs.twimg.com/profile_images/1531317937075806210/7oEvwlvr_normal.jpg</v>
      </c>
      <c r="AW94" s="82" t="s">
        <v>11804</v>
      </c>
      <c r="AX94" s="82" t="s">
        <v>11804</v>
      </c>
      <c r="AY94" s="77"/>
      <c r="AZ94" s="82" t="s">
        <v>15984</v>
      </c>
      <c r="BA94" s="82" t="s">
        <v>15984</v>
      </c>
      <c r="BB94" s="82" t="s">
        <v>15984</v>
      </c>
      <c r="BC94" s="82" t="s">
        <v>11804</v>
      </c>
      <c r="BD94" s="77">
        <v>17118982</v>
      </c>
      <c r="BE94" s="77"/>
      <c r="BF94" s="77"/>
      <c r="BG94" s="77"/>
      <c r="BH94" s="77"/>
      <c r="BI94" s="77"/>
    </row>
    <row r="95" spans="1:61" x14ac:dyDescent="0.25">
      <c r="A95" s="62" t="s">
        <v>240</v>
      </c>
      <c r="B95" s="62" t="s">
        <v>240</v>
      </c>
      <c r="C95" s="63"/>
      <c r="D95" s="64"/>
      <c r="E95" s="65"/>
      <c r="F95" s="66"/>
      <c r="G95" s="63"/>
      <c r="H95" s="67"/>
      <c r="I95" s="68"/>
      <c r="J95" s="68"/>
      <c r="K95" s="32"/>
      <c r="L95" s="75">
        <v>95</v>
      </c>
      <c r="M95" s="75"/>
      <c r="N95" s="70"/>
      <c r="O95" s="77" t="s">
        <v>179</v>
      </c>
      <c r="P95" s="79">
        <v>45195.541666666664</v>
      </c>
      <c r="Q95" s="77" t="s">
        <v>993</v>
      </c>
      <c r="R95" s="77">
        <v>0</v>
      </c>
      <c r="S95" s="77">
        <v>0</v>
      </c>
      <c r="T95" s="77">
        <v>0</v>
      </c>
      <c r="U95" s="77">
        <v>0</v>
      </c>
      <c r="V95" s="77">
        <v>216</v>
      </c>
      <c r="W95" s="82" t="s">
        <v>4839</v>
      </c>
      <c r="X95" s="80" t="str">
        <f>HYPERLINK("https://www.jornaldocomercio.com/economia/2023/09/1124548-bolsas-da-asia-fecham-em-baixa-de-olho-na-china-e-em-possivel-paralisacao-nos-eua.html")</f>
        <v>https://www.jornaldocomercio.com/economia/2023/09/1124548-bolsas-da-asia-fecham-em-baixa-de-olho-na-china-e-em-possivel-paralisacao-nos-eua.html</v>
      </c>
      <c r="Y95" s="77" t="s">
        <v>6475</v>
      </c>
      <c r="Z95" s="77"/>
      <c r="AA95" s="77"/>
      <c r="AB95" s="77"/>
      <c r="AC95" s="82" t="s">
        <v>7750</v>
      </c>
      <c r="AD95" s="77" t="s">
        <v>7788</v>
      </c>
      <c r="AE95" s="80" t="str">
        <f>HYPERLINK("https://twitter.com/jc_rs/status/1706654856621007126")</f>
        <v>https://twitter.com/jc_rs/status/1706654856621007126</v>
      </c>
      <c r="AF95" s="79">
        <v>45195.541666666664</v>
      </c>
      <c r="AG95" s="85">
        <v>45195</v>
      </c>
      <c r="AH95" s="82" t="s">
        <v>7873</v>
      </c>
      <c r="AI95" s="77" t="b">
        <v>0</v>
      </c>
      <c r="AJ95" s="77"/>
      <c r="AK95" s="77"/>
      <c r="AL95" s="77"/>
      <c r="AM95" s="77"/>
      <c r="AN95" s="77"/>
      <c r="AO95" s="77"/>
      <c r="AP95" s="77"/>
      <c r="AQ95" s="77"/>
      <c r="AR95" s="77"/>
      <c r="AS95" s="77"/>
      <c r="AT95" s="77"/>
      <c r="AU95" s="77"/>
      <c r="AV95" s="80" t="str">
        <f>HYPERLINK("https://pbs.twimg.com/profile_images/1531317937075806210/7oEvwlvr_normal.jpg")</f>
        <v>https://pbs.twimg.com/profile_images/1531317937075806210/7oEvwlvr_normal.jpg</v>
      </c>
      <c r="AW95" s="82" t="s">
        <v>11805</v>
      </c>
      <c r="AX95" s="82" t="s">
        <v>11805</v>
      </c>
      <c r="AY95" s="77"/>
      <c r="AZ95" s="82" t="s">
        <v>15984</v>
      </c>
      <c r="BA95" s="82" t="s">
        <v>15984</v>
      </c>
      <c r="BB95" s="82" t="s">
        <v>15984</v>
      </c>
      <c r="BC95" s="82" t="s">
        <v>11805</v>
      </c>
      <c r="BD95" s="77">
        <v>17118982</v>
      </c>
      <c r="BE95" s="77"/>
      <c r="BF95" s="77"/>
      <c r="BG95" s="77"/>
      <c r="BH95" s="77"/>
      <c r="BI95" s="77"/>
    </row>
    <row r="96" spans="1:61" x14ac:dyDescent="0.25">
      <c r="A96" s="62" t="s">
        <v>240</v>
      </c>
      <c r="B96" s="62" t="s">
        <v>240</v>
      </c>
      <c r="C96" s="63"/>
      <c r="D96" s="64"/>
      <c r="E96" s="65"/>
      <c r="F96" s="66"/>
      <c r="G96" s="63"/>
      <c r="H96" s="67"/>
      <c r="I96" s="68"/>
      <c r="J96" s="68"/>
      <c r="K96" s="32"/>
      <c r="L96" s="75">
        <v>96</v>
      </c>
      <c r="M96" s="75"/>
      <c r="N96" s="70"/>
      <c r="O96" s="77" t="s">
        <v>179</v>
      </c>
      <c r="P96" s="79">
        <v>45184.708344907405</v>
      </c>
      <c r="Q96" s="77" t="s">
        <v>994</v>
      </c>
      <c r="R96" s="77">
        <v>0</v>
      </c>
      <c r="S96" s="77">
        <v>0</v>
      </c>
      <c r="T96" s="77">
        <v>0</v>
      </c>
      <c r="U96" s="77">
        <v>0</v>
      </c>
      <c r="V96" s="77">
        <v>163</v>
      </c>
      <c r="W96" s="82" t="s">
        <v>4839</v>
      </c>
      <c r="X96" s="80" t="str">
        <f>HYPERLINK("https://www.jornaldocomercio.com/economia/2023/09/1123426-ny-e-vencimento-pesam-no-ibovespa-enquanto-dados-da-china-seguram-indice-nos-119-mil-pontos.html")</f>
        <v>https://www.jornaldocomercio.com/economia/2023/09/1123426-ny-e-vencimento-pesam-no-ibovespa-enquanto-dados-da-china-seguram-indice-nos-119-mil-pontos.html</v>
      </c>
      <c r="Y96" s="77" t="s">
        <v>6475</v>
      </c>
      <c r="Z96" s="77"/>
      <c r="AA96" s="77"/>
      <c r="AB96" s="77"/>
      <c r="AC96" s="82" t="s">
        <v>7750</v>
      </c>
      <c r="AD96" s="77" t="s">
        <v>7788</v>
      </c>
      <c r="AE96" s="80" t="str">
        <f>HYPERLINK("https://twitter.com/jc_rs/status/1702728990895579473")</f>
        <v>https://twitter.com/jc_rs/status/1702728990895579473</v>
      </c>
      <c r="AF96" s="79">
        <v>45184.708344907405</v>
      </c>
      <c r="AG96" s="85">
        <v>45184</v>
      </c>
      <c r="AH96" s="82" t="s">
        <v>7882</v>
      </c>
      <c r="AI96" s="77" t="b">
        <v>0</v>
      </c>
      <c r="AJ96" s="77"/>
      <c r="AK96" s="77"/>
      <c r="AL96" s="77"/>
      <c r="AM96" s="77"/>
      <c r="AN96" s="77"/>
      <c r="AO96" s="77"/>
      <c r="AP96" s="77"/>
      <c r="AQ96" s="77"/>
      <c r="AR96" s="77"/>
      <c r="AS96" s="77"/>
      <c r="AT96" s="77"/>
      <c r="AU96" s="77"/>
      <c r="AV96" s="80" t="str">
        <f>HYPERLINK("https://pbs.twimg.com/profile_images/1531317937075806210/7oEvwlvr_normal.jpg")</f>
        <v>https://pbs.twimg.com/profile_images/1531317937075806210/7oEvwlvr_normal.jpg</v>
      </c>
      <c r="AW96" s="82" t="s">
        <v>11806</v>
      </c>
      <c r="AX96" s="82" t="s">
        <v>11806</v>
      </c>
      <c r="AY96" s="77"/>
      <c r="AZ96" s="82" t="s">
        <v>15984</v>
      </c>
      <c r="BA96" s="82" t="s">
        <v>15984</v>
      </c>
      <c r="BB96" s="82" t="s">
        <v>15984</v>
      </c>
      <c r="BC96" s="82" t="s">
        <v>11806</v>
      </c>
      <c r="BD96" s="77">
        <v>17118982</v>
      </c>
      <c r="BE96" s="77"/>
      <c r="BF96" s="77"/>
      <c r="BG96" s="77"/>
      <c r="BH96" s="77"/>
      <c r="BI96" s="77"/>
    </row>
    <row r="97" spans="1:61" x14ac:dyDescent="0.25">
      <c r="A97" s="62" t="s">
        <v>240</v>
      </c>
      <c r="B97" s="62" t="s">
        <v>240</v>
      </c>
      <c r="C97" s="63"/>
      <c r="D97" s="64"/>
      <c r="E97" s="65"/>
      <c r="F97" s="66"/>
      <c r="G97" s="63"/>
      <c r="H97" s="67"/>
      <c r="I97" s="68"/>
      <c r="J97" s="68"/>
      <c r="K97" s="32"/>
      <c r="L97" s="75">
        <v>97</v>
      </c>
      <c r="M97" s="75"/>
      <c r="N97" s="70"/>
      <c r="O97" s="77" t="s">
        <v>179</v>
      </c>
      <c r="P97" s="79">
        <v>45163.527777777781</v>
      </c>
      <c r="Q97" s="77" t="s">
        <v>995</v>
      </c>
      <c r="R97" s="77">
        <v>0</v>
      </c>
      <c r="S97" s="77">
        <v>0</v>
      </c>
      <c r="T97" s="77">
        <v>0</v>
      </c>
      <c r="U97" s="77">
        <v>0</v>
      </c>
      <c r="V97" s="77">
        <v>171</v>
      </c>
      <c r="W97" s="82" t="s">
        <v>4839</v>
      </c>
      <c r="X97" s="80" t="str">
        <f>HYPERLINK("https://www.jornaldocomercio.com/economia/2023/08/1120734-bolsas-da-asia-fecham-em-baixa-com-cautela-por-jackson-hole-e-sinais-da-china-no-radar.html")</f>
        <v>https://www.jornaldocomercio.com/economia/2023/08/1120734-bolsas-da-asia-fecham-em-baixa-com-cautela-por-jackson-hole-e-sinais-da-china-no-radar.html</v>
      </c>
      <c r="Y97" s="77" t="s">
        <v>6475</v>
      </c>
      <c r="Z97" s="77"/>
      <c r="AA97" s="77"/>
      <c r="AB97" s="77"/>
      <c r="AC97" s="82" t="s">
        <v>7750</v>
      </c>
      <c r="AD97" s="77" t="s">
        <v>7788</v>
      </c>
      <c r="AE97" s="80" t="str">
        <f>HYPERLINK("https://twitter.com/jc_rs/status/1695053411157147692")</f>
        <v>https://twitter.com/jc_rs/status/1695053411157147692</v>
      </c>
      <c r="AF97" s="79">
        <v>45163.527777777781</v>
      </c>
      <c r="AG97" s="85">
        <v>45163</v>
      </c>
      <c r="AH97" s="82" t="s">
        <v>7877</v>
      </c>
      <c r="AI97" s="77" t="b">
        <v>0</v>
      </c>
      <c r="AJ97" s="77"/>
      <c r="AK97" s="77"/>
      <c r="AL97" s="77"/>
      <c r="AM97" s="77"/>
      <c r="AN97" s="77"/>
      <c r="AO97" s="77"/>
      <c r="AP97" s="77"/>
      <c r="AQ97" s="77"/>
      <c r="AR97" s="77"/>
      <c r="AS97" s="77"/>
      <c r="AT97" s="77"/>
      <c r="AU97" s="77"/>
      <c r="AV97" s="80" t="str">
        <f>HYPERLINK("https://pbs.twimg.com/profile_images/1531317937075806210/7oEvwlvr_normal.jpg")</f>
        <v>https://pbs.twimg.com/profile_images/1531317937075806210/7oEvwlvr_normal.jpg</v>
      </c>
      <c r="AW97" s="82" t="s">
        <v>11807</v>
      </c>
      <c r="AX97" s="82" t="s">
        <v>11807</v>
      </c>
      <c r="AY97" s="77"/>
      <c r="AZ97" s="82" t="s">
        <v>15984</v>
      </c>
      <c r="BA97" s="82" t="s">
        <v>15984</v>
      </c>
      <c r="BB97" s="82" t="s">
        <v>15984</v>
      </c>
      <c r="BC97" s="82" t="s">
        <v>11807</v>
      </c>
      <c r="BD97" s="77">
        <v>17118982</v>
      </c>
      <c r="BE97" s="77"/>
      <c r="BF97" s="77"/>
      <c r="BG97" s="77"/>
      <c r="BH97" s="77"/>
      <c r="BI97" s="77"/>
    </row>
    <row r="98" spans="1:61" x14ac:dyDescent="0.25">
      <c r="A98" s="62" t="s">
        <v>240</v>
      </c>
      <c r="B98" s="62" t="s">
        <v>240</v>
      </c>
      <c r="C98" s="63"/>
      <c r="D98" s="64"/>
      <c r="E98" s="65"/>
      <c r="F98" s="66"/>
      <c r="G98" s="63"/>
      <c r="H98" s="67"/>
      <c r="I98" s="68"/>
      <c r="J98" s="68"/>
      <c r="K98" s="32"/>
      <c r="L98" s="75">
        <v>98</v>
      </c>
      <c r="M98" s="75"/>
      <c r="N98" s="70"/>
      <c r="O98" s="77" t="s">
        <v>179</v>
      </c>
      <c r="P98" s="79">
        <v>45136.541666666664</v>
      </c>
      <c r="Q98" s="77" t="s">
        <v>996</v>
      </c>
      <c r="R98" s="77">
        <v>1</v>
      </c>
      <c r="S98" s="77">
        <v>0</v>
      </c>
      <c r="T98" s="77">
        <v>0</v>
      </c>
      <c r="U98" s="77">
        <v>0</v>
      </c>
      <c r="V98" s="77">
        <v>343</v>
      </c>
      <c r="W98" s="82" t="s">
        <v>4839</v>
      </c>
      <c r="X98" s="80" t="str">
        <f>HYPERLINK("https://www.jornaldocomercio.com/economia/2023/07/1117012-dolar-cai-a-rs-473-com-aposta-de-pausa-do-fed-e-otimismo-local.html")</f>
        <v>https://www.jornaldocomercio.com/economia/2023/07/1117012-dolar-cai-a-rs-473-com-aposta-de-pausa-do-fed-e-otimismo-local.html</v>
      </c>
      <c r="Y98" s="77" t="s">
        <v>6475</v>
      </c>
      <c r="Z98" s="77"/>
      <c r="AA98" s="77"/>
      <c r="AB98" s="77"/>
      <c r="AC98" s="82" t="s">
        <v>7754</v>
      </c>
      <c r="AD98" s="77" t="s">
        <v>7788</v>
      </c>
      <c r="AE98" s="80" t="str">
        <f>HYPERLINK("https://twitter.com/jc_rs/status/1685273973620424704")</f>
        <v>https://twitter.com/jc_rs/status/1685273973620424704</v>
      </c>
      <c r="AF98" s="79">
        <v>45136.541666666664</v>
      </c>
      <c r="AG98" s="85">
        <v>45136</v>
      </c>
      <c r="AH98" s="82" t="s">
        <v>7873</v>
      </c>
      <c r="AI98" s="77" t="b">
        <v>0</v>
      </c>
      <c r="AJ98" s="77"/>
      <c r="AK98" s="77"/>
      <c r="AL98" s="77"/>
      <c r="AM98" s="77"/>
      <c r="AN98" s="77"/>
      <c r="AO98" s="77"/>
      <c r="AP98" s="77"/>
      <c r="AQ98" s="77"/>
      <c r="AR98" s="77"/>
      <c r="AS98" s="77"/>
      <c r="AT98" s="77"/>
      <c r="AU98" s="77"/>
      <c r="AV98" s="80" t="str">
        <f>HYPERLINK("https://pbs.twimg.com/profile_images/1531317937075806210/7oEvwlvr_normal.jpg")</f>
        <v>https://pbs.twimg.com/profile_images/1531317937075806210/7oEvwlvr_normal.jpg</v>
      </c>
      <c r="AW98" s="82" t="s">
        <v>11808</v>
      </c>
      <c r="AX98" s="82" t="s">
        <v>11808</v>
      </c>
      <c r="AY98" s="77"/>
      <c r="AZ98" s="82" t="s">
        <v>15984</v>
      </c>
      <c r="BA98" s="82" t="s">
        <v>15984</v>
      </c>
      <c r="BB98" s="82" t="s">
        <v>15984</v>
      </c>
      <c r="BC98" s="82" t="s">
        <v>11808</v>
      </c>
      <c r="BD98" s="77">
        <v>17118982</v>
      </c>
      <c r="BE98" s="77"/>
      <c r="BF98" s="77"/>
      <c r="BG98" s="77"/>
      <c r="BH98" s="77"/>
      <c r="BI98" s="77"/>
    </row>
    <row r="99" spans="1:61" x14ac:dyDescent="0.25">
      <c r="A99" s="62" t="s">
        <v>240</v>
      </c>
      <c r="B99" s="62" t="s">
        <v>240</v>
      </c>
      <c r="C99" s="63"/>
      <c r="D99" s="64"/>
      <c r="E99" s="65"/>
      <c r="F99" s="66"/>
      <c r="G99" s="63"/>
      <c r="H99" s="67"/>
      <c r="I99" s="68"/>
      <c r="J99" s="68"/>
      <c r="K99" s="32"/>
      <c r="L99" s="75">
        <v>99</v>
      </c>
      <c r="M99" s="75"/>
      <c r="N99" s="70"/>
      <c r="O99" s="77" t="s">
        <v>179</v>
      </c>
      <c r="P99" s="79">
        <v>45136.000011574077</v>
      </c>
      <c r="Q99" s="77" t="s">
        <v>997</v>
      </c>
      <c r="R99" s="77">
        <v>0</v>
      </c>
      <c r="S99" s="77">
        <v>0</v>
      </c>
      <c r="T99" s="77">
        <v>0</v>
      </c>
      <c r="U99" s="77">
        <v>0</v>
      </c>
      <c r="V99" s="77">
        <v>371</v>
      </c>
      <c r="W99" s="82" t="s">
        <v>4839</v>
      </c>
      <c r="X99" s="80" t="str">
        <f>HYPERLINK("https://www.jornaldocomercio.com/economia/2023/07/1117002-ibovespa-sobe-016-a-1201-mil-pontos-na-semana-002.html")</f>
        <v>https://www.jornaldocomercio.com/economia/2023/07/1117002-ibovespa-sobe-016-a-1201-mil-pontos-na-semana-002.html</v>
      </c>
      <c r="Y99" s="77" t="s">
        <v>6475</v>
      </c>
      <c r="Z99" s="77"/>
      <c r="AA99" s="77"/>
      <c r="AB99" s="77"/>
      <c r="AC99" s="82" t="s">
        <v>7754</v>
      </c>
      <c r="AD99" s="77" t="s">
        <v>7788</v>
      </c>
      <c r="AE99" s="80" t="str">
        <f>HYPERLINK("https://twitter.com/jc_rs/status/1685077683137658880")</f>
        <v>https://twitter.com/jc_rs/status/1685077683137658880</v>
      </c>
      <c r="AF99" s="79">
        <v>45136.000011574077</v>
      </c>
      <c r="AG99" s="85">
        <v>45136</v>
      </c>
      <c r="AH99" s="82" t="s">
        <v>7883</v>
      </c>
      <c r="AI99" s="77" t="b">
        <v>0</v>
      </c>
      <c r="AJ99" s="77"/>
      <c r="AK99" s="77"/>
      <c r="AL99" s="77"/>
      <c r="AM99" s="77"/>
      <c r="AN99" s="77"/>
      <c r="AO99" s="77"/>
      <c r="AP99" s="77"/>
      <c r="AQ99" s="77"/>
      <c r="AR99" s="77"/>
      <c r="AS99" s="77"/>
      <c r="AT99" s="77"/>
      <c r="AU99" s="77"/>
      <c r="AV99" s="80" t="str">
        <f>HYPERLINK("https://pbs.twimg.com/profile_images/1531317937075806210/7oEvwlvr_normal.jpg")</f>
        <v>https://pbs.twimg.com/profile_images/1531317937075806210/7oEvwlvr_normal.jpg</v>
      </c>
      <c r="AW99" s="82" t="s">
        <v>11809</v>
      </c>
      <c r="AX99" s="82" t="s">
        <v>11809</v>
      </c>
      <c r="AY99" s="77"/>
      <c r="AZ99" s="82" t="s">
        <v>15984</v>
      </c>
      <c r="BA99" s="82" t="s">
        <v>15984</v>
      </c>
      <c r="BB99" s="82" t="s">
        <v>15984</v>
      </c>
      <c r="BC99" s="82" t="s">
        <v>11809</v>
      </c>
      <c r="BD99" s="77">
        <v>17118982</v>
      </c>
      <c r="BE99" s="77"/>
      <c r="BF99" s="77"/>
      <c r="BG99" s="77"/>
      <c r="BH99" s="77"/>
      <c r="BI99" s="77"/>
    </row>
    <row r="100" spans="1:61" x14ac:dyDescent="0.25">
      <c r="A100" s="62" t="s">
        <v>241</v>
      </c>
      <c r="B100" s="62" t="s">
        <v>241</v>
      </c>
      <c r="C100" s="63"/>
      <c r="D100" s="64"/>
      <c r="E100" s="65"/>
      <c r="F100" s="66"/>
      <c r="G100" s="63"/>
      <c r="H100" s="67"/>
      <c r="I100" s="68"/>
      <c r="J100" s="68"/>
      <c r="K100" s="32"/>
      <c r="L100" s="75">
        <v>100</v>
      </c>
      <c r="M100" s="75"/>
      <c r="N100" s="70"/>
      <c r="O100" s="77" t="s">
        <v>179</v>
      </c>
      <c r="P100" s="79">
        <v>45159.630532407406</v>
      </c>
      <c r="Q100" s="77" t="s">
        <v>998</v>
      </c>
      <c r="R100" s="77">
        <v>0</v>
      </c>
      <c r="S100" s="77">
        <v>0</v>
      </c>
      <c r="T100" s="77">
        <v>0</v>
      </c>
      <c r="U100" s="77">
        <v>0</v>
      </c>
      <c r="V100" s="77">
        <v>18</v>
      </c>
      <c r="W100" s="82" t="s">
        <v>4840</v>
      </c>
      <c r="X100" s="80" t="str">
        <f>HYPERLINK("https://alertaeconomica.com/inflacion-y-tasa-de-desempleo/?a=4")</f>
        <v>https://alertaeconomica.com/inflacion-y-tasa-de-desempleo/?a=4</v>
      </c>
      <c r="Y100" s="77" t="s">
        <v>6476</v>
      </c>
      <c r="Z100" s="77"/>
      <c r="AA100" s="77"/>
      <c r="AB100" s="77"/>
      <c r="AC100" s="82" t="s">
        <v>7750</v>
      </c>
      <c r="AD100" s="77" t="s">
        <v>7790</v>
      </c>
      <c r="AE100" s="80" t="str">
        <f>HYPERLINK("https://twitter.com/alertaeconomica/status/1693641095568109764")</f>
        <v>https://twitter.com/alertaeconomica/status/1693641095568109764</v>
      </c>
      <c r="AF100" s="79">
        <v>45159.630532407406</v>
      </c>
      <c r="AG100" s="85">
        <v>45159</v>
      </c>
      <c r="AH100" s="82" t="s">
        <v>7884</v>
      </c>
      <c r="AI100" s="77" t="b">
        <v>0</v>
      </c>
      <c r="AJ100" s="77"/>
      <c r="AK100" s="77"/>
      <c r="AL100" s="77"/>
      <c r="AM100" s="77"/>
      <c r="AN100" s="77"/>
      <c r="AO100" s="77"/>
      <c r="AP100" s="77"/>
      <c r="AQ100" s="77"/>
      <c r="AR100" s="77"/>
      <c r="AS100" s="77"/>
      <c r="AT100" s="77"/>
      <c r="AU100" s="77"/>
      <c r="AV100" s="80" t="str">
        <f>HYPERLINK("https://pbs.twimg.com/profile_images/1450495629709479936/Ju3qNM-6_normal.png")</f>
        <v>https://pbs.twimg.com/profile_images/1450495629709479936/Ju3qNM-6_normal.png</v>
      </c>
      <c r="AW100" s="82" t="s">
        <v>11810</v>
      </c>
      <c r="AX100" s="82" t="s">
        <v>11810</v>
      </c>
      <c r="AY100" s="77"/>
      <c r="AZ100" s="82" t="s">
        <v>15984</v>
      </c>
      <c r="BA100" s="82" t="s">
        <v>15984</v>
      </c>
      <c r="BB100" s="82" t="s">
        <v>15984</v>
      </c>
      <c r="BC100" s="82" t="s">
        <v>11810</v>
      </c>
      <c r="BD100" s="82" t="s">
        <v>16111</v>
      </c>
      <c r="BE100" s="77"/>
      <c r="BF100" s="77"/>
      <c r="BG100" s="77"/>
      <c r="BH100" s="77"/>
      <c r="BI100" s="77"/>
    </row>
    <row r="101" spans="1:61" x14ac:dyDescent="0.25">
      <c r="A101" s="62" t="s">
        <v>242</v>
      </c>
      <c r="B101" s="62" t="s">
        <v>242</v>
      </c>
      <c r="C101" s="63"/>
      <c r="D101" s="64"/>
      <c r="E101" s="65"/>
      <c r="F101" s="66"/>
      <c r="G101" s="63"/>
      <c r="H101" s="67"/>
      <c r="I101" s="68"/>
      <c r="J101" s="68"/>
      <c r="K101" s="32"/>
      <c r="L101" s="75">
        <v>101</v>
      </c>
      <c r="M101" s="75"/>
      <c r="N101" s="70"/>
      <c r="O101" s="77" t="s">
        <v>179</v>
      </c>
      <c r="P101" s="79">
        <v>45189.494085648148</v>
      </c>
      <c r="Q101" s="77" t="s">
        <v>999</v>
      </c>
      <c r="R101" s="77">
        <v>0</v>
      </c>
      <c r="S101" s="77">
        <v>0</v>
      </c>
      <c r="T101" s="77">
        <v>0</v>
      </c>
      <c r="U101" s="77">
        <v>0</v>
      </c>
      <c r="V101" s="77">
        <v>13</v>
      </c>
      <c r="W101" s="82" t="s">
        <v>4841</v>
      </c>
      <c r="X101" s="77"/>
      <c r="Y101" s="77"/>
      <c r="Z101" s="77"/>
      <c r="AA101" s="77" t="s">
        <v>6669</v>
      </c>
      <c r="AB101" s="77" t="s">
        <v>7742</v>
      </c>
      <c r="AC101" s="82" t="s">
        <v>7752</v>
      </c>
      <c r="AD101" s="77" t="s">
        <v>7790</v>
      </c>
      <c r="AE101" s="80" t="str">
        <f>HYPERLINK("https://twitter.com/mercadotododia1/status/1704463287801282794")</f>
        <v>https://twitter.com/mercadotododia1/status/1704463287801282794</v>
      </c>
      <c r="AF101" s="79">
        <v>45189.494085648148</v>
      </c>
      <c r="AG101" s="85">
        <v>45189</v>
      </c>
      <c r="AH101" s="82" t="s">
        <v>7885</v>
      </c>
      <c r="AI101" s="77" t="b">
        <v>0</v>
      </c>
      <c r="AJ101" s="77"/>
      <c r="AK101" s="77"/>
      <c r="AL101" s="77"/>
      <c r="AM101" s="77"/>
      <c r="AN101" s="77"/>
      <c r="AO101" s="77"/>
      <c r="AP101" s="77"/>
      <c r="AQ101" s="77" t="s">
        <v>10641</v>
      </c>
      <c r="AR101" s="77"/>
      <c r="AS101" s="77"/>
      <c r="AT101" s="77"/>
      <c r="AU101" s="77"/>
      <c r="AV101" s="80" t="str">
        <f>HYPERLINK("https://pbs.twimg.com/media/F6d4U15XAAANU2P.jpg")</f>
        <v>https://pbs.twimg.com/media/F6d4U15XAAANU2P.jpg</v>
      </c>
      <c r="AW101" s="82" t="s">
        <v>11811</v>
      </c>
      <c r="AX101" s="82" t="s">
        <v>11811</v>
      </c>
      <c r="AY101" s="77"/>
      <c r="AZ101" s="82" t="s">
        <v>15984</v>
      </c>
      <c r="BA101" s="82" t="s">
        <v>15984</v>
      </c>
      <c r="BB101" s="82" t="s">
        <v>15984</v>
      </c>
      <c r="BC101" s="82" t="s">
        <v>11811</v>
      </c>
      <c r="BD101" s="82" t="s">
        <v>16112</v>
      </c>
      <c r="BE101" s="77"/>
      <c r="BF101" s="77"/>
      <c r="BG101" s="77"/>
      <c r="BH101" s="77"/>
      <c r="BI101" s="77"/>
    </row>
    <row r="102" spans="1:61" x14ac:dyDescent="0.25">
      <c r="A102" s="62" t="s">
        <v>242</v>
      </c>
      <c r="B102" s="62" t="s">
        <v>242</v>
      </c>
      <c r="C102" s="63"/>
      <c r="D102" s="64"/>
      <c r="E102" s="65"/>
      <c r="F102" s="66"/>
      <c r="G102" s="63"/>
      <c r="H102" s="67"/>
      <c r="I102" s="68"/>
      <c r="J102" s="68"/>
      <c r="K102" s="32"/>
      <c r="L102" s="75">
        <v>102</v>
      </c>
      <c r="M102" s="75"/>
      <c r="N102" s="70"/>
      <c r="O102" s="77" t="s">
        <v>179</v>
      </c>
      <c r="P102" s="79">
        <v>45189.489594907405</v>
      </c>
      <c r="Q102" s="77" t="s">
        <v>1000</v>
      </c>
      <c r="R102" s="77">
        <v>0</v>
      </c>
      <c r="S102" s="77">
        <v>0</v>
      </c>
      <c r="T102" s="77">
        <v>0</v>
      </c>
      <c r="U102" s="77">
        <v>0</v>
      </c>
      <c r="V102" s="77">
        <v>38</v>
      </c>
      <c r="W102" s="82" t="s">
        <v>4842</v>
      </c>
      <c r="X102" s="77"/>
      <c r="Y102" s="77"/>
      <c r="Z102" s="77"/>
      <c r="AA102" s="77"/>
      <c r="AB102" s="77"/>
      <c r="AC102" s="82" t="s">
        <v>7750</v>
      </c>
      <c r="AD102" s="77" t="s">
        <v>7788</v>
      </c>
      <c r="AE102" s="80" t="str">
        <f>HYPERLINK("https://twitter.com/mercadotododia1/status/1704461659987640478")</f>
        <v>https://twitter.com/mercadotododia1/status/1704461659987640478</v>
      </c>
      <c r="AF102" s="79">
        <v>45189.489594907405</v>
      </c>
      <c r="AG102" s="85">
        <v>45189</v>
      </c>
      <c r="AH102" s="82" t="s">
        <v>7886</v>
      </c>
      <c r="AI102" s="77"/>
      <c r="AJ102" s="77"/>
      <c r="AK102" s="77"/>
      <c r="AL102" s="77"/>
      <c r="AM102" s="77"/>
      <c r="AN102" s="77"/>
      <c r="AO102" s="77"/>
      <c r="AP102" s="77"/>
      <c r="AQ102" s="77"/>
      <c r="AR102" s="77"/>
      <c r="AS102" s="77"/>
      <c r="AT102" s="77"/>
      <c r="AU102" s="77"/>
      <c r="AV102" s="80" t="str">
        <f>HYPERLINK("https://pbs.twimg.com/profile_images/1704458674603753472/FRZ5CnjI_normal.jpg")</f>
        <v>https://pbs.twimg.com/profile_images/1704458674603753472/FRZ5CnjI_normal.jpg</v>
      </c>
      <c r="AW102" s="82" t="s">
        <v>11812</v>
      </c>
      <c r="AX102" s="82" t="s">
        <v>11812</v>
      </c>
      <c r="AY102" s="77"/>
      <c r="AZ102" s="82" t="s">
        <v>15984</v>
      </c>
      <c r="BA102" s="82" t="s">
        <v>15984</v>
      </c>
      <c r="BB102" s="82" t="s">
        <v>15984</v>
      </c>
      <c r="BC102" s="82" t="s">
        <v>11812</v>
      </c>
      <c r="BD102" s="82" t="s">
        <v>16112</v>
      </c>
      <c r="BE102" s="77"/>
      <c r="BF102" s="77"/>
      <c r="BG102" s="77"/>
      <c r="BH102" s="77"/>
      <c r="BI102" s="77"/>
    </row>
    <row r="103" spans="1:61" x14ac:dyDescent="0.25">
      <c r="A103" s="62" t="s">
        <v>243</v>
      </c>
      <c r="B103" s="62" t="s">
        <v>743</v>
      </c>
      <c r="C103" s="63"/>
      <c r="D103" s="64"/>
      <c r="E103" s="65"/>
      <c r="F103" s="66"/>
      <c r="G103" s="63"/>
      <c r="H103" s="67"/>
      <c r="I103" s="68"/>
      <c r="J103" s="68"/>
      <c r="K103" s="32"/>
      <c r="L103" s="75">
        <v>103</v>
      </c>
      <c r="M103" s="75"/>
      <c r="N103" s="70"/>
      <c r="O103" s="77" t="s">
        <v>895</v>
      </c>
      <c r="P103" s="79">
        <v>45180.451168981483</v>
      </c>
      <c r="Q103" s="77" t="s">
        <v>1001</v>
      </c>
      <c r="R103" s="77">
        <v>0</v>
      </c>
      <c r="S103" s="77">
        <v>0</v>
      </c>
      <c r="T103" s="77">
        <v>0</v>
      </c>
      <c r="U103" s="77">
        <v>0</v>
      </c>
      <c r="V103" s="77">
        <v>43</v>
      </c>
      <c r="W103" s="82" t="s">
        <v>4839</v>
      </c>
      <c r="X103" s="80" t="str">
        <f>HYPERLINK("https://www.linkedin.com/pulse/mercado-aguarda-dados-de-infla%25C3%25A7%25C3%25A3o-na-semana-ol%25C3%25ADvia-bulla-%25E7%2599%25BD%25E7%25BB%25B4%25E5%25A8%2585")</f>
        <v>https://www.linkedin.com/pulse/mercado-aguarda-dados-de-infla%25C3%25A7%25C3%25A3o-na-semana-ol%25C3%25ADvia-bulla-%25E7%2599%25BD%25E7%25BB%25B4%25E5%25A8%2585</v>
      </c>
      <c r="Y103" s="77" t="s">
        <v>6477</v>
      </c>
      <c r="Z103" s="77" t="s">
        <v>743</v>
      </c>
      <c r="AA103" s="77"/>
      <c r="AB103" s="77"/>
      <c r="AC103" s="82" t="s">
        <v>7750</v>
      </c>
      <c r="AD103" s="77" t="s">
        <v>7788</v>
      </c>
      <c r="AE103" s="80" t="str">
        <f>HYPERLINK("https://twitter.com/oliviabulla/status/1701186241155183007")</f>
        <v>https://twitter.com/oliviabulla/status/1701186241155183007</v>
      </c>
      <c r="AF103" s="79">
        <v>45180.451168981483</v>
      </c>
      <c r="AG103" s="85">
        <v>45180</v>
      </c>
      <c r="AH103" s="82" t="s">
        <v>7887</v>
      </c>
      <c r="AI103" s="77" t="b">
        <v>0</v>
      </c>
      <c r="AJ103" s="77"/>
      <c r="AK103" s="77"/>
      <c r="AL103" s="77"/>
      <c r="AM103" s="77"/>
      <c r="AN103" s="77"/>
      <c r="AO103" s="77"/>
      <c r="AP103" s="77"/>
      <c r="AQ103" s="77"/>
      <c r="AR103" s="77"/>
      <c r="AS103" s="77"/>
      <c r="AT103" s="77"/>
      <c r="AU103" s="77"/>
      <c r="AV103" s="80" t="str">
        <f>HYPERLINK("https://pbs.twimg.com/profile_images/1431056682017296384/gJ-7h91Q_normal.jpg")</f>
        <v>https://pbs.twimg.com/profile_images/1431056682017296384/gJ-7h91Q_normal.jpg</v>
      </c>
      <c r="AW103" s="82" t="s">
        <v>11813</v>
      </c>
      <c r="AX103" s="82" t="s">
        <v>11813</v>
      </c>
      <c r="AY103" s="77"/>
      <c r="AZ103" s="82" t="s">
        <v>15984</v>
      </c>
      <c r="BA103" s="82" t="s">
        <v>15984</v>
      </c>
      <c r="BB103" s="82" t="s">
        <v>15984</v>
      </c>
      <c r="BC103" s="82" t="s">
        <v>11813</v>
      </c>
      <c r="BD103" s="77">
        <v>47023251</v>
      </c>
      <c r="BE103" s="77"/>
      <c r="BF103" s="77"/>
      <c r="BG103" s="77"/>
      <c r="BH103" s="77"/>
      <c r="BI103" s="77"/>
    </row>
    <row r="104" spans="1:61" x14ac:dyDescent="0.25">
      <c r="A104" s="62" t="s">
        <v>243</v>
      </c>
      <c r="B104" s="62" t="s">
        <v>743</v>
      </c>
      <c r="C104" s="63"/>
      <c r="D104" s="64"/>
      <c r="E104" s="65"/>
      <c r="F104" s="66"/>
      <c r="G104" s="63"/>
      <c r="H104" s="67"/>
      <c r="I104" s="68"/>
      <c r="J104" s="68"/>
      <c r="K104" s="32"/>
      <c r="L104" s="75">
        <v>104</v>
      </c>
      <c r="M104" s="75"/>
      <c r="N104" s="70"/>
      <c r="O104" s="77" t="s">
        <v>895</v>
      </c>
      <c r="P104" s="79">
        <v>45177.445277777777</v>
      </c>
      <c r="Q104" s="77" t="s">
        <v>1002</v>
      </c>
      <c r="R104" s="77">
        <v>0</v>
      </c>
      <c r="S104" s="77">
        <v>0</v>
      </c>
      <c r="T104" s="77">
        <v>0</v>
      </c>
      <c r="U104" s="77">
        <v>0</v>
      </c>
      <c r="V104" s="77">
        <v>56</v>
      </c>
      <c r="W104" s="82" t="s">
        <v>4843</v>
      </c>
      <c r="X104" s="80" t="str">
        <f>HYPERLINK("https://www.linkedin.com/pulse/mercado-tem-preg%25C3%25A3o-meio-mastro-na-volta-do-feriado-ol%25C3%25ADvia-bulla-%25E7%2599%25BD%25E7%25BB%25B4%25E5%25A8%2585")</f>
        <v>https://www.linkedin.com/pulse/mercado-tem-preg%25C3%25A3o-meio-mastro-na-volta-do-feriado-ol%25C3%25ADvia-bulla-%25E7%2599%25BD%25E7%25BB%25B4%25E5%25A8%2585</v>
      </c>
      <c r="Y104" s="77" t="s">
        <v>6477</v>
      </c>
      <c r="Z104" s="77" t="s">
        <v>743</v>
      </c>
      <c r="AA104" s="77"/>
      <c r="AB104" s="77"/>
      <c r="AC104" s="82" t="s">
        <v>7750</v>
      </c>
      <c r="AD104" s="77" t="s">
        <v>7788</v>
      </c>
      <c r="AE104" s="80" t="str">
        <f>HYPERLINK("https://twitter.com/oliviabulla/status/1700096943404339382")</f>
        <v>https://twitter.com/oliviabulla/status/1700096943404339382</v>
      </c>
      <c r="AF104" s="79">
        <v>45177.445277777777</v>
      </c>
      <c r="AG104" s="85">
        <v>45177</v>
      </c>
      <c r="AH104" s="82" t="s">
        <v>7888</v>
      </c>
      <c r="AI104" s="77" t="b">
        <v>0</v>
      </c>
      <c r="AJ104" s="77"/>
      <c r="AK104" s="77"/>
      <c r="AL104" s="77"/>
      <c r="AM104" s="77"/>
      <c r="AN104" s="77"/>
      <c r="AO104" s="77"/>
      <c r="AP104" s="77"/>
      <c r="AQ104" s="77"/>
      <c r="AR104" s="77"/>
      <c r="AS104" s="77"/>
      <c r="AT104" s="77"/>
      <c r="AU104" s="77"/>
      <c r="AV104" s="80" t="str">
        <f>HYPERLINK("https://pbs.twimg.com/profile_images/1431056682017296384/gJ-7h91Q_normal.jpg")</f>
        <v>https://pbs.twimg.com/profile_images/1431056682017296384/gJ-7h91Q_normal.jpg</v>
      </c>
      <c r="AW104" s="82" t="s">
        <v>11814</v>
      </c>
      <c r="AX104" s="82" t="s">
        <v>11814</v>
      </c>
      <c r="AY104" s="77"/>
      <c r="AZ104" s="82" t="s">
        <v>15984</v>
      </c>
      <c r="BA104" s="82" t="s">
        <v>15984</v>
      </c>
      <c r="BB104" s="82" t="s">
        <v>15984</v>
      </c>
      <c r="BC104" s="82" t="s">
        <v>11814</v>
      </c>
      <c r="BD104" s="77">
        <v>47023251</v>
      </c>
      <c r="BE104" s="77"/>
      <c r="BF104" s="77"/>
      <c r="BG104" s="77"/>
      <c r="BH104" s="77"/>
      <c r="BI104" s="77"/>
    </row>
    <row r="105" spans="1:61" x14ac:dyDescent="0.25">
      <c r="A105" s="62" t="s">
        <v>243</v>
      </c>
      <c r="B105" s="62" t="s">
        <v>743</v>
      </c>
      <c r="C105" s="63"/>
      <c r="D105" s="64"/>
      <c r="E105" s="65"/>
      <c r="F105" s="66"/>
      <c r="G105" s="63"/>
      <c r="H105" s="67"/>
      <c r="I105" s="68"/>
      <c r="J105" s="68"/>
      <c r="K105" s="32"/>
      <c r="L105" s="75">
        <v>105</v>
      </c>
      <c r="M105" s="75"/>
      <c r="N105" s="70"/>
      <c r="O105" s="77" t="s">
        <v>895</v>
      </c>
      <c r="P105" s="79">
        <v>45183.444606481484</v>
      </c>
      <c r="Q105" s="77" t="s">
        <v>1003</v>
      </c>
      <c r="R105" s="77">
        <v>0</v>
      </c>
      <c r="S105" s="77">
        <v>0</v>
      </c>
      <c r="T105" s="77">
        <v>0</v>
      </c>
      <c r="U105" s="77">
        <v>0</v>
      </c>
      <c r="V105" s="77">
        <v>33</v>
      </c>
      <c r="W105" s="82" t="s">
        <v>4839</v>
      </c>
      <c r="X105" s="80" t="str">
        <f>HYPERLINK("https://www.linkedin.com/pulse/bc-europeu-abre-temporada-de-decis%25C3%25A3o-dos-bancos-ol%25C3%25ADvia-bulla-%25E7%2599%25BD%25E7%25BB%25B4%25E5%25A8%2585")</f>
        <v>https://www.linkedin.com/pulse/bc-europeu-abre-temporada-de-decis%25C3%25A3o-dos-bancos-ol%25C3%25ADvia-bulla-%25E7%2599%25BD%25E7%25BB%25B4%25E5%25A8%2585</v>
      </c>
      <c r="Y105" s="77" t="s">
        <v>6477</v>
      </c>
      <c r="Z105" s="77" t="s">
        <v>743</v>
      </c>
      <c r="AA105" s="77"/>
      <c r="AB105" s="77"/>
      <c r="AC105" s="82" t="s">
        <v>7750</v>
      </c>
      <c r="AD105" s="77" t="s">
        <v>7788</v>
      </c>
      <c r="AE105" s="80" t="str">
        <f>HYPERLINK("https://twitter.com/oliviabulla/status/1702271030041956784")</f>
        <v>https://twitter.com/oliviabulla/status/1702271030041956784</v>
      </c>
      <c r="AF105" s="79">
        <v>45183.444606481484</v>
      </c>
      <c r="AG105" s="85">
        <v>45183</v>
      </c>
      <c r="AH105" s="82" t="s">
        <v>7889</v>
      </c>
      <c r="AI105" s="77" t="b">
        <v>0</v>
      </c>
      <c r="AJ105" s="77"/>
      <c r="AK105" s="77"/>
      <c r="AL105" s="77"/>
      <c r="AM105" s="77"/>
      <c r="AN105" s="77"/>
      <c r="AO105" s="77"/>
      <c r="AP105" s="77"/>
      <c r="AQ105" s="77"/>
      <c r="AR105" s="77"/>
      <c r="AS105" s="77"/>
      <c r="AT105" s="77"/>
      <c r="AU105" s="77"/>
      <c r="AV105" s="80" t="str">
        <f>HYPERLINK("https://pbs.twimg.com/profile_images/1431056682017296384/gJ-7h91Q_normal.jpg")</f>
        <v>https://pbs.twimg.com/profile_images/1431056682017296384/gJ-7h91Q_normal.jpg</v>
      </c>
      <c r="AW105" s="82" t="s">
        <v>11815</v>
      </c>
      <c r="AX105" s="82" t="s">
        <v>11815</v>
      </c>
      <c r="AY105" s="77"/>
      <c r="AZ105" s="82" t="s">
        <v>15984</v>
      </c>
      <c r="BA105" s="82" t="s">
        <v>15984</v>
      </c>
      <c r="BB105" s="82" t="s">
        <v>15984</v>
      </c>
      <c r="BC105" s="82" t="s">
        <v>11815</v>
      </c>
      <c r="BD105" s="77">
        <v>47023251</v>
      </c>
      <c r="BE105" s="77"/>
      <c r="BF105" s="77"/>
      <c r="BG105" s="77"/>
      <c r="BH105" s="77"/>
      <c r="BI105" s="77"/>
    </row>
    <row r="106" spans="1:61" x14ac:dyDescent="0.25">
      <c r="A106" s="62" t="s">
        <v>243</v>
      </c>
      <c r="B106" s="62" t="s">
        <v>743</v>
      </c>
      <c r="C106" s="63"/>
      <c r="D106" s="64"/>
      <c r="E106" s="65"/>
      <c r="F106" s="66"/>
      <c r="G106" s="63"/>
      <c r="H106" s="67"/>
      <c r="I106" s="68"/>
      <c r="J106" s="68"/>
      <c r="K106" s="32"/>
      <c r="L106" s="75">
        <v>106</v>
      </c>
      <c r="M106" s="75"/>
      <c r="N106" s="70"/>
      <c r="O106" s="77" t="s">
        <v>895</v>
      </c>
      <c r="P106" s="79">
        <v>45187.445115740738</v>
      </c>
      <c r="Q106" s="77" t="s">
        <v>1004</v>
      </c>
      <c r="R106" s="77">
        <v>0</v>
      </c>
      <c r="S106" s="77">
        <v>0</v>
      </c>
      <c r="T106" s="77">
        <v>0</v>
      </c>
      <c r="U106" s="77">
        <v>0</v>
      </c>
      <c r="V106" s="77">
        <v>74</v>
      </c>
      <c r="W106" s="82" t="s">
        <v>4839</v>
      </c>
      <c r="X106" s="80" t="str">
        <f>HYPERLINK("https://www.linkedin.com/pulse/mercados-come%25C3%25A7am-super-semana-de-bcs-ol%25C3%25ADvia-bulla-%25E7%2599%25BD%25E7%25BB%25B4%25E5%25A8%2585")</f>
        <v>https://www.linkedin.com/pulse/mercados-come%25C3%25A7am-super-semana-de-bcs-ol%25C3%25ADvia-bulla-%25E7%2599%25BD%25E7%25BB%25B4%25E5%25A8%2585</v>
      </c>
      <c r="Y106" s="77" t="s">
        <v>6477</v>
      </c>
      <c r="Z106" s="77" t="s">
        <v>743</v>
      </c>
      <c r="AA106" s="77"/>
      <c r="AB106" s="77"/>
      <c r="AC106" s="82" t="s">
        <v>7750</v>
      </c>
      <c r="AD106" s="77" t="s">
        <v>7788</v>
      </c>
      <c r="AE106" s="80" t="str">
        <f>HYPERLINK("https://twitter.com/oliviabulla/status/1703720765944746243")</f>
        <v>https://twitter.com/oliviabulla/status/1703720765944746243</v>
      </c>
      <c r="AF106" s="79">
        <v>45187.445115740738</v>
      </c>
      <c r="AG106" s="85">
        <v>45187</v>
      </c>
      <c r="AH106" s="82" t="s">
        <v>7890</v>
      </c>
      <c r="AI106" s="77" t="b">
        <v>0</v>
      </c>
      <c r="AJ106" s="77"/>
      <c r="AK106" s="77"/>
      <c r="AL106" s="77"/>
      <c r="AM106" s="77"/>
      <c r="AN106" s="77"/>
      <c r="AO106" s="77"/>
      <c r="AP106" s="77"/>
      <c r="AQ106" s="77"/>
      <c r="AR106" s="77"/>
      <c r="AS106" s="77"/>
      <c r="AT106" s="77"/>
      <c r="AU106" s="77"/>
      <c r="AV106" s="80" t="str">
        <f>HYPERLINK("https://pbs.twimg.com/profile_images/1431056682017296384/gJ-7h91Q_normal.jpg")</f>
        <v>https://pbs.twimg.com/profile_images/1431056682017296384/gJ-7h91Q_normal.jpg</v>
      </c>
      <c r="AW106" s="82" t="s">
        <v>11816</v>
      </c>
      <c r="AX106" s="82" t="s">
        <v>11816</v>
      </c>
      <c r="AY106" s="77"/>
      <c r="AZ106" s="82" t="s">
        <v>15984</v>
      </c>
      <c r="BA106" s="82" t="s">
        <v>15984</v>
      </c>
      <c r="BB106" s="82" t="s">
        <v>15984</v>
      </c>
      <c r="BC106" s="82" t="s">
        <v>11816</v>
      </c>
      <c r="BD106" s="77">
        <v>47023251</v>
      </c>
      <c r="BE106" s="77"/>
      <c r="BF106" s="77"/>
      <c r="BG106" s="77"/>
      <c r="BH106" s="77"/>
      <c r="BI106" s="77"/>
    </row>
    <row r="107" spans="1:61" x14ac:dyDescent="0.25">
      <c r="A107" s="62" t="s">
        <v>243</v>
      </c>
      <c r="B107" s="62" t="s">
        <v>743</v>
      </c>
      <c r="C107" s="63"/>
      <c r="D107" s="64"/>
      <c r="E107" s="65"/>
      <c r="F107" s="66"/>
      <c r="G107" s="63"/>
      <c r="H107" s="67"/>
      <c r="I107" s="68"/>
      <c r="J107" s="68"/>
      <c r="K107" s="32"/>
      <c r="L107" s="75">
        <v>107</v>
      </c>
      <c r="M107" s="75"/>
      <c r="N107" s="70"/>
      <c r="O107" s="77" t="s">
        <v>895</v>
      </c>
      <c r="P107" s="79">
        <v>45180.883587962962</v>
      </c>
      <c r="Q107" s="77" t="s">
        <v>1005</v>
      </c>
      <c r="R107" s="77">
        <v>0</v>
      </c>
      <c r="S107" s="77">
        <v>0</v>
      </c>
      <c r="T107" s="77">
        <v>0</v>
      </c>
      <c r="U107" s="77">
        <v>0</v>
      </c>
      <c r="V107" s="77">
        <v>51</v>
      </c>
      <c r="W107" s="82" t="s">
        <v>4839</v>
      </c>
      <c r="X107" s="80" t="str">
        <f>HYPERLINK("https://www.linkedin.com/newsletters/a-bula-do-mercado-7104414563835494401")</f>
        <v>https://www.linkedin.com/newsletters/a-bula-do-mercado-7104414563835494401</v>
      </c>
      <c r="Y107" s="77" t="s">
        <v>6477</v>
      </c>
      <c r="Z107" s="77" t="s">
        <v>743</v>
      </c>
      <c r="AA107" s="77"/>
      <c r="AB107" s="77"/>
      <c r="AC107" s="82" t="s">
        <v>7751</v>
      </c>
      <c r="AD107" s="77" t="s">
        <v>7788</v>
      </c>
      <c r="AE107" s="80" t="str">
        <f>HYPERLINK("https://twitter.com/oliviabulla/status/1701342945834660297")</f>
        <v>https://twitter.com/oliviabulla/status/1701342945834660297</v>
      </c>
      <c r="AF107" s="79">
        <v>45180.883587962962</v>
      </c>
      <c r="AG107" s="85">
        <v>45180</v>
      </c>
      <c r="AH107" s="82" t="s">
        <v>7891</v>
      </c>
      <c r="AI107" s="77" t="b">
        <v>0</v>
      </c>
      <c r="AJ107" s="77"/>
      <c r="AK107" s="77"/>
      <c r="AL107" s="77"/>
      <c r="AM107" s="77"/>
      <c r="AN107" s="77"/>
      <c r="AO107" s="77"/>
      <c r="AP107" s="77"/>
      <c r="AQ107" s="77"/>
      <c r="AR107" s="77"/>
      <c r="AS107" s="77"/>
      <c r="AT107" s="77"/>
      <c r="AU107" s="77"/>
      <c r="AV107" s="80" t="str">
        <f>HYPERLINK("https://pbs.twimg.com/profile_images/1431056682017296384/gJ-7h91Q_normal.jpg")</f>
        <v>https://pbs.twimg.com/profile_images/1431056682017296384/gJ-7h91Q_normal.jpg</v>
      </c>
      <c r="AW107" s="82" t="s">
        <v>11817</v>
      </c>
      <c r="AX107" s="82" t="s">
        <v>11817</v>
      </c>
      <c r="AY107" s="77"/>
      <c r="AZ107" s="82" t="s">
        <v>15984</v>
      </c>
      <c r="BA107" s="82" t="s">
        <v>15984</v>
      </c>
      <c r="BB107" s="82" t="s">
        <v>15984</v>
      </c>
      <c r="BC107" s="82" t="s">
        <v>11817</v>
      </c>
      <c r="BD107" s="77">
        <v>47023251</v>
      </c>
      <c r="BE107" s="77"/>
      <c r="BF107" s="77"/>
      <c r="BG107" s="77"/>
      <c r="BH107" s="77"/>
      <c r="BI107" s="77"/>
    </row>
    <row r="108" spans="1:61" x14ac:dyDescent="0.25">
      <c r="A108" s="62" t="s">
        <v>243</v>
      </c>
      <c r="B108" s="62" t="s">
        <v>743</v>
      </c>
      <c r="C108" s="63"/>
      <c r="D108" s="64"/>
      <c r="E108" s="65"/>
      <c r="F108" s="66"/>
      <c r="G108" s="63"/>
      <c r="H108" s="67"/>
      <c r="I108" s="68"/>
      <c r="J108" s="68"/>
      <c r="K108" s="32"/>
      <c r="L108" s="75">
        <v>108</v>
      </c>
      <c r="M108" s="75"/>
      <c r="N108" s="70"/>
      <c r="O108" s="77" t="s">
        <v>895</v>
      </c>
      <c r="P108" s="79">
        <v>45190.446956018517</v>
      </c>
      <c r="Q108" s="77" t="s">
        <v>1006</v>
      </c>
      <c r="R108" s="77">
        <v>0</v>
      </c>
      <c r="S108" s="77">
        <v>0</v>
      </c>
      <c r="T108" s="77">
        <v>0</v>
      </c>
      <c r="U108" s="77">
        <v>0</v>
      </c>
      <c r="V108" s="77">
        <v>45</v>
      </c>
      <c r="W108" s="82" t="s">
        <v>4844</v>
      </c>
      <c r="X108" s="80" t="str">
        <f>HYPERLINK("https://www.linkedin.com/pulse/fed-e-copom-mostram-garras-ao-mercado-ol%25C3%25ADvia-bulla-%25E7%2599%25BD%25E7%25BB%25B4%25E5%25A8%2585")</f>
        <v>https://www.linkedin.com/pulse/fed-e-copom-mostram-garras-ao-mercado-ol%25C3%25ADvia-bulla-%25E7%2599%25BD%25E7%25BB%25B4%25E5%25A8%2585</v>
      </c>
      <c r="Y108" s="77" t="s">
        <v>6477</v>
      </c>
      <c r="Z108" s="77" t="s">
        <v>743</v>
      </c>
      <c r="AA108" s="77"/>
      <c r="AB108" s="77"/>
      <c r="AC108" s="82" t="s">
        <v>7750</v>
      </c>
      <c r="AD108" s="77" t="s">
        <v>7788</v>
      </c>
      <c r="AE108" s="80" t="str">
        <f>HYPERLINK("https://twitter.com/oliviabulla/status/1704808596133875790")</f>
        <v>https://twitter.com/oliviabulla/status/1704808596133875790</v>
      </c>
      <c r="AF108" s="79">
        <v>45190.446956018517</v>
      </c>
      <c r="AG108" s="85">
        <v>45190</v>
      </c>
      <c r="AH108" s="82" t="s">
        <v>7892</v>
      </c>
      <c r="AI108" s="77" t="b">
        <v>0</v>
      </c>
      <c r="AJ108" s="77"/>
      <c r="AK108" s="77"/>
      <c r="AL108" s="77"/>
      <c r="AM108" s="77"/>
      <c r="AN108" s="77"/>
      <c r="AO108" s="77"/>
      <c r="AP108" s="77"/>
      <c r="AQ108" s="77"/>
      <c r="AR108" s="77"/>
      <c r="AS108" s="77"/>
      <c r="AT108" s="77"/>
      <c r="AU108" s="77"/>
      <c r="AV108" s="80" t="str">
        <f>HYPERLINK("https://pbs.twimg.com/profile_images/1431056682017296384/gJ-7h91Q_normal.jpg")</f>
        <v>https://pbs.twimg.com/profile_images/1431056682017296384/gJ-7h91Q_normal.jpg</v>
      </c>
      <c r="AW108" s="82" t="s">
        <v>11818</v>
      </c>
      <c r="AX108" s="82" t="s">
        <v>11818</v>
      </c>
      <c r="AY108" s="77"/>
      <c r="AZ108" s="82" t="s">
        <v>15984</v>
      </c>
      <c r="BA108" s="82" t="s">
        <v>15984</v>
      </c>
      <c r="BB108" s="82" t="s">
        <v>15984</v>
      </c>
      <c r="BC108" s="82" t="s">
        <v>11818</v>
      </c>
      <c r="BD108" s="77">
        <v>47023251</v>
      </c>
      <c r="BE108" s="77"/>
      <c r="BF108" s="77"/>
      <c r="BG108" s="77"/>
      <c r="BH108" s="77"/>
      <c r="BI108" s="77"/>
    </row>
    <row r="109" spans="1:61" x14ac:dyDescent="0.25">
      <c r="A109" s="62" t="s">
        <v>243</v>
      </c>
      <c r="B109" s="62" t="s">
        <v>743</v>
      </c>
      <c r="C109" s="63"/>
      <c r="D109" s="64"/>
      <c r="E109" s="65"/>
      <c r="F109" s="66"/>
      <c r="G109" s="63"/>
      <c r="H109" s="67"/>
      <c r="I109" s="68"/>
      <c r="J109" s="68"/>
      <c r="K109" s="32"/>
      <c r="L109" s="75">
        <v>109</v>
      </c>
      <c r="M109" s="75"/>
      <c r="N109" s="70"/>
      <c r="O109" s="77" t="s">
        <v>895</v>
      </c>
      <c r="P109" s="79">
        <v>45194.445752314816</v>
      </c>
      <c r="Q109" s="77" t="s">
        <v>1007</v>
      </c>
      <c r="R109" s="77">
        <v>0</v>
      </c>
      <c r="S109" s="77">
        <v>0</v>
      </c>
      <c r="T109" s="77">
        <v>0</v>
      </c>
      <c r="U109" s="77">
        <v>0</v>
      </c>
      <c r="V109" s="77">
        <v>32</v>
      </c>
      <c r="W109" s="82" t="s">
        <v>4839</v>
      </c>
      <c r="X109" s="80" t="str">
        <f>HYPERLINK("https://www.linkedin.com/pulse/mercados-sem-tr%25C3%25A9gua-ol%25C3%25ADvia-bulla-%25E7%2599%25BD%25E7%25BB%25B4%25E5%25A8%2585")</f>
        <v>https://www.linkedin.com/pulse/mercados-sem-tr%25C3%25A9gua-ol%25C3%25ADvia-bulla-%25E7%2599%25BD%25E7%25BB%25B4%25E5%25A8%2585</v>
      </c>
      <c r="Y109" s="77" t="s">
        <v>6477</v>
      </c>
      <c r="Z109" s="77" t="s">
        <v>743</v>
      </c>
      <c r="AA109" s="77"/>
      <c r="AB109" s="77"/>
      <c r="AC109" s="82" t="s">
        <v>7750</v>
      </c>
      <c r="AD109" s="77" t="s">
        <v>7788</v>
      </c>
      <c r="AE109" s="80" t="str">
        <f>HYPERLINK("https://twitter.com/oliviabulla/status/1706257711816441952")</f>
        <v>https://twitter.com/oliviabulla/status/1706257711816441952</v>
      </c>
      <c r="AF109" s="79">
        <v>45194.445752314816</v>
      </c>
      <c r="AG109" s="85">
        <v>45194</v>
      </c>
      <c r="AH109" s="82" t="s">
        <v>7893</v>
      </c>
      <c r="AI109" s="77" t="b">
        <v>0</v>
      </c>
      <c r="AJ109" s="77"/>
      <c r="AK109" s="77"/>
      <c r="AL109" s="77"/>
      <c r="AM109" s="77"/>
      <c r="AN109" s="77"/>
      <c r="AO109" s="77"/>
      <c r="AP109" s="77"/>
      <c r="AQ109" s="77"/>
      <c r="AR109" s="77"/>
      <c r="AS109" s="77"/>
      <c r="AT109" s="77"/>
      <c r="AU109" s="77"/>
      <c r="AV109" s="80" t="str">
        <f>HYPERLINK("https://pbs.twimg.com/profile_images/1431056682017296384/gJ-7h91Q_normal.jpg")</f>
        <v>https://pbs.twimg.com/profile_images/1431056682017296384/gJ-7h91Q_normal.jpg</v>
      </c>
      <c r="AW109" s="82" t="s">
        <v>11819</v>
      </c>
      <c r="AX109" s="82" t="s">
        <v>11819</v>
      </c>
      <c r="AY109" s="77"/>
      <c r="AZ109" s="82" t="s">
        <v>15984</v>
      </c>
      <c r="BA109" s="82" t="s">
        <v>15984</v>
      </c>
      <c r="BB109" s="82" t="s">
        <v>15984</v>
      </c>
      <c r="BC109" s="82" t="s">
        <v>11819</v>
      </c>
      <c r="BD109" s="77">
        <v>47023251</v>
      </c>
      <c r="BE109" s="77"/>
      <c r="BF109" s="77"/>
      <c r="BG109" s="77"/>
      <c r="BH109" s="77"/>
      <c r="BI109" s="77"/>
    </row>
    <row r="110" spans="1:61" x14ac:dyDescent="0.25">
      <c r="A110" s="62" t="s">
        <v>243</v>
      </c>
      <c r="B110" s="62" t="s">
        <v>743</v>
      </c>
      <c r="C110" s="63"/>
      <c r="D110" s="64"/>
      <c r="E110" s="65"/>
      <c r="F110" s="66"/>
      <c r="G110" s="63"/>
      <c r="H110" s="67"/>
      <c r="I110" s="68"/>
      <c r="J110" s="68"/>
      <c r="K110" s="32"/>
      <c r="L110" s="75">
        <v>110</v>
      </c>
      <c r="M110" s="75"/>
      <c r="N110" s="70"/>
      <c r="O110" s="77" t="s">
        <v>895</v>
      </c>
      <c r="P110" s="79">
        <v>45195.435277777775</v>
      </c>
      <c r="Q110" s="77" t="s">
        <v>1008</v>
      </c>
      <c r="R110" s="77">
        <v>0</v>
      </c>
      <c r="S110" s="77">
        <v>0</v>
      </c>
      <c r="T110" s="77">
        <v>0</v>
      </c>
      <c r="U110" s="77">
        <v>0</v>
      </c>
      <c r="V110" s="77">
        <v>28</v>
      </c>
      <c r="W110" s="82" t="s">
        <v>4839</v>
      </c>
      <c r="X110" s="80" t="str">
        <f>HYPERLINK("https://www.linkedin.com/pulse/mercado-olha-para-fora-ol%25C3%25ADvia-bulla-%25E7%2599%25BD%25E7%25BB%25B4%25E5%25A8%2585")</f>
        <v>https://www.linkedin.com/pulse/mercado-olha-para-fora-ol%25C3%25ADvia-bulla-%25E7%2599%25BD%25E7%25BB%25B4%25E5%25A8%2585</v>
      </c>
      <c r="Y110" s="77" t="s">
        <v>6477</v>
      </c>
      <c r="Z110" s="77" t="s">
        <v>743</v>
      </c>
      <c r="AA110" s="77"/>
      <c r="AB110" s="77"/>
      <c r="AC110" s="82" t="s">
        <v>7750</v>
      </c>
      <c r="AD110" s="77" t="s">
        <v>7788</v>
      </c>
      <c r="AE110" s="80" t="str">
        <f>HYPERLINK("https://twitter.com/oliviabulla/status/1706616300305342647")</f>
        <v>https://twitter.com/oliviabulla/status/1706616300305342647</v>
      </c>
      <c r="AF110" s="79">
        <v>45195.435277777775</v>
      </c>
      <c r="AG110" s="85">
        <v>45195</v>
      </c>
      <c r="AH110" s="82" t="s">
        <v>7894</v>
      </c>
      <c r="AI110" s="77" t="b">
        <v>0</v>
      </c>
      <c r="AJ110" s="77"/>
      <c r="AK110" s="77"/>
      <c r="AL110" s="77"/>
      <c r="AM110" s="77"/>
      <c r="AN110" s="77"/>
      <c r="AO110" s="77"/>
      <c r="AP110" s="77"/>
      <c r="AQ110" s="77"/>
      <c r="AR110" s="77"/>
      <c r="AS110" s="77"/>
      <c r="AT110" s="77"/>
      <c r="AU110" s="77"/>
      <c r="AV110" s="80" t="str">
        <f>HYPERLINK("https://pbs.twimg.com/profile_images/1431056682017296384/gJ-7h91Q_normal.jpg")</f>
        <v>https://pbs.twimg.com/profile_images/1431056682017296384/gJ-7h91Q_normal.jpg</v>
      </c>
      <c r="AW110" s="82" t="s">
        <v>11820</v>
      </c>
      <c r="AX110" s="82" t="s">
        <v>11820</v>
      </c>
      <c r="AY110" s="77"/>
      <c r="AZ110" s="82" t="s">
        <v>15984</v>
      </c>
      <c r="BA110" s="82" t="s">
        <v>15984</v>
      </c>
      <c r="BB110" s="82" t="s">
        <v>15984</v>
      </c>
      <c r="BC110" s="82" t="s">
        <v>11820</v>
      </c>
      <c r="BD110" s="77">
        <v>47023251</v>
      </c>
      <c r="BE110" s="77"/>
      <c r="BF110" s="77"/>
      <c r="BG110" s="77"/>
      <c r="BH110" s="77"/>
      <c r="BI110" s="77"/>
    </row>
    <row r="111" spans="1:61" x14ac:dyDescent="0.25">
      <c r="A111" s="62" t="s">
        <v>243</v>
      </c>
      <c r="B111" s="62" t="s">
        <v>743</v>
      </c>
      <c r="C111" s="63"/>
      <c r="D111" s="64"/>
      <c r="E111" s="65"/>
      <c r="F111" s="66"/>
      <c r="G111" s="63"/>
      <c r="H111" s="67"/>
      <c r="I111" s="68"/>
      <c r="J111" s="68"/>
      <c r="K111" s="32"/>
      <c r="L111" s="75">
        <v>111</v>
      </c>
      <c r="M111" s="75"/>
      <c r="N111" s="70"/>
      <c r="O111" s="77" t="s">
        <v>895</v>
      </c>
      <c r="P111" s="79">
        <v>45189.437013888892</v>
      </c>
      <c r="Q111" s="77" t="s">
        <v>1009</v>
      </c>
      <c r="R111" s="77">
        <v>0</v>
      </c>
      <c r="S111" s="77">
        <v>0</v>
      </c>
      <c r="T111" s="77">
        <v>0</v>
      </c>
      <c r="U111" s="77">
        <v>0</v>
      </c>
      <c r="V111" s="77">
        <v>24</v>
      </c>
      <c r="W111" s="82" t="s">
        <v>4839</v>
      </c>
      <c r="X111" s="80" t="str">
        <f>HYPERLINK("https://www.linkedin.com/pulse/d%25C3%25BAvidas-do-mercado-nesta-super-quarta-de-fed-e-copom-ol%25C3%25ADvia-bulla-%25E7%2599%25BD%25E7%25BB%25B4%25E5%25A8%2585")</f>
        <v>https://www.linkedin.com/pulse/d%25C3%25BAvidas-do-mercado-nesta-super-quarta-de-fed-e-copom-ol%25C3%25ADvia-bulla-%25E7%2599%25BD%25E7%25BB%25B4%25E5%25A8%2585</v>
      </c>
      <c r="Y111" s="77" t="s">
        <v>6477</v>
      </c>
      <c r="Z111" s="77" t="s">
        <v>743</v>
      </c>
      <c r="AA111" s="77"/>
      <c r="AB111" s="77"/>
      <c r="AC111" s="82" t="s">
        <v>7750</v>
      </c>
      <c r="AD111" s="77" t="s">
        <v>7788</v>
      </c>
      <c r="AE111" s="80" t="str">
        <f>HYPERLINK("https://twitter.com/oliviabulla/status/1704442603222061508")</f>
        <v>https://twitter.com/oliviabulla/status/1704442603222061508</v>
      </c>
      <c r="AF111" s="79">
        <v>45189.437013888892</v>
      </c>
      <c r="AG111" s="85">
        <v>45189</v>
      </c>
      <c r="AH111" s="82" t="s">
        <v>7895</v>
      </c>
      <c r="AI111" s="77" t="b">
        <v>0</v>
      </c>
      <c r="AJ111" s="77"/>
      <c r="AK111" s="77"/>
      <c r="AL111" s="77"/>
      <c r="AM111" s="77"/>
      <c r="AN111" s="77"/>
      <c r="AO111" s="77"/>
      <c r="AP111" s="77"/>
      <c r="AQ111" s="77"/>
      <c r="AR111" s="77"/>
      <c r="AS111" s="77"/>
      <c r="AT111" s="77"/>
      <c r="AU111" s="77"/>
      <c r="AV111" s="80" t="str">
        <f>HYPERLINK("https://pbs.twimg.com/profile_images/1431056682017296384/gJ-7h91Q_normal.jpg")</f>
        <v>https://pbs.twimg.com/profile_images/1431056682017296384/gJ-7h91Q_normal.jpg</v>
      </c>
      <c r="AW111" s="82" t="s">
        <v>11821</v>
      </c>
      <c r="AX111" s="82" t="s">
        <v>11821</v>
      </c>
      <c r="AY111" s="77"/>
      <c r="AZ111" s="82" t="s">
        <v>15984</v>
      </c>
      <c r="BA111" s="82" t="s">
        <v>15984</v>
      </c>
      <c r="BB111" s="82" t="s">
        <v>15984</v>
      </c>
      <c r="BC111" s="82" t="s">
        <v>11821</v>
      </c>
      <c r="BD111" s="77">
        <v>47023251</v>
      </c>
      <c r="BE111" s="77"/>
      <c r="BF111" s="77"/>
      <c r="BG111" s="77"/>
      <c r="BH111" s="77"/>
      <c r="BI111" s="77"/>
    </row>
    <row r="112" spans="1:61" x14ac:dyDescent="0.25">
      <c r="A112" s="62" t="s">
        <v>243</v>
      </c>
      <c r="B112" s="62" t="s">
        <v>743</v>
      </c>
      <c r="C112" s="63"/>
      <c r="D112" s="64"/>
      <c r="E112" s="65"/>
      <c r="F112" s="66"/>
      <c r="G112" s="63"/>
      <c r="H112" s="67"/>
      <c r="I112" s="68"/>
      <c r="J112" s="68"/>
      <c r="K112" s="32"/>
      <c r="L112" s="75">
        <v>112</v>
      </c>
      <c r="M112" s="75"/>
      <c r="N112" s="70"/>
      <c r="O112" s="77" t="s">
        <v>895</v>
      </c>
      <c r="P112" s="79">
        <v>45197.437326388892</v>
      </c>
      <c r="Q112" s="77" t="s">
        <v>1010</v>
      </c>
      <c r="R112" s="77">
        <v>0</v>
      </c>
      <c r="S112" s="77">
        <v>0</v>
      </c>
      <c r="T112" s="77">
        <v>0</v>
      </c>
      <c r="U112" s="77">
        <v>0</v>
      </c>
      <c r="V112" s="77">
        <v>20</v>
      </c>
      <c r="W112" s="82" t="s">
        <v>4845</v>
      </c>
      <c r="X112" s="80" t="str">
        <f>HYPERLINK("https://www.linkedin.com/pulse/mercados-t%25C3%25AAm-al%25C3%25ADvio-limitado-ol%25C3%25ADvia-bulla-%25E7%2599%25BD%25E7%25BB%25B4%25E5%25A8%2585")</f>
        <v>https://www.linkedin.com/pulse/mercados-t%25C3%25AAm-al%25C3%25ADvio-limitado-ol%25C3%25ADvia-bulla-%25E7%2599%25BD%25E7%25BB%25B4%25E5%25A8%2585</v>
      </c>
      <c r="Y112" s="77" t="s">
        <v>6477</v>
      </c>
      <c r="Z112" s="77" t="s">
        <v>743</v>
      </c>
      <c r="AA112" s="77"/>
      <c r="AB112" s="77"/>
      <c r="AC112" s="82" t="s">
        <v>7750</v>
      </c>
      <c r="AD112" s="77" t="s">
        <v>7788</v>
      </c>
      <c r="AE112" s="80" t="str">
        <f>HYPERLINK("https://twitter.com/oliviabulla/status/1707341818315276777")</f>
        <v>https://twitter.com/oliviabulla/status/1707341818315276777</v>
      </c>
      <c r="AF112" s="79">
        <v>45197.437326388892</v>
      </c>
      <c r="AG112" s="85">
        <v>45197</v>
      </c>
      <c r="AH112" s="82" t="s">
        <v>7896</v>
      </c>
      <c r="AI112" s="77" t="b">
        <v>0</v>
      </c>
      <c r="AJ112" s="77"/>
      <c r="AK112" s="77"/>
      <c r="AL112" s="77"/>
      <c r="AM112" s="77"/>
      <c r="AN112" s="77"/>
      <c r="AO112" s="77"/>
      <c r="AP112" s="77"/>
      <c r="AQ112" s="77"/>
      <c r="AR112" s="77"/>
      <c r="AS112" s="77"/>
      <c r="AT112" s="77"/>
      <c r="AU112" s="77"/>
      <c r="AV112" s="80" t="str">
        <f>HYPERLINK("https://pbs.twimg.com/profile_images/1431056682017296384/gJ-7h91Q_normal.jpg")</f>
        <v>https://pbs.twimg.com/profile_images/1431056682017296384/gJ-7h91Q_normal.jpg</v>
      </c>
      <c r="AW112" s="82" t="s">
        <v>11822</v>
      </c>
      <c r="AX112" s="82" t="s">
        <v>11822</v>
      </c>
      <c r="AY112" s="77"/>
      <c r="AZ112" s="82" t="s">
        <v>15984</v>
      </c>
      <c r="BA112" s="82" t="s">
        <v>15984</v>
      </c>
      <c r="BB112" s="82" t="s">
        <v>15984</v>
      </c>
      <c r="BC112" s="82" t="s">
        <v>11822</v>
      </c>
      <c r="BD112" s="77">
        <v>47023251</v>
      </c>
      <c r="BE112" s="77"/>
      <c r="BF112" s="77"/>
      <c r="BG112" s="77"/>
      <c r="BH112" s="77"/>
      <c r="BI112" s="77"/>
    </row>
    <row r="113" spans="1:61" x14ac:dyDescent="0.25">
      <c r="A113" s="62" t="s">
        <v>243</v>
      </c>
      <c r="B113" s="62" t="s">
        <v>243</v>
      </c>
      <c r="C113" s="63"/>
      <c r="D113" s="64"/>
      <c r="E113" s="65"/>
      <c r="F113" s="66"/>
      <c r="G113" s="63"/>
      <c r="H113" s="67"/>
      <c r="I113" s="68"/>
      <c r="J113" s="68"/>
      <c r="K113" s="32"/>
      <c r="L113" s="75">
        <v>113</v>
      </c>
      <c r="M113" s="75"/>
      <c r="N113" s="70"/>
      <c r="O113" s="77" t="s">
        <v>179</v>
      </c>
      <c r="P113" s="79">
        <v>45184.44703703704</v>
      </c>
      <c r="Q113" s="77" t="s">
        <v>1011</v>
      </c>
      <c r="R113" s="77">
        <v>1</v>
      </c>
      <c r="S113" s="77">
        <v>1</v>
      </c>
      <c r="T113" s="77">
        <v>0</v>
      </c>
      <c r="U113" s="77">
        <v>0</v>
      </c>
      <c r="V113" s="77">
        <v>48</v>
      </c>
      <c r="W113" s="82" t="s">
        <v>4846</v>
      </c>
      <c r="X113" s="80" t="str">
        <f>HYPERLINK("https://investnews.com.br/economia/lehman-brothers-historia-para-uma-geracao-que-nao-viveu-a-crise-de-2008/")</f>
        <v>https://investnews.com.br/economia/lehman-brothers-historia-para-uma-geracao-que-nao-viveu-a-crise-de-2008/</v>
      </c>
      <c r="Y113" s="77" t="s">
        <v>6470</v>
      </c>
      <c r="Z113" s="77"/>
      <c r="AA113" s="77"/>
      <c r="AB113" s="77"/>
      <c r="AC113" s="82" t="s">
        <v>7750</v>
      </c>
      <c r="AD113" s="77" t="s">
        <v>7788</v>
      </c>
      <c r="AE113" s="80" t="str">
        <f>HYPERLINK("https://twitter.com/oliviabulla/status/1702634295888662680")</f>
        <v>https://twitter.com/oliviabulla/status/1702634295888662680</v>
      </c>
      <c r="AF113" s="79">
        <v>45184.44703703704</v>
      </c>
      <c r="AG113" s="85">
        <v>45184</v>
      </c>
      <c r="AH113" s="82" t="s">
        <v>7897</v>
      </c>
      <c r="AI113" s="77" t="b">
        <v>0</v>
      </c>
      <c r="AJ113" s="77"/>
      <c r="AK113" s="77"/>
      <c r="AL113" s="77"/>
      <c r="AM113" s="77"/>
      <c r="AN113" s="77"/>
      <c r="AO113" s="77"/>
      <c r="AP113" s="77"/>
      <c r="AQ113" s="77"/>
      <c r="AR113" s="77"/>
      <c r="AS113" s="77"/>
      <c r="AT113" s="77"/>
      <c r="AU113" s="77"/>
      <c r="AV113" s="80" t="str">
        <f>HYPERLINK("https://pbs.twimg.com/profile_images/1431056682017296384/gJ-7h91Q_normal.jpg")</f>
        <v>https://pbs.twimg.com/profile_images/1431056682017296384/gJ-7h91Q_normal.jpg</v>
      </c>
      <c r="AW113" s="82" t="s">
        <v>11823</v>
      </c>
      <c r="AX113" s="82" t="s">
        <v>11823</v>
      </c>
      <c r="AY113" s="77"/>
      <c r="AZ113" s="82" t="s">
        <v>15984</v>
      </c>
      <c r="BA113" s="82" t="s">
        <v>15984</v>
      </c>
      <c r="BB113" s="82" t="s">
        <v>15984</v>
      </c>
      <c r="BC113" s="82" t="s">
        <v>11823</v>
      </c>
      <c r="BD113" s="77">
        <v>47023251</v>
      </c>
      <c r="BE113" s="77"/>
      <c r="BF113" s="77"/>
      <c r="BG113" s="77"/>
      <c r="BH113" s="77"/>
      <c r="BI113" s="77"/>
    </row>
    <row r="114" spans="1:61" x14ac:dyDescent="0.25">
      <c r="A114" s="62" t="s">
        <v>244</v>
      </c>
      <c r="B114" s="62" t="s">
        <v>244</v>
      </c>
      <c r="C114" s="63"/>
      <c r="D114" s="64"/>
      <c r="E114" s="65"/>
      <c r="F114" s="66"/>
      <c r="G114" s="63"/>
      <c r="H114" s="67"/>
      <c r="I114" s="68"/>
      <c r="J114" s="68"/>
      <c r="K114" s="32"/>
      <c r="L114" s="75">
        <v>114</v>
      </c>
      <c r="M114" s="75"/>
      <c r="N114" s="70"/>
      <c r="O114" s="77" t="s">
        <v>179</v>
      </c>
      <c r="P114" s="79">
        <v>45185.10224537037</v>
      </c>
      <c r="Q114" s="77" t="s">
        <v>1012</v>
      </c>
      <c r="R114" s="77">
        <v>0</v>
      </c>
      <c r="S114" s="77">
        <v>1</v>
      </c>
      <c r="T114" s="77">
        <v>0</v>
      </c>
      <c r="U114" s="77">
        <v>0</v>
      </c>
      <c r="V114" s="77">
        <v>222</v>
      </c>
      <c r="W114" s="82" t="s">
        <v>4847</v>
      </c>
      <c r="X114" s="80" t="str">
        <f>HYPERLINK("https://bit.ly/3t1ruwe")</f>
        <v>https://bit.ly/3t1ruwe</v>
      </c>
      <c r="Y114" s="77" t="s">
        <v>6468</v>
      </c>
      <c r="Z114" s="77"/>
      <c r="AA114" s="77" t="s">
        <v>6670</v>
      </c>
      <c r="AB114" s="77" t="s">
        <v>7742</v>
      </c>
      <c r="AC114" s="82" t="s">
        <v>7750</v>
      </c>
      <c r="AD114" s="77" t="s">
        <v>7790</v>
      </c>
      <c r="AE114" s="80" t="str">
        <f>HYPERLINK("https://twitter.com/imefoficial/status/1702871736658825493")</f>
        <v>https://twitter.com/imefoficial/status/1702871736658825493</v>
      </c>
      <c r="AF114" s="79">
        <v>45185.10224537037</v>
      </c>
      <c r="AG114" s="85">
        <v>45185</v>
      </c>
      <c r="AH114" s="82" t="s">
        <v>7898</v>
      </c>
      <c r="AI114" s="77" t="b">
        <v>0</v>
      </c>
      <c r="AJ114" s="77"/>
      <c r="AK114" s="77"/>
      <c r="AL114" s="77"/>
      <c r="AM114" s="77"/>
      <c r="AN114" s="77"/>
      <c r="AO114" s="77"/>
      <c r="AP114" s="77"/>
      <c r="AQ114" s="77" t="s">
        <v>10642</v>
      </c>
      <c r="AR114" s="77"/>
      <c r="AS114" s="77"/>
      <c r="AT114" s="77"/>
      <c r="AU114" s="77"/>
      <c r="AV114" s="80" t="str">
        <f>HYPERLINK("https://pbs.twimg.com/media/F6HQy5ybQAAo6KI.jpg")</f>
        <v>https://pbs.twimg.com/media/F6HQy5ybQAAo6KI.jpg</v>
      </c>
      <c r="AW114" s="82" t="s">
        <v>11824</v>
      </c>
      <c r="AX114" s="82" t="s">
        <v>11824</v>
      </c>
      <c r="AY114" s="77"/>
      <c r="AZ114" s="82" t="s">
        <v>15984</v>
      </c>
      <c r="BA114" s="82" t="s">
        <v>15984</v>
      </c>
      <c r="BB114" s="82" t="s">
        <v>15984</v>
      </c>
      <c r="BC114" s="82" t="s">
        <v>11824</v>
      </c>
      <c r="BD114" s="77">
        <v>717057578</v>
      </c>
      <c r="BE114" s="77"/>
      <c r="BF114" s="77"/>
      <c r="BG114" s="77"/>
      <c r="BH114" s="77"/>
      <c r="BI114" s="77"/>
    </row>
    <row r="115" spans="1:61" x14ac:dyDescent="0.25">
      <c r="A115" s="62" t="s">
        <v>245</v>
      </c>
      <c r="B115" s="62" t="s">
        <v>245</v>
      </c>
      <c r="C115" s="63"/>
      <c r="D115" s="64"/>
      <c r="E115" s="65"/>
      <c r="F115" s="66"/>
      <c r="G115" s="63"/>
      <c r="H115" s="67"/>
      <c r="I115" s="68"/>
      <c r="J115" s="68"/>
      <c r="K115" s="32"/>
      <c r="L115" s="75">
        <v>115</v>
      </c>
      <c r="M115" s="75"/>
      <c r="N115" s="70"/>
      <c r="O115" s="77" t="s">
        <v>179</v>
      </c>
      <c r="P115" s="79">
        <v>45125.492222222223</v>
      </c>
      <c r="Q115" s="77" t="s">
        <v>1013</v>
      </c>
      <c r="R115" s="77">
        <v>0</v>
      </c>
      <c r="S115" s="77">
        <v>1</v>
      </c>
      <c r="T115" s="77">
        <v>0</v>
      </c>
      <c r="U115" s="77">
        <v>0</v>
      </c>
      <c r="V115" s="77">
        <v>27</v>
      </c>
      <c r="W115" s="82" t="s">
        <v>4848</v>
      </c>
      <c r="X115" s="77"/>
      <c r="Y115" s="77"/>
      <c r="Z115" s="77"/>
      <c r="AA115" s="77" t="s">
        <v>6671</v>
      </c>
      <c r="AB115" s="77" t="s">
        <v>7744</v>
      </c>
      <c r="AC115" s="82" t="s">
        <v>7750</v>
      </c>
      <c r="AD115" s="77" t="s">
        <v>7788</v>
      </c>
      <c r="AE115" s="80" t="str">
        <f>HYPERLINK("https://twitter.com/viny_trader/status/1681269787664498689")</f>
        <v>https://twitter.com/viny_trader/status/1681269787664498689</v>
      </c>
      <c r="AF115" s="79">
        <v>45125.492222222223</v>
      </c>
      <c r="AG115" s="85">
        <v>45125</v>
      </c>
      <c r="AH115" s="82" t="s">
        <v>7899</v>
      </c>
      <c r="AI115" s="77" t="b">
        <v>0</v>
      </c>
      <c r="AJ115" s="77"/>
      <c r="AK115" s="77"/>
      <c r="AL115" s="77"/>
      <c r="AM115" s="77"/>
      <c r="AN115" s="77"/>
      <c r="AO115" s="77"/>
      <c r="AP115" s="77"/>
      <c r="AQ115" s="77" t="s">
        <v>10643</v>
      </c>
      <c r="AR115" s="77"/>
      <c r="AS115" s="77"/>
      <c r="AT115" s="77"/>
      <c r="AU115" s="77"/>
      <c r="AV115" s="80" t="str">
        <f>HYPERLINK("https://pbs.twimg.com/media/F1URyipXwAEkpj_.jpg")</f>
        <v>https://pbs.twimg.com/media/F1URyipXwAEkpj_.jpg</v>
      </c>
      <c r="AW115" s="82" t="s">
        <v>11825</v>
      </c>
      <c r="AX115" s="82" t="s">
        <v>11825</v>
      </c>
      <c r="AY115" s="77"/>
      <c r="AZ115" s="82" t="s">
        <v>15984</v>
      </c>
      <c r="BA115" s="82" t="s">
        <v>15984</v>
      </c>
      <c r="BB115" s="82" t="s">
        <v>15984</v>
      </c>
      <c r="BC115" s="82" t="s">
        <v>11825</v>
      </c>
      <c r="BD115" s="82" t="s">
        <v>16113</v>
      </c>
      <c r="BE115" s="77"/>
      <c r="BF115" s="77"/>
      <c r="BG115" s="77"/>
      <c r="BH115" s="77"/>
      <c r="BI115" s="77"/>
    </row>
    <row r="116" spans="1:61" x14ac:dyDescent="0.25">
      <c r="A116" s="62" t="s">
        <v>246</v>
      </c>
      <c r="B116" s="62" t="s">
        <v>246</v>
      </c>
      <c r="C116" s="63"/>
      <c r="D116" s="64"/>
      <c r="E116" s="65"/>
      <c r="F116" s="66"/>
      <c r="G116" s="63"/>
      <c r="H116" s="67"/>
      <c r="I116" s="68"/>
      <c r="J116" s="68"/>
      <c r="K116" s="32"/>
      <c r="L116" s="75">
        <v>116</v>
      </c>
      <c r="M116" s="75"/>
      <c r="N116" s="70"/>
      <c r="O116" s="77" t="s">
        <v>179</v>
      </c>
      <c r="P116" s="79">
        <v>45193.67454861111</v>
      </c>
      <c r="Q116" s="77" t="s">
        <v>1014</v>
      </c>
      <c r="R116" s="77">
        <v>0</v>
      </c>
      <c r="S116" s="77">
        <v>0</v>
      </c>
      <c r="T116" s="77">
        <v>0</v>
      </c>
      <c r="U116" s="77">
        <v>0</v>
      </c>
      <c r="V116" s="77">
        <v>7</v>
      </c>
      <c r="W116" s="82" t="s">
        <v>4849</v>
      </c>
      <c r="X116" s="77"/>
      <c r="Y116" s="77"/>
      <c r="Z116" s="77"/>
      <c r="AA116" s="77"/>
      <c r="AB116" s="77"/>
      <c r="AC116" s="82" t="s">
        <v>7750</v>
      </c>
      <c r="AD116" s="77" t="s">
        <v>7789</v>
      </c>
      <c r="AE116" s="80" t="str">
        <f>HYPERLINK("https://twitter.com/mindfulinvestp1/status/1705978236289642779")</f>
        <v>https://twitter.com/mindfulinvestp1/status/1705978236289642779</v>
      </c>
      <c r="AF116" s="79">
        <v>45193.67454861111</v>
      </c>
      <c r="AG116" s="85">
        <v>45193</v>
      </c>
      <c r="AH116" s="82" t="s">
        <v>7900</v>
      </c>
      <c r="AI116" s="77"/>
      <c r="AJ116" s="77"/>
      <c r="AK116" s="77"/>
      <c r="AL116" s="77"/>
      <c r="AM116" s="77"/>
      <c r="AN116" s="77"/>
      <c r="AO116" s="77"/>
      <c r="AP116" s="77"/>
      <c r="AQ116" s="77"/>
      <c r="AR116" s="77"/>
      <c r="AS116" s="77"/>
      <c r="AT116" s="77"/>
      <c r="AU116" s="77"/>
      <c r="AV116" s="80" t="str">
        <f>HYPERLINK("https://pbs.twimg.com/profile_images/1699367766904520704/JyZF5Zyy_normal.jpg")</f>
        <v>https://pbs.twimg.com/profile_images/1699367766904520704/JyZF5Zyy_normal.jpg</v>
      </c>
      <c r="AW116" s="82" t="s">
        <v>11826</v>
      </c>
      <c r="AX116" s="82" t="s">
        <v>11826</v>
      </c>
      <c r="AY116" s="77"/>
      <c r="AZ116" s="82" t="s">
        <v>15984</v>
      </c>
      <c r="BA116" s="82" t="s">
        <v>15984</v>
      </c>
      <c r="BB116" s="82" t="s">
        <v>15984</v>
      </c>
      <c r="BC116" s="82" t="s">
        <v>11826</v>
      </c>
      <c r="BD116" s="82" t="s">
        <v>16114</v>
      </c>
      <c r="BE116" s="77"/>
      <c r="BF116" s="77"/>
      <c r="BG116" s="77"/>
      <c r="BH116" s="77"/>
      <c r="BI116" s="77"/>
    </row>
    <row r="117" spans="1:61" x14ac:dyDescent="0.25">
      <c r="A117" s="62" t="s">
        <v>247</v>
      </c>
      <c r="B117" s="62" t="s">
        <v>247</v>
      </c>
      <c r="C117" s="63"/>
      <c r="D117" s="64"/>
      <c r="E117" s="65"/>
      <c r="F117" s="66"/>
      <c r="G117" s="63"/>
      <c r="H117" s="67"/>
      <c r="I117" s="68"/>
      <c r="J117" s="68"/>
      <c r="K117" s="32"/>
      <c r="L117" s="75">
        <v>117</v>
      </c>
      <c r="M117" s="75"/>
      <c r="N117" s="70"/>
      <c r="O117" s="77" t="s">
        <v>179</v>
      </c>
      <c r="P117" s="79">
        <v>45142.49019675926</v>
      </c>
      <c r="Q117" s="77" t="s">
        <v>1015</v>
      </c>
      <c r="R117" s="77">
        <v>0</v>
      </c>
      <c r="S117" s="77">
        <v>0</v>
      </c>
      <c r="T117" s="77">
        <v>0</v>
      </c>
      <c r="U117" s="77">
        <v>0</v>
      </c>
      <c r="V117" s="77">
        <v>13</v>
      </c>
      <c r="W117" s="82" t="s">
        <v>4850</v>
      </c>
      <c r="X117" s="80" t="str">
        <f>HYPERLINK("https://acesse.one/payroll")</f>
        <v>https://acesse.one/payroll</v>
      </c>
      <c r="Y117" s="77" t="s">
        <v>6478</v>
      </c>
      <c r="Z117" s="77"/>
      <c r="AA117" s="77" t="s">
        <v>6672</v>
      </c>
      <c r="AB117" s="77" t="s">
        <v>7742</v>
      </c>
      <c r="AC117" s="82" t="s">
        <v>7752</v>
      </c>
      <c r="AD117" s="77" t="s">
        <v>7788</v>
      </c>
      <c r="AE117" s="80" t="str">
        <f>HYPERLINK("https://twitter.com/jornadacapital/status/1687429647397474304")</f>
        <v>https://twitter.com/jornadacapital/status/1687429647397474304</v>
      </c>
      <c r="AF117" s="79">
        <v>45142.49019675926</v>
      </c>
      <c r="AG117" s="85">
        <v>45142</v>
      </c>
      <c r="AH117" s="82" t="s">
        <v>7901</v>
      </c>
      <c r="AI117" s="77" t="b">
        <v>0</v>
      </c>
      <c r="AJ117" s="77"/>
      <c r="AK117" s="77"/>
      <c r="AL117" s="77"/>
      <c r="AM117" s="77"/>
      <c r="AN117" s="77"/>
      <c r="AO117" s="77"/>
      <c r="AP117" s="77"/>
      <c r="AQ117" s="77" t="s">
        <v>10644</v>
      </c>
      <c r="AR117" s="77"/>
      <c r="AS117" s="77"/>
      <c r="AT117" s="77"/>
      <c r="AU117" s="77"/>
      <c r="AV117" s="80" t="str">
        <f>HYPERLINK("https://pbs.twimg.com/media/F2r0UdtWQAAQQi8.jpg")</f>
        <v>https://pbs.twimg.com/media/F2r0UdtWQAAQQi8.jpg</v>
      </c>
      <c r="AW117" s="82" t="s">
        <v>11827</v>
      </c>
      <c r="AX117" s="82" t="s">
        <v>11827</v>
      </c>
      <c r="AY117" s="77"/>
      <c r="AZ117" s="82" t="s">
        <v>15984</v>
      </c>
      <c r="BA117" s="82" t="s">
        <v>15984</v>
      </c>
      <c r="BB117" s="82" t="s">
        <v>15984</v>
      </c>
      <c r="BC117" s="82" t="s">
        <v>11827</v>
      </c>
      <c r="BD117" s="82" t="s">
        <v>16115</v>
      </c>
      <c r="BE117" s="77"/>
      <c r="BF117" s="77"/>
      <c r="BG117" s="77"/>
      <c r="BH117" s="77"/>
      <c r="BI117" s="77"/>
    </row>
    <row r="118" spans="1:61" x14ac:dyDescent="0.25">
      <c r="A118" s="62" t="s">
        <v>247</v>
      </c>
      <c r="B118" s="62" t="s">
        <v>247</v>
      </c>
      <c r="C118" s="63"/>
      <c r="D118" s="64"/>
      <c r="E118" s="65"/>
      <c r="F118" s="66"/>
      <c r="G118" s="63"/>
      <c r="H118" s="67"/>
      <c r="I118" s="68"/>
      <c r="J118" s="68"/>
      <c r="K118" s="32"/>
      <c r="L118" s="75">
        <v>118</v>
      </c>
      <c r="M118" s="75"/>
      <c r="N118" s="70"/>
      <c r="O118" s="77" t="s">
        <v>179</v>
      </c>
      <c r="P118" s="79">
        <v>45140.792604166665</v>
      </c>
      <c r="Q118" s="77" t="s">
        <v>1016</v>
      </c>
      <c r="R118" s="77">
        <v>0</v>
      </c>
      <c r="S118" s="77">
        <v>0</v>
      </c>
      <c r="T118" s="77">
        <v>0</v>
      </c>
      <c r="U118" s="77">
        <v>0</v>
      </c>
      <c r="V118" s="77">
        <v>19</v>
      </c>
      <c r="W118" s="82" t="s">
        <v>4851</v>
      </c>
      <c r="X118" s="80" t="str">
        <f>HYPERLINK("https://acesse.one/Bem-vindo")</f>
        <v>https://acesse.one/Bem-vindo</v>
      </c>
      <c r="Y118" s="77" t="s">
        <v>6478</v>
      </c>
      <c r="Z118" s="77"/>
      <c r="AA118" s="77" t="s">
        <v>6673</v>
      </c>
      <c r="AB118" s="77" t="s">
        <v>7742</v>
      </c>
      <c r="AC118" s="82" t="s">
        <v>7752</v>
      </c>
      <c r="AD118" s="77" t="s">
        <v>7788</v>
      </c>
      <c r="AE118" s="80" t="str">
        <f>HYPERLINK("https://twitter.com/jornadacapital/status/1686814461812686854")</f>
        <v>https://twitter.com/jornadacapital/status/1686814461812686854</v>
      </c>
      <c r="AF118" s="79">
        <v>45140.792604166665</v>
      </c>
      <c r="AG118" s="85">
        <v>45140</v>
      </c>
      <c r="AH118" s="82" t="s">
        <v>7902</v>
      </c>
      <c r="AI118" s="77" t="b">
        <v>0</v>
      </c>
      <c r="AJ118" s="77"/>
      <c r="AK118" s="77"/>
      <c r="AL118" s="77"/>
      <c r="AM118" s="77"/>
      <c r="AN118" s="77"/>
      <c r="AO118" s="77"/>
      <c r="AP118" s="77"/>
      <c r="AQ118" s="77" t="s">
        <v>10645</v>
      </c>
      <c r="AR118" s="77"/>
      <c r="AS118" s="77"/>
      <c r="AT118" s="77"/>
      <c r="AU118" s="77"/>
      <c r="AV118" s="80" t="str">
        <f>HYPERLINK("https://pbs.twimg.com/media/F2jE0A-XoAAumKX.jpg")</f>
        <v>https://pbs.twimg.com/media/F2jE0A-XoAAumKX.jpg</v>
      </c>
      <c r="AW118" s="82" t="s">
        <v>11828</v>
      </c>
      <c r="AX118" s="82" t="s">
        <v>11828</v>
      </c>
      <c r="AY118" s="77"/>
      <c r="AZ118" s="82" t="s">
        <v>15984</v>
      </c>
      <c r="BA118" s="82" t="s">
        <v>15984</v>
      </c>
      <c r="BB118" s="82" t="s">
        <v>15984</v>
      </c>
      <c r="BC118" s="82" t="s">
        <v>11828</v>
      </c>
      <c r="BD118" s="82" t="s">
        <v>16115</v>
      </c>
      <c r="BE118" s="77"/>
      <c r="BF118" s="77"/>
      <c r="BG118" s="77"/>
      <c r="BH118" s="77"/>
      <c r="BI118" s="77"/>
    </row>
    <row r="119" spans="1:61" x14ac:dyDescent="0.25">
      <c r="A119" s="62" t="s">
        <v>247</v>
      </c>
      <c r="B119" s="62" t="s">
        <v>247</v>
      </c>
      <c r="C119" s="63"/>
      <c r="D119" s="64"/>
      <c r="E119" s="65"/>
      <c r="F119" s="66"/>
      <c r="G119" s="63"/>
      <c r="H119" s="67"/>
      <c r="I119" s="68"/>
      <c r="J119" s="68"/>
      <c r="K119" s="32"/>
      <c r="L119" s="75">
        <v>119</v>
      </c>
      <c r="M119" s="75"/>
      <c r="N119" s="70"/>
      <c r="O119" s="77" t="s">
        <v>179</v>
      </c>
      <c r="P119" s="79">
        <v>45141.52952546296</v>
      </c>
      <c r="Q119" s="77" t="s">
        <v>1017</v>
      </c>
      <c r="R119" s="77">
        <v>0</v>
      </c>
      <c r="S119" s="77">
        <v>0</v>
      </c>
      <c r="T119" s="77">
        <v>0</v>
      </c>
      <c r="U119" s="77">
        <v>0</v>
      </c>
      <c r="V119" s="77">
        <v>14</v>
      </c>
      <c r="W119" s="82" t="s">
        <v>4852</v>
      </c>
      <c r="X119" s="80" t="str">
        <f>HYPERLINK("https://acesse.one/TaxaSelic")</f>
        <v>https://acesse.one/TaxaSelic</v>
      </c>
      <c r="Y119" s="77" t="s">
        <v>6478</v>
      </c>
      <c r="Z119" s="77"/>
      <c r="AA119" s="77" t="s">
        <v>6674</v>
      </c>
      <c r="AB119" s="77" t="s">
        <v>7742</v>
      </c>
      <c r="AC119" s="82" t="s">
        <v>7752</v>
      </c>
      <c r="AD119" s="77" t="s">
        <v>7788</v>
      </c>
      <c r="AE119" s="80" t="str">
        <f>HYPERLINK("https://twitter.com/jornadacapital/status/1687081513500692480")</f>
        <v>https://twitter.com/jornadacapital/status/1687081513500692480</v>
      </c>
      <c r="AF119" s="79">
        <v>45141.52952546296</v>
      </c>
      <c r="AG119" s="85">
        <v>45141</v>
      </c>
      <c r="AH119" s="82" t="s">
        <v>7903</v>
      </c>
      <c r="AI119" s="77" t="b">
        <v>0</v>
      </c>
      <c r="AJ119" s="77"/>
      <c r="AK119" s="77"/>
      <c r="AL119" s="77"/>
      <c r="AM119" s="77"/>
      <c r="AN119" s="77"/>
      <c r="AO119" s="77"/>
      <c r="AP119" s="77"/>
      <c r="AQ119" s="77" t="s">
        <v>10646</v>
      </c>
      <c r="AR119" s="77"/>
      <c r="AS119" s="77"/>
      <c r="AT119" s="77"/>
      <c r="AU119" s="77"/>
      <c r="AV119" s="80" t="str">
        <f>HYPERLINK("https://pbs.twimg.com/media/F2m3sc5XgAET143.jpg")</f>
        <v>https://pbs.twimg.com/media/F2m3sc5XgAET143.jpg</v>
      </c>
      <c r="AW119" s="82" t="s">
        <v>11829</v>
      </c>
      <c r="AX119" s="82" t="s">
        <v>11829</v>
      </c>
      <c r="AY119" s="77"/>
      <c r="AZ119" s="82" t="s">
        <v>15984</v>
      </c>
      <c r="BA119" s="82" t="s">
        <v>15984</v>
      </c>
      <c r="BB119" s="82" t="s">
        <v>15984</v>
      </c>
      <c r="BC119" s="82" t="s">
        <v>11829</v>
      </c>
      <c r="BD119" s="82" t="s">
        <v>16115</v>
      </c>
      <c r="BE119" s="77"/>
      <c r="BF119" s="77"/>
      <c r="BG119" s="77"/>
      <c r="BH119" s="77"/>
      <c r="BI119" s="77"/>
    </row>
    <row r="120" spans="1:61" x14ac:dyDescent="0.25">
      <c r="A120" s="62" t="s">
        <v>247</v>
      </c>
      <c r="B120" s="62" t="s">
        <v>247</v>
      </c>
      <c r="C120" s="63"/>
      <c r="D120" s="64"/>
      <c r="E120" s="65"/>
      <c r="F120" s="66"/>
      <c r="G120" s="63"/>
      <c r="H120" s="67"/>
      <c r="I120" s="68"/>
      <c r="J120" s="68"/>
      <c r="K120" s="32"/>
      <c r="L120" s="75">
        <v>120</v>
      </c>
      <c r="M120" s="75"/>
      <c r="N120" s="70"/>
      <c r="O120" s="77" t="s">
        <v>179</v>
      </c>
      <c r="P120" s="79">
        <v>45141.527071759258</v>
      </c>
      <c r="Q120" s="77" t="s">
        <v>1018</v>
      </c>
      <c r="R120" s="77">
        <v>0</v>
      </c>
      <c r="S120" s="77">
        <v>0</v>
      </c>
      <c r="T120" s="77">
        <v>0</v>
      </c>
      <c r="U120" s="77">
        <v>0</v>
      </c>
      <c r="V120" s="77">
        <v>13</v>
      </c>
      <c r="W120" s="82" t="s">
        <v>4853</v>
      </c>
      <c r="X120" s="80" t="str">
        <f>HYPERLINK("https://l1nk.dev/Reed-Jobs")</f>
        <v>https://l1nk.dev/Reed-Jobs</v>
      </c>
      <c r="Y120" s="77" t="s">
        <v>6479</v>
      </c>
      <c r="Z120" s="77"/>
      <c r="AA120" s="77" t="s">
        <v>6675</v>
      </c>
      <c r="AB120" s="77" t="s">
        <v>7742</v>
      </c>
      <c r="AC120" s="82" t="s">
        <v>7752</v>
      </c>
      <c r="AD120" s="77" t="s">
        <v>7788</v>
      </c>
      <c r="AE120" s="80" t="str">
        <f>HYPERLINK("https://twitter.com/jornadacapital/status/1687080622546710528")</f>
        <v>https://twitter.com/jornadacapital/status/1687080622546710528</v>
      </c>
      <c r="AF120" s="79">
        <v>45141.527071759258</v>
      </c>
      <c r="AG120" s="85">
        <v>45141</v>
      </c>
      <c r="AH120" s="82" t="s">
        <v>7904</v>
      </c>
      <c r="AI120" s="77" t="b">
        <v>0</v>
      </c>
      <c r="AJ120" s="77"/>
      <c r="AK120" s="77"/>
      <c r="AL120" s="77"/>
      <c r="AM120" s="77"/>
      <c r="AN120" s="77"/>
      <c r="AO120" s="77"/>
      <c r="AP120" s="77"/>
      <c r="AQ120" s="77" t="s">
        <v>10647</v>
      </c>
      <c r="AR120" s="77"/>
      <c r="AS120" s="77"/>
      <c r="AT120" s="77"/>
      <c r="AU120" s="77"/>
      <c r="AV120" s="80" t="str">
        <f>HYPERLINK("https://pbs.twimg.com/media/F2m24iVWkAAVcWz.jpg")</f>
        <v>https://pbs.twimg.com/media/F2m24iVWkAAVcWz.jpg</v>
      </c>
      <c r="AW120" s="82" t="s">
        <v>11830</v>
      </c>
      <c r="AX120" s="82" t="s">
        <v>11830</v>
      </c>
      <c r="AY120" s="77"/>
      <c r="AZ120" s="82" t="s">
        <v>15984</v>
      </c>
      <c r="BA120" s="82" t="s">
        <v>15984</v>
      </c>
      <c r="BB120" s="82" t="s">
        <v>15984</v>
      </c>
      <c r="BC120" s="82" t="s">
        <v>11830</v>
      </c>
      <c r="BD120" s="82" t="s">
        <v>16115</v>
      </c>
      <c r="BE120" s="77"/>
      <c r="BF120" s="77"/>
      <c r="BG120" s="77"/>
      <c r="BH120" s="77"/>
      <c r="BI120" s="77"/>
    </row>
    <row r="121" spans="1:61" x14ac:dyDescent="0.25">
      <c r="A121" s="62" t="s">
        <v>248</v>
      </c>
      <c r="B121" s="62" t="s">
        <v>248</v>
      </c>
      <c r="C121" s="63"/>
      <c r="D121" s="64"/>
      <c r="E121" s="65"/>
      <c r="F121" s="66"/>
      <c r="G121" s="63"/>
      <c r="H121" s="67"/>
      <c r="I121" s="68"/>
      <c r="J121" s="68"/>
      <c r="K121" s="32"/>
      <c r="L121" s="75">
        <v>121</v>
      </c>
      <c r="M121" s="75"/>
      <c r="N121" s="70"/>
      <c r="O121" s="77" t="s">
        <v>179</v>
      </c>
      <c r="P121" s="79">
        <v>45126.966736111113</v>
      </c>
      <c r="Q121" s="77" t="s">
        <v>1019</v>
      </c>
      <c r="R121" s="77">
        <v>0</v>
      </c>
      <c r="S121" s="77">
        <v>1</v>
      </c>
      <c r="T121" s="77">
        <v>1</v>
      </c>
      <c r="U121" s="77">
        <v>0</v>
      </c>
      <c r="V121" s="77">
        <v>79</v>
      </c>
      <c r="W121" s="82" t="s">
        <v>4854</v>
      </c>
      <c r="X121" s="77"/>
      <c r="Y121" s="77"/>
      <c r="Z121" s="77"/>
      <c r="AA121" s="77" t="s">
        <v>6676</v>
      </c>
      <c r="AB121" s="77" t="s">
        <v>7742</v>
      </c>
      <c r="AC121" s="82" t="s">
        <v>7750</v>
      </c>
      <c r="AD121" s="77" t="s">
        <v>7788</v>
      </c>
      <c r="AE121" s="80" t="str">
        <f>HYPERLINK("https://twitter.com/rodrigoalv1981/status/1681804131500019712")</f>
        <v>https://twitter.com/rodrigoalv1981/status/1681804131500019712</v>
      </c>
      <c r="AF121" s="79">
        <v>45126.966736111113</v>
      </c>
      <c r="AG121" s="85">
        <v>45126</v>
      </c>
      <c r="AH121" s="82" t="s">
        <v>7905</v>
      </c>
      <c r="AI121" s="77" t="b">
        <v>0</v>
      </c>
      <c r="AJ121" s="77"/>
      <c r="AK121" s="77"/>
      <c r="AL121" s="77"/>
      <c r="AM121" s="77"/>
      <c r="AN121" s="77"/>
      <c r="AO121" s="77"/>
      <c r="AP121" s="77"/>
      <c r="AQ121" s="77" t="s">
        <v>10648</v>
      </c>
      <c r="AR121" s="77"/>
      <c r="AS121" s="77"/>
      <c r="AT121" s="77"/>
      <c r="AU121" s="77"/>
      <c r="AV121" s="80" t="str">
        <f>HYPERLINK("https://pbs.twimg.com/media/F1b3oyrWYAAUMTB.png")</f>
        <v>https://pbs.twimg.com/media/F1b3oyrWYAAUMTB.png</v>
      </c>
      <c r="AW121" s="82" t="s">
        <v>11831</v>
      </c>
      <c r="AX121" s="82" t="s">
        <v>11831</v>
      </c>
      <c r="AY121" s="77"/>
      <c r="AZ121" s="82" t="s">
        <v>15984</v>
      </c>
      <c r="BA121" s="82" t="s">
        <v>15984</v>
      </c>
      <c r="BB121" s="82" t="s">
        <v>15984</v>
      </c>
      <c r="BC121" s="82" t="s">
        <v>11831</v>
      </c>
      <c r="BD121" s="82" t="s">
        <v>16116</v>
      </c>
      <c r="BE121" s="77"/>
      <c r="BF121" s="77"/>
      <c r="BG121" s="77"/>
      <c r="BH121" s="77"/>
      <c r="BI121" s="77"/>
    </row>
    <row r="122" spans="1:61" x14ac:dyDescent="0.25">
      <c r="A122" s="62" t="s">
        <v>248</v>
      </c>
      <c r="B122" s="62" t="s">
        <v>248</v>
      </c>
      <c r="C122" s="63"/>
      <c r="D122" s="64"/>
      <c r="E122" s="65"/>
      <c r="F122" s="66"/>
      <c r="G122" s="63"/>
      <c r="H122" s="67"/>
      <c r="I122" s="68"/>
      <c r="J122" s="68"/>
      <c r="K122" s="32"/>
      <c r="L122" s="75">
        <v>122</v>
      </c>
      <c r="M122" s="75"/>
      <c r="N122" s="70"/>
      <c r="O122" s="77" t="s">
        <v>179</v>
      </c>
      <c r="P122" s="79">
        <v>45126.963796296295</v>
      </c>
      <c r="Q122" s="77" t="s">
        <v>1020</v>
      </c>
      <c r="R122" s="77">
        <v>0</v>
      </c>
      <c r="S122" s="77">
        <v>0</v>
      </c>
      <c r="T122" s="77">
        <v>0</v>
      </c>
      <c r="U122" s="77">
        <v>0</v>
      </c>
      <c r="V122" s="77">
        <v>27</v>
      </c>
      <c r="W122" s="82" t="s">
        <v>4854</v>
      </c>
      <c r="X122" s="77"/>
      <c r="Y122" s="77"/>
      <c r="Z122" s="77"/>
      <c r="AA122" s="77" t="s">
        <v>6677</v>
      </c>
      <c r="AB122" s="77" t="s">
        <v>7745</v>
      </c>
      <c r="AC122" s="82" t="s">
        <v>7750</v>
      </c>
      <c r="AD122" s="77" t="s">
        <v>7790</v>
      </c>
      <c r="AE122" s="80" t="str">
        <f>HYPERLINK("https://twitter.com/rodrigoalv1981/status/1681803066402562048")</f>
        <v>https://twitter.com/rodrigoalv1981/status/1681803066402562048</v>
      </c>
      <c r="AF122" s="79">
        <v>45126.963796296295</v>
      </c>
      <c r="AG122" s="85">
        <v>45126</v>
      </c>
      <c r="AH122" s="82" t="s">
        <v>7906</v>
      </c>
      <c r="AI122" s="77" t="b">
        <v>0</v>
      </c>
      <c r="AJ122" s="77"/>
      <c r="AK122" s="77"/>
      <c r="AL122" s="77"/>
      <c r="AM122" s="77"/>
      <c r="AN122" s="77"/>
      <c r="AO122" s="77"/>
      <c r="AP122" s="77"/>
      <c r="AQ122" s="77" t="s">
        <v>10649</v>
      </c>
      <c r="AR122" s="77"/>
      <c r="AS122" s="77"/>
      <c r="AT122" s="77"/>
      <c r="AU122" s="77"/>
      <c r="AV122" s="80" t="str">
        <f>HYPERLINK("https://pbs.twimg.com/media/F1b2UolWcAEmxWm.png")</f>
        <v>https://pbs.twimg.com/media/F1b2UolWcAEmxWm.png</v>
      </c>
      <c r="AW122" s="82" t="s">
        <v>11832</v>
      </c>
      <c r="AX122" s="82" t="s">
        <v>11832</v>
      </c>
      <c r="AY122" s="77"/>
      <c r="AZ122" s="82" t="s">
        <v>15984</v>
      </c>
      <c r="BA122" s="82" t="s">
        <v>15984</v>
      </c>
      <c r="BB122" s="82" t="s">
        <v>15984</v>
      </c>
      <c r="BC122" s="82" t="s">
        <v>11832</v>
      </c>
      <c r="BD122" s="82" t="s">
        <v>16116</v>
      </c>
      <c r="BE122" s="77"/>
      <c r="BF122" s="77"/>
      <c r="BG122" s="77"/>
      <c r="BH122" s="77"/>
      <c r="BI122" s="77"/>
    </row>
    <row r="123" spans="1:61" x14ac:dyDescent="0.25">
      <c r="A123" s="62" t="s">
        <v>248</v>
      </c>
      <c r="B123" s="62" t="s">
        <v>248</v>
      </c>
      <c r="C123" s="63"/>
      <c r="D123" s="64"/>
      <c r="E123" s="65"/>
      <c r="F123" s="66"/>
      <c r="G123" s="63"/>
      <c r="H123" s="67"/>
      <c r="I123" s="68"/>
      <c r="J123" s="68"/>
      <c r="K123" s="32"/>
      <c r="L123" s="75">
        <v>123</v>
      </c>
      <c r="M123" s="75"/>
      <c r="N123" s="70"/>
      <c r="O123" s="77" t="s">
        <v>179</v>
      </c>
      <c r="P123" s="79">
        <v>45139.274421296293</v>
      </c>
      <c r="Q123" s="77" t="s">
        <v>1021</v>
      </c>
      <c r="R123" s="77">
        <v>1</v>
      </c>
      <c r="S123" s="77">
        <v>1</v>
      </c>
      <c r="T123" s="77">
        <v>0</v>
      </c>
      <c r="U123" s="77">
        <v>0</v>
      </c>
      <c r="V123" s="77">
        <v>115</v>
      </c>
      <c r="W123" s="82" t="s">
        <v>4855</v>
      </c>
      <c r="X123" s="77"/>
      <c r="Y123" s="77"/>
      <c r="Z123" s="77"/>
      <c r="AA123" s="77" t="s">
        <v>6678</v>
      </c>
      <c r="AB123" s="77" t="s">
        <v>7742</v>
      </c>
      <c r="AC123" s="82" t="s">
        <v>7750</v>
      </c>
      <c r="AD123" s="77" t="s">
        <v>7789</v>
      </c>
      <c r="AE123" s="80" t="str">
        <f>HYPERLINK("https://twitter.com/rodrigoalv1981/status/1686264290821443584")</f>
        <v>https://twitter.com/rodrigoalv1981/status/1686264290821443584</v>
      </c>
      <c r="AF123" s="79">
        <v>45139.274421296293</v>
      </c>
      <c r="AG123" s="85">
        <v>45139</v>
      </c>
      <c r="AH123" s="82" t="s">
        <v>7907</v>
      </c>
      <c r="AI123" s="77" t="b">
        <v>0</v>
      </c>
      <c r="AJ123" s="77"/>
      <c r="AK123" s="77"/>
      <c r="AL123" s="77"/>
      <c r="AM123" s="77"/>
      <c r="AN123" s="77"/>
      <c r="AO123" s="77"/>
      <c r="AP123" s="77"/>
      <c r="AQ123" s="77" t="s">
        <v>10650</v>
      </c>
      <c r="AR123" s="77"/>
      <c r="AS123" s="77"/>
      <c r="AT123" s="77"/>
      <c r="AU123" s="77"/>
      <c r="AV123" s="80" t="str">
        <f>HYPERLINK("https://pbs.twimg.com/media/F2bQUeVWMAAUv_U.png")</f>
        <v>https://pbs.twimg.com/media/F2bQUeVWMAAUv_U.png</v>
      </c>
      <c r="AW123" s="82" t="s">
        <v>11833</v>
      </c>
      <c r="AX123" s="82" t="s">
        <v>11833</v>
      </c>
      <c r="AY123" s="77"/>
      <c r="AZ123" s="82" t="s">
        <v>15984</v>
      </c>
      <c r="BA123" s="82" t="s">
        <v>15984</v>
      </c>
      <c r="BB123" s="82" t="s">
        <v>15984</v>
      </c>
      <c r="BC123" s="82" t="s">
        <v>11833</v>
      </c>
      <c r="BD123" s="82" t="s">
        <v>16116</v>
      </c>
      <c r="BE123" s="77"/>
      <c r="BF123" s="77"/>
      <c r="BG123" s="77"/>
      <c r="BH123" s="77"/>
      <c r="BI123" s="77"/>
    </row>
    <row r="124" spans="1:61" x14ac:dyDescent="0.25">
      <c r="A124" s="62" t="s">
        <v>248</v>
      </c>
      <c r="B124" s="62" t="s">
        <v>248</v>
      </c>
      <c r="C124" s="63"/>
      <c r="D124" s="64"/>
      <c r="E124" s="65"/>
      <c r="F124" s="66"/>
      <c r="G124" s="63"/>
      <c r="H124" s="67"/>
      <c r="I124" s="68"/>
      <c r="J124" s="68"/>
      <c r="K124" s="32"/>
      <c r="L124" s="75">
        <v>124</v>
      </c>
      <c r="M124" s="75"/>
      <c r="N124" s="70"/>
      <c r="O124" s="77" t="s">
        <v>179</v>
      </c>
      <c r="P124" s="79">
        <v>45134.049363425926</v>
      </c>
      <c r="Q124" s="77" t="s">
        <v>1022</v>
      </c>
      <c r="R124" s="77">
        <v>0</v>
      </c>
      <c r="S124" s="77">
        <v>0</v>
      </c>
      <c r="T124" s="77">
        <v>2</v>
      </c>
      <c r="U124" s="77">
        <v>0</v>
      </c>
      <c r="V124" s="77">
        <v>56</v>
      </c>
      <c r="W124" s="82" t="s">
        <v>4854</v>
      </c>
      <c r="X124" s="77"/>
      <c r="Y124" s="77"/>
      <c r="Z124" s="77"/>
      <c r="AA124" s="77" t="s">
        <v>6679</v>
      </c>
      <c r="AB124" s="77" t="s">
        <v>7742</v>
      </c>
      <c r="AC124" s="82" t="s">
        <v>7750</v>
      </c>
      <c r="AD124" s="77" t="s">
        <v>7790</v>
      </c>
      <c r="AE124" s="80" t="str">
        <f>HYPERLINK("https://twitter.com/rodrigoalv1981/status/1684370792534904832")</f>
        <v>https://twitter.com/rodrigoalv1981/status/1684370792534904832</v>
      </c>
      <c r="AF124" s="79">
        <v>45134.049363425926</v>
      </c>
      <c r="AG124" s="85">
        <v>45134</v>
      </c>
      <c r="AH124" s="82" t="s">
        <v>7908</v>
      </c>
      <c r="AI124" s="77" t="b">
        <v>0</v>
      </c>
      <c r="AJ124" s="77"/>
      <c r="AK124" s="77"/>
      <c r="AL124" s="77"/>
      <c r="AM124" s="77"/>
      <c r="AN124" s="77"/>
      <c r="AO124" s="77"/>
      <c r="AP124" s="77"/>
      <c r="AQ124" s="77" t="s">
        <v>10651</v>
      </c>
      <c r="AR124" s="77"/>
      <c r="AS124" s="77"/>
      <c r="AT124" s="77"/>
      <c r="AU124" s="77"/>
      <c r="AV124" s="80" t="str">
        <f>HYPERLINK("https://pbs.twimg.com/media/F2AWMvTXgAAPrna.png")</f>
        <v>https://pbs.twimg.com/media/F2AWMvTXgAAPrna.png</v>
      </c>
      <c r="AW124" s="82" t="s">
        <v>11834</v>
      </c>
      <c r="AX124" s="82" t="s">
        <v>11834</v>
      </c>
      <c r="AY124" s="77"/>
      <c r="AZ124" s="82" t="s">
        <v>15984</v>
      </c>
      <c r="BA124" s="82" t="s">
        <v>15984</v>
      </c>
      <c r="BB124" s="82" t="s">
        <v>15984</v>
      </c>
      <c r="BC124" s="82" t="s">
        <v>11834</v>
      </c>
      <c r="BD124" s="82" t="s">
        <v>16116</v>
      </c>
      <c r="BE124" s="77"/>
      <c r="BF124" s="77"/>
      <c r="BG124" s="77"/>
      <c r="BH124" s="77"/>
      <c r="BI124" s="77"/>
    </row>
    <row r="125" spans="1:61" x14ac:dyDescent="0.25">
      <c r="A125" s="62" t="s">
        <v>248</v>
      </c>
      <c r="B125" s="62" t="s">
        <v>248</v>
      </c>
      <c r="C125" s="63"/>
      <c r="D125" s="64"/>
      <c r="E125" s="65"/>
      <c r="F125" s="66"/>
      <c r="G125" s="63"/>
      <c r="H125" s="67"/>
      <c r="I125" s="68"/>
      <c r="J125" s="68"/>
      <c r="K125" s="32"/>
      <c r="L125" s="75">
        <v>125</v>
      </c>
      <c r="M125" s="75"/>
      <c r="N125" s="70"/>
      <c r="O125" s="77" t="s">
        <v>179</v>
      </c>
      <c r="P125" s="79">
        <v>45135.333784722221</v>
      </c>
      <c r="Q125" s="77" t="s">
        <v>1023</v>
      </c>
      <c r="R125" s="77">
        <v>0</v>
      </c>
      <c r="S125" s="77">
        <v>0</v>
      </c>
      <c r="T125" s="77">
        <v>0</v>
      </c>
      <c r="U125" s="77">
        <v>0</v>
      </c>
      <c r="V125" s="77">
        <v>48</v>
      </c>
      <c r="W125" s="82" t="s">
        <v>4855</v>
      </c>
      <c r="X125" s="77"/>
      <c r="Y125" s="77"/>
      <c r="Z125" s="77"/>
      <c r="AA125" s="77" t="s">
        <v>6680</v>
      </c>
      <c r="AB125" s="77" t="s">
        <v>7742</v>
      </c>
      <c r="AC125" s="82" t="s">
        <v>7750</v>
      </c>
      <c r="AD125" s="77" t="s">
        <v>7788</v>
      </c>
      <c r="AE125" s="80" t="str">
        <f>HYPERLINK("https://twitter.com/rodrigoalv1981/status/1684836250035855361")</f>
        <v>https://twitter.com/rodrigoalv1981/status/1684836250035855361</v>
      </c>
      <c r="AF125" s="79">
        <v>45135.333784722221</v>
      </c>
      <c r="AG125" s="85">
        <v>45135</v>
      </c>
      <c r="AH125" s="82" t="s">
        <v>7909</v>
      </c>
      <c r="AI125" s="77" t="b">
        <v>0</v>
      </c>
      <c r="AJ125" s="77"/>
      <c r="AK125" s="77"/>
      <c r="AL125" s="77"/>
      <c r="AM125" s="77"/>
      <c r="AN125" s="77"/>
      <c r="AO125" s="77"/>
      <c r="AP125" s="77"/>
      <c r="AQ125" s="77" t="s">
        <v>10652</v>
      </c>
      <c r="AR125" s="77"/>
      <c r="AS125" s="77"/>
      <c r="AT125" s="77"/>
      <c r="AU125" s="77"/>
      <c r="AV125" s="80" t="str">
        <f>HYPERLINK("https://pbs.twimg.com/media/F2G9WuTXUAAKxGv.png")</f>
        <v>https://pbs.twimg.com/media/F2G9WuTXUAAKxGv.png</v>
      </c>
      <c r="AW125" s="82" t="s">
        <v>11835</v>
      </c>
      <c r="AX125" s="82" t="s">
        <v>11835</v>
      </c>
      <c r="AY125" s="77"/>
      <c r="AZ125" s="82" t="s">
        <v>15984</v>
      </c>
      <c r="BA125" s="82" t="s">
        <v>15984</v>
      </c>
      <c r="BB125" s="82" t="s">
        <v>15984</v>
      </c>
      <c r="BC125" s="82" t="s">
        <v>11835</v>
      </c>
      <c r="BD125" s="82" t="s">
        <v>16116</v>
      </c>
      <c r="BE125" s="77"/>
      <c r="BF125" s="77"/>
      <c r="BG125" s="77"/>
      <c r="BH125" s="77"/>
      <c r="BI125" s="77"/>
    </row>
    <row r="126" spans="1:61" x14ac:dyDescent="0.25">
      <c r="A126" s="62" t="s">
        <v>249</v>
      </c>
      <c r="B126" s="62" t="s">
        <v>529</v>
      </c>
      <c r="C126" s="63"/>
      <c r="D126" s="64"/>
      <c r="E126" s="65"/>
      <c r="F126" s="66"/>
      <c r="G126" s="63"/>
      <c r="H126" s="67"/>
      <c r="I126" s="68"/>
      <c r="J126" s="68"/>
      <c r="K126" s="32"/>
      <c r="L126" s="75">
        <v>126</v>
      </c>
      <c r="M126" s="75"/>
      <c r="N126" s="70"/>
      <c r="O126" s="77" t="s">
        <v>897</v>
      </c>
      <c r="P126" s="79">
        <v>45190.106423611112</v>
      </c>
      <c r="Q126" s="77" t="s">
        <v>1024</v>
      </c>
      <c r="R126" s="77">
        <v>6</v>
      </c>
      <c r="S126" s="77">
        <v>0</v>
      </c>
      <c r="T126" s="77">
        <v>0</v>
      </c>
      <c r="U126" s="77">
        <v>0</v>
      </c>
      <c r="V126" s="77"/>
      <c r="W126" s="77"/>
      <c r="X126" s="77"/>
      <c r="Y126" s="77"/>
      <c r="Z126" s="77" t="s">
        <v>529</v>
      </c>
      <c r="AA126" s="77"/>
      <c r="AB126" s="77"/>
      <c r="AC126" s="82" t="s">
        <v>7751</v>
      </c>
      <c r="AD126" s="77" t="s">
        <v>7788</v>
      </c>
      <c r="AE126" s="80" t="str">
        <f>HYPERLINK("https://twitter.com/jedimosqueteiro/status/1704685192160432187")</f>
        <v>https://twitter.com/jedimosqueteiro/status/1704685192160432187</v>
      </c>
      <c r="AF126" s="79">
        <v>45190.106423611112</v>
      </c>
      <c r="AG126" s="85">
        <v>45190</v>
      </c>
      <c r="AH126" s="82" t="s">
        <v>7910</v>
      </c>
      <c r="AI126" s="77"/>
      <c r="AJ126" s="77"/>
      <c r="AK126" s="77"/>
      <c r="AL126" s="77"/>
      <c r="AM126" s="77"/>
      <c r="AN126" s="77"/>
      <c r="AO126" s="77"/>
      <c r="AP126" s="77"/>
      <c r="AQ126" s="77"/>
      <c r="AR126" s="77"/>
      <c r="AS126" s="77"/>
      <c r="AT126" s="77"/>
      <c r="AU126" s="77"/>
      <c r="AV126" s="80" t="str">
        <f>HYPERLINK("https://pbs.twimg.com/profile_images/1431976607103737862/Z8tu3irG_normal.jpg")</f>
        <v>https://pbs.twimg.com/profile_images/1431976607103737862/Z8tu3irG_normal.jpg</v>
      </c>
      <c r="AW126" s="82" t="s">
        <v>11836</v>
      </c>
      <c r="AX126" s="82" t="s">
        <v>11836</v>
      </c>
      <c r="AY126" s="77"/>
      <c r="AZ126" s="82" t="s">
        <v>15984</v>
      </c>
      <c r="BA126" s="82" t="s">
        <v>15984</v>
      </c>
      <c r="BB126" s="82" t="s">
        <v>12589</v>
      </c>
      <c r="BC126" s="82" t="s">
        <v>12589</v>
      </c>
      <c r="BD126" s="82" t="s">
        <v>16117</v>
      </c>
      <c r="BE126" s="77"/>
      <c r="BF126" s="77"/>
      <c r="BG126" s="77"/>
      <c r="BH126" s="77"/>
      <c r="BI126" s="77"/>
    </row>
    <row r="127" spans="1:61" x14ac:dyDescent="0.25">
      <c r="A127" s="62" t="s">
        <v>250</v>
      </c>
      <c r="B127" s="62" t="s">
        <v>744</v>
      </c>
      <c r="C127" s="63"/>
      <c r="D127" s="64"/>
      <c r="E127" s="65"/>
      <c r="F127" s="66"/>
      <c r="G127" s="63"/>
      <c r="H127" s="67"/>
      <c r="I127" s="68"/>
      <c r="J127" s="68"/>
      <c r="K127" s="32"/>
      <c r="L127" s="75">
        <v>127</v>
      </c>
      <c r="M127" s="75"/>
      <c r="N127" s="70"/>
      <c r="O127" s="77" t="s">
        <v>895</v>
      </c>
      <c r="P127" s="79">
        <v>45187.511655092596</v>
      </c>
      <c r="Q127" s="77" t="s">
        <v>1025</v>
      </c>
      <c r="R127" s="77">
        <v>0</v>
      </c>
      <c r="S127" s="77">
        <v>1</v>
      </c>
      <c r="T127" s="77">
        <v>0</v>
      </c>
      <c r="U127" s="77">
        <v>0</v>
      </c>
      <c r="V127" s="77">
        <v>139</v>
      </c>
      <c r="W127" s="82" t="s">
        <v>4856</v>
      </c>
      <c r="X127" s="77"/>
      <c r="Y127" s="77"/>
      <c r="Z127" s="77" t="s">
        <v>744</v>
      </c>
      <c r="AA127" s="77" t="s">
        <v>6681</v>
      </c>
      <c r="AB127" s="77" t="s">
        <v>7742</v>
      </c>
      <c r="AC127" s="82" t="s">
        <v>7750</v>
      </c>
      <c r="AD127" s="77" t="s">
        <v>7789</v>
      </c>
      <c r="AE127" s="80" t="str">
        <f>HYPERLINK("https://twitter.com/pawealthh/status/1703744879153594517")</f>
        <v>https://twitter.com/pawealthh/status/1703744879153594517</v>
      </c>
      <c r="AF127" s="79">
        <v>45187.511655092596</v>
      </c>
      <c r="AG127" s="85">
        <v>45187</v>
      </c>
      <c r="AH127" s="82" t="s">
        <v>7911</v>
      </c>
      <c r="AI127" s="77" t="b">
        <v>0</v>
      </c>
      <c r="AJ127" s="77"/>
      <c r="AK127" s="77"/>
      <c r="AL127" s="77"/>
      <c r="AM127" s="77"/>
      <c r="AN127" s="77"/>
      <c r="AO127" s="77"/>
      <c r="AP127" s="77"/>
      <c r="AQ127" s="77" t="s">
        <v>10653</v>
      </c>
      <c r="AR127" s="77"/>
      <c r="AS127" s="77"/>
      <c r="AT127" s="77"/>
      <c r="AU127" s="77"/>
      <c r="AV127" s="80" t="str">
        <f>HYPERLINK("https://pbs.twimg.com/media/F6Tq4PPXgAAmI_j.jpg")</f>
        <v>https://pbs.twimg.com/media/F6Tq4PPXgAAmI_j.jpg</v>
      </c>
      <c r="AW127" s="82" t="s">
        <v>11837</v>
      </c>
      <c r="AX127" s="82" t="s">
        <v>11837</v>
      </c>
      <c r="AY127" s="77"/>
      <c r="AZ127" s="82" t="s">
        <v>15984</v>
      </c>
      <c r="BA127" s="82" t="s">
        <v>15984</v>
      </c>
      <c r="BB127" s="82" t="s">
        <v>15984</v>
      </c>
      <c r="BC127" s="82" t="s">
        <v>11837</v>
      </c>
      <c r="BD127" s="77">
        <v>4674174732</v>
      </c>
      <c r="BE127" s="77"/>
      <c r="BF127" s="77"/>
      <c r="BG127" s="77"/>
      <c r="BH127" s="77"/>
      <c r="BI127" s="77"/>
    </row>
    <row r="128" spans="1:61" x14ac:dyDescent="0.25">
      <c r="A128" s="62" t="s">
        <v>251</v>
      </c>
      <c r="B128" s="62" t="s">
        <v>251</v>
      </c>
      <c r="C128" s="63"/>
      <c r="D128" s="64"/>
      <c r="E128" s="65"/>
      <c r="F128" s="66"/>
      <c r="G128" s="63"/>
      <c r="H128" s="67"/>
      <c r="I128" s="68"/>
      <c r="J128" s="68"/>
      <c r="K128" s="32"/>
      <c r="L128" s="75">
        <v>128</v>
      </c>
      <c r="M128" s="75"/>
      <c r="N128" s="70"/>
      <c r="O128" s="77" t="s">
        <v>179</v>
      </c>
      <c r="P128" s="79">
        <v>45155.851875</v>
      </c>
      <c r="Q128" s="77" t="s">
        <v>1026</v>
      </c>
      <c r="R128" s="77">
        <v>2</v>
      </c>
      <c r="S128" s="77">
        <v>18</v>
      </c>
      <c r="T128" s="77">
        <v>2</v>
      </c>
      <c r="U128" s="77">
        <v>0</v>
      </c>
      <c r="V128" s="77">
        <v>1893</v>
      </c>
      <c r="W128" s="82" t="s">
        <v>4821</v>
      </c>
      <c r="X128" s="77"/>
      <c r="Y128" s="77"/>
      <c r="Z128" s="77"/>
      <c r="AA128" s="77" t="s">
        <v>6682</v>
      </c>
      <c r="AB128" s="77" t="s">
        <v>7742</v>
      </c>
      <c r="AC128" s="82" t="s">
        <v>7750</v>
      </c>
      <c r="AD128" s="77" t="s">
        <v>7790</v>
      </c>
      <c r="AE128" s="80" t="str">
        <f>HYPERLINK("https://twitter.com/enricjaimez/status/1692271756776509464")</f>
        <v>https://twitter.com/enricjaimez/status/1692271756776509464</v>
      </c>
      <c r="AF128" s="79">
        <v>45155.851875</v>
      </c>
      <c r="AG128" s="85">
        <v>45155</v>
      </c>
      <c r="AH128" s="82" t="s">
        <v>7912</v>
      </c>
      <c r="AI128" s="77" t="b">
        <v>0</v>
      </c>
      <c r="AJ128" s="77"/>
      <c r="AK128" s="77"/>
      <c r="AL128" s="77"/>
      <c r="AM128" s="77"/>
      <c r="AN128" s="77"/>
      <c r="AO128" s="77"/>
      <c r="AP128" s="77"/>
      <c r="AQ128" s="77" t="s">
        <v>10654</v>
      </c>
      <c r="AR128" s="77"/>
      <c r="AS128" s="77"/>
      <c r="AT128" s="77"/>
      <c r="AU128" s="77"/>
      <c r="AV128" s="80" t="str">
        <f>HYPERLINK("https://pbs.twimg.com/media/F3wkTKVXgAA75Rn.jpg")</f>
        <v>https://pbs.twimg.com/media/F3wkTKVXgAA75Rn.jpg</v>
      </c>
      <c r="AW128" s="82" t="s">
        <v>11838</v>
      </c>
      <c r="AX128" s="82" t="s">
        <v>11838</v>
      </c>
      <c r="AY128" s="77"/>
      <c r="AZ128" s="82" t="s">
        <v>15984</v>
      </c>
      <c r="BA128" s="82" t="s">
        <v>15984</v>
      </c>
      <c r="BB128" s="82" t="s">
        <v>15984</v>
      </c>
      <c r="BC128" s="82" t="s">
        <v>11838</v>
      </c>
      <c r="BD128" s="77">
        <v>517061258</v>
      </c>
      <c r="BE128" s="77"/>
      <c r="BF128" s="77"/>
      <c r="BG128" s="77"/>
      <c r="BH128" s="77"/>
      <c r="BI128" s="77"/>
    </row>
    <row r="129" spans="1:61" x14ac:dyDescent="0.25">
      <c r="A129" s="62" t="s">
        <v>252</v>
      </c>
      <c r="B129" s="62" t="s">
        <v>252</v>
      </c>
      <c r="C129" s="63"/>
      <c r="D129" s="64"/>
      <c r="E129" s="65"/>
      <c r="F129" s="66"/>
      <c r="G129" s="63"/>
      <c r="H129" s="67"/>
      <c r="I129" s="68"/>
      <c r="J129" s="68"/>
      <c r="K129" s="32"/>
      <c r="L129" s="75">
        <v>129</v>
      </c>
      <c r="M129" s="75"/>
      <c r="N129" s="70"/>
      <c r="O129" s="77" t="s">
        <v>179</v>
      </c>
      <c r="P129" s="79">
        <v>45158.520833333336</v>
      </c>
      <c r="Q129" s="77" t="s">
        <v>1027</v>
      </c>
      <c r="R129" s="77">
        <v>0</v>
      </c>
      <c r="S129" s="77">
        <v>0</v>
      </c>
      <c r="T129" s="77">
        <v>0</v>
      </c>
      <c r="U129" s="77">
        <v>0</v>
      </c>
      <c r="V129" s="77">
        <v>11</v>
      </c>
      <c r="W129" s="82" t="s">
        <v>4857</v>
      </c>
      <c r="X129" s="80" t="str">
        <f>HYPERLINK("https://www.youtube.com/watch?v=2-6OCem_Kcs")</f>
        <v>https://www.youtube.com/watch?v=2-6OCem_Kcs</v>
      </c>
      <c r="Y129" s="77" t="s">
        <v>6480</v>
      </c>
      <c r="Z129" s="77"/>
      <c r="AA129" s="77"/>
      <c r="AB129" s="77"/>
      <c r="AC129" s="82" t="s">
        <v>7750</v>
      </c>
      <c r="AD129" s="77" t="s">
        <v>7788</v>
      </c>
      <c r="AE129" s="80" t="str">
        <f>HYPERLINK("https://twitter.com/juliossousa22/status/1693238954513023197")</f>
        <v>https://twitter.com/juliossousa22/status/1693238954513023197</v>
      </c>
      <c r="AF129" s="79">
        <v>45158.520833333336</v>
      </c>
      <c r="AG129" s="85">
        <v>45158</v>
      </c>
      <c r="AH129" s="82" t="s">
        <v>7913</v>
      </c>
      <c r="AI129" s="77" t="b">
        <v>0</v>
      </c>
      <c r="AJ129" s="77"/>
      <c r="AK129" s="77"/>
      <c r="AL129" s="77"/>
      <c r="AM129" s="77"/>
      <c r="AN129" s="77"/>
      <c r="AO129" s="77"/>
      <c r="AP129" s="77"/>
      <c r="AQ129" s="77"/>
      <c r="AR129" s="77"/>
      <c r="AS129" s="77"/>
      <c r="AT129" s="77"/>
      <c r="AU129" s="77"/>
      <c r="AV129" s="80" t="str">
        <f>HYPERLINK("https://pbs.twimg.com/profile_images/1158436917777784832/-qUe_QRS_normal.jpg")</f>
        <v>https://pbs.twimg.com/profile_images/1158436917777784832/-qUe_QRS_normal.jpg</v>
      </c>
      <c r="AW129" s="82" t="s">
        <v>11839</v>
      </c>
      <c r="AX129" s="82" t="s">
        <v>11839</v>
      </c>
      <c r="AY129" s="77"/>
      <c r="AZ129" s="82" t="s">
        <v>15984</v>
      </c>
      <c r="BA129" s="82" t="s">
        <v>15984</v>
      </c>
      <c r="BB129" s="82" t="s">
        <v>15984</v>
      </c>
      <c r="BC129" s="82" t="s">
        <v>11839</v>
      </c>
      <c r="BD129" s="82" t="s">
        <v>16118</v>
      </c>
      <c r="BE129" s="77"/>
      <c r="BF129" s="77"/>
      <c r="BG129" s="77"/>
      <c r="BH129" s="77"/>
      <c r="BI129" s="77"/>
    </row>
    <row r="130" spans="1:61" x14ac:dyDescent="0.25">
      <c r="A130" s="62" t="s">
        <v>253</v>
      </c>
      <c r="B130" s="62" t="s">
        <v>253</v>
      </c>
      <c r="C130" s="63"/>
      <c r="D130" s="64"/>
      <c r="E130" s="65"/>
      <c r="F130" s="66"/>
      <c r="G130" s="63"/>
      <c r="H130" s="67"/>
      <c r="I130" s="68"/>
      <c r="J130" s="68"/>
      <c r="K130" s="32"/>
      <c r="L130" s="75">
        <v>130</v>
      </c>
      <c r="M130" s="75"/>
      <c r="N130" s="70"/>
      <c r="O130" s="77" t="s">
        <v>179</v>
      </c>
      <c r="P130" s="79">
        <v>45193.776886574073</v>
      </c>
      <c r="Q130" s="77" t="s">
        <v>1014</v>
      </c>
      <c r="R130" s="77">
        <v>0</v>
      </c>
      <c r="S130" s="77">
        <v>0</v>
      </c>
      <c r="T130" s="77">
        <v>0</v>
      </c>
      <c r="U130" s="77">
        <v>0</v>
      </c>
      <c r="V130" s="77">
        <v>5</v>
      </c>
      <c r="W130" s="82" t="s">
        <v>4849</v>
      </c>
      <c r="X130" s="77"/>
      <c r="Y130" s="77"/>
      <c r="Z130" s="77"/>
      <c r="AA130" s="77"/>
      <c r="AB130" s="77"/>
      <c r="AC130" s="82" t="s">
        <v>7750</v>
      </c>
      <c r="AD130" s="77" t="s">
        <v>7789</v>
      </c>
      <c r="AE130" s="80" t="str">
        <f>HYPERLINK("https://twitter.com/confi_trader/status/1706015323042791642")</f>
        <v>https://twitter.com/confi_trader/status/1706015323042791642</v>
      </c>
      <c r="AF130" s="79">
        <v>45193.776886574073</v>
      </c>
      <c r="AG130" s="85">
        <v>45193</v>
      </c>
      <c r="AH130" s="82" t="s">
        <v>7914</v>
      </c>
      <c r="AI130" s="77"/>
      <c r="AJ130" s="77"/>
      <c r="AK130" s="77"/>
      <c r="AL130" s="77"/>
      <c r="AM130" s="77"/>
      <c r="AN130" s="77"/>
      <c r="AO130" s="77"/>
      <c r="AP130" s="77"/>
      <c r="AQ130" s="77"/>
      <c r="AR130" s="77"/>
      <c r="AS130" s="77"/>
      <c r="AT130" s="77"/>
      <c r="AU130" s="77"/>
      <c r="AV130" s="80" t="str">
        <f>HYPERLINK("https://pbs.twimg.com/profile_images/1699834288835854336/F63UtGHs_normal.jpg")</f>
        <v>https://pbs.twimg.com/profile_images/1699834288835854336/F63UtGHs_normal.jpg</v>
      </c>
      <c r="AW130" s="82" t="s">
        <v>11840</v>
      </c>
      <c r="AX130" s="82" t="s">
        <v>11840</v>
      </c>
      <c r="AY130" s="77"/>
      <c r="AZ130" s="82" t="s">
        <v>15984</v>
      </c>
      <c r="BA130" s="82" t="s">
        <v>15984</v>
      </c>
      <c r="BB130" s="82" t="s">
        <v>15984</v>
      </c>
      <c r="BC130" s="82" t="s">
        <v>11840</v>
      </c>
      <c r="BD130" s="82" t="s">
        <v>16119</v>
      </c>
      <c r="BE130" s="77"/>
      <c r="BF130" s="77"/>
      <c r="BG130" s="77"/>
      <c r="BH130" s="77"/>
      <c r="BI130" s="77"/>
    </row>
    <row r="131" spans="1:61" x14ac:dyDescent="0.25">
      <c r="A131" s="62" t="s">
        <v>254</v>
      </c>
      <c r="B131" s="62" t="s">
        <v>254</v>
      </c>
      <c r="C131" s="63"/>
      <c r="D131" s="64"/>
      <c r="E131" s="65"/>
      <c r="F131" s="66"/>
      <c r="G131" s="63"/>
      <c r="H131" s="67"/>
      <c r="I131" s="68"/>
      <c r="J131" s="68"/>
      <c r="K131" s="32"/>
      <c r="L131" s="75">
        <v>131</v>
      </c>
      <c r="M131" s="75"/>
      <c r="N131" s="70"/>
      <c r="O131" s="77" t="s">
        <v>898</v>
      </c>
      <c r="P131" s="79">
        <v>45181.657696759263</v>
      </c>
      <c r="Q131" s="77" t="s">
        <v>1028</v>
      </c>
      <c r="R131" s="77">
        <v>0</v>
      </c>
      <c r="S131" s="77">
        <v>2</v>
      </c>
      <c r="T131" s="77">
        <v>0</v>
      </c>
      <c r="U131" s="77">
        <v>0</v>
      </c>
      <c r="V131" s="77">
        <v>41</v>
      </c>
      <c r="W131" s="82" t="s">
        <v>4858</v>
      </c>
      <c r="X131" s="77"/>
      <c r="Y131" s="77"/>
      <c r="Z131" s="77"/>
      <c r="AA131" s="77" t="s">
        <v>6683</v>
      </c>
      <c r="AB131" s="77" t="s">
        <v>7744</v>
      </c>
      <c r="AC131" s="82" t="s">
        <v>7750</v>
      </c>
      <c r="AD131" s="77" t="s">
        <v>7788</v>
      </c>
      <c r="AE131" s="80" t="str">
        <f>HYPERLINK("https://twitter.com/sfainvest/status/1701623474739884119")</f>
        <v>https://twitter.com/sfainvest/status/1701623474739884119</v>
      </c>
      <c r="AF131" s="79">
        <v>45181.657696759263</v>
      </c>
      <c r="AG131" s="85">
        <v>45181</v>
      </c>
      <c r="AH131" s="82" t="s">
        <v>7915</v>
      </c>
      <c r="AI131" s="77" t="b">
        <v>0</v>
      </c>
      <c r="AJ131" s="77"/>
      <c r="AK131" s="77"/>
      <c r="AL131" s="77"/>
      <c r="AM131" s="77"/>
      <c r="AN131" s="77"/>
      <c r="AO131" s="77"/>
      <c r="AP131" s="77"/>
      <c r="AQ131" s="77" t="s">
        <v>10655</v>
      </c>
      <c r="AR131" s="77"/>
      <c r="AS131" s="77"/>
      <c r="AT131" s="77"/>
      <c r="AU131" s="77"/>
      <c r="AV131" s="80" t="str">
        <f>HYPERLINK("https://pbs.twimg.com/media/F51glK7WgAELXZT.jpg")</f>
        <v>https://pbs.twimg.com/media/F51glK7WgAELXZT.jpg</v>
      </c>
      <c r="AW131" s="82" t="s">
        <v>11841</v>
      </c>
      <c r="AX131" s="82" t="s">
        <v>15737</v>
      </c>
      <c r="AY131" s="82" t="s">
        <v>15912</v>
      </c>
      <c r="AZ131" s="82" t="s">
        <v>15985</v>
      </c>
      <c r="BA131" s="82" t="s">
        <v>15984</v>
      </c>
      <c r="BB131" s="82" t="s">
        <v>15984</v>
      </c>
      <c r="BC131" s="82" t="s">
        <v>15985</v>
      </c>
      <c r="BD131" s="82" t="s">
        <v>15912</v>
      </c>
      <c r="BE131" s="77"/>
      <c r="BF131" s="77"/>
      <c r="BG131" s="77"/>
      <c r="BH131" s="77"/>
      <c r="BI131" s="77"/>
    </row>
    <row r="132" spans="1:61" x14ac:dyDescent="0.25">
      <c r="A132" s="62" t="s">
        <v>254</v>
      </c>
      <c r="B132" s="62" t="s">
        <v>254</v>
      </c>
      <c r="C132" s="63"/>
      <c r="D132" s="64"/>
      <c r="E132" s="65"/>
      <c r="F132" s="66"/>
      <c r="G132" s="63"/>
      <c r="H132" s="67"/>
      <c r="I132" s="68"/>
      <c r="J132" s="68"/>
      <c r="K132" s="32"/>
      <c r="L132" s="75">
        <v>132</v>
      </c>
      <c r="M132" s="75"/>
      <c r="N132" s="70"/>
      <c r="O132" s="77" t="s">
        <v>898</v>
      </c>
      <c r="P132" s="79">
        <v>45194.868067129632</v>
      </c>
      <c r="Q132" s="77" t="s">
        <v>1029</v>
      </c>
      <c r="R132" s="77">
        <v>1</v>
      </c>
      <c r="S132" s="77">
        <v>3</v>
      </c>
      <c r="T132" s="77">
        <v>0</v>
      </c>
      <c r="U132" s="77">
        <v>0</v>
      </c>
      <c r="V132" s="77">
        <v>55</v>
      </c>
      <c r="W132" s="82" t="s">
        <v>4859</v>
      </c>
      <c r="X132" s="77"/>
      <c r="Y132" s="77"/>
      <c r="Z132" s="77"/>
      <c r="AA132" s="77" t="s">
        <v>6684</v>
      </c>
      <c r="AB132" s="77" t="s">
        <v>7744</v>
      </c>
      <c r="AC132" s="82" t="s">
        <v>7750</v>
      </c>
      <c r="AD132" s="77" t="s">
        <v>7788</v>
      </c>
      <c r="AE132" s="80" t="str">
        <f>HYPERLINK("https://twitter.com/sfainvest/status/1706410751076839594")</f>
        <v>https://twitter.com/sfainvest/status/1706410751076839594</v>
      </c>
      <c r="AF132" s="79">
        <v>45194.868067129632</v>
      </c>
      <c r="AG132" s="85">
        <v>45194</v>
      </c>
      <c r="AH132" s="82" t="s">
        <v>7916</v>
      </c>
      <c r="AI132" s="77" t="b">
        <v>0</v>
      </c>
      <c r="AJ132" s="77"/>
      <c r="AK132" s="77"/>
      <c r="AL132" s="77"/>
      <c r="AM132" s="77"/>
      <c r="AN132" s="77"/>
      <c r="AO132" s="77"/>
      <c r="AP132" s="77"/>
      <c r="AQ132" s="77" t="s">
        <v>10656</v>
      </c>
      <c r="AR132" s="77"/>
      <c r="AS132" s="77"/>
      <c r="AT132" s="77"/>
      <c r="AU132" s="77"/>
      <c r="AV132" s="80" t="str">
        <f>HYPERLINK("https://pbs.twimg.com/media/F65jVaUWUAArLqa.jpg")</f>
        <v>https://pbs.twimg.com/media/F65jVaUWUAArLqa.jpg</v>
      </c>
      <c r="AW132" s="82" t="s">
        <v>11842</v>
      </c>
      <c r="AX132" s="82" t="s">
        <v>15738</v>
      </c>
      <c r="AY132" s="82" t="s">
        <v>15912</v>
      </c>
      <c r="AZ132" s="82" t="s">
        <v>15738</v>
      </c>
      <c r="BA132" s="82" t="s">
        <v>15984</v>
      </c>
      <c r="BB132" s="82" t="s">
        <v>15984</v>
      </c>
      <c r="BC132" s="82" t="s">
        <v>15738</v>
      </c>
      <c r="BD132" s="82" t="s">
        <v>15912</v>
      </c>
      <c r="BE132" s="77"/>
      <c r="BF132" s="77"/>
      <c r="BG132" s="77"/>
      <c r="BH132" s="77"/>
      <c r="BI132" s="77"/>
    </row>
    <row r="133" spans="1:61" x14ac:dyDescent="0.25">
      <c r="A133" s="62" t="s">
        <v>255</v>
      </c>
      <c r="B133" s="62" t="s">
        <v>255</v>
      </c>
      <c r="C133" s="63"/>
      <c r="D133" s="64"/>
      <c r="E133" s="65"/>
      <c r="F133" s="66"/>
      <c r="G133" s="63"/>
      <c r="H133" s="67"/>
      <c r="I133" s="68"/>
      <c r="J133" s="68"/>
      <c r="K133" s="32"/>
      <c r="L133" s="75">
        <v>133</v>
      </c>
      <c r="M133" s="75"/>
      <c r="N133" s="70"/>
      <c r="O133" s="77" t="s">
        <v>179</v>
      </c>
      <c r="P133" s="79">
        <v>45127.637708333335</v>
      </c>
      <c r="Q133" s="77" t="s">
        <v>1030</v>
      </c>
      <c r="R133" s="77">
        <v>4</v>
      </c>
      <c r="S133" s="77">
        <v>41</v>
      </c>
      <c r="T133" s="77">
        <v>11</v>
      </c>
      <c r="U133" s="77">
        <v>0</v>
      </c>
      <c r="V133" s="77">
        <v>6261</v>
      </c>
      <c r="W133" s="82" t="s">
        <v>4860</v>
      </c>
      <c r="X133" s="77"/>
      <c r="Y133" s="77"/>
      <c r="Z133" s="77"/>
      <c r="AA133" s="77" t="s">
        <v>6685</v>
      </c>
      <c r="AB133" s="77" t="s">
        <v>7742</v>
      </c>
      <c r="AC133" s="82" t="s">
        <v>7752</v>
      </c>
      <c r="AD133" s="77" t="s">
        <v>7788</v>
      </c>
      <c r="AE133" s="80" t="str">
        <f>HYPERLINK("https://twitter.com/costafilhojoao/status/1682047286602285056")</f>
        <v>https://twitter.com/costafilhojoao/status/1682047286602285056</v>
      </c>
      <c r="AF133" s="79">
        <v>45127.637708333335</v>
      </c>
      <c r="AG133" s="85">
        <v>45127</v>
      </c>
      <c r="AH133" s="82" t="s">
        <v>7917</v>
      </c>
      <c r="AI133" s="77" t="b">
        <v>0</v>
      </c>
      <c r="AJ133" s="77"/>
      <c r="AK133" s="77"/>
      <c r="AL133" s="77"/>
      <c r="AM133" s="77"/>
      <c r="AN133" s="77"/>
      <c r="AO133" s="77"/>
      <c r="AP133" s="77"/>
      <c r="AQ133" s="77" t="s">
        <v>10657</v>
      </c>
      <c r="AR133" s="77"/>
      <c r="AS133" s="77"/>
      <c r="AT133" s="77"/>
      <c r="AU133" s="77"/>
      <c r="AV133" s="80" t="str">
        <f>HYPERLINK("https://pbs.twimg.com/media/F1fVFnTWwAQIpbW.jpg")</f>
        <v>https://pbs.twimg.com/media/F1fVFnTWwAQIpbW.jpg</v>
      </c>
      <c r="AW133" s="82" t="s">
        <v>11843</v>
      </c>
      <c r="AX133" s="82" t="s">
        <v>11843</v>
      </c>
      <c r="AY133" s="77"/>
      <c r="AZ133" s="82" t="s">
        <v>15984</v>
      </c>
      <c r="BA133" s="82" t="s">
        <v>15984</v>
      </c>
      <c r="BB133" s="82" t="s">
        <v>15984</v>
      </c>
      <c r="BC133" s="82" t="s">
        <v>11843</v>
      </c>
      <c r="BD133" s="82" t="s">
        <v>16120</v>
      </c>
      <c r="BE133" s="77"/>
      <c r="BF133" s="77"/>
      <c r="BG133" s="77"/>
      <c r="BH133" s="77"/>
      <c r="BI133" s="77"/>
    </row>
    <row r="134" spans="1:61" x14ac:dyDescent="0.25">
      <c r="A134" s="62" t="s">
        <v>255</v>
      </c>
      <c r="B134" s="62" t="s">
        <v>255</v>
      </c>
      <c r="C134" s="63"/>
      <c r="D134" s="64"/>
      <c r="E134" s="65"/>
      <c r="F134" s="66"/>
      <c r="G134" s="63"/>
      <c r="H134" s="67"/>
      <c r="I134" s="68"/>
      <c r="J134" s="68"/>
      <c r="K134" s="32"/>
      <c r="L134" s="75">
        <v>134</v>
      </c>
      <c r="M134" s="75"/>
      <c r="N134" s="70"/>
      <c r="O134" s="77" t="s">
        <v>179</v>
      </c>
      <c r="P134" s="79">
        <v>45131.834097222221</v>
      </c>
      <c r="Q134" s="77" t="s">
        <v>1031</v>
      </c>
      <c r="R134" s="77">
        <v>0</v>
      </c>
      <c r="S134" s="77">
        <v>7</v>
      </c>
      <c r="T134" s="77">
        <v>0</v>
      </c>
      <c r="U134" s="77">
        <v>0</v>
      </c>
      <c r="V134" s="77">
        <v>389</v>
      </c>
      <c r="W134" s="82" t="s">
        <v>4861</v>
      </c>
      <c r="X134" s="80" t="str">
        <f>HYPERLINK("https://www.joaocostafilho.com/teaching/macroeconomia")</f>
        <v>https://www.joaocostafilho.com/teaching/macroeconomia</v>
      </c>
      <c r="Y134" s="77" t="s">
        <v>6481</v>
      </c>
      <c r="Z134" s="77"/>
      <c r="AA134" s="77" t="s">
        <v>6686</v>
      </c>
      <c r="AB134" s="77" t="s">
        <v>7742</v>
      </c>
      <c r="AC134" s="82" t="s">
        <v>7750</v>
      </c>
      <c r="AD134" s="77" t="s">
        <v>7788</v>
      </c>
      <c r="AE134" s="80" t="str">
        <f>HYPERLINK("https://twitter.com/costafilhojoao/status/1683568005530124291")</f>
        <v>https://twitter.com/costafilhojoao/status/1683568005530124291</v>
      </c>
      <c r="AF134" s="79">
        <v>45131.834097222221</v>
      </c>
      <c r="AG134" s="85">
        <v>45131</v>
      </c>
      <c r="AH134" s="82" t="s">
        <v>7805</v>
      </c>
      <c r="AI134" s="77" t="b">
        <v>0</v>
      </c>
      <c r="AJ134" s="77"/>
      <c r="AK134" s="77"/>
      <c r="AL134" s="77"/>
      <c r="AM134" s="77"/>
      <c r="AN134" s="77"/>
      <c r="AO134" s="77"/>
      <c r="AP134" s="77"/>
      <c r="AQ134" s="77" t="s">
        <v>10658</v>
      </c>
      <c r="AR134" s="77"/>
      <c r="AS134" s="77"/>
      <c r="AT134" s="77"/>
      <c r="AU134" s="77"/>
      <c r="AV134" s="80" t="str">
        <f>HYPERLINK("https://pbs.twimg.com/media/F1066i3WIAAJ1cT.jpg")</f>
        <v>https://pbs.twimg.com/media/F1066i3WIAAJ1cT.jpg</v>
      </c>
      <c r="AW134" s="82" t="s">
        <v>11844</v>
      </c>
      <c r="AX134" s="82" t="s">
        <v>11844</v>
      </c>
      <c r="AY134" s="77"/>
      <c r="AZ134" s="82" t="s">
        <v>15984</v>
      </c>
      <c r="BA134" s="82" t="s">
        <v>15984</v>
      </c>
      <c r="BB134" s="82" t="s">
        <v>15984</v>
      </c>
      <c r="BC134" s="82" t="s">
        <v>11844</v>
      </c>
      <c r="BD134" s="82" t="s">
        <v>16120</v>
      </c>
      <c r="BE134" s="77"/>
      <c r="BF134" s="77"/>
      <c r="BG134" s="77"/>
      <c r="BH134" s="77"/>
      <c r="BI134" s="77"/>
    </row>
    <row r="135" spans="1:61" x14ac:dyDescent="0.25">
      <c r="A135" s="62" t="s">
        <v>256</v>
      </c>
      <c r="B135" s="62" t="s">
        <v>256</v>
      </c>
      <c r="C135" s="63"/>
      <c r="D135" s="64"/>
      <c r="E135" s="65"/>
      <c r="F135" s="66"/>
      <c r="G135" s="63"/>
      <c r="H135" s="67"/>
      <c r="I135" s="68"/>
      <c r="J135" s="68"/>
      <c r="K135" s="32"/>
      <c r="L135" s="75">
        <v>135</v>
      </c>
      <c r="M135" s="75"/>
      <c r="N135" s="70"/>
      <c r="O135" s="77" t="s">
        <v>179</v>
      </c>
      <c r="P135" s="79">
        <v>45121.016724537039</v>
      </c>
      <c r="Q135" s="77" t="s">
        <v>1032</v>
      </c>
      <c r="R135" s="77">
        <v>0</v>
      </c>
      <c r="S135" s="77">
        <v>0</v>
      </c>
      <c r="T135" s="77">
        <v>0</v>
      </c>
      <c r="U135" s="77">
        <v>0</v>
      </c>
      <c r="V135" s="77">
        <v>15</v>
      </c>
      <c r="W135" s="82" t="s">
        <v>4862</v>
      </c>
      <c r="X135" s="77"/>
      <c r="Y135" s="77"/>
      <c r="Z135" s="77"/>
      <c r="AA135" s="77" t="s">
        <v>6687</v>
      </c>
      <c r="AB135" s="77" t="s">
        <v>7742</v>
      </c>
      <c r="AC135" s="82" t="s">
        <v>7750</v>
      </c>
      <c r="AD135" s="77" t="s">
        <v>7791</v>
      </c>
      <c r="AE135" s="80" t="str">
        <f>HYPERLINK("https://twitter.com/marcia23403/status/1679647919874424835")</f>
        <v>https://twitter.com/marcia23403/status/1679647919874424835</v>
      </c>
      <c r="AF135" s="79">
        <v>45121.016724537039</v>
      </c>
      <c r="AG135" s="85">
        <v>45121</v>
      </c>
      <c r="AH135" s="82" t="s">
        <v>7918</v>
      </c>
      <c r="AI135" s="77" t="b">
        <v>0</v>
      </c>
      <c r="AJ135" s="77"/>
      <c r="AK135" s="77"/>
      <c r="AL135" s="77"/>
      <c r="AM135" s="77"/>
      <c r="AN135" s="77"/>
      <c r="AO135" s="77"/>
      <c r="AP135" s="77"/>
      <c r="AQ135" s="77" t="s">
        <v>10659</v>
      </c>
      <c r="AR135" s="77"/>
      <c r="AS135" s="77"/>
      <c r="AT135" s="77"/>
      <c r="AU135" s="77"/>
      <c r="AV135" s="80" t="str">
        <f>HYPERLINK("https://pbs.twimg.com/media/F09O358XwAAUrQs.jpg")</f>
        <v>https://pbs.twimg.com/media/F09O358XwAAUrQs.jpg</v>
      </c>
      <c r="AW135" s="82" t="s">
        <v>11845</v>
      </c>
      <c r="AX135" s="82" t="s">
        <v>11845</v>
      </c>
      <c r="AY135" s="77"/>
      <c r="AZ135" s="82" t="s">
        <v>15984</v>
      </c>
      <c r="BA135" s="82" t="s">
        <v>15984</v>
      </c>
      <c r="BB135" s="82" t="s">
        <v>15984</v>
      </c>
      <c r="BC135" s="82" t="s">
        <v>11845</v>
      </c>
      <c r="BD135" s="82" t="s">
        <v>16121</v>
      </c>
      <c r="BE135" s="77"/>
      <c r="BF135" s="77"/>
      <c r="BG135" s="77"/>
      <c r="BH135" s="77"/>
      <c r="BI135" s="77"/>
    </row>
    <row r="136" spans="1:61" x14ac:dyDescent="0.25">
      <c r="A136" s="62" t="s">
        <v>257</v>
      </c>
      <c r="B136" s="62" t="s">
        <v>257</v>
      </c>
      <c r="C136" s="63"/>
      <c r="D136" s="64"/>
      <c r="E136" s="65"/>
      <c r="F136" s="66"/>
      <c r="G136" s="63"/>
      <c r="H136" s="67"/>
      <c r="I136" s="68"/>
      <c r="J136" s="68"/>
      <c r="K136" s="32"/>
      <c r="L136" s="75">
        <v>136</v>
      </c>
      <c r="M136" s="75"/>
      <c r="N136" s="70"/>
      <c r="O136" s="77" t="s">
        <v>179</v>
      </c>
      <c r="P136" s="79">
        <v>45124.604259259257</v>
      </c>
      <c r="Q136" s="77" t="s">
        <v>1033</v>
      </c>
      <c r="R136" s="77">
        <v>0</v>
      </c>
      <c r="S136" s="77">
        <v>1</v>
      </c>
      <c r="T136" s="77">
        <v>0</v>
      </c>
      <c r="U136" s="77">
        <v>0</v>
      </c>
      <c r="V136" s="77">
        <v>26</v>
      </c>
      <c r="W136" s="82" t="s">
        <v>4863</v>
      </c>
      <c r="X136" s="80" t="str">
        <f>HYPERLINK("https://x.gd/IcyCG")</f>
        <v>https://x.gd/IcyCG</v>
      </c>
      <c r="Y136" s="77" t="s">
        <v>6482</v>
      </c>
      <c r="Z136" s="77"/>
      <c r="AA136" s="77" t="s">
        <v>6688</v>
      </c>
      <c r="AB136" s="77" t="s">
        <v>7742</v>
      </c>
      <c r="AC136" s="82" t="s">
        <v>7750</v>
      </c>
      <c r="AD136" s="77" t="s">
        <v>7788</v>
      </c>
      <c r="AE136" s="80" t="str">
        <f>HYPERLINK("https://twitter.com/seebumuarama/status/1680947999902425089")</f>
        <v>https://twitter.com/seebumuarama/status/1680947999902425089</v>
      </c>
      <c r="AF136" s="79">
        <v>45124.604259259257</v>
      </c>
      <c r="AG136" s="85">
        <v>45124</v>
      </c>
      <c r="AH136" s="82" t="s">
        <v>7919</v>
      </c>
      <c r="AI136" s="77" t="b">
        <v>0</v>
      </c>
      <c r="AJ136" s="77"/>
      <c r="AK136" s="77"/>
      <c r="AL136" s="77"/>
      <c r="AM136" s="77"/>
      <c r="AN136" s="77"/>
      <c r="AO136" s="77"/>
      <c r="AP136" s="77"/>
      <c r="AQ136" s="77" t="s">
        <v>10660</v>
      </c>
      <c r="AR136" s="77"/>
      <c r="AS136" s="77"/>
      <c r="AT136" s="77"/>
      <c r="AU136" s="77"/>
      <c r="AV136" s="80" t="str">
        <f>HYPERLINK("https://pbs.twimg.com/media/F1Ps3-4WcAEU_y5.jpg")</f>
        <v>https://pbs.twimg.com/media/F1Ps3-4WcAEU_y5.jpg</v>
      </c>
      <c r="AW136" s="82" t="s">
        <v>11846</v>
      </c>
      <c r="AX136" s="82" t="s">
        <v>11846</v>
      </c>
      <c r="AY136" s="77"/>
      <c r="AZ136" s="82" t="s">
        <v>15984</v>
      </c>
      <c r="BA136" s="82" t="s">
        <v>15984</v>
      </c>
      <c r="BB136" s="82" t="s">
        <v>15984</v>
      </c>
      <c r="BC136" s="82" t="s">
        <v>11846</v>
      </c>
      <c r="BD136" s="82" t="s">
        <v>16122</v>
      </c>
      <c r="BE136" s="77"/>
      <c r="BF136" s="77"/>
      <c r="BG136" s="77"/>
      <c r="BH136" s="77"/>
      <c r="BI136" s="77"/>
    </row>
    <row r="137" spans="1:61" x14ac:dyDescent="0.25">
      <c r="A137" s="62" t="s">
        <v>258</v>
      </c>
      <c r="B137" s="62" t="s">
        <v>258</v>
      </c>
      <c r="C137" s="63"/>
      <c r="D137" s="64"/>
      <c r="E137" s="65"/>
      <c r="F137" s="66"/>
      <c r="G137" s="63"/>
      <c r="H137" s="67"/>
      <c r="I137" s="68"/>
      <c r="J137" s="68"/>
      <c r="K137" s="32"/>
      <c r="L137" s="75">
        <v>137</v>
      </c>
      <c r="M137" s="75"/>
      <c r="N137" s="70"/>
      <c r="O137" s="77" t="s">
        <v>179</v>
      </c>
      <c r="P137" s="79">
        <v>45156.521365740744</v>
      </c>
      <c r="Q137" s="77" t="s">
        <v>1034</v>
      </c>
      <c r="R137" s="77">
        <v>0</v>
      </c>
      <c r="S137" s="77">
        <v>0</v>
      </c>
      <c r="T137" s="77">
        <v>0</v>
      </c>
      <c r="U137" s="77">
        <v>0</v>
      </c>
      <c r="V137" s="77">
        <v>18</v>
      </c>
      <c r="W137" s="82" t="s">
        <v>4864</v>
      </c>
      <c r="X137" s="77"/>
      <c r="Y137" s="77"/>
      <c r="Z137" s="77"/>
      <c r="AA137" s="77" t="s">
        <v>6689</v>
      </c>
      <c r="AB137" s="77" t="s">
        <v>7742</v>
      </c>
      <c r="AC137" s="82" t="s">
        <v>7750</v>
      </c>
      <c r="AD137" s="77" t="s">
        <v>7788</v>
      </c>
      <c r="AE137" s="80" t="str">
        <f>HYPERLINK("https://twitter.com/qg_sardinhas/status/1692514372508147926")</f>
        <v>https://twitter.com/qg_sardinhas/status/1692514372508147926</v>
      </c>
      <c r="AF137" s="79">
        <v>45156.521365740744</v>
      </c>
      <c r="AG137" s="85">
        <v>45156</v>
      </c>
      <c r="AH137" s="82" t="s">
        <v>7920</v>
      </c>
      <c r="AI137" s="77" t="b">
        <v>0</v>
      </c>
      <c r="AJ137" s="77"/>
      <c r="AK137" s="77"/>
      <c r="AL137" s="77"/>
      <c r="AM137" s="77"/>
      <c r="AN137" s="77"/>
      <c r="AO137" s="77"/>
      <c r="AP137" s="77"/>
      <c r="AQ137" s="77" t="s">
        <v>10661</v>
      </c>
      <c r="AR137" s="77"/>
      <c r="AS137" s="77"/>
      <c r="AT137" s="77"/>
      <c r="AU137" s="77"/>
      <c r="AV137" s="80" t="str">
        <f>HYPERLINK("https://pbs.twimg.com/media/F30EoRJXsAEptdx.png")</f>
        <v>https://pbs.twimg.com/media/F30EoRJXsAEptdx.png</v>
      </c>
      <c r="AW137" s="82" t="s">
        <v>11847</v>
      </c>
      <c r="AX137" s="82" t="s">
        <v>11847</v>
      </c>
      <c r="AY137" s="77"/>
      <c r="AZ137" s="82" t="s">
        <v>15984</v>
      </c>
      <c r="BA137" s="82" t="s">
        <v>15984</v>
      </c>
      <c r="BB137" s="82" t="s">
        <v>15984</v>
      </c>
      <c r="BC137" s="82" t="s">
        <v>11847</v>
      </c>
      <c r="BD137" s="82" t="s">
        <v>16123</v>
      </c>
      <c r="BE137" s="77"/>
      <c r="BF137" s="77"/>
      <c r="BG137" s="77"/>
      <c r="BH137" s="77"/>
      <c r="BI137" s="77"/>
    </row>
    <row r="138" spans="1:61" x14ac:dyDescent="0.25">
      <c r="A138" s="62" t="s">
        <v>259</v>
      </c>
      <c r="B138" s="62" t="s">
        <v>614</v>
      </c>
      <c r="C138" s="63"/>
      <c r="D138" s="64"/>
      <c r="E138" s="65"/>
      <c r="F138" s="66"/>
      <c r="G138" s="63"/>
      <c r="H138" s="67"/>
      <c r="I138" s="68"/>
      <c r="J138" s="68"/>
      <c r="K138" s="32"/>
      <c r="L138" s="75">
        <v>138</v>
      </c>
      <c r="M138" s="75"/>
      <c r="N138" s="70"/>
      <c r="O138" s="77" t="s">
        <v>897</v>
      </c>
      <c r="P138" s="79">
        <v>45191.507719907408</v>
      </c>
      <c r="Q138" s="77" t="s">
        <v>1035</v>
      </c>
      <c r="R138" s="77">
        <v>4</v>
      </c>
      <c r="S138" s="77">
        <v>0</v>
      </c>
      <c r="T138" s="77">
        <v>0</v>
      </c>
      <c r="U138" s="77">
        <v>0</v>
      </c>
      <c r="V138" s="77"/>
      <c r="W138" s="82" t="s">
        <v>4821</v>
      </c>
      <c r="X138" s="77"/>
      <c r="Y138" s="77"/>
      <c r="Z138" s="77" t="s">
        <v>614</v>
      </c>
      <c r="AA138" s="77"/>
      <c r="AB138" s="77"/>
      <c r="AC138" s="82" t="s">
        <v>7751</v>
      </c>
      <c r="AD138" s="77" t="s">
        <v>7790</v>
      </c>
      <c r="AE138" s="80" t="str">
        <f>HYPERLINK("https://twitter.com/carlosmvr/status/1705193001889190129")</f>
        <v>https://twitter.com/carlosmvr/status/1705193001889190129</v>
      </c>
      <c r="AF138" s="79">
        <v>45191.507719907408</v>
      </c>
      <c r="AG138" s="85">
        <v>45191</v>
      </c>
      <c r="AH138" s="82" t="s">
        <v>7921</v>
      </c>
      <c r="AI138" s="77" t="b">
        <v>0</v>
      </c>
      <c r="AJ138" s="77"/>
      <c r="AK138" s="77"/>
      <c r="AL138" s="77"/>
      <c r="AM138" s="77"/>
      <c r="AN138" s="77"/>
      <c r="AO138" s="77"/>
      <c r="AP138" s="77"/>
      <c r="AQ138" s="77"/>
      <c r="AR138" s="77"/>
      <c r="AS138" s="77"/>
      <c r="AT138" s="77"/>
      <c r="AU138" s="77"/>
      <c r="AV138" s="80" t="str">
        <f>HYPERLINK("https://pbs.twimg.com/profile_images/1292104750985547776/sxgTuoYT_normal.jpg")</f>
        <v>https://pbs.twimg.com/profile_images/1292104750985547776/sxgTuoYT_normal.jpg</v>
      </c>
      <c r="AW138" s="82" t="s">
        <v>11848</v>
      </c>
      <c r="AX138" s="82" t="s">
        <v>11848</v>
      </c>
      <c r="AY138" s="77"/>
      <c r="AZ138" s="82" t="s">
        <v>15984</v>
      </c>
      <c r="BA138" s="82" t="s">
        <v>15984</v>
      </c>
      <c r="BB138" s="82" t="s">
        <v>13021</v>
      </c>
      <c r="BC138" s="82" t="s">
        <v>13021</v>
      </c>
      <c r="BD138" s="77">
        <v>81124162</v>
      </c>
      <c r="BE138" s="77"/>
      <c r="BF138" s="77"/>
      <c r="BG138" s="77"/>
      <c r="BH138" s="77"/>
      <c r="BI138" s="77"/>
    </row>
    <row r="139" spans="1:61" x14ac:dyDescent="0.25">
      <c r="A139" s="62" t="s">
        <v>260</v>
      </c>
      <c r="B139" s="62" t="s">
        <v>745</v>
      </c>
      <c r="C139" s="63"/>
      <c r="D139" s="64"/>
      <c r="E139" s="65"/>
      <c r="F139" s="66"/>
      <c r="G139" s="63"/>
      <c r="H139" s="67"/>
      <c r="I139" s="68"/>
      <c r="J139" s="68"/>
      <c r="K139" s="32"/>
      <c r="L139" s="75">
        <v>139</v>
      </c>
      <c r="M139" s="75"/>
      <c r="N139" s="70"/>
      <c r="O139" s="77" t="s">
        <v>895</v>
      </c>
      <c r="P139" s="79">
        <v>45123.5625</v>
      </c>
      <c r="Q139" s="77" t="s">
        <v>1036</v>
      </c>
      <c r="R139" s="77">
        <v>1</v>
      </c>
      <c r="S139" s="77">
        <v>7</v>
      </c>
      <c r="T139" s="77">
        <v>0</v>
      </c>
      <c r="U139" s="77">
        <v>0</v>
      </c>
      <c r="V139" s="77">
        <v>495</v>
      </c>
      <c r="W139" s="82" t="s">
        <v>4865</v>
      </c>
      <c r="X139" s="77"/>
      <c r="Y139" s="77"/>
      <c r="Z139" s="77" t="s">
        <v>745</v>
      </c>
      <c r="AA139" s="77" t="s">
        <v>6690</v>
      </c>
      <c r="AB139" s="77" t="s">
        <v>7743</v>
      </c>
      <c r="AC139" s="82" t="s">
        <v>7750</v>
      </c>
      <c r="AD139" s="77" t="s">
        <v>7788</v>
      </c>
      <c r="AE139" s="80" t="str">
        <f>HYPERLINK("https://twitter.com/tcinvestimentos/status/1680570478786740230")</f>
        <v>https://twitter.com/tcinvestimentos/status/1680570478786740230</v>
      </c>
      <c r="AF139" s="79">
        <v>45123.5625</v>
      </c>
      <c r="AG139" s="85">
        <v>45123</v>
      </c>
      <c r="AH139" s="82" t="s">
        <v>7922</v>
      </c>
      <c r="AI139" s="77" t="b">
        <v>0</v>
      </c>
      <c r="AJ139" s="77"/>
      <c r="AK139" s="77"/>
      <c r="AL139" s="77"/>
      <c r="AM139" s="77"/>
      <c r="AN139" s="77"/>
      <c r="AO139" s="77"/>
      <c r="AP139" s="77"/>
      <c r="AQ139" s="77" t="s">
        <v>10662</v>
      </c>
      <c r="AR139" s="77">
        <v>55955</v>
      </c>
      <c r="AS139" s="77"/>
      <c r="AT139" s="77"/>
      <c r="AU139" s="77"/>
      <c r="AV139" s="80" t="str">
        <f>HYPERLINK("https://pbs.twimg.com/ext_tw_video_thumb/1678768933208469508/pu/img/vx7-YBB3T4XdLEA2.jpg")</f>
        <v>https://pbs.twimg.com/ext_tw_video_thumb/1678768933208469508/pu/img/vx7-YBB3T4XdLEA2.jpg</v>
      </c>
      <c r="AW139" s="82" t="s">
        <v>11849</v>
      </c>
      <c r="AX139" s="82" t="s">
        <v>11849</v>
      </c>
      <c r="AY139" s="82" t="s">
        <v>15913</v>
      </c>
      <c r="AZ139" s="82" t="s">
        <v>15984</v>
      </c>
      <c r="BA139" s="82" t="s">
        <v>15984</v>
      </c>
      <c r="BB139" s="82" t="s">
        <v>15984</v>
      </c>
      <c r="BC139" s="82" t="s">
        <v>11849</v>
      </c>
      <c r="BD139" s="82" t="s">
        <v>15933</v>
      </c>
      <c r="BE139" s="77"/>
      <c r="BF139" s="77"/>
      <c r="BG139" s="77"/>
      <c r="BH139" s="77"/>
      <c r="BI139" s="77"/>
    </row>
    <row r="140" spans="1:61" x14ac:dyDescent="0.25">
      <c r="A140" s="62" t="s">
        <v>260</v>
      </c>
      <c r="B140" s="62" t="s">
        <v>746</v>
      </c>
      <c r="C140" s="63"/>
      <c r="D140" s="64"/>
      <c r="E140" s="65"/>
      <c r="F140" s="66"/>
      <c r="G140" s="63"/>
      <c r="H140" s="67"/>
      <c r="I140" s="68"/>
      <c r="J140" s="68"/>
      <c r="K140" s="32"/>
      <c r="L140" s="75">
        <v>140</v>
      </c>
      <c r="M140" s="75"/>
      <c r="N140" s="70"/>
      <c r="O140" s="77" t="s">
        <v>895</v>
      </c>
      <c r="P140" s="79">
        <v>45135.905555555553</v>
      </c>
      <c r="Q140" s="77" t="s">
        <v>1037</v>
      </c>
      <c r="R140" s="77">
        <v>1</v>
      </c>
      <c r="S140" s="77">
        <v>5</v>
      </c>
      <c r="T140" s="77">
        <v>0</v>
      </c>
      <c r="U140" s="77">
        <v>0</v>
      </c>
      <c r="V140" s="77">
        <v>2113</v>
      </c>
      <c r="W140" s="82" t="s">
        <v>4866</v>
      </c>
      <c r="X140" s="77"/>
      <c r="Y140" s="77"/>
      <c r="Z140" s="77" t="s">
        <v>746</v>
      </c>
      <c r="AA140" s="77" t="s">
        <v>6691</v>
      </c>
      <c r="AB140" s="77" t="s">
        <v>7743</v>
      </c>
      <c r="AC140" s="82" t="s">
        <v>7750</v>
      </c>
      <c r="AD140" s="77" t="s">
        <v>7788</v>
      </c>
      <c r="AE140" s="80" t="str">
        <f>HYPERLINK("https://twitter.com/tcinvestimentos/status/1685043451799244802")</f>
        <v>https://twitter.com/tcinvestimentos/status/1685043451799244802</v>
      </c>
      <c r="AF140" s="79">
        <v>45135.905555555553</v>
      </c>
      <c r="AG140" s="85">
        <v>45135</v>
      </c>
      <c r="AH140" s="82" t="s">
        <v>7923</v>
      </c>
      <c r="AI140" s="77" t="b">
        <v>0</v>
      </c>
      <c r="AJ140" s="77"/>
      <c r="AK140" s="77"/>
      <c r="AL140" s="77"/>
      <c r="AM140" s="77"/>
      <c r="AN140" s="77"/>
      <c r="AO140" s="77"/>
      <c r="AP140" s="77"/>
      <c r="AQ140" s="77" t="s">
        <v>10663</v>
      </c>
      <c r="AR140" s="77">
        <v>52719</v>
      </c>
      <c r="AS140" s="77"/>
      <c r="AT140" s="77"/>
      <c r="AU140" s="77"/>
      <c r="AV140" s="80" t="str">
        <f>HYPERLINK("https://pbs.twimg.com/ext_tw_video_thumb/1684258190525857822/pu/img/_MlmW1w7Gh10c5JQ.jpg")</f>
        <v>https://pbs.twimg.com/ext_tw_video_thumb/1684258190525857822/pu/img/_MlmW1w7Gh10c5JQ.jpg</v>
      </c>
      <c r="AW140" s="82" t="s">
        <v>11850</v>
      </c>
      <c r="AX140" s="82" t="s">
        <v>11850</v>
      </c>
      <c r="AY140" s="77"/>
      <c r="AZ140" s="82" t="s">
        <v>15984</v>
      </c>
      <c r="BA140" s="82" t="s">
        <v>15984</v>
      </c>
      <c r="BB140" s="82" t="s">
        <v>15984</v>
      </c>
      <c r="BC140" s="82" t="s">
        <v>11850</v>
      </c>
      <c r="BD140" s="82" t="s">
        <v>15933</v>
      </c>
      <c r="BE140" s="77"/>
      <c r="BF140" s="77"/>
      <c r="BG140" s="77"/>
      <c r="BH140" s="77"/>
      <c r="BI140" s="77"/>
    </row>
    <row r="141" spans="1:61" x14ac:dyDescent="0.25">
      <c r="A141" s="62" t="s">
        <v>260</v>
      </c>
      <c r="B141" s="62" t="s">
        <v>747</v>
      </c>
      <c r="C141" s="63"/>
      <c r="D141" s="64"/>
      <c r="E141" s="65"/>
      <c r="F141" s="66"/>
      <c r="G141" s="63"/>
      <c r="H141" s="67"/>
      <c r="I141" s="68"/>
      <c r="J141" s="68"/>
      <c r="K141" s="32"/>
      <c r="L141" s="75">
        <v>141</v>
      </c>
      <c r="M141" s="75"/>
      <c r="N141" s="70"/>
      <c r="O141" s="77" t="s">
        <v>895</v>
      </c>
      <c r="P141" s="79">
        <v>45144.948611111111</v>
      </c>
      <c r="Q141" s="77" t="s">
        <v>1038</v>
      </c>
      <c r="R141" s="77">
        <v>4</v>
      </c>
      <c r="S141" s="77">
        <v>16</v>
      </c>
      <c r="T141" s="77">
        <v>2</v>
      </c>
      <c r="U141" s="77">
        <v>1</v>
      </c>
      <c r="V141" s="77">
        <v>7870</v>
      </c>
      <c r="W141" s="82" t="s">
        <v>4867</v>
      </c>
      <c r="X141" s="77"/>
      <c r="Y141" s="77"/>
      <c r="Z141" s="77" t="s">
        <v>747</v>
      </c>
      <c r="AA141" s="77" t="s">
        <v>6692</v>
      </c>
      <c r="AB141" s="77" t="s">
        <v>7743</v>
      </c>
      <c r="AC141" s="82" t="s">
        <v>7750</v>
      </c>
      <c r="AD141" s="77" t="s">
        <v>7788</v>
      </c>
      <c r="AE141" s="80" t="str">
        <f>HYPERLINK("https://twitter.com/tcinvestimentos/status/1688320545627013120")</f>
        <v>https://twitter.com/tcinvestimentos/status/1688320545627013120</v>
      </c>
      <c r="AF141" s="79">
        <v>45144.948611111111</v>
      </c>
      <c r="AG141" s="85">
        <v>45144</v>
      </c>
      <c r="AH141" s="82" t="s">
        <v>7924</v>
      </c>
      <c r="AI141" s="77" t="b">
        <v>0</v>
      </c>
      <c r="AJ141" s="77"/>
      <c r="AK141" s="77"/>
      <c r="AL141" s="77"/>
      <c r="AM141" s="77"/>
      <c r="AN141" s="77"/>
      <c r="AO141" s="77"/>
      <c r="AP141" s="77"/>
      <c r="AQ141" s="77" t="s">
        <v>10664</v>
      </c>
      <c r="AR141" s="77">
        <v>42809</v>
      </c>
      <c r="AS141" s="77"/>
      <c r="AT141" s="77"/>
      <c r="AU141" s="77"/>
      <c r="AV141" s="80" t="str">
        <f>HYPERLINK("https://pbs.twimg.com/ext_tw_video_thumb/1686810736373145601/pu/img/cfws1LK6e9UDXnEw.jpg")</f>
        <v>https://pbs.twimg.com/ext_tw_video_thumb/1686810736373145601/pu/img/cfws1LK6e9UDXnEw.jpg</v>
      </c>
      <c r="AW141" s="82" t="s">
        <v>11851</v>
      </c>
      <c r="AX141" s="82" t="s">
        <v>11851</v>
      </c>
      <c r="AY141" s="77"/>
      <c r="AZ141" s="82" t="s">
        <v>15984</v>
      </c>
      <c r="BA141" s="82" t="s">
        <v>15984</v>
      </c>
      <c r="BB141" s="82" t="s">
        <v>15984</v>
      </c>
      <c r="BC141" s="82" t="s">
        <v>11851</v>
      </c>
      <c r="BD141" s="82" t="s">
        <v>15933</v>
      </c>
      <c r="BE141" s="77"/>
      <c r="BF141" s="77"/>
      <c r="BG141" s="77"/>
      <c r="BH141" s="77"/>
      <c r="BI141" s="77"/>
    </row>
    <row r="142" spans="1:61" x14ac:dyDescent="0.25">
      <c r="A142" s="62" t="s">
        <v>260</v>
      </c>
      <c r="B142" s="62" t="s">
        <v>748</v>
      </c>
      <c r="C142" s="63"/>
      <c r="D142" s="64"/>
      <c r="E142" s="65"/>
      <c r="F142" s="66"/>
      <c r="G142" s="63"/>
      <c r="H142" s="67"/>
      <c r="I142" s="68"/>
      <c r="J142" s="68"/>
      <c r="K142" s="32"/>
      <c r="L142" s="75">
        <v>142</v>
      </c>
      <c r="M142" s="75"/>
      <c r="N142" s="70"/>
      <c r="O142" s="77" t="s">
        <v>895</v>
      </c>
      <c r="P142" s="79">
        <v>45151.5625</v>
      </c>
      <c r="Q142" s="77" t="s">
        <v>1039</v>
      </c>
      <c r="R142" s="77">
        <v>1</v>
      </c>
      <c r="S142" s="77">
        <v>3</v>
      </c>
      <c r="T142" s="77">
        <v>0</v>
      </c>
      <c r="U142" s="77">
        <v>0</v>
      </c>
      <c r="V142" s="77">
        <v>1509</v>
      </c>
      <c r="W142" s="82" t="s">
        <v>4868</v>
      </c>
      <c r="X142" s="80" t="str">
        <f>HYPERLINK("https://acesse.tc.com.br/e/hIlTx0DZ9yb")</f>
        <v>https://acesse.tc.com.br/e/hIlTx0DZ9yb</v>
      </c>
      <c r="Y142" s="77" t="s">
        <v>6470</v>
      </c>
      <c r="Z142" s="77" t="s">
        <v>748</v>
      </c>
      <c r="AA142" s="77" t="s">
        <v>6693</v>
      </c>
      <c r="AB142" s="77" t="s">
        <v>7743</v>
      </c>
      <c r="AC142" s="82" t="s">
        <v>7750</v>
      </c>
      <c r="AD142" s="77" t="s">
        <v>7788</v>
      </c>
      <c r="AE142" s="80" t="str">
        <f>HYPERLINK("https://twitter.com/tcinvestimentos/status/1690717339216494592")</f>
        <v>https://twitter.com/tcinvestimentos/status/1690717339216494592</v>
      </c>
      <c r="AF142" s="79">
        <v>45151.5625</v>
      </c>
      <c r="AG142" s="85">
        <v>45151</v>
      </c>
      <c r="AH142" s="82" t="s">
        <v>7922</v>
      </c>
      <c r="AI142" s="77" t="b">
        <v>0</v>
      </c>
      <c r="AJ142" s="77"/>
      <c r="AK142" s="77"/>
      <c r="AL142" s="77"/>
      <c r="AM142" s="77"/>
      <c r="AN142" s="77"/>
      <c r="AO142" s="77"/>
      <c r="AP142" s="77"/>
      <c r="AQ142" s="77" t="s">
        <v>10665</v>
      </c>
      <c r="AR142" s="77">
        <v>59793</v>
      </c>
      <c r="AS142" s="77"/>
      <c r="AT142" s="77"/>
      <c r="AU142" s="77"/>
      <c r="AV142" s="80" t="str">
        <f>HYPERLINK("https://pbs.twimg.com/ext_tw_video_thumb/1688944274807615488/pu/img/b0ZmwSILK2-AR0Sh.jpg")</f>
        <v>https://pbs.twimg.com/ext_tw_video_thumb/1688944274807615488/pu/img/b0ZmwSILK2-AR0Sh.jpg</v>
      </c>
      <c r="AW142" s="82" t="s">
        <v>11852</v>
      </c>
      <c r="AX142" s="82" t="s">
        <v>11852</v>
      </c>
      <c r="AY142" s="77"/>
      <c r="AZ142" s="82" t="s">
        <v>15984</v>
      </c>
      <c r="BA142" s="82" t="s">
        <v>15984</v>
      </c>
      <c r="BB142" s="82" t="s">
        <v>15984</v>
      </c>
      <c r="BC142" s="82" t="s">
        <v>11852</v>
      </c>
      <c r="BD142" s="82" t="s">
        <v>15933</v>
      </c>
      <c r="BE142" s="77"/>
      <c r="BF142" s="77"/>
      <c r="BG142" s="77"/>
      <c r="BH142" s="77"/>
      <c r="BI142" s="77"/>
    </row>
    <row r="143" spans="1:61" x14ac:dyDescent="0.25">
      <c r="A143" s="62" t="s">
        <v>260</v>
      </c>
      <c r="B143" s="62" t="s">
        <v>749</v>
      </c>
      <c r="C143" s="63"/>
      <c r="D143" s="64"/>
      <c r="E143" s="65"/>
      <c r="F143" s="66"/>
      <c r="G143" s="63"/>
      <c r="H143" s="67"/>
      <c r="I143" s="68"/>
      <c r="J143" s="68"/>
      <c r="K143" s="32"/>
      <c r="L143" s="75">
        <v>143</v>
      </c>
      <c r="M143" s="75"/>
      <c r="N143" s="70"/>
      <c r="O143" s="77" t="s">
        <v>895</v>
      </c>
      <c r="P143" s="79">
        <v>45150.956250000003</v>
      </c>
      <c r="Q143" s="77" t="s">
        <v>1040</v>
      </c>
      <c r="R143" s="77">
        <v>1</v>
      </c>
      <c r="S143" s="77">
        <v>1</v>
      </c>
      <c r="T143" s="77">
        <v>0</v>
      </c>
      <c r="U143" s="77">
        <v>0</v>
      </c>
      <c r="V143" s="77">
        <v>2282</v>
      </c>
      <c r="W143" s="82" t="s">
        <v>4869</v>
      </c>
      <c r="X143" s="77"/>
      <c r="Y143" s="77"/>
      <c r="Z143" s="77" t="s">
        <v>749</v>
      </c>
      <c r="AA143" s="77" t="s">
        <v>6694</v>
      </c>
      <c r="AB143" s="77" t="s">
        <v>7743</v>
      </c>
      <c r="AC143" s="82" t="s">
        <v>7750</v>
      </c>
      <c r="AD143" s="77" t="s">
        <v>7788</v>
      </c>
      <c r="AE143" s="80" t="str">
        <f>HYPERLINK("https://twitter.com/tcinvestimentos/status/1690497641061273602")</f>
        <v>https://twitter.com/tcinvestimentos/status/1690497641061273602</v>
      </c>
      <c r="AF143" s="79">
        <v>45150.956250000003</v>
      </c>
      <c r="AG143" s="85">
        <v>45150</v>
      </c>
      <c r="AH143" s="82" t="s">
        <v>7925</v>
      </c>
      <c r="AI143" s="77" t="b">
        <v>0</v>
      </c>
      <c r="AJ143" s="77"/>
      <c r="AK143" s="77"/>
      <c r="AL143" s="77"/>
      <c r="AM143" s="77"/>
      <c r="AN143" s="77"/>
      <c r="AO143" s="77"/>
      <c r="AP143" s="77"/>
      <c r="AQ143" s="77" t="s">
        <v>10666</v>
      </c>
      <c r="AR143" s="77">
        <v>58258</v>
      </c>
      <c r="AS143" s="77"/>
      <c r="AT143" s="77"/>
      <c r="AU143" s="77"/>
      <c r="AV143" s="80" t="str">
        <f>HYPERLINK("https://pbs.twimg.com/ext_tw_video_thumb/1688942293795897344/pu/img/Iz81U8Knhe_vQbV5.jpg")</f>
        <v>https://pbs.twimg.com/ext_tw_video_thumb/1688942293795897344/pu/img/Iz81U8Knhe_vQbV5.jpg</v>
      </c>
      <c r="AW143" s="82" t="s">
        <v>11853</v>
      </c>
      <c r="AX143" s="82" t="s">
        <v>11853</v>
      </c>
      <c r="AY143" s="77"/>
      <c r="AZ143" s="82" t="s">
        <v>15984</v>
      </c>
      <c r="BA143" s="82" t="s">
        <v>15984</v>
      </c>
      <c r="BB143" s="82" t="s">
        <v>15984</v>
      </c>
      <c r="BC143" s="82" t="s">
        <v>11853</v>
      </c>
      <c r="BD143" s="82" t="s">
        <v>15933</v>
      </c>
      <c r="BE143" s="77"/>
      <c r="BF143" s="77"/>
      <c r="BG143" s="77"/>
      <c r="BH143" s="77"/>
      <c r="BI143" s="77"/>
    </row>
    <row r="144" spans="1:61" x14ac:dyDescent="0.25">
      <c r="A144" s="62" t="s">
        <v>260</v>
      </c>
      <c r="B144" s="62" t="s">
        <v>750</v>
      </c>
      <c r="C144" s="63"/>
      <c r="D144" s="64"/>
      <c r="E144" s="65"/>
      <c r="F144" s="66"/>
      <c r="G144" s="63"/>
      <c r="H144" s="67"/>
      <c r="I144" s="68"/>
      <c r="J144" s="68"/>
      <c r="K144" s="32"/>
      <c r="L144" s="75">
        <v>144</v>
      </c>
      <c r="M144" s="75"/>
      <c r="N144" s="70"/>
      <c r="O144" s="77" t="s">
        <v>895</v>
      </c>
      <c r="P144" s="79">
        <v>45130.9375</v>
      </c>
      <c r="Q144" s="77" t="s">
        <v>1041</v>
      </c>
      <c r="R144" s="77">
        <v>1</v>
      </c>
      <c r="S144" s="77">
        <v>8</v>
      </c>
      <c r="T144" s="77">
        <v>0</v>
      </c>
      <c r="U144" s="77">
        <v>1</v>
      </c>
      <c r="V144" s="77">
        <v>4161</v>
      </c>
      <c r="W144" s="82" t="s">
        <v>4870</v>
      </c>
      <c r="X144" s="77"/>
      <c r="Y144" s="77"/>
      <c r="Z144" s="77" t="s">
        <v>750</v>
      </c>
      <c r="AA144" s="77" t="s">
        <v>6695</v>
      </c>
      <c r="AB144" s="77" t="s">
        <v>7743</v>
      </c>
      <c r="AC144" s="82" t="s">
        <v>7750</v>
      </c>
      <c r="AD144" s="77" t="s">
        <v>7788</v>
      </c>
      <c r="AE144" s="80" t="str">
        <f>HYPERLINK("https://twitter.com/tcinvestimentos/status/1683243091682029570")</f>
        <v>https://twitter.com/tcinvestimentos/status/1683243091682029570</v>
      </c>
      <c r="AF144" s="79">
        <v>45130.9375</v>
      </c>
      <c r="AG144" s="85">
        <v>45130</v>
      </c>
      <c r="AH144" s="82" t="s">
        <v>7926</v>
      </c>
      <c r="AI144" s="77" t="b">
        <v>0</v>
      </c>
      <c r="AJ144" s="77"/>
      <c r="AK144" s="77"/>
      <c r="AL144" s="77"/>
      <c r="AM144" s="77"/>
      <c r="AN144" s="77"/>
      <c r="AO144" s="77"/>
      <c r="AP144" s="77"/>
      <c r="AQ144" s="77" t="s">
        <v>10667</v>
      </c>
      <c r="AR144" s="77">
        <v>57590</v>
      </c>
      <c r="AS144" s="77"/>
      <c r="AT144" s="77"/>
      <c r="AU144" s="77"/>
      <c r="AV144" s="80" t="str">
        <f>HYPERLINK("https://pbs.twimg.com/ext_tw_video_thumb/1681349506581905442/pu/img/p_TkMhf0CakgMqRx.jpg")</f>
        <v>https://pbs.twimg.com/ext_tw_video_thumb/1681349506581905442/pu/img/p_TkMhf0CakgMqRx.jpg</v>
      </c>
      <c r="AW144" s="82" t="s">
        <v>11854</v>
      </c>
      <c r="AX144" s="82" t="s">
        <v>11854</v>
      </c>
      <c r="AY144" s="77"/>
      <c r="AZ144" s="82" t="s">
        <v>15984</v>
      </c>
      <c r="BA144" s="82" t="s">
        <v>15984</v>
      </c>
      <c r="BB144" s="82" t="s">
        <v>15984</v>
      </c>
      <c r="BC144" s="82" t="s">
        <v>11854</v>
      </c>
      <c r="BD144" s="82" t="s">
        <v>15933</v>
      </c>
      <c r="BE144" s="77"/>
      <c r="BF144" s="77"/>
      <c r="BG144" s="77"/>
      <c r="BH144" s="77"/>
      <c r="BI144" s="77"/>
    </row>
    <row r="145" spans="1:61" x14ac:dyDescent="0.25">
      <c r="A145" s="62" t="s">
        <v>260</v>
      </c>
      <c r="B145" s="62" t="s">
        <v>751</v>
      </c>
      <c r="C145" s="63"/>
      <c r="D145" s="64"/>
      <c r="E145" s="65"/>
      <c r="F145" s="66"/>
      <c r="G145" s="63"/>
      <c r="H145" s="67"/>
      <c r="I145" s="68"/>
      <c r="J145" s="68"/>
      <c r="K145" s="32"/>
      <c r="L145" s="75">
        <v>145</v>
      </c>
      <c r="M145" s="75"/>
      <c r="N145" s="70"/>
      <c r="O145" s="77" t="s">
        <v>895</v>
      </c>
      <c r="P145" s="79">
        <v>45164.990277777775</v>
      </c>
      <c r="Q145" s="77" t="s">
        <v>1042</v>
      </c>
      <c r="R145" s="77">
        <v>1</v>
      </c>
      <c r="S145" s="77">
        <v>9</v>
      </c>
      <c r="T145" s="77">
        <v>0</v>
      </c>
      <c r="U145" s="77">
        <v>0</v>
      </c>
      <c r="V145" s="77">
        <v>2949</v>
      </c>
      <c r="W145" s="82" t="s">
        <v>4871</v>
      </c>
      <c r="X145" s="77"/>
      <c r="Y145" s="77"/>
      <c r="Z145" s="77" t="s">
        <v>751</v>
      </c>
      <c r="AA145" s="77" t="s">
        <v>6696</v>
      </c>
      <c r="AB145" s="77" t="s">
        <v>7743</v>
      </c>
      <c r="AC145" s="82" t="s">
        <v>7750</v>
      </c>
      <c r="AD145" s="77" t="s">
        <v>7788</v>
      </c>
      <c r="AE145" s="80" t="str">
        <f>HYPERLINK("https://twitter.com/tcinvestimentos/status/1695583402357916017")</f>
        <v>https://twitter.com/tcinvestimentos/status/1695583402357916017</v>
      </c>
      <c r="AF145" s="79">
        <v>45164.990277777775</v>
      </c>
      <c r="AG145" s="85">
        <v>45164</v>
      </c>
      <c r="AH145" s="82" t="s">
        <v>7927</v>
      </c>
      <c r="AI145" s="77" t="b">
        <v>0</v>
      </c>
      <c r="AJ145" s="77"/>
      <c r="AK145" s="77"/>
      <c r="AL145" s="77"/>
      <c r="AM145" s="77"/>
      <c r="AN145" s="77"/>
      <c r="AO145" s="77"/>
      <c r="AP145" s="77"/>
      <c r="AQ145" s="77" t="s">
        <v>10668</v>
      </c>
      <c r="AR145" s="77">
        <v>53778</v>
      </c>
      <c r="AS145" s="77"/>
      <c r="AT145" s="77"/>
      <c r="AU145" s="77"/>
      <c r="AV145" s="80" t="str">
        <f>HYPERLINK("https://pbs.twimg.com/ext_tw_video_thumb/1694783547410665472/pu/img/InHSNA4QrCJwriK7.jpg")</f>
        <v>https://pbs.twimg.com/ext_tw_video_thumb/1694783547410665472/pu/img/InHSNA4QrCJwriK7.jpg</v>
      </c>
      <c r="AW145" s="82" t="s">
        <v>11855</v>
      </c>
      <c r="AX145" s="82" t="s">
        <v>11855</v>
      </c>
      <c r="AY145" s="77"/>
      <c r="AZ145" s="82" t="s">
        <v>15984</v>
      </c>
      <c r="BA145" s="82" t="s">
        <v>15984</v>
      </c>
      <c r="BB145" s="82" t="s">
        <v>15984</v>
      </c>
      <c r="BC145" s="82" t="s">
        <v>11855</v>
      </c>
      <c r="BD145" s="82" t="s">
        <v>15933</v>
      </c>
      <c r="BE145" s="77"/>
      <c r="BF145" s="77"/>
      <c r="BG145" s="77"/>
      <c r="BH145" s="77"/>
      <c r="BI145" s="77"/>
    </row>
    <row r="146" spans="1:61" x14ac:dyDescent="0.25">
      <c r="A146" s="62" t="s">
        <v>260</v>
      </c>
      <c r="B146" s="62" t="s">
        <v>752</v>
      </c>
      <c r="C146" s="63"/>
      <c r="D146" s="64"/>
      <c r="E146" s="65"/>
      <c r="F146" s="66"/>
      <c r="G146" s="63"/>
      <c r="H146" s="67"/>
      <c r="I146" s="68"/>
      <c r="J146" s="68"/>
      <c r="K146" s="32"/>
      <c r="L146" s="75">
        <v>146</v>
      </c>
      <c r="M146" s="75"/>
      <c r="N146" s="70"/>
      <c r="O146" s="77" t="s">
        <v>895</v>
      </c>
      <c r="P146" s="79">
        <v>45191.979166666664</v>
      </c>
      <c r="Q146" s="77" t="s">
        <v>1043</v>
      </c>
      <c r="R146" s="77">
        <v>0</v>
      </c>
      <c r="S146" s="77">
        <v>6</v>
      </c>
      <c r="T146" s="77">
        <v>1</v>
      </c>
      <c r="U146" s="77">
        <v>0</v>
      </c>
      <c r="V146" s="77">
        <v>2617</v>
      </c>
      <c r="W146" s="82" t="s">
        <v>4872</v>
      </c>
      <c r="X146" s="77"/>
      <c r="Y146" s="77"/>
      <c r="Z146" s="77" t="s">
        <v>752</v>
      </c>
      <c r="AA146" s="77" t="s">
        <v>6697</v>
      </c>
      <c r="AB146" s="77" t="s">
        <v>7743</v>
      </c>
      <c r="AC146" s="82" t="s">
        <v>7750</v>
      </c>
      <c r="AD146" s="77" t="s">
        <v>7788</v>
      </c>
      <c r="AE146" s="80" t="str">
        <f>HYPERLINK("https://twitter.com/tcinvestimentos/status/1705363848155292103")</f>
        <v>https://twitter.com/tcinvestimentos/status/1705363848155292103</v>
      </c>
      <c r="AF146" s="79">
        <v>45191.979166666664</v>
      </c>
      <c r="AG146" s="85">
        <v>45191</v>
      </c>
      <c r="AH146" s="82" t="s">
        <v>7928</v>
      </c>
      <c r="AI146" s="77" t="b">
        <v>0</v>
      </c>
      <c r="AJ146" s="77"/>
      <c r="AK146" s="77"/>
      <c r="AL146" s="77"/>
      <c r="AM146" s="77"/>
      <c r="AN146" s="77"/>
      <c r="AO146" s="77"/>
      <c r="AP146" s="77"/>
      <c r="AQ146" s="77" t="s">
        <v>10669</v>
      </c>
      <c r="AR146" s="77">
        <v>59459</v>
      </c>
      <c r="AS146" s="77"/>
      <c r="AT146" s="77"/>
      <c r="AU146" s="77"/>
      <c r="AV146" s="80" t="str">
        <f>HYPERLINK("https://pbs.twimg.com/ext_tw_video_thumb/1704155002120421376/pu/img/T3RMB_WOE6gN31SZ.jpg")</f>
        <v>https://pbs.twimg.com/ext_tw_video_thumb/1704155002120421376/pu/img/T3RMB_WOE6gN31SZ.jpg</v>
      </c>
      <c r="AW146" s="82" t="s">
        <v>11856</v>
      </c>
      <c r="AX146" s="82" t="s">
        <v>11856</v>
      </c>
      <c r="AY146" s="77"/>
      <c r="AZ146" s="82" t="s">
        <v>15984</v>
      </c>
      <c r="BA146" s="82" t="s">
        <v>15984</v>
      </c>
      <c r="BB146" s="82" t="s">
        <v>15984</v>
      </c>
      <c r="BC146" s="82" t="s">
        <v>11856</v>
      </c>
      <c r="BD146" s="82" t="s">
        <v>15933</v>
      </c>
      <c r="BE146" s="77"/>
      <c r="BF146" s="77"/>
      <c r="BG146" s="77"/>
      <c r="BH146" s="77"/>
      <c r="BI146" s="77"/>
    </row>
    <row r="147" spans="1:61" x14ac:dyDescent="0.25">
      <c r="A147" s="62" t="s">
        <v>261</v>
      </c>
      <c r="B147" s="62" t="s">
        <v>261</v>
      </c>
      <c r="C147" s="63"/>
      <c r="D147" s="64"/>
      <c r="E147" s="65"/>
      <c r="F147" s="66"/>
      <c r="G147" s="63"/>
      <c r="H147" s="67"/>
      <c r="I147" s="68"/>
      <c r="J147" s="68"/>
      <c r="K147" s="32"/>
      <c r="L147" s="75">
        <v>147</v>
      </c>
      <c r="M147" s="75"/>
      <c r="N147" s="70"/>
      <c r="O147" s="77" t="s">
        <v>898</v>
      </c>
      <c r="P147" s="79">
        <v>45135.801886574074</v>
      </c>
      <c r="Q147" s="77" t="s">
        <v>1044</v>
      </c>
      <c r="R147" s="77">
        <v>0</v>
      </c>
      <c r="S147" s="77">
        <v>0</v>
      </c>
      <c r="T147" s="77">
        <v>1</v>
      </c>
      <c r="U147" s="77">
        <v>0</v>
      </c>
      <c r="V147" s="77">
        <v>9</v>
      </c>
      <c r="W147" s="82" t="s">
        <v>4839</v>
      </c>
      <c r="X147" s="77"/>
      <c r="Y147" s="77"/>
      <c r="Z147" s="77"/>
      <c r="AA147" s="77"/>
      <c r="AB147" s="77"/>
      <c r="AC147" s="82" t="s">
        <v>7750</v>
      </c>
      <c r="AD147" s="77" t="s">
        <v>7788</v>
      </c>
      <c r="AE147" s="80" t="str">
        <f>HYPERLINK("https://twitter.com/andrecerque/status/1685005883883798528")</f>
        <v>https://twitter.com/andrecerque/status/1685005883883798528</v>
      </c>
      <c r="AF147" s="79">
        <v>45135.801886574074</v>
      </c>
      <c r="AG147" s="85">
        <v>45135</v>
      </c>
      <c r="AH147" s="82" t="s">
        <v>7929</v>
      </c>
      <c r="AI147" s="77"/>
      <c r="AJ147" s="77"/>
      <c r="AK147" s="77"/>
      <c r="AL147" s="77"/>
      <c r="AM147" s="77"/>
      <c r="AN147" s="77"/>
      <c r="AO147" s="77"/>
      <c r="AP147" s="77"/>
      <c r="AQ147" s="77"/>
      <c r="AR147" s="77"/>
      <c r="AS147" s="77"/>
      <c r="AT147" s="77"/>
      <c r="AU147" s="77"/>
      <c r="AV147" s="80" t="str">
        <f>HYPERLINK("https://pbs.twimg.com/profile_images/1555536899057631234/UFFMYTPh_normal.jpg")</f>
        <v>https://pbs.twimg.com/profile_images/1555536899057631234/UFFMYTPh_normal.jpg</v>
      </c>
      <c r="AW147" s="82" t="s">
        <v>11857</v>
      </c>
      <c r="AX147" s="82" t="s">
        <v>15739</v>
      </c>
      <c r="AY147" s="82" t="s">
        <v>15914</v>
      </c>
      <c r="AZ147" s="82" t="s">
        <v>15986</v>
      </c>
      <c r="BA147" s="82" t="s">
        <v>15984</v>
      </c>
      <c r="BB147" s="82" t="s">
        <v>15984</v>
      </c>
      <c r="BC147" s="82" t="s">
        <v>15986</v>
      </c>
      <c r="BD147" s="77">
        <v>89583768</v>
      </c>
      <c r="BE147" s="77"/>
      <c r="BF147" s="77"/>
      <c r="BG147" s="77"/>
      <c r="BH147" s="77"/>
      <c r="BI147" s="77"/>
    </row>
    <row r="148" spans="1:61" x14ac:dyDescent="0.25">
      <c r="A148" s="62" t="s">
        <v>262</v>
      </c>
      <c r="B148" s="62" t="s">
        <v>262</v>
      </c>
      <c r="C148" s="63"/>
      <c r="D148" s="64"/>
      <c r="E148" s="65"/>
      <c r="F148" s="66"/>
      <c r="G148" s="63"/>
      <c r="H148" s="67"/>
      <c r="I148" s="68"/>
      <c r="J148" s="68"/>
      <c r="K148" s="32"/>
      <c r="L148" s="75">
        <v>148</v>
      </c>
      <c r="M148" s="75"/>
      <c r="N148" s="70"/>
      <c r="O148" s="77" t="s">
        <v>179</v>
      </c>
      <c r="P148" s="79">
        <v>45132.770833333336</v>
      </c>
      <c r="Q148" s="77" t="s">
        <v>1045</v>
      </c>
      <c r="R148" s="77">
        <v>0</v>
      </c>
      <c r="S148" s="77">
        <v>0</v>
      </c>
      <c r="T148" s="77">
        <v>0</v>
      </c>
      <c r="U148" s="77">
        <v>0</v>
      </c>
      <c r="V148" s="77">
        <v>58</v>
      </c>
      <c r="W148" s="82" t="s">
        <v>4873</v>
      </c>
      <c r="X148" s="80" t="str">
        <f>HYPERLINK("https://br61.com.br/q/MINE230408")</f>
        <v>https://br61.com.br/q/MINE230408</v>
      </c>
      <c r="Y148" s="77" t="s">
        <v>6470</v>
      </c>
      <c r="Z148" s="77"/>
      <c r="AA148" s="77"/>
      <c r="AB148" s="77"/>
      <c r="AC148" s="82" t="s">
        <v>7750</v>
      </c>
      <c r="AD148" s="77" t="s">
        <v>7788</v>
      </c>
      <c r="AE148" s="80" t="str">
        <f>HYPERLINK("https://twitter.com/brasil61_/status/1683907468840009734")</f>
        <v>https://twitter.com/brasil61_/status/1683907468840009734</v>
      </c>
      <c r="AF148" s="79">
        <v>45132.770833333336</v>
      </c>
      <c r="AG148" s="85">
        <v>45132</v>
      </c>
      <c r="AH148" s="82" t="s">
        <v>7930</v>
      </c>
      <c r="AI148" s="77" t="b">
        <v>0</v>
      </c>
      <c r="AJ148" s="77"/>
      <c r="AK148" s="77"/>
      <c r="AL148" s="77"/>
      <c r="AM148" s="77"/>
      <c r="AN148" s="77"/>
      <c r="AO148" s="77"/>
      <c r="AP148" s="77"/>
      <c r="AQ148" s="77"/>
      <c r="AR148" s="77"/>
      <c r="AS148" s="77"/>
      <c r="AT148" s="77"/>
      <c r="AU148" s="77"/>
      <c r="AV148" s="80" t="str">
        <f>HYPERLINK("https://pbs.twimg.com/profile_images/1478016741871652864/b_NJh157_normal.jpg")</f>
        <v>https://pbs.twimg.com/profile_images/1478016741871652864/b_NJh157_normal.jpg</v>
      </c>
      <c r="AW148" s="82" t="s">
        <v>11858</v>
      </c>
      <c r="AX148" s="82" t="s">
        <v>11858</v>
      </c>
      <c r="AY148" s="77"/>
      <c r="AZ148" s="82" t="s">
        <v>15984</v>
      </c>
      <c r="BA148" s="82" t="s">
        <v>15984</v>
      </c>
      <c r="BB148" s="82" t="s">
        <v>15984</v>
      </c>
      <c r="BC148" s="82" t="s">
        <v>11858</v>
      </c>
      <c r="BD148" s="77">
        <v>36115008</v>
      </c>
      <c r="BE148" s="77"/>
      <c r="BF148" s="77"/>
      <c r="BG148" s="77"/>
      <c r="BH148" s="77"/>
      <c r="BI148" s="77"/>
    </row>
    <row r="149" spans="1:61" x14ac:dyDescent="0.25">
      <c r="A149" s="62" t="s">
        <v>263</v>
      </c>
      <c r="B149" s="62" t="s">
        <v>263</v>
      </c>
      <c r="C149" s="63"/>
      <c r="D149" s="64"/>
      <c r="E149" s="65"/>
      <c r="F149" s="66"/>
      <c r="G149" s="63"/>
      <c r="H149" s="67"/>
      <c r="I149" s="68"/>
      <c r="J149" s="68"/>
      <c r="K149" s="32"/>
      <c r="L149" s="75">
        <v>149</v>
      </c>
      <c r="M149" s="75"/>
      <c r="N149" s="70"/>
      <c r="O149" s="77" t="s">
        <v>179</v>
      </c>
      <c r="P149" s="79">
        <v>45185.64435185185</v>
      </c>
      <c r="Q149" s="77" t="s">
        <v>1046</v>
      </c>
      <c r="R149" s="77">
        <v>1</v>
      </c>
      <c r="S149" s="77">
        <v>0</v>
      </c>
      <c r="T149" s="77">
        <v>0</v>
      </c>
      <c r="U149" s="77">
        <v>0</v>
      </c>
      <c r="V149" s="77">
        <v>6</v>
      </c>
      <c r="W149" s="82" t="s">
        <v>4874</v>
      </c>
      <c r="X149" s="80" t="str">
        <f>HYPERLINK("https://www.youtube.com/watch?v=uXUzRtJvDVc")</f>
        <v>https://www.youtube.com/watch?v=uXUzRtJvDVc</v>
      </c>
      <c r="Y149" s="77" t="s">
        <v>6480</v>
      </c>
      <c r="Z149" s="77"/>
      <c r="AA149" s="77"/>
      <c r="AB149" s="77"/>
      <c r="AC149" s="82" t="s">
        <v>7750</v>
      </c>
      <c r="AD149" s="77" t="s">
        <v>7791</v>
      </c>
      <c r="AE149" s="80" t="str">
        <f>HYPERLINK("https://twitter.com/skyclaw4/status/1703068189561684184")</f>
        <v>https://twitter.com/skyclaw4/status/1703068189561684184</v>
      </c>
      <c r="AF149" s="79">
        <v>45185.64435185185</v>
      </c>
      <c r="AG149" s="85">
        <v>45185</v>
      </c>
      <c r="AH149" s="82" t="s">
        <v>7931</v>
      </c>
      <c r="AI149" s="77" t="b">
        <v>1</v>
      </c>
      <c r="AJ149" s="77"/>
      <c r="AK149" s="77"/>
      <c r="AL149" s="77"/>
      <c r="AM149" s="77"/>
      <c r="AN149" s="77"/>
      <c r="AO149" s="77"/>
      <c r="AP149" s="77"/>
      <c r="AQ149" s="77"/>
      <c r="AR149" s="77"/>
      <c r="AS149" s="77"/>
      <c r="AT149" s="77"/>
      <c r="AU149" s="77"/>
      <c r="AV149" s="80" t="str">
        <f>HYPERLINK("https://pbs.twimg.com/profile_images/1686844189332365312/GMhQ2r7__normal.jpg")</f>
        <v>https://pbs.twimg.com/profile_images/1686844189332365312/GMhQ2r7__normal.jpg</v>
      </c>
      <c r="AW149" s="82" t="s">
        <v>11859</v>
      </c>
      <c r="AX149" s="82" t="s">
        <v>11859</v>
      </c>
      <c r="AY149" s="77"/>
      <c r="AZ149" s="82" t="s">
        <v>15984</v>
      </c>
      <c r="BA149" s="82" t="s">
        <v>15984</v>
      </c>
      <c r="BB149" s="82" t="s">
        <v>15984</v>
      </c>
      <c r="BC149" s="82" t="s">
        <v>11859</v>
      </c>
      <c r="BD149" s="82" t="s">
        <v>16124</v>
      </c>
      <c r="BE149" s="77"/>
      <c r="BF149" s="77"/>
      <c r="BG149" s="77"/>
      <c r="BH149" s="77"/>
      <c r="BI149" s="77"/>
    </row>
    <row r="150" spans="1:61" x14ac:dyDescent="0.25">
      <c r="A150" s="62" t="s">
        <v>264</v>
      </c>
      <c r="B150" s="62" t="s">
        <v>670</v>
      </c>
      <c r="C150" s="63"/>
      <c r="D150" s="64"/>
      <c r="E150" s="65"/>
      <c r="F150" s="66"/>
      <c r="G150" s="63"/>
      <c r="H150" s="67"/>
      <c r="I150" s="68"/>
      <c r="J150" s="68"/>
      <c r="K150" s="32"/>
      <c r="L150" s="75">
        <v>150</v>
      </c>
      <c r="M150" s="75"/>
      <c r="N150" s="70"/>
      <c r="O150" s="77" t="s">
        <v>896</v>
      </c>
      <c r="P150" s="79">
        <v>45118.575775462959</v>
      </c>
      <c r="Q150" s="77" t="s">
        <v>1047</v>
      </c>
      <c r="R150" s="77">
        <v>0</v>
      </c>
      <c r="S150" s="77">
        <v>3</v>
      </c>
      <c r="T150" s="77">
        <v>0</v>
      </c>
      <c r="U150" s="77">
        <v>0</v>
      </c>
      <c r="V150" s="77">
        <v>237</v>
      </c>
      <c r="W150" s="82" t="s">
        <v>4875</v>
      </c>
      <c r="X150" s="77"/>
      <c r="Y150" s="77"/>
      <c r="Z150" s="77"/>
      <c r="AA150" s="77"/>
      <c r="AB150" s="77"/>
      <c r="AC150" s="82" t="s">
        <v>7751</v>
      </c>
      <c r="AD150" s="77" t="s">
        <v>7790</v>
      </c>
      <c r="AE150" s="80" t="str">
        <f>HYPERLINK("https://twitter.com/ulisesarayad/status/1678763352103985155")</f>
        <v>https://twitter.com/ulisesarayad/status/1678763352103985155</v>
      </c>
      <c r="AF150" s="79">
        <v>45118.575775462959</v>
      </c>
      <c r="AG150" s="85">
        <v>45118</v>
      </c>
      <c r="AH150" s="82" t="s">
        <v>7932</v>
      </c>
      <c r="AI150" s="77"/>
      <c r="AJ150" s="77"/>
      <c r="AK150" s="77"/>
      <c r="AL150" s="77"/>
      <c r="AM150" s="77"/>
      <c r="AN150" s="77"/>
      <c r="AO150" s="77"/>
      <c r="AP150" s="77"/>
      <c r="AQ150" s="77"/>
      <c r="AR150" s="77"/>
      <c r="AS150" s="77"/>
      <c r="AT150" s="77"/>
      <c r="AU150" s="77"/>
      <c r="AV150" s="80" t="str">
        <f>HYPERLINK("https://pbs.twimg.com/profile_images/1657244850289274880/at-huCUd_normal.jpg")</f>
        <v>https://pbs.twimg.com/profile_images/1657244850289274880/at-huCUd_normal.jpg</v>
      </c>
      <c r="AW150" s="82" t="s">
        <v>11860</v>
      </c>
      <c r="AX150" s="82" t="s">
        <v>11860</v>
      </c>
      <c r="AY150" s="77"/>
      <c r="AZ150" s="82" t="s">
        <v>15984</v>
      </c>
      <c r="BA150" s="82" t="s">
        <v>13290</v>
      </c>
      <c r="BB150" s="82" t="s">
        <v>15984</v>
      </c>
      <c r="BC150" s="82" t="s">
        <v>13290</v>
      </c>
      <c r="BD150" s="82" t="s">
        <v>16125</v>
      </c>
      <c r="BE150" s="77"/>
      <c r="BF150" s="77"/>
      <c r="BG150" s="77"/>
      <c r="BH150" s="77"/>
      <c r="BI150" s="77"/>
    </row>
    <row r="151" spans="1:61" x14ac:dyDescent="0.25">
      <c r="A151" s="62" t="s">
        <v>265</v>
      </c>
      <c r="B151" s="62" t="s">
        <v>265</v>
      </c>
      <c r="C151" s="63"/>
      <c r="D151" s="64"/>
      <c r="E151" s="65"/>
      <c r="F151" s="66"/>
      <c r="G151" s="63"/>
      <c r="H151" s="67"/>
      <c r="I151" s="68"/>
      <c r="J151" s="68"/>
      <c r="K151" s="32"/>
      <c r="L151" s="75">
        <v>151</v>
      </c>
      <c r="M151" s="75"/>
      <c r="N151" s="70"/>
      <c r="O151" s="77" t="s">
        <v>179</v>
      </c>
      <c r="P151" s="79">
        <v>45167.791678240741</v>
      </c>
      <c r="Q151" s="77" t="s">
        <v>1048</v>
      </c>
      <c r="R151" s="77">
        <v>1</v>
      </c>
      <c r="S151" s="77">
        <v>6</v>
      </c>
      <c r="T151" s="77">
        <v>1</v>
      </c>
      <c r="U151" s="77">
        <v>0</v>
      </c>
      <c r="V151" s="77">
        <v>577</v>
      </c>
      <c r="W151" s="82" t="s">
        <v>4876</v>
      </c>
      <c r="X151" s="77"/>
      <c r="Y151" s="77"/>
      <c r="Z151" s="77"/>
      <c r="AA151" s="77"/>
      <c r="AB151" s="77"/>
      <c r="AC151" s="82" t="s">
        <v>7750</v>
      </c>
      <c r="AD151" s="77" t="s">
        <v>7788</v>
      </c>
      <c r="AE151" s="80" t="str">
        <f>HYPERLINK("https://twitter.com/coinexportugues/status/1696598598451073449")</f>
        <v>https://twitter.com/coinexportugues/status/1696598598451073449</v>
      </c>
      <c r="AF151" s="79">
        <v>45167.791678240741</v>
      </c>
      <c r="AG151" s="85">
        <v>45167</v>
      </c>
      <c r="AH151" s="82" t="s">
        <v>7933</v>
      </c>
      <c r="AI151" s="77"/>
      <c r="AJ151" s="77"/>
      <c r="AK151" s="77"/>
      <c r="AL151" s="77"/>
      <c r="AM151" s="77"/>
      <c r="AN151" s="77"/>
      <c r="AO151" s="77"/>
      <c r="AP151" s="77"/>
      <c r="AQ151" s="77"/>
      <c r="AR151" s="77"/>
      <c r="AS151" s="77"/>
      <c r="AT151" s="77"/>
      <c r="AU151" s="77"/>
      <c r="AV151" s="80" t="str">
        <f>HYPERLINK("https://pbs.twimg.com/profile_images/1664215119650492418/DZOPHcLO_normal.jpg")</f>
        <v>https://pbs.twimg.com/profile_images/1664215119650492418/DZOPHcLO_normal.jpg</v>
      </c>
      <c r="AW151" s="82" t="s">
        <v>11861</v>
      </c>
      <c r="AX151" s="82" t="s">
        <v>11861</v>
      </c>
      <c r="AY151" s="77"/>
      <c r="AZ151" s="82" t="s">
        <v>15984</v>
      </c>
      <c r="BA151" s="82" t="s">
        <v>15984</v>
      </c>
      <c r="BB151" s="82" t="s">
        <v>15984</v>
      </c>
      <c r="BC151" s="82" t="s">
        <v>11861</v>
      </c>
      <c r="BD151" s="82" t="s">
        <v>16126</v>
      </c>
      <c r="BE151" s="77"/>
      <c r="BF151" s="77"/>
      <c r="BG151" s="77"/>
      <c r="BH151" s="77"/>
      <c r="BI151" s="77"/>
    </row>
    <row r="152" spans="1:61" x14ac:dyDescent="0.25">
      <c r="A152" s="62" t="s">
        <v>266</v>
      </c>
      <c r="B152" s="62" t="s">
        <v>266</v>
      </c>
      <c r="C152" s="63"/>
      <c r="D152" s="64"/>
      <c r="E152" s="65"/>
      <c r="F152" s="66"/>
      <c r="G152" s="63"/>
      <c r="H152" s="67"/>
      <c r="I152" s="68"/>
      <c r="J152" s="68"/>
      <c r="K152" s="32"/>
      <c r="L152" s="75">
        <v>152</v>
      </c>
      <c r="M152" s="75"/>
      <c r="N152" s="70"/>
      <c r="O152" s="77" t="s">
        <v>179</v>
      </c>
      <c r="P152" s="79">
        <v>45173.75</v>
      </c>
      <c r="Q152" s="77" t="s">
        <v>1049</v>
      </c>
      <c r="R152" s="77">
        <v>0</v>
      </c>
      <c r="S152" s="77">
        <v>0</v>
      </c>
      <c r="T152" s="77">
        <v>0</v>
      </c>
      <c r="U152" s="77">
        <v>0</v>
      </c>
      <c r="V152" s="77">
        <v>19</v>
      </c>
      <c r="W152" s="82" t="s">
        <v>4877</v>
      </c>
      <c r="X152" s="77"/>
      <c r="Y152" s="77"/>
      <c r="Z152" s="77"/>
      <c r="AA152" s="77"/>
      <c r="AB152" s="77"/>
      <c r="AC152" s="82" t="s">
        <v>7750</v>
      </c>
      <c r="AD152" s="77" t="s">
        <v>7790</v>
      </c>
      <c r="AE152" s="80" t="str">
        <f>HYPERLINK("https://twitter.com/dexfase/status/1698757820638786001")</f>
        <v>https://twitter.com/dexfase/status/1698757820638786001</v>
      </c>
      <c r="AF152" s="79">
        <v>45173.75</v>
      </c>
      <c r="AG152" s="85">
        <v>45173</v>
      </c>
      <c r="AH152" s="82" t="s">
        <v>7934</v>
      </c>
      <c r="AI152" s="77"/>
      <c r="AJ152" s="77"/>
      <c r="AK152" s="77"/>
      <c r="AL152" s="77"/>
      <c r="AM152" s="77"/>
      <c r="AN152" s="77"/>
      <c r="AO152" s="77"/>
      <c r="AP152" s="77"/>
      <c r="AQ152" s="77"/>
      <c r="AR152" s="77"/>
      <c r="AS152" s="77"/>
      <c r="AT152" s="77"/>
      <c r="AU152" s="77"/>
      <c r="AV152" s="80" t="str">
        <f>HYPERLINK("https://pbs.twimg.com/profile_images/1692893745975296000/heCd_Arg_normal.jpg")</f>
        <v>https://pbs.twimg.com/profile_images/1692893745975296000/heCd_Arg_normal.jpg</v>
      </c>
      <c r="AW152" s="82" t="s">
        <v>11862</v>
      </c>
      <c r="AX152" s="82" t="s">
        <v>11862</v>
      </c>
      <c r="AY152" s="77"/>
      <c r="AZ152" s="82" t="s">
        <v>15984</v>
      </c>
      <c r="BA152" s="82" t="s">
        <v>15984</v>
      </c>
      <c r="BB152" s="82" t="s">
        <v>15984</v>
      </c>
      <c r="BC152" s="82" t="s">
        <v>11862</v>
      </c>
      <c r="BD152" s="82" t="s">
        <v>16127</v>
      </c>
      <c r="BE152" s="77"/>
      <c r="BF152" s="77"/>
      <c r="BG152" s="77"/>
      <c r="BH152" s="77"/>
      <c r="BI152" s="77"/>
    </row>
    <row r="153" spans="1:61" x14ac:dyDescent="0.25">
      <c r="A153" s="62" t="s">
        <v>267</v>
      </c>
      <c r="B153" s="62" t="s">
        <v>267</v>
      </c>
      <c r="C153" s="63"/>
      <c r="D153" s="64"/>
      <c r="E153" s="65"/>
      <c r="F153" s="66"/>
      <c r="G153" s="63"/>
      <c r="H153" s="67"/>
      <c r="I153" s="68"/>
      <c r="J153" s="68"/>
      <c r="K153" s="32"/>
      <c r="L153" s="75">
        <v>153</v>
      </c>
      <c r="M153" s="75"/>
      <c r="N153" s="70"/>
      <c r="O153" s="77" t="s">
        <v>179</v>
      </c>
      <c r="P153" s="79">
        <v>45127.863206018519</v>
      </c>
      <c r="Q153" s="77" t="s">
        <v>1050</v>
      </c>
      <c r="R153" s="77">
        <v>2</v>
      </c>
      <c r="S153" s="77">
        <v>2</v>
      </c>
      <c r="T153" s="77">
        <v>1</v>
      </c>
      <c r="U153" s="77">
        <v>0</v>
      </c>
      <c r="V153" s="77">
        <v>155</v>
      </c>
      <c r="W153" s="82" t="s">
        <v>4878</v>
      </c>
      <c r="X153" s="77"/>
      <c r="Y153" s="77"/>
      <c r="Z153" s="77"/>
      <c r="AA153" s="77" t="s">
        <v>6698</v>
      </c>
      <c r="AB153" s="77" t="s">
        <v>7743</v>
      </c>
      <c r="AC153" s="82" t="s">
        <v>7751</v>
      </c>
      <c r="AD153" s="77" t="s">
        <v>7788</v>
      </c>
      <c r="AE153" s="80" t="str">
        <f>HYPERLINK("https://twitter.com/diegotraderb3/status/1682129003442843649")</f>
        <v>https://twitter.com/diegotraderb3/status/1682129003442843649</v>
      </c>
      <c r="AF153" s="79">
        <v>45127.863206018519</v>
      </c>
      <c r="AG153" s="85">
        <v>45127</v>
      </c>
      <c r="AH153" s="82" t="s">
        <v>7935</v>
      </c>
      <c r="AI153" s="77" t="b">
        <v>0</v>
      </c>
      <c r="AJ153" s="77" t="s">
        <v>10561</v>
      </c>
      <c r="AK153" s="77" t="s">
        <v>10570</v>
      </c>
      <c r="AL153" s="77" t="s">
        <v>10574</v>
      </c>
      <c r="AM153" s="77" t="s">
        <v>10570</v>
      </c>
      <c r="AN153" s="77" t="s">
        <v>10590</v>
      </c>
      <c r="AO153" s="77" t="s">
        <v>10570</v>
      </c>
      <c r="AP153" s="77" t="s">
        <v>10611</v>
      </c>
      <c r="AQ153" s="77" t="s">
        <v>10670</v>
      </c>
      <c r="AR153" s="77">
        <v>44969</v>
      </c>
      <c r="AS153" s="77"/>
      <c r="AT153" s="77"/>
      <c r="AU153" s="77"/>
      <c r="AV153" s="80" t="str">
        <f>HYPERLINK("https://pbs.twimg.com/ext_tw_video_thumb/1682128851940384768/pu/img/d2Tid-GJ3ealUalg.jpg")</f>
        <v>https://pbs.twimg.com/ext_tw_video_thumb/1682128851940384768/pu/img/d2Tid-GJ3ealUalg.jpg</v>
      </c>
      <c r="AW153" s="82" t="s">
        <v>11863</v>
      </c>
      <c r="AX153" s="82" t="s">
        <v>11863</v>
      </c>
      <c r="AY153" s="77"/>
      <c r="AZ153" s="82" t="s">
        <v>15984</v>
      </c>
      <c r="BA153" s="82" t="s">
        <v>15984</v>
      </c>
      <c r="BB153" s="82" t="s">
        <v>15984</v>
      </c>
      <c r="BC153" s="82" t="s">
        <v>11863</v>
      </c>
      <c r="BD153" s="82" t="s">
        <v>16128</v>
      </c>
      <c r="BE153" s="77"/>
      <c r="BF153" s="77"/>
      <c r="BG153" s="77"/>
      <c r="BH153" s="77"/>
      <c r="BI153" s="77"/>
    </row>
    <row r="154" spans="1:61" x14ac:dyDescent="0.25">
      <c r="A154" s="62" t="s">
        <v>267</v>
      </c>
      <c r="B154" s="62" t="s">
        <v>267</v>
      </c>
      <c r="C154" s="63"/>
      <c r="D154" s="64"/>
      <c r="E154" s="65"/>
      <c r="F154" s="66"/>
      <c r="G154" s="63"/>
      <c r="H154" s="67"/>
      <c r="I154" s="68"/>
      <c r="J154" s="68"/>
      <c r="K154" s="32"/>
      <c r="L154" s="75">
        <v>154</v>
      </c>
      <c r="M154" s="75"/>
      <c r="N154" s="70"/>
      <c r="O154" s="77" t="s">
        <v>179</v>
      </c>
      <c r="P154" s="79">
        <v>45121.693078703705</v>
      </c>
      <c r="Q154" s="77" t="s">
        <v>1051</v>
      </c>
      <c r="R154" s="77">
        <v>0</v>
      </c>
      <c r="S154" s="77">
        <v>2</v>
      </c>
      <c r="T154" s="77">
        <v>0</v>
      </c>
      <c r="U154" s="77">
        <v>0</v>
      </c>
      <c r="V154" s="77">
        <v>77</v>
      </c>
      <c r="W154" s="82" t="s">
        <v>4879</v>
      </c>
      <c r="X154" s="77"/>
      <c r="Y154" s="77"/>
      <c r="Z154" s="77"/>
      <c r="AA154" s="77" t="s">
        <v>6699</v>
      </c>
      <c r="AB154" s="77" t="s">
        <v>7743</v>
      </c>
      <c r="AC154" s="82" t="s">
        <v>7751</v>
      </c>
      <c r="AD154" s="77" t="s">
        <v>7788</v>
      </c>
      <c r="AE154" s="80" t="str">
        <f>HYPERLINK("https://twitter.com/diegotraderb3/status/1679893022782177280")</f>
        <v>https://twitter.com/diegotraderb3/status/1679893022782177280</v>
      </c>
      <c r="AF154" s="79">
        <v>45121.693078703705</v>
      </c>
      <c r="AG154" s="85">
        <v>45121</v>
      </c>
      <c r="AH154" s="82" t="s">
        <v>7936</v>
      </c>
      <c r="AI154" s="77" t="b">
        <v>0</v>
      </c>
      <c r="AJ154" s="77"/>
      <c r="AK154" s="77"/>
      <c r="AL154" s="77"/>
      <c r="AM154" s="77"/>
      <c r="AN154" s="77"/>
      <c r="AO154" s="77"/>
      <c r="AP154" s="77"/>
      <c r="AQ154" s="77" t="s">
        <v>10671</v>
      </c>
      <c r="AR154" s="77">
        <v>9800</v>
      </c>
      <c r="AS154" s="77"/>
      <c r="AT154" s="77"/>
      <c r="AU154" s="77"/>
      <c r="AV154" s="80" t="str">
        <f>HYPERLINK("https://pbs.twimg.com/ext_tw_video_thumb/1679892993162063873/pu/img/aYpMtxAe4hjv8koZ.jpg")</f>
        <v>https://pbs.twimg.com/ext_tw_video_thumb/1679892993162063873/pu/img/aYpMtxAe4hjv8koZ.jpg</v>
      </c>
      <c r="AW154" s="82" t="s">
        <v>11864</v>
      </c>
      <c r="AX154" s="82" t="s">
        <v>11864</v>
      </c>
      <c r="AY154" s="77"/>
      <c r="AZ154" s="82" t="s">
        <v>15984</v>
      </c>
      <c r="BA154" s="82" t="s">
        <v>15984</v>
      </c>
      <c r="BB154" s="82" t="s">
        <v>15984</v>
      </c>
      <c r="BC154" s="82" t="s">
        <v>11864</v>
      </c>
      <c r="BD154" s="82" t="s">
        <v>16128</v>
      </c>
      <c r="BE154" s="77"/>
      <c r="BF154" s="77"/>
      <c r="BG154" s="77"/>
      <c r="BH154" s="77"/>
      <c r="BI154" s="77"/>
    </row>
    <row r="155" spans="1:61" x14ac:dyDescent="0.25">
      <c r="A155" s="62" t="s">
        <v>267</v>
      </c>
      <c r="B155" s="62" t="s">
        <v>267</v>
      </c>
      <c r="C155" s="63"/>
      <c r="D155" s="64"/>
      <c r="E155" s="65"/>
      <c r="F155" s="66"/>
      <c r="G155" s="63"/>
      <c r="H155" s="67"/>
      <c r="I155" s="68"/>
      <c r="J155" s="68"/>
      <c r="K155" s="32"/>
      <c r="L155" s="75">
        <v>155</v>
      </c>
      <c r="M155" s="75"/>
      <c r="N155" s="70"/>
      <c r="O155" s="77" t="s">
        <v>179</v>
      </c>
      <c r="P155" s="79">
        <v>45120.735289351855</v>
      </c>
      <c r="Q155" s="77" t="s">
        <v>1052</v>
      </c>
      <c r="R155" s="77">
        <v>0</v>
      </c>
      <c r="S155" s="77">
        <v>1</v>
      </c>
      <c r="T155" s="77">
        <v>0</v>
      </c>
      <c r="U155" s="77">
        <v>0</v>
      </c>
      <c r="V155" s="77">
        <v>106</v>
      </c>
      <c r="W155" s="82" t="s">
        <v>4880</v>
      </c>
      <c r="X155" s="77"/>
      <c r="Y155" s="77"/>
      <c r="Z155" s="77"/>
      <c r="AA155" s="77" t="s">
        <v>6700</v>
      </c>
      <c r="AB155" s="77" t="s">
        <v>7743</v>
      </c>
      <c r="AC155" s="82" t="s">
        <v>7751</v>
      </c>
      <c r="AD155" s="77" t="s">
        <v>7788</v>
      </c>
      <c r="AE155" s="80" t="str">
        <f>HYPERLINK("https://twitter.com/diegotraderb3/status/1679545931169931272")</f>
        <v>https://twitter.com/diegotraderb3/status/1679545931169931272</v>
      </c>
      <c r="AF155" s="79">
        <v>45120.735289351855</v>
      </c>
      <c r="AG155" s="85">
        <v>45120</v>
      </c>
      <c r="AH155" s="82" t="s">
        <v>7937</v>
      </c>
      <c r="AI155" s="77" t="b">
        <v>0</v>
      </c>
      <c r="AJ155" s="77"/>
      <c r="AK155" s="77"/>
      <c r="AL155" s="77"/>
      <c r="AM155" s="77"/>
      <c r="AN155" s="77"/>
      <c r="AO155" s="77"/>
      <c r="AP155" s="77"/>
      <c r="AQ155" s="77" t="s">
        <v>10672</v>
      </c>
      <c r="AR155" s="77">
        <v>16740</v>
      </c>
      <c r="AS155" s="77"/>
      <c r="AT155" s="77"/>
      <c r="AU155" s="77"/>
      <c r="AV155" s="80" t="str">
        <f>HYPERLINK("https://pbs.twimg.com/ext_tw_video_thumb/1679545753809592322/pu/img/sPJoNJkq7KV8I_2_.jpg")</f>
        <v>https://pbs.twimg.com/ext_tw_video_thumb/1679545753809592322/pu/img/sPJoNJkq7KV8I_2_.jpg</v>
      </c>
      <c r="AW155" s="82" t="s">
        <v>11865</v>
      </c>
      <c r="AX155" s="82" t="s">
        <v>11865</v>
      </c>
      <c r="AY155" s="77"/>
      <c r="AZ155" s="82" t="s">
        <v>15984</v>
      </c>
      <c r="BA155" s="82" t="s">
        <v>15984</v>
      </c>
      <c r="BB155" s="82" t="s">
        <v>15984</v>
      </c>
      <c r="BC155" s="82" t="s">
        <v>11865</v>
      </c>
      <c r="BD155" s="82" t="s">
        <v>16128</v>
      </c>
      <c r="BE155" s="77"/>
      <c r="BF155" s="77"/>
      <c r="BG155" s="77"/>
      <c r="BH155" s="77"/>
      <c r="BI155" s="77"/>
    </row>
    <row r="156" spans="1:61" x14ac:dyDescent="0.25">
      <c r="A156" s="62" t="s">
        <v>267</v>
      </c>
      <c r="B156" s="62" t="s">
        <v>267</v>
      </c>
      <c r="C156" s="63"/>
      <c r="D156" s="64"/>
      <c r="E156" s="65"/>
      <c r="F156" s="66"/>
      <c r="G156" s="63"/>
      <c r="H156" s="67"/>
      <c r="I156" s="68"/>
      <c r="J156" s="68"/>
      <c r="K156" s="32"/>
      <c r="L156" s="75">
        <v>156</v>
      </c>
      <c r="M156" s="75"/>
      <c r="N156" s="70"/>
      <c r="O156" s="77" t="s">
        <v>179</v>
      </c>
      <c r="P156" s="79">
        <v>45118.856736111113</v>
      </c>
      <c r="Q156" s="77" t="s">
        <v>1053</v>
      </c>
      <c r="R156" s="77">
        <v>0</v>
      </c>
      <c r="S156" s="77">
        <v>2</v>
      </c>
      <c r="T156" s="77">
        <v>0</v>
      </c>
      <c r="U156" s="77">
        <v>0</v>
      </c>
      <c r="V156" s="77">
        <v>68</v>
      </c>
      <c r="W156" s="82" t="s">
        <v>4881</v>
      </c>
      <c r="X156" s="77"/>
      <c r="Y156" s="77"/>
      <c r="Z156" s="77"/>
      <c r="AA156" s="77" t="s">
        <v>6701</v>
      </c>
      <c r="AB156" s="77" t="s">
        <v>7742</v>
      </c>
      <c r="AC156" s="82" t="s">
        <v>7751</v>
      </c>
      <c r="AD156" s="77" t="s">
        <v>7788</v>
      </c>
      <c r="AE156" s="80" t="str">
        <f>HYPERLINK("https://twitter.com/diegotraderb3/status/1678865166115430402")</f>
        <v>https://twitter.com/diegotraderb3/status/1678865166115430402</v>
      </c>
      <c r="AF156" s="79">
        <v>45118.856736111113</v>
      </c>
      <c r="AG156" s="85">
        <v>45118</v>
      </c>
      <c r="AH156" s="82" t="s">
        <v>7938</v>
      </c>
      <c r="AI156" s="77" t="b">
        <v>0</v>
      </c>
      <c r="AJ156" s="77"/>
      <c r="AK156" s="77"/>
      <c r="AL156" s="77"/>
      <c r="AM156" s="77"/>
      <c r="AN156" s="77"/>
      <c r="AO156" s="77"/>
      <c r="AP156" s="77"/>
      <c r="AQ156" s="77" t="s">
        <v>10673</v>
      </c>
      <c r="AR156" s="77"/>
      <c r="AS156" s="77"/>
      <c r="AT156" s="77"/>
      <c r="AU156" s="77"/>
      <c r="AV156" s="80" t="str">
        <f>HYPERLINK("https://pbs.twimg.com/media/F0yG-LXWIAIY9tS.jpg")</f>
        <v>https://pbs.twimg.com/media/F0yG-LXWIAIY9tS.jpg</v>
      </c>
      <c r="AW156" s="82" t="s">
        <v>11866</v>
      </c>
      <c r="AX156" s="82" t="s">
        <v>11866</v>
      </c>
      <c r="AY156" s="77"/>
      <c r="AZ156" s="82" t="s">
        <v>15984</v>
      </c>
      <c r="BA156" s="82" t="s">
        <v>15984</v>
      </c>
      <c r="BB156" s="82" t="s">
        <v>15984</v>
      </c>
      <c r="BC156" s="82" t="s">
        <v>11866</v>
      </c>
      <c r="BD156" s="82" t="s">
        <v>16128</v>
      </c>
      <c r="BE156" s="77"/>
      <c r="BF156" s="77"/>
      <c r="BG156" s="77"/>
      <c r="BH156" s="77"/>
      <c r="BI156" s="77"/>
    </row>
    <row r="157" spans="1:61" x14ac:dyDescent="0.25">
      <c r="A157" s="62" t="s">
        <v>267</v>
      </c>
      <c r="B157" s="62" t="s">
        <v>267</v>
      </c>
      <c r="C157" s="63"/>
      <c r="D157" s="64"/>
      <c r="E157" s="65"/>
      <c r="F157" s="66"/>
      <c r="G157" s="63"/>
      <c r="H157" s="67"/>
      <c r="I157" s="68"/>
      <c r="J157" s="68"/>
      <c r="K157" s="32"/>
      <c r="L157" s="75">
        <v>157</v>
      </c>
      <c r="M157" s="75"/>
      <c r="N157" s="70"/>
      <c r="O157" s="77" t="s">
        <v>179</v>
      </c>
      <c r="P157" s="79">
        <v>45118.855925925927</v>
      </c>
      <c r="Q157" s="77" t="s">
        <v>1054</v>
      </c>
      <c r="R157" s="77">
        <v>0</v>
      </c>
      <c r="S157" s="77">
        <v>2</v>
      </c>
      <c r="T157" s="77">
        <v>0</v>
      </c>
      <c r="U157" s="77">
        <v>0</v>
      </c>
      <c r="V157" s="77">
        <v>58</v>
      </c>
      <c r="W157" s="82" t="s">
        <v>4882</v>
      </c>
      <c r="X157" s="77"/>
      <c r="Y157" s="77"/>
      <c r="Z157" s="77"/>
      <c r="AA157" s="77" t="s">
        <v>6702</v>
      </c>
      <c r="AB157" s="77" t="s">
        <v>7742</v>
      </c>
      <c r="AC157" s="82" t="s">
        <v>7751</v>
      </c>
      <c r="AD157" s="77" t="s">
        <v>7788</v>
      </c>
      <c r="AE157" s="80" t="str">
        <f>HYPERLINK("https://twitter.com/diegotraderb3/status/1678864876339355648")</f>
        <v>https://twitter.com/diegotraderb3/status/1678864876339355648</v>
      </c>
      <c r="AF157" s="79">
        <v>45118.855925925927</v>
      </c>
      <c r="AG157" s="85">
        <v>45118</v>
      </c>
      <c r="AH157" s="82" t="s">
        <v>7939</v>
      </c>
      <c r="AI157" s="77" t="b">
        <v>0</v>
      </c>
      <c r="AJ157" s="77"/>
      <c r="AK157" s="77"/>
      <c r="AL157" s="77"/>
      <c r="AM157" s="77"/>
      <c r="AN157" s="77"/>
      <c r="AO157" s="77"/>
      <c r="AP157" s="77"/>
      <c r="AQ157" s="77" t="s">
        <v>10674</v>
      </c>
      <c r="AR157" s="77"/>
      <c r="AS157" s="77"/>
      <c r="AT157" s="77"/>
      <c r="AU157" s="77"/>
      <c r="AV157" s="80" t="str">
        <f>HYPERLINK("https://pbs.twimg.com/media/F0yGtM1WwAAZLuw.jpg")</f>
        <v>https://pbs.twimg.com/media/F0yGtM1WwAAZLuw.jpg</v>
      </c>
      <c r="AW157" s="82" t="s">
        <v>11867</v>
      </c>
      <c r="AX157" s="82" t="s">
        <v>11867</v>
      </c>
      <c r="AY157" s="77"/>
      <c r="AZ157" s="82" t="s">
        <v>15984</v>
      </c>
      <c r="BA157" s="82" t="s">
        <v>15984</v>
      </c>
      <c r="BB157" s="82" t="s">
        <v>15984</v>
      </c>
      <c r="BC157" s="82" t="s">
        <v>11867</v>
      </c>
      <c r="BD157" s="82" t="s">
        <v>16128</v>
      </c>
      <c r="BE157" s="77"/>
      <c r="BF157" s="77"/>
      <c r="BG157" s="77"/>
      <c r="BH157" s="77"/>
      <c r="BI157" s="77"/>
    </row>
    <row r="158" spans="1:61" x14ac:dyDescent="0.25">
      <c r="A158" s="62" t="s">
        <v>267</v>
      </c>
      <c r="B158" s="62" t="s">
        <v>267</v>
      </c>
      <c r="C158" s="63"/>
      <c r="D158" s="64"/>
      <c r="E158" s="65"/>
      <c r="F158" s="66"/>
      <c r="G158" s="63"/>
      <c r="H158" s="67"/>
      <c r="I158" s="68"/>
      <c r="J158" s="68"/>
      <c r="K158" s="32"/>
      <c r="L158" s="75">
        <v>158</v>
      </c>
      <c r="M158" s="75"/>
      <c r="N158" s="70"/>
      <c r="O158" s="77" t="s">
        <v>179</v>
      </c>
      <c r="P158" s="79">
        <v>45118.855231481481</v>
      </c>
      <c r="Q158" s="77" t="s">
        <v>1055</v>
      </c>
      <c r="R158" s="77">
        <v>0</v>
      </c>
      <c r="S158" s="77">
        <v>2</v>
      </c>
      <c r="T158" s="77">
        <v>0</v>
      </c>
      <c r="U158" s="77">
        <v>0</v>
      </c>
      <c r="V158" s="77">
        <v>159</v>
      </c>
      <c r="W158" s="82" t="s">
        <v>4883</v>
      </c>
      <c r="X158" s="77"/>
      <c r="Y158" s="77"/>
      <c r="Z158" s="77"/>
      <c r="AA158" s="77" t="s">
        <v>6703</v>
      </c>
      <c r="AB158" s="77" t="s">
        <v>7743</v>
      </c>
      <c r="AC158" s="82" t="s">
        <v>7751</v>
      </c>
      <c r="AD158" s="77" t="s">
        <v>7788</v>
      </c>
      <c r="AE158" s="80" t="str">
        <f>HYPERLINK("https://twitter.com/diegotraderb3/status/1678864622990786560")</f>
        <v>https://twitter.com/diegotraderb3/status/1678864622990786560</v>
      </c>
      <c r="AF158" s="79">
        <v>45118.855231481481</v>
      </c>
      <c r="AG158" s="85">
        <v>45118</v>
      </c>
      <c r="AH158" s="82" t="s">
        <v>7940</v>
      </c>
      <c r="AI158" s="77" t="b">
        <v>0</v>
      </c>
      <c r="AJ158" s="77" t="s">
        <v>10562</v>
      </c>
      <c r="AK158" s="77" t="s">
        <v>10570</v>
      </c>
      <c r="AL158" s="77" t="s">
        <v>10574</v>
      </c>
      <c r="AM158" s="77" t="s">
        <v>10580</v>
      </c>
      <c r="AN158" s="77" t="s">
        <v>10591</v>
      </c>
      <c r="AO158" s="77" t="s">
        <v>10601</v>
      </c>
      <c r="AP158" s="77" t="s">
        <v>10609</v>
      </c>
      <c r="AQ158" s="77" t="s">
        <v>10675</v>
      </c>
      <c r="AR158" s="77">
        <v>9275</v>
      </c>
      <c r="AS158" s="77"/>
      <c r="AT158" s="77"/>
      <c r="AU158" s="77"/>
      <c r="AV158" s="80" t="str">
        <f>HYPERLINK("https://pbs.twimg.com/ext_tw_video_thumb/1678864569974812673/pu/img/H-I2y3q_Tdglx4Y9.jpg")</f>
        <v>https://pbs.twimg.com/ext_tw_video_thumb/1678864569974812673/pu/img/H-I2y3q_Tdglx4Y9.jpg</v>
      </c>
      <c r="AW158" s="82" t="s">
        <v>11868</v>
      </c>
      <c r="AX158" s="82" t="s">
        <v>11868</v>
      </c>
      <c r="AY158" s="77"/>
      <c r="AZ158" s="82" t="s">
        <v>15984</v>
      </c>
      <c r="BA158" s="82" t="s">
        <v>15984</v>
      </c>
      <c r="BB158" s="82" t="s">
        <v>15984</v>
      </c>
      <c r="BC158" s="82" t="s">
        <v>11868</v>
      </c>
      <c r="BD158" s="82" t="s">
        <v>16128</v>
      </c>
      <c r="BE158" s="77"/>
      <c r="BF158" s="77"/>
      <c r="BG158" s="77"/>
      <c r="BH158" s="77"/>
      <c r="BI158" s="77"/>
    </row>
    <row r="159" spans="1:61" x14ac:dyDescent="0.25">
      <c r="A159" s="62" t="s">
        <v>267</v>
      </c>
      <c r="B159" s="62" t="s">
        <v>267</v>
      </c>
      <c r="C159" s="63"/>
      <c r="D159" s="64"/>
      <c r="E159" s="65"/>
      <c r="F159" s="66"/>
      <c r="G159" s="63"/>
      <c r="H159" s="67"/>
      <c r="I159" s="68"/>
      <c r="J159" s="68"/>
      <c r="K159" s="32"/>
      <c r="L159" s="75">
        <v>159</v>
      </c>
      <c r="M159" s="75"/>
      <c r="N159" s="70"/>
      <c r="O159" s="77" t="s">
        <v>179</v>
      </c>
      <c r="P159" s="79">
        <v>45133.660312499997</v>
      </c>
      <c r="Q159" s="77" t="s">
        <v>1056</v>
      </c>
      <c r="R159" s="77">
        <v>0</v>
      </c>
      <c r="S159" s="77">
        <v>2</v>
      </c>
      <c r="T159" s="77">
        <v>0</v>
      </c>
      <c r="U159" s="77">
        <v>0</v>
      </c>
      <c r="V159" s="77">
        <v>241</v>
      </c>
      <c r="W159" s="82" t="s">
        <v>4884</v>
      </c>
      <c r="X159" s="77"/>
      <c r="Y159" s="77"/>
      <c r="Z159" s="77"/>
      <c r="AA159" s="77" t="s">
        <v>6704</v>
      </c>
      <c r="AB159" s="77" t="s">
        <v>7743</v>
      </c>
      <c r="AC159" s="82" t="s">
        <v>7751</v>
      </c>
      <c r="AD159" s="77" t="s">
        <v>7789</v>
      </c>
      <c r="AE159" s="80" t="str">
        <f>HYPERLINK("https://twitter.com/diegotraderb3/status/1684229805716148226")</f>
        <v>https://twitter.com/diegotraderb3/status/1684229805716148226</v>
      </c>
      <c r="AF159" s="79">
        <v>45133.660312499997</v>
      </c>
      <c r="AG159" s="85">
        <v>45133</v>
      </c>
      <c r="AH159" s="82" t="s">
        <v>7941</v>
      </c>
      <c r="AI159" s="77" t="b">
        <v>0</v>
      </c>
      <c r="AJ159" s="77"/>
      <c r="AK159" s="77"/>
      <c r="AL159" s="77"/>
      <c r="AM159" s="77"/>
      <c r="AN159" s="77"/>
      <c r="AO159" s="77"/>
      <c r="AP159" s="77"/>
      <c r="AQ159" s="77" t="s">
        <v>10676</v>
      </c>
      <c r="AR159" s="77">
        <v>8333</v>
      </c>
      <c r="AS159" s="77"/>
      <c r="AT159" s="77"/>
      <c r="AU159" s="77"/>
      <c r="AV159" s="80" t="str">
        <f>HYPERLINK("https://pbs.twimg.com/ext_tw_video_thumb/1684229577550319618/pu/img/xOaYLkS9F_RdUeCf.jpg")</f>
        <v>https://pbs.twimg.com/ext_tw_video_thumb/1684229577550319618/pu/img/xOaYLkS9F_RdUeCf.jpg</v>
      </c>
      <c r="AW159" s="82" t="s">
        <v>11869</v>
      </c>
      <c r="AX159" s="82" t="s">
        <v>11869</v>
      </c>
      <c r="AY159" s="77"/>
      <c r="AZ159" s="82" t="s">
        <v>15984</v>
      </c>
      <c r="BA159" s="82" t="s">
        <v>15984</v>
      </c>
      <c r="BB159" s="82" t="s">
        <v>15984</v>
      </c>
      <c r="BC159" s="82" t="s">
        <v>11869</v>
      </c>
      <c r="BD159" s="82" t="s">
        <v>16128</v>
      </c>
      <c r="BE159" s="77"/>
      <c r="BF159" s="77"/>
      <c r="BG159" s="77"/>
      <c r="BH159" s="77"/>
      <c r="BI159" s="77"/>
    </row>
    <row r="160" spans="1:61" x14ac:dyDescent="0.25">
      <c r="A160" s="62" t="s">
        <v>267</v>
      </c>
      <c r="B160" s="62" t="s">
        <v>267</v>
      </c>
      <c r="C160" s="63"/>
      <c r="D160" s="64"/>
      <c r="E160" s="65"/>
      <c r="F160" s="66"/>
      <c r="G160" s="63"/>
      <c r="H160" s="67"/>
      <c r="I160" s="68"/>
      <c r="J160" s="68"/>
      <c r="K160" s="32"/>
      <c r="L160" s="75">
        <v>160</v>
      </c>
      <c r="M160" s="75"/>
      <c r="N160" s="70"/>
      <c r="O160" s="77" t="s">
        <v>179</v>
      </c>
      <c r="P160" s="79">
        <v>45133.654999999999</v>
      </c>
      <c r="Q160" s="77" t="s">
        <v>1057</v>
      </c>
      <c r="R160" s="77">
        <v>0</v>
      </c>
      <c r="S160" s="77">
        <v>1</v>
      </c>
      <c r="T160" s="77">
        <v>0</v>
      </c>
      <c r="U160" s="77">
        <v>0</v>
      </c>
      <c r="V160" s="77">
        <v>166</v>
      </c>
      <c r="W160" s="82" t="s">
        <v>4885</v>
      </c>
      <c r="X160" s="77"/>
      <c r="Y160" s="77"/>
      <c r="Z160" s="77"/>
      <c r="AA160" s="77" t="s">
        <v>6705</v>
      </c>
      <c r="AB160" s="77" t="s">
        <v>7743</v>
      </c>
      <c r="AC160" s="82" t="s">
        <v>7751</v>
      </c>
      <c r="AD160" s="77" t="s">
        <v>7790</v>
      </c>
      <c r="AE160" s="80" t="str">
        <f>HYPERLINK("https://twitter.com/diegotraderb3/status/1684227879662505984")</f>
        <v>https://twitter.com/diegotraderb3/status/1684227879662505984</v>
      </c>
      <c r="AF160" s="79">
        <v>45133.654999999999</v>
      </c>
      <c r="AG160" s="85">
        <v>45133</v>
      </c>
      <c r="AH160" s="82" t="s">
        <v>7942</v>
      </c>
      <c r="AI160" s="77" t="b">
        <v>0</v>
      </c>
      <c r="AJ160" s="77"/>
      <c r="AK160" s="77"/>
      <c r="AL160" s="77"/>
      <c r="AM160" s="77"/>
      <c r="AN160" s="77"/>
      <c r="AO160" s="77"/>
      <c r="AP160" s="77"/>
      <c r="AQ160" s="77" t="s">
        <v>10677</v>
      </c>
      <c r="AR160" s="77">
        <v>11600</v>
      </c>
      <c r="AS160" s="77"/>
      <c r="AT160" s="77"/>
      <c r="AU160" s="77"/>
      <c r="AV160" s="80" t="str">
        <f>HYPERLINK("https://pbs.twimg.com/ext_tw_video_thumb/1684227847479611393/pu/img/VWFFhI1cNCuXznRQ.jpg")</f>
        <v>https://pbs.twimg.com/ext_tw_video_thumb/1684227847479611393/pu/img/VWFFhI1cNCuXznRQ.jpg</v>
      </c>
      <c r="AW160" s="82" t="s">
        <v>11870</v>
      </c>
      <c r="AX160" s="82" t="s">
        <v>11870</v>
      </c>
      <c r="AY160" s="77"/>
      <c r="AZ160" s="82" t="s">
        <v>15984</v>
      </c>
      <c r="BA160" s="82" t="s">
        <v>15984</v>
      </c>
      <c r="BB160" s="82" t="s">
        <v>15984</v>
      </c>
      <c r="BC160" s="82" t="s">
        <v>11870</v>
      </c>
      <c r="BD160" s="82" t="s">
        <v>16128</v>
      </c>
      <c r="BE160" s="77"/>
      <c r="BF160" s="77"/>
      <c r="BG160" s="77"/>
      <c r="BH160" s="77"/>
      <c r="BI160" s="77"/>
    </row>
    <row r="161" spans="1:61" x14ac:dyDescent="0.25">
      <c r="A161" s="62" t="s">
        <v>267</v>
      </c>
      <c r="B161" s="62" t="s">
        <v>267</v>
      </c>
      <c r="C161" s="63"/>
      <c r="D161" s="64"/>
      <c r="E161" s="65"/>
      <c r="F161" s="66"/>
      <c r="G161" s="63"/>
      <c r="H161" s="67"/>
      <c r="I161" s="68"/>
      <c r="J161" s="68"/>
      <c r="K161" s="32"/>
      <c r="L161" s="75">
        <v>161</v>
      </c>
      <c r="M161" s="75"/>
      <c r="N161" s="70"/>
      <c r="O161" s="77" t="s">
        <v>179</v>
      </c>
      <c r="P161" s="79">
        <v>45132.757800925923</v>
      </c>
      <c r="Q161" s="77" t="s">
        <v>1058</v>
      </c>
      <c r="R161" s="77">
        <v>0</v>
      </c>
      <c r="S161" s="77">
        <v>2</v>
      </c>
      <c r="T161" s="77">
        <v>0</v>
      </c>
      <c r="U161" s="77">
        <v>0</v>
      </c>
      <c r="V161" s="77">
        <v>163</v>
      </c>
      <c r="W161" s="82" t="s">
        <v>4886</v>
      </c>
      <c r="X161" s="77"/>
      <c r="Y161" s="77"/>
      <c r="Z161" s="77"/>
      <c r="AA161" s="77" t="s">
        <v>6706</v>
      </c>
      <c r="AB161" s="77" t="s">
        <v>7743</v>
      </c>
      <c r="AC161" s="82" t="s">
        <v>7751</v>
      </c>
      <c r="AD161" s="77" t="s">
        <v>7788</v>
      </c>
      <c r="AE161" s="80" t="str">
        <f>HYPERLINK("https://twitter.com/diegotraderb3/status/1683902745026199552")</f>
        <v>https://twitter.com/diegotraderb3/status/1683902745026199552</v>
      </c>
      <c r="AF161" s="79">
        <v>45132.757800925923</v>
      </c>
      <c r="AG161" s="85">
        <v>45132</v>
      </c>
      <c r="AH161" s="82" t="s">
        <v>7943</v>
      </c>
      <c r="AI161" s="77" t="b">
        <v>0</v>
      </c>
      <c r="AJ161" s="77"/>
      <c r="AK161" s="77"/>
      <c r="AL161" s="77"/>
      <c r="AM161" s="77"/>
      <c r="AN161" s="77"/>
      <c r="AO161" s="77"/>
      <c r="AP161" s="77"/>
      <c r="AQ161" s="77" t="s">
        <v>10678</v>
      </c>
      <c r="AR161" s="77">
        <v>2600</v>
      </c>
      <c r="AS161" s="77"/>
      <c r="AT161" s="77"/>
      <c r="AU161" s="77"/>
      <c r="AV161" s="80" t="str">
        <f>HYPERLINK("https://pbs.twimg.com/ext_tw_video_thumb/1683902712692211719/pu/img/S9x1BaRovxxrJJp0.jpg")</f>
        <v>https://pbs.twimg.com/ext_tw_video_thumb/1683902712692211719/pu/img/S9x1BaRovxxrJJp0.jpg</v>
      </c>
      <c r="AW161" s="82" t="s">
        <v>11871</v>
      </c>
      <c r="AX161" s="82" t="s">
        <v>11871</v>
      </c>
      <c r="AY161" s="77"/>
      <c r="AZ161" s="82" t="s">
        <v>15984</v>
      </c>
      <c r="BA161" s="82" t="s">
        <v>15984</v>
      </c>
      <c r="BB161" s="82" t="s">
        <v>15984</v>
      </c>
      <c r="BC161" s="82" t="s">
        <v>11871</v>
      </c>
      <c r="BD161" s="82" t="s">
        <v>16128</v>
      </c>
      <c r="BE161" s="77"/>
      <c r="BF161" s="77"/>
      <c r="BG161" s="77"/>
      <c r="BH161" s="77"/>
      <c r="BI161" s="77"/>
    </row>
    <row r="162" spans="1:61" x14ac:dyDescent="0.25">
      <c r="A162" s="62" t="s">
        <v>267</v>
      </c>
      <c r="B162" s="62" t="s">
        <v>267</v>
      </c>
      <c r="C162" s="63"/>
      <c r="D162" s="64"/>
      <c r="E162" s="65"/>
      <c r="F162" s="66"/>
      <c r="G162" s="63"/>
      <c r="H162" s="67"/>
      <c r="I162" s="68"/>
      <c r="J162" s="68"/>
      <c r="K162" s="32"/>
      <c r="L162" s="75">
        <v>162</v>
      </c>
      <c r="M162" s="75"/>
      <c r="N162" s="70"/>
      <c r="O162" s="77" t="s">
        <v>179</v>
      </c>
      <c r="P162" s="79">
        <v>45131.928344907406</v>
      </c>
      <c r="Q162" s="77" t="s">
        <v>1059</v>
      </c>
      <c r="R162" s="77">
        <v>1</v>
      </c>
      <c r="S162" s="77">
        <v>1</v>
      </c>
      <c r="T162" s="77">
        <v>1</v>
      </c>
      <c r="U162" s="77">
        <v>0</v>
      </c>
      <c r="V162" s="77">
        <v>121</v>
      </c>
      <c r="W162" s="82" t="s">
        <v>4887</v>
      </c>
      <c r="X162" s="80" t="str">
        <f>HYPERLINK("https://youtu.be/O4oJIG7SpHM")</f>
        <v>https://youtu.be/O4oJIG7SpHM</v>
      </c>
      <c r="Y162" s="77" t="s">
        <v>6472</v>
      </c>
      <c r="Z162" s="77"/>
      <c r="AA162" s="77" t="s">
        <v>6707</v>
      </c>
      <c r="AB162" s="77" t="s">
        <v>7743</v>
      </c>
      <c r="AC162" s="82" t="s">
        <v>7751</v>
      </c>
      <c r="AD162" s="77" t="s">
        <v>7788</v>
      </c>
      <c r="AE162" s="80" t="str">
        <f>HYPERLINK("https://twitter.com/diegotraderb3/status/1683602158778818562")</f>
        <v>https://twitter.com/diegotraderb3/status/1683602158778818562</v>
      </c>
      <c r="AF162" s="79">
        <v>45131.928344907406</v>
      </c>
      <c r="AG162" s="85">
        <v>45131</v>
      </c>
      <c r="AH162" s="82" t="s">
        <v>7944</v>
      </c>
      <c r="AI162" s="77" t="b">
        <v>0</v>
      </c>
      <c r="AJ162" s="77" t="s">
        <v>10561</v>
      </c>
      <c r="AK162" s="77" t="s">
        <v>10570</v>
      </c>
      <c r="AL162" s="77" t="s">
        <v>10574</v>
      </c>
      <c r="AM162" s="77" t="s">
        <v>10570</v>
      </c>
      <c r="AN162" s="77" t="s">
        <v>10590</v>
      </c>
      <c r="AO162" s="77" t="s">
        <v>10570</v>
      </c>
      <c r="AP162" s="77" t="s">
        <v>10611</v>
      </c>
      <c r="AQ162" s="77" t="s">
        <v>10679</v>
      </c>
      <c r="AR162" s="77">
        <v>15015</v>
      </c>
      <c r="AS162" s="77"/>
      <c r="AT162" s="77"/>
      <c r="AU162" s="77"/>
      <c r="AV162" s="80" t="str">
        <f>HYPERLINK("https://pbs.twimg.com/ext_tw_video_thumb/1683602105267830785/pu/img/ex7V7xEDU3CihxFN.jpg")</f>
        <v>https://pbs.twimg.com/ext_tw_video_thumb/1683602105267830785/pu/img/ex7V7xEDU3CihxFN.jpg</v>
      </c>
      <c r="AW162" s="82" t="s">
        <v>11872</v>
      </c>
      <c r="AX162" s="82" t="s">
        <v>11872</v>
      </c>
      <c r="AY162" s="77"/>
      <c r="AZ162" s="82" t="s">
        <v>15984</v>
      </c>
      <c r="BA162" s="82" t="s">
        <v>15984</v>
      </c>
      <c r="BB162" s="82" t="s">
        <v>15984</v>
      </c>
      <c r="BC162" s="82" t="s">
        <v>11872</v>
      </c>
      <c r="BD162" s="82" t="s">
        <v>16128</v>
      </c>
      <c r="BE162" s="77"/>
      <c r="BF162" s="77"/>
      <c r="BG162" s="77"/>
      <c r="BH162" s="77"/>
      <c r="BI162" s="77"/>
    </row>
    <row r="163" spans="1:61" x14ac:dyDescent="0.25">
      <c r="A163" s="62" t="s">
        <v>268</v>
      </c>
      <c r="B163" s="62" t="s">
        <v>268</v>
      </c>
      <c r="C163" s="63"/>
      <c r="D163" s="64"/>
      <c r="E163" s="65"/>
      <c r="F163" s="66"/>
      <c r="G163" s="63"/>
      <c r="H163" s="67"/>
      <c r="I163" s="68"/>
      <c r="J163" s="68"/>
      <c r="K163" s="32"/>
      <c r="L163" s="75">
        <v>163</v>
      </c>
      <c r="M163" s="75"/>
      <c r="N163" s="70"/>
      <c r="O163" s="77" t="s">
        <v>179</v>
      </c>
      <c r="P163" s="79">
        <v>45161.667384259257</v>
      </c>
      <c r="Q163" s="77" t="s">
        <v>1060</v>
      </c>
      <c r="R163" s="77">
        <v>1</v>
      </c>
      <c r="S163" s="77">
        <v>7</v>
      </c>
      <c r="T163" s="77">
        <v>0</v>
      </c>
      <c r="U163" s="77">
        <v>0</v>
      </c>
      <c r="V163" s="77">
        <v>69</v>
      </c>
      <c r="W163" s="82" t="s">
        <v>4888</v>
      </c>
      <c r="X163" s="77"/>
      <c r="Y163" s="77"/>
      <c r="Z163" s="77"/>
      <c r="AA163" s="77" t="s">
        <v>6708</v>
      </c>
      <c r="AB163" s="77" t="s">
        <v>7742</v>
      </c>
      <c r="AC163" s="82" t="s">
        <v>7750</v>
      </c>
      <c r="AD163" s="77" t="s">
        <v>7790</v>
      </c>
      <c r="AE163" s="80" t="str">
        <f>HYPERLINK("https://twitter.com/treidingp1/status/1694379228169449545")</f>
        <v>https://twitter.com/treidingp1/status/1694379228169449545</v>
      </c>
      <c r="AF163" s="79">
        <v>45161.667384259257</v>
      </c>
      <c r="AG163" s="85">
        <v>45161</v>
      </c>
      <c r="AH163" s="82" t="s">
        <v>7945</v>
      </c>
      <c r="AI163" s="77" t="b">
        <v>0</v>
      </c>
      <c r="AJ163" s="77"/>
      <c r="AK163" s="77"/>
      <c r="AL163" s="77"/>
      <c r="AM163" s="77"/>
      <c r="AN163" s="77"/>
      <c r="AO163" s="77"/>
      <c r="AP163" s="77"/>
      <c r="AQ163" s="77" t="s">
        <v>10680</v>
      </c>
      <c r="AR163" s="77"/>
      <c r="AS163" s="77"/>
      <c r="AT163" s="77"/>
      <c r="AU163" s="77"/>
      <c r="AV163" s="80" t="str">
        <f>HYPERLINK("https://pbs.twimg.com/media/F4Ok6aUXIAA6goe.jpg")</f>
        <v>https://pbs.twimg.com/media/F4Ok6aUXIAA6goe.jpg</v>
      </c>
      <c r="AW163" s="82" t="s">
        <v>11873</v>
      </c>
      <c r="AX163" s="82" t="s">
        <v>11873</v>
      </c>
      <c r="AY163" s="77"/>
      <c r="AZ163" s="82" t="s">
        <v>15984</v>
      </c>
      <c r="BA163" s="82" t="s">
        <v>15984</v>
      </c>
      <c r="BB163" s="82" t="s">
        <v>15984</v>
      </c>
      <c r="BC163" s="82" t="s">
        <v>11873</v>
      </c>
      <c r="BD163" s="82" t="s">
        <v>16129</v>
      </c>
      <c r="BE163" s="77"/>
      <c r="BF163" s="77"/>
      <c r="BG163" s="77"/>
      <c r="BH163" s="77"/>
      <c r="BI163" s="77"/>
    </row>
    <row r="164" spans="1:61" x14ac:dyDescent="0.25">
      <c r="A164" s="62" t="s">
        <v>269</v>
      </c>
      <c r="B164" s="62" t="s">
        <v>260</v>
      </c>
      <c r="C164" s="63"/>
      <c r="D164" s="64"/>
      <c r="E164" s="65"/>
      <c r="F164" s="66"/>
      <c r="G164" s="63"/>
      <c r="H164" s="67"/>
      <c r="I164" s="68"/>
      <c r="J164" s="68"/>
      <c r="K164" s="32"/>
      <c r="L164" s="75">
        <v>164</v>
      </c>
      <c r="M164" s="75"/>
      <c r="N164" s="70"/>
      <c r="O164" s="77" t="s">
        <v>897</v>
      </c>
      <c r="P164" s="79">
        <v>45190.973530092589</v>
      </c>
      <c r="Q164" s="77" t="s">
        <v>1061</v>
      </c>
      <c r="R164" s="77">
        <v>1</v>
      </c>
      <c r="S164" s="77">
        <v>0</v>
      </c>
      <c r="T164" s="77">
        <v>0</v>
      </c>
      <c r="U164" s="77">
        <v>0</v>
      </c>
      <c r="V164" s="77"/>
      <c r="W164" s="82" t="s">
        <v>4889</v>
      </c>
      <c r="X164" s="77"/>
      <c r="Y164" s="77"/>
      <c r="Z164" s="77" t="s">
        <v>260</v>
      </c>
      <c r="AA164" s="77"/>
      <c r="AB164" s="77"/>
      <c r="AC164" s="82" t="s">
        <v>7752</v>
      </c>
      <c r="AD164" s="77" t="s">
        <v>7788</v>
      </c>
      <c r="AE164" s="80" t="str">
        <f>HYPERLINK("https://twitter.com/j_ramacciotti/status/1704999417684611400")</f>
        <v>https://twitter.com/j_ramacciotti/status/1704999417684611400</v>
      </c>
      <c r="AF164" s="79">
        <v>45190.973530092589</v>
      </c>
      <c r="AG164" s="85">
        <v>45190</v>
      </c>
      <c r="AH164" s="82" t="s">
        <v>7946</v>
      </c>
      <c r="AI164" s="77"/>
      <c r="AJ164" s="77"/>
      <c r="AK164" s="77"/>
      <c r="AL164" s="77"/>
      <c r="AM164" s="77"/>
      <c r="AN164" s="77"/>
      <c r="AO164" s="77"/>
      <c r="AP164" s="77"/>
      <c r="AQ164" s="77"/>
      <c r="AR164" s="77"/>
      <c r="AS164" s="77"/>
      <c r="AT164" s="77"/>
      <c r="AU164" s="77"/>
      <c r="AV164" s="80" t="str">
        <f>HYPERLINK("https://pbs.twimg.com/profile_images/1604805849679118336/stRYelj2_normal.jpg")</f>
        <v>https://pbs.twimg.com/profile_images/1604805849679118336/stRYelj2_normal.jpg</v>
      </c>
      <c r="AW164" s="82" t="s">
        <v>11874</v>
      </c>
      <c r="AX164" s="82" t="s">
        <v>11874</v>
      </c>
      <c r="AY164" s="77"/>
      <c r="AZ164" s="82" t="s">
        <v>15984</v>
      </c>
      <c r="BA164" s="82" t="s">
        <v>15984</v>
      </c>
      <c r="BB164" s="82" t="s">
        <v>12276</v>
      </c>
      <c r="BC164" s="82" t="s">
        <v>12276</v>
      </c>
      <c r="BD164" s="77">
        <v>142850730</v>
      </c>
      <c r="BE164" s="77"/>
      <c r="BF164" s="77"/>
      <c r="BG164" s="77"/>
      <c r="BH164" s="77"/>
      <c r="BI164" s="77"/>
    </row>
    <row r="165" spans="1:61" x14ac:dyDescent="0.25">
      <c r="A165" s="62" t="s">
        <v>270</v>
      </c>
      <c r="B165" s="62" t="s">
        <v>270</v>
      </c>
      <c r="C165" s="63"/>
      <c r="D165" s="64"/>
      <c r="E165" s="65"/>
      <c r="F165" s="66"/>
      <c r="G165" s="63"/>
      <c r="H165" s="67"/>
      <c r="I165" s="68"/>
      <c r="J165" s="68"/>
      <c r="K165" s="32"/>
      <c r="L165" s="75">
        <v>165</v>
      </c>
      <c r="M165" s="75"/>
      <c r="N165" s="70"/>
      <c r="O165" s="77" t="s">
        <v>179</v>
      </c>
      <c r="P165" s="79">
        <v>45125.657905092594</v>
      </c>
      <c r="Q165" s="77" t="s">
        <v>1062</v>
      </c>
      <c r="R165" s="77">
        <v>1</v>
      </c>
      <c r="S165" s="77">
        <v>2</v>
      </c>
      <c r="T165" s="77">
        <v>0</v>
      </c>
      <c r="U165" s="77">
        <v>0</v>
      </c>
      <c r="V165" s="77">
        <v>103</v>
      </c>
      <c r="W165" s="82" t="s">
        <v>4890</v>
      </c>
      <c r="X165" s="77"/>
      <c r="Y165" s="77"/>
      <c r="Z165" s="77"/>
      <c r="AA165" s="77" t="s">
        <v>6709</v>
      </c>
      <c r="AB165" s="77" t="s">
        <v>7743</v>
      </c>
      <c r="AC165" s="82" t="s">
        <v>7751</v>
      </c>
      <c r="AD165" s="77" t="s">
        <v>7788</v>
      </c>
      <c r="AE165" s="80" t="str">
        <f>HYPERLINK("https://twitter.com/calilecalil/status/1681329827729604608")</f>
        <v>https://twitter.com/calilecalil/status/1681329827729604608</v>
      </c>
      <c r="AF165" s="79">
        <v>45125.657905092594</v>
      </c>
      <c r="AG165" s="85">
        <v>45125</v>
      </c>
      <c r="AH165" s="82" t="s">
        <v>7947</v>
      </c>
      <c r="AI165" s="77" t="b">
        <v>0</v>
      </c>
      <c r="AJ165" s="77"/>
      <c r="AK165" s="77"/>
      <c r="AL165" s="77"/>
      <c r="AM165" s="77"/>
      <c r="AN165" s="77"/>
      <c r="AO165" s="77"/>
      <c r="AP165" s="77"/>
      <c r="AQ165" s="77" t="s">
        <v>10681</v>
      </c>
      <c r="AR165" s="77">
        <v>30300</v>
      </c>
      <c r="AS165" s="77"/>
      <c r="AT165" s="77"/>
      <c r="AU165" s="77"/>
      <c r="AV165" s="80" t="str">
        <f>HYPERLINK("https://pbs.twimg.com/ext_tw_video_thumb/1681329755667177473/pu/img/U9CtMrF84c0fzAmM.jpg")</f>
        <v>https://pbs.twimg.com/ext_tw_video_thumb/1681329755667177473/pu/img/U9CtMrF84c0fzAmM.jpg</v>
      </c>
      <c r="AW165" s="82" t="s">
        <v>11875</v>
      </c>
      <c r="AX165" s="82" t="s">
        <v>11875</v>
      </c>
      <c r="AY165" s="77"/>
      <c r="AZ165" s="82" t="s">
        <v>15984</v>
      </c>
      <c r="BA165" s="82" t="s">
        <v>15984</v>
      </c>
      <c r="BB165" s="82" t="s">
        <v>15984</v>
      </c>
      <c r="BC165" s="82" t="s">
        <v>11875</v>
      </c>
      <c r="BD165" s="77">
        <v>75173434</v>
      </c>
      <c r="BE165" s="77"/>
      <c r="BF165" s="77"/>
      <c r="BG165" s="77"/>
      <c r="BH165" s="77"/>
      <c r="BI165" s="77"/>
    </row>
    <row r="166" spans="1:61" x14ac:dyDescent="0.25">
      <c r="A166" s="62" t="s">
        <v>271</v>
      </c>
      <c r="B166" s="62" t="s">
        <v>271</v>
      </c>
      <c r="C166" s="63"/>
      <c r="D166" s="64"/>
      <c r="E166" s="65"/>
      <c r="F166" s="66"/>
      <c r="G166" s="63"/>
      <c r="H166" s="67"/>
      <c r="I166" s="68"/>
      <c r="J166" s="68"/>
      <c r="K166" s="32"/>
      <c r="L166" s="75">
        <v>166</v>
      </c>
      <c r="M166" s="75"/>
      <c r="N166" s="70"/>
      <c r="O166" s="77" t="s">
        <v>179</v>
      </c>
      <c r="P166" s="79">
        <v>45173.835162037038</v>
      </c>
      <c r="Q166" s="77" t="s">
        <v>1063</v>
      </c>
      <c r="R166" s="77">
        <v>0</v>
      </c>
      <c r="S166" s="77">
        <v>0</v>
      </c>
      <c r="T166" s="77">
        <v>2</v>
      </c>
      <c r="U166" s="77">
        <v>0</v>
      </c>
      <c r="V166" s="77">
        <v>26</v>
      </c>
      <c r="W166" s="82" t="s">
        <v>4891</v>
      </c>
      <c r="X166" s="77"/>
      <c r="Y166" s="77"/>
      <c r="Z166" s="77"/>
      <c r="AA166" s="77" t="s">
        <v>6710</v>
      </c>
      <c r="AB166" s="77" t="s">
        <v>7743</v>
      </c>
      <c r="AC166" s="82" t="s">
        <v>7751</v>
      </c>
      <c r="AD166" s="77" t="s">
        <v>7790</v>
      </c>
      <c r="AE166" s="80" t="str">
        <f>HYPERLINK("https://twitter.com/smarttradingcl1/status/1698788682570854596")</f>
        <v>https://twitter.com/smarttradingcl1/status/1698788682570854596</v>
      </c>
      <c r="AF166" s="79">
        <v>45173.835162037038</v>
      </c>
      <c r="AG166" s="85">
        <v>45173</v>
      </c>
      <c r="AH166" s="82" t="s">
        <v>7948</v>
      </c>
      <c r="AI166" s="77" t="b">
        <v>0</v>
      </c>
      <c r="AJ166" s="77"/>
      <c r="AK166" s="77"/>
      <c r="AL166" s="77"/>
      <c r="AM166" s="77"/>
      <c r="AN166" s="77"/>
      <c r="AO166" s="77"/>
      <c r="AP166" s="77"/>
      <c r="AQ166" s="77" t="s">
        <v>10682</v>
      </c>
      <c r="AR166" s="77">
        <v>6766</v>
      </c>
      <c r="AS166" s="77"/>
      <c r="AT166" s="77"/>
      <c r="AU166" s="77"/>
      <c r="AV166" s="80" t="str">
        <f>HYPERLINK("https://pbs.twimg.com/ext_tw_video_thumb/1698788521471856641/pu/img/kcGhOE7UkeaPbq2y.jpg")</f>
        <v>https://pbs.twimg.com/ext_tw_video_thumb/1698788521471856641/pu/img/kcGhOE7UkeaPbq2y.jpg</v>
      </c>
      <c r="AW166" s="82" t="s">
        <v>11876</v>
      </c>
      <c r="AX166" s="82" t="s">
        <v>11876</v>
      </c>
      <c r="AY166" s="77"/>
      <c r="AZ166" s="82" t="s">
        <v>15984</v>
      </c>
      <c r="BA166" s="82" t="s">
        <v>15984</v>
      </c>
      <c r="BB166" s="82" t="s">
        <v>15984</v>
      </c>
      <c r="BC166" s="82" t="s">
        <v>11876</v>
      </c>
      <c r="BD166" s="82" t="s">
        <v>16130</v>
      </c>
      <c r="BE166" s="77"/>
      <c r="BF166" s="77"/>
      <c r="BG166" s="77"/>
      <c r="BH166" s="77"/>
      <c r="BI166" s="77"/>
    </row>
    <row r="167" spans="1:61" x14ac:dyDescent="0.25">
      <c r="A167" s="62" t="s">
        <v>272</v>
      </c>
      <c r="B167" s="62" t="s">
        <v>272</v>
      </c>
      <c r="C167" s="63"/>
      <c r="D167" s="64"/>
      <c r="E167" s="65"/>
      <c r="F167" s="66"/>
      <c r="G167" s="63"/>
      <c r="H167" s="67"/>
      <c r="I167" s="68"/>
      <c r="J167" s="68"/>
      <c r="K167" s="32"/>
      <c r="L167" s="75">
        <v>167</v>
      </c>
      <c r="M167" s="75"/>
      <c r="N167" s="70"/>
      <c r="O167" s="77" t="s">
        <v>179</v>
      </c>
      <c r="P167" s="79">
        <v>45139.58902777778</v>
      </c>
      <c r="Q167" s="77" t="s">
        <v>1064</v>
      </c>
      <c r="R167" s="77">
        <v>0</v>
      </c>
      <c r="S167" s="77">
        <v>0</v>
      </c>
      <c r="T167" s="77">
        <v>0</v>
      </c>
      <c r="U167" s="77">
        <v>0</v>
      </c>
      <c r="V167" s="77">
        <v>30</v>
      </c>
      <c r="W167" s="82" t="s">
        <v>4892</v>
      </c>
      <c r="X167" s="77"/>
      <c r="Y167" s="77"/>
      <c r="Z167" s="77"/>
      <c r="AA167" s="77"/>
      <c r="AB167" s="77"/>
      <c r="AC167" s="82" t="s">
        <v>7750</v>
      </c>
      <c r="AD167" s="77" t="s">
        <v>7788</v>
      </c>
      <c r="AE167" s="80" t="str">
        <f>HYPERLINK("https://twitter.com/prof_aleciom/status/1686378300632076290")</f>
        <v>https://twitter.com/prof_aleciom/status/1686378300632076290</v>
      </c>
      <c r="AF167" s="79">
        <v>45139.58902777778</v>
      </c>
      <c r="AG167" s="85">
        <v>45139</v>
      </c>
      <c r="AH167" s="82" t="s">
        <v>7949</v>
      </c>
      <c r="AI167" s="77"/>
      <c r="AJ167" s="77"/>
      <c r="AK167" s="77"/>
      <c r="AL167" s="77"/>
      <c r="AM167" s="77"/>
      <c r="AN167" s="77"/>
      <c r="AO167" s="77"/>
      <c r="AP167" s="77"/>
      <c r="AQ167" s="77"/>
      <c r="AR167" s="77"/>
      <c r="AS167" s="77"/>
      <c r="AT167" s="77"/>
      <c r="AU167" s="77"/>
      <c r="AV167" s="80" t="str">
        <f>HYPERLINK("https://pbs.twimg.com/profile_images/1598834925674840065/AIJUkXlx_normal.jpg")</f>
        <v>https://pbs.twimg.com/profile_images/1598834925674840065/AIJUkXlx_normal.jpg</v>
      </c>
      <c r="AW167" s="82" t="s">
        <v>11877</v>
      </c>
      <c r="AX167" s="82" t="s">
        <v>11877</v>
      </c>
      <c r="AY167" s="77"/>
      <c r="AZ167" s="82" t="s">
        <v>15984</v>
      </c>
      <c r="BA167" s="82" t="s">
        <v>15984</v>
      </c>
      <c r="BB167" s="82" t="s">
        <v>15984</v>
      </c>
      <c r="BC167" s="82" t="s">
        <v>11877</v>
      </c>
      <c r="BD167" s="82" t="s">
        <v>16131</v>
      </c>
      <c r="BE167" s="77"/>
      <c r="BF167" s="77"/>
      <c r="BG167" s="77"/>
      <c r="BH167" s="77"/>
      <c r="BI167" s="77"/>
    </row>
    <row r="168" spans="1:61" x14ac:dyDescent="0.25">
      <c r="A168" s="62" t="s">
        <v>273</v>
      </c>
      <c r="B168" s="62" t="s">
        <v>273</v>
      </c>
      <c r="C168" s="63"/>
      <c r="D168" s="64"/>
      <c r="E168" s="65"/>
      <c r="F168" s="66"/>
      <c r="G168" s="63"/>
      <c r="H168" s="67"/>
      <c r="I168" s="68"/>
      <c r="J168" s="68"/>
      <c r="K168" s="32"/>
      <c r="L168" s="75">
        <v>168</v>
      </c>
      <c r="M168" s="75"/>
      <c r="N168" s="70"/>
      <c r="O168" s="77" t="s">
        <v>179</v>
      </c>
      <c r="P168" s="79">
        <v>45118.885659722226</v>
      </c>
      <c r="Q168" s="77" t="s">
        <v>1065</v>
      </c>
      <c r="R168" s="77">
        <v>0</v>
      </c>
      <c r="S168" s="77">
        <v>0</v>
      </c>
      <c r="T168" s="77">
        <v>0</v>
      </c>
      <c r="U168" s="77">
        <v>0</v>
      </c>
      <c r="V168" s="77">
        <v>7</v>
      </c>
      <c r="W168" s="82" t="s">
        <v>4893</v>
      </c>
      <c r="X168" s="77"/>
      <c r="Y168" s="77"/>
      <c r="Z168" s="77"/>
      <c r="AA168" s="77" t="s">
        <v>6711</v>
      </c>
      <c r="AB168" s="77" t="s">
        <v>7743</v>
      </c>
      <c r="AC168" s="82" t="s">
        <v>7752</v>
      </c>
      <c r="AD168" s="77" t="s">
        <v>7788</v>
      </c>
      <c r="AE168" s="80" t="str">
        <f>HYPERLINK("https://twitter.com/casal_trader/status/1678875649656668163")</f>
        <v>https://twitter.com/casal_trader/status/1678875649656668163</v>
      </c>
      <c r="AF168" s="79">
        <v>45118.885659722226</v>
      </c>
      <c r="AG168" s="85">
        <v>45118</v>
      </c>
      <c r="AH168" s="82" t="s">
        <v>7950</v>
      </c>
      <c r="AI168" s="77" t="b">
        <v>0</v>
      </c>
      <c r="AJ168" s="77"/>
      <c r="AK168" s="77"/>
      <c r="AL168" s="77"/>
      <c r="AM168" s="77"/>
      <c r="AN168" s="77"/>
      <c r="AO168" s="77"/>
      <c r="AP168" s="77"/>
      <c r="AQ168" s="77" t="s">
        <v>10683</v>
      </c>
      <c r="AR168" s="77">
        <v>89666</v>
      </c>
      <c r="AS168" s="77"/>
      <c r="AT168" s="77"/>
      <c r="AU168" s="77"/>
      <c r="AV168" s="80" t="str">
        <f>HYPERLINK("https://pbs.twimg.com/ext_tw_video_thumb/1678875493460762626/pu/img/T1HAdWUCnylz4OHI.jpg")</f>
        <v>https://pbs.twimg.com/ext_tw_video_thumb/1678875493460762626/pu/img/T1HAdWUCnylz4OHI.jpg</v>
      </c>
      <c r="AW168" s="82" t="s">
        <v>11878</v>
      </c>
      <c r="AX168" s="82" t="s">
        <v>11878</v>
      </c>
      <c r="AY168" s="77"/>
      <c r="AZ168" s="82" t="s">
        <v>15984</v>
      </c>
      <c r="BA168" s="82" t="s">
        <v>15984</v>
      </c>
      <c r="BB168" s="82" t="s">
        <v>15984</v>
      </c>
      <c r="BC168" s="82" t="s">
        <v>11878</v>
      </c>
      <c r="BD168" s="82" t="s">
        <v>16132</v>
      </c>
      <c r="BE168" s="77"/>
      <c r="BF168" s="77"/>
      <c r="BG168" s="77"/>
      <c r="BH168" s="77"/>
      <c r="BI168" s="77"/>
    </row>
    <row r="169" spans="1:61" x14ac:dyDescent="0.25">
      <c r="A169" s="62" t="s">
        <v>273</v>
      </c>
      <c r="B169" s="62" t="s">
        <v>273</v>
      </c>
      <c r="C169" s="63"/>
      <c r="D169" s="64"/>
      <c r="E169" s="65"/>
      <c r="F169" s="66"/>
      <c r="G169" s="63"/>
      <c r="H169" s="67"/>
      <c r="I169" s="68"/>
      <c r="J169" s="68"/>
      <c r="K169" s="32"/>
      <c r="L169" s="75">
        <v>169</v>
      </c>
      <c r="M169" s="75"/>
      <c r="N169" s="70"/>
      <c r="O169" s="77" t="s">
        <v>179</v>
      </c>
      <c r="P169" s="79">
        <v>45119.463506944441</v>
      </c>
      <c r="Q169" s="77" t="s">
        <v>1066</v>
      </c>
      <c r="R169" s="77">
        <v>0</v>
      </c>
      <c r="S169" s="77">
        <v>0</v>
      </c>
      <c r="T169" s="77">
        <v>0</v>
      </c>
      <c r="U169" s="77">
        <v>0</v>
      </c>
      <c r="V169" s="77">
        <v>17</v>
      </c>
      <c r="W169" s="82" t="s">
        <v>4894</v>
      </c>
      <c r="X169" s="77"/>
      <c r="Y169" s="77"/>
      <c r="Z169" s="77"/>
      <c r="AA169" s="77" t="s">
        <v>6712</v>
      </c>
      <c r="AB169" s="77" t="s">
        <v>7743</v>
      </c>
      <c r="AC169" s="82" t="s">
        <v>7752</v>
      </c>
      <c r="AD169" s="77" t="s">
        <v>7788</v>
      </c>
      <c r="AE169" s="80" t="str">
        <f>HYPERLINK("https://twitter.com/casal_trader/status/1679085052574027776")</f>
        <v>https://twitter.com/casal_trader/status/1679085052574027776</v>
      </c>
      <c r="AF169" s="79">
        <v>45119.463506944441</v>
      </c>
      <c r="AG169" s="85">
        <v>45119</v>
      </c>
      <c r="AH169" s="82" t="s">
        <v>7951</v>
      </c>
      <c r="AI169" s="77" t="b">
        <v>0</v>
      </c>
      <c r="AJ169" s="77"/>
      <c r="AK169" s="77"/>
      <c r="AL169" s="77"/>
      <c r="AM169" s="77"/>
      <c r="AN169" s="77"/>
      <c r="AO169" s="77"/>
      <c r="AP169" s="77"/>
      <c r="AQ169" s="77" t="s">
        <v>10684</v>
      </c>
      <c r="AR169" s="77">
        <v>55233</v>
      </c>
      <c r="AS169" s="77"/>
      <c r="AT169" s="77"/>
      <c r="AU169" s="77"/>
      <c r="AV169" s="80" t="str">
        <f>HYPERLINK("https://pbs.twimg.com/ext_tw_video_thumb/1679084945069817856/pu/img/ga48LamGI5p8iajS.jpg")</f>
        <v>https://pbs.twimg.com/ext_tw_video_thumb/1679084945069817856/pu/img/ga48LamGI5p8iajS.jpg</v>
      </c>
      <c r="AW169" s="82" t="s">
        <v>11879</v>
      </c>
      <c r="AX169" s="82" t="s">
        <v>11879</v>
      </c>
      <c r="AY169" s="77"/>
      <c r="AZ169" s="82" t="s">
        <v>15984</v>
      </c>
      <c r="BA169" s="82" t="s">
        <v>15984</v>
      </c>
      <c r="BB169" s="82" t="s">
        <v>15984</v>
      </c>
      <c r="BC169" s="82" t="s">
        <v>11879</v>
      </c>
      <c r="BD169" s="82" t="s">
        <v>16132</v>
      </c>
      <c r="BE169" s="77"/>
      <c r="BF169" s="77"/>
      <c r="BG169" s="77"/>
      <c r="BH169" s="77"/>
      <c r="BI169" s="77"/>
    </row>
    <row r="170" spans="1:61" x14ac:dyDescent="0.25">
      <c r="A170" s="62" t="s">
        <v>273</v>
      </c>
      <c r="B170" s="62" t="s">
        <v>273</v>
      </c>
      <c r="C170" s="63"/>
      <c r="D170" s="64"/>
      <c r="E170" s="65"/>
      <c r="F170" s="66"/>
      <c r="G170" s="63"/>
      <c r="H170" s="67"/>
      <c r="I170" s="68"/>
      <c r="J170" s="68"/>
      <c r="K170" s="32"/>
      <c r="L170" s="75">
        <v>170</v>
      </c>
      <c r="M170" s="75"/>
      <c r="N170" s="70"/>
      <c r="O170" s="77" t="s">
        <v>179</v>
      </c>
      <c r="P170" s="79">
        <v>45132.911111111112</v>
      </c>
      <c r="Q170" s="77" t="s">
        <v>1067</v>
      </c>
      <c r="R170" s="77">
        <v>0</v>
      </c>
      <c r="S170" s="77">
        <v>0</v>
      </c>
      <c r="T170" s="77">
        <v>0</v>
      </c>
      <c r="U170" s="77">
        <v>0</v>
      </c>
      <c r="V170" s="77">
        <v>143</v>
      </c>
      <c r="W170" s="82" t="s">
        <v>4895</v>
      </c>
      <c r="X170" s="77"/>
      <c r="Y170" s="77"/>
      <c r="Z170" s="77"/>
      <c r="AA170" s="77" t="s">
        <v>6713</v>
      </c>
      <c r="AB170" s="77" t="s">
        <v>7743</v>
      </c>
      <c r="AC170" s="82" t="s">
        <v>7752</v>
      </c>
      <c r="AD170" s="77" t="s">
        <v>7788</v>
      </c>
      <c r="AE170" s="80" t="str">
        <f>HYPERLINK("https://twitter.com/casal_trader/status/1683958304186290176")</f>
        <v>https://twitter.com/casal_trader/status/1683958304186290176</v>
      </c>
      <c r="AF170" s="79">
        <v>45132.911111111112</v>
      </c>
      <c r="AG170" s="85">
        <v>45132</v>
      </c>
      <c r="AH170" s="82" t="s">
        <v>7952</v>
      </c>
      <c r="AI170" s="77" t="b">
        <v>0</v>
      </c>
      <c r="AJ170" s="77"/>
      <c r="AK170" s="77"/>
      <c r="AL170" s="77"/>
      <c r="AM170" s="77"/>
      <c r="AN170" s="77"/>
      <c r="AO170" s="77"/>
      <c r="AP170" s="77"/>
      <c r="AQ170" s="77" t="s">
        <v>10685</v>
      </c>
      <c r="AR170" s="77">
        <v>90033</v>
      </c>
      <c r="AS170" s="77"/>
      <c r="AT170" s="77"/>
      <c r="AU170" s="77"/>
      <c r="AV170" s="80" t="str">
        <f>HYPERLINK("https://pbs.twimg.com/ext_tw_video_thumb/1683958165317058560/pu/img/XvH-oA-vi6vzCQdB.jpg")</f>
        <v>https://pbs.twimg.com/ext_tw_video_thumb/1683958165317058560/pu/img/XvH-oA-vi6vzCQdB.jpg</v>
      </c>
      <c r="AW170" s="82" t="s">
        <v>11880</v>
      </c>
      <c r="AX170" s="82" t="s">
        <v>11880</v>
      </c>
      <c r="AY170" s="77"/>
      <c r="AZ170" s="82" t="s">
        <v>15984</v>
      </c>
      <c r="BA170" s="82" t="s">
        <v>15984</v>
      </c>
      <c r="BB170" s="82" t="s">
        <v>15984</v>
      </c>
      <c r="BC170" s="82" t="s">
        <v>11880</v>
      </c>
      <c r="BD170" s="82" t="s">
        <v>16132</v>
      </c>
      <c r="BE170" s="77"/>
      <c r="BF170" s="77"/>
      <c r="BG170" s="77"/>
      <c r="BH170" s="77"/>
      <c r="BI170" s="77"/>
    </row>
    <row r="171" spans="1:61" x14ac:dyDescent="0.25">
      <c r="A171" s="62" t="s">
        <v>273</v>
      </c>
      <c r="B171" s="62" t="s">
        <v>273</v>
      </c>
      <c r="C171" s="63"/>
      <c r="D171" s="64"/>
      <c r="E171" s="65"/>
      <c r="F171" s="66"/>
      <c r="G171" s="63"/>
      <c r="H171" s="67"/>
      <c r="I171" s="68"/>
      <c r="J171" s="68"/>
      <c r="K171" s="32"/>
      <c r="L171" s="75">
        <v>171</v>
      </c>
      <c r="M171" s="75"/>
      <c r="N171" s="70"/>
      <c r="O171" s="77" t="s">
        <v>179</v>
      </c>
      <c r="P171" s="79">
        <v>45146.025034722225</v>
      </c>
      <c r="Q171" s="77" t="s">
        <v>1068</v>
      </c>
      <c r="R171" s="77">
        <v>0</v>
      </c>
      <c r="S171" s="77">
        <v>0</v>
      </c>
      <c r="T171" s="77">
        <v>0</v>
      </c>
      <c r="U171" s="77">
        <v>0</v>
      </c>
      <c r="V171" s="77">
        <v>166</v>
      </c>
      <c r="W171" s="82" t="s">
        <v>4896</v>
      </c>
      <c r="X171" s="77"/>
      <c r="Y171" s="77"/>
      <c r="Z171" s="77"/>
      <c r="AA171" s="77" t="s">
        <v>6714</v>
      </c>
      <c r="AB171" s="77" t="s">
        <v>7743</v>
      </c>
      <c r="AC171" s="82" t="s">
        <v>7752</v>
      </c>
      <c r="AD171" s="77" t="s">
        <v>7788</v>
      </c>
      <c r="AE171" s="80" t="str">
        <f>HYPERLINK("https://twitter.com/casal_trader/status/1688710629970915328")</f>
        <v>https://twitter.com/casal_trader/status/1688710629970915328</v>
      </c>
      <c r="AF171" s="79">
        <v>45146.025034722225</v>
      </c>
      <c r="AG171" s="85">
        <v>45146</v>
      </c>
      <c r="AH171" s="82" t="s">
        <v>7953</v>
      </c>
      <c r="AI171" s="77" t="b">
        <v>0</v>
      </c>
      <c r="AJ171" s="77"/>
      <c r="AK171" s="77"/>
      <c r="AL171" s="77"/>
      <c r="AM171" s="77"/>
      <c r="AN171" s="77"/>
      <c r="AO171" s="77"/>
      <c r="AP171" s="77"/>
      <c r="AQ171" s="77" t="s">
        <v>10686</v>
      </c>
      <c r="AR171" s="77">
        <v>85900</v>
      </c>
      <c r="AS171" s="77"/>
      <c r="AT171" s="77"/>
      <c r="AU171" s="77"/>
      <c r="AV171" s="80" t="str">
        <f>HYPERLINK("https://pbs.twimg.com/ext_tw_video_thumb/1688710490246004736/pu/img/S1hiIM29M2dyZKc8.jpg")</f>
        <v>https://pbs.twimg.com/ext_tw_video_thumb/1688710490246004736/pu/img/S1hiIM29M2dyZKc8.jpg</v>
      </c>
      <c r="AW171" s="82" t="s">
        <v>11881</v>
      </c>
      <c r="AX171" s="82" t="s">
        <v>11881</v>
      </c>
      <c r="AY171" s="77"/>
      <c r="AZ171" s="82" t="s">
        <v>15984</v>
      </c>
      <c r="BA171" s="82" t="s">
        <v>15984</v>
      </c>
      <c r="BB171" s="82" t="s">
        <v>15984</v>
      </c>
      <c r="BC171" s="82" t="s">
        <v>11881</v>
      </c>
      <c r="BD171" s="82" t="s">
        <v>16132</v>
      </c>
      <c r="BE171" s="77"/>
      <c r="BF171" s="77"/>
      <c r="BG171" s="77"/>
      <c r="BH171" s="77"/>
      <c r="BI171" s="77"/>
    </row>
    <row r="172" spans="1:61" x14ac:dyDescent="0.25">
      <c r="A172" s="62" t="s">
        <v>273</v>
      </c>
      <c r="B172" s="62" t="s">
        <v>273</v>
      </c>
      <c r="C172" s="63"/>
      <c r="D172" s="64"/>
      <c r="E172" s="65"/>
      <c r="F172" s="66"/>
      <c r="G172" s="63"/>
      <c r="H172" s="67"/>
      <c r="I172" s="68"/>
      <c r="J172" s="68"/>
      <c r="K172" s="32"/>
      <c r="L172" s="75">
        <v>172</v>
      </c>
      <c r="M172" s="75"/>
      <c r="N172" s="70"/>
      <c r="O172" s="77" t="s">
        <v>179</v>
      </c>
      <c r="P172" s="79">
        <v>45137.882881944446</v>
      </c>
      <c r="Q172" s="77" t="s">
        <v>1069</v>
      </c>
      <c r="R172" s="77">
        <v>0</v>
      </c>
      <c r="S172" s="77">
        <v>0</v>
      </c>
      <c r="T172" s="77">
        <v>0</v>
      </c>
      <c r="U172" s="77">
        <v>0</v>
      </c>
      <c r="V172" s="77">
        <v>9</v>
      </c>
      <c r="W172" s="82" t="s">
        <v>4897</v>
      </c>
      <c r="X172" s="77"/>
      <c r="Y172" s="77"/>
      <c r="Z172" s="77"/>
      <c r="AA172" s="77" t="s">
        <v>6715</v>
      </c>
      <c r="AB172" s="77" t="s">
        <v>7743</v>
      </c>
      <c r="AC172" s="82" t="s">
        <v>7752</v>
      </c>
      <c r="AD172" s="77" t="s">
        <v>7788</v>
      </c>
      <c r="AE172" s="80" t="str">
        <f>HYPERLINK("https://twitter.com/casal_trader/status/1685760013040537601")</f>
        <v>https://twitter.com/casal_trader/status/1685760013040537601</v>
      </c>
      <c r="AF172" s="79">
        <v>45137.882881944446</v>
      </c>
      <c r="AG172" s="85">
        <v>45137</v>
      </c>
      <c r="AH172" s="82" t="s">
        <v>7954</v>
      </c>
      <c r="AI172" s="77" t="b">
        <v>0</v>
      </c>
      <c r="AJ172" s="77"/>
      <c r="AK172" s="77"/>
      <c r="AL172" s="77"/>
      <c r="AM172" s="77"/>
      <c r="AN172" s="77"/>
      <c r="AO172" s="77"/>
      <c r="AP172" s="77"/>
      <c r="AQ172" s="77" t="s">
        <v>10687</v>
      </c>
      <c r="AR172" s="77">
        <v>63633</v>
      </c>
      <c r="AS172" s="77"/>
      <c r="AT172" s="77"/>
      <c r="AU172" s="77"/>
      <c r="AV172" s="80" t="str">
        <f>HYPERLINK("https://pbs.twimg.com/ext_tw_video_thumb/1685759890474565633/pu/img/9v8aAttywqfQekZY.jpg")</f>
        <v>https://pbs.twimg.com/ext_tw_video_thumb/1685759890474565633/pu/img/9v8aAttywqfQekZY.jpg</v>
      </c>
      <c r="AW172" s="82" t="s">
        <v>11882</v>
      </c>
      <c r="AX172" s="82" t="s">
        <v>11882</v>
      </c>
      <c r="AY172" s="77"/>
      <c r="AZ172" s="82" t="s">
        <v>15984</v>
      </c>
      <c r="BA172" s="82" t="s">
        <v>15984</v>
      </c>
      <c r="BB172" s="82" t="s">
        <v>15984</v>
      </c>
      <c r="BC172" s="82" t="s">
        <v>11882</v>
      </c>
      <c r="BD172" s="82" t="s">
        <v>16132</v>
      </c>
      <c r="BE172" s="77"/>
      <c r="BF172" s="77"/>
      <c r="BG172" s="77"/>
      <c r="BH172" s="77"/>
      <c r="BI172" s="77"/>
    </row>
    <row r="173" spans="1:61" x14ac:dyDescent="0.25">
      <c r="A173" s="62" t="s">
        <v>273</v>
      </c>
      <c r="B173" s="62" t="s">
        <v>273</v>
      </c>
      <c r="C173" s="63"/>
      <c r="D173" s="64"/>
      <c r="E173" s="65"/>
      <c r="F173" s="66"/>
      <c r="G173" s="63"/>
      <c r="H173" s="67"/>
      <c r="I173" s="68"/>
      <c r="J173" s="68"/>
      <c r="K173" s="32"/>
      <c r="L173" s="75">
        <v>173</v>
      </c>
      <c r="M173" s="75"/>
      <c r="N173" s="70"/>
      <c r="O173" s="77" t="s">
        <v>179</v>
      </c>
      <c r="P173" s="79">
        <v>45134.94630787037</v>
      </c>
      <c r="Q173" s="77" t="s">
        <v>1070</v>
      </c>
      <c r="R173" s="77">
        <v>0</v>
      </c>
      <c r="S173" s="77">
        <v>0</v>
      </c>
      <c r="T173" s="77">
        <v>0</v>
      </c>
      <c r="U173" s="77">
        <v>0</v>
      </c>
      <c r="V173" s="77">
        <v>20</v>
      </c>
      <c r="W173" s="82" t="s">
        <v>4898</v>
      </c>
      <c r="X173" s="77"/>
      <c r="Y173" s="77"/>
      <c r="Z173" s="77"/>
      <c r="AA173" s="77" t="s">
        <v>6716</v>
      </c>
      <c r="AB173" s="77" t="s">
        <v>7743</v>
      </c>
      <c r="AC173" s="82" t="s">
        <v>7752</v>
      </c>
      <c r="AD173" s="77" t="s">
        <v>7788</v>
      </c>
      <c r="AE173" s="80" t="str">
        <f>HYPERLINK("https://twitter.com/casal_trader/status/1684695834103824385")</f>
        <v>https://twitter.com/casal_trader/status/1684695834103824385</v>
      </c>
      <c r="AF173" s="79">
        <v>45134.94630787037</v>
      </c>
      <c r="AG173" s="85">
        <v>45134</v>
      </c>
      <c r="AH173" s="82" t="s">
        <v>7955</v>
      </c>
      <c r="AI173" s="77" t="b">
        <v>0</v>
      </c>
      <c r="AJ173" s="77"/>
      <c r="AK173" s="77"/>
      <c r="AL173" s="77"/>
      <c r="AM173" s="77"/>
      <c r="AN173" s="77"/>
      <c r="AO173" s="77"/>
      <c r="AP173" s="77"/>
      <c r="AQ173" s="77" t="s">
        <v>10688</v>
      </c>
      <c r="AR173" s="77">
        <v>90900</v>
      </c>
      <c r="AS173" s="77"/>
      <c r="AT173" s="77"/>
      <c r="AU173" s="77"/>
      <c r="AV173" s="80" t="str">
        <f>HYPERLINK("https://pbs.twimg.com/ext_tw_video_thumb/1684695482369536000/pu/img/4ygwlzvpT7HE-J8C.jpg")</f>
        <v>https://pbs.twimg.com/ext_tw_video_thumb/1684695482369536000/pu/img/4ygwlzvpT7HE-J8C.jpg</v>
      </c>
      <c r="AW173" s="82" t="s">
        <v>11883</v>
      </c>
      <c r="AX173" s="82" t="s">
        <v>11883</v>
      </c>
      <c r="AY173" s="77"/>
      <c r="AZ173" s="82" t="s">
        <v>15984</v>
      </c>
      <c r="BA173" s="82" t="s">
        <v>15984</v>
      </c>
      <c r="BB173" s="82" t="s">
        <v>15984</v>
      </c>
      <c r="BC173" s="82" t="s">
        <v>11883</v>
      </c>
      <c r="BD173" s="82" t="s">
        <v>16132</v>
      </c>
      <c r="BE173" s="77"/>
      <c r="BF173" s="77"/>
      <c r="BG173" s="77"/>
      <c r="BH173" s="77"/>
      <c r="BI173" s="77"/>
    </row>
    <row r="174" spans="1:61" x14ac:dyDescent="0.25">
      <c r="A174" s="62" t="s">
        <v>273</v>
      </c>
      <c r="B174" s="62" t="s">
        <v>273</v>
      </c>
      <c r="C174" s="63"/>
      <c r="D174" s="64"/>
      <c r="E174" s="65"/>
      <c r="F174" s="66"/>
      <c r="G174" s="63"/>
      <c r="H174" s="67"/>
      <c r="I174" s="68"/>
      <c r="J174" s="68"/>
      <c r="K174" s="32"/>
      <c r="L174" s="75">
        <v>174</v>
      </c>
      <c r="M174" s="75"/>
      <c r="N174" s="70"/>
      <c r="O174" s="77" t="s">
        <v>179</v>
      </c>
      <c r="P174" s="79">
        <v>45128.036365740743</v>
      </c>
      <c r="Q174" s="77" t="s">
        <v>1071</v>
      </c>
      <c r="R174" s="77">
        <v>0</v>
      </c>
      <c r="S174" s="77">
        <v>0</v>
      </c>
      <c r="T174" s="77">
        <v>0</v>
      </c>
      <c r="U174" s="77">
        <v>0</v>
      </c>
      <c r="V174" s="77">
        <v>28</v>
      </c>
      <c r="W174" s="82" t="s">
        <v>4899</v>
      </c>
      <c r="X174" s="77"/>
      <c r="Y174" s="77"/>
      <c r="Z174" s="77"/>
      <c r="AA174" s="77" t="s">
        <v>6717</v>
      </c>
      <c r="AB174" s="77" t="s">
        <v>7743</v>
      </c>
      <c r="AC174" s="82" t="s">
        <v>7752</v>
      </c>
      <c r="AD174" s="77" t="s">
        <v>7788</v>
      </c>
      <c r="AE174" s="80" t="str">
        <f>HYPERLINK("https://twitter.com/casal_trader/status/1682191754135470080")</f>
        <v>https://twitter.com/casal_trader/status/1682191754135470080</v>
      </c>
      <c r="AF174" s="79">
        <v>45128.036365740743</v>
      </c>
      <c r="AG174" s="85">
        <v>45128</v>
      </c>
      <c r="AH174" s="82" t="s">
        <v>7956</v>
      </c>
      <c r="AI174" s="77" t="b">
        <v>0</v>
      </c>
      <c r="AJ174" s="77"/>
      <c r="AK174" s="77"/>
      <c r="AL174" s="77"/>
      <c r="AM174" s="77"/>
      <c r="AN174" s="77"/>
      <c r="AO174" s="77"/>
      <c r="AP174" s="77"/>
      <c r="AQ174" s="77" t="s">
        <v>10689</v>
      </c>
      <c r="AR174" s="77">
        <v>56700</v>
      </c>
      <c r="AS174" s="77"/>
      <c r="AT174" s="77"/>
      <c r="AU174" s="77"/>
      <c r="AV174" s="80" t="str">
        <f>HYPERLINK("https://pbs.twimg.com/ext_tw_video_thumb/1682191640817987589/pu/img/uyV-KTZ-AZOa8Gpd.jpg")</f>
        <v>https://pbs.twimg.com/ext_tw_video_thumb/1682191640817987589/pu/img/uyV-KTZ-AZOa8Gpd.jpg</v>
      </c>
      <c r="AW174" s="82" t="s">
        <v>11884</v>
      </c>
      <c r="AX174" s="82" t="s">
        <v>11884</v>
      </c>
      <c r="AY174" s="77"/>
      <c r="AZ174" s="82" t="s">
        <v>15984</v>
      </c>
      <c r="BA174" s="82" t="s">
        <v>15984</v>
      </c>
      <c r="BB174" s="82" t="s">
        <v>15984</v>
      </c>
      <c r="BC174" s="82" t="s">
        <v>11884</v>
      </c>
      <c r="BD174" s="82" t="s">
        <v>16132</v>
      </c>
      <c r="BE174" s="77"/>
      <c r="BF174" s="77"/>
      <c r="BG174" s="77"/>
      <c r="BH174" s="77"/>
      <c r="BI174" s="77"/>
    </row>
    <row r="175" spans="1:61" x14ac:dyDescent="0.25">
      <c r="A175" s="62" t="s">
        <v>273</v>
      </c>
      <c r="B175" s="62" t="s">
        <v>273</v>
      </c>
      <c r="C175" s="63"/>
      <c r="D175" s="64"/>
      <c r="E175" s="65"/>
      <c r="F175" s="66"/>
      <c r="G175" s="63"/>
      <c r="H175" s="67"/>
      <c r="I175" s="68"/>
      <c r="J175" s="68"/>
      <c r="K175" s="32"/>
      <c r="L175" s="75">
        <v>175</v>
      </c>
      <c r="M175" s="75"/>
      <c r="N175" s="70"/>
      <c r="O175" s="77" t="s">
        <v>179</v>
      </c>
      <c r="P175" s="79">
        <v>45163.000983796293</v>
      </c>
      <c r="Q175" s="77" t="s">
        <v>1072</v>
      </c>
      <c r="R175" s="77">
        <v>0</v>
      </c>
      <c r="S175" s="77">
        <v>0</v>
      </c>
      <c r="T175" s="77">
        <v>0</v>
      </c>
      <c r="U175" s="77">
        <v>0</v>
      </c>
      <c r="V175" s="77">
        <v>73</v>
      </c>
      <c r="W175" s="82" t="s">
        <v>4900</v>
      </c>
      <c r="X175" s="77"/>
      <c r="Y175" s="77"/>
      <c r="Z175" s="77"/>
      <c r="AA175" s="77" t="s">
        <v>6718</v>
      </c>
      <c r="AB175" s="77" t="s">
        <v>7743</v>
      </c>
      <c r="AC175" s="82" t="s">
        <v>7752</v>
      </c>
      <c r="AD175" s="77" t="s">
        <v>7788</v>
      </c>
      <c r="AE175" s="80" t="str">
        <f>HYPERLINK("https://twitter.com/casal_trader/status/1694862507481932174")</f>
        <v>https://twitter.com/casal_trader/status/1694862507481932174</v>
      </c>
      <c r="AF175" s="79">
        <v>45163.000983796293</v>
      </c>
      <c r="AG175" s="85">
        <v>45163</v>
      </c>
      <c r="AH175" s="82" t="s">
        <v>7957</v>
      </c>
      <c r="AI175" s="77" t="b">
        <v>0</v>
      </c>
      <c r="AJ175" s="77"/>
      <c r="AK175" s="77"/>
      <c r="AL175" s="77"/>
      <c r="AM175" s="77"/>
      <c r="AN175" s="77"/>
      <c r="AO175" s="77"/>
      <c r="AP175" s="77"/>
      <c r="AQ175" s="77" t="s">
        <v>10690</v>
      </c>
      <c r="AR175" s="77">
        <v>89033</v>
      </c>
      <c r="AS175" s="77"/>
      <c r="AT175" s="77"/>
      <c r="AU175" s="77"/>
      <c r="AV175" s="80" t="str">
        <f>HYPERLINK("https://pbs.twimg.com/ext_tw_video_thumb/1694862226497138688/pu/img/6io_ZAk1tTzofy82.jpg")</f>
        <v>https://pbs.twimg.com/ext_tw_video_thumb/1694862226497138688/pu/img/6io_ZAk1tTzofy82.jpg</v>
      </c>
      <c r="AW175" s="82" t="s">
        <v>11885</v>
      </c>
      <c r="AX175" s="82" t="s">
        <v>11885</v>
      </c>
      <c r="AY175" s="77"/>
      <c r="AZ175" s="82" t="s">
        <v>15984</v>
      </c>
      <c r="BA175" s="82" t="s">
        <v>15984</v>
      </c>
      <c r="BB175" s="82" t="s">
        <v>15984</v>
      </c>
      <c r="BC175" s="82" t="s">
        <v>11885</v>
      </c>
      <c r="BD175" s="82" t="s">
        <v>16132</v>
      </c>
      <c r="BE175" s="77"/>
      <c r="BF175" s="77"/>
      <c r="BG175" s="77"/>
      <c r="BH175" s="77"/>
      <c r="BI175" s="77"/>
    </row>
    <row r="176" spans="1:61" x14ac:dyDescent="0.25">
      <c r="A176" s="62" t="s">
        <v>273</v>
      </c>
      <c r="B176" s="62" t="s">
        <v>273</v>
      </c>
      <c r="C176" s="63"/>
      <c r="D176" s="64"/>
      <c r="E176" s="65"/>
      <c r="F176" s="66"/>
      <c r="G176" s="63"/>
      <c r="H176" s="67"/>
      <c r="I176" s="68"/>
      <c r="J176" s="68"/>
      <c r="K176" s="32"/>
      <c r="L176" s="75">
        <v>176</v>
      </c>
      <c r="M176" s="75"/>
      <c r="N176" s="70"/>
      <c r="O176" s="77" t="s">
        <v>179</v>
      </c>
      <c r="P176" s="79">
        <v>45136.645011574074</v>
      </c>
      <c r="Q176" s="77" t="s">
        <v>1073</v>
      </c>
      <c r="R176" s="77">
        <v>1</v>
      </c>
      <c r="S176" s="77">
        <v>3</v>
      </c>
      <c r="T176" s="77">
        <v>1</v>
      </c>
      <c r="U176" s="77">
        <v>0</v>
      </c>
      <c r="V176" s="77">
        <v>121</v>
      </c>
      <c r="W176" s="82" t="s">
        <v>4901</v>
      </c>
      <c r="X176" s="77"/>
      <c r="Y176" s="77"/>
      <c r="Z176" s="77"/>
      <c r="AA176" s="77" t="s">
        <v>6719</v>
      </c>
      <c r="AB176" s="77" t="s">
        <v>7743</v>
      </c>
      <c r="AC176" s="82" t="s">
        <v>7752</v>
      </c>
      <c r="AD176" s="77" t="s">
        <v>7788</v>
      </c>
      <c r="AE176" s="80" t="str">
        <f>HYPERLINK("https://twitter.com/casal_trader/status/1685311425190014976")</f>
        <v>https://twitter.com/casal_trader/status/1685311425190014976</v>
      </c>
      <c r="AF176" s="79">
        <v>45136.645011574074</v>
      </c>
      <c r="AG176" s="85">
        <v>45136</v>
      </c>
      <c r="AH176" s="82" t="s">
        <v>7958</v>
      </c>
      <c r="AI176" s="77" t="b">
        <v>0</v>
      </c>
      <c r="AJ176" s="77"/>
      <c r="AK176" s="77"/>
      <c r="AL176" s="77"/>
      <c r="AM176" s="77"/>
      <c r="AN176" s="77"/>
      <c r="AO176" s="77"/>
      <c r="AP176" s="77"/>
      <c r="AQ176" s="77" t="s">
        <v>10691</v>
      </c>
      <c r="AR176" s="77">
        <v>50500</v>
      </c>
      <c r="AS176" s="77"/>
      <c r="AT176" s="77"/>
      <c r="AU176" s="77"/>
      <c r="AV176" s="80" t="str">
        <f>HYPERLINK("https://pbs.twimg.com/ext_tw_video_thumb/1685311277210488832/pu/img/U6WS_IR1FBuDDxCz.jpg")</f>
        <v>https://pbs.twimg.com/ext_tw_video_thumb/1685311277210488832/pu/img/U6WS_IR1FBuDDxCz.jpg</v>
      </c>
      <c r="AW176" s="82" t="s">
        <v>11886</v>
      </c>
      <c r="AX176" s="82" t="s">
        <v>11886</v>
      </c>
      <c r="AY176" s="77"/>
      <c r="AZ176" s="82" t="s">
        <v>15984</v>
      </c>
      <c r="BA176" s="82" t="s">
        <v>15984</v>
      </c>
      <c r="BB176" s="82" t="s">
        <v>15984</v>
      </c>
      <c r="BC176" s="82" t="s">
        <v>11886</v>
      </c>
      <c r="BD176" s="82" t="s">
        <v>16132</v>
      </c>
      <c r="BE176" s="77"/>
      <c r="BF176" s="77"/>
      <c r="BG176" s="77"/>
      <c r="BH176" s="77"/>
      <c r="BI176" s="77"/>
    </row>
    <row r="177" spans="1:61" x14ac:dyDescent="0.25">
      <c r="A177" s="62" t="s">
        <v>273</v>
      </c>
      <c r="B177" s="62" t="s">
        <v>273</v>
      </c>
      <c r="C177" s="63"/>
      <c r="D177" s="64"/>
      <c r="E177" s="65"/>
      <c r="F177" s="66"/>
      <c r="G177" s="63"/>
      <c r="H177" s="67"/>
      <c r="I177" s="68"/>
      <c r="J177" s="68"/>
      <c r="K177" s="32"/>
      <c r="L177" s="75">
        <v>177</v>
      </c>
      <c r="M177" s="75"/>
      <c r="N177" s="70"/>
      <c r="O177" s="77" t="s">
        <v>179</v>
      </c>
      <c r="P177" s="79">
        <v>45146.765625</v>
      </c>
      <c r="Q177" s="77" t="s">
        <v>1074</v>
      </c>
      <c r="R177" s="77">
        <v>0</v>
      </c>
      <c r="S177" s="77">
        <v>1</v>
      </c>
      <c r="T177" s="77">
        <v>1</v>
      </c>
      <c r="U177" s="77">
        <v>0</v>
      </c>
      <c r="V177" s="77">
        <v>42</v>
      </c>
      <c r="W177" s="82" t="s">
        <v>4902</v>
      </c>
      <c r="X177" s="77"/>
      <c r="Y177" s="77"/>
      <c r="Z177" s="77"/>
      <c r="AA177" s="77" t="s">
        <v>6720</v>
      </c>
      <c r="AB177" s="77" t="s">
        <v>7743</v>
      </c>
      <c r="AC177" s="82" t="s">
        <v>7752</v>
      </c>
      <c r="AD177" s="77" t="s">
        <v>7788</v>
      </c>
      <c r="AE177" s="80" t="str">
        <f>HYPERLINK("https://twitter.com/casal_trader/status/1688979010477330432")</f>
        <v>https://twitter.com/casal_trader/status/1688979010477330432</v>
      </c>
      <c r="AF177" s="79">
        <v>45146.765625</v>
      </c>
      <c r="AG177" s="85">
        <v>45146</v>
      </c>
      <c r="AH177" s="82" t="s">
        <v>7959</v>
      </c>
      <c r="AI177" s="77" t="b">
        <v>0</v>
      </c>
      <c r="AJ177" s="77"/>
      <c r="AK177" s="77"/>
      <c r="AL177" s="77"/>
      <c r="AM177" s="77"/>
      <c r="AN177" s="77"/>
      <c r="AO177" s="77"/>
      <c r="AP177" s="77"/>
      <c r="AQ177" s="77" t="s">
        <v>10692</v>
      </c>
      <c r="AR177" s="77">
        <v>64200</v>
      </c>
      <c r="AS177" s="77"/>
      <c r="AT177" s="77"/>
      <c r="AU177" s="77"/>
      <c r="AV177" s="80" t="str">
        <f>HYPERLINK("https://pbs.twimg.com/ext_tw_video_thumb/1688978841027411968/pu/img/oWDsRZG_VUEAFXM0.jpg")</f>
        <v>https://pbs.twimg.com/ext_tw_video_thumb/1688978841027411968/pu/img/oWDsRZG_VUEAFXM0.jpg</v>
      </c>
      <c r="AW177" s="82" t="s">
        <v>11887</v>
      </c>
      <c r="AX177" s="82" t="s">
        <v>11887</v>
      </c>
      <c r="AY177" s="77"/>
      <c r="AZ177" s="82" t="s">
        <v>15984</v>
      </c>
      <c r="BA177" s="82" t="s">
        <v>15984</v>
      </c>
      <c r="BB177" s="82" t="s">
        <v>15984</v>
      </c>
      <c r="BC177" s="82" t="s">
        <v>11887</v>
      </c>
      <c r="BD177" s="82" t="s">
        <v>16132</v>
      </c>
      <c r="BE177" s="77"/>
      <c r="BF177" s="77"/>
      <c r="BG177" s="77"/>
      <c r="BH177" s="77"/>
      <c r="BI177" s="77"/>
    </row>
    <row r="178" spans="1:61" x14ac:dyDescent="0.25">
      <c r="A178" s="62" t="s">
        <v>273</v>
      </c>
      <c r="B178" s="62" t="s">
        <v>273</v>
      </c>
      <c r="C178" s="63"/>
      <c r="D178" s="64"/>
      <c r="E178" s="65"/>
      <c r="F178" s="66"/>
      <c r="G178" s="63"/>
      <c r="H178" s="67"/>
      <c r="I178" s="68"/>
      <c r="J178" s="68"/>
      <c r="K178" s="32"/>
      <c r="L178" s="75">
        <v>178</v>
      </c>
      <c r="M178" s="75"/>
      <c r="N178" s="70"/>
      <c r="O178" s="77" t="s">
        <v>179</v>
      </c>
      <c r="P178" s="79">
        <v>45117.896840277775</v>
      </c>
      <c r="Q178" s="77" t="s">
        <v>1075</v>
      </c>
      <c r="R178" s="77">
        <v>0</v>
      </c>
      <c r="S178" s="77">
        <v>0</v>
      </c>
      <c r="T178" s="77">
        <v>0</v>
      </c>
      <c r="U178" s="77">
        <v>0</v>
      </c>
      <c r="V178" s="77">
        <v>39</v>
      </c>
      <c r="W178" s="82" t="s">
        <v>4903</v>
      </c>
      <c r="X178" s="77"/>
      <c r="Y178" s="77"/>
      <c r="Z178" s="77"/>
      <c r="AA178" s="77" t="s">
        <v>6721</v>
      </c>
      <c r="AB178" s="77" t="s">
        <v>7743</v>
      </c>
      <c r="AC178" s="82" t="s">
        <v>7752</v>
      </c>
      <c r="AD178" s="77" t="s">
        <v>7788</v>
      </c>
      <c r="AE178" s="80" t="str">
        <f>HYPERLINK("https://twitter.com/casal_trader/status/1678517312104562689")</f>
        <v>https://twitter.com/casal_trader/status/1678517312104562689</v>
      </c>
      <c r="AF178" s="79">
        <v>45117.896840277775</v>
      </c>
      <c r="AG178" s="85">
        <v>45117</v>
      </c>
      <c r="AH178" s="82" t="s">
        <v>7960</v>
      </c>
      <c r="AI178" s="77" t="b">
        <v>0</v>
      </c>
      <c r="AJ178" s="77"/>
      <c r="AK178" s="77"/>
      <c r="AL178" s="77"/>
      <c r="AM178" s="77"/>
      <c r="AN178" s="77"/>
      <c r="AO178" s="77"/>
      <c r="AP178" s="77"/>
      <c r="AQ178" s="77" t="s">
        <v>10693</v>
      </c>
      <c r="AR178" s="77">
        <v>85100</v>
      </c>
      <c r="AS178" s="77"/>
      <c r="AT178" s="77"/>
      <c r="AU178" s="77"/>
      <c r="AV178" s="80" t="str">
        <f>HYPERLINK("https://pbs.twimg.com/ext_tw_video_thumb/1678517156307247110/pu/img/564AqiRn783JHMo3.jpg")</f>
        <v>https://pbs.twimg.com/ext_tw_video_thumb/1678517156307247110/pu/img/564AqiRn783JHMo3.jpg</v>
      </c>
      <c r="AW178" s="82" t="s">
        <v>11888</v>
      </c>
      <c r="AX178" s="82" t="s">
        <v>11888</v>
      </c>
      <c r="AY178" s="77"/>
      <c r="AZ178" s="82" t="s">
        <v>15984</v>
      </c>
      <c r="BA178" s="82" t="s">
        <v>15984</v>
      </c>
      <c r="BB178" s="82" t="s">
        <v>15984</v>
      </c>
      <c r="BC178" s="82" t="s">
        <v>11888</v>
      </c>
      <c r="BD178" s="82" t="s">
        <v>16132</v>
      </c>
      <c r="BE178" s="77"/>
      <c r="BF178" s="77"/>
      <c r="BG178" s="77"/>
      <c r="BH178" s="77"/>
      <c r="BI178" s="77"/>
    </row>
    <row r="179" spans="1:61" x14ac:dyDescent="0.25">
      <c r="A179" s="62" t="s">
        <v>273</v>
      </c>
      <c r="B179" s="62" t="s">
        <v>273</v>
      </c>
      <c r="C179" s="63"/>
      <c r="D179" s="64"/>
      <c r="E179" s="65"/>
      <c r="F179" s="66"/>
      <c r="G179" s="63"/>
      <c r="H179" s="67"/>
      <c r="I179" s="68"/>
      <c r="J179" s="68"/>
      <c r="K179" s="32"/>
      <c r="L179" s="75">
        <v>179</v>
      </c>
      <c r="M179" s="75"/>
      <c r="N179" s="70"/>
      <c r="O179" s="77" t="s">
        <v>179</v>
      </c>
      <c r="P179" s="79">
        <v>45161.914120370369</v>
      </c>
      <c r="Q179" s="77" t="s">
        <v>1076</v>
      </c>
      <c r="R179" s="77">
        <v>0</v>
      </c>
      <c r="S179" s="77">
        <v>1</v>
      </c>
      <c r="T179" s="77">
        <v>0</v>
      </c>
      <c r="U179" s="77">
        <v>0</v>
      </c>
      <c r="V179" s="77">
        <v>79</v>
      </c>
      <c r="W179" s="82" t="s">
        <v>4904</v>
      </c>
      <c r="X179" s="77"/>
      <c r="Y179" s="77"/>
      <c r="Z179" s="77"/>
      <c r="AA179" s="77" t="s">
        <v>6722</v>
      </c>
      <c r="AB179" s="77" t="s">
        <v>7743</v>
      </c>
      <c r="AC179" s="82" t="s">
        <v>7752</v>
      </c>
      <c r="AD179" s="77" t="s">
        <v>7788</v>
      </c>
      <c r="AE179" s="80" t="str">
        <f>HYPERLINK("https://twitter.com/casal_trader/status/1694468639804518635")</f>
        <v>https://twitter.com/casal_trader/status/1694468639804518635</v>
      </c>
      <c r="AF179" s="79">
        <v>45161.914120370369</v>
      </c>
      <c r="AG179" s="85">
        <v>45161</v>
      </c>
      <c r="AH179" s="82" t="s">
        <v>7961</v>
      </c>
      <c r="AI179" s="77" t="b">
        <v>0</v>
      </c>
      <c r="AJ179" s="77"/>
      <c r="AK179" s="77"/>
      <c r="AL179" s="77"/>
      <c r="AM179" s="77"/>
      <c r="AN179" s="77"/>
      <c r="AO179" s="77"/>
      <c r="AP179" s="77"/>
      <c r="AQ179" s="77" t="s">
        <v>10694</v>
      </c>
      <c r="AR179" s="77">
        <v>40866</v>
      </c>
      <c r="AS179" s="77"/>
      <c r="AT179" s="77"/>
      <c r="AU179" s="77"/>
      <c r="AV179" s="80" t="str">
        <f>HYPERLINK("https://pbs.twimg.com/ext_tw_video_thumb/1694468549564104704/pu/img/IWwQWJAP-H6fVupa.jpg")</f>
        <v>https://pbs.twimg.com/ext_tw_video_thumb/1694468549564104704/pu/img/IWwQWJAP-H6fVupa.jpg</v>
      </c>
      <c r="AW179" s="82" t="s">
        <v>11889</v>
      </c>
      <c r="AX179" s="82" t="s">
        <v>11889</v>
      </c>
      <c r="AY179" s="77"/>
      <c r="AZ179" s="82" t="s">
        <v>15984</v>
      </c>
      <c r="BA179" s="82" t="s">
        <v>15984</v>
      </c>
      <c r="BB179" s="82" t="s">
        <v>15984</v>
      </c>
      <c r="BC179" s="82" t="s">
        <v>11889</v>
      </c>
      <c r="BD179" s="82" t="s">
        <v>16132</v>
      </c>
      <c r="BE179" s="77"/>
      <c r="BF179" s="77"/>
      <c r="BG179" s="77"/>
      <c r="BH179" s="77"/>
      <c r="BI179" s="77"/>
    </row>
    <row r="180" spans="1:61" x14ac:dyDescent="0.25">
      <c r="A180" s="62" t="s">
        <v>273</v>
      </c>
      <c r="B180" s="62" t="s">
        <v>273</v>
      </c>
      <c r="C180" s="63"/>
      <c r="D180" s="64"/>
      <c r="E180" s="65"/>
      <c r="F180" s="66"/>
      <c r="G180" s="63"/>
      <c r="H180" s="67"/>
      <c r="I180" s="68"/>
      <c r="J180" s="68"/>
      <c r="K180" s="32"/>
      <c r="L180" s="75">
        <v>180</v>
      </c>
      <c r="M180" s="75"/>
      <c r="N180" s="70"/>
      <c r="O180" s="77" t="s">
        <v>179</v>
      </c>
      <c r="P180" s="79">
        <v>45124.709282407406</v>
      </c>
      <c r="Q180" s="77" t="s">
        <v>1077</v>
      </c>
      <c r="R180" s="77">
        <v>0</v>
      </c>
      <c r="S180" s="77">
        <v>0</v>
      </c>
      <c r="T180" s="77">
        <v>0</v>
      </c>
      <c r="U180" s="77">
        <v>0</v>
      </c>
      <c r="V180" s="77">
        <v>31</v>
      </c>
      <c r="W180" s="82" t="s">
        <v>4905</v>
      </c>
      <c r="X180" s="77"/>
      <c r="Y180" s="77"/>
      <c r="Z180" s="77"/>
      <c r="AA180" s="77" t="s">
        <v>6723</v>
      </c>
      <c r="AB180" s="77" t="s">
        <v>7743</v>
      </c>
      <c r="AC180" s="82" t="s">
        <v>7752</v>
      </c>
      <c r="AD180" s="77" t="s">
        <v>7788</v>
      </c>
      <c r="AE180" s="80" t="str">
        <f>HYPERLINK("https://twitter.com/casal_trader/status/1680986060237553666")</f>
        <v>https://twitter.com/casal_trader/status/1680986060237553666</v>
      </c>
      <c r="AF180" s="79">
        <v>45124.709282407406</v>
      </c>
      <c r="AG180" s="85">
        <v>45124</v>
      </c>
      <c r="AH180" s="82" t="s">
        <v>7962</v>
      </c>
      <c r="AI180" s="77" t="b">
        <v>0</v>
      </c>
      <c r="AJ180" s="77"/>
      <c r="AK180" s="77"/>
      <c r="AL180" s="77"/>
      <c r="AM180" s="77"/>
      <c r="AN180" s="77"/>
      <c r="AO180" s="77"/>
      <c r="AP180" s="77"/>
      <c r="AQ180" s="77" t="s">
        <v>10695</v>
      </c>
      <c r="AR180" s="77">
        <v>89966</v>
      </c>
      <c r="AS180" s="77"/>
      <c r="AT180" s="77"/>
      <c r="AU180" s="77"/>
      <c r="AV180" s="80" t="str">
        <f>HYPERLINK("https://pbs.twimg.com/ext_tw_video_thumb/1680985910026878976/pu/img/r4_p81h5BhoTZIkT.jpg")</f>
        <v>https://pbs.twimg.com/ext_tw_video_thumb/1680985910026878976/pu/img/r4_p81h5BhoTZIkT.jpg</v>
      </c>
      <c r="AW180" s="82" t="s">
        <v>11890</v>
      </c>
      <c r="AX180" s="82" t="s">
        <v>11890</v>
      </c>
      <c r="AY180" s="77"/>
      <c r="AZ180" s="82" t="s">
        <v>15984</v>
      </c>
      <c r="BA180" s="82" t="s">
        <v>15984</v>
      </c>
      <c r="BB180" s="82" t="s">
        <v>15984</v>
      </c>
      <c r="BC180" s="82" t="s">
        <v>11890</v>
      </c>
      <c r="BD180" s="82" t="s">
        <v>16132</v>
      </c>
      <c r="BE180" s="77"/>
      <c r="BF180" s="77"/>
      <c r="BG180" s="77"/>
      <c r="BH180" s="77"/>
      <c r="BI180" s="77"/>
    </row>
    <row r="181" spans="1:61" x14ac:dyDescent="0.25">
      <c r="A181" s="62" t="s">
        <v>273</v>
      </c>
      <c r="B181" s="62" t="s">
        <v>273</v>
      </c>
      <c r="C181" s="63"/>
      <c r="D181" s="64"/>
      <c r="E181" s="65"/>
      <c r="F181" s="66"/>
      <c r="G181" s="63"/>
      <c r="H181" s="67"/>
      <c r="I181" s="68"/>
      <c r="J181" s="68"/>
      <c r="K181" s="32"/>
      <c r="L181" s="75">
        <v>181</v>
      </c>
      <c r="M181" s="75"/>
      <c r="N181" s="70"/>
      <c r="O181" s="77" t="s">
        <v>179</v>
      </c>
      <c r="P181" s="79">
        <v>45148.987881944442</v>
      </c>
      <c r="Q181" s="77" t="s">
        <v>1078</v>
      </c>
      <c r="R181" s="77">
        <v>0</v>
      </c>
      <c r="S181" s="77">
        <v>0</v>
      </c>
      <c r="T181" s="77">
        <v>0</v>
      </c>
      <c r="U181" s="77">
        <v>0</v>
      </c>
      <c r="V181" s="77">
        <v>55</v>
      </c>
      <c r="W181" s="82" t="s">
        <v>4906</v>
      </c>
      <c r="X181" s="77"/>
      <c r="Y181" s="77"/>
      <c r="Z181" s="77"/>
      <c r="AA181" s="77" t="s">
        <v>6724</v>
      </c>
      <c r="AB181" s="77" t="s">
        <v>7743</v>
      </c>
      <c r="AC181" s="82" t="s">
        <v>7752</v>
      </c>
      <c r="AD181" s="77" t="s">
        <v>7788</v>
      </c>
      <c r="AE181" s="80" t="str">
        <f>HYPERLINK("https://twitter.com/casal_trader/status/1689784329981800448")</f>
        <v>https://twitter.com/casal_trader/status/1689784329981800448</v>
      </c>
      <c r="AF181" s="79">
        <v>45148.987881944442</v>
      </c>
      <c r="AG181" s="85">
        <v>45148</v>
      </c>
      <c r="AH181" s="82" t="s">
        <v>7963</v>
      </c>
      <c r="AI181" s="77" t="b">
        <v>0</v>
      </c>
      <c r="AJ181" s="77"/>
      <c r="AK181" s="77"/>
      <c r="AL181" s="77"/>
      <c r="AM181" s="77"/>
      <c r="AN181" s="77"/>
      <c r="AO181" s="77"/>
      <c r="AP181" s="77"/>
      <c r="AQ181" s="77" t="s">
        <v>10696</v>
      </c>
      <c r="AR181" s="77">
        <v>90000</v>
      </c>
      <c r="AS181" s="77"/>
      <c r="AT181" s="77"/>
      <c r="AU181" s="77"/>
      <c r="AV181" s="80" t="str">
        <f>HYPERLINK("https://pbs.twimg.com/ext_tw_video_thumb/1689784197035040768/pu/img/iGMUNBS0x6uDCof_.jpg")</f>
        <v>https://pbs.twimg.com/ext_tw_video_thumb/1689784197035040768/pu/img/iGMUNBS0x6uDCof_.jpg</v>
      </c>
      <c r="AW181" s="82" t="s">
        <v>11891</v>
      </c>
      <c r="AX181" s="82" t="s">
        <v>11891</v>
      </c>
      <c r="AY181" s="77"/>
      <c r="AZ181" s="82" t="s">
        <v>15984</v>
      </c>
      <c r="BA181" s="82" t="s">
        <v>15984</v>
      </c>
      <c r="BB181" s="82" t="s">
        <v>15984</v>
      </c>
      <c r="BC181" s="82" t="s">
        <v>11891</v>
      </c>
      <c r="BD181" s="82" t="s">
        <v>16132</v>
      </c>
      <c r="BE181" s="77"/>
      <c r="BF181" s="77"/>
      <c r="BG181" s="77"/>
      <c r="BH181" s="77"/>
      <c r="BI181" s="77"/>
    </row>
    <row r="182" spans="1:61" x14ac:dyDescent="0.25">
      <c r="A182" s="62" t="s">
        <v>273</v>
      </c>
      <c r="B182" s="62" t="s">
        <v>273</v>
      </c>
      <c r="C182" s="63"/>
      <c r="D182" s="64"/>
      <c r="E182" s="65"/>
      <c r="F182" s="66"/>
      <c r="G182" s="63"/>
      <c r="H182" s="67"/>
      <c r="I182" s="68"/>
      <c r="J182" s="68"/>
      <c r="K182" s="32"/>
      <c r="L182" s="75">
        <v>182</v>
      </c>
      <c r="M182" s="75"/>
      <c r="N182" s="70"/>
      <c r="O182" s="77" t="s">
        <v>179</v>
      </c>
      <c r="P182" s="79">
        <v>45131.747499999998</v>
      </c>
      <c r="Q182" s="77" t="s">
        <v>1079</v>
      </c>
      <c r="R182" s="77">
        <v>0</v>
      </c>
      <c r="S182" s="77">
        <v>0</v>
      </c>
      <c r="T182" s="77">
        <v>0</v>
      </c>
      <c r="U182" s="77">
        <v>0</v>
      </c>
      <c r="V182" s="77">
        <v>45</v>
      </c>
      <c r="W182" s="82" t="s">
        <v>4907</v>
      </c>
      <c r="X182" s="77"/>
      <c r="Y182" s="77"/>
      <c r="Z182" s="77"/>
      <c r="AA182" s="77" t="s">
        <v>6725</v>
      </c>
      <c r="AB182" s="77" t="s">
        <v>7743</v>
      </c>
      <c r="AC182" s="82" t="s">
        <v>7752</v>
      </c>
      <c r="AD182" s="77" t="s">
        <v>7788</v>
      </c>
      <c r="AE182" s="80" t="str">
        <f>HYPERLINK("https://twitter.com/casal_trader/status/1683536623349186568")</f>
        <v>https://twitter.com/casal_trader/status/1683536623349186568</v>
      </c>
      <c r="AF182" s="79">
        <v>45131.747499999998</v>
      </c>
      <c r="AG182" s="85">
        <v>45131</v>
      </c>
      <c r="AH182" s="82" t="s">
        <v>7964</v>
      </c>
      <c r="AI182" s="77" t="b">
        <v>0</v>
      </c>
      <c r="AJ182" s="77"/>
      <c r="AK182" s="77"/>
      <c r="AL182" s="77"/>
      <c r="AM182" s="77"/>
      <c r="AN182" s="77"/>
      <c r="AO182" s="77"/>
      <c r="AP182" s="77"/>
      <c r="AQ182" s="77" t="s">
        <v>10697</v>
      </c>
      <c r="AR182" s="77">
        <v>89733</v>
      </c>
      <c r="AS182" s="77"/>
      <c r="AT182" s="77"/>
      <c r="AU182" s="77"/>
      <c r="AV182" s="80" t="str">
        <f>HYPERLINK("https://pbs.twimg.com/ext_tw_video_thumb/1683536462350827527/pu/img/sRkq8u1ljRIQcUBB.jpg")</f>
        <v>https://pbs.twimg.com/ext_tw_video_thumb/1683536462350827527/pu/img/sRkq8u1ljRIQcUBB.jpg</v>
      </c>
      <c r="AW182" s="82" t="s">
        <v>11892</v>
      </c>
      <c r="AX182" s="82" t="s">
        <v>11892</v>
      </c>
      <c r="AY182" s="77"/>
      <c r="AZ182" s="82" t="s">
        <v>15984</v>
      </c>
      <c r="BA182" s="82" t="s">
        <v>15984</v>
      </c>
      <c r="BB182" s="82" t="s">
        <v>15984</v>
      </c>
      <c r="BC182" s="82" t="s">
        <v>11892</v>
      </c>
      <c r="BD182" s="82" t="s">
        <v>16132</v>
      </c>
      <c r="BE182" s="77"/>
      <c r="BF182" s="77"/>
      <c r="BG182" s="77"/>
      <c r="BH182" s="77"/>
      <c r="BI182" s="77"/>
    </row>
    <row r="183" spans="1:61" x14ac:dyDescent="0.25">
      <c r="A183" s="62" t="s">
        <v>273</v>
      </c>
      <c r="B183" s="62" t="s">
        <v>273</v>
      </c>
      <c r="C183" s="63"/>
      <c r="D183" s="64"/>
      <c r="E183" s="65"/>
      <c r="F183" s="66"/>
      <c r="G183" s="63"/>
      <c r="H183" s="67"/>
      <c r="I183" s="68"/>
      <c r="J183" s="68"/>
      <c r="K183" s="32"/>
      <c r="L183" s="75">
        <v>183</v>
      </c>
      <c r="M183" s="75"/>
      <c r="N183" s="70"/>
      <c r="O183" s="77" t="s">
        <v>179</v>
      </c>
      <c r="P183" s="79">
        <v>45121.992858796293</v>
      </c>
      <c r="Q183" s="77" t="s">
        <v>1080</v>
      </c>
      <c r="R183" s="77">
        <v>0</v>
      </c>
      <c r="S183" s="77">
        <v>0</v>
      </c>
      <c r="T183" s="77">
        <v>0</v>
      </c>
      <c r="U183" s="77">
        <v>0</v>
      </c>
      <c r="V183" s="77">
        <v>11</v>
      </c>
      <c r="W183" s="82" t="s">
        <v>4908</v>
      </c>
      <c r="X183" s="77"/>
      <c r="Y183" s="77"/>
      <c r="Z183" s="77"/>
      <c r="AA183" s="77" t="s">
        <v>6726</v>
      </c>
      <c r="AB183" s="77" t="s">
        <v>7743</v>
      </c>
      <c r="AC183" s="82" t="s">
        <v>7752</v>
      </c>
      <c r="AD183" s="77" t="s">
        <v>7788</v>
      </c>
      <c r="AE183" s="80" t="str">
        <f>HYPERLINK("https://twitter.com/casal_trader/status/1680001662285430787")</f>
        <v>https://twitter.com/casal_trader/status/1680001662285430787</v>
      </c>
      <c r="AF183" s="79">
        <v>45121.992858796293</v>
      </c>
      <c r="AG183" s="85">
        <v>45121</v>
      </c>
      <c r="AH183" s="82" t="s">
        <v>7965</v>
      </c>
      <c r="AI183" s="77" t="b">
        <v>0</v>
      </c>
      <c r="AJ183" s="77"/>
      <c r="AK183" s="77"/>
      <c r="AL183" s="77"/>
      <c r="AM183" s="77"/>
      <c r="AN183" s="77"/>
      <c r="AO183" s="77"/>
      <c r="AP183" s="77"/>
      <c r="AQ183" s="77" t="s">
        <v>10698</v>
      </c>
      <c r="AR183" s="77">
        <v>72966</v>
      </c>
      <c r="AS183" s="77"/>
      <c r="AT183" s="77"/>
      <c r="AU183" s="77"/>
      <c r="AV183" s="80" t="str">
        <f>HYPERLINK("https://pbs.twimg.com/ext_tw_video_thumb/1680001521327456257/pu/img/1Ce0Wa-pxzArlEVU.jpg")</f>
        <v>https://pbs.twimg.com/ext_tw_video_thumb/1680001521327456257/pu/img/1Ce0Wa-pxzArlEVU.jpg</v>
      </c>
      <c r="AW183" s="82" t="s">
        <v>11893</v>
      </c>
      <c r="AX183" s="82" t="s">
        <v>11893</v>
      </c>
      <c r="AY183" s="77"/>
      <c r="AZ183" s="82" t="s">
        <v>15984</v>
      </c>
      <c r="BA183" s="82" t="s">
        <v>15984</v>
      </c>
      <c r="BB183" s="82" t="s">
        <v>15984</v>
      </c>
      <c r="BC183" s="82" t="s">
        <v>11893</v>
      </c>
      <c r="BD183" s="82" t="s">
        <v>16132</v>
      </c>
      <c r="BE183" s="77"/>
      <c r="BF183" s="77"/>
      <c r="BG183" s="77"/>
      <c r="BH183" s="77"/>
      <c r="BI183" s="77"/>
    </row>
    <row r="184" spans="1:61" x14ac:dyDescent="0.25">
      <c r="A184" s="62" t="s">
        <v>273</v>
      </c>
      <c r="B184" s="62" t="s">
        <v>273</v>
      </c>
      <c r="C184" s="63"/>
      <c r="D184" s="64"/>
      <c r="E184" s="65"/>
      <c r="F184" s="66"/>
      <c r="G184" s="63"/>
      <c r="H184" s="67"/>
      <c r="I184" s="68"/>
      <c r="J184" s="68"/>
      <c r="K184" s="32"/>
      <c r="L184" s="75">
        <v>184</v>
      </c>
      <c r="M184" s="75"/>
      <c r="N184" s="70"/>
      <c r="O184" s="77" t="s">
        <v>179</v>
      </c>
      <c r="P184" s="79">
        <v>45160.889768518522</v>
      </c>
      <c r="Q184" s="77" t="s">
        <v>1081</v>
      </c>
      <c r="R184" s="77">
        <v>0</v>
      </c>
      <c r="S184" s="77">
        <v>0</v>
      </c>
      <c r="T184" s="77">
        <v>0</v>
      </c>
      <c r="U184" s="77">
        <v>0</v>
      </c>
      <c r="V184" s="77">
        <v>155</v>
      </c>
      <c r="W184" s="82" t="s">
        <v>4909</v>
      </c>
      <c r="X184" s="77"/>
      <c r="Y184" s="77"/>
      <c r="Z184" s="77"/>
      <c r="AA184" s="77" t="s">
        <v>6727</v>
      </c>
      <c r="AB184" s="77" t="s">
        <v>7743</v>
      </c>
      <c r="AC184" s="82" t="s">
        <v>7752</v>
      </c>
      <c r="AD184" s="77" t="s">
        <v>7788</v>
      </c>
      <c r="AE184" s="80" t="str">
        <f>HYPERLINK("https://twitter.com/casal_trader/status/1694097428884898030")</f>
        <v>https://twitter.com/casal_trader/status/1694097428884898030</v>
      </c>
      <c r="AF184" s="79">
        <v>45160.889768518522</v>
      </c>
      <c r="AG184" s="85">
        <v>45160</v>
      </c>
      <c r="AH184" s="82" t="s">
        <v>7966</v>
      </c>
      <c r="AI184" s="77" t="b">
        <v>0</v>
      </c>
      <c r="AJ184" s="77"/>
      <c r="AK184" s="77"/>
      <c r="AL184" s="77"/>
      <c r="AM184" s="77"/>
      <c r="AN184" s="77"/>
      <c r="AO184" s="77"/>
      <c r="AP184" s="77"/>
      <c r="AQ184" s="77" t="s">
        <v>10699</v>
      </c>
      <c r="AR184" s="77">
        <v>90100</v>
      </c>
      <c r="AS184" s="77"/>
      <c r="AT184" s="77"/>
      <c r="AU184" s="77"/>
      <c r="AV184" s="80" t="str">
        <f>HYPERLINK("https://pbs.twimg.com/ext_tw_video_thumb/1694097277713850368/pu/img/WSjoRMgCp3wrC8lH.jpg")</f>
        <v>https://pbs.twimg.com/ext_tw_video_thumb/1694097277713850368/pu/img/WSjoRMgCp3wrC8lH.jpg</v>
      </c>
      <c r="AW184" s="82" t="s">
        <v>11894</v>
      </c>
      <c r="AX184" s="82" t="s">
        <v>11894</v>
      </c>
      <c r="AY184" s="77"/>
      <c r="AZ184" s="82" t="s">
        <v>15984</v>
      </c>
      <c r="BA184" s="82" t="s">
        <v>15984</v>
      </c>
      <c r="BB184" s="82" t="s">
        <v>15984</v>
      </c>
      <c r="BC184" s="82" t="s">
        <v>11894</v>
      </c>
      <c r="BD184" s="82" t="s">
        <v>16132</v>
      </c>
      <c r="BE184" s="77"/>
      <c r="BF184" s="77"/>
      <c r="BG184" s="77"/>
      <c r="BH184" s="77"/>
      <c r="BI184" s="77"/>
    </row>
    <row r="185" spans="1:61" x14ac:dyDescent="0.25">
      <c r="A185" s="62" t="s">
        <v>273</v>
      </c>
      <c r="B185" s="62" t="s">
        <v>273</v>
      </c>
      <c r="C185" s="63"/>
      <c r="D185" s="64"/>
      <c r="E185" s="65"/>
      <c r="F185" s="66"/>
      <c r="G185" s="63"/>
      <c r="H185" s="67"/>
      <c r="I185" s="68"/>
      <c r="J185" s="68"/>
      <c r="K185" s="32"/>
      <c r="L185" s="75">
        <v>185</v>
      </c>
      <c r="M185" s="75"/>
      <c r="N185" s="70"/>
      <c r="O185" s="77" t="s">
        <v>179</v>
      </c>
      <c r="P185" s="79">
        <v>45182.403460648151</v>
      </c>
      <c r="Q185" s="77" t="s">
        <v>1082</v>
      </c>
      <c r="R185" s="77">
        <v>0</v>
      </c>
      <c r="S185" s="77">
        <v>0</v>
      </c>
      <c r="T185" s="77">
        <v>0</v>
      </c>
      <c r="U185" s="77">
        <v>0</v>
      </c>
      <c r="V185" s="77">
        <v>56</v>
      </c>
      <c r="W185" s="82" t="s">
        <v>4910</v>
      </c>
      <c r="X185" s="77"/>
      <c r="Y185" s="77"/>
      <c r="Z185" s="77"/>
      <c r="AA185" s="77" t="s">
        <v>6728</v>
      </c>
      <c r="AB185" s="77" t="s">
        <v>7743</v>
      </c>
      <c r="AC185" s="82" t="s">
        <v>7752</v>
      </c>
      <c r="AD185" s="77" t="s">
        <v>7788</v>
      </c>
      <c r="AE185" s="80" t="str">
        <f>HYPERLINK("https://twitter.com/casal_trader/status/1701893731601768815")</f>
        <v>https://twitter.com/casal_trader/status/1701893731601768815</v>
      </c>
      <c r="AF185" s="79">
        <v>45182.403460648151</v>
      </c>
      <c r="AG185" s="85">
        <v>45182</v>
      </c>
      <c r="AH185" s="82" t="s">
        <v>7967</v>
      </c>
      <c r="AI185" s="77" t="b">
        <v>0</v>
      </c>
      <c r="AJ185" s="77"/>
      <c r="AK185" s="77"/>
      <c r="AL185" s="77"/>
      <c r="AM185" s="77"/>
      <c r="AN185" s="77"/>
      <c r="AO185" s="77"/>
      <c r="AP185" s="77"/>
      <c r="AQ185" s="77" t="s">
        <v>10700</v>
      </c>
      <c r="AR185" s="77">
        <v>102833</v>
      </c>
      <c r="AS185" s="77"/>
      <c r="AT185" s="77"/>
      <c r="AU185" s="77"/>
      <c r="AV185" s="80" t="str">
        <f>HYPERLINK("https://pbs.twimg.com/ext_tw_video_thumb/1701893511421792256/pu/img/RQSzJAAEa9Lr6jWq.jpg")</f>
        <v>https://pbs.twimg.com/ext_tw_video_thumb/1701893511421792256/pu/img/RQSzJAAEa9Lr6jWq.jpg</v>
      </c>
      <c r="AW185" s="82" t="s">
        <v>11895</v>
      </c>
      <c r="AX185" s="82" t="s">
        <v>11895</v>
      </c>
      <c r="AY185" s="77"/>
      <c r="AZ185" s="82" t="s">
        <v>15984</v>
      </c>
      <c r="BA185" s="82" t="s">
        <v>15984</v>
      </c>
      <c r="BB185" s="82" t="s">
        <v>15984</v>
      </c>
      <c r="BC185" s="82" t="s">
        <v>11895</v>
      </c>
      <c r="BD185" s="82" t="s">
        <v>16132</v>
      </c>
      <c r="BE185" s="77"/>
      <c r="BF185" s="77"/>
      <c r="BG185" s="77"/>
      <c r="BH185" s="77"/>
      <c r="BI185" s="77"/>
    </row>
    <row r="186" spans="1:61" x14ac:dyDescent="0.25">
      <c r="A186" s="62" t="s">
        <v>273</v>
      </c>
      <c r="B186" s="62" t="s">
        <v>273</v>
      </c>
      <c r="C186" s="63"/>
      <c r="D186" s="64"/>
      <c r="E186" s="65"/>
      <c r="F186" s="66"/>
      <c r="G186" s="63"/>
      <c r="H186" s="67"/>
      <c r="I186" s="68"/>
      <c r="J186" s="68"/>
      <c r="K186" s="32"/>
      <c r="L186" s="75">
        <v>186</v>
      </c>
      <c r="M186" s="75"/>
      <c r="N186" s="70"/>
      <c r="O186" s="77" t="s">
        <v>179</v>
      </c>
      <c r="P186" s="79">
        <v>45140.941180555557</v>
      </c>
      <c r="Q186" s="77" t="s">
        <v>1083</v>
      </c>
      <c r="R186" s="77">
        <v>0</v>
      </c>
      <c r="S186" s="77">
        <v>0</v>
      </c>
      <c r="T186" s="77">
        <v>0</v>
      </c>
      <c r="U186" s="77">
        <v>0</v>
      </c>
      <c r="V186" s="77">
        <v>38</v>
      </c>
      <c r="W186" s="82" t="s">
        <v>4911</v>
      </c>
      <c r="X186" s="77"/>
      <c r="Y186" s="77"/>
      <c r="Z186" s="77"/>
      <c r="AA186" s="77" t="s">
        <v>6729</v>
      </c>
      <c r="AB186" s="77" t="s">
        <v>7743</v>
      </c>
      <c r="AC186" s="82" t="s">
        <v>7752</v>
      </c>
      <c r="AD186" s="77" t="s">
        <v>7788</v>
      </c>
      <c r="AE186" s="80" t="str">
        <f>HYPERLINK("https://twitter.com/casal_trader/status/1686868304063782912")</f>
        <v>https://twitter.com/casal_trader/status/1686868304063782912</v>
      </c>
      <c r="AF186" s="79">
        <v>45140.941180555557</v>
      </c>
      <c r="AG186" s="85">
        <v>45140</v>
      </c>
      <c r="AH186" s="82" t="s">
        <v>7968</v>
      </c>
      <c r="AI186" s="77" t="b">
        <v>0</v>
      </c>
      <c r="AJ186" s="77"/>
      <c r="AK186" s="77"/>
      <c r="AL186" s="77"/>
      <c r="AM186" s="77"/>
      <c r="AN186" s="77"/>
      <c r="AO186" s="77"/>
      <c r="AP186" s="77"/>
      <c r="AQ186" s="77" t="s">
        <v>10701</v>
      </c>
      <c r="AR186" s="77">
        <v>65099</v>
      </c>
      <c r="AS186" s="77"/>
      <c r="AT186" s="77"/>
      <c r="AU186" s="77"/>
      <c r="AV186" s="80" t="str">
        <f>HYPERLINK("https://pbs.twimg.com/ext_tw_video_thumb/1686868181611163648/pu/img/6E_kJd_656np4Zgq.jpg")</f>
        <v>https://pbs.twimg.com/ext_tw_video_thumb/1686868181611163648/pu/img/6E_kJd_656np4Zgq.jpg</v>
      </c>
      <c r="AW186" s="82" t="s">
        <v>11896</v>
      </c>
      <c r="AX186" s="82" t="s">
        <v>11896</v>
      </c>
      <c r="AY186" s="77"/>
      <c r="AZ186" s="82" t="s">
        <v>15984</v>
      </c>
      <c r="BA186" s="82" t="s">
        <v>15984</v>
      </c>
      <c r="BB186" s="82" t="s">
        <v>15984</v>
      </c>
      <c r="BC186" s="82" t="s">
        <v>11896</v>
      </c>
      <c r="BD186" s="82" t="s">
        <v>16132</v>
      </c>
      <c r="BE186" s="77"/>
      <c r="BF186" s="77"/>
      <c r="BG186" s="77"/>
      <c r="BH186" s="77"/>
      <c r="BI186" s="77"/>
    </row>
    <row r="187" spans="1:61" x14ac:dyDescent="0.25">
      <c r="A187" s="62" t="s">
        <v>273</v>
      </c>
      <c r="B187" s="62" t="s">
        <v>273</v>
      </c>
      <c r="C187" s="63"/>
      <c r="D187" s="64"/>
      <c r="E187" s="65"/>
      <c r="F187" s="66"/>
      <c r="G187" s="63"/>
      <c r="H187" s="67"/>
      <c r="I187" s="68"/>
      <c r="J187" s="68"/>
      <c r="K187" s="32"/>
      <c r="L187" s="75">
        <v>187</v>
      </c>
      <c r="M187" s="75"/>
      <c r="N187" s="70"/>
      <c r="O187" s="77" t="s">
        <v>179</v>
      </c>
      <c r="P187" s="79">
        <v>45121.465046296296</v>
      </c>
      <c r="Q187" s="77" t="s">
        <v>1084</v>
      </c>
      <c r="R187" s="77">
        <v>0</v>
      </c>
      <c r="S187" s="77">
        <v>0</v>
      </c>
      <c r="T187" s="77">
        <v>0</v>
      </c>
      <c r="U187" s="77">
        <v>0</v>
      </c>
      <c r="V187" s="77">
        <v>12</v>
      </c>
      <c r="W187" s="82" t="s">
        <v>4912</v>
      </c>
      <c r="X187" s="77"/>
      <c r="Y187" s="77"/>
      <c r="Z187" s="77"/>
      <c r="AA187" s="77" t="s">
        <v>6730</v>
      </c>
      <c r="AB187" s="77" t="s">
        <v>7743</v>
      </c>
      <c r="AC187" s="82" t="s">
        <v>7752</v>
      </c>
      <c r="AD187" s="77" t="s">
        <v>7788</v>
      </c>
      <c r="AE187" s="80" t="str">
        <f>HYPERLINK("https://twitter.com/casal_trader/status/1679810389968560130")</f>
        <v>https://twitter.com/casal_trader/status/1679810389968560130</v>
      </c>
      <c r="AF187" s="79">
        <v>45121.465046296296</v>
      </c>
      <c r="AG187" s="85">
        <v>45121</v>
      </c>
      <c r="AH187" s="82" t="s">
        <v>7969</v>
      </c>
      <c r="AI187" s="77" t="b">
        <v>0</v>
      </c>
      <c r="AJ187" s="77"/>
      <c r="AK187" s="77"/>
      <c r="AL187" s="77"/>
      <c r="AM187" s="77"/>
      <c r="AN187" s="77"/>
      <c r="AO187" s="77"/>
      <c r="AP187" s="77"/>
      <c r="AQ187" s="77" t="s">
        <v>10702</v>
      </c>
      <c r="AR187" s="77">
        <v>62566</v>
      </c>
      <c r="AS187" s="77"/>
      <c r="AT187" s="77"/>
      <c r="AU187" s="77"/>
      <c r="AV187" s="80" t="str">
        <f>HYPERLINK("https://pbs.twimg.com/ext_tw_video_thumb/1679810269244018691/pu/img/G3FgWxhWM11luWAv.jpg")</f>
        <v>https://pbs.twimg.com/ext_tw_video_thumb/1679810269244018691/pu/img/G3FgWxhWM11luWAv.jpg</v>
      </c>
      <c r="AW187" s="82" t="s">
        <v>11897</v>
      </c>
      <c r="AX187" s="82" t="s">
        <v>11897</v>
      </c>
      <c r="AY187" s="77"/>
      <c r="AZ187" s="82" t="s">
        <v>15984</v>
      </c>
      <c r="BA187" s="82" t="s">
        <v>15984</v>
      </c>
      <c r="BB187" s="82" t="s">
        <v>15984</v>
      </c>
      <c r="BC187" s="82" t="s">
        <v>11897</v>
      </c>
      <c r="BD187" s="82" t="s">
        <v>16132</v>
      </c>
      <c r="BE187" s="77"/>
      <c r="BF187" s="77"/>
      <c r="BG187" s="77"/>
      <c r="BH187" s="77"/>
      <c r="BI187" s="77"/>
    </row>
    <row r="188" spans="1:61" x14ac:dyDescent="0.25">
      <c r="A188" s="62" t="s">
        <v>273</v>
      </c>
      <c r="B188" s="62" t="s">
        <v>273</v>
      </c>
      <c r="C188" s="63"/>
      <c r="D188" s="64"/>
      <c r="E188" s="65"/>
      <c r="F188" s="66"/>
      <c r="G188" s="63"/>
      <c r="H188" s="67"/>
      <c r="I188" s="68"/>
      <c r="J188" s="68"/>
      <c r="K188" s="32"/>
      <c r="L188" s="75">
        <v>188</v>
      </c>
      <c r="M188" s="75"/>
      <c r="N188" s="70"/>
      <c r="O188" s="77" t="s">
        <v>179</v>
      </c>
      <c r="P188" s="79">
        <v>45120.915868055556</v>
      </c>
      <c r="Q188" s="77" t="s">
        <v>1085</v>
      </c>
      <c r="R188" s="77">
        <v>0</v>
      </c>
      <c r="S188" s="77">
        <v>0</v>
      </c>
      <c r="T188" s="77">
        <v>0</v>
      </c>
      <c r="U188" s="77">
        <v>0</v>
      </c>
      <c r="V188" s="77">
        <v>9</v>
      </c>
      <c r="W188" s="82" t="s">
        <v>4913</v>
      </c>
      <c r="X188" s="77"/>
      <c r="Y188" s="77"/>
      <c r="Z188" s="77"/>
      <c r="AA188" s="77" t="s">
        <v>6731</v>
      </c>
      <c r="AB188" s="77" t="s">
        <v>7743</v>
      </c>
      <c r="AC188" s="82" t="s">
        <v>7752</v>
      </c>
      <c r="AD188" s="77" t="s">
        <v>7788</v>
      </c>
      <c r="AE188" s="80" t="str">
        <f>HYPERLINK("https://twitter.com/casal_trader/status/1679611371523112961")</f>
        <v>https://twitter.com/casal_trader/status/1679611371523112961</v>
      </c>
      <c r="AF188" s="79">
        <v>45120.915868055556</v>
      </c>
      <c r="AG188" s="85">
        <v>45120</v>
      </c>
      <c r="AH188" s="82" t="s">
        <v>7970</v>
      </c>
      <c r="AI188" s="77" t="b">
        <v>0</v>
      </c>
      <c r="AJ188" s="77"/>
      <c r="AK188" s="77"/>
      <c r="AL188" s="77"/>
      <c r="AM188" s="77"/>
      <c r="AN188" s="77"/>
      <c r="AO188" s="77"/>
      <c r="AP188" s="77"/>
      <c r="AQ188" s="77" t="s">
        <v>10703</v>
      </c>
      <c r="AR188" s="77">
        <v>68033</v>
      </c>
      <c r="AS188" s="77"/>
      <c r="AT188" s="77"/>
      <c r="AU188" s="77"/>
      <c r="AV188" s="80" t="str">
        <f>HYPERLINK("https://pbs.twimg.com/ext_tw_video_thumb/1679611256469110784/pu/img/-pudnHNTowIjJqcu.jpg")</f>
        <v>https://pbs.twimg.com/ext_tw_video_thumb/1679611256469110784/pu/img/-pudnHNTowIjJqcu.jpg</v>
      </c>
      <c r="AW188" s="82" t="s">
        <v>11898</v>
      </c>
      <c r="AX188" s="82" t="s">
        <v>11898</v>
      </c>
      <c r="AY188" s="77"/>
      <c r="AZ188" s="82" t="s">
        <v>15984</v>
      </c>
      <c r="BA188" s="82" t="s">
        <v>15984</v>
      </c>
      <c r="BB188" s="82" t="s">
        <v>15984</v>
      </c>
      <c r="BC188" s="82" t="s">
        <v>11898</v>
      </c>
      <c r="BD188" s="82" t="s">
        <v>16132</v>
      </c>
      <c r="BE188" s="77"/>
      <c r="BF188" s="77"/>
      <c r="BG188" s="77"/>
      <c r="BH188" s="77"/>
      <c r="BI188" s="77"/>
    </row>
    <row r="189" spans="1:61" x14ac:dyDescent="0.25">
      <c r="A189" s="62" t="s">
        <v>273</v>
      </c>
      <c r="B189" s="62" t="s">
        <v>273</v>
      </c>
      <c r="C189" s="63"/>
      <c r="D189" s="64"/>
      <c r="E189" s="65"/>
      <c r="F189" s="66"/>
      <c r="G189" s="63"/>
      <c r="H189" s="67"/>
      <c r="I189" s="68"/>
      <c r="J189" s="68"/>
      <c r="K189" s="32"/>
      <c r="L189" s="75">
        <v>189</v>
      </c>
      <c r="M189" s="75"/>
      <c r="N189" s="70"/>
      <c r="O189" s="77" t="s">
        <v>179</v>
      </c>
      <c r="P189" s="79">
        <v>45174.425046296295</v>
      </c>
      <c r="Q189" s="77" t="s">
        <v>1086</v>
      </c>
      <c r="R189" s="77">
        <v>0</v>
      </c>
      <c r="S189" s="77">
        <v>1</v>
      </c>
      <c r="T189" s="77">
        <v>0</v>
      </c>
      <c r="U189" s="77">
        <v>0</v>
      </c>
      <c r="V189" s="77">
        <v>74</v>
      </c>
      <c r="W189" s="82" t="s">
        <v>4914</v>
      </c>
      <c r="X189" s="77"/>
      <c r="Y189" s="77"/>
      <c r="Z189" s="77"/>
      <c r="AA189" s="77" t="s">
        <v>6732</v>
      </c>
      <c r="AB189" s="77" t="s">
        <v>7743</v>
      </c>
      <c r="AC189" s="82" t="s">
        <v>7752</v>
      </c>
      <c r="AD189" s="77" t="s">
        <v>7788</v>
      </c>
      <c r="AE189" s="80" t="str">
        <f>HYPERLINK("https://twitter.com/casal_trader/status/1699002450252833160")</f>
        <v>https://twitter.com/casal_trader/status/1699002450252833160</v>
      </c>
      <c r="AF189" s="79">
        <v>45174.425046296295</v>
      </c>
      <c r="AG189" s="85">
        <v>45174</v>
      </c>
      <c r="AH189" s="82" t="s">
        <v>7971</v>
      </c>
      <c r="AI189" s="77" t="b">
        <v>0</v>
      </c>
      <c r="AJ189" s="77"/>
      <c r="AK189" s="77"/>
      <c r="AL189" s="77"/>
      <c r="AM189" s="77"/>
      <c r="AN189" s="77"/>
      <c r="AO189" s="77"/>
      <c r="AP189" s="77"/>
      <c r="AQ189" s="77" t="s">
        <v>10704</v>
      </c>
      <c r="AR189" s="77">
        <v>88166</v>
      </c>
      <c r="AS189" s="77"/>
      <c r="AT189" s="77"/>
      <c r="AU189" s="77"/>
      <c r="AV189" s="80" t="str">
        <f>HYPERLINK("https://pbs.twimg.com/ext_tw_video_thumb/1699002170652188672/pu/img/DuNRQML0MFjJN5kc.jpg")</f>
        <v>https://pbs.twimg.com/ext_tw_video_thumb/1699002170652188672/pu/img/DuNRQML0MFjJN5kc.jpg</v>
      </c>
      <c r="AW189" s="82" t="s">
        <v>11899</v>
      </c>
      <c r="AX189" s="82" t="s">
        <v>11899</v>
      </c>
      <c r="AY189" s="77"/>
      <c r="AZ189" s="82" t="s">
        <v>15984</v>
      </c>
      <c r="BA189" s="82" t="s">
        <v>15984</v>
      </c>
      <c r="BB189" s="82" t="s">
        <v>15984</v>
      </c>
      <c r="BC189" s="82" t="s">
        <v>11899</v>
      </c>
      <c r="BD189" s="82" t="s">
        <v>16132</v>
      </c>
      <c r="BE189" s="77"/>
      <c r="BF189" s="77"/>
      <c r="BG189" s="77"/>
      <c r="BH189" s="77"/>
      <c r="BI189" s="77"/>
    </row>
    <row r="190" spans="1:61" x14ac:dyDescent="0.25">
      <c r="A190" s="62" t="s">
        <v>273</v>
      </c>
      <c r="B190" s="62" t="s">
        <v>273</v>
      </c>
      <c r="C190" s="63"/>
      <c r="D190" s="64"/>
      <c r="E190" s="65"/>
      <c r="F190" s="66"/>
      <c r="G190" s="63"/>
      <c r="H190" s="67"/>
      <c r="I190" s="68"/>
      <c r="J190" s="68"/>
      <c r="K190" s="32"/>
      <c r="L190" s="75">
        <v>190</v>
      </c>
      <c r="M190" s="75"/>
      <c r="N190" s="70"/>
      <c r="O190" s="77" t="s">
        <v>179</v>
      </c>
      <c r="P190" s="79">
        <v>45142.008761574078</v>
      </c>
      <c r="Q190" s="77" t="s">
        <v>1087</v>
      </c>
      <c r="R190" s="77">
        <v>0</v>
      </c>
      <c r="S190" s="77">
        <v>1</v>
      </c>
      <c r="T190" s="77">
        <v>0</v>
      </c>
      <c r="U190" s="77">
        <v>0</v>
      </c>
      <c r="V190" s="77">
        <v>178</v>
      </c>
      <c r="W190" s="82" t="s">
        <v>4915</v>
      </c>
      <c r="X190" s="77"/>
      <c r="Y190" s="77"/>
      <c r="Z190" s="77"/>
      <c r="AA190" s="77" t="s">
        <v>6733</v>
      </c>
      <c r="AB190" s="77" t="s">
        <v>7743</v>
      </c>
      <c r="AC190" s="82" t="s">
        <v>7752</v>
      </c>
      <c r="AD190" s="77" t="s">
        <v>7788</v>
      </c>
      <c r="AE190" s="80" t="str">
        <f>HYPERLINK("https://twitter.com/casal_trader/status/1687255182843748352")</f>
        <v>https://twitter.com/casal_trader/status/1687255182843748352</v>
      </c>
      <c r="AF190" s="79">
        <v>45142.008761574078</v>
      </c>
      <c r="AG190" s="85">
        <v>45142</v>
      </c>
      <c r="AH190" s="82" t="s">
        <v>7972</v>
      </c>
      <c r="AI190" s="77" t="b">
        <v>0</v>
      </c>
      <c r="AJ190" s="77"/>
      <c r="AK190" s="77"/>
      <c r="AL190" s="77"/>
      <c r="AM190" s="77"/>
      <c r="AN190" s="77"/>
      <c r="AO190" s="77"/>
      <c r="AP190" s="77"/>
      <c r="AQ190" s="77" t="s">
        <v>10705</v>
      </c>
      <c r="AR190" s="77">
        <v>85966</v>
      </c>
      <c r="AS190" s="77"/>
      <c r="AT190" s="77"/>
      <c r="AU190" s="77"/>
      <c r="AV190" s="80" t="str">
        <f>HYPERLINK("https://pbs.twimg.com/ext_tw_video_thumb/1687255053696909312/pu/img/5Se5UIoUBXokAsr4.jpg")</f>
        <v>https://pbs.twimg.com/ext_tw_video_thumb/1687255053696909312/pu/img/5Se5UIoUBXokAsr4.jpg</v>
      </c>
      <c r="AW190" s="82" t="s">
        <v>11900</v>
      </c>
      <c r="AX190" s="82" t="s">
        <v>11900</v>
      </c>
      <c r="AY190" s="77"/>
      <c r="AZ190" s="82" t="s">
        <v>15984</v>
      </c>
      <c r="BA190" s="82" t="s">
        <v>15984</v>
      </c>
      <c r="BB190" s="82" t="s">
        <v>15984</v>
      </c>
      <c r="BC190" s="82" t="s">
        <v>11900</v>
      </c>
      <c r="BD190" s="82" t="s">
        <v>16132</v>
      </c>
      <c r="BE190" s="77"/>
      <c r="BF190" s="77"/>
      <c r="BG190" s="77"/>
      <c r="BH190" s="77"/>
      <c r="BI190" s="77"/>
    </row>
    <row r="191" spans="1:61" x14ac:dyDescent="0.25">
      <c r="A191" s="62" t="s">
        <v>273</v>
      </c>
      <c r="B191" s="62" t="s">
        <v>273</v>
      </c>
      <c r="C191" s="63"/>
      <c r="D191" s="64"/>
      <c r="E191" s="65"/>
      <c r="F191" s="66"/>
      <c r="G191" s="63"/>
      <c r="H191" s="67"/>
      <c r="I191" s="68"/>
      <c r="J191" s="68"/>
      <c r="K191" s="32"/>
      <c r="L191" s="75">
        <v>191</v>
      </c>
      <c r="M191" s="75"/>
      <c r="N191" s="70"/>
      <c r="O191" s="77" t="s">
        <v>179</v>
      </c>
      <c r="P191" s="79">
        <v>45180.420081018521</v>
      </c>
      <c r="Q191" s="77" t="s">
        <v>1088</v>
      </c>
      <c r="R191" s="77">
        <v>0</v>
      </c>
      <c r="S191" s="77">
        <v>0</v>
      </c>
      <c r="T191" s="77">
        <v>1</v>
      </c>
      <c r="U191" s="77">
        <v>0</v>
      </c>
      <c r="V191" s="77">
        <v>66</v>
      </c>
      <c r="W191" s="82" t="s">
        <v>4910</v>
      </c>
      <c r="X191" s="77"/>
      <c r="Y191" s="77"/>
      <c r="Z191" s="77"/>
      <c r="AA191" s="77" t="s">
        <v>6734</v>
      </c>
      <c r="AB191" s="77" t="s">
        <v>7743</v>
      </c>
      <c r="AC191" s="82" t="s">
        <v>7750</v>
      </c>
      <c r="AD191" s="77" t="s">
        <v>7788</v>
      </c>
      <c r="AE191" s="80" t="str">
        <f>HYPERLINK("https://twitter.com/casal_trader/status/1701174976580051138")</f>
        <v>https://twitter.com/casal_trader/status/1701174976580051138</v>
      </c>
      <c r="AF191" s="79">
        <v>45180.420081018521</v>
      </c>
      <c r="AG191" s="85">
        <v>45180</v>
      </c>
      <c r="AH191" s="82" t="s">
        <v>7973</v>
      </c>
      <c r="AI191" s="77" t="b">
        <v>0</v>
      </c>
      <c r="AJ191" s="77"/>
      <c r="AK191" s="77"/>
      <c r="AL191" s="77"/>
      <c r="AM191" s="77"/>
      <c r="AN191" s="77"/>
      <c r="AO191" s="77"/>
      <c r="AP191" s="77"/>
      <c r="AQ191" s="77" t="s">
        <v>10706</v>
      </c>
      <c r="AR191" s="77">
        <v>76366</v>
      </c>
      <c r="AS191" s="77"/>
      <c r="AT191" s="77"/>
      <c r="AU191" s="77"/>
      <c r="AV191" s="80" t="str">
        <f>HYPERLINK("https://pbs.twimg.com/ext_tw_video_thumb/1701174421975597056/pu/img/vBul5CAaVdibtPkj.jpg")</f>
        <v>https://pbs.twimg.com/ext_tw_video_thumb/1701174421975597056/pu/img/vBul5CAaVdibtPkj.jpg</v>
      </c>
      <c r="AW191" s="82" t="s">
        <v>11901</v>
      </c>
      <c r="AX191" s="82" t="s">
        <v>11901</v>
      </c>
      <c r="AY191" s="77"/>
      <c r="AZ191" s="82" t="s">
        <v>15984</v>
      </c>
      <c r="BA191" s="82" t="s">
        <v>15984</v>
      </c>
      <c r="BB191" s="82" t="s">
        <v>15984</v>
      </c>
      <c r="BC191" s="82" t="s">
        <v>11901</v>
      </c>
      <c r="BD191" s="82" t="s">
        <v>16132</v>
      </c>
      <c r="BE191" s="77"/>
      <c r="BF191" s="77"/>
      <c r="BG191" s="77"/>
      <c r="BH191" s="77"/>
      <c r="BI191" s="77"/>
    </row>
    <row r="192" spans="1:61" x14ac:dyDescent="0.25">
      <c r="A192" s="62" t="s">
        <v>273</v>
      </c>
      <c r="B192" s="62" t="s">
        <v>273</v>
      </c>
      <c r="C192" s="63"/>
      <c r="D192" s="64"/>
      <c r="E192" s="65"/>
      <c r="F192" s="66"/>
      <c r="G192" s="63"/>
      <c r="H192" s="67"/>
      <c r="I192" s="68"/>
      <c r="J192" s="68"/>
      <c r="K192" s="32"/>
      <c r="L192" s="75">
        <v>192</v>
      </c>
      <c r="M192" s="75"/>
      <c r="N192" s="70"/>
      <c r="O192" s="77" t="s">
        <v>179</v>
      </c>
      <c r="P192" s="79">
        <v>45159.892638888887</v>
      </c>
      <c r="Q192" s="77" t="s">
        <v>1089</v>
      </c>
      <c r="R192" s="77">
        <v>0</v>
      </c>
      <c r="S192" s="77">
        <v>0</v>
      </c>
      <c r="T192" s="77">
        <v>1</v>
      </c>
      <c r="U192" s="77">
        <v>0</v>
      </c>
      <c r="V192" s="77">
        <v>95</v>
      </c>
      <c r="W192" s="82" t="s">
        <v>4916</v>
      </c>
      <c r="X192" s="77"/>
      <c r="Y192" s="77"/>
      <c r="Z192" s="77"/>
      <c r="AA192" s="77" t="s">
        <v>6735</v>
      </c>
      <c r="AB192" s="77" t="s">
        <v>7743</v>
      </c>
      <c r="AC192" s="82" t="s">
        <v>7752</v>
      </c>
      <c r="AD192" s="77" t="s">
        <v>7788</v>
      </c>
      <c r="AE192" s="80" t="str">
        <f>HYPERLINK("https://twitter.com/casal_trader/status/1693736082750263698")</f>
        <v>https://twitter.com/casal_trader/status/1693736082750263698</v>
      </c>
      <c r="AF192" s="79">
        <v>45159.892638888887</v>
      </c>
      <c r="AG192" s="85">
        <v>45159</v>
      </c>
      <c r="AH192" s="82" t="s">
        <v>7974</v>
      </c>
      <c r="AI192" s="77" t="b">
        <v>0</v>
      </c>
      <c r="AJ192" s="77"/>
      <c r="AK192" s="77"/>
      <c r="AL192" s="77"/>
      <c r="AM192" s="77"/>
      <c r="AN192" s="77"/>
      <c r="AO192" s="77"/>
      <c r="AP192" s="77"/>
      <c r="AQ192" s="77" t="s">
        <v>10707</v>
      </c>
      <c r="AR192" s="77">
        <v>48933</v>
      </c>
      <c r="AS192" s="77"/>
      <c r="AT192" s="77"/>
      <c r="AU192" s="77"/>
      <c r="AV192" s="80" t="str">
        <f>HYPERLINK("https://pbs.twimg.com/ext_tw_video_thumb/1693735995538067457/pu/img/07H9hKjG8NjMpSKp.jpg")</f>
        <v>https://pbs.twimg.com/ext_tw_video_thumb/1693735995538067457/pu/img/07H9hKjG8NjMpSKp.jpg</v>
      </c>
      <c r="AW192" s="82" t="s">
        <v>11902</v>
      </c>
      <c r="AX192" s="82" t="s">
        <v>11902</v>
      </c>
      <c r="AY192" s="77"/>
      <c r="AZ192" s="82" t="s">
        <v>15984</v>
      </c>
      <c r="BA192" s="82" t="s">
        <v>15984</v>
      </c>
      <c r="BB192" s="82" t="s">
        <v>15984</v>
      </c>
      <c r="BC192" s="82" t="s">
        <v>11902</v>
      </c>
      <c r="BD192" s="82" t="s">
        <v>16132</v>
      </c>
      <c r="BE192" s="77"/>
      <c r="BF192" s="77"/>
      <c r="BG192" s="77"/>
      <c r="BH192" s="77"/>
      <c r="BI192" s="77"/>
    </row>
    <row r="193" spans="1:61" x14ac:dyDescent="0.25">
      <c r="A193" s="62" t="s">
        <v>273</v>
      </c>
      <c r="B193" s="62" t="s">
        <v>273</v>
      </c>
      <c r="C193" s="63"/>
      <c r="D193" s="64"/>
      <c r="E193" s="65"/>
      <c r="F193" s="66"/>
      <c r="G193" s="63"/>
      <c r="H193" s="67"/>
      <c r="I193" s="68"/>
      <c r="J193" s="68"/>
      <c r="K193" s="32"/>
      <c r="L193" s="75">
        <v>193</v>
      </c>
      <c r="M193" s="75"/>
      <c r="N193" s="70"/>
      <c r="O193" s="77" t="s">
        <v>179</v>
      </c>
      <c r="P193" s="79">
        <v>45169.842199074075</v>
      </c>
      <c r="Q193" s="77" t="s">
        <v>1090</v>
      </c>
      <c r="R193" s="77">
        <v>0</v>
      </c>
      <c r="S193" s="77">
        <v>0</v>
      </c>
      <c r="T193" s="77">
        <v>0</v>
      </c>
      <c r="U193" s="77">
        <v>0</v>
      </c>
      <c r="V193" s="77">
        <v>98</v>
      </c>
      <c r="W193" s="82" t="s">
        <v>4917</v>
      </c>
      <c r="X193" s="77"/>
      <c r="Y193" s="77"/>
      <c r="Z193" s="77"/>
      <c r="AA193" s="77" t="s">
        <v>6736</v>
      </c>
      <c r="AB193" s="77" t="s">
        <v>7743</v>
      </c>
      <c r="AC193" s="82" t="s">
        <v>7752</v>
      </c>
      <c r="AD193" s="77" t="s">
        <v>7788</v>
      </c>
      <c r="AE193" s="80" t="str">
        <f>HYPERLINK("https://twitter.com/casal_trader/status/1697341682096701862")</f>
        <v>https://twitter.com/casal_trader/status/1697341682096701862</v>
      </c>
      <c r="AF193" s="79">
        <v>45169.842199074075</v>
      </c>
      <c r="AG193" s="85">
        <v>45169</v>
      </c>
      <c r="AH193" s="82" t="s">
        <v>7975</v>
      </c>
      <c r="AI193" s="77" t="b">
        <v>0</v>
      </c>
      <c r="AJ193" s="77"/>
      <c r="AK193" s="77"/>
      <c r="AL193" s="77"/>
      <c r="AM193" s="77"/>
      <c r="AN193" s="77"/>
      <c r="AO193" s="77"/>
      <c r="AP193" s="77"/>
      <c r="AQ193" s="77" t="s">
        <v>10708</v>
      </c>
      <c r="AR193" s="77">
        <v>76533</v>
      </c>
      <c r="AS193" s="77"/>
      <c r="AT193" s="77"/>
      <c r="AU193" s="77"/>
      <c r="AV193" s="80" t="str">
        <f>HYPERLINK("https://pbs.twimg.com/ext_tw_video_thumb/1697341562873581568/pu/img/4puMLXrzKXWDf3ud.jpg")</f>
        <v>https://pbs.twimg.com/ext_tw_video_thumb/1697341562873581568/pu/img/4puMLXrzKXWDf3ud.jpg</v>
      </c>
      <c r="AW193" s="82" t="s">
        <v>11903</v>
      </c>
      <c r="AX193" s="82" t="s">
        <v>11903</v>
      </c>
      <c r="AY193" s="77"/>
      <c r="AZ193" s="82" t="s">
        <v>15984</v>
      </c>
      <c r="BA193" s="82" t="s">
        <v>15984</v>
      </c>
      <c r="BB193" s="82" t="s">
        <v>15984</v>
      </c>
      <c r="BC193" s="82" t="s">
        <v>11903</v>
      </c>
      <c r="BD193" s="82" t="s">
        <v>16132</v>
      </c>
      <c r="BE193" s="77"/>
      <c r="BF193" s="77"/>
      <c r="BG193" s="77"/>
      <c r="BH193" s="77"/>
      <c r="BI193" s="77"/>
    </row>
    <row r="194" spans="1:61" x14ac:dyDescent="0.25">
      <c r="A194" s="62" t="s">
        <v>273</v>
      </c>
      <c r="B194" s="62" t="s">
        <v>273</v>
      </c>
      <c r="C194" s="63"/>
      <c r="D194" s="64"/>
      <c r="E194" s="65"/>
      <c r="F194" s="66"/>
      <c r="G194" s="63"/>
      <c r="H194" s="67"/>
      <c r="I194" s="68"/>
      <c r="J194" s="68"/>
      <c r="K194" s="32"/>
      <c r="L194" s="75">
        <v>194</v>
      </c>
      <c r="M194" s="75"/>
      <c r="N194" s="70"/>
      <c r="O194" s="77" t="s">
        <v>179</v>
      </c>
      <c r="P194" s="79">
        <v>45139.896909722222</v>
      </c>
      <c r="Q194" s="77" t="s">
        <v>1091</v>
      </c>
      <c r="R194" s="77">
        <v>0</v>
      </c>
      <c r="S194" s="77">
        <v>1</v>
      </c>
      <c r="T194" s="77">
        <v>0</v>
      </c>
      <c r="U194" s="77">
        <v>0</v>
      </c>
      <c r="V194" s="77">
        <v>30</v>
      </c>
      <c r="W194" s="82" t="s">
        <v>4918</v>
      </c>
      <c r="X194" s="77"/>
      <c r="Y194" s="77"/>
      <c r="Z194" s="77"/>
      <c r="AA194" s="77" t="s">
        <v>6737</v>
      </c>
      <c r="AB194" s="77" t="s">
        <v>7743</v>
      </c>
      <c r="AC194" s="82" t="s">
        <v>7752</v>
      </c>
      <c r="AD194" s="77" t="s">
        <v>7788</v>
      </c>
      <c r="AE194" s="80" t="str">
        <f>HYPERLINK("https://twitter.com/casal_trader/status/1686489872096206849")</f>
        <v>https://twitter.com/casal_trader/status/1686489872096206849</v>
      </c>
      <c r="AF194" s="79">
        <v>45139.896909722222</v>
      </c>
      <c r="AG194" s="85">
        <v>45139</v>
      </c>
      <c r="AH194" s="82" t="s">
        <v>7976</v>
      </c>
      <c r="AI194" s="77" t="b">
        <v>0</v>
      </c>
      <c r="AJ194" s="77"/>
      <c r="AK194" s="77"/>
      <c r="AL194" s="77"/>
      <c r="AM194" s="77"/>
      <c r="AN194" s="77"/>
      <c r="AO194" s="77"/>
      <c r="AP194" s="77"/>
      <c r="AQ194" s="77" t="s">
        <v>10709</v>
      </c>
      <c r="AR194" s="77">
        <v>52400</v>
      </c>
      <c r="AS194" s="77"/>
      <c r="AT194" s="77"/>
      <c r="AU194" s="77"/>
      <c r="AV194" s="80" t="str">
        <f>HYPERLINK("https://pbs.twimg.com/ext_tw_video_thumb/1686489774650232832/pu/img/YgocBazk4ckQ11lN.jpg")</f>
        <v>https://pbs.twimg.com/ext_tw_video_thumb/1686489774650232832/pu/img/YgocBazk4ckQ11lN.jpg</v>
      </c>
      <c r="AW194" s="82" t="s">
        <v>11904</v>
      </c>
      <c r="AX194" s="82" t="s">
        <v>11904</v>
      </c>
      <c r="AY194" s="77"/>
      <c r="AZ194" s="82" t="s">
        <v>15984</v>
      </c>
      <c r="BA194" s="82" t="s">
        <v>15984</v>
      </c>
      <c r="BB194" s="82" t="s">
        <v>15984</v>
      </c>
      <c r="BC194" s="82" t="s">
        <v>11904</v>
      </c>
      <c r="BD194" s="82" t="s">
        <v>16132</v>
      </c>
      <c r="BE194" s="77"/>
      <c r="BF194" s="77"/>
      <c r="BG194" s="77"/>
      <c r="BH194" s="77"/>
      <c r="BI194" s="77"/>
    </row>
    <row r="195" spans="1:61" x14ac:dyDescent="0.25">
      <c r="A195" s="62" t="s">
        <v>273</v>
      </c>
      <c r="B195" s="62" t="s">
        <v>273</v>
      </c>
      <c r="C195" s="63"/>
      <c r="D195" s="64"/>
      <c r="E195" s="65"/>
      <c r="F195" s="66"/>
      <c r="G195" s="63"/>
      <c r="H195" s="67"/>
      <c r="I195" s="68"/>
      <c r="J195" s="68"/>
      <c r="K195" s="32"/>
      <c r="L195" s="75">
        <v>195</v>
      </c>
      <c r="M195" s="75"/>
      <c r="N195" s="70"/>
      <c r="O195" s="77" t="s">
        <v>179</v>
      </c>
      <c r="P195" s="79">
        <v>45173.41846064815</v>
      </c>
      <c r="Q195" s="77" t="s">
        <v>1092</v>
      </c>
      <c r="R195" s="77">
        <v>0</v>
      </c>
      <c r="S195" s="77">
        <v>1</v>
      </c>
      <c r="T195" s="77">
        <v>0</v>
      </c>
      <c r="U195" s="77">
        <v>0</v>
      </c>
      <c r="V195" s="77">
        <v>120</v>
      </c>
      <c r="W195" s="82" t="s">
        <v>4910</v>
      </c>
      <c r="X195" s="77"/>
      <c r="Y195" s="77"/>
      <c r="Z195" s="77"/>
      <c r="AA195" s="77" t="s">
        <v>6738</v>
      </c>
      <c r="AB195" s="77" t="s">
        <v>7743</v>
      </c>
      <c r="AC195" s="82" t="s">
        <v>7752</v>
      </c>
      <c r="AD195" s="77" t="s">
        <v>7788</v>
      </c>
      <c r="AE195" s="80" t="str">
        <f>HYPERLINK("https://twitter.com/casal_trader/status/1698637674125332621")</f>
        <v>https://twitter.com/casal_trader/status/1698637674125332621</v>
      </c>
      <c r="AF195" s="79">
        <v>45173.41846064815</v>
      </c>
      <c r="AG195" s="85">
        <v>45173</v>
      </c>
      <c r="AH195" s="82" t="s">
        <v>7977</v>
      </c>
      <c r="AI195" s="77" t="b">
        <v>0</v>
      </c>
      <c r="AJ195" s="77"/>
      <c r="AK195" s="77"/>
      <c r="AL195" s="77"/>
      <c r="AM195" s="77"/>
      <c r="AN195" s="77"/>
      <c r="AO195" s="77"/>
      <c r="AP195" s="77"/>
      <c r="AQ195" s="77" t="s">
        <v>10710</v>
      </c>
      <c r="AR195" s="77">
        <v>89233</v>
      </c>
      <c r="AS195" s="77"/>
      <c r="AT195" s="77"/>
      <c r="AU195" s="77"/>
      <c r="AV195" s="80" t="str">
        <f>HYPERLINK("https://pbs.twimg.com/ext_tw_video_thumb/1698637535126167552/pu/img/HJsVgRrG9rDGJDG1.jpg")</f>
        <v>https://pbs.twimg.com/ext_tw_video_thumb/1698637535126167552/pu/img/HJsVgRrG9rDGJDG1.jpg</v>
      </c>
      <c r="AW195" s="82" t="s">
        <v>11905</v>
      </c>
      <c r="AX195" s="82" t="s">
        <v>11905</v>
      </c>
      <c r="AY195" s="77"/>
      <c r="AZ195" s="82" t="s">
        <v>15984</v>
      </c>
      <c r="BA195" s="82" t="s">
        <v>15984</v>
      </c>
      <c r="BB195" s="82" t="s">
        <v>15984</v>
      </c>
      <c r="BC195" s="82" t="s">
        <v>11905</v>
      </c>
      <c r="BD195" s="82" t="s">
        <v>16132</v>
      </c>
      <c r="BE195" s="77"/>
      <c r="BF195" s="77"/>
      <c r="BG195" s="77"/>
      <c r="BH195" s="77"/>
      <c r="BI195" s="77"/>
    </row>
    <row r="196" spans="1:61" x14ac:dyDescent="0.25">
      <c r="A196" s="62" t="s">
        <v>273</v>
      </c>
      <c r="B196" s="62" t="s">
        <v>273</v>
      </c>
      <c r="C196" s="63"/>
      <c r="D196" s="64"/>
      <c r="E196" s="65"/>
      <c r="F196" s="66"/>
      <c r="G196" s="63"/>
      <c r="H196" s="67"/>
      <c r="I196" s="68"/>
      <c r="J196" s="68"/>
      <c r="K196" s="32"/>
      <c r="L196" s="75">
        <v>196</v>
      </c>
      <c r="M196" s="75"/>
      <c r="N196" s="70"/>
      <c r="O196" s="77" t="s">
        <v>179</v>
      </c>
      <c r="P196" s="79">
        <v>45168.882071759261</v>
      </c>
      <c r="Q196" s="77" t="s">
        <v>1093</v>
      </c>
      <c r="R196" s="77">
        <v>0</v>
      </c>
      <c r="S196" s="77">
        <v>1</v>
      </c>
      <c r="T196" s="77">
        <v>0</v>
      </c>
      <c r="U196" s="77">
        <v>0</v>
      </c>
      <c r="V196" s="77">
        <v>41</v>
      </c>
      <c r="W196" s="82" t="s">
        <v>4919</v>
      </c>
      <c r="X196" s="77"/>
      <c r="Y196" s="77"/>
      <c r="Z196" s="77"/>
      <c r="AA196" s="77" t="s">
        <v>6739</v>
      </c>
      <c r="AB196" s="77" t="s">
        <v>7743</v>
      </c>
      <c r="AC196" s="82" t="s">
        <v>7752</v>
      </c>
      <c r="AD196" s="77" t="s">
        <v>7788</v>
      </c>
      <c r="AE196" s="80" t="str">
        <f>HYPERLINK("https://twitter.com/casal_trader/status/1696993743637790741")</f>
        <v>https://twitter.com/casal_trader/status/1696993743637790741</v>
      </c>
      <c r="AF196" s="79">
        <v>45168.882071759261</v>
      </c>
      <c r="AG196" s="85">
        <v>45168</v>
      </c>
      <c r="AH196" s="82" t="s">
        <v>7978</v>
      </c>
      <c r="AI196" s="77" t="b">
        <v>0</v>
      </c>
      <c r="AJ196" s="77"/>
      <c r="AK196" s="77"/>
      <c r="AL196" s="77"/>
      <c r="AM196" s="77"/>
      <c r="AN196" s="77"/>
      <c r="AO196" s="77"/>
      <c r="AP196" s="77"/>
      <c r="AQ196" s="77" t="s">
        <v>10711</v>
      </c>
      <c r="AR196" s="77">
        <v>70300</v>
      </c>
      <c r="AS196" s="77"/>
      <c r="AT196" s="77"/>
      <c r="AU196" s="77"/>
      <c r="AV196" s="80" t="str">
        <f>HYPERLINK("https://pbs.twimg.com/ext_tw_video_thumb/1696993656647909376/pu/img/AoQISzAO0EjXF6nI.jpg")</f>
        <v>https://pbs.twimg.com/ext_tw_video_thumb/1696993656647909376/pu/img/AoQISzAO0EjXF6nI.jpg</v>
      </c>
      <c r="AW196" s="82" t="s">
        <v>11906</v>
      </c>
      <c r="AX196" s="82" t="s">
        <v>11906</v>
      </c>
      <c r="AY196" s="77"/>
      <c r="AZ196" s="82" t="s">
        <v>15984</v>
      </c>
      <c r="BA196" s="82" t="s">
        <v>15984</v>
      </c>
      <c r="BB196" s="82" t="s">
        <v>15984</v>
      </c>
      <c r="BC196" s="82" t="s">
        <v>11906</v>
      </c>
      <c r="BD196" s="82" t="s">
        <v>16132</v>
      </c>
      <c r="BE196" s="77"/>
      <c r="BF196" s="77"/>
      <c r="BG196" s="77"/>
      <c r="BH196" s="77"/>
      <c r="BI196" s="77"/>
    </row>
    <row r="197" spans="1:61" x14ac:dyDescent="0.25">
      <c r="A197" s="62" t="s">
        <v>273</v>
      </c>
      <c r="B197" s="62" t="s">
        <v>273</v>
      </c>
      <c r="C197" s="63"/>
      <c r="D197" s="64"/>
      <c r="E197" s="65"/>
      <c r="F197" s="66"/>
      <c r="G197" s="63"/>
      <c r="H197" s="67"/>
      <c r="I197" s="68"/>
      <c r="J197" s="68"/>
      <c r="K197" s="32"/>
      <c r="L197" s="75">
        <v>197</v>
      </c>
      <c r="M197" s="75"/>
      <c r="N197" s="70"/>
      <c r="O197" s="77" t="s">
        <v>179</v>
      </c>
      <c r="P197" s="79">
        <v>45122.75886574074</v>
      </c>
      <c r="Q197" s="77" t="s">
        <v>1094</v>
      </c>
      <c r="R197" s="77">
        <v>0</v>
      </c>
      <c r="S197" s="77">
        <v>0</v>
      </c>
      <c r="T197" s="77">
        <v>0</v>
      </c>
      <c r="U197" s="77">
        <v>0</v>
      </c>
      <c r="V197" s="77">
        <v>29</v>
      </c>
      <c r="W197" s="82" t="s">
        <v>4920</v>
      </c>
      <c r="X197" s="77"/>
      <c r="Y197" s="77"/>
      <c r="Z197" s="77"/>
      <c r="AA197" s="77" t="s">
        <v>6740</v>
      </c>
      <c r="AB197" s="77" t="s">
        <v>7743</v>
      </c>
      <c r="AC197" s="82" t="s">
        <v>7752</v>
      </c>
      <c r="AD197" s="77" t="s">
        <v>7788</v>
      </c>
      <c r="AE197" s="80" t="str">
        <f>HYPERLINK("https://twitter.com/casal_trader/status/1680279251910553605")</f>
        <v>https://twitter.com/casal_trader/status/1680279251910553605</v>
      </c>
      <c r="AF197" s="79">
        <v>45122.75886574074</v>
      </c>
      <c r="AG197" s="85">
        <v>45122</v>
      </c>
      <c r="AH197" s="82" t="s">
        <v>7979</v>
      </c>
      <c r="AI197" s="77" t="b">
        <v>0</v>
      </c>
      <c r="AJ197" s="77"/>
      <c r="AK197" s="77"/>
      <c r="AL197" s="77"/>
      <c r="AM197" s="77"/>
      <c r="AN197" s="77"/>
      <c r="AO197" s="77"/>
      <c r="AP197" s="77"/>
      <c r="AQ197" s="77" t="s">
        <v>10712</v>
      </c>
      <c r="AR197" s="77">
        <v>77633</v>
      </c>
      <c r="AS197" s="77"/>
      <c r="AT197" s="77"/>
      <c r="AU197" s="77"/>
      <c r="AV197" s="80" t="str">
        <f>HYPERLINK("https://pbs.twimg.com/ext_tw_video_thumb/1680279097866346496/pu/img/4P2vhasKjI_meiY7.jpg")</f>
        <v>https://pbs.twimg.com/ext_tw_video_thumb/1680279097866346496/pu/img/4P2vhasKjI_meiY7.jpg</v>
      </c>
      <c r="AW197" s="82" t="s">
        <v>11907</v>
      </c>
      <c r="AX197" s="82" t="s">
        <v>11907</v>
      </c>
      <c r="AY197" s="77"/>
      <c r="AZ197" s="82" t="s">
        <v>15984</v>
      </c>
      <c r="BA197" s="82" t="s">
        <v>15984</v>
      </c>
      <c r="BB197" s="82" t="s">
        <v>15984</v>
      </c>
      <c r="BC197" s="82" t="s">
        <v>11907</v>
      </c>
      <c r="BD197" s="82" t="s">
        <v>16132</v>
      </c>
      <c r="BE197" s="77"/>
      <c r="BF197" s="77"/>
      <c r="BG197" s="77"/>
      <c r="BH197" s="77"/>
      <c r="BI197" s="77"/>
    </row>
    <row r="198" spans="1:61" x14ac:dyDescent="0.25">
      <c r="A198" s="62" t="s">
        <v>273</v>
      </c>
      <c r="B198" s="62" t="s">
        <v>273</v>
      </c>
      <c r="C198" s="63"/>
      <c r="D198" s="64"/>
      <c r="E198" s="65"/>
      <c r="F198" s="66"/>
      <c r="G198" s="63"/>
      <c r="H198" s="67"/>
      <c r="I198" s="68"/>
      <c r="J198" s="68"/>
      <c r="K198" s="32"/>
      <c r="L198" s="75">
        <v>198</v>
      </c>
      <c r="M198" s="75"/>
      <c r="N198" s="70"/>
      <c r="O198" s="77" t="s">
        <v>179</v>
      </c>
      <c r="P198" s="79">
        <v>45175.415266203701</v>
      </c>
      <c r="Q198" s="77" t="s">
        <v>1095</v>
      </c>
      <c r="R198" s="77">
        <v>0</v>
      </c>
      <c r="S198" s="77">
        <v>0</v>
      </c>
      <c r="T198" s="77">
        <v>0</v>
      </c>
      <c r="U198" s="77">
        <v>0</v>
      </c>
      <c r="V198" s="77">
        <v>45</v>
      </c>
      <c r="W198" s="82" t="s">
        <v>4910</v>
      </c>
      <c r="X198" s="77"/>
      <c r="Y198" s="77"/>
      <c r="Z198" s="77"/>
      <c r="AA198" s="77" t="s">
        <v>6741</v>
      </c>
      <c r="AB198" s="77" t="s">
        <v>7743</v>
      </c>
      <c r="AC198" s="82" t="s">
        <v>7752</v>
      </c>
      <c r="AD198" s="77" t="s">
        <v>7788</v>
      </c>
      <c r="AE198" s="80" t="str">
        <f>HYPERLINK("https://twitter.com/casal_trader/status/1699361291712754004")</f>
        <v>https://twitter.com/casal_trader/status/1699361291712754004</v>
      </c>
      <c r="AF198" s="79">
        <v>45175.415266203701</v>
      </c>
      <c r="AG198" s="85">
        <v>45175</v>
      </c>
      <c r="AH198" s="82" t="s">
        <v>7980</v>
      </c>
      <c r="AI198" s="77" t="b">
        <v>0</v>
      </c>
      <c r="AJ198" s="77"/>
      <c r="AK198" s="77"/>
      <c r="AL198" s="77"/>
      <c r="AM198" s="77"/>
      <c r="AN198" s="77"/>
      <c r="AO198" s="77"/>
      <c r="AP198" s="77"/>
      <c r="AQ198" s="77" t="s">
        <v>10713</v>
      </c>
      <c r="AR198" s="77">
        <v>106466</v>
      </c>
      <c r="AS198" s="77"/>
      <c r="AT198" s="77"/>
      <c r="AU198" s="77"/>
      <c r="AV198" s="80" t="str">
        <f>HYPERLINK("https://pbs.twimg.com/ext_tw_video_thumb/1699361125672894464/pu/img/6lcHPGX-jFyvXPwp.jpg")</f>
        <v>https://pbs.twimg.com/ext_tw_video_thumb/1699361125672894464/pu/img/6lcHPGX-jFyvXPwp.jpg</v>
      </c>
      <c r="AW198" s="82" t="s">
        <v>11908</v>
      </c>
      <c r="AX198" s="82" t="s">
        <v>11908</v>
      </c>
      <c r="AY198" s="77"/>
      <c r="AZ198" s="82" t="s">
        <v>15984</v>
      </c>
      <c r="BA198" s="82" t="s">
        <v>15984</v>
      </c>
      <c r="BB198" s="82" t="s">
        <v>15984</v>
      </c>
      <c r="BC198" s="82" t="s">
        <v>11908</v>
      </c>
      <c r="BD198" s="82" t="s">
        <v>16132</v>
      </c>
      <c r="BE198" s="77"/>
      <c r="BF198" s="77"/>
      <c r="BG198" s="77"/>
      <c r="BH198" s="77"/>
      <c r="BI198" s="77"/>
    </row>
    <row r="199" spans="1:61" x14ac:dyDescent="0.25">
      <c r="A199" s="62" t="s">
        <v>273</v>
      </c>
      <c r="B199" s="62" t="s">
        <v>273</v>
      </c>
      <c r="C199" s="63"/>
      <c r="D199" s="64"/>
      <c r="E199" s="65"/>
      <c r="F199" s="66"/>
      <c r="G199" s="63"/>
      <c r="H199" s="67"/>
      <c r="I199" s="68"/>
      <c r="J199" s="68"/>
      <c r="K199" s="32"/>
      <c r="L199" s="75">
        <v>199</v>
      </c>
      <c r="M199" s="75"/>
      <c r="N199" s="70"/>
      <c r="O199" s="77" t="s">
        <v>179</v>
      </c>
      <c r="P199" s="79">
        <v>45183.429259259261</v>
      </c>
      <c r="Q199" s="77" t="s">
        <v>1096</v>
      </c>
      <c r="R199" s="77">
        <v>0</v>
      </c>
      <c r="S199" s="77">
        <v>0</v>
      </c>
      <c r="T199" s="77">
        <v>0</v>
      </c>
      <c r="U199" s="77">
        <v>0</v>
      </c>
      <c r="V199" s="77">
        <v>46</v>
      </c>
      <c r="W199" s="82" t="s">
        <v>4910</v>
      </c>
      <c r="X199" s="77"/>
      <c r="Y199" s="77"/>
      <c r="Z199" s="77"/>
      <c r="AA199" s="77" t="s">
        <v>6742</v>
      </c>
      <c r="AB199" s="77" t="s">
        <v>7743</v>
      </c>
      <c r="AC199" s="82" t="s">
        <v>7750</v>
      </c>
      <c r="AD199" s="77" t="s">
        <v>7788</v>
      </c>
      <c r="AE199" s="80" t="str">
        <f>HYPERLINK("https://twitter.com/casal_trader/status/1702265466100539561")</f>
        <v>https://twitter.com/casal_trader/status/1702265466100539561</v>
      </c>
      <c r="AF199" s="79">
        <v>45183.429259259261</v>
      </c>
      <c r="AG199" s="85">
        <v>45183</v>
      </c>
      <c r="AH199" s="82" t="s">
        <v>7981</v>
      </c>
      <c r="AI199" s="77" t="b">
        <v>0</v>
      </c>
      <c r="AJ199" s="77"/>
      <c r="AK199" s="77"/>
      <c r="AL199" s="77"/>
      <c r="AM199" s="77"/>
      <c r="AN199" s="77"/>
      <c r="AO199" s="77"/>
      <c r="AP199" s="77"/>
      <c r="AQ199" s="77" t="s">
        <v>10714</v>
      </c>
      <c r="AR199" s="77">
        <v>89366</v>
      </c>
      <c r="AS199" s="77"/>
      <c r="AT199" s="77"/>
      <c r="AU199" s="77"/>
      <c r="AV199" s="80" t="str">
        <f>HYPERLINK("https://pbs.twimg.com/ext_tw_video_thumb/1702265229235638275/pu/img/9PSsJg2lu3Tcxt6m.jpg")</f>
        <v>https://pbs.twimg.com/ext_tw_video_thumb/1702265229235638275/pu/img/9PSsJg2lu3Tcxt6m.jpg</v>
      </c>
      <c r="AW199" s="82" t="s">
        <v>11909</v>
      </c>
      <c r="AX199" s="82" t="s">
        <v>11909</v>
      </c>
      <c r="AY199" s="77"/>
      <c r="AZ199" s="82" t="s">
        <v>15984</v>
      </c>
      <c r="BA199" s="82" t="s">
        <v>15984</v>
      </c>
      <c r="BB199" s="82" t="s">
        <v>15984</v>
      </c>
      <c r="BC199" s="82" t="s">
        <v>11909</v>
      </c>
      <c r="BD199" s="82" t="s">
        <v>16132</v>
      </c>
      <c r="BE199" s="77"/>
      <c r="BF199" s="77"/>
      <c r="BG199" s="77"/>
      <c r="BH199" s="77"/>
      <c r="BI199" s="77"/>
    </row>
    <row r="200" spans="1:61" x14ac:dyDescent="0.25">
      <c r="A200" s="62" t="s">
        <v>273</v>
      </c>
      <c r="B200" s="62" t="s">
        <v>273</v>
      </c>
      <c r="C200" s="63"/>
      <c r="D200" s="64"/>
      <c r="E200" s="65"/>
      <c r="F200" s="66"/>
      <c r="G200" s="63"/>
      <c r="H200" s="67"/>
      <c r="I200" s="68"/>
      <c r="J200" s="68"/>
      <c r="K200" s="32"/>
      <c r="L200" s="75">
        <v>200</v>
      </c>
      <c r="M200" s="75"/>
      <c r="N200" s="70"/>
      <c r="O200" s="77" t="s">
        <v>179</v>
      </c>
      <c r="P200" s="79">
        <v>45125.983055555553</v>
      </c>
      <c r="Q200" s="77" t="s">
        <v>1097</v>
      </c>
      <c r="R200" s="77">
        <v>0</v>
      </c>
      <c r="S200" s="77">
        <v>0</v>
      </c>
      <c r="T200" s="77">
        <v>0</v>
      </c>
      <c r="U200" s="77">
        <v>0</v>
      </c>
      <c r="V200" s="77">
        <v>14</v>
      </c>
      <c r="W200" s="82" t="s">
        <v>4921</v>
      </c>
      <c r="X200" s="77"/>
      <c r="Y200" s="77"/>
      <c r="Z200" s="77"/>
      <c r="AA200" s="77" t="s">
        <v>6743</v>
      </c>
      <c r="AB200" s="77" t="s">
        <v>7743</v>
      </c>
      <c r="AC200" s="82" t="s">
        <v>7752</v>
      </c>
      <c r="AD200" s="77" t="s">
        <v>7788</v>
      </c>
      <c r="AE200" s="80" t="str">
        <f>HYPERLINK("https://twitter.com/casal_trader/status/1681447657603211265")</f>
        <v>https://twitter.com/casal_trader/status/1681447657603211265</v>
      </c>
      <c r="AF200" s="79">
        <v>45125.983055555553</v>
      </c>
      <c r="AG200" s="85">
        <v>45125</v>
      </c>
      <c r="AH200" s="82" t="s">
        <v>7982</v>
      </c>
      <c r="AI200" s="77" t="b">
        <v>0</v>
      </c>
      <c r="AJ200" s="77"/>
      <c r="AK200" s="77"/>
      <c r="AL200" s="77"/>
      <c r="AM200" s="77"/>
      <c r="AN200" s="77"/>
      <c r="AO200" s="77"/>
      <c r="AP200" s="77"/>
      <c r="AQ200" s="77" t="s">
        <v>10715</v>
      </c>
      <c r="AR200" s="77">
        <v>59133</v>
      </c>
      <c r="AS200" s="77"/>
      <c r="AT200" s="77"/>
      <c r="AU200" s="77"/>
      <c r="AV200" s="80" t="str">
        <f>HYPERLINK("https://pbs.twimg.com/ext_tw_video_thumb/1681447538094686209/pu/img/7U2P32nrmYOozDxP.jpg")</f>
        <v>https://pbs.twimg.com/ext_tw_video_thumb/1681447538094686209/pu/img/7U2P32nrmYOozDxP.jpg</v>
      </c>
      <c r="AW200" s="82" t="s">
        <v>11910</v>
      </c>
      <c r="AX200" s="82" t="s">
        <v>11910</v>
      </c>
      <c r="AY200" s="77"/>
      <c r="AZ200" s="82" t="s">
        <v>15984</v>
      </c>
      <c r="BA200" s="82" t="s">
        <v>15984</v>
      </c>
      <c r="BB200" s="82" t="s">
        <v>15984</v>
      </c>
      <c r="BC200" s="82" t="s">
        <v>11910</v>
      </c>
      <c r="BD200" s="82" t="s">
        <v>16132</v>
      </c>
      <c r="BE200" s="77"/>
      <c r="BF200" s="77"/>
      <c r="BG200" s="77"/>
      <c r="BH200" s="77"/>
      <c r="BI200" s="77"/>
    </row>
    <row r="201" spans="1:61" x14ac:dyDescent="0.25">
      <c r="A201" s="62" t="s">
        <v>273</v>
      </c>
      <c r="B201" s="62" t="s">
        <v>273</v>
      </c>
      <c r="C201" s="63"/>
      <c r="D201" s="64"/>
      <c r="E201" s="65"/>
      <c r="F201" s="66"/>
      <c r="G201" s="63"/>
      <c r="H201" s="67"/>
      <c r="I201" s="68"/>
      <c r="J201" s="68"/>
      <c r="K201" s="32"/>
      <c r="L201" s="75">
        <v>201</v>
      </c>
      <c r="M201" s="75"/>
      <c r="N201" s="70"/>
      <c r="O201" s="77" t="s">
        <v>179</v>
      </c>
      <c r="P201" s="79">
        <v>45183.95212962963</v>
      </c>
      <c r="Q201" s="77" t="s">
        <v>1098</v>
      </c>
      <c r="R201" s="77">
        <v>0</v>
      </c>
      <c r="S201" s="77">
        <v>1</v>
      </c>
      <c r="T201" s="77">
        <v>0</v>
      </c>
      <c r="U201" s="77">
        <v>0</v>
      </c>
      <c r="V201" s="77">
        <v>59</v>
      </c>
      <c r="W201" s="82" t="s">
        <v>4833</v>
      </c>
      <c r="X201" s="77"/>
      <c r="Y201" s="77"/>
      <c r="Z201" s="77"/>
      <c r="AA201" s="77" t="s">
        <v>6744</v>
      </c>
      <c r="AB201" s="77" t="s">
        <v>7743</v>
      </c>
      <c r="AC201" s="82" t="s">
        <v>7752</v>
      </c>
      <c r="AD201" s="77" t="s">
        <v>7788</v>
      </c>
      <c r="AE201" s="80" t="str">
        <f>HYPERLINK("https://twitter.com/casal_trader/status/1702454947835453655")</f>
        <v>https://twitter.com/casal_trader/status/1702454947835453655</v>
      </c>
      <c r="AF201" s="79">
        <v>45183.95212962963</v>
      </c>
      <c r="AG201" s="85">
        <v>45183</v>
      </c>
      <c r="AH201" s="82" t="s">
        <v>7983</v>
      </c>
      <c r="AI201" s="77" t="b">
        <v>0</v>
      </c>
      <c r="AJ201" s="77"/>
      <c r="AK201" s="77"/>
      <c r="AL201" s="77"/>
      <c r="AM201" s="77"/>
      <c r="AN201" s="77"/>
      <c r="AO201" s="77"/>
      <c r="AP201" s="77"/>
      <c r="AQ201" s="77" t="s">
        <v>10716</v>
      </c>
      <c r="AR201" s="77">
        <v>73830</v>
      </c>
      <c r="AS201" s="77"/>
      <c r="AT201" s="77"/>
      <c r="AU201" s="77"/>
      <c r="AV201" s="80" t="str">
        <f>HYPERLINK("https://pbs.twimg.com/ext_tw_video_thumb/1702454700568719361/pu/img/zkLDsgAfR6HZ3WTp.jpg")</f>
        <v>https://pbs.twimg.com/ext_tw_video_thumb/1702454700568719361/pu/img/zkLDsgAfR6HZ3WTp.jpg</v>
      </c>
      <c r="AW201" s="82" t="s">
        <v>11911</v>
      </c>
      <c r="AX201" s="82" t="s">
        <v>11911</v>
      </c>
      <c r="AY201" s="77"/>
      <c r="AZ201" s="82" t="s">
        <v>15984</v>
      </c>
      <c r="BA201" s="82" t="s">
        <v>15984</v>
      </c>
      <c r="BB201" s="82" t="s">
        <v>15984</v>
      </c>
      <c r="BC201" s="82" t="s">
        <v>11911</v>
      </c>
      <c r="BD201" s="82" t="s">
        <v>16132</v>
      </c>
      <c r="BE201" s="77"/>
      <c r="BF201" s="77"/>
      <c r="BG201" s="77"/>
      <c r="BH201" s="77"/>
      <c r="BI201" s="77"/>
    </row>
    <row r="202" spans="1:61" x14ac:dyDescent="0.25">
      <c r="A202" s="62" t="s">
        <v>273</v>
      </c>
      <c r="B202" s="62" t="s">
        <v>273</v>
      </c>
      <c r="C202" s="63"/>
      <c r="D202" s="64"/>
      <c r="E202" s="65"/>
      <c r="F202" s="66"/>
      <c r="G202" s="63"/>
      <c r="H202" s="67"/>
      <c r="I202" s="68"/>
      <c r="J202" s="68"/>
      <c r="K202" s="32"/>
      <c r="L202" s="75">
        <v>202</v>
      </c>
      <c r="M202" s="75"/>
      <c r="N202" s="70"/>
      <c r="O202" s="77" t="s">
        <v>179</v>
      </c>
      <c r="P202" s="79">
        <v>45184.417199074072</v>
      </c>
      <c r="Q202" s="77" t="s">
        <v>1099</v>
      </c>
      <c r="R202" s="77">
        <v>0</v>
      </c>
      <c r="S202" s="77">
        <v>2</v>
      </c>
      <c r="T202" s="77">
        <v>0</v>
      </c>
      <c r="U202" s="77">
        <v>0</v>
      </c>
      <c r="V202" s="77">
        <v>150</v>
      </c>
      <c r="W202" s="82" t="s">
        <v>4910</v>
      </c>
      <c r="X202" s="77"/>
      <c r="Y202" s="77"/>
      <c r="Z202" s="77"/>
      <c r="AA202" s="77" t="s">
        <v>6745</v>
      </c>
      <c r="AB202" s="77" t="s">
        <v>7743</v>
      </c>
      <c r="AC202" s="82" t="s">
        <v>7750</v>
      </c>
      <c r="AD202" s="77" t="s">
        <v>7788</v>
      </c>
      <c r="AE202" s="80" t="str">
        <f>HYPERLINK("https://twitter.com/casal_trader/status/1702623483123896783")</f>
        <v>https://twitter.com/casal_trader/status/1702623483123896783</v>
      </c>
      <c r="AF202" s="79">
        <v>45184.417199074072</v>
      </c>
      <c r="AG202" s="85">
        <v>45184</v>
      </c>
      <c r="AH202" s="82" t="s">
        <v>7984</v>
      </c>
      <c r="AI202" s="77" t="b">
        <v>0</v>
      </c>
      <c r="AJ202" s="77"/>
      <c r="AK202" s="77"/>
      <c r="AL202" s="77"/>
      <c r="AM202" s="77"/>
      <c r="AN202" s="77"/>
      <c r="AO202" s="77"/>
      <c r="AP202" s="77"/>
      <c r="AQ202" s="77" t="s">
        <v>10717</v>
      </c>
      <c r="AR202" s="77">
        <v>111566</v>
      </c>
      <c r="AS202" s="77"/>
      <c r="AT202" s="77"/>
      <c r="AU202" s="77"/>
      <c r="AV202" s="80" t="str">
        <f>HYPERLINK("https://pbs.twimg.com/ext_tw_video_thumb/1702623103640014848/pu/img/17eotePo_rHe7nx9.jpg")</f>
        <v>https://pbs.twimg.com/ext_tw_video_thumb/1702623103640014848/pu/img/17eotePo_rHe7nx9.jpg</v>
      </c>
      <c r="AW202" s="82" t="s">
        <v>11912</v>
      </c>
      <c r="AX202" s="82" t="s">
        <v>11912</v>
      </c>
      <c r="AY202" s="77"/>
      <c r="AZ202" s="82" t="s">
        <v>15984</v>
      </c>
      <c r="BA202" s="82" t="s">
        <v>15984</v>
      </c>
      <c r="BB202" s="82" t="s">
        <v>15984</v>
      </c>
      <c r="BC202" s="82" t="s">
        <v>11912</v>
      </c>
      <c r="BD202" s="82" t="s">
        <v>16132</v>
      </c>
      <c r="BE202" s="77"/>
      <c r="BF202" s="77"/>
      <c r="BG202" s="77"/>
      <c r="BH202" s="77"/>
      <c r="BI202" s="77"/>
    </row>
    <row r="203" spans="1:61" x14ac:dyDescent="0.25">
      <c r="A203" s="62" t="s">
        <v>273</v>
      </c>
      <c r="B203" s="62" t="s">
        <v>273</v>
      </c>
      <c r="C203" s="63"/>
      <c r="D203" s="64"/>
      <c r="E203" s="65"/>
      <c r="F203" s="66"/>
      <c r="G203" s="63"/>
      <c r="H203" s="67"/>
      <c r="I203" s="68"/>
      <c r="J203" s="68"/>
      <c r="K203" s="32"/>
      <c r="L203" s="75">
        <v>203</v>
      </c>
      <c r="M203" s="75"/>
      <c r="N203" s="70"/>
      <c r="O203" s="77" t="s">
        <v>179</v>
      </c>
      <c r="P203" s="79">
        <v>45146.893148148149</v>
      </c>
      <c r="Q203" s="77" t="s">
        <v>1100</v>
      </c>
      <c r="R203" s="77">
        <v>0</v>
      </c>
      <c r="S203" s="77">
        <v>0</v>
      </c>
      <c r="T203" s="77">
        <v>0</v>
      </c>
      <c r="U203" s="77">
        <v>0</v>
      </c>
      <c r="V203" s="77">
        <v>8</v>
      </c>
      <c r="W203" s="82" t="s">
        <v>4922</v>
      </c>
      <c r="X203" s="77"/>
      <c r="Y203" s="77"/>
      <c r="Z203" s="77"/>
      <c r="AA203" s="77" t="s">
        <v>6746</v>
      </c>
      <c r="AB203" s="77" t="s">
        <v>7743</v>
      </c>
      <c r="AC203" s="82" t="s">
        <v>7752</v>
      </c>
      <c r="AD203" s="77" t="s">
        <v>7788</v>
      </c>
      <c r="AE203" s="80" t="str">
        <f>HYPERLINK("https://twitter.com/casal_trader/status/1689025224010862592")</f>
        <v>https://twitter.com/casal_trader/status/1689025224010862592</v>
      </c>
      <c r="AF203" s="79">
        <v>45146.893148148149</v>
      </c>
      <c r="AG203" s="85">
        <v>45146</v>
      </c>
      <c r="AH203" s="82" t="s">
        <v>7985</v>
      </c>
      <c r="AI203" s="77" t="b">
        <v>0</v>
      </c>
      <c r="AJ203" s="77"/>
      <c r="AK203" s="77"/>
      <c r="AL203" s="77"/>
      <c r="AM203" s="77"/>
      <c r="AN203" s="77"/>
      <c r="AO203" s="77"/>
      <c r="AP203" s="77"/>
      <c r="AQ203" s="77" t="s">
        <v>10718</v>
      </c>
      <c r="AR203" s="77">
        <v>74200</v>
      </c>
      <c r="AS203" s="77"/>
      <c r="AT203" s="77"/>
      <c r="AU203" s="77"/>
      <c r="AV203" s="80" t="str">
        <f>HYPERLINK("https://pbs.twimg.com/ext_tw_video_thumb/1689025091496038401/pu/img/bj2lZBKc4LfW2wZe.jpg")</f>
        <v>https://pbs.twimg.com/ext_tw_video_thumb/1689025091496038401/pu/img/bj2lZBKc4LfW2wZe.jpg</v>
      </c>
      <c r="AW203" s="82" t="s">
        <v>11913</v>
      </c>
      <c r="AX203" s="82" t="s">
        <v>11913</v>
      </c>
      <c r="AY203" s="77"/>
      <c r="AZ203" s="82" t="s">
        <v>15984</v>
      </c>
      <c r="BA203" s="82" t="s">
        <v>15984</v>
      </c>
      <c r="BB203" s="82" t="s">
        <v>15984</v>
      </c>
      <c r="BC203" s="82" t="s">
        <v>11913</v>
      </c>
      <c r="BD203" s="82" t="s">
        <v>16132</v>
      </c>
      <c r="BE203" s="77"/>
      <c r="BF203" s="77"/>
      <c r="BG203" s="77"/>
      <c r="BH203" s="77"/>
      <c r="BI203" s="77"/>
    </row>
    <row r="204" spans="1:61" x14ac:dyDescent="0.25">
      <c r="A204" s="62" t="s">
        <v>273</v>
      </c>
      <c r="B204" s="62" t="s">
        <v>273</v>
      </c>
      <c r="C204" s="63"/>
      <c r="D204" s="64"/>
      <c r="E204" s="65"/>
      <c r="F204" s="66"/>
      <c r="G204" s="63"/>
      <c r="H204" s="67"/>
      <c r="I204" s="68"/>
      <c r="J204" s="68"/>
      <c r="K204" s="32"/>
      <c r="L204" s="75">
        <v>204</v>
      </c>
      <c r="M204" s="75"/>
      <c r="N204" s="70"/>
      <c r="O204" s="77" t="s">
        <v>179</v>
      </c>
      <c r="P204" s="79">
        <v>45187.404861111114</v>
      </c>
      <c r="Q204" s="77" t="s">
        <v>1101</v>
      </c>
      <c r="R204" s="77">
        <v>0</v>
      </c>
      <c r="S204" s="77">
        <v>0</v>
      </c>
      <c r="T204" s="77">
        <v>0</v>
      </c>
      <c r="U204" s="77">
        <v>0</v>
      </c>
      <c r="V204" s="77">
        <v>124</v>
      </c>
      <c r="W204" s="82" t="s">
        <v>4910</v>
      </c>
      <c r="X204" s="77"/>
      <c r="Y204" s="77"/>
      <c r="Z204" s="77"/>
      <c r="AA204" s="77" t="s">
        <v>6747</v>
      </c>
      <c r="AB204" s="77" t="s">
        <v>7743</v>
      </c>
      <c r="AC204" s="82" t="s">
        <v>7750</v>
      </c>
      <c r="AD204" s="77" t="s">
        <v>7788</v>
      </c>
      <c r="AE204" s="80" t="str">
        <f>HYPERLINK("https://twitter.com/casal_trader/status/1703706178486759521")</f>
        <v>https://twitter.com/casal_trader/status/1703706178486759521</v>
      </c>
      <c r="AF204" s="79">
        <v>45187.404861111114</v>
      </c>
      <c r="AG204" s="85">
        <v>45187</v>
      </c>
      <c r="AH204" s="82" t="s">
        <v>7986</v>
      </c>
      <c r="AI204" s="77" t="b">
        <v>0</v>
      </c>
      <c r="AJ204" s="77"/>
      <c r="AK204" s="77"/>
      <c r="AL204" s="77"/>
      <c r="AM204" s="77"/>
      <c r="AN204" s="77"/>
      <c r="AO204" s="77"/>
      <c r="AP204" s="77"/>
      <c r="AQ204" s="77" t="s">
        <v>10719</v>
      </c>
      <c r="AR204" s="77">
        <v>73072</v>
      </c>
      <c r="AS204" s="77"/>
      <c r="AT204" s="77"/>
      <c r="AU204" s="77"/>
      <c r="AV204" s="80" t="str">
        <f>HYPERLINK("https://pbs.twimg.com/ext_tw_video_thumb/1703706036731838464/pu/img/sHAqx0tBREqN48in.jpg")</f>
        <v>https://pbs.twimg.com/ext_tw_video_thumb/1703706036731838464/pu/img/sHAqx0tBREqN48in.jpg</v>
      </c>
      <c r="AW204" s="82" t="s">
        <v>11914</v>
      </c>
      <c r="AX204" s="82" t="s">
        <v>11914</v>
      </c>
      <c r="AY204" s="77"/>
      <c r="AZ204" s="82" t="s">
        <v>15984</v>
      </c>
      <c r="BA204" s="82" t="s">
        <v>15984</v>
      </c>
      <c r="BB204" s="82" t="s">
        <v>15984</v>
      </c>
      <c r="BC204" s="82" t="s">
        <v>11914</v>
      </c>
      <c r="BD204" s="82" t="s">
        <v>16132</v>
      </c>
      <c r="BE204" s="77"/>
      <c r="BF204" s="77"/>
      <c r="BG204" s="77"/>
      <c r="BH204" s="77"/>
      <c r="BI204" s="77"/>
    </row>
    <row r="205" spans="1:61" x14ac:dyDescent="0.25">
      <c r="A205" s="62" t="s">
        <v>273</v>
      </c>
      <c r="B205" s="62" t="s">
        <v>273</v>
      </c>
      <c r="C205" s="63"/>
      <c r="D205" s="64"/>
      <c r="E205" s="65"/>
      <c r="F205" s="66"/>
      <c r="G205" s="63"/>
      <c r="H205" s="67"/>
      <c r="I205" s="68"/>
      <c r="J205" s="68"/>
      <c r="K205" s="32"/>
      <c r="L205" s="75">
        <v>205</v>
      </c>
      <c r="M205" s="75"/>
      <c r="N205" s="70"/>
      <c r="O205" s="77" t="s">
        <v>179</v>
      </c>
      <c r="P205" s="79">
        <v>45181.461643518516</v>
      </c>
      <c r="Q205" s="77" t="s">
        <v>1102</v>
      </c>
      <c r="R205" s="77">
        <v>0</v>
      </c>
      <c r="S205" s="77">
        <v>0</v>
      </c>
      <c r="T205" s="77">
        <v>0</v>
      </c>
      <c r="U205" s="77">
        <v>0</v>
      </c>
      <c r="V205" s="77">
        <v>41</v>
      </c>
      <c r="W205" s="82" t="s">
        <v>4910</v>
      </c>
      <c r="X205" s="77"/>
      <c r="Y205" s="77"/>
      <c r="Z205" s="77"/>
      <c r="AA205" s="77" t="s">
        <v>6748</v>
      </c>
      <c r="AB205" s="77" t="s">
        <v>7743</v>
      </c>
      <c r="AC205" s="82" t="s">
        <v>7750</v>
      </c>
      <c r="AD205" s="77" t="s">
        <v>7788</v>
      </c>
      <c r="AE205" s="80" t="str">
        <f>HYPERLINK("https://twitter.com/casal_trader/status/1701552427348996403")</f>
        <v>https://twitter.com/casal_trader/status/1701552427348996403</v>
      </c>
      <c r="AF205" s="79">
        <v>45181.461643518516</v>
      </c>
      <c r="AG205" s="85">
        <v>45181</v>
      </c>
      <c r="AH205" s="82" t="s">
        <v>7987</v>
      </c>
      <c r="AI205" s="77" t="b">
        <v>0</v>
      </c>
      <c r="AJ205" s="77"/>
      <c r="AK205" s="77"/>
      <c r="AL205" s="77"/>
      <c r="AM205" s="77"/>
      <c r="AN205" s="77"/>
      <c r="AO205" s="77"/>
      <c r="AP205" s="77"/>
      <c r="AQ205" s="77" t="s">
        <v>10720</v>
      </c>
      <c r="AR205" s="77">
        <v>89071</v>
      </c>
      <c r="AS205" s="77"/>
      <c r="AT205" s="77"/>
      <c r="AU205" s="77"/>
      <c r="AV205" s="80" t="str">
        <f>HYPERLINK("https://pbs.twimg.com/ext_tw_video_thumb/1701535361787162624/pu/img/NgZ_6EVr5Lw5Rj7a.jpg")</f>
        <v>https://pbs.twimg.com/ext_tw_video_thumb/1701535361787162624/pu/img/NgZ_6EVr5Lw5Rj7a.jpg</v>
      </c>
      <c r="AW205" s="82" t="s">
        <v>11915</v>
      </c>
      <c r="AX205" s="82" t="s">
        <v>11915</v>
      </c>
      <c r="AY205" s="77"/>
      <c r="AZ205" s="82" t="s">
        <v>15984</v>
      </c>
      <c r="BA205" s="82" t="s">
        <v>15984</v>
      </c>
      <c r="BB205" s="82" t="s">
        <v>15984</v>
      </c>
      <c r="BC205" s="82" t="s">
        <v>11915</v>
      </c>
      <c r="BD205" s="82" t="s">
        <v>16132</v>
      </c>
      <c r="BE205" s="77"/>
      <c r="BF205" s="77"/>
      <c r="BG205" s="77"/>
      <c r="BH205" s="77"/>
      <c r="BI205" s="77"/>
    </row>
    <row r="206" spans="1:61" x14ac:dyDescent="0.25">
      <c r="A206" s="62" t="s">
        <v>273</v>
      </c>
      <c r="B206" s="62" t="s">
        <v>273</v>
      </c>
      <c r="C206" s="63"/>
      <c r="D206" s="64"/>
      <c r="E206" s="65"/>
      <c r="F206" s="66"/>
      <c r="G206" s="63"/>
      <c r="H206" s="67"/>
      <c r="I206" s="68"/>
      <c r="J206" s="68"/>
      <c r="K206" s="32"/>
      <c r="L206" s="75">
        <v>206</v>
      </c>
      <c r="M206" s="75"/>
      <c r="N206" s="70"/>
      <c r="O206" s="77" t="s">
        <v>179</v>
      </c>
      <c r="P206" s="79">
        <v>45154.96298611111</v>
      </c>
      <c r="Q206" s="77" t="s">
        <v>1103</v>
      </c>
      <c r="R206" s="77">
        <v>0</v>
      </c>
      <c r="S206" s="77">
        <v>0</v>
      </c>
      <c r="T206" s="77">
        <v>0</v>
      </c>
      <c r="U206" s="77">
        <v>0</v>
      </c>
      <c r="V206" s="77">
        <v>13</v>
      </c>
      <c r="W206" s="82" t="s">
        <v>4923</v>
      </c>
      <c r="X206" s="77"/>
      <c r="Y206" s="77"/>
      <c r="Z206" s="77"/>
      <c r="AA206" s="77" t="s">
        <v>6749</v>
      </c>
      <c r="AB206" s="77" t="s">
        <v>7743</v>
      </c>
      <c r="AC206" s="82" t="s">
        <v>7752</v>
      </c>
      <c r="AD206" s="77" t="s">
        <v>7788</v>
      </c>
      <c r="AE206" s="80" t="str">
        <f>HYPERLINK("https://twitter.com/casal_trader/status/1691949634350915836")</f>
        <v>https://twitter.com/casal_trader/status/1691949634350915836</v>
      </c>
      <c r="AF206" s="79">
        <v>45154.96298611111</v>
      </c>
      <c r="AG206" s="85">
        <v>45154</v>
      </c>
      <c r="AH206" s="82" t="s">
        <v>7988</v>
      </c>
      <c r="AI206" s="77" t="b">
        <v>0</v>
      </c>
      <c r="AJ206" s="77"/>
      <c r="AK206" s="77"/>
      <c r="AL206" s="77"/>
      <c r="AM206" s="77"/>
      <c r="AN206" s="77"/>
      <c r="AO206" s="77"/>
      <c r="AP206" s="77"/>
      <c r="AQ206" s="77" t="s">
        <v>10721</v>
      </c>
      <c r="AR206" s="77">
        <v>20966</v>
      </c>
      <c r="AS206" s="77"/>
      <c r="AT206" s="77"/>
      <c r="AU206" s="77"/>
      <c r="AV206" s="80" t="str">
        <f>HYPERLINK("https://pbs.twimg.com/ext_tw_video_thumb/1691949563043553280/pu/img/BWFLqaNHCMn3T928.jpg")</f>
        <v>https://pbs.twimg.com/ext_tw_video_thumb/1691949563043553280/pu/img/BWFLqaNHCMn3T928.jpg</v>
      </c>
      <c r="AW206" s="82" t="s">
        <v>11916</v>
      </c>
      <c r="AX206" s="82" t="s">
        <v>11916</v>
      </c>
      <c r="AY206" s="77"/>
      <c r="AZ206" s="82" t="s">
        <v>15984</v>
      </c>
      <c r="BA206" s="82" t="s">
        <v>15984</v>
      </c>
      <c r="BB206" s="82" t="s">
        <v>15984</v>
      </c>
      <c r="BC206" s="82" t="s">
        <v>11916</v>
      </c>
      <c r="BD206" s="82" t="s">
        <v>16132</v>
      </c>
      <c r="BE206" s="77"/>
      <c r="BF206" s="77"/>
      <c r="BG206" s="77"/>
      <c r="BH206" s="77"/>
      <c r="BI206" s="77"/>
    </row>
    <row r="207" spans="1:61" x14ac:dyDescent="0.25">
      <c r="A207" s="62" t="s">
        <v>273</v>
      </c>
      <c r="B207" s="62" t="s">
        <v>273</v>
      </c>
      <c r="C207" s="63"/>
      <c r="D207" s="64"/>
      <c r="E207" s="65"/>
      <c r="F207" s="66"/>
      <c r="G207" s="63"/>
      <c r="H207" s="67"/>
      <c r="I207" s="68"/>
      <c r="J207" s="68"/>
      <c r="K207" s="32"/>
      <c r="L207" s="75">
        <v>207</v>
      </c>
      <c r="M207" s="75"/>
      <c r="N207" s="70"/>
      <c r="O207" s="77" t="s">
        <v>179</v>
      </c>
      <c r="P207" s="79">
        <v>45188.395567129628</v>
      </c>
      <c r="Q207" s="77" t="s">
        <v>1104</v>
      </c>
      <c r="R207" s="77">
        <v>0</v>
      </c>
      <c r="S207" s="77">
        <v>0</v>
      </c>
      <c r="T207" s="77">
        <v>0</v>
      </c>
      <c r="U207" s="77">
        <v>0</v>
      </c>
      <c r="V207" s="77">
        <v>56</v>
      </c>
      <c r="W207" s="82" t="s">
        <v>4910</v>
      </c>
      <c r="X207" s="77"/>
      <c r="Y207" s="77"/>
      <c r="Z207" s="77"/>
      <c r="AA207" s="77" t="s">
        <v>6750</v>
      </c>
      <c r="AB207" s="77" t="s">
        <v>7743</v>
      </c>
      <c r="AC207" s="82" t="s">
        <v>7750</v>
      </c>
      <c r="AD207" s="77" t="s">
        <v>7788</v>
      </c>
      <c r="AE207" s="80" t="str">
        <f>HYPERLINK("https://twitter.com/casal_trader/status/1704065196946272315")</f>
        <v>https://twitter.com/casal_trader/status/1704065196946272315</v>
      </c>
      <c r="AF207" s="79">
        <v>45188.395567129628</v>
      </c>
      <c r="AG207" s="85">
        <v>45188</v>
      </c>
      <c r="AH207" s="82" t="s">
        <v>7989</v>
      </c>
      <c r="AI207" s="77" t="b">
        <v>0</v>
      </c>
      <c r="AJ207" s="77"/>
      <c r="AK207" s="77"/>
      <c r="AL207" s="77"/>
      <c r="AM207" s="77"/>
      <c r="AN207" s="77"/>
      <c r="AO207" s="77"/>
      <c r="AP207" s="77"/>
      <c r="AQ207" s="77" t="s">
        <v>10722</v>
      </c>
      <c r="AR207" s="77">
        <v>75580</v>
      </c>
      <c r="AS207" s="77"/>
      <c r="AT207" s="77"/>
      <c r="AU207" s="77"/>
      <c r="AV207" s="80" t="str">
        <f>HYPERLINK("https://pbs.twimg.com/ext_tw_video_thumb/1704064859233464320/pu/img/fyFEPrYZiyRlvhtd.jpg")</f>
        <v>https://pbs.twimg.com/ext_tw_video_thumb/1704064859233464320/pu/img/fyFEPrYZiyRlvhtd.jpg</v>
      </c>
      <c r="AW207" s="82" t="s">
        <v>11917</v>
      </c>
      <c r="AX207" s="82" t="s">
        <v>11917</v>
      </c>
      <c r="AY207" s="77"/>
      <c r="AZ207" s="82" t="s">
        <v>15984</v>
      </c>
      <c r="BA207" s="82" t="s">
        <v>15984</v>
      </c>
      <c r="BB207" s="82" t="s">
        <v>15984</v>
      </c>
      <c r="BC207" s="82" t="s">
        <v>11917</v>
      </c>
      <c r="BD207" s="82" t="s">
        <v>16132</v>
      </c>
      <c r="BE207" s="77"/>
      <c r="BF207" s="77"/>
      <c r="BG207" s="77"/>
      <c r="BH207" s="77"/>
      <c r="BI207" s="77"/>
    </row>
    <row r="208" spans="1:61" x14ac:dyDescent="0.25">
      <c r="A208" s="62" t="s">
        <v>273</v>
      </c>
      <c r="B208" s="62" t="s">
        <v>273</v>
      </c>
      <c r="C208" s="63"/>
      <c r="D208" s="64"/>
      <c r="E208" s="65"/>
      <c r="F208" s="66"/>
      <c r="G208" s="63"/>
      <c r="H208" s="67"/>
      <c r="I208" s="68"/>
      <c r="J208" s="68"/>
      <c r="K208" s="32"/>
      <c r="L208" s="75">
        <v>208</v>
      </c>
      <c r="M208" s="75"/>
      <c r="N208" s="70"/>
      <c r="O208" s="77" t="s">
        <v>179</v>
      </c>
      <c r="P208" s="79">
        <v>45196.878935185188</v>
      </c>
      <c r="Q208" s="77" t="s">
        <v>1105</v>
      </c>
      <c r="R208" s="77">
        <v>0</v>
      </c>
      <c r="S208" s="77">
        <v>0</v>
      </c>
      <c r="T208" s="77">
        <v>0</v>
      </c>
      <c r="U208" s="77">
        <v>0</v>
      </c>
      <c r="V208" s="77">
        <v>20</v>
      </c>
      <c r="W208" s="82" t="s">
        <v>4924</v>
      </c>
      <c r="X208" s="77"/>
      <c r="Y208" s="77"/>
      <c r="Z208" s="77"/>
      <c r="AA208" s="77" t="s">
        <v>6751</v>
      </c>
      <c r="AB208" s="77" t="s">
        <v>7743</v>
      </c>
      <c r="AC208" s="82" t="s">
        <v>7750</v>
      </c>
      <c r="AD208" s="77" t="s">
        <v>7788</v>
      </c>
      <c r="AE208" s="80" t="str">
        <f>HYPERLINK("https://twitter.com/casal_trader/status/1707139467428147344")</f>
        <v>https://twitter.com/casal_trader/status/1707139467428147344</v>
      </c>
      <c r="AF208" s="79">
        <v>45196.878935185188</v>
      </c>
      <c r="AG208" s="85">
        <v>45196</v>
      </c>
      <c r="AH208" s="82" t="s">
        <v>7990</v>
      </c>
      <c r="AI208" s="77" t="b">
        <v>0</v>
      </c>
      <c r="AJ208" s="77"/>
      <c r="AK208" s="77"/>
      <c r="AL208" s="77"/>
      <c r="AM208" s="77"/>
      <c r="AN208" s="77"/>
      <c r="AO208" s="77"/>
      <c r="AP208" s="77"/>
      <c r="AQ208" s="77" t="s">
        <v>10723</v>
      </c>
      <c r="AR208" s="77">
        <v>90566</v>
      </c>
      <c r="AS208" s="77"/>
      <c r="AT208" s="77"/>
      <c r="AU208" s="77"/>
      <c r="AV208" s="80" t="str">
        <f>HYPERLINK("https://pbs.twimg.com/ext_tw_video_thumb/1707139205615202304/pu/img/rH6tO_wpH2IMRpbx.jpg")</f>
        <v>https://pbs.twimg.com/ext_tw_video_thumb/1707139205615202304/pu/img/rH6tO_wpH2IMRpbx.jpg</v>
      </c>
      <c r="AW208" s="82" t="s">
        <v>11918</v>
      </c>
      <c r="AX208" s="82" t="s">
        <v>11918</v>
      </c>
      <c r="AY208" s="77"/>
      <c r="AZ208" s="82" t="s">
        <v>15984</v>
      </c>
      <c r="BA208" s="82" t="s">
        <v>15984</v>
      </c>
      <c r="BB208" s="82" t="s">
        <v>15984</v>
      </c>
      <c r="BC208" s="82" t="s">
        <v>11918</v>
      </c>
      <c r="BD208" s="82" t="s">
        <v>16132</v>
      </c>
      <c r="BE208" s="77"/>
      <c r="BF208" s="77"/>
      <c r="BG208" s="77"/>
      <c r="BH208" s="77"/>
      <c r="BI208" s="77"/>
    </row>
    <row r="209" spans="1:61" x14ac:dyDescent="0.25">
      <c r="A209" s="62" t="s">
        <v>273</v>
      </c>
      <c r="B209" s="62" t="s">
        <v>273</v>
      </c>
      <c r="C209" s="63"/>
      <c r="D209" s="64"/>
      <c r="E209" s="65"/>
      <c r="F209" s="66"/>
      <c r="G209" s="63"/>
      <c r="H209" s="67"/>
      <c r="I209" s="68"/>
      <c r="J209" s="68"/>
      <c r="K209" s="32"/>
      <c r="L209" s="75">
        <v>209</v>
      </c>
      <c r="M209" s="75"/>
      <c r="N209" s="70"/>
      <c r="O209" s="77" t="s">
        <v>179</v>
      </c>
      <c r="P209" s="79">
        <v>45193.758877314816</v>
      </c>
      <c r="Q209" s="77" t="s">
        <v>1106</v>
      </c>
      <c r="R209" s="77">
        <v>0</v>
      </c>
      <c r="S209" s="77">
        <v>0</v>
      </c>
      <c r="T209" s="77">
        <v>0</v>
      </c>
      <c r="U209" s="77">
        <v>0</v>
      </c>
      <c r="V209" s="77">
        <v>22</v>
      </c>
      <c r="W209" s="82" t="s">
        <v>4925</v>
      </c>
      <c r="X209" s="77"/>
      <c r="Y209" s="77"/>
      <c r="Z209" s="77"/>
      <c r="AA209" s="77" t="s">
        <v>6752</v>
      </c>
      <c r="AB209" s="77" t="s">
        <v>7743</v>
      </c>
      <c r="AC209" s="82" t="s">
        <v>7750</v>
      </c>
      <c r="AD209" s="77" t="s">
        <v>7788</v>
      </c>
      <c r="AE209" s="80" t="str">
        <f>HYPERLINK("https://twitter.com/casal_trader/status/1706008796617670734")</f>
        <v>https://twitter.com/casal_trader/status/1706008796617670734</v>
      </c>
      <c r="AF209" s="79">
        <v>45193.758877314816</v>
      </c>
      <c r="AG209" s="85">
        <v>45193</v>
      </c>
      <c r="AH209" s="82" t="s">
        <v>7991</v>
      </c>
      <c r="AI209" s="77" t="b">
        <v>0</v>
      </c>
      <c r="AJ209" s="77"/>
      <c r="AK209" s="77"/>
      <c r="AL209" s="77"/>
      <c r="AM209" s="77"/>
      <c r="AN209" s="77"/>
      <c r="AO209" s="77"/>
      <c r="AP209" s="77"/>
      <c r="AQ209" s="77" t="s">
        <v>10724</v>
      </c>
      <c r="AR209" s="77">
        <v>42910</v>
      </c>
      <c r="AS209" s="77"/>
      <c r="AT209" s="77"/>
      <c r="AU209" s="77"/>
      <c r="AV209" s="80" t="str">
        <f>HYPERLINK("https://pbs.twimg.com/ext_tw_video_thumb/1706008486490873856/pu/img/-qJomMRwAtWWbSCF.jpg")</f>
        <v>https://pbs.twimg.com/ext_tw_video_thumb/1706008486490873856/pu/img/-qJomMRwAtWWbSCF.jpg</v>
      </c>
      <c r="AW209" s="82" t="s">
        <v>11919</v>
      </c>
      <c r="AX209" s="82" t="s">
        <v>11919</v>
      </c>
      <c r="AY209" s="77"/>
      <c r="AZ209" s="82" t="s">
        <v>15984</v>
      </c>
      <c r="BA209" s="82" t="s">
        <v>15984</v>
      </c>
      <c r="BB209" s="82" t="s">
        <v>15984</v>
      </c>
      <c r="BC209" s="82" t="s">
        <v>11919</v>
      </c>
      <c r="BD209" s="82" t="s">
        <v>16132</v>
      </c>
      <c r="BE209" s="77"/>
      <c r="BF209" s="77"/>
      <c r="BG209" s="77"/>
      <c r="BH209" s="77"/>
      <c r="BI209" s="77"/>
    </row>
    <row r="210" spans="1:61" x14ac:dyDescent="0.25">
      <c r="A210" s="62" t="s">
        <v>273</v>
      </c>
      <c r="B210" s="62" t="s">
        <v>273</v>
      </c>
      <c r="C210" s="63"/>
      <c r="D210" s="64"/>
      <c r="E210" s="65"/>
      <c r="F210" s="66"/>
      <c r="G210" s="63"/>
      <c r="H210" s="67"/>
      <c r="I210" s="68"/>
      <c r="J210" s="68"/>
      <c r="K210" s="32"/>
      <c r="L210" s="75">
        <v>210</v>
      </c>
      <c r="M210" s="75"/>
      <c r="N210" s="70"/>
      <c r="O210" s="77" t="s">
        <v>179</v>
      </c>
      <c r="P210" s="79">
        <v>45189.399930555555</v>
      </c>
      <c r="Q210" s="77" t="s">
        <v>1107</v>
      </c>
      <c r="R210" s="77">
        <v>0</v>
      </c>
      <c r="S210" s="77">
        <v>0</v>
      </c>
      <c r="T210" s="77">
        <v>0</v>
      </c>
      <c r="U210" s="77">
        <v>0</v>
      </c>
      <c r="V210" s="77">
        <v>87</v>
      </c>
      <c r="W210" s="82" t="s">
        <v>4910</v>
      </c>
      <c r="X210" s="77"/>
      <c r="Y210" s="77"/>
      <c r="Z210" s="77"/>
      <c r="AA210" s="77" t="s">
        <v>6753</v>
      </c>
      <c r="AB210" s="77" t="s">
        <v>7743</v>
      </c>
      <c r="AC210" s="82" t="s">
        <v>7750</v>
      </c>
      <c r="AD210" s="77" t="s">
        <v>7788</v>
      </c>
      <c r="AE210" s="80" t="str">
        <f>HYPERLINK("https://twitter.com/casal_trader/status/1704429166186074327")</f>
        <v>https://twitter.com/casal_trader/status/1704429166186074327</v>
      </c>
      <c r="AF210" s="79">
        <v>45189.399930555555</v>
      </c>
      <c r="AG210" s="85">
        <v>45189</v>
      </c>
      <c r="AH210" s="82" t="s">
        <v>7992</v>
      </c>
      <c r="AI210" s="77" t="b">
        <v>0</v>
      </c>
      <c r="AJ210" s="77"/>
      <c r="AK210" s="77"/>
      <c r="AL210" s="77"/>
      <c r="AM210" s="77"/>
      <c r="AN210" s="77"/>
      <c r="AO210" s="77"/>
      <c r="AP210" s="77"/>
      <c r="AQ210" s="77" t="s">
        <v>10725</v>
      </c>
      <c r="AR210" s="77">
        <v>84403</v>
      </c>
      <c r="AS210" s="77"/>
      <c r="AT210" s="77"/>
      <c r="AU210" s="77"/>
      <c r="AV210" s="80" t="str">
        <f>HYPERLINK("https://pbs.twimg.com/ext_tw_video_thumb/1704428849566560256/pu/img/z5flDySS_eYvY2k3.jpg")</f>
        <v>https://pbs.twimg.com/ext_tw_video_thumb/1704428849566560256/pu/img/z5flDySS_eYvY2k3.jpg</v>
      </c>
      <c r="AW210" s="82" t="s">
        <v>11920</v>
      </c>
      <c r="AX210" s="82" t="s">
        <v>11920</v>
      </c>
      <c r="AY210" s="77"/>
      <c r="AZ210" s="82" t="s">
        <v>15984</v>
      </c>
      <c r="BA210" s="82" t="s">
        <v>15984</v>
      </c>
      <c r="BB210" s="82" t="s">
        <v>15984</v>
      </c>
      <c r="BC210" s="82" t="s">
        <v>11920</v>
      </c>
      <c r="BD210" s="82" t="s">
        <v>16132</v>
      </c>
      <c r="BE210" s="77"/>
      <c r="BF210" s="77"/>
      <c r="BG210" s="77"/>
      <c r="BH210" s="77"/>
      <c r="BI210" s="77"/>
    </row>
    <row r="211" spans="1:61" x14ac:dyDescent="0.25">
      <c r="A211" s="62" t="s">
        <v>273</v>
      </c>
      <c r="B211" s="62" t="s">
        <v>273</v>
      </c>
      <c r="C211" s="63"/>
      <c r="D211" s="64"/>
      <c r="E211" s="65"/>
      <c r="F211" s="66"/>
      <c r="G211" s="63"/>
      <c r="H211" s="67"/>
      <c r="I211" s="68"/>
      <c r="J211" s="68"/>
      <c r="K211" s="32"/>
      <c r="L211" s="75">
        <v>211</v>
      </c>
      <c r="M211" s="75"/>
      <c r="N211" s="70"/>
      <c r="O211" s="77" t="s">
        <v>179</v>
      </c>
      <c r="P211" s="79">
        <v>45170.90730324074</v>
      </c>
      <c r="Q211" s="77" t="s">
        <v>1108</v>
      </c>
      <c r="R211" s="77">
        <v>0</v>
      </c>
      <c r="S211" s="77">
        <v>0</v>
      </c>
      <c r="T211" s="77">
        <v>0</v>
      </c>
      <c r="U211" s="77">
        <v>0</v>
      </c>
      <c r="V211" s="77">
        <v>59</v>
      </c>
      <c r="W211" s="82" t="s">
        <v>4926</v>
      </c>
      <c r="X211" s="77"/>
      <c r="Y211" s="77"/>
      <c r="Z211" s="77"/>
      <c r="AA211" s="77" t="s">
        <v>6754</v>
      </c>
      <c r="AB211" s="77" t="s">
        <v>7743</v>
      </c>
      <c r="AC211" s="82" t="s">
        <v>7752</v>
      </c>
      <c r="AD211" s="77" t="s">
        <v>7788</v>
      </c>
      <c r="AE211" s="80" t="str">
        <f>HYPERLINK("https://twitter.com/casal_trader/status/1697727662792262081")</f>
        <v>https://twitter.com/casal_trader/status/1697727662792262081</v>
      </c>
      <c r="AF211" s="79">
        <v>45170.90730324074</v>
      </c>
      <c r="AG211" s="85">
        <v>45170</v>
      </c>
      <c r="AH211" s="82" t="s">
        <v>7993</v>
      </c>
      <c r="AI211" s="77" t="b">
        <v>0</v>
      </c>
      <c r="AJ211" s="77"/>
      <c r="AK211" s="77"/>
      <c r="AL211" s="77"/>
      <c r="AM211" s="77"/>
      <c r="AN211" s="77"/>
      <c r="AO211" s="77"/>
      <c r="AP211" s="77"/>
      <c r="AQ211" s="77" t="s">
        <v>10726</v>
      </c>
      <c r="AR211" s="77">
        <v>73166</v>
      </c>
      <c r="AS211" s="77"/>
      <c r="AT211" s="77"/>
      <c r="AU211" s="77"/>
      <c r="AV211" s="80" t="str">
        <f>HYPERLINK("https://pbs.twimg.com/ext_tw_video_thumb/1697727542419963904/pu/img/mpGpK7kXIv3fCTT7.jpg")</f>
        <v>https://pbs.twimg.com/ext_tw_video_thumb/1697727542419963904/pu/img/mpGpK7kXIv3fCTT7.jpg</v>
      </c>
      <c r="AW211" s="82" t="s">
        <v>11921</v>
      </c>
      <c r="AX211" s="82" t="s">
        <v>11921</v>
      </c>
      <c r="AY211" s="77"/>
      <c r="AZ211" s="82" t="s">
        <v>15984</v>
      </c>
      <c r="BA211" s="82" t="s">
        <v>15984</v>
      </c>
      <c r="BB211" s="82" t="s">
        <v>15984</v>
      </c>
      <c r="BC211" s="82" t="s">
        <v>11921</v>
      </c>
      <c r="BD211" s="82" t="s">
        <v>16132</v>
      </c>
      <c r="BE211" s="77"/>
      <c r="BF211" s="77"/>
      <c r="BG211" s="77"/>
      <c r="BH211" s="77"/>
      <c r="BI211" s="77"/>
    </row>
    <row r="212" spans="1:61" x14ac:dyDescent="0.25">
      <c r="A212" s="62" t="s">
        <v>274</v>
      </c>
      <c r="B212" s="62" t="s">
        <v>274</v>
      </c>
      <c r="C212" s="63"/>
      <c r="D212" s="64"/>
      <c r="E212" s="65"/>
      <c r="F212" s="66"/>
      <c r="G212" s="63"/>
      <c r="H212" s="67"/>
      <c r="I212" s="68"/>
      <c r="J212" s="68"/>
      <c r="K212" s="32"/>
      <c r="L212" s="75">
        <v>212</v>
      </c>
      <c r="M212" s="75"/>
      <c r="N212" s="70"/>
      <c r="O212" s="77" t="s">
        <v>179</v>
      </c>
      <c r="P212" s="79">
        <v>45128.781678240739</v>
      </c>
      <c r="Q212" s="77" t="s">
        <v>1109</v>
      </c>
      <c r="R212" s="77">
        <v>1</v>
      </c>
      <c r="S212" s="77">
        <v>1</v>
      </c>
      <c r="T212" s="77">
        <v>0</v>
      </c>
      <c r="U212" s="77">
        <v>0</v>
      </c>
      <c r="V212" s="77">
        <v>12</v>
      </c>
      <c r="W212" s="82" t="s">
        <v>4927</v>
      </c>
      <c r="X212" s="77"/>
      <c r="Y212" s="77"/>
      <c r="Z212" s="77"/>
      <c r="AA212" s="77" t="s">
        <v>6755</v>
      </c>
      <c r="AB212" s="77" t="s">
        <v>7742</v>
      </c>
      <c r="AC212" s="82" t="s">
        <v>7751</v>
      </c>
      <c r="AD212" s="77" t="s">
        <v>7788</v>
      </c>
      <c r="AE212" s="80" t="str">
        <f>HYPERLINK("https://twitter.com/mendyaisha43014/status/1682461848149401601")</f>
        <v>https://twitter.com/mendyaisha43014/status/1682461848149401601</v>
      </c>
      <c r="AF212" s="79">
        <v>45128.781678240739</v>
      </c>
      <c r="AG212" s="85">
        <v>45128</v>
      </c>
      <c r="AH212" s="82" t="s">
        <v>7994</v>
      </c>
      <c r="AI212" s="77" t="b">
        <v>0</v>
      </c>
      <c r="AJ212" s="77"/>
      <c r="AK212" s="77"/>
      <c r="AL212" s="77"/>
      <c r="AM212" s="77"/>
      <c r="AN212" s="77"/>
      <c r="AO212" s="77"/>
      <c r="AP212" s="77"/>
      <c r="AQ212" s="77" t="s">
        <v>10727</v>
      </c>
      <c r="AR212" s="77"/>
      <c r="AS212" s="77"/>
      <c r="AT212" s="77"/>
      <c r="AU212" s="77"/>
      <c r="AV212" s="80" t="str">
        <f>HYPERLINK("https://pbs.twimg.com/media/F1lOIYRWIAA4P1z.jpg")</f>
        <v>https://pbs.twimg.com/media/F1lOIYRWIAA4P1z.jpg</v>
      </c>
      <c r="AW212" s="82" t="s">
        <v>11922</v>
      </c>
      <c r="AX212" s="82" t="s">
        <v>11922</v>
      </c>
      <c r="AY212" s="77"/>
      <c r="AZ212" s="82" t="s">
        <v>15984</v>
      </c>
      <c r="BA212" s="82" t="s">
        <v>15984</v>
      </c>
      <c r="BB212" s="82" t="s">
        <v>15984</v>
      </c>
      <c r="BC212" s="82" t="s">
        <v>11922</v>
      </c>
      <c r="BD212" s="82" t="s">
        <v>16133</v>
      </c>
      <c r="BE212" s="77"/>
      <c r="BF212" s="77"/>
      <c r="BG212" s="77"/>
      <c r="BH212" s="77"/>
      <c r="BI212" s="77"/>
    </row>
    <row r="213" spans="1:61" x14ac:dyDescent="0.25">
      <c r="A213" s="62" t="s">
        <v>274</v>
      </c>
      <c r="B213" s="62" t="s">
        <v>274</v>
      </c>
      <c r="C213" s="63"/>
      <c r="D213" s="64"/>
      <c r="E213" s="65"/>
      <c r="F213" s="66"/>
      <c r="G213" s="63"/>
      <c r="H213" s="67"/>
      <c r="I213" s="68"/>
      <c r="J213" s="68"/>
      <c r="K213" s="32"/>
      <c r="L213" s="75">
        <v>213</v>
      </c>
      <c r="M213" s="75"/>
      <c r="N213" s="70"/>
      <c r="O213" s="77" t="s">
        <v>179</v>
      </c>
      <c r="P213" s="79">
        <v>45128.781412037039</v>
      </c>
      <c r="Q213" s="77" t="s">
        <v>1110</v>
      </c>
      <c r="R213" s="77">
        <v>1</v>
      </c>
      <c r="S213" s="77">
        <v>1</v>
      </c>
      <c r="T213" s="77">
        <v>0</v>
      </c>
      <c r="U213" s="77">
        <v>0</v>
      </c>
      <c r="V213" s="77">
        <v>21</v>
      </c>
      <c r="W213" s="82" t="s">
        <v>4928</v>
      </c>
      <c r="X213" s="77"/>
      <c r="Y213" s="77"/>
      <c r="Z213" s="77"/>
      <c r="AA213" s="77" t="s">
        <v>6756</v>
      </c>
      <c r="AB213" s="77" t="s">
        <v>7742</v>
      </c>
      <c r="AC213" s="82" t="s">
        <v>7751</v>
      </c>
      <c r="AD213" s="77" t="s">
        <v>7788</v>
      </c>
      <c r="AE213" s="80" t="str">
        <f>HYPERLINK("https://twitter.com/mendyaisha43014/status/1682461751298740226")</f>
        <v>https://twitter.com/mendyaisha43014/status/1682461751298740226</v>
      </c>
      <c r="AF213" s="79">
        <v>45128.781412037039</v>
      </c>
      <c r="AG213" s="85">
        <v>45128</v>
      </c>
      <c r="AH213" s="82" t="s">
        <v>7995</v>
      </c>
      <c r="AI213" s="77" t="b">
        <v>0</v>
      </c>
      <c r="AJ213" s="77"/>
      <c r="AK213" s="77"/>
      <c r="AL213" s="77"/>
      <c r="AM213" s="77"/>
      <c r="AN213" s="77"/>
      <c r="AO213" s="77"/>
      <c r="AP213" s="77"/>
      <c r="AQ213" s="77" t="s">
        <v>10728</v>
      </c>
      <c r="AR213" s="77"/>
      <c r="AS213" s="77"/>
      <c r="AT213" s="77"/>
      <c r="AU213" s="77"/>
      <c r="AV213" s="80" t="str">
        <f>HYPERLINK("https://pbs.twimg.com/media/F1lOCwrWYAAecXr.jpg")</f>
        <v>https://pbs.twimg.com/media/F1lOCwrWYAAecXr.jpg</v>
      </c>
      <c r="AW213" s="82" t="s">
        <v>11923</v>
      </c>
      <c r="AX213" s="82" t="s">
        <v>11923</v>
      </c>
      <c r="AY213" s="77"/>
      <c r="AZ213" s="82" t="s">
        <v>15984</v>
      </c>
      <c r="BA213" s="82" t="s">
        <v>15984</v>
      </c>
      <c r="BB213" s="82" t="s">
        <v>15984</v>
      </c>
      <c r="BC213" s="82" t="s">
        <v>11923</v>
      </c>
      <c r="BD213" s="82" t="s">
        <v>16133</v>
      </c>
      <c r="BE213" s="77"/>
      <c r="BF213" s="77"/>
      <c r="BG213" s="77"/>
      <c r="BH213" s="77"/>
      <c r="BI213" s="77"/>
    </row>
    <row r="214" spans="1:61" x14ac:dyDescent="0.25">
      <c r="A214" s="62" t="s">
        <v>275</v>
      </c>
      <c r="B214" s="62" t="s">
        <v>275</v>
      </c>
      <c r="C214" s="63"/>
      <c r="D214" s="64"/>
      <c r="E214" s="65"/>
      <c r="F214" s="66"/>
      <c r="G214" s="63"/>
      <c r="H214" s="67"/>
      <c r="I214" s="68"/>
      <c r="J214" s="68"/>
      <c r="K214" s="32"/>
      <c r="L214" s="75">
        <v>214</v>
      </c>
      <c r="M214" s="75"/>
      <c r="N214" s="70"/>
      <c r="O214" s="77" t="s">
        <v>179</v>
      </c>
      <c r="P214" s="79">
        <v>45120.107662037037</v>
      </c>
      <c r="Q214" s="77" t="s">
        <v>1111</v>
      </c>
      <c r="R214" s="77">
        <v>0</v>
      </c>
      <c r="S214" s="77">
        <v>0</v>
      </c>
      <c r="T214" s="77">
        <v>0</v>
      </c>
      <c r="U214" s="77">
        <v>0</v>
      </c>
      <c r="V214" s="77">
        <v>10</v>
      </c>
      <c r="W214" s="82" t="s">
        <v>4929</v>
      </c>
      <c r="X214" s="80" t="str">
        <f>HYPERLINK("https://reporterbrasilia.com.br/relatorio-denuncia-relacao-entre-mercado-e-grilagem-no-cerrado/")</f>
        <v>https://reporterbrasilia.com.br/relatorio-denuncia-relacao-entre-mercado-e-grilagem-no-cerrado/</v>
      </c>
      <c r="Y214" s="77" t="s">
        <v>6470</v>
      </c>
      <c r="Z214" s="77"/>
      <c r="AA214" s="77"/>
      <c r="AB214" s="77"/>
      <c r="AC214" s="82" t="s">
        <v>7750</v>
      </c>
      <c r="AD214" s="77" t="s">
        <v>7788</v>
      </c>
      <c r="AE214" s="80" t="str">
        <f>HYPERLINK("https://twitter.com/reportbrasilia/status/1679318487448051717")</f>
        <v>https://twitter.com/reportbrasilia/status/1679318487448051717</v>
      </c>
      <c r="AF214" s="79">
        <v>45120.107662037037</v>
      </c>
      <c r="AG214" s="85">
        <v>45120</v>
      </c>
      <c r="AH214" s="82" t="s">
        <v>7996</v>
      </c>
      <c r="AI214" s="77" t="b">
        <v>0</v>
      </c>
      <c r="AJ214" s="77"/>
      <c r="AK214" s="77"/>
      <c r="AL214" s="77"/>
      <c r="AM214" s="77"/>
      <c r="AN214" s="77"/>
      <c r="AO214" s="77"/>
      <c r="AP214" s="77"/>
      <c r="AQ214" s="77"/>
      <c r="AR214" s="77"/>
      <c r="AS214" s="77"/>
      <c r="AT214" s="77"/>
      <c r="AU214" s="77"/>
      <c r="AV214" s="80" t="str">
        <f>HYPERLINK("https://pbs.twimg.com/profile_images/1301167081451409408/QaIXpSVo_normal.jpg")</f>
        <v>https://pbs.twimg.com/profile_images/1301167081451409408/QaIXpSVo_normal.jpg</v>
      </c>
      <c r="AW214" s="82" t="s">
        <v>11924</v>
      </c>
      <c r="AX214" s="82" t="s">
        <v>11924</v>
      </c>
      <c r="AY214" s="77"/>
      <c r="AZ214" s="82" t="s">
        <v>15984</v>
      </c>
      <c r="BA214" s="82" t="s">
        <v>15984</v>
      </c>
      <c r="BB214" s="82" t="s">
        <v>15984</v>
      </c>
      <c r="BC214" s="82" t="s">
        <v>11924</v>
      </c>
      <c r="BD214" s="82" t="s">
        <v>16134</v>
      </c>
      <c r="BE214" s="77"/>
      <c r="BF214" s="77"/>
      <c r="BG214" s="77"/>
      <c r="BH214" s="77"/>
      <c r="BI214" s="77"/>
    </row>
    <row r="215" spans="1:61" x14ac:dyDescent="0.25">
      <c r="A215" s="62" t="s">
        <v>276</v>
      </c>
      <c r="B215" s="62" t="s">
        <v>682</v>
      </c>
      <c r="C215" s="63"/>
      <c r="D215" s="64"/>
      <c r="E215" s="65"/>
      <c r="F215" s="66"/>
      <c r="G215" s="63"/>
      <c r="H215" s="67"/>
      <c r="I215" s="68"/>
      <c r="J215" s="68"/>
      <c r="K215" s="32"/>
      <c r="L215" s="75">
        <v>215</v>
      </c>
      <c r="M215" s="75"/>
      <c r="N215" s="70"/>
      <c r="O215" s="77" t="s">
        <v>897</v>
      </c>
      <c r="P215" s="79">
        <v>45192.595277777778</v>
      </c>
      <c r="Q215" s="77" t="s">
        <v>1112</v>
      </c>
      <c r="R215" s="77">
        <v>1</v>
      </c>
      <c r="S215" s="77">
        <v>0</v>
      </c>
      <c r="T215" s="77">
        <v>0</v>
      </c>
      <c r="U215" s="77">
        <v>0</v>
      </c>
      <c r="V215" s="77"/>
      <c r="W215" s="82" t="s">
        <v>4930</v>
      </c>
      <c r="X215" s="77"/>
      <c r="Y215" s="77"/>
      <c r="Z215" s="77" t="s">
        <v>682</v>
      </c>
      <c r="AA215" s="77"/>
      <c r="AB215" s="77"/>
      <c r="AC215" s="82" t="s">
        <v>7751</v>
      </c>
      <c r="AD215" s="77" t="s">
        <v>7788</v>
      </c>
      <c r="AE215" s="80" t="str">
        <f>HYPERLINK("https://twitter.com/marcio_mendonc/status/1705587121166139811")</f>
        <v>https://twitter.com/marcio_mendonc/status/1705587121166139811</v>
      </c>
      <c r="AF215" s="79">
        <v>45192.595277777778</v>
      </c>
      <c r="AG215" s="85">
        <v>45192</v>
      </c>
      <c r="AH215" s="82" t="s">
        <v>7997</v>
      </c>
      <c r="AI215" s="77" t="b">
        <v>0</v>
      </c>
      <c r="AJ215" s="77"/>
      <c r="AK215" s="77"/>
      <c r="AL215" s="77"/>
      <c r="AM215" s="77"/>
      <c r="AN215" s="77"/>
      <c r="AO215" s="77"/>
      <c r="AP215" s="77"/>
      <c r="AQ215" s="77"/>
      <c r="AR215" s="77"/>
      <c r="AS215" s="77"/>
      <c r="AT215" s="77"/>
      <c r="AU215" s="77"/>
      <c r="AV215" s="80" t="str">
        <f>HYPERLINK("https://pbs.twimg.com/profile_images/735279224697716736/tMa9GV39_normal.jpg")</f>
        <v>https://pbs.twimg.com/profile_images/735279224697716736/tMa9GV39_normal.jpg</v>
      </c>
      <c r="AW215" s="82" t="s">
        <v>11925</v>
      </c>
      <c r="AX215" s="82" t="s">
        <v>11925</v>
      </c>
      <c r="AY215" s="77"/>
      <c r="AZ215" s="82" t="s">
        <v>15984</v>
      </c>
      <c r="BA215" s="82" t="s">
        <v>15984</v>
      </c>
      <c r="BB215" s="82" t="s">
        <v>13326</v>
      </c>
      <c r="BC215" s="82" t="s">
        <v>13326</v>
      </c>
      <c r="BD215" s="77">
        <v>2780697111</v>
      </c>
      <c r="BE215" s="77"/>
      <c r="BF215" s="77"/>
      <c r="BG215" s="77"/>
      <c r="BH215" s="77"/>
      <c r="BI215" s="77"/>
    </row>
    <row r="216" spans="1:61" x14ac:dyDescent="0.25">
      <c r="A216" s="62" t="s">
        <v>277</v>
      </c>
      <c r="B216" s="62" t="s">
        <v>277</v>
      </c>
      <c r="C216" s="63"/>
      <c r="D216" s="64"/>
      <c r="E216" s="65"/>
      <c r="F216" s="66"/>
      <c r="G216" s="63"/>
      <c r="H216" s="67"/>
      <c r="I216" s="68"/>
      <c r="J216" s="68"/>
      <c r="K216" s="32"/>
      <c r="L216" s="75">
        <v>216</v>
      </c>
      <c r="M216" s="75"/>
      <c r="N216" s="70"/>
      <c r="O216" s="77" t="s">
        <v>898</v>
      </c>
      <c r="P216" s="79">
        <v>45124.231874999998</v>
      </c>
      <c r="Q216" s="77" t="s">
        <v>1113</v>
      </c>
      <c r="R216" s="77">
        <v>3</v>
      </c>
      <c r="S216" s="77">
        <v>5</v>
      </c>
      <c r="T216" s="77">
        <v>1</v>
      </c>
      <c r="U216" s="77">
        <v>0</v>
      </c>
      <c r="V216" s="77">
        <v>467</v>
      </c>
      <c r="W216" s="82" t="s">
        <v>4931</v>
      </c>
      <c r="X216" s="77"/>
      <c r="Y216" s="77"/>
      <c r="Z216" s="77" t="s">
        <v>6565</v>
      </c>
      <c r="AA216" s="77" t="s">
        <v>6757</v>
      </c>
      <c r="AB216" s="77" t="s">
        <v>7746</v>
      </c>
      <c r="AC216" s="82" t="s">
        <v>7750</v>
      </c>
      <c r="AD216" s="77" t="s">
        <v>7790</v>
      </c>
      <c r="AE216" s="80" t="str">
        <f>HYPERLINK("https://twitter.com/charlandodminas/status/1680813053665857537")</f>
        <v>https://twitter.com/charlandodminas/status/1680813053665857537</v>
      </c>
      <c r="AF216" s="79">
        <v>45124.231874999998</v>
      </c>
      <c r="AG216" s="85">
        <v>45124</v>
      </c>
      <c r="AH216" s="82" t="s">
        <v>7998</v>
      </c>
      <c r="AI216" s="77" t="b">
        <v>0</v>
      </c>
      <c r="AJ216" s="77"/>
      <c r="AK216" s="77"/>
      <c r="AL216" s="77"/>
      <c r="AM216" s="77"/>
      <c r="AN216" s="77"/>
      <c r="AO216" s="77"/>
      <c r="AP216" s="77"/>
      <c r="AQ216" s="77" t="s">
        <v>10729</v>
      </c>
      <c r="AR216" s="77"/>
      <c r="AS216" s="77"/>
      <c r="AT216" s="77"/>
      <c r="AU216" s="77"/>
      <c r="AV216" s="80" t="str">
        <f>HYPERLINK("https://pbs.twimg.com/tweet_video_thumb/F1Nyj0mWwAM3gtU.jpg")</f>
        <v>https://pbs.twimg.com/tweet_video_thumb/F1Nyj0mWwAM3gtU.jpg</v>
      </c>
      <c r="AW216" s="82" t="s">
        <v>11926</v>
      </c>
      <c r="AX216" s="82" t="s">
        <v>15740</v>
      </c>
      <c r="AY216" s="82" t="s">
        <v>15915</v>
      </c>
      <c r="AZ216" s="82" t="s">
        <v>15987</v>
      </c>
      <c r="BA216" s="82" t="s">
        <v>15984</v>
      </c>
      <c r="BB216" s="82" t="s">
        <v>15984</v>
      </c>
      <c r="BC216" s="82" t="s">
        <v>15987</v>
      </c>
      <c r="BD216" s="82" t="s">
        <v>15915</v>
      </c>
      <c r="BE216" s="77"/>
      <c r="BF216" s="77"/>
      <c r="BG216" s="77"/>
      <c r="BH216" s="77"/>
      <c r="BI216" s="77"/>
    </row>
    <row r="217" spans="1:61" x14ac:dyDescent="0.25">
      <c r="A217" s="62" t="s">
        <v>278</v>
      </c>
      <c r="B217" s="62" t="s">
        <v>278</v>
      </c>
      <c r="C217" s="63"/>
      <c r="D217" s="64"/>
      <c r="E217" s="65"/>
      <c r="F217" s="66"/>
      <c r="G217" s="63"/>
      <c r="H217" s="67"/>
      <c r="I217" s="68"/>
      <c r="J217" s="68"/>
      <c r="K217" s="32"/>
      <c r="L217" s="75">
        <v>217</v>
      </c>
      <c r="M217" s="75"/>
      <c r="N217" s="70"/>
      <c r="O217" s="77" t="s">
        <v>179</v>
      </c>
      <c r="P217" s="79">
        <v>45190.684259259258</v>
      </c>
      <c r="Q217" s="77" t="s">
        <v>918</v>
      </c>
      <c r="R217" s="77">
        <v>0</v>
      </c>
      <c r="S217" s="77">
        <v>0</v>
      </c>
      <c r="T217" s="77">
        <v>0</v>
      </c>
      <c r="U217" s="77">
        <v>0</v>
      </c>
      <c r="V217" s="77">
        <v>11</v>
      </c>
      <c r="W217" s="82" t="s">
        <v>4815</v>
      </c>
      <c r="X217" s="77"/>
      <c r="Y217" s="77"/>
      <c r="Z217" s="77"/>
      <c r="AA217" s="77"/>
      <c r="AB217" s="77"/>
      <c r="AC217" s="82" t="s">
        <v>7750</v>
      </c>
      <c r="AD217" s="77" t="s">
        <v>7789</v>
      </c>
      <c r="AE217" s="80" t="str">
        <f>HYPERLINK("https://twitter.com/coinharbinger/status/1704894590539489429")</f>
        <v>https://twitter.com/coinharbinger/status/1704894590539489429</v>
      </c>
      <c r="AF217" s="79">
        <v>45190.684259259258</v>
      </c>
      <c r="AG217" s="85">
        <v>45190</v>
      </c>
      <c r="AH217" s="82" t="s">
        <v>7999</v>
      </c>
      <c r="AI217" s="77"/>
      <c r="AJ217" s="77"/>
      <c r="AK217" s="77"/>
      <c r="AL217" s="77"/>
      <c r="AM217" s="77"/>
      <c r="AN217" s="77"/>
      <c r="AO217" s="77"/>
      <c r="AP217" s="77"/>
      <c r="AQ217" s="77"/>
      <c r="AR217" s="77"/>
      <c r="AS217" s="77"/>
      <c r="AT217" s="77"/>
      <c r="AU217" s="77"/>
      <c r="AV217" s="80" t="str">
        <f>HYPERLINK("https://pbs.twimg.com/profile_images/1699843094055690240/MhNop6t6_normal.jpg")</f>
        <v>https://pbs.twimg.com/profile_images/1699843094055690240/MhNop6t6_normal.jpg</v>
      </c>
      <c r="AW217" s="82" t="s">
        <v>11927</v>
      </c>
      <c r="AX217" s="82" t="s">
        <v>11927</v>
      </c>
      <c r="AY217" s="77"/>
      <c r="AZ217" s="82" t="s">
        <v>15984</v>
      </c>
      <c r="BA217" s="82" t="s">
        <v>15984</v>
      </c>
      <c r="BB217" s="82" t="s">
        <v>15984</v>
      </c>
      <c r="BC217" s="82" t="s">
        <v>11927</v>
      </c>
      <c r="BD217" s="82" t="s">
        <v>16135</v>
      </c>
      <c r="BE217" s="77"/>
      <c r="BF217" s="77"/>
      <c r="BG217" s="77"/>
      <c r="BH217" s="77"/>
      <c r="BI217" s="77"/>
    </row>
    <row r="218" spans="1:61" x14ac:dyDescent="0.25">
      <c r="A218" s="62" t="s">
        <v>279</v>
      </c>
      <c r="B218" s="62" t="s">
        <v>614</v>
      </c>
      <c r="C218" s="63"/>
      <c r="D218" s="64"/>
      <c r="E218" s="65"/>
      <c r="F218" s="66"/>
      <c r="G218" s="63"/>
      <c r="H218" s="67"/>
      <c r="I218" s="68"/>
      <c r="J218" s="68"/>
      <c r="K218" s="32"/>
      <c r="L218" s="75">
        <v>218</v>
      </c>
      <c r="M218" s="75"/>
      <c r="N218" s="70"/>
      <c r="O218" s="77" t="s">
        <v>897</v>
      </c>
      <c r="P218" s="79">
        <v>45195.169317129628</v>
      </c>
      <c r="Q218" s="77" t="s">
        <v>1114</v>
      </c>
      <c r="R218" s="77">
        <v>5</v>
      </c>
      <c r="S218" s="77">
        <v>0</v>
      </c>
      <c r="T218" s="77">
        <v>0</v>
      </c>
      <c r="U218" s="77">
        <v>0</v>
      </c>
      <c r="V218" s="77"/>
      <c r="W218" s="82" t="s">
        <v>4821</v>
      </c>
      <c r="X218" s="77"/>
      <c r="Y218" s="77"/>
      <c r="Z218" s="77" t="s">
        <v>614</v>
      </c>
      <c r="AA218" s="77"/>
      <c r="AB218" s="77"/>
      <c r="AC218" s="82" t="s">
        <v>7750</v>
      </c>
      <c r="AD218" s="77" t="s">
        <v>7790</v>
      </c>
      <c r="AE218" s="80" t="str">
        <f>HYPERLINK("https://twitter.com/to_do_retweet/status/1706519921939595369")</f>
        <v>https://twitter.com/to_do_retweet/status/1706519921939595369</v>
      </c>
      <c r="AF218" s="79">
        <v>45195.169317129628</v>
      </c>
      <c r="AG218" s="85">
        <v>45195</v>
      </c>
      <c r="AH218" s="82" t="s">
        <v>8000</v>
      </c>
      <c r="AI218" s="77" t="b">
        <v>0</v>
      </c>
      <c r="AJ218" s="77"/>
      <c r="AK218" s="77"/>
      <c r="AL218" s="77"/>
      <c r="AM218" s="77"/>
      <c r="AN218" s="77"/>
      <c r="AO218" s="77"/>
      <c r="AP218" s="77"/>
      <c r="AQ218" s="77"/>
      <c r="AR218" s="77"/>
      <c r="AS218" s="77"/>
      <c r="AT218" s="77"/>
      <c r="AU218" s="77"/>
      <c r="AV218" s="80" t="str">
        <f>HYPERLINK("https://pbs.twimg.com/profile_images/378800000525235655/49a105a21e680cb0587053ca88313ef8_normal.jpeg")</f>
        <v>https://pbs.twimg.com/profile_images/378800000525235655/49a105a21e680cb0587053ca88313ef8_normal.jpeg</v>
      </c>
      <c r="AW218" s="82" t="s">
        <v>11928</v>
      </c>
      <c r="AX218" s="82" t="s">
        <v>11928</v>
      </c>
      <c r="AY218" s="77"/>
      <c r="AZ218" s="82" t="s">
        <v>15984</v>
      </c>
      <c r="BA218" s="82" t="s">
        <v>15984</v>
      </c>
      <c r="BB218" s="82" t="s">
        <v>13072</v>
      </c>
      <c r="BC218" s="82" t="s">
        <v>13072</v>
      </c>
      <c r="BD218" s="77">
        <v>1917611137</v>
      </c>
      <c r="BE218" s="77"/>
      <c r="BF218" s="77"/>
      <c r="BG218" s="77"/>
      <c r="BH218" s="77"/>
      <c r="BI218" s="77"/>
    </row>
    <row r="219" spans="1:61" x14ac:dyDescent="0.25">
      <c r="A219" s="62" t="s">
        <v>280</v>
      </c>
      <c r="B219" s="62" t="s">
        <v>280</v>
      </c>
      <c r="C219" s="63"/>
      <c r="D219" s="64"/>
      <c r="E219" s="65"/>
      <c r="F219" s="66"/>
      <c r="G219" s="63"/>
      <c r="H219" s="67"/>
      <c r="I219" s="68"/>
      <c r="J219" s="68"/>
      <c r="K219" s="32"/>
      <c r="L219" s="75">
        <v>219</v>
      </c>
      <c r="M219" s="75"/>
      <c r="N219" s="70"/>
      <c r="O219" s="77" t="s">
        <v>179</v>
      </c>
      <c r="P219" s="79">
        <v>45193.517118055555</v>
      </c>
      <c r="Q219" s="77" t="s">
        <v>1014</v>
      </c>
      <c r="R219" s="77">
        <v>0</v>
      </c>
      <c r="S219" s="77">
        <v>0</v>
      </c>
      <c r="T219" s="77">
        <v>0</v>
      </c>
      <c r="U219" s="77">
        <v>0</v>
      </c>
      <c r="V219" s="77">
        <v>11</v>
      </c>
      <c r="W219" s="82" t="s">
        <v>4849</v>
      </c>
      <c r="X219" s="77"/>
      <c r="Y219" s="77"/>
      <c r="Z219" s="77"/>
      <c r="AA219" s="77"/>
      <c r="AB219" s="77"/>
      <c r="AC219" s="82" t="s">
        <v>7750</v>
      </c>
      <c r="AD219" s="77" t="s">
        <v>7789</v>
      </c>
      <c r="AE219" s="80" t="str">
        <f>HYPERLINK("https://twitter.com/psychstock/status/1705921184410312707")</f>
        <v>https://twitter.com/psychstock/status/1705921184410312707</v>
      </c>
      <c r="AF219" s="79">
        <v>45193.517118055555</v>
      </c>
      <c r="AG219" s="85">
        <v>45193</v>
      </c>
      <c r="AH219" s="82" t="s">
        <v>8001</v>
      </c>
      <c r="AI219" s="77"/>
      <c r="AJ219" s="77"/>
      <c r="AK219" s="77"/>
      <c r="AL219" s="77"/>
      <c r="AM219" s="77"/>
      <c r="AN219" s="77"/>
      <c r="AO219" s="77"/>
      <c r="AP219" s="77"/>
      <c r="AQ219" s="77"/>
      <c r="AR219" s="77"/>
      <c r="AS219" s="77"/>
      <c r="AT219" s="77"/>
      <c r="AU219" s="77"/>
      <c r="AV219" s="80" t="str">
        <f>HYPERLINK("https://pbs.twimg.com/profile_images/1699367772067655680/bPUwj7KV_normal.jpg")</f>
        <v>https://pbs.twimg.com/profile_images/1699367772067655680/bPUwj7KV_normal.jpg</v>
      </c>
      <c r="AW219" s="82" t="s">
        <v>11929</v>
      </c>
      <c r="AX219" s="82" t="s">
        <v>11929</v>
      </c>
      <c r="AY219" s="77"/>
      <c r="AZ219" s="82" t="s">
        <v>15984</v>
      </c>
      <c r="BA219" s="82" t="s">
        <v>15984</v>
      </c>
      <c r="BB219" s="82" t="s">
        <v>15984</v>
      </c>
      <c r="BC219" s="82" t="s">
        <v>11929</v>
      </c>
      <c r="BD219" s="82" t="s">
        <v>16136</v>
      </c>
      <c r="BE219" s="77"/>
      <c r="BF219" s="77"/>
      <c r="BG219" s="77"/>
      <c r="BH219" s="77"/>
      <c r="BI219" s="77"/>
    </row>
    <row r="220" spans="1:61" x14ac:dyDescent="0.25">
      <c r="A220" s="62" t="s">
        <v>281</v>
      </c>
      <c r="B220" s="62" t="s">
        <v>281</v>
      </c>
      <c r="C220" s="63"/>
      <c r="D220" s="64"/>
      <c r="E220" s="65"/>
      <c r="F220" s="66"/>
      <c r="G220" s="63"/>
      <c r="H220" s="67"/>
      <c r="I220" s="68"/>
      <c r="J220" s="68"/>
      <c r="K220" s="32"/>
      <c r="L220" s="75">
        <v>220</v>
      </c>
      <c r="M220" s="75"/>
      <c r="N220" s="70"/>
      <c r="O220" s="77" t="s">
        <v>179</v>
      </c>
      <c r="P220" s="79">
        <v>45140.911412037036</v>
      </c>
      <c r="Q220" s="77" t="s">
        <v>1115</v>
      </c>
      <c r="R220" s="77">
        <v>0</v>
      </c>
      <c r="S220" s="77">
        <v>0</v>
      </c>
      <c r="T220" s="77">
        <v>0</v>
      </c>
      <c r="U220" s="77">
        <v>0</v>
      </c>
      <c r="V220" s="77">
        <v>107</v>
      </c>
      <c r="W220" s="82" t="s">
        <v>4932</v>
      </c>
      <c r="X220" s="77"/>
      <c r="Y220" s="77"/>
      <c r="Z220" s="77"/>
      <c r="AA220" s="77"/>
      <c r="AB220" s="77"/>
      <c r="AC220" s="82" t="s">
        <v>7750</v>
      </c>
      <c r="AD220" s="77" t="s">
        <v>7788</v>
      </c>
      <c r="AE220" s="80" t="str">
        <f>HYPERLINK("https://twitter.com/pi_salvador/status/1686857515932266496")</f>
        <v>https://twitter.com/pi_salvador/status/1686857515932266496</v>
      </c>
      <c r="AF220" s="79">
        <v>45140.911412037036</v>
      </c>
      <c r="AG220" s="85">
        <v>45140</v>
      </c>
      <c r="AH220" s="82" t="s">
        <v>8002</v>
      </c>
      <c r="AI220" s="77"/>
      <c r="AJ220" s="77"/>
      <c r="AK220" s="77"/>
      <c r="AL220" s="77"/>
      <c r="AM220" s="77"/>
      <c r="AN220" s="77"/>
      <c r="AO220" s="77"/>
      <c r="AP220" s="77"/>
      <c r="AQ220" s="77"/>
      <c r="AR220" s="77"/>
      <c r="AS220" s="77"/>
      <c r="AT220" s="77"/>
      <c r="AU220" s="77"/>
      <c r="AV220" s="80" t="str">
        <f>HYPERLINK("https://pbs.twimg.com/profile_images/1276844863925948417/pJ1DyKW3_normal.jpg")</f>
        <v>https://pbs.twimg.com/profile_images/1276844863925948417/pJ1DyKW3_normal.jpg</v>
      </c>
      <c r="AW220" s="82" t="s">
        <v>11930</v>
      </c>
      <c r="AX220" s="82" t="s">
        <v>11930</v>
      </c>
      <c r="AY220" s="77"/>
      <c r="AZ220" s="82" t="s">
        <v>15984</v>
      </c>
      <c r="BA220" s="82" t="s">
        <v>15984</v>
      </c>
      <c r="BB220" s="82" t="s">
        <v>15984</v>
      </c>
      <c r="BC220" s="82" t="s">
        <v>11930</v>
      </c>
      <c r="BD220" s="77">
        <v>134902573</v>
      </c>
      <c r="BE220" s="77"/>
      <c r="BF220" s="77"/>
      <c r="BG220" s="77"/>
      <c r="BH220" s="77"/>
      <c r="BI220" s="77"/>
    </row>
    <row r="221" spans="1:61" x14ac:dyDescent="0.25">
      <c r="A221" s="62" t="s">
        <v>282</v>
      </c>
      <c r="B221" s="62" t="s">
        <v>753</v>
      </c>
      <c r="C221" s="63"/>
      <c r="D221" s="64"/>
      <c r="E221" s="65"/>
      <c r="F221" s="66"/>
      <c r="G221" s="63"/>
      <c r="H221" s="67"/>
      <c r="I221" s="68"/>
      <c r="J221" s="68"/>
      <c r="K221" s="32"/>
      <c r="L221" s="75">
        <v>221</v>
      </c>
      <c r="M221" s="75"/>
      <c r="N221" s="70"/>
      <c r="O221" s="77" t="s">
        <v>899</v>
      </c>
      <c r="P221" s="79">
        <v>45192.060196759259</v>
      </c>
      <c r="Q221" s="77" t="s">
        <v>1116</v>
      </c>
      <c r="R221" s="77">
        <v>10</v>
      </c>
      <c r="S221" s="77">
        <v>0</v>
      </c>
      <c r="T221" s="77">
        <v>0</v>
      </c>
      <c r="U221" s="77">
        <v>0</v>
      </c>
      <c r="V221" s="77"/>
      <c r="W221" s="82" t="s">
        <v>4821</v>
      </c>
      <c r="X221" s="77"/>
      <c r="Y221" s="77"/>
      <c r="Z221" s="77" t="s">
        <v>6566</v>
      </c>
      <c r="AA221" s="77"/>
      <c r="AB221" s="77"/>
      <c r="AC221" s="82" t="s">
        <v>7751</v>
      </c>
      <c r="AD221" s="77" t="s">
        <v>7790</v>
      </c>
      <c r="AE221" s="80" t="str">
        <f>HYPERLINK("https://twitter.com/ciromorah/status/1705393213811351868")</f>
        <v>https://twitter.com/ciromorah/status/1705393213811351868</v>
      </c>
      <c r="AF221" s="79">
        <v>45192.060196759259</v>
      </c>
      <c r="AG221" s="85">
        <v>45192</v>
      </c>
      <c r="AH221" s="82" t="s">
        <v>8003</v>
      </c>
      <c r="AI221" s="77"/>
      <c r="AJ221" s="77"/>
      <c r="AK221" s="77"/>
      <c r="AL221" s="77"/>
      <c r="AM221" s="77"/>
      <c r="AN221" s="77"/>
      <c r="AO221" s="77"/>
      <c r="AP221" s="77"/>
      <c r="AQ221" s="77"/>
      <c r="AR221" s="77"/>
      <c r="AS221" s="77"/>
      <c r="AT221" s="77"/>
      <c r="AU221" s="77"/>
      <c r="AV221" s="80" t="str">
        <f>HYPERLINK("https://pbs.twimg.com/profile_images/1706844560347791360/z5m4fTsg_normal.jpg")</f>
        <v>https://pbs.twimg.com/profile_images/1706844560347791360/z5m4fTsg_normal.jpg</v>
      </c>
      <c r="AW221" s="82" t="s">
        <v>11931</v>
      </c>
      <c r="AX221" s="82" t="s">
        <v>11931</v>
      </c>
      <c r="AY221" s="77"/>
      <c r="AZ221" s="82" t="s">
        <v>15984</v>
      </c>
      <c r="BA221" s="82" t="s">
        <v>15984</v>
      </c>
      <c r="BB221" s="82" t="s">
        <v>15303</v>
      </c>
      <c r="BC221" s="82" t="s">
        <v>15303</v>
      </c>
      <c r="BD221" s="77">
        <v>274608576</v>
      </c>
      <c r="BE221" s="77"/>
      <c r="BF221" s="77"/>
      <c r="BG221" s="77"/>
      <c r="BH221" s="77"/>
      <c r="BI221" s="77"/>
    </row>
    <row r="222" spans="1:61" x14ac:dyDescent="0.25">
      <c r="A222" s="62" t="s">
        <v>282</v>
      </c>
      <c r="B222" s="62" t="s">
        <v>614</v>
      </c>
      <c r="C222" s="63"/>
      <c r="D222" s="64"/>
      <c r="E222" s="65"/>
      <c r="F222" s="66"/>
      <c r="G222" s="63"/>
      <c r="H222" s="67"/>
      <c r="I222" s="68"/>
      <c r="J222" s="68"/>
      <c r="K222" s="32"/>
      <c r="L222" s="75">
        <v>222</v>
      </c>
      <c r="M222" s="75"/>
      <c r="N222" s="70"/>
      <c r="O222" s="77" t="s">
        <v>897</v>
      </c>
      <c r="P222" s="79">
        <v>45192.060196759259</v>
      </c>
      <c r="Q222" s="77" t="s">
        <v>1116</v>
      </c>
      <c r="R222" s="77">
        <v>10</v>
      </c>
      <c r="S222" s="77">
        <v>0</v>
      </c>
      <c r="T222" s="77">
        <v>0</v>
      </c>
      <c r="U222" s="77">
        <v>0</v>
      </c>
      <c r="V222" s="77"/>
      <c r="W222" s="82" t="s">
        <v>4821</v>
      </c>
      <c r="X222" s="77"/>
      <c r="Y222" s="77"/>
      <c r="Z222" s="77" t="s">
        <v>6566</v>
      </c>
      <c r="AA222" s="77"/>
      <c r="AB222" s="77"/>
      <c r="AC222" s="82" t="s">
        <v>7751</v>
      </c>
      <c r="AD222" s="77" t="s">
        <v>7790</v>
      </c>
      <c r="AE222" s="80" t="str">
        <f>HYPERLINK("https://twitter.com/ciromorah/status/1705393213811351868")</f>
        <v>https://twitter.com/ciromorah/status/1705393213811351868</v>
      </c>
      <c r="AF222" s="79">
        <v>45192.060196759259</v>
      </c>
      <c r="AG222" s="85">
        <v>45192</v>
      </c>
      <c r="AH222" s="82" t="s">
        <v>8003</v>
      </c>
      <c r="AI222" s="77"/>
      <c r="AJ222" s="77"/>
      <c r="AK222" s="77"/>
      <c r="AL222" s="77"/>
      <c r="AM222" s="77"/>
      <c r="AN222" s="77"/>
      <c r="AO222" s="77"/>
      <c r="AP222" s="77"/>
      <c r="AQ222" s="77"/>
      <c r="AR222" s="77"/>
      <c r="AS222" s="77"/>
      <c r="AT222" s="77"/>
      <c r="AU222" s="77"/>
      <c r="AV222" s="80" t="str">
        <f>HYPERLINK("https://pbs.twimg.com/profile_images/1706844560347791360/z5m4fTsg_normal.jpg")</f>
        <v>https://pbs.twimg.com/profile_images/1706844560347791360/z5m4fTsg_normal.jpg</v>
      </c>
      <c r="AW222" s="82" t="s">
        <v>11931</v>
      </c>
      <c r="AX222" s="82" t="s">
        <v>11931</v>
      </c>
      <c r="AY222" s="77"/>
      <c r="AZ222" s="82" t="s">
        <v>15984</v>
      </c>
      <c r="BA222" s="82" t="s">
        <v>15984</v>
      </c>
      <c r="BB222" s="82" t="s">
        <v>15303</v>
      </c>
      <c r="BC222" s="82" t="s">
        <v>15303</v>
      </c>
      <c r="BD222" s="77">
        <v>274608576</v>
      </c>
      <c r="BE222" s="77"/>
      <c r="BF222" s="77"/>
      <c r="BG222" s="77"/>
      <c r="BH222" s="77"/>
      <c r="BI222" s="77"/>
    </row>
    <row r="223" spans="1:61" x14ac:dyDescent="0.25">
      <c r="A223" s="62" t="s">
        <v>283</v>
      </c>
      <c r="B223" s="62" t="s">
        <v>283</v>
      </c>
      <c r="C223" s="63"/>
      <c r="D223" s="64"/>
      <c r="E223" s="65"/>
      <c r="F223" s="66"/>
      <c r="G223" s="63"/>
      <c r="H223" s="67"/>
      <c r="I223" s="68"/>
      <c r="J223" s="68"/>
      <c r="K223" s="32"/>
      <c r="L223" s="75">
        <v>223</v>
      </c>
      <c r="M223" s="75"/>
      <c r="N223" s="70"/>
      <c r="O223" s="77" t="s">
        <v>898</v>
      </c>
      <c r="P223" s="79">
        <v>45135.760428240741</v>
      </c>
      <c r="Q223" s="77" t="s">
        <v>1117</v>
      </c>
      <c r="R223" s="77">
        <v>0</v>
      </c>
      <c r="S223" s="77">
        <v>0</v>
      </c>
      <c r="T223" s="77">
        <v>0</v>
      </c>
      <c r="U223" s="77">
        <v>0</v>
      </c>
      <c r="V223" s="77">
        <v>43</v>
      </c>
      <c r="W223" s="82" t="s">
        <v>4933</v>
      </c>
      <c r="X223" s="77"/>
      <c r="Y223" s="77"/>
      <c r="Z223" s="77"/>
      <c r="AA223" s="77"/>
      <c r="AB223" s="77"/>
      <c r="AC223" s="82" t="s">
        <v>7750</v>
      </c>
      <c r="AD223" s="77" t="s">
        <v>7788</v>
      </c>
      <c r="AE223" s="80" t="str">
        <f>HYPERLINK("https://twitter.com/billpoint_co/status/1684990861052882944")</f>
        <v>https://twitter.com/billpoint_co/status/1684990861052882944</v>
      </c>
      <c r="AF223" s="79">
        <v>45135.760428240741</v>
      </c>
      <c r="AG223" s="85">
        <v>45135</v>
      </c>
      <c r="AH223" s="82" t="s">
        <v>8004</v>
      </c>
      <c r="AI223" s="77"/>
      <c r="AJ223" s="77"/>
      <c r="AK223" s="77"/>
      <c r="AL223" s="77"/>
      <c r="AM223" s="77"/>
      <c r="AN223" s="77"/>
      <c r="AO223" s="77"/>
      <c r="AP223" s="77"/>
      <c r="AQ223" s="77"/>
      <c r="AR223" s="77"/>
      <c r="AS223" s="77"/>
      <c r="AT223" s="77"/>
      <c r="AU223" s="77"/>
      <c r="AV223" s="80" t="str">
        <f>HYPERLINK("https://pbs.twimg.com/profile_images/1634642819271852035/JuF5Yccn_normal.jpg")</f>
        <v>https://pbs.twimg.com/profile_images/1634642819271852035/JuF5Yccn_normal.jpg</v>
      </c>
      <c r="AW223" s="82" t="s">
        <v>11932</v>
      </c>
      <c r="AX223" s="82" t="s">
        <v>15741</v>
      </c>
      <c r="AY223" s="82" t="s">
        <v>15916</v>
      </c>
      <c r="AZ223" s="82" t="s">
        <v>15988</v>
      </c>
      <c r="BA223" s="82" t="s">
        <v>15984</v>
      </c>
      <c r="BB223" s="82" t="s">
        <v>15984</v>
      </c>
      <c r="BC223" s="82" t="s">
        <v>15988</v>
      </c>
      <c r="BD223" s="82" t="s">
        <v>15916</v>
      </c>
      <c r="BE223" s="77"/>
      <c r="BF223" s="77"/>
      <c r="BG223" s="77"/>
      <c r="BH223" s="77"/>
      <c r="BI223" s="77"/>
    </row>
    <row r="224" spans="1:61" x14ac:dyDescent="0.25">
      <c r="A224" s="62" t="s">
        <v>284</v>
      </c>
      <c r="B224" s="62" t="s">
        <v>502</v>
      </c>
      <c r="C224" s="63"/>
      <c r="D224" s="64"/>
      <c r="E224" s="65"/>
      <c r="F224" s="66"/>
      <c r="G224" s="63"/>
      <c r="H224" s="67"/>
      <c r="I224" s="68"/>
      <c r="J224" s="68"/>
      <c r="K224" s="32"/>
      <c r="L224" s="75">
        <v>224</v>
      </c>
      <c r="M224" s="75"/>
      <c r="N224" s="70"/>
      <c r="O224" s="77" t="s">
        <v>897</v>
      </c>
      <c r="P224" s="79">
        <v>45189.495324074072</v>
      </c>
      <c r="Q224" s="77" t="s">
        <v>1118</v>
      </c>
      <c r="R224" s="77">
        <v>12</v>
      </c>
      <c r="S224" s="77">
        <v>0</v>
      </c>
      <c r="T224" s="77">
        <v>0</v>
      </c>
      <c r="U224" s="77">
        <v>0</v>
      </c>
      <c r="V224" s="77"/>
      <c r="W224" s="82" t="s">
        <v>4934</v>
      </c>
      <c r="X224" s="77"/>
      <c r="Y224" s="77"/>
      <c r="Z224" s="77" t="s">
        <v>502</v>
      </c>
      <c r="AA224" s="77"/>
      <c r="AB224" s="77"/>
      <c r="AC224" s="82" t="s">
        <v>7752</v>
      </c>
      <c r="AD224" s="77" t="s">
        <v>7790</v>
      </c>
      <c r="AE224" s="80" t="str">
        <f>HYPERLINK("https://twitter.com/alexbukowsky/status/1704463736197566499")</f>
        <v>https://twitter.com/alexbukowsky/status/1704463736197566499</v>
      </c>
      <c r="AF224" s="79">
        <v>45189.495324074072</v>
      </c>
      <c r="AG224" s="85">
        <v>45189</v>
      </c>
      <c r="AH224" s="82" t="s">
        <v>8005</v>
      </c>
      <c r="AI224" s="77"/>
      <c r="AJ224" s="77"/>
      <c r="AK224" s="77"/>
      <c r="AL224" s="77"/>
      <c r="AM224" s="77"/>
      <c r="AN224" s="77"/>
      <c r="AO224" s="77"/>
      <c r="AP224" s="77"/>
      <c r="AQ224" s="77"/>
      <c r="AR224" s="77"/>
      <c r="AS224" s="77"/>
      <c r="AT224" s="77"/>
      <c r="AU224" s="77"/>
      <c r="AV224" s="80" t="str">
        <f>HYPERLINK("https://pbs.twimg.com/profile_images/1594614854777769984/KeG4zecu_normal.jpg")</f>
        <v>https://pbs.twimg.com/profile_images/1594614854777769984/KeG4zecu_normal.jpg</v>
      </c>
      <c r="AW224" s="82" t="s">
        <v>11933</v>
      </c>
      <c r="AX224" s="82" t="s">
        <v>11933</v>
      </c>
      <c r="AY224" s="77"/>
      <c r="AZ224" s="82" t="s">
        <v>15984</v>
      </c>
      <c r="BA224" s="82" t="s">
        <v>15984</v>
      </c>
      <c r="BB224" s="82" t="s">
        <v>13287</v>
      </c>
      <c r="BC224" s="82" t="s">
        <v>13287</v>
      </c>
      <c r="BD224" s="82" t="s">
        <v>16137</v>
      </c>
      <c r="BE224" s="77"/>
      <c r="BF224" s="77"/>
      <c r="BG224" s="77"/>
      <c r="BH224" s="77"/>
      <c r="BI224" s="77"/>
    </row>
    <row r="225" spans="1:61" x14ac:dyDescent="0.25">
      <c r="A225" s="62" t="s">
        <v>285</v>
      </c>
      <c r="B225" s="62" t="s">
        <v>285</v>
      </c>
      <c r="C225" s="63"/>
      <c r="D225" s="64"/>
      <c r="E225" s="65"/>
      <c r="F225" s="66"/>
      <c r="G225" s="63"/>
      <c r="H225" s="67"/>
      <c r="I225" s="68"/>
      <c r="J225" s="68"/>
      <c r="K225" s="32"/>
      <c r="L225" s="75">
        <v>225</v>
      </c>
      <c r="M225" s="75"/>
      <c r="N225" s="70"/>
      <c r="O225" s="77" t="s">
        <v>179</v>
      </c>
      <c r="P225" s="79">
        <v>45148.561562499999</v>
      </c>
      <c r="Q225" s="77" t="s">
        <v>1119</v>
      </c>
      <c r="R225" s="77">
        <v>0</v>
      </c>
      <c r="S225" s="77">
        <v>0</v>
      </c>
      <c r="T225" s="77">
        <v>0</v>
      </c>
      <c r="U225" s="77">
        <v>0</v>
      </c>
      <c r="V225" s="77">
        <v>32</v>
      </c>
      <c r="W225" s="82" t="s">
        <v>4935</v>
      </c>
      <c r="X225" s="77"/>
      <c r="Y225" s="77"/>
      <c r="Z225" s="77"/>
      <c r="AA225" s="77" t="s">
        <v>6758</v>
      </c>
      <c r="AB225" s="77" t="s">
        <v>7747</v>
      </c>
      <c r="AC225" s="82" t="s">
        <v>7752</v>
      </c>
      <c r="AD225" s="77" t="s">
        <v>7791</v>
      </c>
      <c r="AE225" s="80" t="str">
        <f>HYPERLINK("https://twitter.com/estrategia_fox/status/1689629836673699840")</f>
        <v>https://twitter.com/estrategia_fox/status/1689629836673699840</v>
      </c>
      <c r="AF225" s="79">
        <v>45148.561562499999</v>
      </c>
      <c r="AG225" s="85">
        <v>45148</v>
      </c>
      <c r="AH225" s="82" t="s">
        <v>8006</v>
      </c>
      <c r="AI225" s="77" t="b">
        <v>0</v>
      </c>
      <c r="AJ225" s="77"/>
      <c r="AK225" s="77"/>
      <c r="AL225" s="77"/>
      <c r="AM225" s="77"/>
      <c r="AN225" s="77"/>
      <c r="AO225" s="77"/>
      <c r="AP225" s="77"/>
      <c r="AQ225" s="77" t="s">
        <v>10730</v>
      </c>
      <c r="AR225" s="77"/>
      <c r="AS225" s="77"/>
      <c r="AT225" s="77"/>
      <c r="AU225" s="77"/>
      <c r="AV225" s="80" t="str">
        <f>HYPERLINK("https://pbs.twimg.com/media/F3LFYOHbgAA55XI.jpg")</f>
        <v>https://pbs.twimg.com/media/F3LFYOHbgAA55XI.jpg</v>
      </c>
      <c r="AW225" s="82" t="s">
        <v>11934</v>
      </c>
      <c r="AX225" s="82" t="s">
        <v>11934</v>
      </c>
      <c r="AY225" s="77"/>
      <c r="AZ225" s="82" t="s">
        <v>15984</v>
      </c>
      <c r="BA225" s="82" t="s">
        <v>15984</v>
      </c>
      <c r="BB225" s="82" t="s">
        <v>15984</v>
      </c>
      <c r="BC225" s="82" t="s">
        <v>11934</v>
      </c>
      <c r="BD225" s="82" t="s">
        <v>16138</v>
      </c>
      <c r="BE225" s="77"/>
      <c r="BF225" s="77"/>
      <c r="BG225" s="77"/>
      <c r="BH225" s="77"/>
      <c r="BI225" s="77"/>
    </row>
    <row r="226" spans="1:61" x14ac:dyDescent="0.25">
      <c r="A226" s="62" t="s">
        <v>285</v>
      </c>
      <c r="B226" s="62" t="s">
        <v>285</v>
      </c>
      <c r="C226" s="63"/>
      <c r="D226" s="64"/>
      <c r="E226" s="65"/>
      <c r="F226" s="66"/>
      <c r="G226" s="63"/>
      <c r="H226" s="67"/>
      <c r="I226" s="68"/>
      <c r="J226" s="68"/>
      <c r="K226" s="32"/>
      <c r="L226" s="75">
        <v>226</v>
      </c>
      <c r="M226" s="75"/>
      <c r="N226" s="70"/>
      <c r="O226" s="77" t="s">
        <v>179</v>
      </c>
      <c r="P226" s="79">
        <v>45154.044849537036</v>
      </c>
      <c r="Q226" s="77" t="s">
        <v>1120</v>
      </c>
      <c r="R226" s="77">
        <v>0</v>
      </c>
      <c r="S226" s="77">
        <v>0</v>
      </c>
      <c r="T226" s="77">
        <v>0</v>
      </c>
      <c r="U226" s="77">
        <v>0</v>
      </c>
      <c r="V226" s="77">
        <v>29</v>
      </c>
      <c r="W226" s="82" t="s">
        <v>4936</v>
      </c>
      <c r="X226" s="77"/>
      <c r="Y226" s="77"/>
      <c r="Z226" s="77"/>
      <c r="AA226" s="77" t="s">
        <v>6759</v>
      </c>
      <c r="AB226" s="77" t="s">
        <v>7742</v>
      </c>
      <c r="AC226" s="82" t="s">
        <v>7752</v>
      </c>
      <c r="AD226" s="77" t="s">
        <v>7788</v>
      </c>
      <c r="AE226" s="80" t="str">
        <f>HYPERLINK("https://twitter.com/estrategia_fox/status/1691616913732849851")</f>
        <v>https://twitter.com/estrategia_fox/status/1691616913732849851</v>
      </c>
      <c r="AF226" s="79">
        <v>45154.044849537036</v>
      </c>
      <c r="AG226" s="85">
        <v>45154</v>
      </c>
      <c r="AH226" s="82" t="s">
        <v>8007</v>
      </c>
      <c r="AI226" s="77" t="b">
        <v>0</v>
      </c>
      <c r="AJ226" s="77"/>
      <c r="AK226" s="77"/>
      <c r="AL226" s="77"/>
      <c r="AM226" s="77"/>
      <c r="AN226" s="77"/>
      <c r="AO226" s="77"/>
      <c r="AP226" s="77"/>
      <c r="AQ226" s="77" t="s">
        <v>10731</v>
      </c>
      <c r="AR226" s="77"/>
      <c r="AS226" s="77"/>
      <c r="AT226" s="77"/>
      <c r="AU226" s="77"/>
      <c r="AV226" s="80" t="str">
        <f>HYPERLINK("https://pbs.twimg.com/media/F3nUnbZXgAAiNWv.jpg")</f>
        <v>https://pbs.twimg.com/media/F3nUnbZXgAAiNWv.jpg</v>
      </c>
      <c r="AW226" s="82" t="s">
        <v>11935</v>
      </c>
      <c r="AX226" s="82" t="s">
        <v>11935</v>
      </c>
      <c r="AY226" s="77"/>
      <c r="AZ226" s="82" t="s">
        <v>15984</v>
      </c>
      <c r="BA226" s="82" t="s">
        <v>15984</v>
      </c>
      <c r="BB226" s="82" t="s">
        <v>15984</v>
      </c>
      <c r="BC226" s="82" t="s">
        <v>11935</v>
      </c>
      <c r="BD226" s="82" t="s">
        <v>16138</v>
      </c>
      <c r="BE226" s="77"/>
      <c r="BF226" s="77"/>
      <c r="BG226" s="77"/>
      <c r="BH226" s="77"/>
      <c r="BI226" s="77"/>
    </row>
    <row r="227" spans="1:61" x14ac:dyDescent="0.25">
      <c r="A227" s="62" t="s">
        <v>285</v>
      </c>
      <c r="B227" s="62" t="s">
        <v>285</v>
      </c>
      <c r="C227" s="63"/>
      <c r="D227" s="64"/>
      <c r="E227" s="65"/>
      <c r="F227" s="66"/>
      <c r="G227" s="63"/>
      <c r="H227" s="67"/>
      <c r="I227" s="68"/>
      <c r="J227" s="68"/>
      <c r="K227" s="32"/>
      <c r="L227" s="75">
        <v>227</v>
      </c>
      <c r="M227" s="75"/>
      <c r="N227" s="70"/>
      <c r="O227" s="77" t="s">
        <v>179</v>
      </c>
      <c r="P227" s="79">
        <v>45177.6093287037</v>
      </c>
      <c r="Q227" s="77" t="s">
        <v>1121</v>
      </c>
      <c r="R227" s="77">
        <v>0</v>
      </c>
      <c r="S227" s="77">
        <v>0</v>
      </c>
      <c r="T227" s="77">
        <v>0</v>
      </c>
      <c r="U227" s="77">
        <v>0</v>
      </c>
      <c r="V227" s="77">
        <v>16</v>
      </c>
      <c r="W227" s="82" t="s">
        <v>4937</v>
      </c>
      <c r="X227" s="77"/>
      <c r="Y227" s="77"/>
      <c r="Z227" s="77"/>
      <c r="AA227" s="77" t="s">
        <v>6760</v>
      </c>
      <c r="AB227" s="77" t="s">
        <v>7745</v>
      </c>
      <c r="AC227" s="82" t="s">
        <v>7752</v>
      </c>
      <c r="AD227" s="77" t="s">
        <v>7791</v>
      </c>
      <c r="AE227" s="80" t="str">
        <f>HYPERLINK("https://twitter.com/estrategia_fox/status/1700156393058185626")</f>
        <v>https://twitter.com/estrategia_fox/status/1700156393058185626</v>
      </c>
      <c r="AF227" s="79">
        <v>45177.6093287037</v>
      </c>
      <c r="AG227" s="85">
        <v>45177</v>
      </c>
      <c r="AH227" s="82" t="s">
        <v>8008</v>
      </c>
      <c r="AI227" s="77" t="b">
        <v>0</v>
      </c>
      <c r="AJ227" s="77"/>
      <c r="AK227" s="77"/>
      <c r="AL227" s="77"/>
      <c r="AM227" s="77"/>
      <c r="AN227" s="77"/>
      <c r="AO227" s="77"/>
      <c r="AP227" s="77"/>
      <c r="AQ227" s="77" t="s">
        <v>10732</v>
      </c>
      <c r="AR227" s="77"/>
      <c r="AS227" s="77"/>
      <c r="AT227" s="77"/>
      <c r="AU227" s="77"/>
      <c r="AV227" s="80" t="str">
        <f>HYPERLINK("https://pbs.twimg.com/media/F5grOOkX0AAj9M1.jpg")</f>
        <v>https://pbs.twimg.com/media/F5grOOkX0AAj9M1.jpg</v>
      </c>
      <c r="AW227" s="82" t="s">
        <v>11936</v>
      </c>
      <c r="AX227" s="82" t="s">
        <v>11936</v>
      </c>
      <c r="AY227" s="77"/>
      <c r="AZ227" s="82" t="s">
        <v>15984</v>
      </c>
      <c r="BA227" s="82" t="s">
        <v>15984</v>
      </c>
      <c r="BB227" s="82" t="s">
        <v>15984</v>
      </c>
      <c r="BC227" s="82" t="s">
        <v>11936</v>
      </c>
      <c r="BD227" s="82" t="s">
        <v>16138</v>
      </c>
      <c r="BE227" s="77"/>
      <c r="BF227" s="77"/>
      <c r="BG227" s="77"/>
      <c r="BH227" s="77"/>
      <c r="BI227" s="77"/>
    </row>
    <row r="228" spans="1:61" x14ac:dyDescent="0.25">
      <c r="A228" s="62" t="s">
        <v>286</v>
      </c>
      <c r="B228" s="62" t="s">
        <v>502</v>
      </c>
      <c r="C228" s="63"/>
      <c r="D228" s="64"/>
      <c r="E228" s="65"/>
      <c r="F228" s="66"/>
      <c r="G228" s="63"/>
      <c r="H228" s="67"/>
      <c r="I228" s="68"/>
      <c r="J228" s="68"/>
      <c r="K228" s="32"/>
      <c r="L228" s="75">
        <v>228</v>
      </c>
      <c r="M228" s="75"/>
      <c r="N228" s="70"/>
      <c r="O228" s="77" t="s">
        <v>897</v>
      </c>
      <c r="P228" s="79">
        <v>45189.419490740744</v>
      </c>
      <c r="Q228" s="77" t="s">
        <v>1118</v>
      </c>
      <c r="R228" s="77">
        <v>12</v>
      </c>
      <c r="S228" s="77">
        <v>0</v>
      </c>
      <c r="T228" s="77">
        <v>0</v>
      </c>
      <c r="U228" s="77">
        <v>0</v>
      </c>
      <c r="V228" s="77"/>
      <c r="W228" s="82" t="s">
        <v>4934</v>
      </c>
      <c r="X228" s="77"/>
      <c r="Y228" s="77"/>
      <c r="Z228" s="77" t="s">
        <v>502</v>
      </c>
      <c r="AA228" s="77"/>
      <c r="AB228" s="77"/>
      <c r="AC228" s="82" t="s">
        <v>7755</v>
      </c>
      <c r="AD228" s="77" t="s">
        <v>7790</v>
      </c>
      <c r="AE228" s="80" t="str">
        <f>HYPERLINK("https://twitter.com/jripollgarciam1/status/1704436252215304619")</f>
        <v>https://twitter.com/jripollgarciam1/status/1704436252215304619</v>
      </c>
      <c r="AF228" s="79">
        <v>45189.419490740744</v>
      </c>
      <c r="AG228" s="85">
        <v>45189</v>
      </c>
      <c r="AH228" s="82" t="s">
        <v>8009</v>
      </c>
      <c r="AI228" s="77"/>
      <c r="AJ228" s="77"/>
      <c r="AK228" s="77"/>
      <c r="AL228" s="77"/>
      <c r="AM228" s="77"/>
      <c r="AN228" s="77"/>
      <c r="AO228" s="77"/>
      <c r="AP228" s="77"/>
      <c r="AQ228" s="77"/>
      <c r="AR228" s="77"/>
      <c r="AS228" s="77"/>
      <c r="AT228" s="77"/>
      <c r="AU228" s="77"/>
      <c r="AV228" s="80" t="str">
        <f>HYPERLINK("https://abs.twimg.com/sticky/default_profile_images/default_profile_normal.png")</f>
        <v>https://abs.twimg.com/sticky/default_profile_images/default_profile_normal.png</v>
      </c>
      <c r="AW228" s="82" t="s">
        <v>11937</v>
      </c>
      <c r="AX228" s="82" t="s">
        <v>11937</v>
      </c>
      <c r="AY228" s="77"/>
      <c r="AZ228" s="82" t="s">
        <v>15984</v>
      </c>
      <c r="BA228" s="82" t="s">
        <v>15984</v>
      </c>
      <c r="BB228" s="82" t="s">
        <v>13287</v>
      </c>
      <c r="BC228" s="82" t="s">
        <v>13287</v>
      </c>
      <c r="BD228" s="77">
        <v>3058312464</v>
      </c>
      <c r="BE228" s="77"/>
      <c r="BF228" s="77"/>
      <c r="BG228" s="77"/>
      <c r="BH228" s="77"/>
      <c r="BI228" s="77"/>
    </row>
    <row r="229" spans="1:61" x14ac:dyDescent="0.25">
      <c r="A229" s="62" t="s">
        <v>287</v>
      </c>
      <c r="B229" s="62" t="s">
        <v>287</v>
      </c>
      <c r="C229" s="63"/>
      <c r="D229" s="64"/>
      <c r="E229" s="65"/>
      <c r="F229" s="66"/>
      <c r="G229" s="63"/>
      <c r="H229" s="67"/>
      <c r="I229" s="68"/>
      <c r="J229" s="68"/>
      <c r="K229" s="32"/>
      <c r="L229" s="75">
        <v>229</v>
      </c>
      <c r="M229" s="75"/>
      <c r="N229" s="70"/>
      <c r="O229" s="77" t="s">
        <v>179</v>
      </c>
      <c r="P229" s="79">
        <v>45137.500694444447</v>
      </c>
      <c r="Q229" s="77" t="s">
        <v>1122</v>
      </c>
      <c r="R229" s="77">
        <v>0</v>
      </c>
      <c r="S229" s="77">
        <v>0</v>
      </c>
      <c r="T229" s="77">
        <v>0</v>
      </c>
      <c r="U229" s="77">
        <v>0</v>
      </c>
      <c r="V229" s="77">
        <v>27</v>
      </c>
      <c r="W229" s="82" t="s">
        <v>4938</v>
      </c>
      <c r="X229" s="77"/>
      <c r="Y229" s="77"/>
      <c r="Z229" s="77"/>
      <c r="AA229" s="77" t="s">
        <v>6761</v>
      </c>
      <c r="AB229" s="77" t="s">
        <v>7743</v>
      </c>
      <c r="AC229" s="82" t="s">
        <v>7756</v>
      </c>
      <c r="AD229" s="77" t="s">
        <v>7788</v>
      </c>
      <c r="AE229" s="80" t="str">
        <f>HYPERLINK("https://twitter.com/sonartrade/status/1685621513255358465")</f>
        <v>https://twitter.com/sonartrade/status/1685621513255358465</v>
      </c>
      <c r="AF229" s="79">
        <v>45137.500694444447</v>
      </c>
      <c r="AG229" s="85">
        <v>45137</v>
      </c>
      <c r="AH229" s="82" t="s">
        <v>8010</v>
      </c>
      <c r="AI229" s="77" t="b">
        <v>0</v>
      </c>
      <c r="AJ229" s="77"/>
      <c r="AK229" s="77"/>
      <c r="AL229" s="77"/>
      <c r="AM229" s="77"/>
      <c r="AN229" s="77"/>
      <c r="AO229" s="77"/>
      <c r="AP229" s="77"/>
      <c r="AQ229" s="77" t="s">
        <v>10733</v>
      </c>
      <c r="AR229" s="77">
        <v>23296</v>
      </c>
      <c r="AS229" s="77"/>
      <c r="AT229" s="77"/>
      <c r="AU229" s="77"/>
      <c r="AV229" s="80" t="str">
        <f>HYPERLINK("https://pbs.twimg.com/ext_tw_video_thumb/1685621331214127104/pu/img/7tUdBvQazNI1IimW.jpg")</f>
        <v>https://pbs.twimg.com/ext_tw_video_thumb/1685621331214127104/pu/img/7tUdBvQazNI1IimW.jpg</v>
      </c>
      <c r="AW229" s="82" t="s">
        <v>11938</v>
      </c>
      <c r="AX229" s="82" t="s">
        <v>11938</v>
      </c>
      <c r="AY229" s="77"/>
      <c r="AZ229" s="82" t="s">
        <v>15984</v>
      </c>
      <c r="BA229" s="82" t="s">
        <v>15984</v>
      </c>
      <c r="BB229" s="82" t="s">
        <v>15984</v>
      </c>
      <c r="BC229" s="82" t="s">
        <v>11938</v>
      </c>
      <c r="BD229" s="82" t="s">
        <v>16139</v>
      </c>
      <c r="BE229" s="77"/>
      <c r="BF229" s="77"/>
      <c r="BG229" s="77"/>
      <c r="BH229" s="77"/>
      <c r="BI229" s="77"/>
    </row>
    <row r="230" spans="1:61" x14ac:dyDescent="0.25">
      <c r="A230" s="62" t="s">
        <v>287</v>
      </c>
      <c r="B230" s="62" t="s">
        <v>287</v>
      </c>
      <c r="C230" s="63"/>
      <c r="D230" s="64"/>
      <c r="E230" s="65"/>
      <c r="F230" s="66"/>
      <c r="G230" s="63"/>
      <c r="H230" s="67"/>
      <c r="I230" s="68"/>
      <c r="J230" s="68"/>
      <c r="K230" s="32"/>
      <c r="L230" s="75">
        <v>230</v>
      </c>
      <c r="M230" s="75"/>
      <c r="N230" s="70"/>
      <c r="O230" s="77" t="s">
        <v>179</v>
      </c>
      <c r="P230" s="79">
        <v>45149.875810185185</v>
      </c>
      <c r="Q230" s="77" t="s">
        <v>1123</v>
      </c>
      <c r="R230" s="77">
        <v>0</v>
      </c>
      <c r="S230" s="77">
        <v>0</v>
      </c>
      <c r="T230" s="77">
        <v>0</v>
      </c>
      <c r="U230" s="77">
        <v>0</v>
      </c>
      <c r="V230" s="77">
        <v>30</v>
      </c>
      <c r="W230" s="82" t="s">
        <v>4939</v>
      </c>
      <c r="X230" s="77"/>
      <c r="Y230" s="77"/>
      <c r="Z230" s="77"/>
      <c r="AA230" s="77" t="s">
        <v>6762</v>
      </c>
      <c r="AB230" s="77" t="s">
        <v>7743</v>
      </c>
      <c r="AC230" s="82" t="s">
        <v>7756</v>
      </c>
      <c r="AD230" s="77" t="s">
        <v>7788</v>
      </c>
      <c r="AE230" s="80" t="str">
        <f>HYPERLINK("https://twitter.com/sonartrade/status/1690106105500684288")</f>
        <v>https://twitter.com/sonartrade/status/1690106105500684288</v>
      </c>
      <c r="AF230" s="79">
        <v>45149.875810185185</v>
      </c>
      <c r="AG230" s="85">
        <v>45149</v>
      </c>
      <c r="AH230" s="82" t="s">
        <v>8011</v>
      </c>
      <c r="AI230" s="77" t="b">
        <v>0</v>
      </c>
      <c r="AJ230" s="77"/>
      <c r="AK230" s="77"/>
      <c r="AL230" s="77"/>
      <c r="AM230" s="77"/>
      <c r="AN230" s="77"/>
      <c r="AO230" s="77"/>
      <c r="AP230" s="77"/>
      <c r="AQ230" s="77" t="s">
        <v>10734</v>
      </c>
      <c r="AR230" s="77">
        <v>18390</v>
      </c>
      <c r="AS230" s="77"/>
      <c r="AT230" s="77"/>
      <c r="AU230" s="77"/>
      <c r="AV230" s="80" t="str">
        <f>HYPERLINK("https://pbs.twimg.com/ext_tw_video_thumb/1690105934280863745/pu/img/NVVJpYPTvCKFjiev.jpg")</f>
        <v>https://pbs.twimg.com/ext_tw_video_thumb/1690105934280863745/pu/img/NVVJpYPTvCKFjiev.jpg</v>
      </c>
      <c r="AW230" s="82" t="s">
        <v>11939</v>
      </c>
      <c r="AX230" s="82" t="s">
        <v>11939</v>
      </c>
      <c r="AY230" s="77"/>
      <c r="AZ230" s="82" t="s">
        <v>15984</v>
      </c>
      <c r="BA230" s="82" t="s">
        <v>15984</v>
      </c>
      <c r="BB230" s="82" t="s">
        <v>15984</v>
      </c>
      <c r="BC230" s="82" t="s">
        <v>11939</v>
      </c>
      <c r="BD230" s="82" t="s">
        <v>16139</v>
      </c>
      <c r="BE230" s="77"/>
      <c r="BF230" s="77"/>
      <c r="BG230" s="77"/>
      <c r="BH230" s="77"/>
      <c r="BI230" s="77"/>
    </row>
    <row r="231" spans="1:61" x14ac:dyDescent="0.25">
      <c r="A231" s="62" t="s">
        <v>287</v>
      </c>
      <c r="B231" s="62" t="s">
        <v>287</v>
      </c>
      <c r="C231" s="63"/>
      <c r="D231" s="64"/>
      <c r="E231" s="65"/>
      <c r="F231" s="66"/>
      <c r="G231" s="63"/>
      <c r="H231" s="67"/>
      <c r="I231" s="68"/>
      <c r="J231" s="68"/>
      <c r="K231" s="32"/>
      <c r="L231" s="75">
        <v>231</v>
      </c>
      <c r="M231" s="75"/>
      <c r="N231" s="70"/>
      <c r="O231" s="77" t="s">
        <v>179</v>
      </c>
      <c r="P231" s="79">
        <v>45167.944849537038</v>
      </c>
      <c r="Q231" s="77" t="s">
        <v>1124</v>
      </c>
      <c r="R231" s="77">
        <v>0</v>
      </c>
      <c r="S231" s="77">
        <v>0</v>
      </c>
      <c r="T231" s="77">
        <v>0</v>
      </c>
      <c r="U231" s="77">
        <v>0</v>
      </c>
      <c r="V231" s="77">
        <v>55</v>
      </c>
      <c r="W231" s="82" t="s">
        <v>4940</v>
      </c>
      <c r="X231" s="77"/>
      <c r="Y231" s="77"/>
      <c r="Z231" s="77"/>
      <c r="AA231" s="77" t="s">
        <v>6763</v>
      </c>
      <c r="AB231" s="77" t="s">
        <v>7742</v>
      </c>
      <c r="AC231" s="82" t="s">
        <v>7756</v>
      </c>
      <c r="AD231" s="77" t="s">
        <v>7788</v>
      </c>
      <c r="AE231" s="80" t="str">
        <f>HYPERLINK("https://twitter.com/sonartrade/status/1696654104058048706")</f>
        <v>https://twitter.com/sonartrade/status/1696654104058048706</v>
      </c>
      <c r="AF231" s="79">
        <v>45167.944849537038</v>
      </c>
      <c r="AG231" s="85">
        <v>45167</v>
      </c>
      <c r="AH231" s="82" t="s">
        <v>8012</v>
      </c>
      <c r="AI231" s="77" t="b">
        <v>0</v>
      </c>
      <c r="AJ231" s="77"/>
      <c r="AK231" s="77"/>
      <c r="AL231" s="77"/>
      <c r="AM231" s="77"/>
      <c r="AN231" s="77"/>
      <c r="AO231" s="77"/>
      <c r="AP231" s="77"/>
      <c r="AQ231" s="77" t="s">
        <v>10735</v>
      </c>
      <c r="AR231" s="77"/>
      <c r="AS231" s="77"/>
      <c r="AT231" s="77"/>
      <c r="AU231" s="77"/>
      <c r="AV231" s="80" t="str">
        <f>HYPERLINK("https://pbs.twimg.com/media/F4u5y58XAAABl2s.jpg")</f>
        <v>https://pbs.twimg.com/media/F4u5y58XAAABl2s.jpg</v>
      </c>
      <c r="AW231" s="82" t="s">
        <v>11940</v>
      </c>
      <c r="AX231" s="82" t="s">
        <v>11940</v>
      </c>
      <c r="AY231" s="77"/>
      <c r="AZ231" s="82" t="s">
        <v>15984</v>
      </c>
      <c r="BA231" s="82" t="s">
        <v>15984</v>
      </c>
      <c r="BB231" s="82" t="s">
        <v>15984</v>
      </c>
      <c r="BC231" s="82" t="s">
        <v>11940</v>
      </c>
      <c r="BD231" s="82" t="s">
        <v>16139</v>
      </c>
      <c r="BE231" s="77"/>
      <c r="BF231" s="77"/>
      <c r="BG231" s="77"/>
      <c r="BH231" s="77"/>
      <c r="BI231" s="77"/>
    </row>
    <row r="232" spans="1:61" x14ac:dyDescent="0.25">
      <c r="A232" s="62" t="s">
        <v>287</v>
      </c>
      <c r="B232" s="62" t="s">
        <v>287</v>
      </c>
      <c r="C232" s="63"/>
      <c r="D232" s="64"/>
      <c r="E232" s="65"/>
      <c r="F232" s="66"/>
      <c r="G232" s="63"/>
      <c r="H232" s="67"/>
      <c r="I232" s="68"/>
      <c r="J232" s="68"/>
      <c r="K232" s="32"/>
      <c r="L232" s="75">
        <v>232</v>
      </c>
      <c r="M232" s="75"/>
      <c r="N232" s="70"/>
      <c r="O232" s="77" t="s">
        <v>179</v>
      </c>
      <c r="P232" s="79">
        <v>45163.917442129627</v>
      </c>
      <c r="Q232" s="77" t="s">
        <v>1125</v>
      </c>
      <c r="R232" s="77">
        <v>0</v>
      </c>
      <c r="S232" s="77">
        <v>0</v>
      </c>
      <c r="T232" s="77">
        <v>2</v>
      </c>
      <c r="U232" s="77">
        <v>0</v>
      </c>
      <c r="V232" s="77">
        <v>61</v>
      </c>
      <c r="W232" s="82" t="s">
        <v>4941</v>
      </c>
      <c r="X232" s="77"/>
      <c r="Y232" s="77"/>
      <c r="Z232" s="77"/>
      <c r="AA232" s="77" t="s">
        <v>6764</v>
      </c>
      <c r="AB232" s="77" t="s">
        <v>7743</v>
      </c>
      <c r="AC232" s="82" t="s">
        <v>7756</v>
      </c>
      <c r="AD232" s="77" t="s">
        <v>7788</v>
      </c>
      <c r="AE232" s="80" t="str">
        <f>HYPERLINK("https://twitter.com/sonartrade/status/1695194619812663299")</f>
        <v>https://twitter.com/sonartrade/status/1695194619812663299</v>
      </c>
      <c r="AF232" s="79">
        <v>45163.917442129627</v>
      </c>
      <c r="AG232" s="85">
        <v>45163</v>
      </c>
      <c r="AH232" s="82" t="s">
        <v>8013</v>
      </c>
      <c r="AI232" s="77" t="b">
        <v>0</v>
      </c>
      <c r="AJ232" s="77"/>
      <c r="AK232" s="77"/>
      <c r="AL232" s="77"/>
      <c r="AM232" s="77"/>
      <c r="AN232" s="77"/>
      <c r="AO232" s="77"/>
      <c r="AP232" s="77"/>
      <c r="AQ232" s="77" t="s">
        <v>10736</v>
      </c>
      <c r="AR232" s="77">
        <v>16853</v>
      </c>
      <c r="AS232" s="77"/>
      <c r="AT232" s="77"/>
      <c r="AU232" s="77"/>
      <c r="AV232" s="80" t="str">
        <f>HYPERLINK("https://pbs.twimg.com/ext_tw_video_thumb/1695194441961648128/pu/img/W8jjmD7HztVtH2Bz.jpg")</f>
        <v>https://pbs.twimg.com/ext_tw_video_thumb/1695194441961648128/pu/img/W8jjmD7HztVtH2Bz.jpg</v>
      </c>
      <c r="AW232" s="82" t="s">
        <v>11941</v>
      </c>
      <c r="AX232" s="82" t="s">
        <v>11941</v>
      </c>
      <c r="AY232" s="77"/>
      <c r="AZ232" s="82" t="s">
        <v>15984</v>
      </c>
      <c r="BA232" s="82" t="s">
        <v>15984</v>
      </c>
      <c r="BB232" s="82" t="s">
        <v>15984</v>
      </c>
      <c r="BC232" s="82" t="s">
        <v>11941</v>
      </c>
      <c r="BD232" s="82" t="s">
        <v>16139</v>
      </c>
      <c r="BE232" s="77"/>
      <c r="BF232" s="77"/>
      <c r="BG232" s="77"/>
      <c r="BH232" s="77"/>
      <c r="BI232" s="77"/>
    </row>
    <row r="233" spans="1:61" x14ac:dyDescent="0.25">
      <c r="A233" s="62" t="s">
        <v>287</v>
      </c>
      <c r="B233" s="62" t="s">
        <v>287</v>
      </c>
      <c r="C233" s="63"/>
      <c r="D233" s="64"/>
      <c r="E233" s="65"/>
      <c r="F233" s="66"/>
      <c r="G233" s="63"/>
      <c r="H233" s="67"/>
      <c r="I233" s="68"/>
      <c r="J233" s="68"/>
      <c r="K233" s="32"/>
      <c r="L233" s="75">
        <v>233</v>
      </c>
      <c r="M233" s="75"/>
      <c r="N233" s="70"/>
      <c r="O233" s="77" t="s">
        <v>179</v>
      </c>
      <c r="P233" s="79">
        <v>45168.917349537034</v>
      </c>
      <c r="Q233" s="77" t="s">
        <v>1126</v>
      </c>
      <c r="R233" s="77">
        <v>0</v>
      </c>
      <c r="S233" s="77">
        <v>0</v>
      </c>
      <c r="T233" s="77">
        <v>0</v>
      </c>
      <c r="U233" s="77">
        <v>0</v>
      </c>
      <c r="V233" s="77">
        <v>51</v>
      </c>
      <c r="W233" s="82" t="s">
        <v>4942</v>
      </c>
      <c r="X233" s="77"/>
      <c r="Y233" s="77"/>
      <c r="Z233" s="77"/>
      <c r="AA233" s="77" t="s">
        <v>6765</v>
      </c>
      <c r="AB233" s="77" t="s">
        <v>7743</v>
      </c>
      <c r="AC233" s="82" t="s">
        <v>7756</v>
      </c>
      <c r="AD233" s="77" t="s">
        <v>7788</v>
      </c>
      <c r="AE233" s="80" t="str">
        <f>HYPERLINK("https://twitter.com/sonartrade/status/1697006528258044100")</f>
        <v>https://twitter.com/sonartrade/status/1697006528258044100</v>
      </c>
      <c r="AF233" s="79">
        <v>45168.917349537034</v>
      </c>
      <c r="AG233" s="85">
        <v>45168</v>
      </c>
      <c r="AH233" s="82" t="s">
        <v>8014</v>
      </c>
      <c r="AI233" s="77" t="b">
        <v>0</v>
      </c>
      <c r="AJ233" s="77"/>
      <c r="AK233" s="77"/>
      <c r="AL233" s="77"/>
      <c r="AM233" s="77"/>
      <c r="AN233" s="77"/>
      <c r="AO233" s="77"/>
      <c r="AP233" s="77"/>
      <c r="AQ233" s="77" t="s">
        <v>10737</v>
      </c>
      <c r="AR233" s="77">
        <v>24000</v>
      </c>
      <c r="AS233" s="77"/>
      <c r="AT233" s="77"/>
      <c r="AU233" s="77"/>
      <c r="AV233" s="80" t="str">
        <f>HYPERLINK("https://pbs.twimg.com/ext_tw_video_thumb/1697006366173401088/pu/img/3M7hgbtxjdntvXjo.jpg")</f>
        <v>https://pbs.twimg.com/ext_tw_video_thumb/1697006366173401088/pu/img/3M7hgbtxjdntvXjo.jpg</v>
      </c>
      <c r="AW233" s="82" t="s">
        <v>11942</v>
      </c>
      <c r="AX233" s="82" t="s">
        <v>11942</v>
      </c>
      <c r="AY233" s="77"/>
      <c r="AZ233" s="82" t="s">
        <v>15984</v>
      </c>
      <c r="BA233" s="82" t="s">
        <v>15984</v>
      </c>
      <c r="BB233" s="82" t="s">
        <v>15984</v>
      </c>
      <c r="BC233" s="82" t="s">
        <v>11942</v>
      </c>
      <c r="BD233" s="82" t="s">
        <v>16139</v>
      </c>
      <c r="BE233" s="77"/>
      <c r="BF233" s="77"/>
      <c r="BG233" s="77"/>
      <c r="BH233" s="77"/>
      <c r="BI233" s="77"/>
    </row>
    <row r="234" spans="1:61" x14ac:dyDescent="0.25">
      <c r="A234" s="62" t="s">
        <v>287</v>
      </c>
      <c r="B234" s="62" t="s">
        <v>287</v>
      </c>
      <c r="C234" s="63"/>
      <c r="D234" s="64"/>
      <c r="E234" s="65"/>
      <c r="F234" s="66"/>
      <c r="G234" s="63"/>
      <c r="H234" s="67"/>
      <c r="I234" s="68"/>
      <c r="J234" s="68"/>
      <c r="K234" s="32"/>
      <c r="L234" s="75">
        <v>234</v>
      </c>
      <c r="M234" s="75"/>
      <c r="N234" s="70"/>
      <c r="O234" s="77" t="s">
        <v>179</v>
      </c>
      <c r="P234" s="79">
        <v>45142.875717592593</v>
      </c>
      <c r="Q234" s="77" t="s">
        <v>1127</v>
      </c>
      <c r="R234" s="77">
        <v>0</v>
      </c>
      <c r="S234" s="77">
        <v>0</v>
      </c>
      <c r="T234" s="77">
        <v>0</v>
      </c>
      <c r="U234" s="77">
        <v>0</v>
      </c>
      <c r="V234" s="77">
        <v>46</v>
      </c>
      <c r="W234" s="82" t="s">
        <v>4943</v>
      </c>
      <c r="X234" s="77"/>
      <c r="Y234" s="77"/>
      <c r="Z234" s="77"/>
      <c r="AA234" s="77" t="s">
        <v>6766</v>
      </c>
      <c r="AB234" s="77" t="s">
        <v>7743</v>
      </c>
      <c r="AC234" s="82" t="s">
        <v>7756</v>
      </c>
      <c r="AD234" s="77" t="s">
        <v>7788</v>
      </c>
      <c r="AE234" s="80" t="str">
        <f>HYPERLINK("https://twitter.com/sonartrade/status/1687569353904914433")</f>
        <v>https://twitter.com/sonartrade/status/1687569353904914433</v>
      </c>
      <c r="AF234" s="79">
        <v>45142.875717592593</v>
      </c>
      <c r="AG234" s="85">
        <v>45142</v>
      </c>
      <c r="AH234" s="82" t="s">
        <v>8015</v>
      </c>
      <c r="AI234" s="77" t="b">
        <v>0</v>
      </c>
      <c r="AJ234" s="77"/>
      <c r="AK234" s="77"/>
      <c r="AL234" s="77"/>
      <c r="AM234" s="77"/>
      <c r="AN234" s="77"/>
      <c r="AO234" s="77"/>
      <c r="AP234" s="77"/>
      <c r="AQ234" s="77" t="s">
        <v>10738</v>
      </c>
      <c r="AR234" s="77">
        <v>22311</v>
      </c>
      <c r="AS234" s="77"/>
      <c r="AT234" s="77"/>
      <c r="AU234" s="77"/>
      <c r="AV234" s="80" t="str">
        <f>HYPERLINK("https://pbs.twimg.com/ext_tw_video_thumb/1687569202050207744/pu/img/YZeMzqahtoaT0qug.jpg")</f>
        <v>https://pbs.twimg.com/ext_tw_video_thumb/1687569202050207744/pu/img/YZeMzqahtoaT0qug.jpg</v>
      </c>
      <c r="AW234" s="82" t="s">
        <v>11943</v>
      </c>
      <c r="AX234" s="82" t="s">
        <v>11943</v>
      </c>
      <c r="AY234" s="77"/>
      <c r="AZ234" s="82" t="s">
        <v>15984</v>
      </c>
      <c r="BA234" s="82" t="s">
        <v>15984</v>
      </c>
      <c r="BB234" s="82" t="s">
        <v>15984</v>
      </c>
      <c r="BC234" s="82" t="s">
        <v>11943</v>
      </c>
      <c r="BD234" s="82" t="s">
        <v>16139</v>
      </c>
      <c r="BE234" s="77"/>
      <c r="BF234" s="77"/>
      <c r="BG234" s="77"/>
      <c r="BH234" s="77"/>
      <c r="BI234" s="77"/>
    </row>
    <row r="235" spans="1:61" x14ac:dyDescent="0.25">
      <c r="A235" s="62" t="s">
        <v>287</v>
      </c>
      <c r="B235" s="62" t="s">
        <v>287</v>
      </c>
      <c r="C235" s="63"/>
      <c r="D235" s="64"/>
      <c r="E235" s="65"/>
      <c r="F235" s="66"/>
      <c r="G235" s="63"/>
      <c r="H235" s="67"/>
      <c r="I235" s="68"/>
      <c r="J235" s="68"/>
      <c r="K235" s="32"/>
      <c r="L235" s="75">
        <v>235</v>
      </c>
      <c r="M235" s="75"/>
      <c r="N235" s="70"/>
      <c r="O235" s="77" t="s">
        <v>179</v>
      </c>
      <c r="P235" s="79">
        <v>45175.931423611109</v>
      </c>
      <c r="Q235" s="77" t="s">
        <v>1128</v>
      </c>
      <c r="R235" s="77">
        <v>0</v>
      </c>
      <c r="S235" s="77">
        <v>0</v>
      </c>
      <c r="T235" s="77">
        <v>0</v>
      </c>
      <c r="U235" s="77">
        <v>0</v>
      </c>
      <c r="V235" s="77">
        <v>21</v>
      </c>
      <c r="W235" s="82" t="s">
        <v>4944</v>
      </c>
      <c r="X235" s="77"/>
      <c r="Y235" s="77"/>
      <c r="Z235" s="77"/>
      <c r="AA235" s="77" t="s">
        <v>6767</v>
      </c>
      <c r="AB235" s="77" t="s">
        <v>7743</v>
      </c>
      <c r="AC235" s="82" t="s">
        <v>7756</v>
      </c>
      <c r="AD235" s="77" t="s">
        <v>7788</v>
      </c>
      <c r="AE235" s="80" t="str">
        <f>HYPERLINK("https://twitter.com/sonartrade/status/1699548340617199781")</f>
        <v>https://twitter.com/sonartrade/status/1699548340617199781</v>
      </c>
      <c r="AF235" s="79">
        <v>45175.931423611109</v>
      </c>
      <c r="AG235" s="85">
        <v>45175</v>
      </c>
      <c r="AH235" s="82" t="s">
        <v>8016</v>
      </c>
      <c r="AI235" s="77" t="b">
        <v>0</v>
      </c>
      <c r="AJ235" s="77"/>
      <c r="AK235" s="77"/>
      <c r="AL235" s="77"/>
      <c r="AM235" s="77"/>
      <c r="AN235" s="77"/>
      <c r="AO235" s="77"/>
      <c r="AP235" s="77"/>
      <c r="AQ235" s="77" t="s">
        <v>10739</v>
      </c>
      <c r="AR235" s="77">
        <v>28000</v>
      </c>
      <c r="AS235" s="77"/>
      <c r="AT235" s="77"/>
      <c r="AU235" s="77"/>
      <c r="AV235" s="80" t="str">
        <f>HYPERLINK("https://pbs.twimg.com/ext_tw_video_thumb/1699548115718529025/pu/img/z7oFCX40kz5kWn0s.jpg")</f>
        <v>https://pbs.twimg.com/ext_tw_video_thumb/1699548115718529025/pu/img/z7oFCX40kz5kWn0s.jpg</v>
      </c>
      <c r="AW235" s="82" t="s">
        <v>11944</v>
      </c>
      <c r="AX235" s="82" t="s">
        <v>11944</v>
      </c>
      <c r="AY235" s="77"/>
      <c r="AZ235" s="82" t="s">
        <v>15984</v>
      </c>
      <c r="BA235" s="82" t="s">
        <v>15984</v>
      </c>
      <c r="BB235" s="82" t="s">
        <v>15984</v>
      </c>
      <c r="BC235" s="82" t="s">
        <v>11944</v>
      </c>
      <c r="BD235" s="82" t="s">
        <v>16139</v>
      </c>
      <c r="BE235" s="77"/>
      <c r="BF235" s="77"/>
      <c r="BG235" s="77"/>
      <c r="BH235" s="77"/>
      <c r="BI235" s="77"/>
    </row>
    <row r="236" spans="1:61" x14ac:dyDescent="0.25">
      <c r="A236" s="62" t="s">
        <v>287</v>
      </c>
      <c r="B236" s="62" t="s">
        <v>287</v>
      </c>
      <c r="C236" s="63"/>
      <c r="D236" s="64"/>
      <c r="E236" s="65"/>
      <c r="F236" s="66"/>
      <c r="G236" s="63"/>
      <c r="H236" s="67"/>
      <c r="I236" s="68"/>
      <c r="J236" s="68"/>
      <c r="K236" s="32"/>
      <c r="L236" s="75">
        <v>236</v>
      </c>
      <c r="M236" s="75"/>
      <c r="N236" s="70"/>
      <c r="O236" s="77" t="s">
        <v>179</v>
      </c>
      <c r="P236" s="79">
        <v>45183.922777777778</v>
      </c>
      <c r="Q236" s="77" t="s">
        <v>1129</v>
      </c>
      <c r="R236" s="77">
        <v>0</v>
      </c>
      <c r="S236" s="77">
        <v>0</v>
      </c>
      <c r="T236" s="77">
        <v>0</v>
      </c>
      <c r="U236" s="77">
        <v>0</v>
      </c>
      <c r="V236" s="77">
        <v>40</v>
      </c>
      <c r="W236" s="82" t="s">
        <v>4945</v>
      </c>
      <c r="X236" s="77"/>
      <c r="Y236" s="77"/>
      <c r="Z236" s="77"/>
      <c r="AA236" s="77" t="s">
        <v>6768</v>
      </c>
      <c r="AB236" s="77" t="s">
        <v>7743</v>
      </c>
      <c r="AC236" s="82" t="s">
        <v>7756</v>
      </c>
      <c r="AD236" s="77" t="s">
        <v>7788</v>
      </c>
      <c r="AE236" s="80" t="str">
        <f>HYPERLINK("https://twitter.com/sonartrade/status/1702444312858853568")</f>
        <v>https://twitter.com/sonartrade/status/1702444312858853568</v>
      </c>
      <c r="AF236" s="79">
        <v>45183.922777777778</v>
      </c>
      <c r="AG236" s="85">
        <v>45183</v>
      </c>
      <c r="AH236" s="82" t="s">
        <v>8017</v>
      </c>
      <c r="AI236" s="77" t="b">
        <v>0</v>
      </c>
      <c r="AJ236" s="77"/>
      <c r="AK236" s="77"/>
      <c r="AL236" s="77"/>
      <c r="AM236" s="77"/>
      <c r="AN236" s="77"/>
      <c r="AO236" s="77"/>
      <c r="AP236" s="77"/>
      <c r="AQ236" s="77" t="s">
        <v>10740</v>
      </c>
      <c r="AR236" s="77">
        <v>28686</v>
      </c>
      <c r="AS236" s="77"/>
      <c r="AT236" s="77"/>
      <c r="AU236" s="77"/>
      <c r="AV236" s="80" t="str">
        <f>HYPERLINK("https://pbs.twimg.com/ext_tw_video_thumb/1702444110605434880/pu/img/EqtDqTqxdkZNtqXc.jpg")</f>
        <v>https://pbs.twimg.com/ext_tw_video_thumb/1702444110605434880/pu/img/EqtDqTqxdkZNtqXc.jpg</v>
      </c>
      <c r="AW236" s="82" t="s">
        <v>11945</v>
      </c>
      <c r="AX236" s="82" t="s">
        <v>11945</v>
      </c>
      <c r="AY236" s="77"/>
      <c r="AZ236" s="82" t="s">
        <v>15984</v>
      </c>
      <c r="BA236" s="82" t="s">
        <v>15984</v>
      </c>
      <c r="BB236" s="82" t="s">
        <v>15984</v>
      </c>
      <c r="BC236" s="82" t="s">
        <v>11945</v>
      </c>
      <c r="BD236" s="82" t="s">
        <v>16139</v>
      </c>
      <c r="BE236" s="77"/>
      <c r="BF236" s="77"/>
      <c r="BG236" s="77"/>
      <c r="BH236" s="77"/>
      <c r="BI236" s="77"/>
    </row>
    <row r="237" spans="1:61" x14ac:dyDescent="0.25">
      <c r="A237" s="62" t="s">
        <v>287</v>
      </c>
      <c r="B237" s="62" t="s">
        <v>287</v>
      </c>
      <c r="C237" s="63"/>
      <c r="D237" s="64"/>
      <c r="E237" s="65"/>
      <c r="F237" s="66"/>
      <c r="G237" s="63"/>
      <c r="H237" s="67"/>
      <c r="I237" s="68"/>
      <c r="J237" s="68"/>
      <c r="K237" s="32"/>
      <c r="L237" s="75">
        <v>237</v>
      </c>
      <c r="M237" s="75"/>
      <c r="N237" s="70"/>
      <c r="O237" s="77" t="s">
        <v>179</v>
      </c>
      <c r="P237" s="79">
        <v>45182.943414351852</v>
      </c>
      <c r="Q237" s="77" t="s">
        <v>1130</v>
      </c>
      <c r="R237" s="77">
        <v>0</v>
      </c>
      <c r="S237" s="77">
        <v>0</v>
      </c>
      <c r="T237" s="77">
        <v>0</v>
      </c>
      <c r="U237" s="77">
        <v>0</v>
      </c>
      <c r="V237" s="77">
        <v>37</v>
      </c>
      <c r="W237" s="82" t="s">
        <v>4946</v>
      </c>
      <c r="X237" s="77"/>
      <c r="Y237" s="77"/>
      <c r="Z237" s="77"/>
      <c r="AA237" s="77" t="s">
        <v>6769</v>
      </c>
      <c r="AB237" s="77" t="s">
        <v>7742</v>
      </c>
      <c r="AC237" s="82" t="s">
        <v>7756</v>
      </c>
      <c r="AD237" s="77" t="s">
        <v>7788</v>
      </c>
      <c r="AE237" s="80" t="str">
        <f>HYPERLINK("https://twitter.com/sonartrade/status/1702089403361796514")</f>
        <v>https://twitter.com/sonartrade/status/1702089403361796514</v>
      </c>
      <c r="AF237" s="79">
        <v>45182.943414351852</v>
      </c>
      <c r="AG237" s="85">
        <v>45182</v>
      </c>
      <c r="AH237" s="82" t="s">
        <v>8018</v>
      </c>
      <c r="AI237" s="77" t="b">
        <v>0</v>
      </c>
      <c r="AJ237" s="77"/>
      <c r="AK237" s="77"/>
      <c r="AL237" s="77"/>
      <c r="AM237" s="77"/>
      <c r="AN237" s="77"/>
      <c r="AO237" s="77"/>
      <c r="AP237" s="77"/>
      <c r="AQ237" s="77" t="s">
        <v>10741</v>
      </c>
      <c r="AR237" s="77"/>
      <c r="AS237" s="77"/>
      <c r="AT237" s="77"/>
      <c r="AU237" s="77"/>
      <c r="AV237" s="80" t="str">
        <f>HYPERLINK("https://pbs.twimg.com/media/F58JLOTWUAAaCBn.jpg")</f>
        <v>https://pbs.twimg.com/media/F58JLOTWUAAaCBn.jpg</v>
      </c>
      <c r="AW237" s="82" t="s">
        <v>11946</v>
      </c>
      <c r="AX237" s="82" t="s">
        <v>11946</v>
      </c>
      <c r="AY237" s="77"/>
      <c r="AZ237" s="82" t="s">
        <v>15984</v>
      </c>
      <c r="BA237" s="82" t="s">
        <v>15984</v>
      </c>
      <c r="BB237" s="82" t="s">
        <v>15984</v>
      </c>
      <c r="BC237" s="82" t="s">
        <v>11946</v>
      </c>
      <c r="BD237" s="82" t="s">
        <v>16139</v>
      </c>
      <c r="BE237" s="77"/>
      <c r="BF237" s="77"/>
      <c r="BG237" s="77"/>
      <c r="BH237" s="77"/>
      <c r="BI237" s="77"/>
    </row>
    <row r="238" spans="1:61" x14ac:dyDescent="0.25">
      <c r="A238" s="62" t="s">
        <v>288</v>
      </c>
      <c r="B238" s="62" t="s">
        <v>288</v>
      </c>
      <c r="C238" s="63"/>
      <c r="D238" s="64"/>
      <c r="E238" s="65"/>
      <c r="F238" s="66"/>
      <c r="G238" s="63"/>
      <c r="H238" s="67"/>
      <c r="I238" s="68"/>
      <c r="J238" s="68"/>
      <c r="K238" s="32"/>
      <c r="L238" s="75">
        <v>238</v>
      </c>
      <c r="M238" s="75"/>
      <c r="N238" s="70"/>
      <c r="O238" s="77" t="s">
        <v>179</v>
      </c>
      <c r="P238" s="79">
        <v>45153.872546296298</v>
      </c>
      <c r="Q238" s="77" t="s">
        <v>1131</v>
      </c>
      <c r="R238" s="77">
        <v>0</v>
      </c>
      <c r="S238" s="77">
        <v>1</v>
      </c>
      <c r="T238" s="77">
        <v>0</v>
      </c>
      <c r="U238" s="77">
        <v>0</v>
      </c>
      <c r="V238" s="77">
        <v>93</v>
      </c>
      <c r="W238" s="82" t="s">
        <v>4947</v>
      </c>
      <c r="X238" s="80" t="str">
        <f>HYPERLINK("https://bit.ly/3s8PX2p")</f>
        <v>https://bit.ly/3s8PX2p</v>
      </c>
      <c r="Y238" s="77" t="s">
        <v>6468</v>
      </c>
      <c r="Z238" s="77"/>
      <c r="AA238" s="77" t="s">
        <v>6770</v>
      </c>
      <c r="AB238" s="77" t="s">
        <v>7742</v>
      </c>
      <c r="AC238" s="82" t="s">
        <v>7750</v>
      </c>
      <c r="AD238" s="77" t="s">
        <v>7788</v>
      </c>
      <c r="AE238" s="80" t="str">
        <f>HYPERLINK("https://twitter.com/cofeconeconomia/status/1691554474374951312")</f>
        <v>https://twitter.com/cofeconeconomia/status/1691554474374951312</v>
      </c>
      <c r="AF238" s="79">
        <v>45153.872546296298</v>
      </c>
      <c r="AG238" s="85">
        <v>45153</v>
      </c>
      <c r="AH238" s="82" t="s">
        <v>8019</v>
      </c>
      <c r="AI238" s="77" t="b">
        <v>0</v>
      </c>
      <c r="AJ238" s="77"/>
      <c r="AK238" s="77"/>
      <c r="AL238" s="77"/>
      <c r="AM238" s="77"/>
      <c r="AN238" s="77"/>
      <c r="AO238" s="77"/>
      <c r="AP238" s="77"/>
      <c r="AQ238" s="77" t="s">
        <v>10742</v>
      </c>
      <c r="AR238" s="77"/>
      <c r="AS238" s="77"/>
      <c r="AT238" s="77"/>
      <c r="AU238" s="77"/>
      <c r="AV238" s="80" t="str">
        <f>HYPERLINK("https://pbs.twimg.com/media/F3mbsI_XYAAU-Aw.jpg")</f>
        <v>https://pbs.twimg.com/media/F3mbsI_XYAAU-Aw.jpg</v>
      </c>
      <c r="AW238" s="82" t="s">
        <v>11947</v>
      </c>
      <c r="AX238" s="82" t="s">
        <v>11947</v>
      </c>
      <c r="AY238" s="77"/>
      <c r="AZ238" s="82" t="s">
        <v>15984</v>
      </c>
      <c r="BA238" s="82" t="s">
        <v>15984</v>
      </c>
      <c r="BB238" s="82" t="s">
        <v>15984</v>
      </c>
      <c r="BC238" s="82" t="s">
        <v>11947</v>
      </c>
      <c r="BD238" s="77">
        <v>251600476</v>
      </c>
      <c r="BE238" s="77"/>
      <c r="BF238" s="77"/>
      <c r="BG238" s="77"/>
      <c r="BH238" s="77"/>
      <c r="BI238" s="77"/>
    </row>
    <row r="239" spans="1:61" x14ac:dyDescent="0.25">
      <c r="A239" s="62" t="s">
        <v>289</v>
      </c>
      <c r="B239" s="62" t="s">
        <v>289</v>
      </c>
      <c r="C239" s="63"/>
      <c r="D239" s="64"/>
      <c r="E239" s="65"/>
      <c r="F239" s="66"/>
      <c r="G239" s="63"/>
      <c r="H239" s="67"/>
      <c r="I239" s="68"/>
      <c r="J239" s="68"/>
      <c r="K239" s="32"/>
      <c r="L239" s="75">
        <v>239</v>
      </c>
      <c r="M239" s="75"/>
      <c r="N239" s="70"/>
      <c r="O239" s="77" t="s">
        <v>179</v>
      </c>
      <c r="P239" s="79">
        <v>45176.609131944446</v>
      </c>
      <c r="Q239" s="77" t="s">
        <v>1132</v>
      </c>
      <c r="R239" s="77">
        <v>0</v>
      </c>
      <c r="S239" s="77">
        <v>1</v>
      </c>
      <c r="T239" s="77">
        <v>0</v>
      </c>
      <c r="U239" s="77">
        <v>0</v>
      </c>
      <c r="V239" s="77">
        <v>8</v>
      </c>
      <c r="W239" s="82" t="s">
        <v>4948</v>
      </c>
      <c r="X239" s="77"/>
      <c r="Y239" s="77"/>
      <c r="Z239" s="77"/>
      <c r="AA239" s="77" t="s">
        <v>6771</v>
      </c>
      <c r="AB239" s="77" t="s">
        <v>7742</v>
      </c>
      <c r="AC239" s="82" t="s">
        <v>7750</v>
      </c>
      <c r="AD239" s="77" t="s">
        <v>7788</v>
      </c>
      <c r="AE239" s="80" t="str">
        <f>HYPERLINK("https://twitter.com/maquininhaton1/status/1699793934757851627")</f>
        <v>https://twitter.com/maquininhaton1/status/1699793934757851627</v>
      </c>
      <c r="AF239" s="79">
        <v>45176.609131944446</v>
      </c>
      <c r="AG239" s="85">
        <v>45176</v>
      </c>
      <c r="AH239" s="82" t="s">
        <v>8020</v>
      </c>
      <c r="AI239" s="77" t="b">
        <v>0</v>
      </c>
      <c r="AJ239" s="77"/>
      <c r="AK239" s="77"/>
      <c r="AL239" s="77"/>
      <c r="AM239" s="77"/>
      <c r="AN239" s="77"/>
      <c r="AO239" s="77"/>
      <c r="AP239" s="77"/>
      <c r="AQ239" s="77" t="s">
        <v>10743</v>
      </c>
      <c r="AR239" s="77"/>
      <c r="AS239" s="77"/>
      <c r="AT239" s="77"/>
      <c r="AU239" s="77"/>
      <c r="AV239" s="80" t="str">
        <f>HYPERLINK("https://pbs.twimg.com/media/F5bhg4AbsAA2qT8.jpg")</f>
        <v>https://pbs.twimg.com/media/F5bhg4AbsAA2qT8.jpg</v>
      </c>
      <c r="AW239" s="82" t="s">
        <v>11948</v>
      </c>
      <c r="AX239" s="82" t="s">
        <v>11948</v>
      </c>
      <c r="AY239" s="77"/>
      <c r="AZ239" s="82" t="s">
        <v>15984</v>
      </c>
      <c r="BA239" s="82" t="s">
        <v>15984</v>
      </c>
      <c r="BB239" s="82" t="s">
        <v>15984</v>
      </c>
      <c r="BC239" s="82" t="s">
        <v>11948</v>
      </c>
      <c r="BD239" s="82" t="s">
        <v>16140</v>
      </c>
      <c r="BE239" s="77"/>
      <c r="BF239" s="77"/>
      <c r="BG239" s="77"/>
      <c r="BH239" s="77"/>
      <c r="BI239" s="77"/>
    </row>
    <row r="240" spans="1:61" x14ac:dyDescent="0.25">
      <c r="A240" s="62" t="s">
        <v>290</v>
      </c>
      <c r="B240" s="62" t="s">
        <v>290</v>
      </c>
      <c r="C240" s="63"/>
      <c r="D240" s="64"/>
      <c r="E240" s="65"/>
      <c r="F240" s="66"/>
      <c r="G240" s="63"/>
      <c r="H240" s="67"/>
      <c r="I240" s="68"/>
      <c r="J240" s="68"/>
      <c r="K240" s="32"/>
      <c r="L240" s="75">
        <v>240</v>
      </c>
      <c r="M240" s="75"/>
      <c r="N240" s="70"/>
      <c r="O240" s="77" t="s">
        <v>179</v>
      </c>
      <c r="P240" s="79">
        <v>45125.517546296294</v>
      </c>
      <c r="Q240" s="77" t="s">
        <v>1133</v>
      </c>
      <c r="R240" s="77">
        <v>1</v>
      </c>
      <c r="S240" s="77">
        <v>9</v>
      </c>
      <c r="T240" s="77">
        <v>0</v>
      </c>
      <c r="U240" s="77">
        <v>0</v>
      </c>
      <c r="V240" s="77">
        <v>753</v>
      </c>
      <c r="W240" s="82" t="s">
        <v>4949</v>
      </c>
      <c r="X240" s="80" t="str">
        <f>HYPERLINK("http://Jumba.com.br/produtos")</f>
        <v>http://Jumba.com.br/produtos</v>
      </c>
      <c r="Y240" s="77" t="s">
        <v>6470</v>
      </c>
      <c r="Z240" s="77"/>
      <c r="AA240" s="77" t="s">
        <v>6772</v>
      </c>
      <c r="AB240" s="77" t="s">
        <v>7742</v>
      </c>
      <c r="AC240" s="82" t="s">
        <v>7757</v>
      </c>
      <c r="AD240" s="77" t="s">
        <v>7788</v>
      </c>
      <c r="AE240" s="80" t="str">
        <f>HYPERLINK("https://twitter.com/oficialjumba/status/1681278964092813316")</f>
        <v>https://twitter.com/oficialjumba/status/1681278964092813316</v>
      </c>
      <c r="AF240" s="79">
        <v>45125.517546296294</v>
      </c>
      <c r="AG240" s="85">
        <v>45125</v>
      </c>
      <c r="AH240" s="82" t="s">
        <v>8021</v>
      </c>
      <c r="AI240" s="77" t="b">
        <v>0</v>
      </c>
      <c r="AJ240" s="77"/>
      <c r="AK240" s="77"/>
      <c r="AL240" s="77"/>
      <c r="AM240" s="77"/>
      <c r="AN240" s="77"/>
      <c r="AO240" s="77"/>
      <c r="AP240" s="77"/>
      <c r="AQ240" s="77" t="s">
        <v>10744</v>
      </c>
      <c r="AR240" s="77"/>
      <c r="AS240" s="77"/>
      <c r="AT240" s="77"/>
      <c r="AU240" s="77"/>
      <c r="AV240" s="80" t="str">
        <f>HYPERLINK("https://pbs.twimg.com/media/F1UaTvAXoAMc9u5.jpg")</f>
        <v>https://pbs.twimg.com/media/F1UaTvAXoAMc9u5.jpg</v>
      </c>
      <c r="AW240" s="82" t="s">
        <v>11949</v>
      </c>
      <c r="AX240" s="82" t="s">
        <v>11949</v>
      </c>
      <c r="AY240" s="77"/>
      <c r="AZ240" s="82" t="s">
        <v>15984</v>
      </c>
      <c r="BA240" s="82" t="s">
        <v>15984</v>
      </c>
      <c r="BB240" s="82" t="s">
        <v>15984</v>
      </c>
      <c r="BC240" s="82" t="s">
        <v>11949</v>
      </c>
      <c r="BD240" s="82" t="s">
        <v>16141</v>
      </c>
      <c r="BE240" s="77"/>
      <c r="BF240" s="77"/>
      <c r="BG240" s="77"/>
      <c r="BH240" s="77"/>
      <c r="BI240" s="77"/>
    </row>
    <row r="241" spans="1:61" x14ac:dyDescent="0.25">
      <c r="A241" s="62" t="s">
        <v>290</v>
      </c>
      <c r="B241" s="62" t="s">
        <v>290</v>
      </c>
      <c r="C241" s="63"/>
      <c r="D241" s="64"/>
      <c r="E241" s="65"/>
      <c r="F241" s="66"/>
      <c r="G241" s="63"/>
      <c r="H241" s="67"/>
      <c r="I241" s="68"/>
      <c r="J241" s="68"/>
      <c r="K241" s="32"/>
      <c r="L241" s="75">
        <v>241</v>
      </c>
      <c r="M241" s="75"/>
      <c r="N241" s="70"/>
      <c r="O241" s="77" t="s">
        <v>179</v>
      </c>
      <c r="P241" s="79">
        <v>45117.782557870371</v>
      </c>
      <c r="Q241" s="77" t="s">
        <v>1134</v>
      </c>
      <c r="R241" s="77">
        <v>1</v>
      </c>
      <c r="S241" s="77">
        <v>13</v>
      </c>
      <c r="T241" s="77">
        <v>0</v>
      </c>
      <c r="U241" s="77">
        <v>0</v>
      </c>
      <c r="V241" s="77">
        <v>757</v>
      </c>
      <c r="W241" s="82" t="s">
        <v>4949</v>
      </c>
      <c r="X241" s="80" t="str">
        <f>HYPERLINK("http://Jumba.com.br/jumba-pro")</f>
        <v>http://Jumba.com.br/jumba-pro</v>
      </c>
      <c r="Y241" s="77" t="s">
        <v>6470</v>
      </c>
      <c r="Z241" s="77"/>
      <c r="AA241" s="77" t="s">
        <v>6773</v>
      </c>
      <c r="AB241" s="77" t="s">
        <v>7742</v>
      </c>
      <c r="AC241" s="82" t="s">
        <v>7757</v>
      </c>
      <c r="AD241" s="77" t="s">
        <v>7788</v>
      </c>
      <c r="AE241" s="80" t="str">
        <f>HYPERLINK("https://twitter.com/oficialjumba/status/1678475899983765512")</f>
        <v>https://twitter.com/oficialjumba/status/1678475899983765512</v>
      </c>
      <c r="AF241" s="79">
        <v>45117.782557870371</v>
      </c>
      <c r="AG241" s="85">
        <v>45117</v>
      </c>
      <c r="AH241" s="82" t="s">
        <v>8022</v>
      </c>
      <c r="AI241" s="77" t="b">
        <v>0</v>
      </c>
      <c r="AJ241" s="77"/>
      <c r="AK241" s="77"/>
      <c r="AL241" s="77"/>
      <c r="AM241" s="77"/>
      <c r="AN241" s="77"/>
      <c r="AO241" s="77"/>
      <c r="AP241" s="77"/>
      <c r="AQ241" s="77" t="s">
        <v>10745</v>
      </c>
      <c r="AR241" s="77"/>
      <c r="AS241" s="77"/>
      <c r="AT241" s="77"/>
      <c r="AU241" s="77"/>
      <c r="AV241" s="80" t="str">
        <f>HYPERLINK("https://pbs.twimg.com/media/F0sk75kWIAYN3q_.jpg")</f>
        <v>https://pbs.twimg.com/media/F0sk75kWIAYN3q_.jpg</v>
      </c>
      <c r="AW241" s="82" t="s">
        <v>11950</v>
      </c>
      <c r="AX241" s="82" t="s">
        <v>11950</v>
      </c>
      <c r="AY241" s="77"/>
      <c r="AZ241" s="82" t="s">
        <v>15984</v>
      </c>
      <c r="BA241" s="82" t="s">
        <v>15984</v>
      </c>
      <c r="BB241" s="82" t="s">
        <v>15984</v>
      </c>
      <c r="BC241" s="82" t="s">
        <v>11950</v>
      </c>
      <c r="BD241" s="82" t="s">
        <v>16141</v>
      </c>
      <c r="BE241" s="77"/>
      <c r="BF241" s="77"/>
      <c r="BG241" s="77"/>
      <c r="BH241" s="77"/>
      <c r="BI241" s="77"/>
    </row>
    <row r="242" spans="1:61" x14ac:dyDescent="0.25">
      <c r="A242" s="62" t="s">
        <v>290</v>
      </c>
      <c r="B242" s="62" t="s">
        <v>290</v>
      </c>
      <c r="C242" s="63"/>
      <c r="D242" s="64"/>
      <c r="E242" s="65"/>
      <c r="F242" s="66"/>
      <c r="G242" s="63"/>
      <c r="H242" s="67"/>
      <c r="I242" s="68"/>
      <c r="J242" s="68"/>
      <c r="K242" s="32"/>
      <c r="L242" s="75">
        <v>242</v>
      </c>
      <c r="M242" s="75"/>
      <c r="N242" s="70"/>
      <c r="O242" s="77" t="s">
        <v>179</v>
      </c>
      <c r="P242" s="79">
        <v>45129.576458333337</v>
      </c>
      <c r="Q242" s="77" t="s">
        <v>1135</v>
      </c>
      <c r="R242" s="77">
        <v>1</v>
      </c>
      <c r="S242" s="77">
        <v>12</v>
      </c>
      <c r="T242" s="77">
        <v>0</v>
      </c>
      <c r="U242" s="77">
        <v>0</v>
      </c>
      <c r="V242" s="77">
        <v>1163</v>
      </c>
      <c r="W242" s="82" t="s">
        <v>4950</v>
      </c>
      <c r="X242" s="80" t="str">
        <f>HYPERLINK("https://www.youtube.com/watch?v=JRZBYGAidRE")</f>
        <v>https://www.youtube.com/watch?v=JRZBYGAidRE</v>
      </c>
      <c r="Y242" s="77" t="s">
        <v>6480</v>
      </c>
      <c r="Z242" s="77"/>
      <c r="AA242" s="77" t="s">
        <v>6774</v>
      </c>
      <c r="AB242" s="77" t="s">
        <v>7742</v>
      </c>
      <c r="AC242" s="82" t="s">
        <v>7757</v>
      </c>
      <c r="AD242" s="77" t="s">
        <v>7788</v>
      </c>
      <c r="AE242" s="80" t="str">
        <f>HYPERLINK("https://twitter.com/oficialjumba/status/1682749867104378880")</f>
        <v>https://twitter.com/oficialjumba/status/1682749867104378880</v>
      </c>
      <c r="AF242" s="79">
        <v>45129.576458333337</v>
      </c>
      <c r="AG242" s="85">
        <v>45129</v>
      </c>
      <c r="AH242" s="82" t="s">
        <v>8023</v>
      </c>
      <c r="AI242" s="77" t="b">
        <v>0</v>
      </c>
      <c r="AJ242" s="77"/>
      <c r="AK242" s="77"/>
      <c r="AL242" s="77"/>
      <c r="AM242" s="77"/>
      <c r="AN242" s="77"/>
      <c r="AO242" s="77"/>
      <c r="AP242" s="77"/>
      <c r="AQ242" s="77" t="s">
        <v>10746</v>
      </c>
      <c r="AR242" s="77"/>
      <c r="AS242" s="77"/>
      <c r="AT242" s="77"/>
      <c r="AU242" s="77"/>
      <c r="AV242" s="80" t="str">
        <f>HYPERLINK("https://pbs.twimg.com/media/F1pUFg0X0AE15pI.jpg")</f>
        <v>https://pbs.twimg.com/media/F1pUFg0X0AE15pI.jpg</v>
      </c>
      <c r="AW242" s="82" t="s">
        <v>11951</v>
      </c>
      <c r="AX242" s="82" t="s">
        <v>11951</v>
      </c>
      <c r="AY242" s="77"/>
      <c r="AZ242" s="82" t="s">
        <v>15984</v>
      </c>
      <c r="BA242" s="82" t="s">
        <v>15984</v>
      </c>
      <c r="BB242" s="82" t="s">
        <v>15984</v>
      </c>
      <c r="BC242" s="82" t="s">
        <v>11951</v>
      </c>
      <c r="BD242" s="82" t="s">
        <v>16141</v>
      </c>
      <c r="BE242" s="77"/>
      <c r="BF242" s="77"/>
      <c r="BG242" s="77"/>
      <c r="BH242" s="77"/>
      <c r="BI242" s="77"/>
    </row>
    <row r="243" spans="1:61" x14ac:dyDescent="0.25">
      <c r="A243" s="62" t="s">
        <v>290</v>
      </c>
      <c r="B243" s="62" t="s">
        <v>290</v>
      </c>
      <c r="C243" s="63"/>
      <c r="D243" s="64"/>
      <c r="E243" s="65"/>
      <c r="F243" s="66"/>
      <c r="G243" s="63"/>
      <c r="H243" s="67"/>
      <c r="I243" s="68"/>
      <c r="J243" s="68"/>
      <c r="K243" s="32"/>
      <c r="L243" s="75">
        <v>243</v>
      </c>
      <c r="M243" s="75"/>
      <c r="N243" s="70"/>
      <c r="O243" s="77" t="s">
        <v>179</v>
      </c>
      <c r="P243" s="79">
        <v>45134.656412037039</v>
      </c>
      <c r="Q243" s="77" t="s">
        <v>1136</v>
      </c>
      <c r="R243" s="77">
        <v>1</v>
      </c>
      <c r="S243" s="77">
        <v>8</v>
      </c>
      <c r="T243" s="77">
        <v>0</v>
      </c>
      <c r="U243" s="77">
        <v>0</v>
      </c>
      <c r="V243" s="77">
        <v>687</v>
      </c>
      <c r="W243" s="82" t="s">
        <v>4951</v>
      </c>
      <c r="X243" s="80" t="str">
        <f>HYPERLINK("https://www.youtube.com/watch?v=JRZBYGAidRE")</f>
        <v>https://www.youtube.com/watch?v=JRZBYGAidRE</v>
      </c>
      <c r="Y243" s="77" t="s">
        <v>6480</v>
      </c>
      <c r="Z243" s="77"/>
      <c r="AA243" s="77" t="s">
        <v>6775</v>
      </c>
      <c r="AB243" s="77" t="s">
        <v>7742</v>
      </c>
      <c r="AC243" s="82" t="s">
        <v>7757</v>
      </c>
      <c r="AD243" s="77" t="s">
        <v>7788</v>
      </c>
      <c r="AE243" s="80" t="str">
        <f>HYPERLINK("https://twitter.com/oficialjumba/status/1684590777068838913")</f>
        <v>https://twitter.com/oficialjumba/status/1684590777068838913</v>
      </c>
      <c r="AF243" s="79">
        <v>45134.656412037039</v>
      </c>
      <c r="AG243" s="85">
        <v>45134</v>
      </c>
      <c r="AH243" s="82" t="s">
        <v>8024</v>
      </c>
      <c r="AI243" s="77" t="b">
        <v>0</v>
      </c>
      <c r="AJ243" s="77"/>
      <c r="AK243" s="77"/>
      <c r="AL243" s="77"/>
      <c r="AM243" s="77"/>
      <c r="AN243" s="77"/>
      <c r="AO243" s="77"/>
      <c r="AP243" s="77"/>
      <c r="AQ243" s="77" t="s">
        <v>10747</v>
      </c>
      <c r="AR243" s="77"/>
      <c r="AS243" s="77"/>
      <c r="AT243" s="77"/>
      <c r="AU243" s="77"/>
      <c r="AV243" s="80" t="str">
        <f>HYPERLINK("https://pbs.twimg.com/media/F2DeYk3X0AAHt2t.jpg")</f>
        <v>https://pbs.twimg.com/media/F2DeYk3X0AAHt2t.jpg</v>
      </c>
      <c r="AW243" s="82" t="s">
        <v>11952</v>
      </c>
      <c r="AX243" s="82" t="s">
        <v>11952</v>
      </c>
      <c r="AY243" s="77"/>
      <c r="AZ243" s="82" t="s">
        <v>15984</v>
      </c>
      <c r="BA243" s="82" t="s">
        <v>15984</v>
      </c>
      <c r="BB243" s="82" t="s">
        <v>15984</v>
      </c>
      <c r="BC243" s="82" t="s">
        <v>11952</v>
      </c>
      <c r="BD243" s="82" t="s">
        <v>16141</v>
      </c>
      <c r="BE243" s="77"/>
      <c r="BF243" s="77"/>
      <c r="BG243" s="77"/>
      <c r="BH243" s="77"/>
      <c r="BI243" s="77"/>
    </row>
    <row r="244" spans="1:61" x14ac:dyDescent="0.25">
      <c r="A244" s="62" t="s">
        <v>290</v>
      </c>
      <c r="B244" s="62" t="s">
        <v>290</v>
      </c>
      <c r="C244" s="63"/>
      <c r="D244" s="64"/>
      <c r="E244" s="65"/>
      <c r="F244" s="66"/>
      <c r="G244" s="63"/>
      <c r="H244" s="67"/>
      <c r="I244" s="68"/>
      <c r="J244" s="68"/>
      <c r="K244" s="32"/>
      <c r="L244" s="75">
        <v>244</v>
      </c>
      <c r="M244" s="75"/>
      <c r="N244" s="70"/>
      <c r="O244" s="77" t="s">
        <v>179</v>
      </c>
      <c r="P244" s="79">
        <v>45144.889293981483</v>
      </c>
      <c r="Q244" s="77" t="s">
        <v>1137</v>
      </c>
      <c r="R244" s="77">
        <v>1</v>
      </c>
      <c r="S244" s="77">
        <v>51</v>
      </c>
      <c r="T244" s="77">
        <v>3</v>
      </c>
      <c r="U244" s="77">
        <v>0</v>
      </c>
      <c r="V244" s="77">
        <v>6957</v>
      </c>
      <c r="W244" s="82" t="s">
        <v>4952</v>
      </c>
      <c r="X244" s="77"/>
      <c r="Y244" s="77"/>
      <c r="Z244" s="77"/>
      <c r="AA244" s="77" t="s">
        <v>6776</v>
      </c>
      <c r="AB244" s="77" t="s">
        <v>7747</v>
      </c>
      <c r="AC244" s="82" t="s">
        <v>7750</v>
      </c>
      <c r="AD244" s="77" t="s">
        <v>7788</v>
      </c>
      <c r="AE244" s="80" t="str">
        <f>HYPERLINK("https://twitter.com/oficialjumba/status/1688299052226560000")</f>
        <v>https://twitter.com/oficialjumba/status/1688299052226560000</v>
      </c>
      <c r="AF244" s="79">
        <v>45144.889293981483</v>
      </c>
      <c r="AG244" s="85">
        <v>45144</v>
      </c>
      <c r="AH244" s="82" t="s">
        <v>8025</v>
      </c>
      <c r="AI244" s="77" t="b">
        <v>0</v>
      </c>
      <c r="AJ244" s="77"/>
      <c r="AK244" s="77"/>
      <c r="AL244" s="77"/>
      <c r="AM244" s="77"/>
      <c r="AN244" s="77"/>
      <c r="AO244" s="77"/>
      <c r="AP244" s="77"/>
      <c r="AQ244" s="77" t="s">
        <v>10748</v>
      </c>
      <c r="AR244" s="77"/>
      <c r="AS244" s="77"/>
      <c r="AT244" s="77"/>
      <c r="AU244" s="77"/>
      <c r="AV244" s="80" t="str">
        <f>HYPERLINK("https://pbs.twimg.com/media/F233fbsXoAYqrEl.jpg")</f>
        <v>https://pbs.twimg.com/media/F233fbsXoAYqrEl.jpg</v>
      </c>
      <c r="AW244" s="82" t="s">
        <v>11953</v>
      </c>
      <c r="AX244" s="82" t="s">
        <v>11953</v>
      </c>
      <c r="AY244" s="77"/>
      <c r="AZ244" s="82" t="s">
        <v>15984</v>
      </c>
      <c r="BA244" s="82" t="s">
        <v>15984</v>
      </c>
      <c r="BB244" s="82" t="s">
        <v>15984</v>
      </c>
      <c r="BC244" s="82" t="s">
        <v>11953</v>
      </c>
      <c r="BD244" s="82" t="s">
        <v>16141</v>
      </c>
      <c r="BE244" s="77"/>
      <c r="BF244" s="77"/>
      <c r="BG244" s="77"/>
      <c r="BH244" s="77"/>
      <c r="BI244" s="77"/>
    </row>
    <row r="245" spans="1:61" x14ac:dyDescent="0.25">
      <c r="A245" s="62" t="s">
        <v>291</v>
      </c>
      <c r="B245" s="62" t="s">
        <v>291</v>
      </c>
      <c r="C245" s="63"/>
      <c r="D245" s="64"/>
      <c r="E245" s="65"/>
      <c r="F245" s="66"/>
      <c r="G245" s="63"/>
      <c r="H245" s="67"/>
      <c r="I245" s="68"/>
      <c r="J245" s="68"/>
      <c r="K245" s="32"/>
      <c r="L245" s="75">
        <v>245</v>
      </c>
      <c r="M245" s="75"/>
      <c r="N245" s="70"/>
      <c r="O245" s="77" t="s">
        <v>179</v>
      </c>
      <c r="P245" s="79">
        <v>45188.021469907406</v>
      </c>
      <c r="Q245" s="77" t="s">
        <v>1138</v>
      </c>
      <c r="R245" s="77">
        <v>0</v>
      </c>
      <c r="S245" s="77">
        <v>0</v>
      </c>
      <c r="T245" s="77">
        <v>0</v>
      </c>
      <c r="U245" s="77">
        <v>0</v>
      </c>
      <c r="V245" s="77">
        <v>21</v>
      </c>
      <c r="W245" s="82" t="s">
        <v>4953</v>
      </c>
      <c r="X245" s="77"/>
      <c r="Y245" s="77"/>
      <c r="Z245" s="77"/>
      <c r="AA245" s="77" t="s">
        <v>6777</v>
      </c>
      <c r="AB245" s="77" t="s">
        <v>7746</v>
      </c>
      <c r="AC245" s="82" t="s">
        <v>7750</v>
      </c>
      <c r="AD245" s="77" t="s">
        <v>7790</v>
      </c>
      <c r="AE245" s="80" t="str">
        <f>HYPERLINK("https://twitter.com/lawrencemiuller/status/1703929628325192184")</f>
        <v>https://twitter.com/lawrencemiuller/status/1703929628325192184</v>
      </c>
      <c r="AF245" s="79">
        <v>45188.021469907406</v>
      </c>
      <c r="AG245" s="85">
        <v>45188</v>
      </c>
      <c r="AH245" s="82" t="s">
        <v>8026</v>
      </c>
      <c r="AI245" s="77" t="b">
        <v>0</v>
      </c>
      <c r="AJ245" s="77"/>
      <c r="AK245" s="77"/>
      <c r="AL245" s="77"/>
      <c r="AM245" s="77"/>
      <c r="AN245" s="77"/>
      <c r="AO245" s="77"/>
      <c r="AP245" s="77"/>
      <c r="AQ245" s="77" t="s">
        <v>10749</v>
      </c>
      <c r="AR245" s="77"/>
      <c r="AS245" s="77"/>
      <c r="AT245" s="77"/>
      <c r="AU245" s="77"/>
      <c r="AV245" s="80" t="str">
        <f>HYPERLINK("https://pbs.twimg.com/tweet_video_thumb/F6WS9h5XQAAjKFy.jpg")</f>
        <v>https://pbs.twimg.com/tweet_video_thumb/F6WS9h5XQAAjKFy.jpg</v>
      </c>
      <c r="AW245" s="82" t="s">
        <v>11954</v>
      </c>
      <c r="AX245" s="82" t="s">
        <v>11954</v>
      </c>
      <c r="AY245" s="77"/>
      <c r="AZ245" s="82" t="s">
        <v>15984</v>
      </c>
      <c r="BA245" s="82" t="s">
        <v>15984</v>
      </c>
      <c r="BB245" s="82" t="s">
        <v>15984</v>
      </c>
      <c r="BC245" s="82" t="s">
        <v>11954</v>
      </c>
      <c r="BD245" s="82" t="s">
        <v>16142</v>
      </c>
      <c r="BE245" s="77"/>
      <c r="BF245" s="77"/>
      <c r="BG245" s="77"/>
      <c r="BH245" s="77"/>
      <c r="BI245" s="77"/>
    </row>
    <row r="246" spans="1:61" x14ac:dyDescent="0.25">
      <c r="A246" s="62" t="s">
        <v>292</v>
      </c>
      <c r="B246" s="62" t="s">
        <v>754</v>
      </c>
      <c r="C246" s="63"/>
      <c r="D246" s="64"/>
      <c r="E246" s="65"/>
      <c r="F246" s="66"/>
      <c r="G246" s="63"/>
      <c r="H246" s="67"/>
      <c r="I246" s="68"/>
      <c r="J246" s="68"/>
      <c r="K246" s="32"/>
      <c r="L246" s="75">
        <v>246</v>
      </c>
      <c r="M246" s="75"/>
      <c r="N246" s="70"/>
      <c r="O246" s="77" t="s">
        <v>898</v>
      </c>
      <c r="P246" s="79">
        <v>45152.833773148152</v>
      </c>
      <c r="Q246" s="77" t="s">
        <v>1139</v>
      </c>
      <c r="R246" s="77">
        <v>0</v>
      </c>
      <c r="S246" s="77">
        <v>0</v>
      </c>
      <c r="T246" s="77">
        <v>0</v>
      </c>
      <c r="U246" s="77">
        <v>0</v>
      </c>
      <c r="V246" s="77">
        <v>7</v>
      </c>
      <c r="W246" s="82" t="s">
        <v>4954</v>
      </c>
      <c r="X246" s="77"/>
      <c r="Y246" s="77"/>
      <c r="Z246" s="77" t="s">
        <v>754</v>
      </c>
      <c r="AA246" s="77" t="s">
        <v>6778</v>
      </c>
      <c r="AB246" s="77" t="s">
        <v>7742</v>
      </c>
      <c r="AC246" s="82" t="s">
        <v>7750</v>
      </c>
      <c r="AD246" s="77" t="s">
        <v>7788</v>
      </c>
      <c r="AE246" s="80" t="str">
        <f>HYPERLINK("https://twitter.com/betorossi7/status/1691178033107832832")</f>
        <v>https://twitter.com/betorossi7/status/1691178033107832832</v>
      </c>
      <c r="AF246" s="79">
        <v>45152.833773148152</v>
      </c>
      <c r="AG246" s="85">
        <v>45152</v>
      </c>
      <c r="AH246" s="82" t="s">
        <v>8027</v>
      </c>
      <c r="AI246" s="77" t="b">
        <v>0</v>
      </c>
      <c r="AJ246" s="77"/>
      <c r="AK246" s="77"/>
      <c r="AL246" s="77"/>
      <c r="AM246" s="77"/>
      <c r="AN246" s="77"/>
      <c r="AO246" s="77"/>
      <c r="AP246" s="77"/>
      <c r="AQ246" s="77" t="s">
        <v>10750</v>
      </c>
      <c r="AR246" s="77"/>
      <c r="AS246" s="77"/>
      <c r="AT246" s="77"/>
      <c r="AU246" s="77"/>
      <c r="AV246" s="80" t="str">
        <f>HYPERLINK("https://pbs.twimg.com/media/F3hFOM3WwAAQJD_.png")</f>
        <v>https://pbs.twimg.com/media/F3hFOM3WwAAQJD_.png</v>
      </c>
      <c r="AW246" s="82" t="s">
        <v>11955</v>
      </c>
      <c r="AX246" s="82" t="s">
        <v>15742</v>
      </c>
      <c r="AY246" s="82" t="s">
        <v>15917</v>
      </c>
      <c r="AZ246" s="82" t="s">
        <v>15742</v>
      </c>
      <c r="BA246" s="82" t="s">
        <v>15984</v>
      </c>
      <c r="BB246" s="82" t="s">
        <v>15984</v>
      </c>
      <c r="BC246" s="82" t="s">
        <v>15742</v>
      </c>
      <c r="BD246" s="82" t="s">
        <v>16143</v>
      </c>
      <c r="BE246" s="77"/>
      <c r="BF246" s="77"/>
      <c r="BG246" s="77"/>
      <c r="BH246" s="77"/>
      <c r="BI246" s="77"/>
    </row>
    <row r="247" spans="1:61" x14ac:dyDescent="0.25">
      <c r="A247" s="62" t="s">
        <v>293</v>
      </c>
      <c r="B247" s="62" t="s">
        <v>755</v>
      </c>
      <c r="C247" s="63"/>
      <c r="D247" s="64"/>
      <c r="E247" s="65"/>
      <c r="F247" s="66"/>
      <c r="G247" s="63"/>
      <c r="H247" s="67"/>
      <c r="I247" s="68"/>
      <c r="J247" s="68"/>
      <c r="K247" s="32"/>
      <c r="L247" s="75">
        <v>247</v>
      </c>
      <c r="M247" s="75"/>
      <c r="N247" s="70"/>
      <c r="O247" s="77" t="s">
        <v>895</v>
      </c>
      <c r="P247" s="79">
        <v>45138.181261574071</v>
      </c>
      <c r="Q247" s="77" t="s">
        <v>1140</v>
      </c>
      <c r="R247" s="77">
        <v>0</v>
      </c>
      <c r="S247" s="77">
        <v>0</v>
      </c>
      <c r="T247" s="77">
        <v>0</v>
      </c>
      <c r="U247" s="77">
        <v>0</v>
      </c>
      <c r="V247" s="77"/>
      <c r="W247" s="82" t="s">
        <v>4955</v>
      </c>
      <c r="X247" s="80" t="str">
        <f>HYPERLINK("https://youtube.com/shorts/pXjJ3zbu_VE?feature=share")</f>
        <v>https://youtube.com/shorts/pXjJ3zbu_VE?feature=share</v>
      </c>
      <c r="Y247" s="77" t="s">
        <v>6480</v>
      </c>
      <c r="Z247" s="77" t="s">
        <v>755</v>
      </c>
      <c r="AA247" s="77"/>
      <c r="AB247" s="77"/>
      <c r="AC247" s="82" t="s">
        <v>7752</v>
      </c>
      <c r="AD247" s="77" t="s">
        <v>7788</v>
      </c>
      <c r="AE247" s="80" t="str">
        <f>HYPERLINK("https://twitter.com/grdotrader/status/1685868143430819840")</f>
        <v>https://twitter.com/grdotrader/status/1685868143430819840</v>
      </c>
      <c r="AF247" s="79">
        <v>45138.181261574071</v>
      </c>
      <c r="AG247" s="85">
        <v>45138</v>
      </c>
      <c r="AH247" s="82" t="s">
        <v>8028</v>
      </c>
      <c r="AI247" s="77" t="b">
        <v>0</v>
      </c>
      <c r="AJ247" s="77"/>
      <c r="AK247" s="77"/>
      <c r="AL247" s="77"/>
      <c r="AM247" s="77"/>
      <c r="AN247" s="77"/>
      <c r="AO247" s="77"/>
      <c r="AP247" s="77"/>
      <c r="AQ247" s="77"/>
      <c r="AR247" s="77"/>
      <c r="AS247" s="77"/>
      <c r="AT247" s="77"/>
      <c r="AU247" s="77"/>
      <c r="AV247" s="80" t="str">
        <f>HYPERLINK("https://pbs.twimg.com/profile_images/1579950136003895296/pk5m1FTe_normal.jpg")</f>
        <v>https://pbs.twimg.com/profile_images/1579950136003895296/pk5m1FTe_normal.jpg</v>
      </c>
      <c r="AW247" s="82" t="s">
        <v>11956</v>
      </c>
      <c r="AX247" s="82" t="s">
        <v>11956</v>
      </c>
      <c r="AY247" s="77"/>
      <c r="AZ247" s="82" t="s">
        <v>15984</v>
      </c>
      <c r="BA247" s="82" t="s">
        <v>15984</v>
      </c>
      <c r="BB247" s="82" t="s">
        <v>15984</v>
      </c>
      <c r="BC247" s="82" t="s">
        <v>11956</v>
      </c>
      <c r="BD247" s="82" t="s">
        <v>16144</v>
      </c>
      <c r="BE247" s="77"/>
      <c r="BF247" s="77"/>
      <c r="BG247" s="77"/>
      <c r="BH247" s="77"/>
      <c r="BI247" s="77"/>
    </row>
    <row r="248" spans="1:61" x14ac:dyDescent="0.25">
      <c r="A248" s="62" t="s">
        <v>294</v>
      </c>
      <c r="B248" s="62" t="s">
        <v>753</v>
      </c>
      <c r="C248" s="63"/>
      <c r="D248" s="64"/>
      <c r="E248" s="65"/>
      <c r="F248" s="66"/>
      <c r="G248" s="63"/>
      <c r="H248" s="67"/>
      <c r="I248" s="68"/>
      <c r="J248" s="68"/>
      <c r="K248" s="32"/>
      <c r="L248" s="75">
        <v>248</v>
      </c>
      <c r="M248" s="75"/>
      <c r="N248" s="70"/>
      <c r="O248" s="77" t="s">
        <v>899</v>
      </c>
      <c r="P248" s="79">
        <v>45192.037881944445</v>
      </c>
      <c r="Q248" s="77" t="s">
        <v>1116</v>
      </c>
      <c r="R248" s="77">
        <v>10</v>
      </c>
      <c r="S248" s="77">
        <v>0</v>
      </c>
      <c r="T248" s="77">
        <v>0</v>
      </c>
      <c r="U248" s="77">
        <v>0</v>
      </c>
      <c r="V248" s="77"/>
      <c r="W248" s="82" t="s">
        <v>4821</v>
      </c>
      <c r="X248" s="77"/>
      <c r="Y248" s="77"/>
      <c r="Z248" s="77" t="s">
        <v>6566</v>
      </c>
      <c r="AA248" s="77"/>
      <c r="AB248" s="77"/>
      <c r="AC248" s="82" t="s">
        <v>7750</v>
      </c>
      <c r="AD248" s="77" t="s">
        <v>7790</v>
      </c>
      <c r="AE248" s="80" t="str">
        <f>HYPERLINK("https://twitter.com/gandres1982/status/1705385128871264603")</f>
        <v>https://twitter.com/gandres1982/status/1705385128871264603</v>
      </c>
      <c r="AF248" s="79">
        <v>45192.037881944445</v>
      </c>
      <c r="AG248" s="85">
        <v>45192</v>
      </c>
      <c r="AH248" s="82" t="s">
        <v>8029</v>
      </c>
      <c r="AI248" s="77"/>
      <c r="AJ248" s="77"/>
      <c r="AK248" s="77"/>
      <c r="AL248" s="77"/>
      <c r="AM248" s="77"/>
      <c r="AN248" s="77"/>
      <c r="AO248" s="77"/>
      <c r="AP248" s="77"/>
      <c r="AQ248" s="77"/>
      <c r="AR248" s="77"/>
      <c r="AS248" s="77"/>
      <c r="AT248" s="77"/>
      <c r="AU248" s="77"/>
      <c r="AV248" s="80" t="str">
        <f>HYPERLINK("https://abs.twimg.com/sticky/default_profile_images/default_profile_normal.png")</f>
        <v>https://abs.twimg.com/sticky/default_profile_images/default_profile_normal.png</v>
      </c>
      <c r="AW248" s="82" t="s">
        <v>11957</v>
      </c>
      <c r="AX248" s="82" t="s">
        <v>11957</v>
      </c>
      <c r="AY248" s="77"/>
      <c r="AZ248" s="82" t="s">
        <v>15984</v>
      </c>
      <c r="BA248" s="82" t="s">
        <v>15984</v>
      </c>
      <c r="BB248" s="82" t="s">
        <v>15303</v>
      </c>
      <c r="BC248" s="82" t="s">
        <v>15303</v>
      </c>
      <c r="BD248" s="77">
        <v>48401088</v>
      </c>
      <c r="BE248" s="77"/>
      <c r="BF248" s="77"/>
      <c r="BG248" s="77"/>
      <c r="BH248" s="77"/>
      <c r="BI248" s="77"/>
    </row>
    <row r="249" spans="1:61" x14ac:dyDescent="0.25">
      <c r="A249" s="62" t="s">
        <v>294</v>
      </c>
      <c r="B249" s="62" t="s">
        <v>614</v>
      </c>
      <c r="C249" s="63"/>
      <c r="D249" s="64"/>
      <c r="E249" s="65"/>
      <c r="F249" s="66"/>
      <c r="G249" s="63"/>
      <c r="H249" s="67"/>
      <c r="I249" s="68"/>
      <c r="J249" s="68"/>
      <c r="K249" s="32"/>
      <c r="L249" s="75">
        <v>249</v>
      </c>
      <c r="M249" s="75"/>
      <c r="N249" s="70"/>
      <c r="O249" s="77" t="s">
        <v>897</v>
      </c>
      <c r="P249" s="79">
        <v>45192.037881944445</v>
      </c>
      <c r="Q249" s="77" t="s">
        <v>1116</v>
      </c>
      <c r="R249" s="77">
        <v>10</v>
      </c>
      <c r="S249" s="77">
        <v>0</v>
      </c>
      <c r="T249" s="77">
        <v>0</v>
      </c>
      <c r="U249" s="77">
        <v>0</v>
      </c>
      <c r="V249" s="77"/>
      <c r="W249" s="82" t="s">
        <v>4821</v>
      </c>
      <c r="X249" s="77"/>
      <c r="Y249" s="77"/>
      <c r="Z249" s="77" t="s">
        <v>6566</v>
      </c>
      <c r="AA249" s="77"/>
      <c r="AB249" s="77"/>
      <c r="AC249" s="82" t="s">
        <v>7750</v>
      </c>
      <c r="AD249" s="77" t="s">
        <v>7790</v>
      </c>
      <c r="AE249" s="80" t="str">
        <f>HYPERLINK("https://twitter.com/gandres1982/status/1705385128871264603")</f>
        <v>https://twitter.com/gandres1982/status/1705385128871264603</v>
      </c>
      <c r="AF249" s="79">
        <v>45192.037881944445</v>
      </c>
      <c r="AG249" s="85">
        <v>45192</v>
      </c>
      <c r="AH249" s="82" t="s">
        <v>8029</v>
      </c>
      <c r="AI249" s="77"/>
      <c r="AJ249" s="77"/>
      <c r="AK249" s="77"/>
      <c r="AL249" s="77"/>
      <c r="AM249" s="77"/>
      <c r="AN249" s="77"/>
      <c r="AO249" s="77"/>
      <c r="AP249" s="77"/>
      <c r="AQ249" s="77"/>
      <c r="AR249" s="77"/>
      <c r="AS249" s="77"/>
      <c r="AT249" s="77"/>
      <c r="AU249" s="77"/>
      <c r="AV249" s="80" t="str">
        <f>HYPERLINK("https://abs.twimg.com/sticky/default_profile_images/default_profile_normal.png")</f>
        <v>https://abs.twimg.com/sticky/default_profile_images/default_profile_normal.png</v>
      </c>
      <c r="AW249" s="82" t="s">
        <v>11957</v>
      </c>
      <c r="AX249" s="82" t="s">
        <v>11957</v>
      </c>
      <c r="AY249" s="77"/>
      <c r="AZ249" s="82" t="s">
        <v>15984</v>
      </c>
      <c r="BA249" s="82" t="s">
        <v>15984</v>
      </c>
      <c r="BB249" s="82" t="s">
        <v>15303</v>
      </c>
      <c r="BC249" s="82" t="s">
        <v>15303</v>
      </c>
      <c r="BD249" s="77">
        <v>48401088</v>
      </c>
      <c r="BE249" s="77"/>
      <c r="BF249" s="77"/>
      <c r="BG249" s="77"/>
      <c r="BH249" s="77"/>
      <c r="BI249" s="77"/>
    </row>
    <row r="250" spans="1:61" x14ac:dyDescent="0.25">
      <c r="A250" s="62" t="s">
        <v>295</v>
      </c>
      <c r="B250" s="62" t="s">
        <v>295</v>
      </c>
      <c r="C250" s="63"/>
      <c r="D250" s="64"/>
      <c r="E250" s="65"/>
      <c r="F250" s="66"/>
      <c r="G250" s="63"/>
      <c r="H250" s="67"/>
      <c r="I250" s="68"/>
      <c r="J250" s="68"/>
      <c r="K250" s="32"/>
      <c r="L250" s="75">
        <v>250</v>
      </c>
      <c r="M250" s="75"/>
      <c r="N250" s="70"/>
      <c r="O250" s="77" t="s">
        <v>179</v>
      </c>
      <c r="P250" s="79">
        <v>45136.148333333331</v>
      </c>
      <c r="Q250" s="77" t="s">
        <v>1141</v>
      </c>
      <c r="R250" s="77">
        <v>0</v>
      </c>
      <c r="S250" s="77">
        <v>0</v>
      </c>
      <c r="T250" s="77">
        <v>0</v>
      </c>
      <c r="U250" s="77">
        <v>0</v>
      </c>
      <c r="V250" s="77">
        <v>34</v>
      </c>
      <c r="W250" s="82" t="s">
        <v>4956</v>
      </c>
      <c r="X250" s="80" t="str">
        <f>HYPERLINK("https://www.twitch.tv/yasdl/v/1884359611?sr=a&amp;t=9s")</f>
        <v>https://www.twitch.tv/yasdl/v/1884359611?sr=a&amp;t=9s</v>
      </c>
      <c r="Y250" s="77" t="s">
        <v>6483</v>
      </c>
      <c r="Z250" s="77"/>
      <c r="AA250" s="77"/>
      <c r="AB250" s="77"/>
      <c r="AC250" s="82" t="s">
        <v>7751</v>
      </c>
      <c r="AD250" s="77" t="s">
        <v>7788</v>
      </c>
      <c r="AE250" s="80" t="str">
        <f>HYPERLINK("https://twitter.com/ylearth/status/1685131434682441728")</f>
        <v>https://twitter.com/ylearth/status/1685131434682441728</v>
      </c>
      <c r="AF250" s="79">
        <v>45136.148333333331</v>
      </c>
      <c r="AG250" s="85">
        <v>45136</v>
      </c>
      <c r="AH250" s="82" t="s">
        <v>8030</v>
      </c>
      <c r="AI250" s="77" t="b">
        <v>0</v>
      </c>
      <c r="AJ250" s="77"/>
      <c r="AK250" s="77"/>
      <c r="AL250" s="77"/>
      <c r="AM250" s="77"/>
      <c r="AN250" s="77"/>
      <c r="AO250" s="77"/>
      <c r="AP250" s="77"/>
      <c r="AQ250" s="77"/>
      <c r="AR250" s="77"/>
      <c r="AS250" s="77"/>
      <c r="AT250" s="77"/>
      <c r="AU250" s="77"/>
      <c r="AV250" s="80" t="str">
        <f>HYPERLINK("https://pbs.twimg.com/profile_images/1436091800889053190/9wG0hnVI_normal.jpg")</f>
        <v>https://pbs.twimg.com/profile_images/1436091800889053190/9wG0hnVI_normal.jpg</v>
      </c>
      <c r="AW250" s="82" t="s">
        <v>11958</v>
      </c>
      <c r="AX250" s="82" t="s">
        <v>11958</v>
      </c>
      <c r="AY250" s="77"/>
      <c r="AZ250" s="82" t="s">
        <v>15984</v>
      </c>
      <c r="BA250" s="82" t="s">
        <v>15984</v>
      </c>
      <c r="BB250" s="82" t="s">
        <v>15984</v>
      </c>
      <c r="BC250" s="82" t="s">
        <v>11958</v>
      </c>
      <c r="BD250" s="82" t="s">
        <v>15918</v>
      </c>
      <c r="BE250" s="77"/>
      <c r="BF250" s="77"/>
      <c r="BG250" s="77"/>
      <c r="BH250" s="77"/>
      <c r="BI250" s="77"/>
    </row>
    <row r="251" spans="1:61" x14ac:dyDescent="0.25">
      <c r="A251" s="62" t="s">
        <v>295</v>
      </c>
      <c r="B251" s="62" t="s">
        <v>295</v>
      </c>
      <c r="C251" s="63"/>
      <c r="D251" s="64"/>
      <c r="E251" s="65"/>
      <c r="F251" s="66"/>
      <c r="G251" s="63"/>
      <c r="H251" s="67"/>
      <c r="I251" s="68"/>
      <c r="J251" s="68"/>
      <c r="K251" s="32"/>
      <c r="L251" s="75">
        <v>251</v>
      </c>
      <c r="M251" s="75"/>
      <c r="N251" s="70"/>
      <c r="O251" s="77" t="s">
        <v>898</v>
      </c>
      <c r="P251" s="79">
        <v>45135.985034722224</v>
      </c>
      <c r="Q251" s="77" t="s">
        <v>1142</v>
      </c>
      <c r="R251" s="77">
        <v>0</v>
      </c>
      <c r="S251" s="77">
        <v>0</v>
      </c>
      <c r="T251" s="77">
        <v>0</v>
      </c>
      <c r="U251" s="77">
        <v>0</v>
      </c>
      <c r="V251" s="77">
        <v>32</v>
      </c>
      <c r="W251" s="82" t="s">
        <v>4957</v>
      </c>
      <c r="X251" s="77"/>
      <c r="Y251" s="77"/>
      <c r="Z251" s="77"/>
      <c r="AA251" s="77"/>
      <c r="AB251" s="77"/>
      <c r="AC251" s="82" t="s">
        <v>7750</v>
      </c>
      <c r="AD251" s="77" t="s">
        <v>7788</v>
      </c>
      <c r="AE251" s="80" t="str">
        <f>HYPERLINK("https://twitter.com/ylearth/status/1685072257608011776")</f>
        <v>https://twitter.com/ylearth/status/1685072257608011776</v>
      </c>
      <c r="AF251" s="79">
        <v>45135.985034722224</v>
      </c>
      <c r="AG251" s="85">
        <v>45135</v>
      </c>
      <c r="AH251" s="82" t="s">
        <v>8031</v>
      </c>
      <c r="AI251" s="77"/>
      <c r="AJ251" s="77"/>
      <c r="AK251" s="77"/>
      <c r="AL251" s="77"/>
      <c r="AM251" s="77"/>
      <c r="AN251" s="77"/>
      <c r="AO251" s="77"/>
      <c r="AP251" s="77"/>
      <c r="AQ251" s="77"/>
      <c r="AR251" s="77"/>
      <c r="AS251" s="77"/>
      <c r="AT251" s="77"/>
      <c r="AU251" s="77"/>
      <c r="AV251" s="80" t="str">
        <f>HYPERLINK("https://pbs.twimg.com/profile_images/1436091800889053190/9wG0hnVI_normal.jpg")</f>
        <v>https://pbs.twimg.com/profile_images/1436091800889053190/9wG0hnVI_normal.jpg</v>
      </c>
      <c r="AW251" s="82" t="s">
        <v>11959</v>
      </c>
      <c r="AX251" s="82" t="s">
        <v>15743</v>
      </c>
      <c r="AY251" s="82" t="s">
        <v>15918</v>
      </c>
      <c r="AZ251" s="82" t="s">
        <v>15989</v>
      </c>
      <c r="BA251" s="82" t="s">
        <v>15984</v>
      </c>
      <c r="BB251" s="82" t="s">
        <v>15984</v>
      </c>
      <c r="BC251" s="82" t="s">
        <v>15989</v>
      </c>
      <c r="BD251" s="82" t="s">
        <v>15918</v>
      </c>
      <c r="BE251" s="77"/>
      <c r="BF251" s="77"/>
      <c r="BG251" s="77"/>
      <c r="BH251" s="77"/>
      <c r="BI251" s="77"/>
    </row>
    <row r="252" spans="1:61" x14ac:dyDescent="0.25">
      <c r="A252" s="62" t="s">
        <v>295</v>
      </c>
      <c r="B252" s="62" t="s">
        <v>295</v>
      </c>
      <c r="C252" s="63"/>
      <c r="D252" s="64"/>
      <c r="E252" s="65"/>
      <c r="F252" s="66"/>
      <c r="G252" s="63"/>
      <c r="H252" s="67"/>
      <c r="I252" s="68"/>
      <c r="J252" s="68"/>
      <c r="K252" s="32"/>
      <c r="L252" s="75">
        <v>252</v>
      </c>
      <c r="M252" s="75"/>
      <c r="N252" s="70"/>
      <c r="O252" s="77" t="s">
        <v>179</v>
      </c>
      <c r="P252" s="79">
        <v>45139.989444444444</v>
      </c>
      <c r="Q252" s="77" t="s">
        <v>1143</v>
      </c>
      <c r="R252" s="77">
        <v>0</v>
      </c>
      <c r="S252" s="77">
        <v>2</v>
      </c>
      <c r="T252" s="77">
        <v>0</v>
      </c>
      <c r="U252" s="77">
        <v>0</v>
      </c>
      <c r="V252" s="77">
        <v>14</v>
      </c>
      <c r="W252" s="82" t="s">
        <v>4958</v>
      </c>
      <c r="X252" s="77" t="s">
        <v>6464</v>
      </c>
      <c r="Y252" s="77" t="s">
        <v>6484</v>
      </c>
      <c r="Z252" s="77"/>
      <c r="AA252" s="77"/>
      <c r="AB252" s="77"/>
      <c r="AC252" s="82" t="s">
        <v>7751</v>
      </c>
      <c r="AD252" s="77" t="s">
        <v>7788</v>
      </c>
      <c r="AE252" s="80" t="str">
        <f>HYPERLINK("https://twitter.com/ylearth/status/1686523404885561344")</f>
        <v>https://twitter.com/ylearth/status/1686523404885561344</v>
      </c>
      <c r="AF252" s="79">
        <v>45139.989444444444</v>
      </c>
      <c r="AG252" s="85">
        <v>45139</v>
      </c>
      <c r="AH252" s="82" t="s">
        <v>8032</v>
      </c>
      <c r="AI252" s="77" t="b">
        <v>0</v>
      </c>
      <c r="AJ252" s="77"/>
      <c r="AK252" s="77"/>
      <c r="AL252" s="77"/>
      <c r="AM252" s="77"/>
      <c r="AN252" s="77"/>
      <c r="AO252" s="77"/>
      <c r="AP252" s="77"/>
      <c r="AQ252" s="77"/>
      <c r="AR252" s="77"/>
      <c r="AS252" s="77"/>
      <c r="AT252" s="77"/>
      <c r="AU252" s="77"/>
      <c r="AV252" s="80" t="str">
        <f>HYPERLINK("https://pbs.twimg.com/profile_images/1436091800889053190/9wG0hnVI_normal.jpg")</f>
        <v>https://pbs.twimg.com/profile_images/1436091800889053190/9wG0hnVI_normal.jpg</v>
      </c>
      <c r="AW252" s="82" t="s">
        <v>11960</v>
      </c>
      <c r="AX252" s="82" t="s">
        <v>11960</v>
      </c>
      <c r="AY252" s="77"/>
      <c r="AZ252" s="82" t="s">
        <v>15984</v>
      </c>
      <c r="BA252" s="82" t="s">
        <v>15984</v>
      </c>
      <c r="BB252" s="82" t="s">
        <v>15984</v>
      </c>
      <c r="BC252" s="82" t="s">
        <v>11960</v>
      </c>
      <c r="BD252" s="82" t="s">
        <v>15918</v>
      </c>
      <c r="BE252" s="77"/>
      <c r="BF252" s="77"/>
      <c r="BG252" s="77"/>
      <c r="BH252" s="77"/>
      <c r="BI252" s="77"/>
    </row>
    <row r="253" spans="1:61" x14ac:dyDescent="0.25">
      <c r="A253" s="62" t="s">
        <v>296</v>
      </c>
      <c r="B253" s="62" t="s">
        <v>756</v>
      </c>
      <c r="C253" s="63"/>
      <c r="D253" s="64"/>
      <c r="E253" s="65"/>
      <c r="F253" s="66"/>
      <c r="G253" s="63"/>
      <c r="H253" s="67"/>
      <c r="I253" s="68"/>
      <c r="J253" s="68"/>
      <c r="K253" s="32"/>
      <c r="L253" s="75">
        <v>253</v>
      </c>
      <c r="M253" s="75"/>
      <c r="N253" s="70"/>
      <c r="O253" s="77" t="s">
        <v>895</v>
      </c>
      <c r="P253" s="79">
        <v>45141.25</v>
      </c>
      <c r="Q253" s="77" t="s">
        <v>1144</v>
      </c>
      <c r="R253" s="77">
        <v>0</v>
      </c>
      <c r="S253" s="77">
        <v>0</v>
      </c>
      <c r="T253" s="77">
        <v>0</v>
      </c>
      <c r="U253" s="77">
        <v>0</v>
      </c>
      <c r="V253" s="77">
        <v>8</v>
      </c>
      <c r="W253" s="82" t="s">
        <v>4821</v>
      </c>
      <c r="X253" s="80" t="str">
        <f>HYPERLINK("https://st.s3wfg.com/s/14222470")</f>
        <v>https://st.s3wfg.com/s/14222470</v>
      </c>
      <c r="Y253" s="77" t="s">
        <v>6485</v>
      </c>
      <c r="Z253" s="77" t="s">
        <v>756</v>
      </c>
      <c r="AA253" s="77"/>
      <c r="AB253" s="77"/>
      <c r="AC253" s="82" t="s">
        <v>7750</v>
      </c>
      <c r="AD253" s="77" t="s">
        <v>7790</v>
      </c>
      <c r="AE253" s="80" t="str">
        <f>HYPERLINK("https://twitter.com/gsgbusinessh/status/1686980214025588736")</f>
        <v>https://twitter.com/gsgbusinessh/status/1686980214025588736</v>
      </c>
      <c r="AF253" s="79">
        <v>45141.25</v>
      </c>
      <c r="AG253" s="85">
        <v>45141</v>
      </c>
      <c r="AH253" s="82" t="s">
        <v>8033</v>
      </c>
      <c r="AI253" s="77" t="b">
        <v>0</v>
      </c>
      <c r="AJ253" s="77"/>
      <c r="AK253" s="77"/>
      <c r="AL253" s="77"/>
      <c r="AM253" s="77"/>
      <c r="AN253" s="77"/>
      <c r="AO253" s="77"/>
      <c r="AP253" s="77"/>
      <c r="AQ253" s="77"/>
      <c r="AR253" s="77"/>
      <c r="AS253" s="77"/>
      <c r="AT253" s="77"/>
      <c r="AU253" s="77"/>
      <c r="AV253" s="80" t="str">
        <f>HYPERLINK("https://pbs.twimg.com/profile_images/1552927120350904320/bSlniNW1_normal.jpg")</f>
        <v>https://pbs.twimg.com/profile_images/1552927120350904320/bSlniNW1_normal.jpg</v>
      </c>
      <c r="AW253" s="82" t="s">
        <v>11961</v>
      </c>
      <c r="AX253" s="82" t="s">
        <v>11961</v>
      </c>
      <c r="AY253" s="77"/>
      <c r="AZ253" s="82" t="s">
        <v>15984</v>
      </c>
      <c r="BA253" s="82" t="s">
        <v>15984</v>
      </c>
      <c r="BB253" s="82" t="s">
        <v>15984</v>
      </c>
      <c r="BC253" s="82" t="s">
        <v>11961</v>
      </c>
      <c r="BD253" s="77">
        <v>2356584932</v>
      </c>
      <c r="BE253" s="77"/>
      <c r="BF253" s="77"/>
      <c r="BG253" s="77"/>
      <c r="BH253" s="77"/>
      <c r="BI253" s="77"/>
    </row>
    <row r="254" spans="1:61" x14ac:dyDescent="0.25">
      <c r="A254" s="62" t="s">
        <v>296</v>
      </c>
      <c r="B254" s="62" t="s">
        <v>757</v>
      </c>
      <c r="C254" s="63"/>
      <c r="D254" s="64"/>
      <c r="E254" s="65"/>
      <c r="F254" s="66"/>
      <c r="G254" s="63"/>
      <c r="H254" s="67"/>
      <c r="I254" s="68"/>
      <c r="J254" s="68"/>
      <c r="K254" s="32"/>
      <c r="L254" s="75">
        <v>254</v>
      </c>
      <c r="M254" s="75"/>
      <c r="N254" s="70"/>
      <c r="O254" s="77" t="s">
        <v>895</v>
      </c>
      <c r="P254" s="79">
        <v>45146.250011574077</v>
      </c>
      <c r="Q254" s="77" t="s">
        <v>1145</v>
      </c>
      <c r="R254" s="77">
        <v>0</v>
      </c>
      <c r="S254" s="77">
        <v>0</v>
      </c>
      <c r="T254" s="77">
        <v>0</v>
      </c>
      <c r="U254" s="77">
        <v>0</v>
      </c>
      <c r="V254" s="77">
        <v>9</v>
      </c>
      <c r="W254" s="82" t="s">
        <v>4821</v>
      </c>
      <c r="X254" s="80" t="str">
        <f>HYPERLINK("https://www.washingtonpost.com/business/2023/08/06/us-china-economy-trade-mexico/")</f>
        <v>https://www.washingtonpost.com/business/2023/08/06/us-china-economy-trade-mexico/</v>
      </c>
      <c r="Y254" s="77" t="s">
        <v>6486</v>
      </c>
      <c r="Z254" s="77" t="s">
        <v>757</v>
      </c>
      <c r="AA254" s="77"/>
      <c r="AB254" s="77"/>
      <c r="AC254" s="82" t="s">
        <v>7750</v>
      </c>
      <c r="AD254" s="77" t="s">
        <v>7789</v>
      </c>
      <c r="AE254" s="80" t="str">
        <f>HYPERLINK("https://twitter.com/gsgbusinessh/status/1688792160357781505")</f>
        <v>https://twitter.com/gsgbusinessh/status/1688792160357781505</v>
      </c>
      <c r="AF254" s="79">
        <v>45146.250011574077</v>
      </c>
      <c r="AG254" s="85">
        <v>45146</v>
      </c>
      <c r="AH254" s="82" t="s">
        <v>8034</v>
      </c>
      <c r="AI254" s="77" t="b">
        <v>0</v>
      </c>
      <c r="AJ254" s="77"/>
      <c r="AK254" s="77"/>
      <c r="AL254" s="77"/>
      <c r="AM254" s="77"/>
      <c r="AN254" s="77"/>
      <c r="AO254" s="77"/>
      <c r="AP254" s="77"/>
      <c r="AQ254" s="77"/>
      <c r="AR254" s="77"/>
      <c r="AS254" s="77"/>
      <c r="AT254" s="77"/>
      <c r="AU254" s="77"/>
      <c r="AV254" s="80" t="str">
        <f>HYPERLINK("https://pbs.twimg.com/profile_images/1552927120350904320/bSlniNW1_normal.jpg")</f>
        <v>https://pbs.twimg.com/profile_images/1552927120350904320/bSlniNW1_normal.jpg</v>
      </c>
      <c r="AW254" s="82" t="s">
        <v>11962</v>
      </c>
      <c r="AX254" s="82" t="s">
        <v>11962</v>
      </c>
      <c r="AY254" s="77"/>
      <c r="AZ254" s="82" t="s">
        <v>15984</v>
      </c>
      <c r="BA254" s="82" t="s">
        <v>15984</v>
      </c>
      <c r="BB254" s="82" t="s">
        <v>15984</v>
      </c>
      <c r="BC254" s="82" t="s">
        <v>11962</v>
      </c>
      <c r="BD254" s="77">
        <v>2356584932</v>
      </c>
      <c r="BE254" s="77"/>
      <c r="BF254" s="77"/>
      <c r="BG254" s="77"/>
      <c r="BH254" s="77"/>
      <c r="BI254" s="77"/>
    </row>
    <row r="255" spans="1:61" x14ac:dyDescent="0.25">
      <c r="A255" s="62" t="s">
        <v>296</v>
      </c>
      <c r="B255" s="62" t="s">
        <v>758</v>
      </c>
      <c r="C255" s="63"/>
      <c r="D255" s="64"/>
      <c r="E255" s="65"/>
      <c r="F255" s="66"/>
      <c r="G255" s="63"/>
      <c r="H255" s="67"/>
      <c r="I255" s="68"/>
      <c r="J255" s="68"/>
      <c r="K255" s="32"/>
      <c r="L255" s="75">
        <v>255</v>
      </c>
      <c r="M255" s="75"/>
      <c r="N255" s="70"/>
      <c r="O255" s="77" t="s">
        <v>895</v>
      </c>
      <c r="P255" s="79">
        <v>45153.25</v>
      </c>
      <c r="Q255" s="77" t="s">
        <v>1146</v>
      </c>
      <c r="R255" s="77">
        <v>0</v>
      </c>
      <c r="S255" s="77">
        <v>1</v>
      </c>
      <c r="T255" s="77">
        <v>0</v>
      </c>
      <c r="U255" s="77">
        <v>0</v>
      </c>
      <c r="V255" s="77">
        <v>13</v>
      </c>
      <c r="W255" s="82" t="s">
        <v>4821</v>
      </c>
      <c r="X255" s="80" t="str">
        <f>HYPERLINK("https://www.wsj.com/podcasts/the-journal/biden-new-move-against-chinese-tech/566E2DA2-7F77-4E37-B882-35F44F9AF63E")</f>
        <v>https://www.wsj.com/podcasts/the-journal/biden-new-move-against-chinese-tech/566E2DA2-7F77-4E37-B882-35F44F9AF63E</v>
      </c>
      <c r="Y255" s="77" t="s">
        <v>6487</v>
      </c>
      <c r="Z255" s="77" t="s">
        <v>758</v>
      </c>
      <c r="AA255" s="77"/>
      <c r="AB255" s="77"/>
      <c r="AC255" s="82" t="s">
        <v>7750</v>
      </c>
      <c r="AD255" s="77" t="s">
        <v>7794</v>
      </c>
      <c r="AE255" s="80" t="str">
        <f>HYPERLINK("https://twitter.com/gsgbusinessh/status/1691328870790918144")</f>
        <v>https://twitter.com/gsgbusinessh/status/1691328870790918144</v>
      </c>
      <c r="AF255" s="79">
        <v>45153.25</v>
      </c>
      <c r="AG255" s="85">
        <v>45153</v>
      </c>
      <c r="AH255" s="82" t="s">
        <v>8033</v>
      </c>
      <c r="AI255" s="77" t="b">
        <v>0</v>
      </c>
      <c r="AJ255" s="77"/>
      <c r="AK255" s="77"/>
      <c r="AL255" s="77"/>
      <c r="AM255" s="77"/>
      <c r="AN255" s="77"/>
      <c r="AO255" s="77"/>
      <c r="AP255" s="77"/>
      <c r="AQ255" s="77"/>
      <c r="AR255" s="77"/>
      <c r="AS255" s="77"/>
      <c r="AT255" s="77"/>
      <c r="AU255" s="77"/>
      <c r="AV255" s="80" t="str">
        <f>HYPERLINK("https://pbs.twimg.com/profile_images/1552927120350904320/bSlniNW1_normal.jpg")</f>
        <v>https://pbs.twimg.com/profile_images/1552927120350904320/bSlniNW1_normal.jpg</v>
      </c>
      <c r="AW255" s="82" t="s">
        <v>11963</v>
      </c>
      <c r="AX255" s="82" t="s">
        <v>11963</v>
      </c>
      <c r="AY255" s="77"/>
      <c r="AZ255" s="82" t="s">
        <v>15984</v>
      </c>
      <c r="BA255" s="82" t="s">
        <v>15984</v>
      </c>
      <c r="BB255" s="82" t="s">
        <v>15984</v>
      </c>
      <c r="BC255" s="82" t="s">
        <v>11963</v>
      </c>
      <c r="BD255" s="77">
        <v>2356584932</v>
      </c>
      <c r="BE255" s="77"/>
      <c r="BF255" s="77"/>
      <c r="BG255" s="77"/>
      <c r="BH255" s="77"/>
      <c r="BI255" s="77"/>
    </row>
    <row r="256" spans="1:61" x14ac:dyDescent="0.25">
      <c r="A256" s="62" t="s">
        <v>296</v>
      </c>
      <c r="B256" s="62" t="s">
        <v>759</v>
      </c>
      <c r="C256" s="63"/>
      <c r="D256" s="64"/>
      <c r="E256" s="65"/>
      <c r="F256" s="66"/>
      <c r="G256" s="63"/>
      <c r="H256" s="67"/>
      <c r="I256" s="68"/>
      <c r="J256" s="68"/>
      <c r="K256" s="32"/>
      <c r="L256" s="75">
        <v>256</v>
      </c>
      <c r="M256" s="75"/>
      <c r="N256" s="70"/>
      <c r="O256" s="77" t="s">
        <v>895</v>
      </c>
      <c r="P256" s="79">
        <v>45162.561944444446</v>
      </c>
      <c r="Q256" s="77" t="s">
        <v>1147</v>
      </c>
      <c r="R256" s="77">
        <v>0</v>
      </c>
      <c r="S256" s="77">
        <v>0</v>
      </c>
      <c r="T256" s="77">
        <v>0</v>
      </c>
      <c r="U256" s="77">
        <v>0</v>
      </c>
      <c r="V256" s="77">
        <v>10</v>
      </c>
      <c r="W256" s="82" t="s">
        <v>4821</v>
      </c>
      <c r="X256" s="80" t="str">
        <f>HYPERLINK("https://www.businessinsider.es/wall-street-canta-victoria-demasiado-pronto-eeuu-camino-recesion-1293478?utm_source=Twitter&amp;utm_medium=referral&amp;utm_campaign=Botones_sociales")</f>
        <v>https://www.businessinsider.es/wall-street-canta-victoria-demasiado-pronto-eeuu-camino-recesion-1293478?utm_source=Twitter&amp;utm_medium=referral&amp;utm_campaign=Botones_sociales</v>
      </c>
      <c r="Y256" s="77" t="s">
        <v>6488</v>
      </c>
      <c r="Z256" s="77" t="s">
        <v>759</v>
      </c>
      <c r="AA256" s="77"/>
      <c r="AB256" s="77"/>
      <c r="AC256" s="82" t="s">
        <v>7750</v>
      </c>
      <c r="AD256" s="77" t="s">
        <v>7790</v>
      </c>
      <c r="AE256" s="80" t="str">
        <f>HYPERLINK("https://twitter.com/gsgbusinessh/status/1694703407075115116")</f>
        <v>https://twitter.com/gsgbusinessh/status/1694703407075115116</v>
      </c>
      <c r="AF256" s="79">
        <v>45162.561944444446</v>
      </c>
      <c r="AG256" s="85">
        <v>45162</v>
      </c>
      <c r="AH256" s="82" t="s">
        <v>8035</v>
      </c>
      <c r="AI256" s="77" t="b">
        <v>0</v>
      </c>
      <c r="AJ256" s="77"/>
      <c r="AK256" s="77"/>
      <c r="AL256" s="77"/>
      <c r="AM256" s="77"/>
      <c r="AN256" s="77"/>
      <c r="AO256" s="77"/>
      <c r="AP256" s="77"/>
      <c r="AQ256" s="77"/>
      <c r="AR256" s="77"/>
      <c r="AS256" s="77"/>
      <c r="AT256" s="77"/>
      <c r="AU256" s="77"/>
      <c r="AV256" s="80" t="str">
        <f>HYPERLINK("https://pbs.twimg.com/profile_images/1552927120350904320/bSlniNW1_normal.jpg")</f>
        <v>https://pbs.twimg.com/profile_images/1552927120350904320/bSlniNW1_normal.jpg</v>
      </c>
      <c r="AW256" s="82" t="s">
        <v>11964</v>
      </c>
      <c r="AX256" s="82" t="s">
        <v>11964</v>
      </c>
      <c r="AY256" s="77"/>
      <c r="AZ256" s="82" t="s">
        <v>15984</v>
      </c>
      <c r="BA256" s="82" t="s">
        <v>15984</v>
      </c>
      <c r="BB256" s="82" t="s">
        <v>15984</v>
      </c>
      <c r="BC256" s="82" t="s">
        <v>11964</v>
      </c>
      <c r="BD256" s="77">
        <v>2356584932</v>
      </c>
      <c r="BE256" s="77"/>
      <c r="BF256" s="77"/>
      <c r="BG256" s="77"/>
      <c r="BH256" s="77"/>
      <c r="BI256" s="77"/>
    </row>
    <row r="257" spans="1:61" x14ac:dyDescent="0.25">
      <c r="A257" s="62" t="s">
        <v>296</v>
      </c>
      <c r="B257" s="62" t="s">
        <v>760</v>
      </c>
      <c r="C257" s="63"/>
      <c r="D257" s="64"/>
      <c r="E257" s="65"/>
      <c r="F257" s="66"/>
      <c r="G257" s="63"/>
      <c r="H257" s="67"/>
      <c r="I257" s="68"/>
      <c r="J257" s="68"/>
      <c r="K257" s="32"/>
      <c r="L257" s="75">
        <v>257</v>
      </c>
      <c r="M257" s="75"/>
      <c r="N257" s="70"/>
      <c r="O257" s="77" t="s">
        <v>895</v>
      </c>
      <c r="P257" s="79">
        <v>45174.25</v>
      </c>
      <c r="Q257" s="77" t="s">
        <v>1148</v>
      </c>
      <c r="R257" s="77">
        <v>0</v>
      </c>
      <c r="S257" s="77">
        <v>0</v>
      </c>
      <c r="T257" s="77">
        <v>0</v>
      </c>
      <c r="U257" s="77">
        <v>0</v>
      </c>
      <c r="V257" s="77">
        <v>6</v>
      </c>
      <c r="W257" s="82" t="s">
        <v>4821</v>
      </c>
      <c r="X257" s="80" t="str">
        <f>HYPERLINK("https://cnn.it/3R226k8")</f>
        <v>https://cnn.it/3R226k8</v>
      </c>
      <c r="Y257" s="77" t="s">
        <v>6489</v>
      </c>
      <c r="Z257" s="77" t="s">
        <v>760</v>
      </c>
      <c r="AA257" s="77"/>
      <c r="AB257" s="77"/>
      <c r="AC257" s="82" t="s">
        <v>7750</v>
      </c>
      <c r="AD257" s="77" t="s">
        <v>7790</v>
      </c>
      <c r="AE257" s="80" t="str">
        <f>HYPERLINK("https://twitter.com/gsgbusinessh/status/1698939013888180713")</f>
        <v>https://twitter.com/gsgbusinessh/status/1698939013888180713</v>
      </c>
      <c r="AF257" s="79">
        <v>45174.25</v>
      </c>
      <c r="AG257" s="85">
        <v>45174</v>
      </c>
      <c r="AH257" s="82" t="s">
        <v>8033</v>
      </c>
      <c r="AI257" s="77" t="b">
        <v>0</v>
      </c>
      <c r="AJ257" s="77"/>
      <c r="AK257" s="77"/>
      <c r="AL257" s="77"/>
      <c r="AM257" s="77"/>
      <c r="AN257" s="77"/>
      <c r="AO257" s="77"/>
      <c r="AP257" s="77"/>
      <c r="AQ257" s="77"/>
      <c r="AR257" s="77"/>
      <c r="AS257" s="77"/>
      <c r="AT257" s="77"/>
      <c r="AU257" s="77"/>
      <c r="AV257" s="80" t="str">
        <f>HYPERLINK("https://pbs.twimg.com/profile_images/1552927120350904320/bSlniNW1_normal.jpg")</f>
        <v>https://pbs.twimg.com/profile_images/1552927120350904320/bSlniNW1_normal.jpg</v>
      </c>
      <c r="AW257" s="82" t="s">
        <v>11965</v>
      </c>
      <c r="AX257" s="82" t="s">
        <v>11965</v>
      </c>
      <c r="AY257" s="77"/>
      <c r="AZ257" s="82" t="s">
        <v>15984</v>
      </c>
      <c r="BA257" s="82" t="s">
        <v>15984</v>
      </c>
      <c r="BB257" s="82" t="s">
        <v>15984</v>
      </c>
      <c r="BC257" s="82" t="s">
        <v>11965</v>
      </c>
      <c r="BD257" s="77">
        <v>2356584932</v>
      </c>
      <c r="BE257" s="77"/>
      <c r="BF257" s="77"/>
      <c r="BG257" s="77"/>
      <c r="BH257" s="77"/>
      <c r="BI257" s="77"/>
    </row>
    <row r="258" spans="1:61" x14ac:dyDescent="0.25">
      <c r="A258" s="62" t="s">
        <v>296</v>
      </c>
      <c r="B258" s="62" t="s">
        <v>716</v>
      </c>
      <c r="C258" s="63"/>
      <c r="D258" s="64"/>
      <c r="E258" s="65"/>
      <c r="F258" s="66"/>
      <c r="G258" s="63"/>
      <c r="H258" s="67"/>
      <c r="I258" s="68"/>
      <c r="J258" s="68"/>
      <c r="K258" s="32"/>
      <c r="L258" s="75">
        <v>258</v>
      </c>
      <c r="M258" s="75"/>
      <c r="N258" s="70"/>
      <c r="O258" s="77" t="s">
        <v>895</v>
      </c>
      <c r="P258" s="79">
        <v>45160.25</v>
      </c>
      <c r="Q258" s="77" t="s">
        <v>1149</v>
      </c>
      <c r="R258" s="77">
        <v>0</v>
      </c>
      <c r="S258" s="77">
        <v>0</v>
      </c>
      <c r="T258" s="77">
        <v>0</v>
      </c>
      <c r="U258" s="77">
        <v>0</v>
      </c>
      <c r="V258" s="77">
        <v>17</v>
      </c>
      <c r="W258" s="82" t="s">
        <v>4821</v>
      </c>
      <c r="X258" s="80" t="str">
        <f>HYPERLINK("https://cincodias.elpais.com/mercados-financieros/2023-08-21/de-dragon-rojo-a-cisne-negro-las-cifras-y-senales-de-china-que-inquietan-al-resto-del-mundo.html?ssm=TW_CC")</f>
        <v>https://cincodias.elpais.com/mercados-financieros/2023-08-21/de-dragon-rojo-a-cisne-negro-las-cifras-y-senales-de-china-que-inquietan-al-resto-del-mundo.html?ssm=TW_CC</v>
      </c>
      <c r="Y258" s="77" t="s">
        <v>6490</v>
      </c>
      <c r="Z258" s="77" t="s">
        <v>716</v>
      </c>
      <c r="AA258" s="77"/>
      <c r="AB258" s="77"/>
      <c r="AC258" s="82" t="s">
        <v>7750</v>
      </c>
      <c r="AD258" s="77" t="s">
        <v>7790</v>
      </c>
      <c r="AE258" s="80" t="str">
        <f>HYPERLINK("https://twitter.com/gsgbusinessh/status/1693865585778798961")</f>
        <v>https://twitter.com/gsgbusinessh/status/1693865585778798961</v>
      </c>
      <c r="AF258" s="79">
        <v>45160.25</v>
      </c>
      <c r="AG258" s="85">
        <v>45160</v>
      </c>
      <c r="AH258" s="82" t="s">
        <v>8033</v>
      </c>
      <c r="AI258" s="77" t="b">
        <v>0</v>
      </c>
      <c r="AJ258" s="77"/>
      <c r="AK258" s="77"/>
      <c r="AL258" s="77"/>
      <c r="AM258" s="77"/>
      <c r="AN258" s="77"/>
      <c r="AO258" s="77"/>
      <c r="AP258" s="77"/>
      <c r="AQ258" s="77"/>
      <c r="AR258" s="77"/>
      <c r="AS258" s="77"/>
      <c r="AT258" s="77"/>
      <c r="AU258" s="77"/>
      <c r="AV258" s="80" t="str">
        <f>HYPERLINK("https://pbs.twimg.com/profile_images/1552927120350904320/bSlniNW1_normal.jpg")</f>
        <v>https://pbs.twimg.com/profile_images/1552927120350904320/bSlniNW1_normal.jpg</v>
      </c>
      <c r="AW258" s="82" t="s">
        <v>11966</v>
      </c>
      <c r="AX258" s="82" t="s">
        <v>11966</v>
      </c>
      <c r="AY258" s="77"/>
      <c r="AZ258" s="82" t="s">
        <v>15984</v>
      </c>
      <c r="BA258" s="82" t="s">
        <v>15984</v>
      </c>
      <c r="BB258" s="82" t="s">
        <v>15984</v>
      </c>
      <c r="BC258" s="82" t="s">
        <v>11966</v>
      </c>
      <c r="BD258" s="77">
        <v>2356584932</v>
      </c>
      <c r="BE258" s="77"/>
      <c r="BF258" s="77"/>
      <c r="BG258" s="77"/>
      <c r="BH258" s="77"/>
      <c r="BI258" s="77"/>
    </row>
    <row r="259" spans="1:61" x14ac:dyDescent="0.25">
      <c r="A259" s="62" t="s">
        <v>297</v>
      </c>
      <c r="B259" s="62" t="s">
        <v>297</v>
      </c>
      <c r="C259" s="63"/>
      <c r="D259" s="64"/>
      <c r="E259" s="65"/>
      <c r="F259" s="66"/>
      <c r="G259" s="63"/>
      <c r="H259" s="67"/>
      <c r="I259" s="68"/>
      <c r="J259" s="68"/>
      <c r="K259" s="32"/>
      <c r="L259" s="75">
        <v>259</v>
      </c>
      <c r="M259" s="75"/>
      <c r="N259" s="70"/>
      <c r="O259" s="77" t="s">
        <v>179</v>
      </c>
      <c r="P259" s="79">
        <v>45169.745219907411</v>
      </c>
      <c r="Q259" s="77" t="s">
        <v>1150</v>
      </c>
      <c r="R259" s="77">
        <v>0</v>
      </c>
      <c r="S259" s="77">
        <v>0</v>
      </c>
      <c r="T259" s="77">
        <v>1</v>
      </c>
      <c r="U259" s="77">
        <v>0</v>
      </c>
      <c r="V259" s="77">
        <v>262</v>
      </c>
      <c r="W259" s="82" t="s">
        <v>4959</v>
      </c>
      <c r="X259" s="77"/>
      <c r="Y259" s="77"/>
      <c r="Z259" s="77"/>
      <c r="AA259" s="77" t="s">
        <v>6779</v>
      </c>
      <c r="AB259" s="77" t="s">
        <v>7747</v>
      </c>
      <c r="AC259" s="82" t="s">
        <v>7752</v>
      </c>
      <c r="AD259" s="77" t="s">
        <v>7788</v>
      </c>
      <c r="AE259" s="80" t="str">
        <f>HYPERLINK("https://twitter.com/carolinedaher/status/1697306535448424508")</f>
        <v>https://twitter.com/carolinedaher/status/1697306535448424508</v>
      </c>
      <c r="AF259" s="79">
        <v>45169.745219907411</v>
      </c>
      <c r="AG259" s="85">
        <v>45169</v>
      </c>
      <c r="AH259" s="82" t="s">
        <v>8036</v>
      </c>
      <c r="AI259" s="77" t="b">
        <v>0</v>
      </c>
      <c r="AJ259" s="77" t="s">
        <v>10563</v>
      </c>
      <c r="AK259" s="77" t="s">
        <v>10571</v>
      </c>
      <c r="AL259" s="77" t="s">
        <v>10575</v>
      </c>
      <c r="AM259" s="77" t="s">
        <v>10581</v>
      </c>
      <c r="AN259" s="77" t="s">
        <v>10592</v>
      </c>
      <c r="AO259" s="77" t="s">
        <v>10602</v>
      </c>
      <c r="AP259" s="77" t="s">
        <v>10609</v>
      </c>
      <c r="AQ259" s="77" t="s">
        <v>10751</v>
      </c>
      <c r="AR259" s="77"/>
      <c r="AS259" s="77"/>
      <c r="AT259" s="77"/>
      <c r="AU259" s="77"/>
      <c r="AV259" s="80" t="str">
        <f>HYPERLINK("https://pbs.twimg.com/media/F44LRT8aMAAuDM2.jpg")</f>
        <v>https://pbs.twimg.com/media/F44LRT8aMAAuDM2.jpg</v>
      </c>
      <c r="AW259" s="82" t="s">
        <v>11967</v>
      </c>
      <c r="AX259" s="82" t="s">
        <v>11967</v>
      </c>
      <c r="AY259" s="77"/>
      <c r="AZ259" s="82" t="s">
        <v>15984</v>
      </c>
      <c r="BA259" s="82" t="s">
        <v>15984</v>
      </c>
      <c r="BB259" s="82" t="s">
        <v>15984</v>
      </c>
      <c r="BC259" s="82" t="s">
        <v>11967</v>
      </c>
      <c r="BD259" s="77">
        <v>117060034</v>
      </c>
      <c r="BE259" s="77"/>
      <c r="BF259" s="77"/>
      <c r="BG259" s="77"/>
      <c r="BH259" s="77"/>
      <c r="BI259" s="77"/>
    </row>
    <row r="260" spans="1:61" x14ac:dyDescent="0.25">
      <c r="A260" s="62" t="s">
        <v>298</v>
      </c>
      <c r="B260" s="62" t="s">
        <v>298</v>
      </c>
      <c r="C260" s="63"/>
      <c r="D260" s="64"/>
      <c r="E260" s="65"/>
      <c r="F260" s="66"/>
      <c r="G260" s="63"/>
      <c r="H260" s="67"/>
      <c r="I260" s="68"/>
      <c r="J260" s="68"/>
      <c r="K260" s="32"/>
      <c r="L260" s="75">
        <v>260</v>
      </c>
      <c r="M260" s="75"/>
      <c r="N260" s="70"/>
      <c r="O260" s="77" t="s">
        <v>179</v>
      </c>
      <c r="P260" s="79">
        <v>45160.368622685186</v>
      </c>
      <c r="Q260" s="77" t="s">
        <v>1151</v>
      </c>
      <c r="R260" s="77">
        <v>0</v>
      </c>
      <c r="S260" s="77">
        <v>4</v>
      </c>
      <c r="T260" s="77">
        <v>0</v>
      </c>
      <c r="U260" s="77">
        <v>0</v>
      </c>
      <c r="V260" s="77">
        <v>290</v>
      </c>
      <c r="W260" s="82" t="s">
        <v>4960</v>
      </c>
      <c r="X260" s="77"/>
      <c r="Y260" s="77"/>
      <c r="Z260" s="77"/>
      <c r="AA260" s="77" t="s">
        <v>6780</v>
      </c>
      <c r="AB260" s="77" t="s">
        <v>7745</v>
      </c>
      <c r="AC260" s="82" t="s">
        <v>7751</v>
      </c>
      <c r="AD260" s="77" t="s">
        <v>7788</v>
      </c>
      <c r="AE260" s="80" t="str">
        <f>HYPERLINK("https://twitter.com/agatatrade60180/status/1693908572583739674")</f>
        <v>https://twitter.com/agatatrade60180/status/1693908572583739674</v>
      </c>
      <c r="AF260" s="79">
        <v>45160.368622685186</v>
      </c>
      <c r="AG260" s="85">
        <v>45160</v>
      </c>
      <c r="AH260" s="82" t="s">
        <v>8037</v>
      </c>
      <c r="AI260" s="77" t="b">
        <v>0</v>
      </c>
      <c r="AJ260" s="77"/>
      <c r="AK260" s="77"/>
      <c r="AL260" s="77"/>
      <c r="AM260" s="77"/>
      <c r="AN260" s="77"/>
      <c r="AO260" s="77"/>
      <c r="AP260" s="77"/>
      <c r="AQ260" s="77" t="s">
        <v>10752</v>
      </c>
      <c r="AR260" s="77"/>
      <c r="AS260" s="77"/>
      <c r="AT260" s="77"/>
      <c r="AU260" s="77"/>
      <c r="AV260" s="80" t="str">
        <f>HYPERLINK("https://pbs.twimg.com/media/F4H41aMX0AAnL5r.jpg")</f>
        <v>https://pbs.twimg.com/media/F4H41aMX0AAnL5r.jpg</v>
      </c>
      <c r="AW260" s="82" t="s">
        <v>11968</v>
      </c>
      <c r="AX260" s="82" t="s">
        <v>11968</v>
      </c>
      <c r="AY260" s="77"/>
      <c r="AZ260" s="82" t="s">
        <v>15984</v>
      </c>
      <c r="BA260" s="82" t="s">
        <v>15984</v>
      </c>
      <c r="BB260" s="82" t="s">
        <v>15984</v>
      </c>
      <c r="BC260" s="82" t="s">
        <v>11968</v>
      </c>
      <c r="BD260" s="82" t="s">
        <v>16145</v>
      </c>
      <c r="BE260" s="77"/>
      <c r="BF260" s="77"/>
      <c r="BG260" s="77"/>
      <c r="BH260" s="77"/>
      <c r="BI260" s="77"/>
    </row>
    <row r="261" spans="1:61" x14ac:dyDescent="0.25">
      <c r="A261" s="62" t="s">
        <v>298</v>
      </c>
      <c r="B261" s="62" t="s">
        <v>298</v>
      </c>
      <c r="C261" s="63"/>
      <c r="D261" s="64"/>
      <c r="E261" s="65"/>
      <c r="F261" s="66"/>
      <c r="G261" s="63"/>
      <c r="H261" s="67"/>
      <c r="I261" s="68"/>
      <c r="J261" s="68"/>
      <c r="K261" s="32"/>
      <c r="L261" s="75">
        <v>261</v>
      </c>
      <c r="M261" s="75"/>
      <c r="N261" s="70"/>
      <c r="O261" s="77" t="s">
        <v>179</v>
      </c>
      <c r="P261" s="79">
        <v>45168.678356481483</v>
      </c>
      <c r="Q261" s="77" t="s">
        <v>1152</v>
      </c>
      <c r="R261" s="77">
        <v>0</v>
      </c>
      <c r="S261" s="77">
        <v>3</v>
      </c>
      <c r="T261" s="77">
        <v>0</v>
      </c>
      <c r="U261" s="77">
        <v>0</v>
      </c>
      <c r="V261" s="77">
        <v>288</v>
      </c>
      <c r="W261" s="82" t="s">
        <v>4961</v>
      </c>
      <c r="X261" s="77"/>
      <c r="Y261" s="77"/>
      <c r="Z261" s="77"/>
      <c r="AA261" s="77" t="s">
        <v>6781</v>
      </c>
      <c r="AB261" s="77" t="s">
        <v>7742</v>
      </c>
      <c r="AC261" s="82" t="s">
        <v>7751</v>
      </c>
      <c r="AD261" s="77" t="s">
        <v>7788</v>
      </c>
      <c r="AE261" s="80" t="str">
        <f>HYPERLINK("https://twitter.com/agatatrade60180/status/1696919917830848579")</f>
        <v>https://twitter.com/agatatrade60180/status/1696919917830848579</v>
      </c>
      <c r="AF261" s="79">
        <v>45168.678356481483</v>
      </c>
      <c r="AG261" s="85">
        <v>45168</v>
      </c>
      <c r="AH261" s="82" t="s">
        <v>8038</v>
      </c>
      <c r="AI261" s="77" t="b">
        <v>0</v>
      </c>
      <c r="AJ261" s="77"/>
      <c r="AK261" s="77"/>
      <c r="AL261" s="77"/>
      <c r="AM261" s="77"/>
      <c r="AN261" s="77"/>
      <c r="AO261" s="77"/>
      <c r="AP261" s="77"/>
      <c r="AQ261" s="77" t="s">
        <v>10753</v>
      </c>
      <c r="AR261" s="77"/>
      <c r="AS261" s="77"/>
      <c r="AT261" s="77"/>
      <c r="AU261" s="77"/>
      <c r="AV261" s="80" t="str">
        <f>HYPERLINK("https://pbs.twimg.com/media/F4yrq9_XwAEKue4.jpg")</f>
        <v>https://pbs.twimg.com/media/F4yrq9_XwAEKue4.jpg</v>
      </c>
      <c r="AW261" s="82" t="s">
        <v>11969</v>
      </c>
      <c r="AX261" s="82" t="s">
        <v>11969</v>
      </c>
      <c r="AY261" s="77"/>
      <c r="AZ261" s="82" t="s">
        <v>15984</v>
      </c>
      <c r="BA261" s="82" t="s">
        <v>15984</v>
      </c>
      <c r="BB261" s="82" t="s">
        <v>15984</v>
      </c>
      <c r="BC261" s="82" t="s">
        <v>11969</v>
      </c>
      <c r="BD261" s="82" t="s">
        <v>16145</v>
      </c>
      <c r="BE261" s="77"/>
      <c r="BF261" s="77"/>
      <c r="BG261" s="77"/>
      <c r="BH261" s="77"/>
      <c r="BI261" s="77"/>
    </row>
    <row r="262" spans="1:61" x14ac:dyDescent="0.25">
      <c r="A262" s="62" t="s">
        <v>298</v>
      </c>
      <c r="B262" s="62" t="s">
        <v>298</v>
      </c>
      <c r="C262" s="63"/>
      <c r="D262" s="64"/>
      <c r="E262" s="65"/>
      <c r="F262" s="66"/>
      <c r="G262" s="63"/>
      <c r="H262" s="67"/>
      <c r="I262" s="68"/>
      <c r="J262" s="68"/>
      <c r="K262" s="32"/>
      <c r="L262" s="75">
        <v>262</v>
      </c>
      <c r="M262" s="75"/>
      <c r="N262" s="70"/>
      <c r="O262" s="77" t="s">
        <v>179</v>
      </c>
      <c r="P262" s="79">
        <v>45168.677974537037</v>
      </c>
      <c r="Q262" s="77" t="s">
        <v>1153</v>
      </c>
      <c r="R262" s="77">
        <v>0</v>
      </c>
      <c r="S262" s="77">
        <v>7</v>
      </c>
      <c r="T262" s="77">
        <v>0</v>
      </c>
      <c r="U262" s="77">
        <v>0</v>
      </c>
      <c r="V262" s="77">
        <v>201</v>
      </c>
      <c r="W262" s="82" t="s">
        <v>4962</v>
      </c>
      <c r="X262" s="77"/>
      <c r="Y262" s="77"/>
      <c r="Z262" s="77"/>
      <c r="AA262" s="77" t="s">
        <v>6782</v>
      </c>
      <c r="AB262" s="77" t="s">
        <v>7743</v>
      </c>
      <c r="AC262" s="82" t="s">
        <v>7751</v>
      </c>
      <c r="AD262" s="77" t="s">
        <v>7788</v>
      </c>
      <c r="AE262" s="80" t="str">
        <f>HYPERLINK("https://twitter.com/agatatrade60180/status/1696919781574639733")</f>
        <v>https://twitter.com/agatatrade60180/status/1696919781574639733</v>
      </c>
      <c r="AF262" s="79">
        <v>45168.677974537037</v>
      </c>
      <c r="AG262" s="85">
        <v>45168</v>
      </c>
      <c r="AH262" s="82" t="s">
        <v>8039</v>
      </c>
      <c r="AI262" s="77" t="b">
        <v>0</v>
      </c>
      <c r="AJ262" s="77"/>
      <c r="AK262" s="77"/>
      <c r="AL262" s="77"/>
      <c r="AM262" s="77"/>
      <c r="AN262" s="77"/>
      <c r="AO262" s="77"/>
      <c r="AP262" s="77"/>
      <c r="AQ262" s="77" t="s">
        <v>10754</v>
      </c>
      <c r="AR262" s="77">
        <v>23400</v>
      </c>
      <c r="AS262" s="77"/>
      <c r="AT262" s="77"/>
      <c r="AU262" s="77"/>
      <c r="AV262" s="80" t="str">
        <f>HYPERLINK("https://pbs.twimg.com/ext_tw_video_thumb/1696919618013609985/pu/img/GRkUumzQG_gsNtDi.jpg")</f>
        <v>https://pbs.twimg.com/ext_tw_video_thumb/1696919618013609985/pu/img/GRkUumzQG_gsNtDi.jpg</v>
      </c>
      <c r="AW262" s="82" t="s">
        <v>11970</v>
      </c>
      <c r="AX262" s="82" t="s">
        <v>11970</v>
      </c>
      <c r="AY262" s="77"/>
      <c r="AZ262" s="82" t="s">
        <v>15984</v>
      </c>
      <c r="BA262" s="82" t="s">
        <v>15984</v>
      </c>
      <c r="BB262" s="82" t="s">
        <v>15984</v>
      </c>
      <c r="BC262" s="82" t="s">
        <v>11970</v>
      </c>
      <c r="BD262" s="82" t="s">
        <v>16145</v>
      </c>
      <c r="BE262" s="77"/>
      <c r="BF262" s="77"/>
      <c r="BG262" s="77"/>
      <c r="BH262" s="77"/>
      <c r="BI262" s="77"/>
    </row>
    <row r="263" spans="1:61" x14ac:dyDescent="0.25">
      <c r="A263" s="62" t="s">
        <v>298</v>
      </c>
      <c r="B263" s="62" t="s">
        <v>298</v>
      </c>
      <c r="C263" s="63"/>
      <c r="D263" s="64"/>
      <c r="E263" s="65"/>
      <c r="F263" s="66"/>
      <c r="G263" s="63"/>
      <c r="H263" s="67"/>
      <c r="I263" s="68"/>
      <c r="J263" s="68"/>
      <c r="K263" s="32"/>
      <c r="L263" s="75">
        <v>263</v>
      </c>
      <c r="M263" s="75"/>
      <c r="N263" s="70"/>
      <c r="O263" s="77" t="s">
        <v>179</v>
      </c>
      <c r="P263" s="79">
        <v>45177.278564814813</v>
      </c>
      <c r="Q263" s="77" t="s">
        <v>1154</v>
      </c>
      <c r="R263" s="77">
        <v>0</v>
      </c>
      <c r="S263" s="77">
        <v>11</v>
      </c>
      <c r="T263" s="77">
        <v>0</v>
      </c>
      <c r="U263" s="77">
        <v>0</v>
      </c>
      <c r="V263" s="77">
        <v>643</v>
      </c>
      <c r="W263" s="82" t="s">
        <v>4963</v>
      </c>
      <c r="X263" s="77"/>
      <c r="Y263" s="77"/>
      <c r="Z263" s="77"/>
      <c r="AA263" s="77" t="s">
        <v>6783</v>
      </c>
      <c r="AB263" s="77" t="s">
        <v>7743</v>
      </c>
      <c r="AC263" s="82" t="s">
        <v>7751</v>
      </c>
      <c r="AD263" s="77" t="s">
        <v>7788</v>
      </c>
      <c r="AE263" s="80" t="str">
        <f>HYPERLINK("https://twitter.com/agatatrade60180/status/1700036528347500950")</f>
        <v>https://twitter.com/agatatrade60180/status/1700036528347500950</v>
      </c>
      <c r="AF263" s="79">
        <v>45177.278564814813</v>
      </c>
      <c r="AG263" s="85">
        <v>45177</v>
      </c>
      <c r="AH263" s="82" t="s">
        <v>8040</v>
      </c>
      <c r="AI263" s="77" t="b">
        <v>0</v>
      </c>
      <c r="AJ263" s="77"/>
      <c r="AK263" s="77"/>
      <c r="AL263" s="77"/>
      <c r="AM263" s="77"/>
      <c r="AN263" s="77"/>
      <c r="AO263" s="77"/>
      <c r="AP263" s="77"/>
      <c r="AQ263" s="77" t="s">
        <v>10755</v>
      </c>
      <c r="AR263" s="77">
        <v>9066</v>
      </c>
      <c r="AS263" s="77"/>
      <c r="AT263" s="77"/>
      <c r="AU263" s="77"/>
      <c r="AV263" s="80" t="str">
        <f>HYPERLINK("https://pbs.twimg.com/ext_tw_video_thumb/1700036465588076544/pu/img/Cv9NoxCu73rg0Ev1.jpg")</f>
        <v>https://pbs.twimg.com/ext_tw_video_thumb/1700036465588076544/pu/img/Cv9NoxCu73rg0Ev1.jpg</v>
      </c>
      <c r="AW263" s="82" t="s">
        <v>11971</v>
      </c>
      <c r="AX263" s="82" t="s">
        <v>11971</v>
      </c>
      <c r="AY263" s="77"/>
      <c r="AZ263" s="82" t="s">
        <v>15984</v>
      </c>
      <c r="BA263" s="82" t="s">
        <v>15984</v>
      </c>
      <c r="BB263" s="82" t="s">
        <v>15984</v>
      </c>
      <c r="BC263" s="82" t="s">
        <v>11971</v>
      </c>
      <c r="BD263" s="82" t="s">
        <v>16145</v>
      </c>
      <c r="BE263" s="77"/>
      <c r="BF263" s="77"/>
      <c r="BG263" s="77"/>
      <c r="BH263" s="77"/>
      <c r="BI263" s="77"/>
    </row>
    <row r="264" spans="1:61" x14ac:dyDescent="0.25">
      <c r="A264" s="62" t="s">
        <v>298</v>
      </c>
      <c r="B264" s="62" t="s">
        <v>298</v>
      </c>
      <c r="C264" s="63"/>
      <c r="D264" s="64"/>
      <c r="E264" s="65"/>
      <c r="F264" s="66"/>
      <c r="G264" s="63"/>
      <c r="H264" s="67"/>
      <c r="I264" s="68"/>
      <c r="J264" s="68"/>
      <c r="K264" s="32"/>
      <c r="L264" s="75">
        <v>264</v>
      </c>
      <c r="M264" s="75"/>
      <c r="N264" s="70"/>
      <c r="O264" s="77" t="s">
        <v>179</v>
      </c>
      <c r="P264" s="79">
        <v>45177.277372685188</v>
      </c>
      <c r="Q264" s="77" t="s">
        <v>1155</v>
      </c>
      <c r="R264" s="77">
        <v>0</v>
      </c>
      <c r="S264" s="77">
        <v>5</v>
      </c>
      <c r="T264" s="77">
        <v>0</v>
      </c>
      <c r="U264" s="77">
        <v>0</v>
      </c>
      <c r="V264" s="77">
        <v>366</v>
      </c>
      <c r="W264" s="82" t="s">
        <v>4964</v>
      </c>
      <c r="X264" s="77"/>
      <c r="Y264" s="77"/>
      <c r="Z264" s="77"/>
      <c r="AA264" s="77" t="s">
        <v>6784</v>
      </c>
      <c r="AB264" s="77" t="s">
        <v>7743</v>
      </c>
      <c r="AC264" s="82" t="s">
        <v>7751</v>
      </c>
      <c r="AD264" s="77" t="s">
        <v>7788</v>
      </c>
      <c r="AE264" s="80" t="str">
        <f>HYPERLINK("https://twitter.com/agatatrade60180/status/1700036099177894161")</f>
        <v>https://twitter.com/agatatrade60180/status/1700036099177894161</v>
      </c>
      <c r="AF264" s="79">
        <v>45177.277372685188</v>
      </c>
      <c r="AG264" s="85">
        <v>45177</v>
      </c>
      <c r="AH264" s="82" t="s">
        <v>8041</v>
      </c>
      <c r="AI264" s="77" t="b">
        <v>0</v>
      </c>
      <c r="AJ264" s="77"/>
      <c r="AK264" s="77"/>
      <c r="AL264" s="77"/>
      <c r="AM264" s="77"/>
      <c r="AN264" s="77"/>
      <c r="AO264" s="77"/>
      <c r="AP264" s="77"/>
      <c r="AQ264" s="77" t="s">
        <v>10756</v>
      </c>
      <c r="AR264" s="77">
        <v>8967</v>
      </c>
      <c r="AS264" s="77"/>
      <c r="AT264" s="77"/>
      <c r="AU264" s="77"/>
      <c r="AV264" s="80" t="str">
        <f>HYPERLINK("https://pbs.twimg.com/ext_tw_video_thumb/1700036067338940416/pu/img/naW37Snr56MPqX_2.jpg")</f>
        <v>https://pbs.twimg.com/ext_tw_video_thumb/1700036067338940416/pu/img/naW37Snr56MPqX_2.jpg</v>
      </c>
      <c r="AW264" s="82" t="s">
        <v>11972</v>
      </c>
      <c r="AX264" s="82" t="s">
        <v>11972</v>
      </c>
      <c r="AY264" s="77"/>
      <c r="AZ264" s="82" t="s">
        <v>15984</v>
      </c>
      <c r="BA264" s="82" t="s">
        <v>15984</v>
      </c>
      <c r="BB264" s="82" t="s">
        <v>15984</v>
      </c>
      <c r="BC264" s="82" t="s">
        <v>11972</v>
      </c>
      <c r="BD264" s="82" t="s">
        <v>16145</v>
      </c>
      <c r="BE264" s="77"/>
      <c r="BF264" s="77"/>
      <c r="BG264" s="77"/>
      <c r="BH264" s="77"/>
      <c r="BI264" s="77"/>
    </row>
    <row r="265" spans="1:61" x14ac:dyDescent="0.25">
      <c r="A265" s="62" t="s">
        <v>298</v>
      </c>
      <c r="B265" s="62" t="s">
        <v>298</v>
      </c>
      <c r="C265" s="63"/>
      <c r="D265" s="64"/>
      <c r="E265" s="65"/>
      <c r="F265" s="66"/>
      <c r="G265" s="63"/>
      <c r="H265" s="67"/>
      <c r="I265" s="68"/>
      <c r="J265" s="68"/>
      <c r="K265" s="32"/>
      <c r="L265" s="75">
        <v>265</v>
      </c>
      <c r="M265" s="75"/>
      <c r="N265" s="70"/>
      <c r="O265" s="77" t="s">
        <v>179</v>
      </c>
      <c r="P265" s="79">
        <v>45177.273958333331</v>
      </c>
      <c r="Q265" s="77" t="s">
        <v>1156</v>
      </c>
      <c r="R265" s="77">
        <v>0</v>
      </c>
      <c r="S265" s="77">
        <v>2</v>
      </c>
      <c r="T265" s="77">
        <v>0</v>
      </c>
      <c r="U265" s="77">
        <v>0</v>
      </c>
      <c r="V265" s="77">
        <v>232</v>
      </c>
      <c r="W265" s="82" t="s">
        <v>4965</v>
      </c>
      <c r="X265" s="77"/>
      <c r="Y265" s="77"/>
      <c r="Z265" s="77"/>
      <c r="AA265" s="77" t="s">
        <v>6785</v>
      </c>
      <c r="AB265" s="77" t="s">
        <v>7743</v>
      </c>
      <c r="AC265" s="82" t="s">
        <v>7751</v>
      </c>
      <c r="AD265" s="77" t="s">
        <v>7788</v>
      </c>
      <c r="AE265" s="80" t="str">
        <f>HYPERLINK("https://twitter.com/agatatrade60180/status/1700034858943193219")</f>
        <v>https://twitter.com/agatatrade60180/status/1700034858943193219</v>
      </c>
      <c r="AF265" s="79">
        <v>45177.273958333331</v>
      </c>
      <c r="AG265" s="85">
        <v>45177</v>
      </c>
      <c r="AH265" s="82" t="s">
        <v>8042</v>
      </c>
      <c r="AI265" s="77" t="b">
        <v>0</v>
      </c>
      <c r="AJ265" s="77"/>
      <c r="AK265" s="77"/>
      <c r="AL265" s="77"/>
      <c r="AM265" s="77"/>
      <c r="AN265" s="77"/>
      <c r="AO265" s="77"/>
      <c r="AP265" s="77"/>
      <c r="AQ265" s="77" t="s">
        <v>10757</v>
      </c>
      <c r="AR265" s="77">
        <v>13600</v>
      </c>
      <c r="AS265" s="77"/>
      <c r="AT265" s="77"/>
      <c r="AU265" s="77"/>
      <c r="AV265" s="80" t="str">
        <f>HYPERLINK("https://pbs.twimg.com/ext_tw_video_thumb/1700034767607996416/pu/img/A5-rn94pQSBB6CmP.jpg")</f>
        <v>https://pbs.twimg.com/ext_tw_video_thumb/1700034767607996416/pu/img/A5-rn94pQSBB6CmP.jpg</v>
      </c>
      <c r="AW265" s="82" t="s">
        <v>11973</v>
      </c>
      <c r="AX265" s="82" t="s">
        <v>11973</v>
      </c>
      <c r="AY265" s="77"/>
      <c r="AZ265" s="82" t="s">
        <v>15984</v>
      </c>
      <c r="BA265" s="82" t="s">
        <v>15984</v>
      </c>
      <c r="BB265" s="82" t="s">
        <v>15984</v>
      </c>
      <c r="BC265" s="82" t="s">
        <v>11973</v>
      </c>
      <c r="BD265" s="82" t="s">
        <v>16145</v>
      </c>
      <c r="BE265" s="77"/>
      <c r="BF265" s="77"/>
      <c r="BG265" s="77"/>
      <c r="BH265" s="77"/>
      <c r="BI265" s="77"/>
    </row>
    <row r="266" spans="1:61" x14ac:dyDescent="0.25">
      <c r="A266" s="62" t="s">
        <v>298</v>
      </c>
      <c r="B266" s="62" t="s">
        <v>298</v>
      </c>
      <c r="C266" s="63"/>
      <c r="D266" s="64"/>
      <c r="E266" s="65"/>
      <c r="F266" s="66"/>
      <c r="G266" s="63"/>
      <c r="H266" s="67"/>
      <c r="I266" s="68"/>
      <c r="J266" s="68"/>
      <c r="K266" s="32"/>
      <c r="L266" s="75">
        <v>266</v>
      </c>
      <c r="M266" s="75"/>
      <c r="N266" s="70"/>
      <c r="O266" s="77" t="s">
        <v>179</v>
      </c>
      <c r="P266" s="79">
        <v>45177.273680555554</v>
      </c>
      <c r="Q266" s="77" t="s">
        <v>1157</v>
      </c>
      <c r="R266" s="77">
        <v>0</v>
      </c>
      <c r="S266" s="77">
        <v>3</v>
      </c>
      <c r="T266" s="77">
        <v>1</v>
      </c>
      <c r="U266" s="77">
        <v>0</v>
      </c>
      <c r="V266" s="77">
        <v>200</v>
      </c>
      <c r="W266" s="82" t="s">
        <v>4966</v>
      </c>
      <c r="X266" s="77"/>
      <c r="Y266" s="77"/>
      <c r="Z266" s="77"/>
      <c r="AA266" s="77" t="s">
        <v>6786</v>
      </c>
      <c r="AB266" s="77" t="s">
        <v>7743</v>
      </c>
      <c r="AC266" s="82" t="s">
        <v>7751</v>
      </c>
      <c r="AD266" s="77" t="s">
        <v>7788</v>
      </c>
      <c r="AE266" s="80" t="str">
        <f>HYPERLINK("https://twitter.com/agatatrade60180/status/1700034761736007970")</f>
        <v>https://twitter.com/agatatrade60180/status/1700034761736007970</v>
      </c>
      <c r="AF266" s="79">
        <v>45177.273680555554</v>
      </c>
      <c r="AG266" s="85">
        <v>45177</v>
      </c>
      <c r="AH266" s="82" t="s">
        <v>8043</v>
      </c>
      <c r="AI266" s="77" t="b">
        <v>0</v>
      </c>
      <c r="AJ266" s="77"/>
      <c r="AK266" s="77"/>
      <c r="AL266" s="77"/>
      <c r="AM266" s="77"/>
      <c r="AN266" s="77"/>
      <c r="AO266" s="77"/>
      <c r="AP266" s="77"/>
      <c r="AQ266" s="77" t="s">
        <v>10758</v>
      </c>
      <c r="AR266" s="77">
        <v>43000</v>
      </c>
      <c r="AS266" s="77"/>
      <c r="AT266" s="77"/>
      <c r="AU266" s="77"/>
      <c r="AV266" s="80" t="str">
        <f>HYPERLINK("https://pbs.twimg.com/ext_tw_video_thumb/1700034581829677056/pu/img/bnG7lMrVrXLfwrFE.jpg")</f>
        <v>https://pbs.twimg.com/ext_tw_video_thumb/1700034581829677056/pu/img/bnG7lMrVrXLfwrFE.jpg</v>
      </c>
      <c r="AW266" s="82" t="s">
        <v>11974</v>
      </c>
      <c r="AX266" s="82" t="s">
        <v>11974</v>
      </c>
      <c r="AY266" s="77"/>
      <c r="AZ266" s="82" t="s">
        <v>15984</v>
      </c>
      <c r="BA266" s="82" t="s">
        <v>15984</v>
      </c>
      <c r="BB266" s="82" t="s">
        <v>15984</v>
      </c>
      <c r="BC266" s="82" t="s">
        <v>11974</v>
      </c>
      <c r="BD266" s="82" t="s">
        <v>16145</v>
      </c>
      <c r="BE266" s="77"/>
      <c r="BF266" s="77"/>
      <c r="BG266" s="77"/>
      <c r="BH266" s="77"/>
      <c r="BI266" s="77"/>
    </row>
    <row r="267" spans="1:61" x14ac:dyDescent="0.25">
      <c r="A267" s="62" t="s">
        <v>298</v>
      </c>
      <c r="B267" s="62" t="s">
        <v>298</v>
      </c>
      <c r="C267" s="63"/>
      <c r="D267" s="64"/>
      <c r="E267" s="65"/>
      <c r="F267" s="66"/>
      <c r="G267" s="63"/>
      <c r="H267" s="67"/>
      <c r="I267" s="68"/>
      <c r="J267" s="68"/>
      <c r="K267" s="32"/>
      <c r="L267" s="75">
        <v>267</v>
      </c>
      <c r="M267" s="75"/>
      <c r="N267" s="70"/>
      <c r="O267" s="77" t="s">
        <v>179</v>
      </c>
      <c r="P267" s="79">
        <v>45177.272094907406</v>
      </c>
      <c r="Q267" s="77" t="s">
        <v>1158</v>
      </c>
      <c r="R267" s="77">
        <v>0</v>
      </c>
      <c r="S267" s="77">
        <v>2</v>
      </c>
      <c r="T267" s="77">
        <v>0</v>
      </c>
      <c r="U267" s="77">
        <v>0</v>
      </c>
      <c r="V267" s="77">
        <v>151</v>
      </c>
      <c r="W267" s="82" t="s">
        <v>4967</v>
      </c>
      <c r="X267" s="77"/>
      <c r="Y267" s="77"/>
      <c r="Z267" s="77"/>
      <c r="AA267" s="77" t="s">
        <v>6787</v>
      </c>
      <c r="AB267" s="77" t="s">
        <v>7743</v>
      </c>
      <c r="AC267" s="82" t="s">
        <v>7751</v>
      </c>
      <c r="AD267" s="77" t="s">
        <v>7788</v>
      </c>
      <c r="AE267" s="80" t="str">
        <f>HYPERLINK("https://twitter.com/agatatrade60180/status/1700034186894033049")</f>
        <v>https://twitter.com/agatatrade60180/status/1700034186894033049</v>
      </c>
      <c r="AF267" s="79">
        <v>45177.272094907406</v>
      </c>
      <c r="AG267" s="85">
        <v>45177</v>
      </c>
      <c r="AH267" s="82" t="s">
        <v>8044</v>
      </c>
      <c r="AI267" s="77" t="b">
        <v>0</v>
      </c>
      <c r="AJ267" s="77"/>
      <c r="AK267" s="77"/>
      <c r="AL267" s="77"/>
      <c r="AM267" s="77"/>
      <c r="AN267" s="77"/>
      <c r="AO267" s="77"/>
      <c r="AP267" s="77"/>
      <c r="AQ267" s="77" t="s">
        <v>10759</v>
      </c>
      <c r="AR267" s="77">
        <v>16033</v>
      </c>
      <c r="AS267" s="77"/>
      <c r="AT267" s="77"/>
      <c r="AU267" s="77"/>
      <c r="AV267" s="80" t="str">
        <f>HYPERLINK("https://pbs.twimg.com/ext_tw_video_thumb/1700034086155259904/pu/img/5EOKmqEtzevMhUaj.jpg")</f>
        <v>https://pbs.twimg.com/ext_tw_video_thumb/1700034086155259904/pu/img/5EOKmqEtzevMhUaj.jpg</v>
      </c>
      <c r="AW267" s="82" t="s">
        <v>11975</v>
      </c>
      <c r="AX267" s="82" t="s">
        <v>11975</v>
      </c>
      <c r="AY267" s="77"/>
      <c r="AZ267" s="82" t="s">
        <v>15984</v>
      </c>
      <c r="BA267" s="82" t="s">
        <v>15984</v>
      </c>
      <c r="BB267" s="82" t="s">
        <v>15984</v>
      </c>
      <c r="BC267" s="82" t="s">
        <v>11975</v>
      </c>
      <c r="BD267" s="82" t="s">
        <v>16145</v>
      </c>
      <c r="BE267" s="77"/>
      <c r="BF267" s="77"/>
      <c r="BG267" s="77"/>
      <c r="BH267" s="77"/>
      <c r="BI267" s="77"/>
    </row>
    <row r="268" spans="1:61" x14ac:dyDescent="0.25">
      <c r="A268" s="62" t="s">
        <v>298</v>
      </c>
      <c r="B268" s="62" t="s">
        <v>298</v>
      </c>
      <c r="C268" s="63"/>
      <c r="D268" s="64"/>
      <c r="E268" s="65"/>
      <c r="F268" s="66"/>
      <c r="G268" s="63"/>
      <c r="H268" s="67"/>
      <c r="I268" s="68"/>
      <c r="J268" s="68"/>
      <c r="K268" s="32"/>
      <c r="L268" s="75">
        <v>268</v>
      </c>
      <c r="M268" s="75"/>
      <c r="N268" s="70"/>
      <c r="O268" s="77" t="s">
        <v>179</v>
      </c>
      <c r="P268" s="79">
        <v>45177.271273148152</v>
      </c>
      <c r="Q268" s="77" t="s">
        <v>1159</v>
      </c>
      <c r="R268" s="77">
        <v>0</v>
      </c>
      <c r="S268" s="77">
        <v>2</v>
      </c>
      <c r="T268" s="77">
        <v>0</v>
      </c>
      <c r="U268" s="77">
        <v>0</v>
      </c>
      <c r="V268" s="77">
        <v>122</v>
      </c>
      <c r="W268" s="82" t="s">
        <v>4968</v>
      </c>
      <c r="X268" s="77"/>
      <c r="Y268" s="77"/>
      <c r="Z268" s="77"/>
      <c r="AA268" s="77" t="s">
        <v>6788</v>
      </c>
      <c r="AB268" s="77" t="s">
        <v>7743</v>
      </c>
      <c r="AC268" s="82" t="s">
        <v>7751</v>
      </c>
      <c r="AD268" s="77" t="s">
        <v>7788</v>
      </c>
      <c r="AE268" s="80" t="str">
        <f>HYPERLINK("https://twitter.com/agatatrade60180/status/1700033886590312737")</f>
        <v>https://twitter.com/agatatrade60180/status/1700033886590312737</v>
      </c>
      <c r="AF268" s="79">
        <v>45177.271273148152</v>
      </c>
      <c r="AG268" s="85">
        <v>45177</v>
      </c>
      <c r="AH268" s="82" t="s">
        <v>8045</v>
      </c>
      <c r="AI268" s="77" t="b">
        <v>0</v>
      </c>
      <c r="AJ268" s="77"/>
      <c r="AK268" s="77"/>
      <c r="AL268" s="77"/>
      <c r="AM268" s="77"/>
      <c r="AN268" s="77"/>
      <c r="AO268" s="77"/>
      <c r="AP268" s="77"/>
      <c r="AQ268" s="77" t="s">
        <v>10760</v>
      </c>
      <c r="AR268" s="77">
        <v>12000</v>
      </c>
      <c r="AS268" s="77"/>
      <c r="AT268" s="77"/>
      <c r="AU268" s="77"/>
      <c r="AV268" s="80" t="str">
        <f>HYPERLINK("https://pbs.twimg.com/ext_tw_video_thumb/1700033841027534848/pu/img/9oHYhNWy9AiacML2.jpg")</f>
        <v>https://pbs.twimg.com/ext_tw_video_thumb/1700033841027534848/pu/img/9oHYhNWy9AiacML2.jpg</v>
      </c>
      <c r="AW268" s="82" t="s">
        <v>11976</v>
      </c>
      <c r="AX268" s="82" t="s">
        <v>11976</v>
      </c>
      <c r="AY268" s="77"/>
      <c r="AZ268" s="82" t="s">
        <v>15984</v>
      </c>
      <c r="BA268" s="82" t="s">
        <v>15984</v>
      </c>
      <c r="BB268" s="82" t="s">
        <v>15984</v>
      </c>
      <c r="BC268" s="82" t="s">
        <v>11976</v>
      </c>
      <c r="BD268" s="82" t="s">
        <v>16145</v>
      </c>
      <c r="BE268" s="77"/>
      <c r="BF268" s="77"/>
      <c r="BG268" s="77"/>
      <c r="BH268" s="77"/>
      <c r="BI268" s="77"/>
    </row>
    <row r="269" spans="1:61" x14ac:dyDescent="0.25">
      <c r="A269" s="62" t="s">
        <v>298</v>
      </c>
      <c r="B269" s="62" t="s">
        <v>298</v>
      </c>
      <c r="C269" s="63"/>
      <c r="D269" s="64"/>
      <c r="E269" s="65"/>
      <c r="F269" s="66"/>
      <c r="G269" s="63"/>
      <c r="H269" s="67"/>
      <c r="I269" s="68"/>
      <c r="J269" s="68"/>
      <c r="K269" s="32"/>
      <c r="L269" s="75">
        <v>269</v>
      </c>
      <c r="M269" s="75"/>
      <c r="N269" s="70"/>
      <c r="O269" s="77" t="s">
        <v>179</v>
      </c>
      <c r="P269" s="79">
        <v>45177.270474537036</v>
      </c>
      <c r="Q269" s="77" t="s">
        <v>1160</v>
      </c>
      <c r="R269" s="77">
        <v>0</v>
      </c>
      <c r="S269" s="77">
        <v>3</v>
      </c>
      <c r="T269" s="77">
        <v>0</v>
      </c>
      <c r="U269" s="77">
        <v>0</v>
      </c>
      <c r="V269" s="77">
        <v>144</v>
      </c>
      <c r="W269" s="82" t="s">
        <v>4969</v>
      </c>
      <c r="X269" s="77"/>
      <c r="Y269" s="77"/>
      <c r="Z269" s="77"/>
      <c r="AA269" s="77" t="s">
        <v>6789</v>
      </c>
      <c r="AB269" s="77" t="s">
        <v>7748</v>
      </c>
      <c r="AC269" s="82" t="s">
        <v>7751</v>
      </c>
      <c r="AD269" s="77" t="s">
        <v>7788</v>
      </c>
      <c r="AE269" s="80" t="str">
        <f>HYPERLINK("https://twitter.com/agatatrade60180/status/1700033596147298778")</f>
        <v>https://twitter.com/agatatrade60180/status/1700033596147298778</v>
      </c>
      <c r="AF269" s="79">
        <v>45177.270474537036</v>
      </c>
      <c r="AG269" s="85">
        <v>45177</v>
      </c>
      <c r="AH269" s="82" t="s">
        <v>8046</v>
      </c>
      <c r="AI269" s="77" t="b">
        <v>0</v>
      </c>
      <c r="AJ269" s="77"/>
      <c r="AK269" s="77"/>
      <c r="AL269" s="77"/>
      <c r="AM269" s="77"/>
      <c r="AN269" s="77"/>
      <c r="AO269" s="77"/>
      <c r="AP269" s="77"/>
      <c r="AQ269" s="77" t="s">
        <v>10761</v>
      </c>
      <c r="AR269" s="77">
        <v>44866</v>
      </c>
      <c r="AS269" s="77"/>
      <c r="AT269" s="77"/>
      <c r="AU269" s="77"/>
      <c r="AV269" s="80" t="str">
        <f>HYPERLINK("https://pbs.twimg.com/ext_tw_video_thumb/1700033014351241216/pu/img/Y5Pf-d5W2t8PaQxs.jpg")</f>
        <v>https://pbs.twimg.com/ext_tw_video_thumb/1700033014351241216/pu/img/Y5Pf-d5W2t8PaQxs.jpg</v>
      </c>
      <c r="AW269" s="82" t="s">
        <v>11977</v>
      </c>
      <c r="AX269" s="82" t="s">
        <v>11977</v>
      </c>
      <c r="AY269" s="77"/>
      <c r="AZ269" s="82" t="s">
        <v>15984</v>
      </c>
      <c r="BA269" s="82" t="s">
        <v>15984</v>
      </c>
      <c r="BB269" s="82" t="s">
        <v>15984</v>
      </c>
      <c r="BC269" s="82" t="s">
        <v>11977</v>
      </c>
      <c r="BD269" s="82" t="s">
        <v>16145</v>
      </c>
      <c r="BE269" s="77"/>
      <c r="BF269" s="77"/>
      <c r="BG269" s="77"/>
      <c r="BH269" s="77"/>
      <c r="BI269" s="77"/>
    </row>
    <row r="270" spans="1:61" x14ac:dyDescent="0.25">
      <c r="A270" s="62" t="s">
        <v>298</v>
      </c>
      <c r="B270" s="62" t="s">
        <v>298</v>
      </c>
      <c r="C270" s="63"/>
      <c r="D270" s="64"/>
      <c r="E270" s="65"/>
      <c r="F270" s="66"/>
      <c r="G270" s="63"/>
      <c r="H270" s="67"/>
      <c r="I270" s="68"/>
      <c r="J270" s="68"/>
      <c r="K270" s="32"/>
      <c r="L270" s="75">
        <v>270</v>
      </c>
      <c r="M270" s="75"/>
      <c r="N270" s="70"/>
      <c r="O270" s="77" t="s">
        <v>179</v>
      </c>
      <c r="P270" s="79">
        <v>45189.722511574073</v>
      </c>
      <c r="Q270" s="77" t="s">
        <v>1161</v>
      </c>
      <c r="R270" s="77">
        <v>0</v>
      </c>
      <c r="S270" s="77">
        <v>3</v>
      </c>
      <c r="T270" s="77">
        <v>0</v>
      </c>
      <c r="U270" s="77">
        <v>0</v>
      </c>
      <c r="V270" s="77">
        <v>277</v>
      </c>
      <c r="W270" s="82" t="s">
        <v>4970</v>
      </c>
      <c r="X270" s="77"/>
      <c r="Y270" s="77"/>
      <c r="Z270" s="77"/>
      <c r="AA270" s="77" t="s">
        <v>6790</v>
      </c>
      <c r="AB270" s="77" t="s">
        <v>7743</v>
      </c>
      <c r="AC270" s="82" t="s">
        <v>7751</v>
      </c>
      <c r="AD270" s="77" t="s">
        <v>7788</v>
      </c>
      <c r="AE270" s="80" t="str">
        <f>HYPERLINK("https://twitter.com/agatatrade60180/status/1704546067071594913")</f>
        <v>https://twitter.com/agatatrade60180/status/1704546067071594913</v>
      </c>
      <c r="AF270" s="79">
        <v>45189.722511574073</v>
      </c>
      <c r="AG270" s="85">
        <v>45189</v>
      </c>
      <c r="AH270" s="82" t="s">
        <v>8047</v>
      </c>
      <c r="AI270" s="77" t="b">
        <v>0</v>
      </c>
      <c r="AJ270" s="77"/>
      <c r="AK270" s="77"/>
      <c r="AL270" s="77"/>
      <c r="AM270" s="77"/>
      <c r="AN270" s="77"/>
      <c r="AO270" s="77"/>
      <c r="AP270" s="77"/>
      <c r="AQ270" s="77" t="s">
        <v>10762</v>
      </c>
      <c r="AR270" s="77">
        <v>39367</v>
      </c>
      <c r="AS270" s="77"/>
      <c r="AT270" s="77"/>
      <c r="AU270" s="77"/>
      <c r="AV270" s="80" t="str">
        <f>HYPERLINK("https://pbs.twimg.com/ext_tw_video_thumb/1704545990714265601/pu/img/2zZ6_9L1h4-TiO95.jpg")</f>
        <v>https://pbs.twimg.com/ext_tw_video_thumb/1704545990714265601/pu/img/2zZ6_9L1h4-TiO95.jpg</v>
      </c>
      <c r="AW270" s="82" t="s">
        <v>11978</v>
      </c>
      <c r="AX270" s="82" t="s">
        <v>11978</v>
      </c>
      <c r="AY270" s="77"/>
      <c r="AZ270" s="82" t="s">
        <v>15984</v>
      </c>
      <c r="BA270" s="82" t="s">
        <v>15984</v>
      </c>
      <c r="BB270" s="82" t="s">
        <v>15984</v>
      </c>
      <c r="BC270" s="82" t="s">
        <v>11978</v>
      </c>
      <c r="BD270" s="82" t="s">
        <v>16145</v>
      </c>
      <c r="BE270" s="77"/>
      <c r="BF270" s="77"/>
      <c r="BG270" s="77"/>
      <c r="BH270" s="77"/>
      <c r="BI270" s="77"/>
    </row>
    <row r="271" spans="1:61" x14ac:dyDescent="0.25">
      <c r="A271" s="62" t="s">
        <v>299</v>
      </c>
      <c r="B271" s="62" t="s">
        <v>299</v>
      </c>
      <c r="C271" s="63"/>
      <c r="D271" s="64"/>
      <c r="E271" s="65"/>
      <c r="F271" s="66"/>
      <c r="G271" s="63"/>
      <c r="H271" s="67"/>
      <c r="I271" s="68"/>
      <c r="J271" s="68"/>
      <c r="K271" s="32"/>
      <c r="L271" s="75">
        <v>271</v>
      </c>
      <c r="M271" s="75"/>
      <c r="N271" s="70"/>
      <c r="O271" s="77" t="s">
        <v>179</v>
      </c>
      <c r="P271" s="79">
        <v>45194.770254629628</v>
      </c>
      <c r="Q271" s="77" t="s">
        <v>1162</v>
      </c>
      <c r="R271" s="77">
        <v>0</v>
      </c>
      <c r="S271" s="77">
        <v>0</v>
      </c>
      <c r="T271" s="77">
        <v>0</v>
      </c>
      <c r="U271" s="77">
        <v>0</v>
      </c>
      <c r="V271" s="77">
        <v>137</v>
      </c>
      <c r="W271" s="82" t="s">
        <v>4971</v>
      </c>
      <c r="X271" s="80" t="str">
        <f>HYPERLINK("https://economia.ig.com.br/2023-09-25/mercado-financeiro-revisa-para-cima-projecao-de-crescimento-para-esse-ano.html")</f>
        <v>https://economia.ig.com.br/2023-09-25/mercado-financeiro-revisa-para-cima-projecao-de-crescimento-para-esse-ano.html</v>
      </c>
      <c r="Y271" s="77" t="s">
        <v>6470</v>
      </c>
      <c r="Z271" s="77"/>
      <c r="AA271" s="77"/>
      <c r="AB271" s="77"/>
      <c r="AC271" s="82" t="s">
        <v>7750</v>
      </c>
      <c r="AD271" s="77" t="s">
        <v>7788</v>
      </c>
      <c r="AE271" s="80" t="str">
        <f>HYPERLINK("https://twitter.com/ig/status/1706375307429585341")</f>
        <v>https://twitter.com/ig/status/1706375307429585341</v>
      </c>
      <c r="AF271" s="79">
        <v>45194.770254629628</v>
      </c>
      <c r="AG271" s="85">
        <v>45194</v>
      </c>
      <c r="AH271" s="82" t="s">
        <v>8048</v>
      </c>
      <c r="AI271" s="77" t="b">
        <v>0</v>
      </c>
      <c r="AJ271" s="77"/>
      <c r="AK271" s="77"/>
      <c r="AL271" s="77"/>
      <c r="AM271" s="77"/>
      <c r="AN271" s="77"/>
      <c r="AO271" s="77"/>
      <c r="AP271" s="77"/>
      <c r="AQ271" s="77"/>
      <c r="AR271" s="77"/>
      <c r="AS271" s="77"/>
      <c r="AT271" s="77"/>
      <c r="AU271" s="77"/>
      <c r="AV271" s="80" t="str">
        <f>HYPERLINK("https://pbs.twimg.com/profile_images/1603545636309241856/yvqEuSnz_normal.jpg")</f>
        <v>https://pbs.twimg.com/profile_images/1603545636309241856/yvqEuSnz_normal.jpg</v>
      </c>
      <c r="AW271" s="82" t="s">
        <v>11979</v>
      </c>
      <c r="AX271" s="82" t="s">
        <v>11979</v>
      </c>
      <c r="AY271" s="77"/>
      <c r="AZ271" s="82" t="s">
        <v>15984</v>
      </c>
      <c r="BA271" s="82" t="s">
        <v>15984</v>
      </c>
      <c r="BB271" s="82" t="s">
        <v>15984</v>
      </c>
      <c r="BC271" s="82" t="s">
        <v>11979</v>
      </c>
      <c r="BD271" s="77">
        <v>14311308</v>
      </c>
      <c r="BE271" s="77"/>
      <c r="BF271" s="77"/>
      <c r="BG271" s="77"/>
      <c r="BH271" s="77"/>
      <c r="BI271" s="77"/>
    </row>
    <row r="272" spans="1:61" x14ac:dyDescent="0.25">
      <c r="A272" s="62" t="s">
        <v>300</v>
      </c>
      <c r="B272" s="62" t="s">
        <v>300</v>
      </c>
      <c r="C272" s="63"/>
      <c r="D272" s="64"/>
      <c r="E272" s="65"/>
      <c r="F272" s="66"/>
      <c r="G272" s="63"/>
      <c r="H272" s="67"/>
      <c r="I272" s="68"/>
      <c r="J272" s="68"/>
      <c r="K272" s="32"/>
      <c r="L272" s="75">
        <v>272</v>
      </c>
      <c r="M272" s="75"/>
      <c r="N272" s="70"/>
      <c r="O272" s="77" t="s">
        <v>179</v>
      </c>
      <c r="P272" s="79">
        <v>45170.873217592591</v>
      </c>
      <c r="Q272" s="77" t="s">
        <v>1163</v>
      </c>
      <c r="R272" s="77">
        <v>0</v>
      </c>
      <c r="S272" s="77">
        <v>0</v>
      </c>
      <c r="T272" s="77">
        <v>0</v>
      </c>
      <c r="U272" s="77">
        <v>0</v>
      </c>
      <c r="V272" s="77">
        <v>17</v>
      </c>
      <c r="W272" s="82" t="s">
        <v>4972</v>
      </c>
      <c r="X272" s="77"/>
      <c r="Y272" s="77"/>
      <c r="Z272" s="77"/>
      <c r="AA272" s="77" t="s">
        <v>6791</v>
      </c>
      <c r="AB272" s="77" t="s">
        <v>7743</v>
      </c>
      <c r="AC272" s="82" t="s">
        <v>7750</v>
      </c>
      <c r="AD272" s="77" t="s">
        <v>7795</v>
      </c>
      <c r="AE272" s="80" t="str">
        <f>HYPERLINK("https://twitter.com/srsucesso137/status/1697715308952273128")</f>
        <v>https://twitter.com/srsucesso137/status/1697715308952273128</v>
      </c>
      <c r="AF272" s="79">
        <v>45170.873217592591</v>
      </c>
      <c r="AG272" s="85">
        <v>45170</v>
      </c>
      <c r="AH272" s="82" t="s">
        <v>8049</v>
      </c>
      <c r="AI272" s="77" t="b">
        <v>0</v>
      </c>
      <c r="AJ272" s="77"/>
      <c r="AK272" s="77"/>
      <c r="AL272" s="77"/>
      <c r="AM272" s="77"/>
      <c r="AN272" s="77"/>
      <c r="AO272" s="77"/>
      <c r="AP272" s="77"/>
      <c r="AQ272" s="77" t="s">
        <v>10763</v>
      </c>
      <c r="AR272" s="77">
        <v>59520</v>
      </c>
      <c r="AS272" s="77"/>
      <c r="AT272" s="77"/>
      <c r="AU272" s="77"/>
      <c r="AV272" s="80" t="str">
        <f>HYPERLINK("https://pbs.twimg.com/ext_tw_video_thumb/1697715177704046592/pu/img/QYrG4wlU6T9YHwcG.jpg")</f>
        <v>https://pbs.twimg.com/ext_tw_video_thumb/1697715177704046592/pu/img/QYrG4wlU6T9YHwcG.jpg</v>
      </c>
      <c r="AW272" s="82" t="s">
        <v>11980</v>
      </c>
      <c r="AX272" s="82" t="s">
        <v>11980</v>
      </c>
      <c r="AY272" s="77"/>
      <c r="AZ272" s="82" t="s">
        <v>15984</v>
      </c>
      <c r="BA272" s="82" t="s">
        <v>15984</v>
      </c>
      <c r="BB272" s="82" t="s">
        <v>15984</v>
      </c>
      <c r="BC272" s="82" t="s">
        <v>11980</v>
      </c>
      <c r="BD272" s="82" t="s">
        <v>16146</v>
      </c>
      <c r="BE272" s="77"/>
      <c r="BF272" s="77"/>
      <c r="BG272" s="77"/>
      <c r="BH272" s="77"/>
      <c r="BI272" s="77"/>
    </row>
    <row r="273" spans="1:61" x14ac:dyDescent="0.25">
      <c r="A273" s="62" t="s">
        <v>301</v>
      </c>
      <c r="B273" s="62" t="s">
        <v>614</v>
      </c>
      <c r="C273" s="63"/>
      <c r="D273" s="64"/>
      <c r="E273" s="65"/>
      <c r="F273" s="66"/>
      <c r="G273" s="63"/>
      <c r="H273" s="67"/>
      <c r="I273" s="68"/>
      <c r="J273" s="68"/>
      <c r="K273" s="32"/>
      <c r="L273" s="75">
        <v>273</v>
      </c>
      <c r="M273" s="75"/>
      <c r="N273" s="70"/>
      <c r="O273" s="77" t="s">
        <v>897</v>
      </c>
      <c r="P273" s="79">
        <v>45194.967245370368</v>
      </c>
      <c r="Q273" s="77" t="s">
        <v>1114</v>
      </c>
      <c r="R273" s="77">
        <v>5</v>
      </c>
      <c r="S273" s="77">
        <v>0</v>
      </c>
      <c r="T273" s="77">
        <v>0</v>
      </c>
      <c r="U273" s="77">
        <v>0</v>
      </c>
      <c r="V273" s="77"/>
      <c r="W273" s="82" t="s">
        <v>4821</v>
      </c>
      <c r="X273" s="77"/>
      <c r="Y273" s="77"/>
      <c r="Z273" s="77" t="s">
        <v>614</v>
      </c>
      <c r="AA273" s="77"/>
      <c r="AB273" s="77"/>
      <c r="AC273" s="82" t="s">
        <v>7752</v>
      </c>
      <c r="AD273" s="77" t="s">
        <v>7790</v>
      </c>
      <c r="AE273" s="80" t="str">
        <f>HYPERLINK("https://twitter.com/alejandrocharry/status/1706446692550128110")</f>
        <v>https://twitter.com/alejandrocharry/status/1706446692550128110</v>
      </c>
      <c r="AF273" s="79">
        <v>45194.967245370368</v>
      </c>
      <c r="AG273" s="85">
        <v>45194</v>
      </c>
      <c r="AH273" s="82" t="s">
        <v>8050</v>
      </c>
      <c r="AI273" s="77" t="b">
        <v>0</v>
      </c>
      <c r="AJ273" s="77"/>
      <c r="AK273" s="77"/>
      <c r="AL273" s="77"/>
      <c r="AM273" s="77"/>
      <c r="AN273" s="77"/>
      <c r="AO273" s="77"/>
      <c r="AP273" s="77"/>
      <c r="AQ273" s="77"/>
      <c r="AR273" s="77"/>
      <c r="AS273" s="77"/>
      <c r="AT273" s="77"/>
      <c r="AU273" s="77"/>
      <c r="AV273" s="80" t="str">
        <f>HYPERLINK("https://pbs.twimg.com/profile_images/1101230683295494146/a3vF5Hxk_normal.jpg")</f>
        <v>https://pbs.twimg.com/profile_images/1101230683295494146/a3vF5Hxk_normal.jpg</v>
      </c>
      <c r="AW273" s="82" t="s">
        <v>11981</v>
      </c>
      <c r="AX273" s="82" t="s">
        <v>11981</v>
      </c>
      <c r="AY273" s="77"/>
      <c r="AZ273" s="82" t="s">
        <v>15984</v>
      </c>
      <c r="BA273" s="82" t="s">
        <v>15984</v>
      </c>
      <c r="BB273" s="82" t="s">
        <v>13072</v>
      </c>
      <c r="BC273" s="82" t="s">
        <v>13072</v>
      </c>
      <c r="BD273" s="77">
        <v>178798816</v>
      </c>
      <c r="BE273" s="77"/>
      <c r="BF273" s="77"/>
      <c r="BG273" s="77"/>
      <c r="BH273" s="77"/>
      <c r="BI273" s="77"/>
    </row>
    <row r="274" spans="1:61" x14ac:dyDescent="0.25">
      <c r="A274" s="62" t="s">
        <v>302</v>
      </c>
      <c r="B274" s="62" t="s">
        <v>302</v>
      </c>
      <c r="C274" s="63"/>
      <c r="D274" s="64"/>
      <c r="E274" s="65"/>
      <c r="F274" s="66"/>
      <c r="G274" s="63"/>
      <c r="H274" s="67"/>
      <c r="I274" s="68"/>
      <c r="J274" s="68"/>
      <c r="K274" s="32"/>
      <c r="L274" s="75">
        <v>274</v>
      </c>
      <c r="M274" s="75"/>
      <c r="N274" s="70"/>
      <c r="O274" s="77" t="s">
        <v>179</v>
      </c>
      <c r="P274" s="79">
        <v>45168.865972222222</v>
      </c>
      <c r="Q274" s="77" t="s">
        <v>1164</v>
      </c>
      <c r="R274" s="77">
        <v>0</v>
      </c>
      <c r="S274" s="77">
        <v>0</v>
      </c>
      <c r="T274" s="77">
        <v>0</v>
      </c>
      <c r="U274" s="77">
        <v>0</v>
      </c>
      <c r="V274" s="77">
        <v>19</v>
      </c>
      <c r="W274" s="82" t="s">
        <v>4973</v>
      </c>
      <c r="X274" s="80" t="str">
        <f>HYPERLINK("https://youtube.com/live/uCfHziPpXbI?feature=share")</f>
        <v>https://youtube.com/live/uCfHziPpXbI?feature=share</v>
      </c>
      <c r="Y274" s="77" t="s">
        <v>6480</v>
      </c>
      <c r="Z274" s="77"/>
      <c r="AA274" s="77" t="s">
        <v>6792</v>
      </c>
      <c r="AB274" s="77" t="s">
        <v>7742</v>
      </c>
      <c r="AC274" s="82" t="s">
        <v>7750</v>
      </c>
      <c r="AD274" s="77" t="s">
        <v>7790</v>
      </c>
      <c r="AE274" s="80" t="str">
        <f>HYPERLINK("https://twitter.com/omarrios22/status/1696987908530647068")</f>
        <v>https://twitter.com/omarrios22/status/1696987908530647068</v>
      </c>
      <c r="AF274" s="79">
        <v>45168.865972222222</v>
      </c>
      <c r="AG274" s="85">
        <v>45168</v>
      </c>
      <c r="AH274" s="82" t="s">
        <v>8051</v>
      </c>
      <c r="AI274" s="77" t="b">
        <v>0</v>
      </c>
      <c r="AJ274" s="77"/>
      <c r="AK274" s="77"/>
      <c r="AL274" s="77"/>
      <c r="AM274" s="77"/>
      <c r="AN274" s="77"/>
      <c r="AO274" s="77"/>
      <c r="AP274" s="77"/>
      <c r="AQ274" s="77" t="s">
        <v>10764</v>
      </c>
      <c r="AR274" s="77"/>
      <c r="AS274" s="77"/>
      <c r="AT274" s="77"/>
      <c r="AU274" s="77"/>
      <c r="AV274" s="80" t="str">
        <f>HYPERLINK("https://pbs.twimg.com/media/F4zpcHbaMAAqht3.jpg")</f>
        <v>https://pbs.twimg.com/media/F4zpcHbaMAAqht3.jpg</v>
      </c>
      <c r="AW274" s="82" t="s">
        <v>11982</v>
      </c>
      <c r="AX274" s="82" t="s">
        <v>11982</v>
      </c>
      <c r="AY274" s="77"/>
      <c r="AZ274" s="82" t="s">
        <v>15984</v>
      </c>
      <c r="BA274" s="82" t="s">
        <v>15984</v>
      </c>
      <c r="BB274" s="82" t="s">
        <v>15984</v>
      </c>
      <c r="BC274" s="82" t="s">
        <v>11982</v>
      </c>
      <c r="BD274" s="82" t="s">
        <v>16147</v>
      </c>
      <c r="BE274" s="77"/>
      <c r="BF274" s="77"/>
      <c r="BG274" s="77"/>
      <c r="BH274" s="77"/>
      <c r="BI274" s="77"/>
    </row>
    <row r="275" spans="1:61" x14ac:dyDescent="0.25">
      <c r="A275" s="62" t="s">
        <v>303</v>
      </c>
      <c r="B275" s="62" t="s">
        <v>303</v>
      </c>
      <c r="C275" s="63"/>
      <c r="D275" s="64"/>
      <c r="E275" s="65"/>
      <c r="F275" s="66"/>
      <c r="G275" s="63"/>
      <c r="H275" s="67"/>
      <c r="I275" s="68"/>
      <c r="J275" s="68"/>
      <c r="K275" s="32"/>
      <c r="L275" s="75">
        <v>275</v>
      </c>
      <c r="M275" s="75"/>
      <c r="N275" s="70"/>
      <c r="O275" s="77" t="s">
        <v>179</v>
      </c>
      <c r="P275" s="79">
        <v>45126.916678240741</v>
      </c>
      <c r="Q275" s="77" t="s">
        <v>1165</v>
      </c>
      <c r="R275" s="77">
        <v>0</v>
      </c>
      <c r="S275" s="77">
        <v>0</v>
      </c>
      <c r="T275" s="77">
        <v>0</v>
      </c>
      <c r="U275" s="77">
        <v>0</v>
      </c>
      <c r="V275" s="77">
        <v>78</v>
      </c>
      <c r="W275" s="82" t="s">
        <v>4974</v>
      </c>
      <c r="X275" s="80" t="str">
        <f>HYPERLINK("https://www.jornalcontabil.com.br/gestao-de-riscos-financeiros-protegendo-ativos-em-meio-a-incerteza-economica/")</f>
        <v>https://www.jornalcontabil.com.br/gestao-de-riscos-financeiros-protegendo-ativos-em-meio-a-incerteza-economica/</v>
      </c>
      <c r="Y275" s="77" t="s">
        <v>6470</v>
      </c>
      <c r="Z275" s="77"/>
      <c r="AA275" s="77"/>
      <c r="AB275" s="77"/>
      <c r="AC275" s="82" t="s">
        <v>7750</v>
      </c>
      <c r="AD275" s="77" t="s">
        <v>7788</v>
      </c>
      <c r="AE275" s="80" t="str">
        <f>HYPERLINK("https://twitter.com/jornalcontabil_/status/1681785994935246850")</f>
        <v>https://twitter.com/jornalcontabil_/status/1681785994935246850</v>
      </c>
      <c r="AF275" s="79">
        <v>45126.916678240741</v>
      </c>
      <c r="AG275" s="85">
        <v>45126</v>
      </c>
      <c r="AH275" s="82" t="s">
        <v>8052</v>
      </c>
      <c r="AI275" s="77" t="b">
        <v>0</v>
      </c>
      <c r="AJ275" s="77"/>
      <c r="AK275" s="77"/>
      <c r="AL275" s="77"/>
      <c r="AM275" s="77"/>
      <c r="AN275" s="77"/>
      <c r="AO275" s="77"/>
      <c r="AP275" s="77"/>
      <c r="AQ275" s="77"/>
      <c r="AR275" s="77"/>
      <c r="AS275" s="77"/>
      <c r="AT275" s="77"/>
      <c r="AU275" s="77"/>
      <c r="AV275" s="80" t="str">
        <f>HYPERLINK("https://pbs.twimg.com/profile_images/1618704448913645585/SRa-pW4s_normal.jpg")</f>
        <v>https://pbs.twimg.com/profile_images/1618704448913645585/SRa-pW4s_normal.jpg</v>
      </c>
      <c r="AW275" s="82" t="s">
        <v>11983</v>
      </c>
      <c r="AX275" s="82" t="s">
        <v>11983</v>
      </c>
      <c r="AY275" s="77"/>
      <c r="AZ275" s="82" t="s">
        <v>15984</v>
      </c>
      <c r="BA275" s="82" t="s">
        <v>15984</v>
      </c>
      <c r="BB275" s="82" t="s">
        <v>15984</v>
      </c>
      <c r="BC275" s="82" t="s">
        <v>11983</v>
      </c>
      <c r="BD275" s="77">
        <v>212916157</v>
      </c>
      <c r="BE275" s="77"/>
      <c r="BF275" s="77"/>
      <c r="BG275" s="77"/>
      <c r="BH275" s="77"/>
      <c r="BI275" s="77"/>
    </row>
    <row r="276" spans="1:61" x14ac:dyDescent="0.25">
      <c r="A276" s="62" t="s">
        <v>304</v>
      </c>
      <c r="B276" s="62" t="s">
        <v>304</v>
      </c>
      <c r="C276" s="63"/>
      <c r="D276" s="64"/>
      <c r="E276" s="65"/>
      <c r="F276" s="66"/>
      <c r="G276" s="63"/>
      <c r="H276" s="67"/>
      <c r="I276" s="68"/>
      <c r="J276" s="68"/>
      <c r="K276" s="32"/>
      <c r="L276" s="75">
        <v>276</v>
      </c>
      <c r="M276" s="75"/>
      <c r="N276" s="70"/>
      <c r="O276" s="77" t="s">
        <v>179</v>
      </c>
      <c r="P276" s="79">
        <v>45135.5</v>
      </c>
      <c r="Q276" s="77" t="s">
        <v>1166</v>
      </c>
      <c r="R276" s="77">
        <v>0</v>
      </c>
      <c r="S276" s="77">
        <v>0</v>
      </c>
      <c r="T276" s="77">
        <v>0</v>
      </c>
      <c r="U276" s="77">
        <v>0</v>
      </c>
      <c r="V276" s="77">
        <v>14</v>
      </c>
      <c r="W276" s="82" t="s">
        <v>4975</v>
      </c>
      <c r="X276" s="80" t="str">
        <f>HYPERLINK("https://www.williamhunt.com.br/segredos-dos-investimentos-para-iniciantes")</f>
        <v>https://www.williamhunt.com.br/segredos-dos-investimentos-para-iniciantes</v>
      </c>
      <c r="Y276" s="77" t="s">
        <v>6470</v>
      </c>
      <c r="Z276" s="77"/>
      <c r="AA276" s="77" t="s">
        <v>6793</v>
      </c>
      <c r="AB276" s="77" t="s">
        <v>7742</v>
      </c>
      <c r="AC276" s="82" t="s">
        <v>7750</v>
      </c>
      <c r="AD276" s="77" t="s">
        <v>7788</v>
      </c>
      <c r="AE276" s="80" t="str">
        <f>HYPERLINK("https://twitter.com/williamhuntbr/status/1684896483634475008")</f>
        <v>https://twitter.com/williamhuntbr/status/1684896483634475008</v>
      </c>
      <c r="AF276" s="79">
        <v>45135.5</v>
      </c>
      <c r="AG276" s="85">
        <v>45135</v>
      </c>
      <c r="AH276" s="82" t="s">
        <v>7872</v>
      </c>
      <c r="AI276" s="77" t="b">
        <v>0</v>
      </c>
      <c r="AJ276" s="77"/>
      <c r="AK276" s="77"/>
      <c r="AL276" s="77"/>
      <c r="AM276" s="77"/>
      <c r="AN276" s="77"/>
      <c r="AO276" s="77"/>
      <c r="AP276" s="77"/>
      <c r="AQ276" s="77" t="s">
        <v>10765</v>
      </c>
      <c r="AR276" s="77"/>
      <c r="AS276" s="77"/>
      <c r="AT276" s="77"/>
      <c r="AU276" s="77"/>
      <c r="AV276" s="80" t="str">
        <f>HYPERLINK("https://pbs.twimg.com/media/F1ls8YCWAAAR3F9.jpg")</f>
        <v>https://pbs.twimg.com/media/F1ls8YCWAAAR3F9.jpg</v>
      </c>
      <c r="AW276" s="82" t="s">
        <v>11984</v>
      </c>
      <c r="AX276" s="82" t="s">
        <v>11984</v>
      </c>
      <c r="AY276" s="77"/>
      <c r="AZ276" s="82" t="s">
        <v>15984</v>
      </c>
      <c r="BA276" s="82" t="s">
        <v>15984</v>
      </c>
      <c r="BB276" s="82" t="s">
        <v>15984</v>
      </c>
      <c r="BC276" s="82" t="s">
        <v>11984</v>
      </c>
      <c r="BD276" s="82" t="s">
        <v>16148</v>
      </c>
      <c r="BE276" s="77"/>
      <c r="BF276" s="77"/>
      <c r="BG276" s="77"/>
      <c r="BH276" s="77"/>
      <c r="BI276" s="77"/>
    </row>
    <row r="277" spans="1:61" x14ac:dyDescent="0.25">
      <c r="A277" s="62" t="s">
        <v>305</v>
      </c>
      <c r="B277" s="62" t="s">
        <v>305</v>
      </c>
      <c r="C277" s="63"/>
      <c r="D277" s="64"/>
      <c r="E277" s="65"/>
      <c r="F277" s="66"/>
      <c r="G277" s="63"/>
      <c r="H277" s="67"/>
      <c r="I277" s="68"/>
      <c r="J277" s="68"/>
      <c r="K277" s="32"/>
      <c r="L277" s="75">
        <v>277</v>
      </c>
      <c r="M277" s="75"/>
      <c r="N277" s="70"/>
      <c r="O277" s="77" t="s">
        <v>179</v>
      </c>
      <c r="P277" s="79">
        <v>45171.064745370371</v>
      </c>
      <c r="Q277" s="77" t="s">
        <v>1167</v>
      </c>
      <c r="R277" s="77">
        <v>0</v>
      </c>
      <c r="S277" s="77">
        <v>0</v>
      </c>
      <c r="T277" s="77">
        <v>0</v>
      </c>
      <c r="U277" s="77">
        <v>0</v>
      </c>
      <c r="V277" s="77">
        <v>15</v>
      </c>
      <c r="W277" s="82" t="s">
        <v>4839</v>
      </c>
      <c r="X277" s="77"/>
      <c r="Y277" s="77"/>
      <c r="Z277" s="77"/>
      <c r="AA277" s="77" t="s">
        <v>6794</v>
      </c>
      <c r="AB277" s="77" t="s">
        <v>7742</v>
      </c>
      <c r="AC277" s="82" t="s">
        <v>7752</v>
      </c>
      <c r="AD277" s="77" t="s">
        <v>7788</v>
      </c>
      <c r="AE277" s="80" t="str">
        <f>HYPERLINK("https://twitter.com/tony_financas/status/1697784716835815877")</f>
        <v>https://twitter.com/tony_financas/status/1697784716835815877</v>
      </c>
      <c r="AF277" s="79">
        <v>45171.064745370371</v>
      </c>
      <c r="AG277" s="85">
        <v>45171</v>
      </c>
      <c r="AH277" s="82" t="s">
        <v>8053</v>
      </c>
      <c r="AI277" s="77" t="b">
        <v>0</v>
      </c>
      <c r="AJ277" s="77"/>
      <c r="AK277" s="77"/>
      <c r="AL277" s="77"/>
      <c r="AM277" s="77"/>
      <c r="AN277" s="77"/>
      <c r="AO277" s="77"/>
      <c r="AP277" s="77"/>
      <c r="AQ277" s="77" t="s">
        <v>10766</v>
      </c>
      <c r="AR277" s="77"/>
      <c r="AS277" s="77"/>
      <c r="AT277" s="77"/>
      <c r="AU277" s="77"/>
      <c r="AV277" s="80" t="str">
        <f>HYPERLINK("https://pbs.twimg.com/media/F4--M2DXsAADiye.jpg")</f>
        <v>https://pbs.twimg.com/media/F4--M2DXsAADiye.jpg</v>
      </c>
      <c r="AW277" s="82" t="s">
        <v>11985</v>
      </c>
      <c r="AX277" s="82" t="s">
        <v>11985</v>
      </c>
      <c r="AY277" s="77"/>
      <c r="AZ277" s="82" t="s">
        <v>15984</v>
      </c>
      <c r="BA277" s="82" t="s">
        <v>15984</v>
      </c>
      <c r="BB277" s="82" t="s">
        <v>15984</v>
      </c>
      <c r="BC277" s="82" t="s">
        <v>11985</v>
      </c>
      <c r="BD277" s="77">
        <v>62033604</v>
      </c>
      <c r="BE277" s="77"/>
      <c r="BF277" s="77"/>
      <c r="BG277" s="77"/>
      <c r="BH277" s="77"/>
      <c r="BI277" s="77"/>
    </row>
    <row r="278" spans="1:61" x14ac:dyDescent="0.25">
      <c r="A278" s="62" t="s">
        <v>306</v>
      </c>
      <c r="B278" s="62" t="s">
        <v>306</v>
      </c>
      <c r="C278" s="63"/>
      <c r="D278" s="64"/>
      <c r="E278" s="65"/>
      <c r="F278" s="66"/>
      <c r="G278" s="63"/>
      <c r="H278" s="67"/>
      <c r="I278" s="68"/>
      <c r="J278" s="68"/>
      <c r="K278" s="32"/>
      <c r="L278" s="75">
        <v>278</v>
      </c>
      <c r="M278" s="75"/>
      <c r="N278" s="70"/>
      <c r="O278" s="77" t="s">
        <v>895</v>
      </c>
      <c r="P278" s="79">
        <v>45147.753576388888</v>
      </c>
      <c r="Q278" s="77" t="s">
        <v>1168</v>
      </c>
      <c r="R278" s="77">
        <v>0</v>
      </c>
      <c r="S278" s="77">
        <v>0</v>
      </c>
      <c r="T278" s="77">
        <v>0</v>
      </c>
      <c r="U278" s="77">
        <v>0</v>
      </c>
      <c r="V278" s="77">
        <v>13</v>
      </c>
      <c r="W278" s="82" t="s">
        <v>4976</v>
      </c>
      <c r="X278" s="77"/>
      <c r="Y278" s="77"/>
      <c r="Z278" s="77" t="s">
        <v>306</v>
      </c>
      <c r="AA278" s="77" t="s">
        <v>6795</v>
      </c>
      <c r="AB278" s="77" t="s">
        <v>7742</v>
      </c>
      <c r="AC278" s="82" t="s">
        <v>7750</v>
      </c>
      <c r="AD278" s="77" t="s">
        <v>7788</v>
      </c>
      <c r="AE278" s="80" t="str">
        <f>HYPERLINK("https://twitter.com/btvacademy/status/1689337030491205632")</f>
        <v>https://twitter.com/btvacademy/status/1689337030491205632</v>
      </c>
      <c r="AF278" s="79">
        <v>45147.753576388888</v>
      </c>
      <c r="AG278" s="85">
        <v>45147</v>
      </c>
      <c r="AH278" s="82" t="s">
        <v>8054</v>
      </c>
      <c r="AI278" s="77" t="b">
        <v>0</v>
      </c>
      <c r="AJ278" s="77"/>
      <c r="AK278" s="77"/>
      <c r="AL278" s="77"/>
      <c r="AM278" s="77"/>
      <c r="AN278" s="77"/>
      <c r="AO278" s="77"/>
      <c r="AP278" s="77"/>
      <c r="AQ278" s="77" t="s">
        <v>10767</v>
      </c>
      <c r="AR278" s="77"/>
      <c r="AS278" s="77"/>
      <c r="AT278" s="77"/>
      <c r="AU278" s="77"/>
      <c r="AV278" s="80" t="str">
        <f>HYPERLINK("https://pbs.twimg.com/media/F3G6piJXgAIMNFQ.jpg")</f>
        <v>https://pbs.twimg.com/media/F3G6piJXgAIMNFQ.jpg</v>
      </c>
      <c r="AW278" s="82" t="s">
        <v>11986</v>
      </c>
      <c r="AX278" s="82" t="s">
        <v>11986</v>
      </c>
      <c r="AY278" s="77"/>
      <c r="AZ278" s="82" t="s">
        <v>15984</v>
      </c>
      <c r="BA278" s="82" t="s">
        <v>15984</v>
      </c>
      <c r="BB278" s="82" t="s">
        <v>15984</v>
      </c>
      <c r="BC278" s="82" t="s">
        <v>11986</v>
      </c>
      <c r="BD278" s="82" t="s">
        <v>16149</v>
      </c>
      <c r="BE278" s="77"/>
      <c r="BF278" s="77"/>
      <c r="BG278" s="77"/>
      <c r="BH278" s="77"/>
      <c r="BI278" s="77"/>
    </row>
    <row r="279" spans="1:61" x14ac:dyDescent="0.25">
      <c r="A279" s="62" t="s">
        <v>307</v>
      </c>
      <c r="B279" s="62" t="s">
        <v>761</v>
      </c>
      <c r="C279" s="63"/>
      <c r="D279" s="64"/>
      <c r="E279" s="65"/>
      <c r="F279" s="66"/>
      <c r="G279" s="63"/>
      <c r="H279" s="67"/>
      <c r="I279" s="68"/>
      <c r="J279" s="68"/>
      <c r="K279" s="32"/>
      <c r="L279" s="75">
        <v>279</v>
      </c>
      <c r="M279" s="75"/>
      <c r="N279" s="70"/>
      <c r="O279" s="77" t="s">
        <v>895</v>
      </c>
      <c r="P279" s="79">
        <v>45187.624386574076</v>
      </c>
      <c r="Q279" s="77" t="s">
        <v>1169</v>
      </c>
      <c r="R279" s="77">
        <v>0</v>
      </c>
      <c r="S279" s="77">
        <v>0</v>
      </c>
      <c r="T279" s="77">
        <v>0</v>
      </c>
      <c r="U279" s="77">
        <v>0</v>
      </c>
      <c r="V279" s="77">
        <v>5</v>
      </c>
      <c r="W279" s="82" t="s">
        <v>4977</v>
      </c>
      <c r="X279" s="80" t="str">
        <f>HYPERLINK("https://www.spreaker.com/user/14274082/18-09-23-dati-macro-economia")</f>
        <v>https://www.spreaker.com/user/14274082/18-09-23-dati-macro-economia</v>
      </c>
      <c r="Y279" s="77" t="s">
        <v>6491</v>
      </c>
      <c r="Z279" s="77" t="s">
        <v>761</v>
      </c>
      <c r="AA279" s="77"/>
      <c r="AB279" s="77"/>
      <c r="AC279" s="82" t="s">
        <v>7758</v>
      </c>
      <c r="AD279" s="77" t="s">
        <v>7795</v>
      </c>
      <c r="AE279" s="80" t="str">
        <f>HYPERLINK("https://twitter.com/ipg_investire/status/1703785729682235537")</f>
        <v>https://twitter.com/ipg_investire/status/1703785729682235537</v>
      </c>
      <c r="AF279" s="79">
        <v>45187.624386574076</v>
      </c>
      <c r="AG279" s="85">
        <v>45187</v>
      </c>
      <c r="AH279" s="82" t="s">
        <v>8055</v>
      </c>
      <c r="AI279" s="77" t="b">
        <v>0</v>
      </c>
      <c r="AJ279" s="77"/>
      <c r="AK279" s="77"/>
      <c r="AL279" s="77"/>
      <c r="AM279" s="77"/>
      <c r="AN279" s="77"/>
      <c r="AO279" s="77"/>
      <c r="AP279" s="77"/>
      <c r="AQ279" s="77"/>
      <c r="AR279" s="77"/>
      <c r="AS279" s="77"/>
      <c r="AT279" s="77"/>
      <c r="AU279" s="77"/>
      <c r="AV279" s="80" t="str">
        <f>HYPERLINK("https://pbs.twimg.com/profile_images/1603422192942858242/mXcj-1Kd_normal.jpg")</f>
        <v>https://pbs.twimg.com/profile_images/1603422192942858242/mXcj-1Kd_normal.jpg</v>
      </c>
      <c r="AW279" s="82" t="s">
        <v>11987</v>
      </c>
      <c r="AX279" s="82" t="s">
        <v>11987</v>
      </c>
      <c r="AY279" s="77"/>
      <c r="AZ279" s="82" t="s">
        <v>15984</v>
      </c>
      <c r="BA279" s="82" t="s">
        <v>15984</v>
      </c>
      <c r="BB279" s="82" t="s">
        <v>15984</v>
      </c>
      <c r="BC279" s="82" t="s">
        <v>11987</v>
      </c>
      <c r="BD279" s="82" t="s">
        <v>16150</v>
      </c>
      <c r="BE279" s="77"/>
      <c r="BF279" s="77"/>
      <c r="BG279" s="77"/>
      <c r="BH279" s="77"/>
      <c r="BI279" s="77"/>
    </row>
    <row r="280" spans="1:61" x14ac:dyDescent="0.25">
      <c r="A280" s="62" t="s">
        <v>307</v>
      </c>
      <c r="B280" s="62" t="s">
        <v>761</v>
      </c>
      <c r="C280" s="63"/>
      <c r="D280" s="64"/>
      <c r="E280" s="65"/>
      <c r="F280" s="66"/>
      <c r="G280" s="63"/>
      <c r="H280" s="67"/>
      <c r="I280" s="68"/>
      <c r="J280" s="68"/>
      <c r="K280" s="32"/>
      <c r="L280" s="75">
        <v>280</v>
      </c>
      <c r="M280" s="75"/>
      <c r="N280" s="70"/>
      <c r="O280" s="77" t="s">
        <v>895</v>
      </c>
      <c r="P280" s="79">
        <v>45195.280590277776</v>
      </c>
      <c r="Q280" s="77" t="s">
        <v>1170</v>
      </c>
      <c r="R280" s="77">
        <v>0</v>
      </c>
      <c r="S280" s="77">
        <v>0</v>
      </c>
      <c r="T280" s="77">
        <v>0</v>
      </c>
      <c r="U280" s="77">
        <v>0</v>
      </c>
      <c r="V280" s="77">
        <v>5</v>
      </c>
      <c r="W280" s="82" t="s">
        <v>4978</v>
      </c>
      <c r="X280" s="80" t="str">
        <f>HYPERLINK("https://www.spreaker.com/user/14274082/25-09-23-macroeconomia-settimanale")</f>
        <v>https://www.spreaker.com/user/14274082/25-09-23-macroeconomia-settimanale</v>
      </c>
      <c r="Y280" s="77" t="s">
        <v>6491</v>
      </c>
      <c r="Z280" s="77" t="s">
        <v>761</v>
      </c>
      <c r="AA280" s="77"/>
      <c r="AB280" s="77"/>
      <c r="AC280" s="82" t="s">
        <v>7758</v>
      </c>
      <c r="AD280" s="77" t="s">
        <v>7795</v>
      </c>
      <c r="AE280" s="80" t="str">
        <f>HYPERLINK("https://twitter.com/ipg_investire/status/1706560244850032686")</f>
        <v>https://twitter.com/ipg_investire/status/1706560244850032686</v>
      </c>
      <c r="AF280" s="79">
        <v>45195.280590277776</v>
      </c>
      <c r="AG280" s="85">
        <v>45195</v>
      </c>
      <c r="AH280" s="82" t="s">
        <v>8056</v>
      </c>
      <c r="AI280" s="77" t="b">
        <v>0</v>
      </c>
      <c r="AJ280" s="77"/>
      <c r="AK280" s="77"/>
      <c r="AL280" s="77"/>
      <c r="AM280" s="77"/>
      <c r="AN280" s="77"/>
      <c r="AO280" s="77"/>
      <c r="AP280" s="77"/>
      <c r="AQ280" s="77"/>
      <c r="AR280" s="77"/>
      <c r="AS280" s="77"/>
      <c r="AT280" s="77"/>
      <c r="AU280" s="77"/>
      <c r="AV280" s="80" t="str">
        <f>HYPERLINK("https://pbs.twimg.com/profile_images/1603422192942858242/mXcj-1Kd_normal.jpg")</f>
        <v>https://pbs.twimg.com/profile_images/1603422192942858242/mXcj-1Kd_normal.jpg</v>
      </c>
      <c r="AW280" s="82" t="s">
        <v>11988</v>
      </c>
      <c r="AX280" s="82" t="s">
        <v>11988</v>
      </c>
      <c r="AY280" s="77"/>
      <c r="AZ280" s="82" t="s">
        <v>15984</v>
      </c>
      <c r="BA280" s="82" t="s">
        <v>15984</v>
      </c>
      <c r="BB280" s="82" t="s">
        <v>15984</v>
      </c>
      <c r="BC280" s="82" t="s">
        <v>11988</v>
      </c>
      <c r="BD280" s="82" t="s">
        <v>16150</v>
      </c>
      <c r="BE280" s="77"/>
      <c r="BF280" s="77"/>
      <c r="BG280" s="77"/>
      <c r="BH280" s="77"/>
      <c r="BI280" s="77"/>
    </row>
    <row r="281" spans="1:61" x14ac:dyDescent="0.25">
      <c r="A281" s="62" t="s">
        <v>308</v>
      </c>
      <c r="B281" s="62" t="s">
        <v>308</v>
      </c>
      <c r="C281" s="63"/>
      <c r="D281" s="64"/>
      <c r="E281" s="65"/>
      <c r="F281" s="66"/>
      <c r="G281" s="63"/>
      <c r="H281" s="67"/>
      <c r="I281" s="68"/>
      <c r="J281" s="68"/>
      <c r="K281" s="32"/>
      <c r="L281" s="75">
        <v>281</v>
      </c>
      <c r="M281" s="75"/>
      <c r="N281" s="70"/>
      <c r="O281" s="77" t="s">
        <v>179</v>
      </c>
      <c r="P281" s="79">
        <v>45121.749988425923</v>
      </c>
      <c r="Q281" s="77" t="s">
        <v>1171</v>
      </c>
      <c r="R281" s="77">
        <v>1</v>
      </c>
      <c r="S281" s="77">
        <v>0</v>
      </c>
      <c r="T281" s="77">
        <v>0</v>
      </c>
      <c r="U281" s="77">
        <v>0</v>
      </c>
      <c r="V281" s="77">
        <v>20</v>
      </c>
      <c r="W281" s="82" t="s">
        <v>4979</v>
      </c>
      <c r="X281" s="77"/>
      <c r="Y281" s="77"/>
      <c r="Z281" s="77"/>
      <c r="AA281" s="77" t="s">
        <v>6796</v>
      </c>
      <c r="AB281" s="77" t="s">
        <v>7742</v>
      </c>
      <c r="AC281" s="82" t="s">
        <v>7752</v>
      </c>
      <c r="AD281" s="77" t="s">
        <v>7788</v>
      </c>
      <c r="AE281" s="80" t="str">
        <f>HYPERLINK("https://twitter.com/raspay_/status/1679913646338473985")</f>
        <v>https://twitter.com/raspay_/status/1679913646338473985</v>
      </c>
      <c r="AF281" s="79">
        <v>45121.749988425923</v>
      </c>
      <c r="AG281" s="85">
        <v>45121</v>
      </c>
      <c r="AH281" s="82" t="s">
        <v>8057</v>
      </c>
      <c r="AI281" s="77" t="b">
        <v>0</v>
      </c>
      <c r="AJ281" s="77"/>
      <c r="AK281" s="77"/>
      <c r="AL281" s="77"/>
      <c r="AM281" s="77"/>
      <c r="AN281" s="77"/>
      <c r="AO281" s="77"/>
      <c r="AP281" s="77"/>
      <c r="AQ281" s="77" t="s">
        <v>10768</v>
      </c>
      <c r="AR281" s="77"/>
      <c r="AS281" s="77"/>
      <c r="AT281" s="77"/>
      <c r="AU281" s="77"/>
      <c r="AV281" s="80" t="str">
        <f>HYPERLINK("https://pbs.twimg.com/media/F1BAjqeWAAYynFb.jpg")</f>
        <v>https://pbs.twimg.com/media/F1BAjqeWAAYynFb.jpg</v>
      </c>
      <c r="AW281" s="82" t="s">
        <v>11989</v>
      </c>
      <c r="AX281" s="82" t="s">
        <v>11989</v>
      </c>
      <c r="AY281" s="77"/>
      <c r="AZ281" s="82" t="s">
        <v>15984</v>
      </c>
      <c r="BA281" s="82" t="s">
        <v>15984</v>
      </c>
      <c r="BB281" s="82" t="s">
        <v>15984</v>
      </c>
      <c r="BC281" s="82" t="s">
        <v>11989</v>
      </c>
      <c r="BD281" s="82" t="s">
        <v>16151</v>
      </c>
      <c r="BE281" s="77"/>
      <c r="BF281" s="77"/>
      <c r="BG281" s="77"/>
      <c r="BH281" s="77"/>
      <c r="BI281" s="77"/>
    </row>
    <row r="282" spans="1:61" x14ac:dyDescent="0.25">
      <c r="A282" s="62" t="s">
        <v>309</v>
      </c>
      <c r="B282" s="62" t="s">
        <v>309</v>
      </c>
      <c r="C282" s="63"/>
      <c r="D282" s="64"/>
      <c r="E282" s="65"/>
      <c r="F282" s="66"/>
      <c r="G282" s="63"/>
      <c r="H282" s="67"/>
      <c r="I282" s="68"/>
      <c r="J282" s="68"/>
      <c r="K282" s="32"/>
      <c r="L282" s="75">
        <v>282</v>
      </c>
      <c r="M282" s="75"/>
      <c r="N282" s="70"/>
      <c r="O282" s="77" t="s">
        <v>179</v>
      </c>
      <c r="P282" s="79">
        <v>45166.925115740742</v>
      </c>
      <c r="Q282" s="77" t="s">
        <v>1172</v>
      </c>
      <c r="R282" s="77">
        <v>0</v>
      </c>
      <c r="S282" s="77">
        <v>0</v>
      </c>
      <c r="T282" s="77">
        <v>0</v>
      </c>
      <c r="U282" s="77">
        <v>0</v>
      </c>
      <c r="V282" s="77">
        <v>7</v>
      </c>
      <c r="W282" s="82" t="s">
        <v>4821</v>
      </c>
      <c r="X282" s="80" t="str">
        <f>HYPERLINK("https://www.finanzasdehoy.com/macroeconomia-definicion-y-concepto/")</f>
        <v>https://www.finanzasdehoy.com/macroeconomia-definicion-y-concepto/</v>
      </c>
      <c r="Y282" s="77" t="s">
        <v>6492</v>
      </c>
      <c r="Z282" s="77"/>
      <c r="AA282" s="77"/>
      <c r="AB282" s="77"/>
      <c r="AC282" s="82" t="s">
        <v>7750</v>
      </c>
      <c r="AD282" s="77" t="s">
        <v>7790</v>
      </c>
      <c r="AE282" s="80" t="str">
        <f>HYPERLINK("https://twitter.com/marketcasero/status/1696284563532599585")</f>
        <v>https://twitter.com/marketcasero/status/1696284563532599585</v>
      </c>
      <c r="AF282" s="79">
        <v>45166.925115740742</v>
      </c>
      <c r="AG282" s="85">
        <v>45166</v>
      </c>
      <c r="AH282" s="82" t="s">
        <v>8058</v>
      </c>
      <c r="AI282" s="77" t="b">
        <v>0</v>
      </c>
      <c r="AJ282" s="77"/>
      <c r="AK282" s="77"/>
      <c r="AL282" s="77"/>
      <c r="AM282" s="77"/>
      <c r="AN282" s="77"/>
      <c r="AO282" s="77"/>
      <c r="AP282" s="77"/>
      <c r="AQ282" s="77"/>
      <c r="AR282" s="77"/>
      <c r="AS282" s="77"/>
      <c r="AT282" s="77"/>
      <c r="AU282" s="77"/>
      <c r="AV282" s="80" t="str">
        <f>HYPERLINK("https://pbs.twimg.com/profile_images/1256931558784671744/CL7mIqmd_normal.jpg")</f>
        <v>https://pbs.twimg.com/profile_images/1256931558784671744/CL7mIqmd_normal.jpg</v>
      </c>
      <c r="AW282" s="82" t="s">
        <v>11990</v>
      </c>
      <c r="AX282" s="82" t="s">
        <v>11990</v>
      </c>
      <c r="AY282" s="77"/>
      <c r="AZ282" s="82" t="s">
        <v>15984</v>
      </c>
      <c r="BA282" s="82" t="s">
        <v>15984</v>
      </c>
      <c r="BB282" s="82" t="s">
        <v>15984</v>
      </c>
      <c r="BC282" s="82" t="s">
        <v>11990</v>
      </c>
      <c r="BD282" s="77">
        <v>2393136536</v>
      </c>
      <c r="BE282" s="77"/>
      <c r="BF282" s="77"/>
      <c r="BG282" s="77"/>
      <c r="BH282" s="77"/>
      <c r="BI282" s="77"/>
    </row>
    <row r="283" spans="1:61" x14ac:dyDescent="0.25">
      <c r="A283" s="62" t="s">
        <v>310</v>
      </c>
      <c r="B283" s="62" t="s">
        <v>310</v>
      </c>
      <c r="C283" s="63"/>
      <c r="D283" s="64"/>
      <c r="E283" s="65"/>
      <c r="F283" s="66"/>
      <c r="G283" s="63"/>
      <c r="H283" s="67"/>
      <c r="I283" s="68"/>
      <c r="J283" s="68"/>
      <c r="K283" s="32"/>
      <c r="L283" s="75">
        <v>283</v>
      </c>
      <c r="M283" s="75"/>
      <c r="N283" s="70"/>
      <c r="O283" s="77" t="s">
        <v>179</v>
      </c>
      <c r="P283" s="79">
        <v>45187.611608796295</v>
      </c>
      <c r="Q283" s="77" t="s">
        <v>918</v>
      </c>
      <c r="R283" s="77">
        <v>0</v>
      </c>
      <c r="S283" s="77">
        <v>1</v>
      </c>
      <c r="T283" s="77">
        <v>0</v>
      </c>
      <c r="U283" s="77">
        <v>0</v>
      </c>
      <c r="V283" s="77">
        <v>10</v>
      </c>
      <c r="W283" s="82" t="s">
        <v>4815</v>
      </c>
      <c r="X283" s="77"/>
      <c r="Y283" s="77"/>
      <c r="Z283" s="77"/>
      <c r="AA283" s="77"/>
      <c r="AB283" s="77"/>
      <c r="AC283" s="82" t="s">
        <v>7750</v>
      </c>
      <c r="AD283" s="77" t="s">
        <v>7789</v>
      </c>
      <c r="AE283" s="80" t="str">
        <f>HYPERLINK("https://twitter.com/wallstwealthy/status/1703781099158008000")</f>
        <v>https://twitter.com/wallstwealthy/status/1703781099158008000</v>
      </c>
      <c r="AF283" s="79">
        <v>45187.611608796295</v>
      </c>
      <c r="AG283" s="85">
        <v>45187</v>
      </c>
      <c r="AH283" s="82" t="s">
        <v>8059</v>
      </c>
      <c r="AI283" s="77"/>
      <c r="AJ283" s="77"/>
      <c r="AK283" s="77"/>
      <c r="AL283" s="77"/>
      <c r="AM283" s="77"/>
      <c r="AN283" s="77"/>
      <c r="AO283" s="77"/>
      <c r="AP283" s="77"/>
      <c r="AQ283" s="77"/>
      <c r="AR283" s="77"/>
      <c r="AS283" s="77"/>
      <c r="AT283" s="77"/>
      <c r="AU283" s="77"/>
      <c r="AV283" s="80" t="str">
        <f>HYPERLINK("https://pbs.twimg.com/profile_images/1699367946353627136/qwlOLel-_normal.jpg")</f>
        <v>https://pbs.twimg.com/profile_images/1699367946353627136/qwlOLel-_normal.jpg</v>
      </c>
      <c r="AW283" s="82" t="s">
        <v>11991</v>
      </c>
      <c r="AX283" s="82" t="s">
        <v>11991</v>
      </c>
      <c r="AY283" s="77"/>
      <c r="AZ283" s="82" t="s">
        <v>15984</v>
      </c>
      <c r="BA283" s="82" t="s">
        <v>15984</v>
      </c>
      <c r="BB283" s="82" t="s">
        <v>15984</v>
      </c>
      <c r="BC283" s="82" t="s">
        <v>11991</v>
      </c>
      <c r="BD283" s="82" t="s">
        <v>16152</v>
      </c>
      <c r="BE283" s="77"/>
      <c r="BF283" s="77"/>
      <c r="BG283" s="77"/>
      <c r="BH283" s="77"/>
      <c r="BI283" s="77"/>
    </row>
    <row r="284" spans="1:61" x14ac:dyDescent="0.25">
      <c r="A284" s="62" t="s">
        <v>311</v>
      </c>
      <c r="B284" s="62" t="s">
        <v>762</v>
      </c>
      <c r="C284" s="63"/>
      <c r="D284" s="64"/>
      <c r="E284" s="65"/>
      <c r="F284" s="66"/>
      <c r="G284" s="63"/>
      <c r="H284" s="67"/>
      <c r="I284" s="68"/>
      <c r="J284" s="68"/>
      <c r="K284" s="32"/>
      <c r="L284" s="75">
        <v>284</v>
      </c>
      <c r="M284" s="75"/>
      <c r="N284" s="70"/>
      <c r="O284" s="77" t="s">
        <v>899</v>
      </c>
      <c r="P284" s="79">
        <v>45193.726574074077</v>
      </c>
      <c r="Q284" s="77" t="s">
        <v>1173</v>
      </c>
      <c r="R284" s="77">
        <v>4</v>
      </c>
      <c r="S284" s="77">
        <v>0</v>
      </c>
      <c r="T284" s="77">
        <v>0</v>
      </c>
      <c r="U284" s="77">
        <v>0</v>
      </c>
      <c r="V284" s="77"/>
      <c r="W284" s="82" t="s">
        <v>4821</v>
      </c>
      <c r="X284" s="77"/>
      <c r="Y284" s="77"/>
      <c r="Z284" s="77" t="s">
        <v>6567</v>
      </c>
      <c r="AA284" s="77"/>
      <c r="AB284" s="77"/>
      <c r="AC284" s="82" t="s">
        <v>7751</v>
      </c>
      <c r="AD284" s="77" t="s">
        <v>7790</v>
      </c>
      <c r="AE284" s="80" t="str">
        <f>HYPERLINK("https://twitter.com/johanfelipe94/status/1705997089430225334")</f>
        <v>https://twitter.com/johanfelipe94/status/1705997089430225334</v>
      </c>
      <c r="AF284" s="79">
        <v>45193.726574074077</v>
      </c>
      <c r="AG284" s="85">
        <v>45193</v>
      </c>
      <c r="AH284" s="82" t="s">
        <v>8060</v>
      </c>
      <c r="AI284" s="77" t="b">
        <v>0</v>
      </c>
      <c r="AJ284" s="77"/>
      <c r="AK284" s="77"/>
      <c r="AL284" s="77"/>
      <c r="AM284" s="77"/>
      <c r="AN284" s="77"/>
      <c r="AO284" s="77"/>
      <c r="AP284" s="77"/>
      <c r="AQ284" s="77"/>
      <c r="AR284" s="77"/>
      <c r="AS284" s="77"/>
      <c r="AT284" s="77"/>
      <c r="AU284" s="77"/>
      <c r="AV284" s="80" t="str">
        <f>HYPERLINK("https://pbs.twimg.com/profile_images/669861216442040323/LCufdZ2__normal.jpg")</f>
        <v>https://pbs.twimg.com/profile_images/669861216442040323/LCufdZ2__normal.jpg</v>
      </c>
      <c r="AW284" s="82" t="s">
        <v>11992</v>
      </c>
      <c r="AX284" s="82" t="s">
        <v>11992</v>
      </c>
      <c r="AY284" s="77"/>
      <c r="AZ284" s="82" t="s">
        <v>15984</v>
      </c>
      <c r="BA284" s="82" t="s">
        <v>15984</v>
      </c>
      <c r="BB284" s="82" t="s">
        <v>13091</v>
      </c>
      <c r="BC284" s="82" t="s">
        <v>13091</v>
      </c>
      <c r="BD284" s="77">
        <v>480956964</v>
      </c>
      <c r="BE284" s="77"/>
      <c r="BF284" s="77"/>
      <c r="BG284" s="77"/>
      <c r="BH284" s="77"/>
      <c r="BI284" s="77"/>
    </row>
    <row r="285" spans="1:61" x14ac:dyDescent="0.25">
      <c r="A285" s="62" t="s">
        <v>311</v>
      </c>
      <c r="B285" s="62" t="s">
        <v>763</v>
      </c>
      <c r="C285" s="63"/>
      <c r="D285" s="64"/>
      <c r="E285" s="65"/>
      <c r="F285" s="66"/>
      <c r="G285" s="63"/>
      <c r="H285" s="67"/>
      <c r="I285" s="68"/>
      <c r="J285" s="68"/>
      <c r="K285" s="32"/>
      <c r="L285" s="75">
        <v>285</v>
      </c>
      <c r="M285" s="75"/>
      <c r="N285" s="70"/>
      <c r="O285" s="77" t="s">
        <v>899</v>
      </c>
      <c r="P285" s="79">
        <v>45193.726574074077</v>
      </c>
      <c r="Q285" s="77" t="s">
        <v>1173</v>
      </c>
      <c r="R285" s="77">
        <v>4</v>
      </c>
      <c r="S285" s="77">
        <v>0</v>
      </c>
      <c r="T285" s="77">
        <v>0</v>
      </c>
      <c r="U285" s="77">
        <v>0</v>
      </c>
      <c r="V285" s="77"/>
      <c r="W285" s="82" t="s">
        <v>4821</v>
      </c>
      <c r="X285" s="77"/>
      <c r="Y285" s="77"/>
      <c r="Z285" s="77" t="s">
        <v>6567</v>
      </c>
      <c r="AA285" s="77"/>
      <c r="AB285" s="77"/>
      <c r="AC285" s="82" t="s">
        <v>7751</v>
      </c>
      <c r="AD285" s="77" t="s">
        <v>7790</v>
      </c>
      <c r="AE285" s="80" t="str">
        <f>HYPERLINK("https://twitter.com/johanfelipe94/status/1705997089430225334")</f>
        <v>https://twitter.com/johanfelipe94/status/1705997089430225334</v>
      </c>
      <c r="AF285" s="79">
        <v>45193.726574074077</v>
      </c>
      <c r="AG285" s="85">
        <v>45193</v>
      </c>
      <c r="AH285" s="82" t="s">
        <v>8060</v>
      </c>
      <c r="AI285" s="77" t="b">
        <v>0</v>
      </c>
      <c r="AJ285" s="77"/>
      <c r="AK285" s="77"/>
      <c r="AL285" s="77"/>
      <c r="AM285" s="77"/>
      <c r="AN285" s="77"/>
      <c r="AO285" s="77"/>
      <c r="AP285" s="77"/>
      <c r="AQ285" s="77"/>
      <c r="AR285" s="77"/>
      <c r="AS285" s="77"/>
      <c r="AT285" s="77"/>
      <c r="AU285" s="77"/>
      <c r="AV285" s="80" t="str">
        <f>HYPERLINK("https://pbs.twimg.com/profile_images/669861216442040323/LCufdZ2__normal.jpg")</f>
        <v>https://pbs.twimg.com/profile_images/669861216442040323/LCufdZ2__normal.jpg</v>
      </c>
      <c r="AW285" s="82" t="s">
        <v>11992</v>
      </c>
      <c r="AX285" s="82" t="s">
        <v>11992</v>
      </c>
      <c r="AY285" s="77"/>
      <c r="AZ285" s="82" t="s">
        <v>15984</v>
      </c>
      <c r="BA285" s="82" t="s">
        <v>15984</v>
      </c>
      <c r="BB285" s="82" t="s">
        <v>13091</v>
      </c>
      <c r="BC285" s="82" t="s">
        <v>13091</v>
      </c>
      <c r="BD285" s="77">
        <v>480956964</v>
      </c>
      <c r="BE285" s="77"/>
      <c r="BF285" s="77"/>
      <c r="BG285" s="77"/>
      <c r="BH285" s="77"/>
      <c r="BI285" s="77"/>
    </row>
    <row r="286" spans="1:61" x14ac:dyDescent="0.25">
      <c r="A286" s="62" t="s">
        <v>311</v>
      </c>
      <c r="B286" s="62" t="s">
        <v>614</v>
      </c>
      <c r="C286" s="63"/>
      <c r="D286" s="64"/>
      <c r="E286" s="65"/>
      <c r="F286" s="66"/>
      <c r="G286" s="63"/>
      <c r="H286" s="67"/>
      <c r="I286" s="68"/>
      <c r="J286" s="68"/>
      <c r="K286" s="32"/>
      <c r="L286" s="75">
        <v>286</v>
      </c>
      <c r="M286" s="75"/>
      <c r="N286" s="70"/>
      <c r="O286" s="77" t="s">
        <v>897</v>
      </c>
      <c r="P286" s="79">
        <v>45193.726574074077</v>
      </c>
      <c r="Q286" s="77" t="s">
        <v>1173</v>
      </c>
      <c r="R286" s="77">
        <v>4</v>
      </c>
      <c r="S286" s="77">
        <v>0</v>
      </c>
      <c r="T286" s="77">
        <v>0</v>
      </c>
      <c r="U286" s="77">
        <v>0</v>
      </c>
      <c r="V286" s="77"/>
      <c r="W286" s="82" t="s">
        <v>4821</v>
      </c>
      <c r="X286" s="77"/>
      <c r="Y286" s="77"/>
      <c r="Z286" s="77" t="s">
        <v>6567</v>
      </c>
      <c r="AA286" s="77"/>
      <c r="AB286" s="77"/>
      <c r="AC286" s="82" t="s">
        <v>7751</v>
      </c>
      <c r="AD286" s="77" t="s">
        <v>7790</v>
      </c>
      <c r="AE286" s="80" t="str">
        <f>HYPERLINK("https://twitter.com/johanfelipe94/status/1705997089430225334")</f>
        <v>https://twitter.com/johanfelipe94/status/1705997089430225334</v>
      </c>
      <c r="AF286" s="79">
        <v>45193.726574074077</v>
      </c>
      <c r="AG286" s="85">
        <v>45193</v>
      </c>
      <c r="AH286" s="82" t="s">
        <v>8060</v>
      </c>
      <c r="AI286" s="77" t="b">
        <v>0</v>
      </c>
      <c r="AJ286" s="77"/>
      <c r="AK286" s="77"/>
      <c r="AL286" s="77"/>
      <c r="AM286" s="77"/>
      <c r="AN286" s="77"/>
      <c r="AO286" s="77"/>
      <c r="AP286" s="77"/>
      <c r="AQ286" s="77"/>
      <c r="AR286" s="77"/>
      <c r="AS286" s="77"/>
      <c r="AT286" s="77"/>
      <c r="AU286" s="77"/>
      <c r="AV286" s="80" t="str">
        <f>HYPERLINK("https://pbs.twimg.com/profile_images/669861216442040323/LCufdZ2__normal.jpg")</f>
        <v>https://pbs.twimg.com/profile_images/669861216442040323/LCufdZ2__normal.jpg</v>
      </c>
      <c r="AW286" s="82" t="s">
        <v>11992</v>
      </c>
      <c r="AX286" s="82" t="s">
        <v>11992</v>
      </c>
      <c r="AY286" s="77"/>
      <c r="AZ286" s="82" t="s">
        <v>15984</v>
      </c>
      <c r="BA286" s="82" t="s">
        <v>15984</v>
      </c>
      <c r="BB286" s="82" t="s">
        <v>13091</v>
      </c>
      <c r="BC286" s="82" t="s">
        <v>13091</v>
      </c>
      <c r="BD286" s="77">
        <v>480956964</v>
      </c>
      <c r="BE286" s="77"/>
      <c r="BF286" s="77"/>
      <c r="BG286" s="77"/>
      <c r="BH286" s="77"/>
      <c r="BI286" s="77"/>
    </row>
    <row r="287" spans="1:61" x14ac:dyDescent="0.25">
      <c r="A287" s="62" t="s">
        <v>311</v>
      </c>
      <c r="B287" s="62" t="s">
        <v>614</v>
      </c>
      <c r="C287" s="63"/>
      <c r="D287" s="64"/>
      <c r="E287" s="65"/>
      <c r="F287" s="66"/>
      <c r="G287" s="63"/>
      <c r="H287" s="67"/>
      <c r="I287" s="68"/>
      <c r="J287" s="68"/>
      <c r="K287" s="32"/>
      <c r="L287" s="75">
        <v>287</v>
      </c>
      <c r="M287" s="75"/>
      <c r="N287" s="70"/>
      <c r="O287" s="77" t="s">
        <v>897</v>
      </c>
      <c r="P287" s="79">
        <v>45194.497303240743</v>
      </c>
      <c r="Q287" s="77" t="s">
        <v>1174</v>
      </c>
      <c r="R287" s="77">
        <v>2</v>
      </c>
      <c r="S287" s="77">
        <v>0</v>
      </c>
      <c r="T287" s="77">
        <v>0</v>
      </c>
      <c r="U287" s="77">
        <v>0</v>
      </c>
      <c r="V287" s="77"/>
      <c r="W287" s="82" t="s">
        <v>4821</v>
      </c>
      <c r="X287" s="77"/>
      <c r="Y287" s="77"/>
      <c r="Z287" s="77" t="s">
        <v>614</v>
      </c>
      <c r="AA287" s="77"/>
      <c r="AB287" s="77"/>
      <c r="AC287" s="82" t="s">
        <v>7751</v>
      </c>
      <c r="AD287" s="77" t="s">
        <v>7790</v>
      </c>
      <c r="AE287" s="80" t="str">
        <f>HYPERLINK("https://twitter.com/johanfelipe94/status/1706276392051065299")</f>
        <v>https://twitter.com/johanfelipe94/status/1706276392051065299</v>
      </c>
      <c r="AF287" s="79">
        <v>45194.497303240743</v>
      </c>
      <c r="AG287" s="85">
        <v>45194</v>
      </c>
      <c r="AH287" s="82" t="s">
        <v>8061</v>
      </c>
      <c r="AI287" s="77" t="b">
        <v>0</v>
      </c>
      <c r="AJ287" s="77"/>
      <c r="AK287" s="77"/>
      <c r="AL287" s="77"/>
      <c r="AM287" s="77"/>
      <c r="AN287" s="77"/>
      <c r="AO287" s="77"/>
      <c r="AP287" s="77"/>
      <c r="AQ287" s="77"/>
      <c r="AR287" s="77"/>
      <c r="AS287" s="77"/>
      <c r="AT287" s="77"/>
      <c r="AU287" s="77"/>
      <c r="AV287" s="80" t="str">
        <f>HYPERLINK("https://pbs.twimg.com/profile_images/669861216442040323/LCufdZ2__normal.jpg")</f>
        <v>https://pbs.twimg.com/profile_images/669861216442040323/LCufdZ2__normal.jpg</v>
      </c>
      <c r="AW287" s="82" t="s">
        <v>11993</v>
      </c>
      <c r="AX287" s="82" t="s">
        <v>11993</v>
      </c>
      <c r="AY287" s="77"/>
      <c r="AZ287" s="82" t="s">
        <v>15984</v>
      </c>
      <c r="BA287" s="82" t="s">
        <v>15984</v>
      </c>
      <c r="BB287" s="82" t="s">
        <v>15339</v>
      </c>
      <c r="BC287" s="82" t="s">
        <v>15339</v>
      </c>
      <c r="BD287" s="77">
        <v>480956964</v>
      </c>
      <c r="BE287" s="77"/>
      <c r="BF287" s="77"/>
      <c r="BG287" s="77"/>
      <c r="BH287" s="77"/>
      <c r="BI287" s="77"/>
    </row>
    <row r="288" spans="1:61" x14ac:dyDescent="0.25">
      <c r="A288" s="62" t="s">
        <v>311</v>
      </c>
      <c r="B288" s="62" t="s">
        <v>614</v>
      </c>
      <c r="C288" s="63"/>
      <c r="D288" s="64"/>
      <c r="E288" s="65"/>
      <c r="F288" s="66"/>
      <c r="G288" s="63"/>
      <c r="H288" s="67"/>
      <c r="I288" s="68"/>
      <c r="J288" s="68"/>
      <c r="K288" s="32"/>
      <c r="L288" s="75">
        <v>288</v>
      </c>
      <c r="M288" s="75"/>
      <c r="N288" s="70"/>
      <c r="O288" s="77" t="s">
        <v>897</v>
      </c>
      <c r="P288" s="79">
        <v>45194.493125000001</v>
      </c>
      <c r="Q288" s="77" t="s">
        <v>1175</v>
      </c>
      <c r="R288" s="77">
        <v>3</v>
      </c>
      <c r="S288" s="77">
        <v>0</v>
      </c>
      <c r="T288" s="77">
        <v>0</v>
      </c>
      <c r="U288" s="77">
        <v>0</v>
      </c>
      <c r="V288" s="77"/>
      <c r="W288" s="82" t="s">
        <v>4821</v>
      </c>
      <c r="X288" s="77"/>
      <c r="Y288" s="77"/>
      <c r="Z288" s="77" t="s">
        <v>614</v>
      </c>
      <c r="AA288" s="77"/>
      <c r="AB288" s="77"/>
      <c r="AC288" s="82" t="s">
        <v>7751</v>
      </c>
      <c r="AD288" s="77" t="s">
        <v>7790</v>
      </c>
      <c r="AE288" s="80" t="str">
        <f>HYPERLINK("https://twitter.com/johanfelipe94/status/1706274875554267392")</f>
        <v>https://twitter.com/johanfelipe94/status/1706274875554267392</v>
      </c>
      <c r="AF288" s="79">
        <v>45194.493125000001</v>
      </c>
      <c r="AG288" s="85">
        <v>45194</v>
      </c>
      <c r="AH288" s="82" t="s">
        <v>8062</v>
      </c>
      <c r="AI288" s="77" t="b">
        <v>0</v>
      </c>
      <c r="AJ288" s="77"/>
      <c r="AK288" s="77"/>
      <c r="AL288" s="77"/>
      <c r="AM288" s="77"/>
      <c r="AN288" s="77"/>
      <c r="AO288" s="77"/>
      <c r="AP288" s="77"/>
      <c r="AQ288" s="77"/>
      <c r="AR288" s="77"/>
      <c r="AS288" s="77"/>
      <c r="AT288" s="77"/>
      <c r="AU288" s="77"/>
      <c r="AV288" s="80" t="str">
        <f>HYPERLINK("https://pbs.twimg.com/profile_images/669861216442040323/LCufdZ2__normal.jpg")</f>
        <v>https://pbs.twimg.com/profile_images/669861216442040323/LCufdZ2__normal.jpg</v>
      </c>
      <c r="AW288" s="82" t="s">
        <v>11994</v>
      </c>
      <c r="AX288" s="82" t="s">
        <v>11994</v>
      </c>
      <c r="AY288" s="77"/>
      <c r="AZ288" s="82" t="s">
        <v>15984</v>
      </c>
      <c r="BA288" s="82" t="s">
        <v>15984</v>
      </c>
      <c r="BB288" s="82" t="s">
        <v>13241</v>
      </c>
      <c r="BC288" s="82" t="s">
        <v>13241</v>
      </c>
      <c r="BD288" s="77">
        <v>480956964</v>
      </c>
      <c r="BE288" s="77"/>
      <c r="BF288" s="77"/>
      <c r="BG288" s="77"/>
      <c r="BH288" s="77"/>
      <c r="BI288" s="77"/>
    </row>
    <row r="289" spans="1:61" x14ac:dyDescent="0.25">
      <c r="A289" s="62" t="s">
        <v>312</v>
      </c>
      <c r="B289" s="62" t="s">
        <v>312</v>
      </c>
      <c r="C289" s="63"/>
      <c r="D289" s="64"/>
      <c r="E289" s="65"/>
      <c r="F289" s="66"/>
      <c r="G289" s="63"/>
      <c r="H289" s="67"/>
      <c r="I289" s="68"/>
      <c r="J289" s="68"/>
      <c r="K289" s="32"/>
      <c r="L289" s="75">
        <v>289</v>
      </c>
      <c r="M289" s="75"/>
      <c r="N289" s="70"/>
      <c r="O289" s="77" t="s">
        <v>179</v>
      </c>
      <c r="P289" s="79">
        <v>45197.067048611112</v>
      </c>
      <c r="Q289" s="77" t="s">
        <v>1176</v>
      </c>
      <c r="R289" s="77">
        <v>0</v>
      </c>
      <c r="S289" s="77">
        <v>0</v>
      </c>
      <c r="T289" s="77">
        <v>0</v>
      </c>
      <c r="U289" s="77">
        <v>0</v>
      </c>
      <c r="V289" s="77"/>
      <c r="W289" s="82" t="s">
        <v>4980</v>
      </c>
      <c r="X289" s="77"/>
      <c r="Y289" s="77"/>
      <c r="Z289" s="77"/>
      <c r="AA289" s="77"/>
      <c r="AB289" s="77"/>
      <c r="AC289" s="82" t="s">
        <v>7751</v>
      </c>
      <c r="AD289" s="77" t="s">
        <v>7788</v>
      </c>
      <c r="AE289" s="80" t="str">
        <f>HYPERLINK("https://twitter.com/kawanandradec/status/1707207637249425687")</f>
        <v>https://twitter.com/kawanandradec/status/1707207637249425687</v>
      </c>
      <c r="AF289" s="79">
        <v>45197.067048611112</v>
      </c>
      <c r="AG289" s="85">
        <v>45197</v>
      </c>
      <c r="AH289" s="82" t="s">
        <v>8063</v>
      </c>
      <c r="AI289" s="77"/>
      <c r="AJ289" s="77"/>
      <c r="AK289" s="77"/>
      <c r="AL289" s="77"/>
      <c r="AM289" s="77"/>
      <c r="AN289" s="77"/>
      <c r="AO289" s="77"/>
      <c r="AP289" s="77"/>
      <c r="AQ289" s="77"/>
      <c r="AR289" s="77"/>
      <c r="AS289" s="77"/>
      <c r="AT289" s="77"/>
      <c r="AU289" s="77"/>
      <c r="AV289" s="80" t="str">
        <f>HYPERLINK("https://pbs.twimg.com/profile_images/1701016883343077377/Kyp579w8_normal.jpg")</f>
        <v>https://pbs.twimg.com/profile_images/1701016883343077377/Kyp579w8_normal.jpg</v>
      </c>
      <c r="AW289" s="82" t="s">
        <v>11995</v>
      </c>
      <c r="AX289" s="82" t="s">
        <v>11995</v>
      </c>
      <c r="AY289" s="77"/>
      <c r="AZ289" s="82" t="s">
        <v>15984</v>
      </c>
      <c r="BA289" s="82" t="s">
        <v>15984</v>
      </c>
      <c r="BB289" s="82" t="s">
        <v>15984</v>
      </c>
      <c r="BC289" s="82" t="s">
        <v>11995</v>
      </c>
      <c r="BD289" s="82" t="s">
        <v>16153</v>
      </c>
      <c r="BE289" s="77"/>
      <c r="BF289" s="77"/>
      <c r="BG289" s="77"/>
      <c r="BH289" s="77"/>
      <c r="BI289" s="77"/>
    </row>
    <row r="290" spans="1:61" x14ac:dyDescent="0.25">
      <c r="A290" s="62" t="s">
        <v>313</v>
      </c>
      <c r="B290" s="62" t="s">
        <v>313</v>
      </c>
      <c r="C290" s="63"/>
      <c r="D290" s="64"/>
      <c r="E290" s="65"/>
      <c r="F290" s="66"/>
      <c r="G290" s="63"/>
      <c r="H290" s="67"/>
      <c r="I290" s="68"/>
      <c r="J290" s="68"/>
      <c r="K290" s="32"/>
      <c r="L290" s="75">
        <v>290</v>
      </c>
      <c r="M290" s="75"/>
      <c r="N290" s="70"/>
      <c r="O290" s="77" t="s">
        <v>179</v>
      </c>
      <c r="P290" s="79">
        <v>45180.792766203704</v>
      </c>
      <c r="Q290" s="77" t="s">
        <v>1177</v>
      </c>
      <c r="R290" s="77">
        <v>0</v>
      </c>
      <c r="S290" s="77">
        <v>0</v>
      </c>
      <c r="T290" s="77">
        <v>0</v>
      </c>
      <c r="U290" s="77">
        <v>0</v>
      </c>
      <c r="V290" s="77">
        <v>11</v>
      </c>
      <c r="W290" s="82" t="s">
        <v>4981</v>
      </c>
      <c r="X290" s="80" t="str">
        <f>HYPERLINK("https://www.youtube.com/watch?v=eg1zQJkHRYE&amp;list=PLBeaxGVsgNiO0-tICLp1lrxB2h03hD2v2&amp;index=22&amp;t=1265s")</f>
        <v>https://www.youtube.com/watch?v=eg1zQJkHRYE&amp;list=PLBeaxGVsgNiO0-tICLp1lrxB2h03hD2v2&amp;index=22&amp;t=1265s</v>
      </c>
      <c r="Y290" s="77" t="s">
        <v>6480</v>
      </c>
      <c r="Z290" s="77"/>
      <c r="AA290" s="77"/>
      <c r="AB290" s="77"/>
      <c r="AC290" s="82" t="s">
        <v>7750</v>
      </c>
      <c r="AD290" s="77" t="s">
        <v>7788</v>
      </c>
      <c r="AE290" s="80" t="str">
        <f>HYPERLINK("https://twitter.com/sigler_marcia/status/1701310031637983512")</f>
        <v>https://twitter.com/sigler_marcia/status/1701310031637983512</v>
      </c>
      <c r="AF290" s="79">
        <v>45180.792766203704</v>
      </c>
      <c r="AG290" s="85">
        <v>45180</v>
      </c>
      <c r="AH290" s="82" t="s">
        <v>8064</v>
      </c>
      <c r="AI290" s="77" t="b">
        <v>0</v>
      </c>
      <c r="AJ290" s="77"/>
      <c r="AK290" s="77"/>
      <c r="AL290" s="77"/>
      <c r="AM290" s="77"/>
      <c r="AN290" s="77"/>
      <c r="AO290" s="77"/>
      <c r="AP290" s="77"/>
      <c r="AQ290" s="77"/>
      <c r="AR290" s="77"/>
      <c r="AS290" s="77"/>
      <c r="AT290" s="77"/>
      <c r="AU290" s="77"/>
      <c r="AV290" s="80" t="str">
        <f>HYPERLINK("https://pbs.twimg.com/profile_images/1689377510700584960/POq7HoEV_normal.jpg")</f>
        <v>https://pbs.twimg.com/profile_images/1689377510700584960/POq7HoEV_normal.jpg</v>
      </c>
      <c r="AW290" s="82" t="s">
        <v>11996</v>
      </c>
      <c r="AX290" s="82" t="s">
        <v>11996</v>
      </c>
      <c r="AY290" s="77"/>
      <c r="AZ290" s="82" t="s">
        <v>15984</v>
      </c>
      <c r="BA290" s="82" t="s">
        <v>15984</v>
      </c>
      <c r="BB290" s="82" t="s">
        <v>15984</v>
      </c>
      <c r="BC290" s="82" t="s">
        <v>11996</v>
      </c>
      <c r="BD290" s="82" t="s">
        <v>16154</v>
      </c>
      <c r="BE290" s="77"/>
      <c r="BF290" s="77"/>
      <c r="BG290" s="77"/>
      <c r="BH290" s="77"/>
      <c r="BI290" s="77"/>
    </row>
    <row r="291" spans="1:61" x14ac:dyDescent="0.25">
      <c r="A291" s="62" t="s">
        <v>314</v>
      </c>
      <c r="B291" s="62" t="s">
        <v>764</v>
      </c>
      <c r="C291" s="63"/>
      <c r="D291" s="64"/>
      <c r="E291" s="65"/>
      <c r="F291" s="66"/>
      <c r="G291" s="63"/>
      <c r="H291" s="67"/>
      <c r="I291" s="68"/>
      <c r="J291" s="68"/>
      <c r="K291" s="32"/>
      <c r="L291" s="75">
        <v>291</v>
      </c>
      <c r="M291" s="75"/>
      <c r="N291" s="70"/>
      <c r="O291" s="77" t="s">
        <v>900</v>
      </c>
      <c r="P291" s="79">
        <v>45150.290162037039</v>
      </c>
      <c r="Q291" s="77" t="s">
        <v>1178</v>
      </c>
      <c r="R291" s="77">
        <v>0</v>
      </c>
      <c r="S291" s="77">
        <v>0</v>
      </c>
      <c r="T291" s="77">
        <v>0</v>
      </c>
      <c r="U291" s="77">
        <v>0</v>
      </c>
      <c r="V291" s="77">
        <v>4</v>
      </c>
      <c r="W291" s="82" t="s">
        <v>4861</v>
      </c>
      <c r="X291" s="77"/>
      <c r="Y291" s="77"/>
      <c r="Z291" s="77" t="s">
        <v>764</v>
      </c>
      <c r="AA291" s="77"/>
      <c r="AB291" s="77"/>
      <c r="AC291" s="82" t="s">
        <v>7752</v>
      </c>
      <c r="AD291" s="77" t="s">
        <v>7795</v>
      </c>
      <c r="AE291" s="80" t="str">
        <f>HYPERLINK("https://twitter.com/massimopoli/status/1690256261701378048")</f>
        <v>https://twitter.com/massimopoli/status/1690256261701378048</v>
      </c>
      <c r="AF291" s="79">
        <v>45150.290162037039</v>
      </c>
      <c r="AG291" s="85">
        <v>45150</v>
      </c>
      <c r="AH291" s="82" t="s">
        <v>8065</v>
      </c>
      <c r="AI291" s="77"/>
      <c r="AJ291" s="77" t="s">
        <v>10564</v>
      </c>
      <c r="AK291" s="77" t="s">
        <v>10572</v>
      </c>
      <c r="AL291" s="77" t="s">
        <v>10576</v>
      </c>
      <c r="AM291" s="77" t="s">
        <v>10582</v>
      </c>
      <c r="AN291" s="77" t="s">
        <v>10593</v>
      </c>
      <c r="AO291" s="77" t="s">
        <v>10603</v>
      </c>
      <c r="AP291" s="77" t="s">
        <v>10609</v>
      </c>
      <c r="AQ291" s="77"/>
      <c r="AR291" s="77"/>
      <c r="AS291" s="77"/>
      <c r="AT291" s="77"/>
      <c r="AU291" s="77"/>
      <c r="AV291" s="80" t="str">
        <f>HYPERLINK("https://pbs.twimg.com/profile_images/1560322817538899971/-F4UkFrn_normal.jpg")</f>
        <v>https://pbs.twimg.com/profile_images/1560322817538899971/-F4UkFrn_normal.jpg</v>
      </c>
      <c r="AW291" s="82" t="s">
        <v>11997</v>
      </c>
      <c r="AX291" s="82" t="s">
        <v>15744</v>
      </c>
      <c r="AY291" s="82" t="s">
        <v>15919</v>
      </c>
      <c r="AZ291" s="82" t="s">
        <v>15744</v>
      </c>
      <c r="BA291" s="82" t="s">
        <v>11998</v>
      </c>
      <c r="BB291" s="82" t="s">
        <v>15984</v>
      </c>
      <c r="BC291" s="82" t="s">
        <v>15744</v>
      </c>
      <c r="BD291" s="77">
        <v>311075294</v>
      </c>
      <c r="BE291" s="77"/>
      <c r="BF291" s="77"/>
      <c r="BG291" s="77"/>
      <c r="BH291" s="77"/>
      <c r="BI291" s="77"/>
    </row>
    <row r="292" spans="1:61" x14ac:dyDescent="0.25">
      <c r="A292" s="62" t="s">
        <v>314</v>
      </c>
      <c r="B292" s="62" t="s">
        <v>764</v>
      </c>
      <c r="C292" s="63"/>
      <c r="D292" s="64"/>
      <c r="E292" s="65"/>
      <c r="F292" s="66"/>
      <c r="G292" s="63"/>
      <c r="H292" s="67"/>
      <c r="I292" s="68"/>
      <c r="J292" s="68"/>
      <c r="K292" s="32"/>
      <c r="L292" s="75">
        <v>292</v>
      </c>
      <c r="M292" s="75"/>
      <c r="N292" s="70"/>
      <c r="O292" s="77" t="s">
        <v>898</v>
      </c>
      <c r="P292" s="79">
        <v>45150.290162037039</v>
      </c>
      <c r="Q292" s="77" t="s">
        <v>1178</v>
      </c>
      <c r="R292" s="77">
        <v>0</v>
      </c>
      <c r="S292" s="77">
        <v>0</v>
      </c>
      <c r="T292" s="77">
        <v>0</v>
      </c>
      <c r="U292" s="77">
        <v>0</v>
      </c>
      <c r="V292" s="77">
        <v>4</v>
      </c>
      <c r="W292" s="82" t="s">
        <v>4861</v>
      </c>
      <c r="X292" s="77"/>
      <c r="Y292" s="77"/>
      <c r="Z292" s="77" t="s">
        <v>764</v>
      </c>
      <c r="AA292" s="77"/>
      <c r="AB292" s="77"/>
      <c r="AC292" s="82" t="s">
        <v>7752</v>
      </c>
      <c r="AD292" s="77" t="s">
        <v>7795</v>
      </c>
      <c r="AE292" s="80" t="str">
        <f>HYPERLINK("https://twitter.com/massimopoli/status/1690256261701378048")</f>
        <v>https://twitter.com/massimopoli/status/1690256261701378048</v>
      </c>
      <c r="AF292" s="79">
        <v>45150.290162037039</v>
      </c>
      <c r="AG292" s="85">
        <v>45150</v>
      </c>
      <c r="AH292" s="82" t="s">
        <v>8065</v>
      </c>
      <c r="AI292" s="77"/>
      <c r="AJ292" s="77" t="s">
        <v>10564</v>
      </c>
      <c r="AK292" s="77" t="s">
        <v>10572</v>
      </c>
      <c r="AL292" s="77" t="s">
        <v>10576</v>
      </c>
      <c r="AM292" s="77" t="s">
        <v>10582</v>
      </c>
      <c r="AN292" s="77" t="s">
        <v>10593</v>
      </c>
      <c r="AO292" s="77" t="s">
        <v>10603</v>
      </c>
      <c r="AP292" s="77" t="s">
        <v>10609</v>
      </c>
      <c r="AQ292" s="77"/>
      <c r="AR292" s="77"/>
      <c r="AS292" s="77"/>
      <c r="AT292" s="77"/>
      <c r="AU292" s="77"/>
      <c r="AV292" s="80" t="str">
        <f>HYPERLINK("https://pbs.twimg.com/profile_images/1560322817538899971/-F4UkFrn_normal.jpg")</f>
        <v>https://pbs.twimg.com/profile_images/1560322817538899971/-F4UkFrn_normal.jpg</v>
      </c>
      <c r="AW292" s="82" t="s">
        <v>11997</v>
      </c>
      <c r="AX292" s="82" t="s">
        <v>15744</v>
      </c>
      <c r="AY292" s="82" t="s">
        <v>15919</v>
      </c>
      <c r="AZ292" s="82" t="s">
        <v>15744</v>
      </c>
      <c r="BA292" s="82" t="s">
        <v>11998</v>
      </c>
      <c r="BB292" s="82" t="s">
        <v>15984</v>
      </c>
      <c r="BC292" s="82" t="s">
        <v>15744</v>
      </c>
      <c r="BD292" s="77">
        <v>311075294</v>
      </c>
      <c r="BE292" s="77"/>
      <c r="BF292" s="77"/>
      <c r="BG292" s="77"/>
      <c r="BH292" s="77"/>
      <c r="BI292" s="77"/>
    </row>
    <row r="293" spans="1:61" x14ac:dyDescent="0.25">
      <c r="A293" s="62" t="s">
        <v>314</v>
      </c>
      <c r="B293" s="62" t="s">
        <v>765</v>
      </c>
      <c r="C293" s="63"/>
      <c r="D293" s="64"/>
      <c r="E293" s="65"/>
      <c r="F293" s="66"/>
      <c r="G293" s="63"/>
      <c r="H293" s="67"/>
      <c r="I293" s="68"/>
      <c r="J293" s="68"/>
      <c r="K293" s="32"/>
      <c r="L293" s="75">
        <v>293</v>
      </c>
      <c r="M293" s="75"/>
      <c r="N293" s="70"/>
      <c r="O293" s="77" t="s">
        <v>898</v>
      </c>
      <c r="P293" s="79">
        <v>45149.467245370368</v>
      </c>
      <c r="Q293" s="77" t="s">
        <v>1179</v>
      </c>
      <c r="R293" s="77">
        <v>12</v>
      </c>
      <c r="S293" s="77">
        <v>140</v>
      </c>
      <c r="T293" s="77">
        <v>4</v>
      </c>
      <c r="U293" s="77">
        <v>1</v>
      </c>
      <c r="V293" s="77">
        <v>6240</v>
      </c>
      <c r="W293" s="77"/>
      <c r="X293" s="77"/>
      <c r="Y293" s="77"/>
      <c r="Z293" s="77" t="s">
        <v>765</v>
      </c>
      <c r="AA293" s="77"/>
      <c r="AB293" s="77"/>
      <c r="AC293" s="82" t="s">
        <v>7752</v>
      </c>
      <c r="AD293" s="77" t="s">
        <v>7795</v>
      </c>
      <c r="AE293" s="80" t="str">
        <f>HYPERLINK("https://twitter.com/massimopoli/status/1689958043583234048")</f>
        <v>https://twitter.com/massimopoli/status/1689958043583234048</v>
      </c>
      <c r="AF293" s="79">
        <v>45149.467245370368</v>
      </c>
      <c r="AG293" s="85">
        <v>45149</v>
      </c>
      <c r="AH293" s="82" t="s">
        <v>8066</v>
      </c>
      <c r="AI293" s="77"/>
      <c r="AJ293" s="77" t="s">
        <v>10564</v>
      </c>
      <c r="AK293" s="77" t="s">
        <v>10572</v>
      </c>
      <c r="AL293" s="77" t="s">
        <v>10576</v>
      </c>
      <c r="AM293" s="77" t="s">
        <v>10582</v>
      </c>
      <c r="AN293" s="77" t="s">
        <v>10593</v>
      </c>
      <c r="AO293" s="77" t="s">
        <v>10603</v>
      </c>
      <c r="AP293" s="77" t="s">
        <v>10609</v>
      </c>
      <c r="AQ293" s="77"/>
      <c r="AR293" s="77"/>
      <c r="AS293" s="77"/>
      <c r="AT293" s="77"/>
      <c r="AU293" s="77"/>
      <c r="AV293" s="80" t="str">
        <f>HYPERLINK("https://pbs.twimg.com/profile_images/1560322817538899971/-F4UkFrn_normal.jpg")</f>
        <v>https://pbs.twimg.com/profile_images/1560322817538899971/-F4UkFrn_normal.jpg</v>
      </c>
      <c r="AW293" s="82" t="s">
        <v>11998</v>
      </c>
      <c r="AX293" s="82" t="s">
        <v>15745</v>
      </c>
      <c r="AY293" s="82" t="s">
        <v>15920</v>
      </c>
      <c r="AZ293" s="82" t="s">
        <v>15745</v>
      </c>
      <c r="BA293" s="82" t="s">
        <v>15984</v>
      </c>
      <c r="BB293" s="82" t="s">
        <v>15984</v>
      </c>
      <c r="BC293" s="82" t="s">
        <v>15745</v>
      </c>
      <c r="BD293" s="77">
        <v>311075294</v>
      </c>
      <c r="BE293" s="77"/>
      <c r="BF293" s="77"/>
      <c r="BG293" s="77"/>
      <c r="BH293" s="77"/>
      <c r="BI293" s="77"/>
    </row>
    <row r="294" spans="1:61" x14ac:dyDescent="0.25">
      <c r="A294" s="62" t="s">
        <v>314</v>
      </c>
      <c r="B294" s="62" t="s">
        <v>314</v>
      </c>
      <c r="C294" s="63"/>
      <c r="D294" s="64"/>
      <c r="E294" s="65"/>
      <c r="F294" s="66"/>
      <c r="G294" s="63"/>
      <c r="H294" s="67"/>
      <c r="I294" s="68"/>
      <c r="J294" s="68"/>
      <c r="K294" s="32"/>
      <c r="L294" s="75">
        <v>294</v>
      </c>
      <c r="M294" s="75"/>
      <c r="N294" s="70"/>
      <c r="O294" s="77" t="s">
        <v>896</v>
      </c>
      <c r="P294" s="79">
        <v>45150.290162037039</v>
      </c>
      <c r="Q294" s="77" t="s">
        <v>1178</v>
      </c>
      <c r="R294" s="77">
        <v>0</v>
      </c>
      <c r="S294" s="77">
        <v>0</v>
      </c>
      <c r="T294" s="77">
        <v>0</v>
      </c>
      <c r="U294" s="77">
        <v>0</v>
      </c>
      <c r="V294" s="77">
        <v>4</v>
      </c>
      <c r="W294" s="82" t="s">
        <v>4861</v>
      </c>
      <c r="X294" s="77"/>
      <c r="Y294" s="77"/>
      <c r="Z294" s="77" t="s">
        <v>764</v>
      </c>
      <c r="AA294" s="77"/>
      <c r="AB294" s="77"/>
      <c r="AC294" s="82" t="s">
        <v>7752</v>
      </c>
      <c r="AD294" s="77" t="s">
        <v>7795</v>
      </c>
      <c r="AE294" s="80" t="str">
        <f>HYPERLINK("https://twitter.com/massimopoli/status/1690256261701378048")</f>
        <v>https://twitter.com/massimopoli/status/1690256261701378048</v>
      </c>
      <c r="AF294" s="79">
        <v>45150.290162037039</v>
      </c>
      <c r="AG294" s="85">
        <v>45150</v>
      </c>
      <c r="AH294" s="82" t="s">
        <v>8065</v>
      </c>
      <c r="AI294" s="77"/>
      <c r="AJ294" s="77" t="s">
        <v>10564</v>
      </c>
      <c r="AK294" s="77" t="s">
        <v>10572</v>
      </c>
      <c r="AL294" s="77" t="s">
        <v>10576</v>
      </c>
      <c r="AM294" s="77" t="s">
        <v>10582</v>
      </c>
      <c r="AN294" s="77" t="s">
        <v>10593</v>
      </c>
      <c r="AO294" s="77" t="s">
        <v>10603</v>
      </c>
      <c r="AP294" s="77" t="s">
        <v>10609</v>
      </c>
      <c r="AQ294" s="77"/>
      <c r="AR294" s="77"/>
      <c r="AS294" s="77"/>
      <c r="AT294" s="77"/>
      <c r="AU294" s="77"/>
      <c r="AV294" s="80" t="str">
        <f>HYPERLINK("https://pbs.twimg.com/profile_images/1560322817538899971/-F4UkFrn_normal.jpg")</f>
        <v>https://pbs.twimg.com/profile_images/1560322817538899971/-F4UkFrn_normal.jpg</v>
      </c>
      <c r="AW294" s="82" t="s">
        <v>11997</v>
      </c>
      <c r="AX294" s="82" t="s">
        <v>15744</v>
      </c>
      <c r="AY294" s="82" t="s">
        <v>15919</v>
      </c>
      <c r="AZ294" s="82" t="s">
        <v>15744</v>
      </c>
      <c r="BA294" s="82" t="s">
        <v>11998</v>
      </c>
      <c r="BB294" s="82" t="s">
        <v>15984</v>
      </c>
      <c r="BC294" s="82" t="s">
        <v>15744</v>
      </c>
      <c r="BD294" s="77">
        <v>311075294</v>
      </c>
      <c r="BE294" s="77"/>
      <c r="BF294" s="77"/>
      <c r="BG294" s="77"/>
      <c r="BH294" s="77"/>
      <c r="BI294" s="77"/>
    </row>
    <row r="295" spans="1:61" x14ac:dyDescent="0.25">
      <c r="A295" s="62" t="s">
        <v>315</v>
      </c>
      <c r="B295" s="62" t="s">
        <v>614</v>
      </c>
      <c r="C295" s="63"/>
      <c r="D295" s="64"/>
      <c r="E295" s="65"/>
      <c r="F295" s="66"/>
      <c r="G295" s="63"/>
      <c r="H295" s="67"/>
      <c r="I295" s="68"/>
      <c r="J295" s="68"/>
      <c r="K295" s="32"/>
      <c r="L295" s="75">
        <v>295</v>
      </c>
      <c r="M295" s="75"/>
      <c r="N295" s="70"/>
      <c r="O295" s="77" t="s">
        <v>897</v>
      </c>
      <c r="P295" s="79">
        <v>45191.507453703707</v>
      </c>
      <c r="Q295" s="77" t="s">
        <v>1035</v>
      </c>
      <c r="R295" s="77">
        <v>4</v>
      </c>
      <c r="S295" s="77">
        <v>0</v>
      </c>
      <c r="T295" s="77">
        <v>0</v>
      </c>
      <c r="U295" s="77">
        <v>0</v>
      </c>
      <c r="V295" s="77"/>
      <c r="W295" s="82" t="s">
        <v>4821</v>
      </c>
      <c r="X295" s="77"/>
      <c r="Y295" s="77"/>
      <c r="Z295" s="77" t="s">
        <v>614</v>
      </c>
      <c r="AA295" s="77"/>
      <c r="AB295" s="77"/>
      <c r="AC295" s="82" t="s">
        <v>7750</v>
      </c>
      <c r="AD295" s="77" t="s">
        <v>7790</v>
      </c>
      <c r="AE295" s="80" t="str">
        <f>HYPERLINK("https://twitter.com/el82ye78/status/1705192906607268320")</f>
        <v>https://twitter.com/el82ye78/status/1705192906607268320</v>
      </c>
      <c r="AF295" s="79">
        <v>45191.507453703707</v>
      </c>
      <c r="AG295" s="85">
        <v>45191</v>
      </c>
      <c r="AH295" s="82" t="s">
        <v>8067</v>
      </c>
      <c r="AI295" s="77" t="b">
        <v>0</v>
      </c>
      <c r="AJ295" s="77"/>
      <c r="AK295" s="77"/>
      <c r="AL295" s="77"/>
      <c r="AM295" s="77"/>
      <c r="AN295" s="77"/>
      <c r="AO295" s="77"/>
      <c r="AP295" s="77"/>
      <c r="AQ295" s="77"/>
      <c r="AR295" s="77"/>
      <c r="AS295" s="77"/>
      <c r="AT295" s="77"/>
      <c r="AU295" s="77"/>
      <c r="AV295" s="80" t="str">
        <f>HYPERLINK("https://pbs.twimg.com/profile_images/1309137982411206656/w0KdKLTc_normal.jpg")</f>
        <v>https://pbs.twimg.com/profile_images/1309137982411206656/w0KdKLTc_normal.jpg</v>
      </c>
      <c r="AW295" s="82" t="s">
        <v>11999</v>
      </c>
      <c r="AX295" s="82" t="s">
        <v>11999</v>
      </c>
      <c r="AY295" s="77"/>
      <c r="AZ295" s="82" t="s">
        <v>15984</v>
      </c>
      <c r="BA295" s="82" t="s">
        <v>15984</v>
      </c>
      <c r="BB295" s="82" t="s">
        <v>13021</v>
      </c>
      <c r="BC295" s="82" t="s">
        <v>13021</v>
      </c>
      <c r="BD295" s="82" t="s">
        <v>16155</v>
      </c>
      <c r="BE295" s="77"/>
      <c r="BF295" s="77"/>
      <c r="BG295" s="77"/>
      <c r="BH295" s="77"/>
      <c r="BI295" s="77"/>
    </row>
    <row r="296" spans="1:61" x14ac:dyDescent="0.25">
      <c r="A296" s="62" t="s">
        <v>316</v>
      </c>
      <c r="B296" s="62" t="s">
        <v>316</v>
      </c>
      <c r="C296" s="63"/>
      <c r="D296" s="64"/>
      <c r="E296" s="65"/>
      <c r="F296" s="66"/>
      <c r="G296" s="63"/>
      <c r="H296" s="67"/>
      <c r="I296" s="68"/>
      <c r="J296" s="68"/>
      <c r="K296" s="32"/>
      <c r="L296" s="75">
        <v>296</v>
      </c>
      <c r="M296" s="75"/>
      <c r="N296" s="70"/>
      <c r="O296" s="77" t="s">
        <v>179</v>
      </c>
      <c r="P296" s="79">
        <v>45125.799421296295</v>
      </c>
      <c r="Q296" s="77" t="s">
        <v>1180</v>
      </c>
      <c r="R296" s="77">
        <v>0</v>
      </c>
      <c r="S296" s="77">
        <v>1</v>
      </c>
      <c r="T296" s="77">
        <v>0</v>
      </c>
      <c r="U296" s="77">
        <v>0</v>
      </c>
      <c r="V296" s="77">
        <v>157</v>
      </c>
      <c r="W296" s="82" t="s">
        <v>4982</v>
      </c>
      <c r="X296" s="80" t="str">
        <f>HYPERLINK("https://www.diarinho.net/materia/645393/Empresa-fundada-em-BC-ganha-licenca-pra-atuar-como-corretora-de-valores-")</f>
        <v>https://www.diarinho.net/materia/645393/Empresa-fundada-em-BC-ganha-licenca-pra-atuar-como-corretora-de-valores-</v>
      </c>
      <c r="Y296" s="77" t="s">
        <v>6493</v>
      </c>
      <c r="Z296" s="77"/>
      <c r="AA296" s="77"/>
      <c r="AB296" s="77"/>
      <c r="AC296" s="82" t="s">
        <v>7750</v>
      </c>
      <c r="AD296" s="77" t="s">
        <v>7788</v>
      </c>
      <c r="AE296" s="80" t="str">
        <f>HYPERLINK("https://twitter.com/diarinho/status/1681381112591925248")</f>
        <v>https://twitter.com/diarinho/status/1681381112591925248</v>
      </c>
      <c r="AF296" s="79">
        <v>45125.799421296295</v>
      </c>
      <c r="AG296" s="85">
        <v>45125</v>
      </c>
      <c r="AH296" s="82" t="s">
        <v>8068</v>
      </c>
      <c r="AI296" s="77" t="b">
        <v>1</v>
      </c>
      <c r="AJ296" s="77"/>
      <c r="AK296" s="77"/>
      <c r="AL296" s="77"/>
      <c r="AM296" s="77"/>
      <c r="AN296" s="77"/>
      <c r="AO296" s="77"/>
      <c r="AP296" s="77"/>
      <c r="AQ296" s="77"/>
      <c r="AR296" s="77"/>
      <c r="AS296" s="77"/>
      <c r="AT296" s="77"/>
      <c r="AU296" s="77"/>
      <c r="AV296" s="80" t="str">
        <f>HYPERLINK("https://pbs.twimg.com/profile_images/804299616/dalmo-com-a-corneta_normal.jpg")</f>
        <v>https://pbs.twimg.com/profile_images/804299616/dalmo-com-a-corneta_normal.jpg</v>
      </c>
      <c r="AW296" s="82" t="s">
        <v>12000</v>
      </c>
      <c r="AX296" s="82" t="s">
        <v>12000</v>
      </c>
      <c r="AY296" s="77"/>
      <c r="AZ296" s="82" t="s">
        <v>15984</v>
      </c>
      <c r="BA296" s="82" t="s">
        <v>15984</v>
      </c>
      <c r="BB296" s="82" t="s">
        <v>15984</v>
      </c>
      <c r="BC296" s="82" t="s">
        <v>12000</v>
      </c>
      <c r="BD296" s="77">
        <v>17598409</v>
      </c>
      <c r="BE296" s="77"/>
      <c r="BF296" s="77"/>
      <c r="BG296" s="77"/>
      <c r="BH296" s="77"/>
      <c r="BI296" s="77"/>
    </row>
    <row r="297" spans="1:61" x14ac:dyDescent="0.25">
      <c r="A297" s="62" t="s">
        <v>317</v>
      </c>
      <c r="B297" s="62" t="s">
        <v>317</v>
      </c>
      <c r="C297" s="63"/>
      <c r="D297" s="64"/>
      <c r="E297" s="65"/>
      <c r="F297" s="66"/>
      <c r="G297" s="63"/>
      <c r="H297" s="67"/>
      <c r="I297" s="68"/>
      <c r="J297" s="68"/>
      <c r="K297" s="32"/>
      <c r="L297" s="75">
        <v>297</v>
      </c>
      <c r="M297" s="75"/>
      <c r="N297" s="70"/>
      <c r="O297" s="77" t="s">
        <v>179</v>
      </c>
      <c r="P297" s="79">
        <v>45169.680798611109</v>
      </c>
      <c r="Q297" s="77" t="s">
        <v>1181</v>
      </c>
      <c r="R297" s="77">
        <v>2</v>
      </c>
      <c r="S297" s="77">
        <v>1</v>
      </c>
      <c r="T297" s="77">
        <v>0</v>
      </c>
      <c r="U297" s="77">
        <v>0</v>
      </c>
      <c r="V297" s="77">
        <v>35</v>
      </c>
      <c r="W297" s="82" t="s">
        <v>4983</v>
      </c>
      <c r="X297" s="80" t="str">
        <f>HYPERLINK("https://www.fumep.edu.br/post/palestra-investimentos-e-mercado-financeiro")</f>
        <v>https://www.fumep.edu.br/post/palestra-investimentos-e-mercado-financeiro</v>
      </c>
      <c r="Y297" s="77" t="s">
        <v>6494</v>
      </c>
      <c r="Z297" s="77"/>
      <c r="AA297" s="77" t="s">
        <v>6797</v>
      </c>
      <c r="AB297" s="77" t="s">
        <v>7742</v>
      </c>
      <c r="AC297" s="82" t="s">
        <v>7750</v>
      </c>
      <c r="AD297" s="77" t="s">
        <v>7788</v>
      </c>
      <c r="AE297" s="80" t="str">
        <f>HYPERLINK("https://twitter.com/eep_fumep/status/1697283189884985393")</f>
        <v>https://twitter.com/eep_fumep/status/1697283189884985393</v>
      </c>
      <c r="AF297" s="79">
        <v>45169.680798611109</v>
      </c>
      <c r="AG297" s="85">
        <v>45169</v>
      </c>
      <c r="AH297" s="82" t="s">
        <v>8069</v>
      </c>
      <c r="AI297" s="77" t="b">
        <v>0</v>
      </c>
      <c r="AJ297" s="77"/>
      <c r="AK297" s="77"/>
      <c r="AL297" s="77"/>
      <c r="AM297" s="77"/>
      <c r="AN297" s="77"/>
      <c r="AO297" s="77"/>
      <c r="AP297" s="77"/>
      <c r="AQ297" s="77" t="s">
        <v>10769</v>
      </c>
      <c r="AR297" s="77"/>
      <c r="AS297" s="77"/>
      <c r="AT297" s="77"/>
      <c r="AU297" s="77"/>
      <c r="AV297" s="80" t="str">
        <f>HYPERLINK("https://pbs.twimg.com/media/F4318_3XMAA78mu.jpg")</f>
        <v>https://pbs.twimg.com/media/F4318_3XMAA78mu.jpg</v>
      </c>
      <c r="AW297" s="82" t="s">
        <v>12001</v>
      </c>
      <c r="AX297" s="82" t="s">
        <v>12001</v>
      </c>
      <c r="AY297" s="77"/>
      <c r="AZ297" s="82" t="s">
        <v>15984</v>
      </c>
      <c r="BA297" s="82" t="s">
        <v>15984</v>
      </c>
      <c r="BB297" s="82" t="s">
        <v>15984</v>
      </c>
      <c r="BC297" s="82" t="s">
        <v>12001</v>
      </c>
      <c r="BD297" s="82" t="s">
        <v>16156</v>
      </c>
      <c r="BE297" s="77"/>
      <c r="BF297" s="77"/>
      <c r="BG297" s="77"/>
      <c r="BH297" s="77"/>
      <c r="BI297" s="77"/>
    </row>
    <row r="298" spans="1:61" x14ac:dyDescent="0.25">
      <c r="A298" s="62" t="s">
        <v>318</v>
      </c>
      <c r="B298" s="62" t="s">
        <v>318</v>
      </c>
      <c r="C298" s="63"/>
      <c r="D298" s="64"/>
      <c r="E298" s="65"/>
      <c r="F298" s="66"/>
      <c r="G298" s="63"/>
      <c r="H298" s="67"/>
      <c r="I298" s="68"/>
      <c r="J298" s="68"/>
      <c r="K298" s="32"/>
      <c r="L298" s="75">
        <v>298</v>
      </c>
      <c r="M298" s="75"/>
      <c r="N298" s="70"/>
      <c r="O298" s="77" t="s">
        <v>179</v>
      </c>
      <c r="P298" s="79">
        <v>45118.771562499998</v>
      </c>
      <c r="Q298" s="77" t="s">
        <v>1182</v>
      </c>
      <c r="R298" s="77">
        <v>0</v>
      </c>
      <c r="S298" s="77">
        <v>0</v>
      </c>
      <c r="T298" s="77">
        <v>0</v>
      </c>
      <c r="U298" s="77">
        <v>0</v>
      </c>
      <c r="V298" s="77">
        <v>2</v>
      </c>
      <c r="W298" s="82" t="s">
        <v>4984</v>
      </c>
      <c r="X298" s="77"/>
      <c r="Y298" s="77"/>
      <c r="Z298" s="77"/>
      <c r="AA298" s="77"/>
      <c r="AB298" s="77"/>
      <c r="AC298" s="82" t="s">
        <v>7750</v>
      </c>
      <c r="AD298" s="77" t="s">
        <v>7789</v>
      </c>
      <c r="AE298" s="80" t="str">
        <f>HYPERLINK("https://twitter.com/keyfallent/status/1678834302040043536")</f>
        <v>https://twitter.com/keyfallent/status/1678834302040043536</v>
      </c>
      <c r="AF298" s="79">
        <v>45118.771562499998</v>
      </c>
      <c r="AG298" s="85">
        <v>45118</v>
      </c>
      <c r="AH298" s="82" t="s">
        <v>8070</v>
      </c>
      <c r="AI298" s="77"/>
      <c r="AJ298" s="77"/>
      <c r="AK298" s="77"/>
      <c r="AL298" s="77"/>
      <c r="AM298" s="77"/>
      <c r="AN298" s="77"/>
      <c r="AO298" s="77"/>
      <c r="AP298" s="77"/>
      <c r="AQ298" s="77"/>
      <c r="AR298" s="77"/>
      <c r="AS298" s="77"/>
      <c r="AT298" s="77"/>
      <c r="AU298" s="77"/>
      <c r="AV298" s="80" t="str">
        <f>HYPERLINK("https://pbs.twimg.com/profile_images/1675963250465288192/BtFKOzI6_normal.jpg")</f>
        <v>https://pbs.twimg.com/profile_images/1675963250465288192/BtFKOzI6_normal.jpg</v>
      </c>
      <c r="AW298" s="82" t="s">
        <v>12002</v>
      </c>
      <c r="AX298" s="82" t="s">
        <v>12002</v>
      </c>
      <c r="AY298" s="77"/>
      <c r="AZ298" s="82" t="s">
        <v>15984</v>
      </c>
      <c r="BA298" s="82" t="s">
        <v>15984</v>
      </c>
      <c r="BB298" s="82" t="s">
        <v>15984</v>
      </c>
      <c r="BC298" s="82" t="s">
        <v>12002</v>
      </c>
      <c r="BD298" s="77">
        <v>231700444</v>
      </c>
      <c r="BE298" s="77"/>
      <c r="BF298" s="77"/>
      <c r="BG298" s="77"/>
      <c r="BH298" s="77"/>
      <c r="BI298" s="77"/>
    </row>
    <row r="299" spans="1:61" x14ac:dyDescent="0.25">
      <c r="A299" s="62" t="s">
        <v>319</v>
      </c>
      <c r="B299" s="62" t="s">
        <v>319</v>
      </c>
      <c r="C299" s="63"/>
      <c r="D299" s="64"/>
      <c r="E299" s="65"/>
      <c r="F299" s="66"/>
      <c r="G299" s="63"/>
      <c r="H299" s="67"/>
      <c r="I299" s="68"/>
      <c r="J299" s="68"/>
      <c r="K299" s="32"/>
      <c r="L299" s="75">
        <v>299</v>
      </c>
      <c r="M299" s="75"/>
      <c r="N299" s="70"/>
      <c r="O299" s="77" t="s">
        <v>179</v>
      </c>
      <c r="P299" s="79">
        <v>45128.349178240744</v>
      </c>
      <c r="Q299" s="77" t="s">
        <v>1183</v>
      </c>
      <c r="R299" s="77">
        <v>0</v>
      </c>
      <c r="S299" s="77">
        <v>0</v>
      </c>
      <c r="T299" s="77">
        <v>0</v>
      </c>
      <c r="U299" s="77">
        <v>0</v>
      </c>
      <c r="V299" s="77">
        <v>19</v>
      </c>
      <c r="W299" s="82" t="s">
        <v>4985</v>
      </c>
      <c r="X299" s="80" t="str">
        <f>HYPERLINK("https://vm.tiktok.com/ZM2qCNcD6/")</f>
        <v>https://vm.tiktok.com/ZM2qCNcD6/</v>
      </c>
      <c r="Y299" s="77" t="s">
        <v>6495</v>
      </c>
      <c r="Z299" s="77"/>
      <c r="AA299" s="77"/>
      <c r="AB299" s="77"/>
      <c r="AC299" s="82" t="s">
        <v>7751</v>
      </c>
      <c r="AD299" s="77" t="s">
        <v>7788</v>
      </c>
      <c r="AE299" s="80" t="str">
        <f>HYPERLINK("https://twitter.com/keynesionomia/status/1682305112465633281")</f>
        <v>https://twitter.com/keynesionomia/status/1682305112465633281</v>
      </c>
      <c r="AF299" s="79">
        <v>45128.349178240744</v>
      </c>
      <c r="AG299" s="85">
        <v>45128</v>
      </c>
      <c r="AH299" s="82" t="s">
        <v>8071</v>
      </c>
      <c r="AI299" s="77" t="b">
        <v>0</v>
      </c>
      <c r="AJ299" s="77"/>
      <c r="AK299" s="77"/>
      <c r="AL299" s="77"/>
      <c r="AM299" s="77"/>
      <c r="AN299" s="77"/>
      <c r="AO299" s="77"/>
      <c r="AP299" s="77"/>
      <c r="AQ299" s="77"/>
      <c r="AR299" s="77"/>
      <c r="AS299" s="77"/>
      <c r="AT299" s="77"/>
      <c r="AU299" s="77"/>
      <c r="AV299" s="80" t="str">
        <f>HYPERLINK("https://pbs.twimg.com/profile_images/1681886401225162753/GHU6ie80_normal.jpg")</f>
        <v>https://pbs.twimg.com/profile_images/1681886401225162753/GHU6ie80_normal.jpg</v>
      </c>
      <c r="AW299" s="82" t="s">
        <v>12003</v>
      </c>
      <c r="AX299" s="82" t="s">
        <v>12003</v>
      </c>
      <c r="AY299" s="77"/>
      <c r="AZ299" s="82" t="s">
        <v>15984</v>
      </c>
      <c r="BA299" s="82" t="s">
        <v>15984</v>
      </c>
      <c r="BB299" s="82" t="s">
        <v>15984</v>
      </c>
      <c r="BC299" s="82" t="s">
        <v>12003</v>
      </c>
      <c r="BD299" s="82" t="s">
        <v>16157</v>
      </c>
      <c r="BE299" s="77"/>
      <c r="BF299" s="77"/>
      <c r="BG299" s="77"/>
      <c r="BH299" s="77"/>
      <c r="BI299" s="77"/>
    </row>
    <row r="300" spans="1:61" x14ac:dyDescent="0.25">
      <c r="A300" s="62" t="s">
        <v>320</v>
      </c>
      <c r="B300" s="62" t="s">
        <v>320</v>
      </c>
      <c r="C300" s="63"/>
      <c r="D300" s="64"/>
      <c r="E300" s="65"/>
      <c r="F300" s="66"/>
      <c r="G300" s="63"/>
      <c r="H300" s="67"/>
      <c r="I300" s="68"/>
      <c r="J300" s="68"/>
      <c r="K300" s="32"/>
      <c r="L300" s="75">
        <v>300</v>
      </c>
      <c r="M300" s="75"/>
      <c r="N300" s="70"/>
      <c r="O300" s="77" t="s">
        <v>898</v>
      </c>
      <c r="P300" s="79">
        <v>45134.073645833334</v>
      </c>
      <c r="Q300" s="77" t="s">
        <v>1184</v>
      </c>
      <c r="R300" s="77">
        <v>0</v>
      </c>
      <c r="S300" s="77">
        <v>0</v>
      </c>
      <c r="T300" s="77">
        <v>1</v>
      </c>
      <c r="U300" s="77">
        <v>0</v>
      </c>
      <c r="V300" s="77">
        <v>39</v>
      </c>
      <c r="W300" s="82" t="s">
        <v>4986</v>
      </c>
      <c r="X300" s="77"/>
      <c r="Y300" s="77"/>
      <c r="Z300" s="77"/>
      <c r="AA300" s="77"/>
      <c r="AB300" s="77"/>
      <c r="AC300" s="82" t="s">
        <v>7750</v>
      </c>
      <c r="AD300" s="77" t="s">
        <v>7796</v>
      </c>
      <c r="AE300" s="80" t="str">
        <f>HYPERLINK("https://twitter.com/ayronferreira/status/1684379591211732992")</f>
        <v>https://twitter.com/ayronferreira/status/1684379591211732992</v>
      </c>
      <c r="AF300" s="79">
        <v>45134.073645833334</v>
      </c>
      <c r="AG300" s="85">
        <v>45134</v>
      </c>
      <c r="AH300" s="82" t="s">
        <v>8072</v>
      </c>
      <c r="AI300" s="77"/>
      <c r="AJ300" s="77"/>
      <c r="AK300" s="77"/>
      <c r="AL300" s="77"/>
      <c r="AM300" s="77"/>
      <c r="AN300" s="77"/>
      <c r="AO300" s="77"/>
      <c r="AP300" s="77"/>
      <c r="AQ300" s="77"/>
      <c r="AR300" s="77"/>
      <c r="AS300" s="77"/>
      <c r="AT300" s="77"/>
      <c r="AU300" s="77"/>
      <c r="AV300" s="80" t="str">
        <f>HYPERLINK("https://pbs.twimg.com/profile_images/1323758908658298882/79Ji5FBc_normal.jpg")</f>
        <v>https://pbs.twimg.com/profile_images/1323758908658298882/79Ji5FBc_normal.jpg</v>
      </c>
      <c r="AW300" s="82" t="s">
        <v>12004</v>
      </c>
      <c r="AX300" s="82" t="s">
        <v>15746</v>
      </c>
      <c r="AY300" s="82" t="s">
        <v>15921</v>
      </c>
      <c r="AZ300" s="82" t="s">
        <v>15990</v>
      </c>
      <c r="BA300" s="82" t="s">
        <v>15984</v>
      </c>
      <c r="BB300" s="82" t="s">
        <v>15984</v>
      </c>
      <c r="BC300" s="82" t="s">
        <v>15990</v>
      </c>
      <c r="BD300" s="77">
        <v>190292183</v>
      </c>
      <c r="BE300" s="77"/>
      <c r="BF300" s="77"/>
      <c r="BG300" s="77"/>
      <c r="BH300" s="77"/>
      <c r="BI300" s="77"/>
    </row>
    <row r="301" spans="1:61" x14ac:dyDescent="0.25">
      <c r="A301" s="62" t="s">
        <v>321</v>
      </c>
      <c r="B301" s="62" t="s">
        <v>321</v>
      </c>
      <c r="C301" s="63"/>
      <c r="D301" s="64"/>
      <c r="E301" s="65"/>
      <c r="F301" s="66"/>
      <c r="G301" s="63"/>
      <c r="H301" s="67"/>
      <c r="I301" s="68"/>
      <c r="J301" s="68"/>
      <c r="K301" s="32"/>
      <c r="L301" s="75">
        <v>301</v>
      </c>
      <c r="M301" s="75"/>
      <c r="N301" s="70"/>
      <c r="O301" s="77" t="s">
        <v>179</v>
      </c>
      <c r="P301" s="79">
        <v>45196.688206018516</v>
      </c>
      <c r="Q301" s="77" t="s">
        <v>1185</v>
      </c>
      <c r="R301" s="77">
        <v>0</v>
      </c>
      <c r="S301" s="77">
        <v>0</v>
      </c>
      <c r="T301" s="77">
        <v>0</v>
      </c>
      <c r="U301" s="77">
        <v>0</v>
      </c>
      <c r="V301" s="77">
        <v>11</v>
      </c>
      <c r="W301" s="82" t="s">
        <v>4987</v>
      </c>
      <c r="X301" s="80" t="str">
        <f>HYPERLINK("https://www.optiondigital.com.br")</f>
        <v>https://www.optiondigital.com.br</v>
      </c>
      <c r="Y301" s="77" t="s">
        <v>6470</v>
      </c>
      <c r="Z301" s="77"/>
      <c r="AA301" s="77" t="s">
        <v>6798</v>
      </c>
      <c r="AB301" s="77" t="s">
        <v>7743</v>
      </c>
      <c r="AC301" s="82" t="s">
        <v>7751</v>
      </c>
      <c r="AD301" s="77" t="s">
        <v>7788</v>
      </c>
      <c r="AE301" s="80" t="str">
        <f>HYPERLINK("https://twitter.com/edsonderiv/status/1707070346321428870")</f>
        <v>https://twitter.com/edsonderiv/status/1707070346321428870</v>
      </c>
      <c r="AF301" s="79">
        <v>45196.688206018516</v>
      </c>
      <c r="AG301" s="85">
        <v>45196</v>
      </c>
      <c r="AH301" s="82" t="s">
        <v>8073</v>
      </c>
      <c r="AI301" s="77" t="b">
        <v>0</v>
      </c>
      <c r="AJ301" s="77"/>
      <c r="AK301" s="77"/>
      <c r="AL301" s="77"/>
      <c r="AM301" s="77"/>
      <c r="AN301" s="77"/>
      <c r="AO301" s="77"/>
      <c r="AP301" s="77"/>
      <c r="AQ301" s="77" t="s">
        <v>10770</v>
      </c>
      <c r="AR301" s="77">
        <v>37265</v>
      </c>
      <c r="AS301" s="77"/>
      <c r="AT301" s="77"/>
      <c r="AU301" s="77"/>
      <c r="AV301" s="80" t="str">
        <f>HYPERLINK("https://pbs.twimg.com/ext_tw_video_thumb/1707070275089473536/pu/img/JeAwFlrVB0AihGMc.jpg")</f>
        <v>https://pbs.twimg.com/ext_tw_video_thumb/1707070275089473536/pu/img/JeAwFlrVB0AihGMc.jpg</v>
      </c>
      <c r="AW301" s="82" t="s">
        <v>12005</v>
      </c>
      <c r="AX301" s="82" t="s">
        <v>12005</v>
      </c>
      <c r="AY301" s="77"/>
      <c r="AZ301" s="82" t="s">
        <v>15984</v>
      </c>
      <c r="BA301" s="82" t="s">
        <v>15984</v>
      </c>
      <c r="BB301" s="82" t="s">
        <v>15984</v>
      </c>
      <c r="BC301" s="82" t="s">
        <v>12005</v>
      </c>
      <c r="BD301" s="82" t="s">
        <v>16158</v>
      </c>
      <c r="BE301" s="77"/>
      <c r="BF301" s="77"/>
      <c r="BG301" s="77"/>
      <c r="BH301" s="77"/>
      <c r="BI301" s="77"/>
    </row>
    <row r="302" spans="1:61" x14ac:dyDescent="0.25">
      <c r="A302" s="62" t="s">
        <v>322</v>
      </c>
      <c r="B302" s="62" t="s">
        <v>568</v>
      </c>
      <c r="C302" s="63"/>
      <c r="D302" s="64"/>
      <c r="E302" s="65"/>
      <c r="F302" s="66"/>
      <c r="G302" s="63"/>
      <c r="H302" s="67"/>
      <c r="I302" s="68"/>
      <c r="J302" s="68"/>
      <c r="K302" s="32"/>
      <c r="L302" s="75">
        <v>302</v>
      </c>
      <c r="M302" s="75"/>
      <c r="N302" s="70"/>
      <c r="O302" s="77" t="s">
        <v>897</v>
      </c>
      <c r="P302" s="79">
        <v>45194.528217592589</v>
      </c>
      <c r="Q302" s="77" t="s">
        <v>1186</v>
      </c>
      <c r="R302" s="77">
        <v>1</v>
      </c>
      <c r="S302" s="77">
        <v>0</v>
      </c>
      <c r="T302" s="77">
        <v>0</v>
      </c>
      <c r="U302" s="77">
        <v>0</v>
      </c>
      <c r="V302" s="77"/>
      <c r="W302" s="77"/>
      <c r="X302" s="77"/>
      <c r="Y302" s="77"/>
      <c r="Z302" s="77" t="s">
        <v>568</v>
      </c>
      <c r="AA302" s="77"/>
      <c r="AB302" s="77"/>
      <c r="AC302" s="82" t="s">
        <v>7750</v>
      </c>
      <c r="AD302" s="77" t="s">
        <v>7788</v>
      </c>
      <c r="AE302" s="80" t="str">
        <f>HYPERLINK("https://twitter.com/falkalertas/status/1706287593510281689")</f>
        <v>https://twitter.com/falkalertas/status/1706287593510281689</v>
      </c>
      <c r="AF302" s="79">
        <v>45194.528217592589</v>
      </c>
      <c r="AG302" s="85">
        <v>45194</v>
      </c>
      <c r="AH302" s="82" t="s">
        <v>8074</v>
      </c>
      <c r="AI302" s="77"/>
      <c r="AJ302" s="77"/>
      <c r="AK302" s="77"/>
      <c r="AL302" s="77"/>
      <c r="AM302" s="77"/>
      <c r="AN302" s="77"/>
      <c r="AO302" s="77"/>
      <c r="AP302" s="77"/>
      <c r="AQ302" s="77"/>
      <c r="AR302" s="77"/>
      <c r="AS302" s="77"/>
      <c r="AT302" s="77"/>
      <c r="AU302" s="77"/>
      <c r="AV302" s="80" t="str">
        <f>HYPERLINK("https://pbs.twimg.com/profile_images/1619161712967434240/ISM2hv8y_normal.png")</f>
        <v>https://pbs.twimg.com/profile_images/1619161712967434240/ISM2hv8y_normal.png</v>
      </c>
      <c r="AW302" s="82" t="s">
        <v>12006</v>
      </c>
      <c r="AX302" s="82" t="s">
        <v>12006</v>
      </c>
      <c r="AY302" s="77"/>
      <c r="AZ302" s="82" t="s">
        <v>15984</v>
      </c>
      <c r="BA302" s="82" t="s">
        <v>15984</v>
      </c>
      <c r="BB302" s="82" t="s">
        <v>12660</v>
      </c>
      <c r="BC302" s="82" t="s">
        <v>12660</v>
      </c>
      <c r="BD302" s="82" t="s">
        <v>16159</v>
      </c>
      <c r="BE302" s="77"/>
      <c r="BF302" s="77"/>
      <c r="BG302" s="77"/>
      <c r="BH302" s="77"/>
      <c r="BI302" s="77"/>
    </row>
    <row r="303" spans="1:61" x14ac:dyDescent="0.25">
      <c r="A303" s="62" t="s">
        <v>323</v>
      </c>
      <c r="B303" s="62" t="s">
        <v>614</v>
      </c>
      <c r="C303" s="63"/>
      <c r="D303" s="64"/>
      <c r="E303" s="65"/>
      <c r="F303" s="66"/>
      <c r="G303" s="63"/>
      <c r="H303" s="67"/>
      <c r="I303" s="68"/>
      <c r="J303" s="68"/>
      <c r="K303" s="32"/>
      <c r="L303" s="75">
        <v>303</v>
      </c>
      <c r="M303" s="75"/>
      <c r="N303" s="70"/>
      <c r="O303" s="77" t="s">
        <v>897</v>
      </c>
      <c r="P303" s="79">
        <v>45188.162430555552</v>
      </c>
      <c r="Q303" s="77" t="s">
        <v>1187</v>
      </c>
      <c r="R303" s="77">
        <v>4</v>
      </c>
      <c r="S303" s="77">
        <v>0</v>
      </c>
      <c r="T303" s="77">
        <v>0</v>
      </c>
      <c r="U303" s="77">
        <v>0</v>
      </c>
      <c r="V303" s="77"/>
      <c r="W303" s="82" t="s">
        <v>4821</v>
      </c>
      <c r="X303" s="77"/>
      <c r="Y303" s="77"/>
      <c r="Z303" s="77" t="s">
        <v>614</v>
      </c>
      <c r="AA303" s="77"/>
      <c r="AB303" s="77"/>
      <c r="AC303" s="82" t="s">
        <v>7750</v>
      </c>
      <c r="AD303" s="77" t="s">
        <v>7790</v>
      </c>
      <c r="AE303" s="80" t="str">
        <f>HYPERLINK("https://twitter.com/jesuisjavi/status/1703980709705040206")</f>
        <v>https://twitter.com/jesuisjavi/status/1703980709705040206</v>
      </c>
      <c r="AF303" s="79">
        <v>45188.162430555552</v>
      </c>
      <c r="AG303" s="85">
        <v>45188</v>
      </c>
      <c r="AH303" s="82" t="s">
        <v>8075</v>
      </c>
      <c r="AI303" s="77"/>
      <c r="AJ303" s="77"/>
      <c r="AK303" s="77"/>
      <c r="AL303" s="77"/>
      <c r="AM303" s="77"/>
      <c r="AN303" s="77"/>
      <c r="AO303" s="77"/>
      <c r="AP303" s="77"/>
      <c r="AQ303" s="77"/>
      <c r="AR303" s="77"/>
      <c r="AS303" s="77"/>
      <c r="AT303" s="77"/>
      <c r="AU303" s="77"/>
      <c r="AV303" s="80" t="str">
        <f>HYPERLINK("https://pbs.twimg.com/profile_images/1703986930399027200/YxMVS9f7_normal.jpg")</f>
        <v>https://pbs.twimg.com/profile_images/1703986930399027200/YxMVS9f7_normal.jpg</v>
      </c>
      <c r="AW303" s="82" t="s">
        <v>12007</v>
      </c>
      <c r="AX303" s="82" t="s">
        <v>12007</v>
      </c>
      <c r="AY303" s="77"/>
      <c r="AZ303" s="82" t="s">
        <v>15984</v>
      </c>
      <c r="BA303" s="82" t="s">
        <v>15984</v>
      </c>
      <c r="BB303" s="82" t="s">
        <v>15334</v>
      </c>
      <c r="BC303" s="82" t="s">
        <v>15334</v>
      </c>
      <c r="BD303" s="82" t="s">
        <v>16160</v>
      </c>
      <c r="BE303" s="77"/>
      <c r="BF303" s="77"/>
      <c r="BG303" s="77"/>
      <c r="BH303" s="77"/>
      <c r="BI303" s="77"/>
    </row>
    <row r="304" spans="1:61" x14ac:dyDescent="0.25">
      <c r="A304" s="62" t="s">
        <v>324</v>
      </c>
      <c r="B304" s="62" t="s">
        <v>324</v>
      </c>
      <c r="C304" s="63"/>
      <c r="D304" s="64"/>
      <c r="E304" s="65"/>
      <c r="F304" s="66"/>
      <c r="G304" s="63"/>
      <c r="H304" s="67"/>
      <c r="I304" s="68"/>
      <c r="J304" s="68"/>
      <c r="K304" s="32"/>
      <c r="L304" s="75">
        <v>304</v>
      </c>
      <c r="M304" s="75"/>
      <c r="N304" s="70"/>
      <c r="O304" s="77" t="s">
        <v>179</v>
      </c>
      <c r="P304" s="79">
        <v>45179.94872685185</v>
      </c>
      <c r="Q304" s="77" t="s">
        <v>1188</v>
      </c>
      <c r="R304" s="77">
        <v>2</v>
      </c>
      <c r="S304" s="77">
        <v>1</v>
      </c>
      <c r="T304" s="77">
        <v>0</v>
      </c>
      <c r="U304" s="77">
        <v>0</v>
      </c>
      <c r="V304" s="77">
        <v>19</v>
      </c>
      <c r="W304" s="82" t="s">
        <v>4988</v>
      </c>
      <c r="X304" s="77"/>
      <c r="Y304" s="77"/>
      <c r="Z304" s="77"/>
      <c r="AA304" s="77" t="s">
        <v>6799</v>
      </c>
      <c r="AB304" s="77" t="s">
        <v>7742</v>
      </c>
      <c r="AC304" s="82" t="s">
        <v>7750</v>
      </c>
      <c r="AD304" s="77" t="s">
        <v>7788</v>
      </c>
      <c r="AE304" s="80" t="str">
        <f>HYPERLINK("https://twitter.com/suportehotdog/status/1701004162522350064")</f>
        <v>https://twitter.com/suportehotdog/status/1701004162522350064</v>
      </c>
      <c r="AF304" s="79">
        <v>45179.94872685185</v>
      </c>
      <c r="AG304" s="85">
        <v>45179</v>
      </c>
      <c r="AH304" s="82" t="s">
        <v>8076</v>
      </c>
      <c r="AI304" s="77" t="b">
        <v>0</v>
      </c>
      <c r="AJ304" s="77"/>
      <c r="AK304" s="77"/>
      <c r="AL304" s="77"/>
      <c r="AM304" s="77"/>
      <c r="AN304" s="77"/>
      <c r="AO304" s="77"/>
      <c r="AP304" s="77"/>
      <c r="AQ304" s="77" t="s">
        <v>10771</v>
      </c>
      <c r="AR304" s="77"/>
      <c r="AS304" s="77"/>
      <c r="AT304" s="77"/>
      <c r="AU304" s="77"/>
      <c r="AV304" s="80" t="str">
        <f>HYPERLINK("https://pbs.twimg.com/media/F5suQiZacAAgeE_.jpg")</f>
        <v>https://pbs.twimg.com/media/F5suQiZacAAgeE_.jpg</v>
      </c>
      <c r="AW304" s="82" t="s">
        <v>12008</v>
      </c>
      <c r="AX304" s="82" t="s">
        <v>12008</v>
      </c>
      <c r="AY304" s="77"/>
      <c r="AZ304" s="82" t="s">
        <v>15984</v>
      </c>
      <c r="BA304" s="82" t="s">
        <v>15984</v>
      </c>
      <c r="BB304" s="82" t="s">
        <v>15984</v>
      </c>
      <c r="BC304" s="82" t="s">
        <v>12008</v>
      </c>
      <c r="BD304" s="82" t="s">
        <v>16161</v>
      </c>
      <c r="BE304" s="77"/>
      <c r="BF304" s="77"/>
      <c r="BG304" s="77"/>
      <c r="BH304" s="77"/>
      <c r="BI304" s="77"/>
    </row>
    <row r="305" spans="1:61" x14ac:dyDescent="0.25">
      <c r="A305" s="62" t="s">
        <v>325</v>
      </c>
      <c r="B305" s="62" t="s">
        <v>324</v>
      </c>
      <c r="C305" s="63"/>
      <c r="D305" s="64"/>
      <c r="E305" s="65"/>
      <c r="F305" s="66"/>
      <c r="G305" s="63"/>
      <c r="H305" s="67"/>
      <c r="I305" s="68"/>
      <c r="J305" s="68"/>
      <c r="K305" s="32"/>
      <c r="L305" s="75">
        <v>305</v>
      </c>
      <c r="M305" s="75"/>
      <c r="N305" s="70"/>
      <c r="O305" s="77" t="s">
        <v>897</v>
      </c>
      <c r="P305" s="79">
        <v>45196.880995370368</v>
      </c>
      <c r="Q305" s="77" t="s">
        <v>1189</v>
      </c>
      <c r="R305" s="77">
        <v>2</v>
      </c>
      <c r="S305" s="77">
        <v>0</v>
      </c>
      <c r="T305" s="77">
        <v>0</v>
      </c>
      <c r="U305" s="77">
        <v>0</v>
      </c>
      <c r="V305" s="77"/>
      <c r="W305" s="82" t="s">
        <v>4989</v>
      </c>
      <c r="X305" s="77"/>
      <c r="Y305" s="77"/>
      <c r="Z305" s="77" t="s">
        <v>324</v>
      </c>
      <c r="AA305" s="77"/>
      <c r="AB305" s="77"/>
      <c r="AC305" s="82" t="s">
        <v>7750</v>
      </c>
      <c r="AD305" s="77" t="s">
        <v>7788</v>
      </c>
      <c r="AE305" s="80" t="str">
        <f>HYPERLINK("https://twitter.com/vellascoofc/status/1707140214638927984")</f>
        <v>https://twitter.com/vellascoofc/status/1707140214638927984</v>
      </c>
      <c r="AF305" s="79">
        <v>45196.880995370368</v>
      </c>
      <c r="AG305" s="85">
        <v>45196</v>
      </c>
      <c r="AH305" s="82" t="s">
        <v>8077</v>
      </c>
      <c r="AI305" s="77"/>
      <c r="AJ305" s="77"/>
      <c r="AK305" s="77"/>
      <c r="AL305" s="77"/>
      <c r="AM305" s="77"/>
      <c r="AN305" s="77"/>
      <c r="AO305" s="77"/>
      <c r="AP305" s="77"/>
      <c r="AQ305" s="77"/>
      <c r="AR305" s="77"/>
      <c r="AS305" s="77"/>
      <c r="AT305" s="77"/>
      <c r="AU305" s="77"/>
      <c r="AV305" s="80" t="str">
        <f>HYPERLINK("https://pbs.twimg.com/profile_images/1598483659241230336/WIXT5Fqb_normal.png")</f>
        <v>https://pbs.twimg.com/profile_images/1598483659241230336/WIXT5Fqb_normal.png</v>
      </c>
      <c r="AW305" s="82" t="s">
        <v>12009</v>
      </c>
      <c r="AX305" s="82" t="s">
        <v>12009</v>
      </c>
      <c r="AY305" s="77"/>
      <c r="AZ305" s="82" t="s">
        <v>15984</v>
      </c>
      <c r="BA305" s="82" t="s">
        <v>15984</v>
      </c>
      <c r="BB305" s="82" t="s">
        <v>12008</v>
      </c>
      <c r="BC305" s="82" t="s">
        <v>12008</v>
      </c>
      <c r="BD305" s="82" t="s">
        <v>16162</v>
      </c>
      <c r="BE305" s="77"/>
      <c r="BF305" s="77"/>
      <c r="BG305" s="77"/>
      <c r="BH305" s="77"/>
      <c r="BI305" s="77"/>
    </row>
    <row r="306" spans="1:61" x14ac:dyDescent="0.25">
      <c r="A306" s="62" t="s">
        <v>326</v>
      </c>
      <c r="B306" s="62" t="s">
        <v>326</v>
      </c>
      <c r="C306" s="63"/>
      <c r="D306" s="64"/>
      <c r="E306" s="65"/>
      <c r="F306" s="66"/>
      <c r="G306" s="63"/>
      <c r="H306" s="67"/>
      <c r="I306" s="68"/>
      <c r="J306" s="68"/>
      <c r="K306" s="32"/>
      <c r="L306" s="75">
        <v>306</v>
      </c>
      <c r="M306" s="75"/>
      <c r="N306" s="70"/>
      <c r="O306" s="77" t="s">
        <v>179</v>
      </c>
      <c r="P306" s="79">
        <v>45127.030069444445</v>
      </c>
      <c r="Q306" s="77" t="s">
        <v>1190</v>
      </c>
      <c r="R306" s="77">
        <v>0</v>
      </c>
      <c r="S306" s="77">
        <v>0</v>
      </c>
      <c r="T306" s="77">
        <v>0</v>
      </c>
      <c r="U306" s="77">
        <v>0</v>
      </c>
      <c r="V306" s="77">
        <v>43</v>
      </c>
      <c r="W306" s="82" t="s">
        <v>4990</v>
      </c>
      <c r="X306" s="77"/>
      <c r="Y306" s="77"/>
      <c r="Z306" s="77"/>
      <c r="AA306" s="77"/>
      <c r="AB306" s="77"/>
      <c r="AC306" s="82" t="s">
        <v>7752</v>
      </c>
      <c r="AD306" s="77" t="s">
        <v>7788</v>
      </c>
      <c r="AE306" s="80" t="str">
        <f>HYPERLINK("https://twitter.com/jarlisonjss/status/1681827085503938560")</f>
        <v>https://twitter.com/jarlisonjss/status/1681827085503938560</v>
      </c>
      <c r="AF306" s="79">
        <v>45127.030069444445</v>
      </c>
      <c r="AG306" s="85">
        <v>45127</v>
      </c>
      <c r="AH306" s="82" t="s">
        <v>8078</v>
      </c>
      <c r="AI306" s="77"/>
      <c r="AJ306" s="77"/>
      <c r="AK306" s="77"/>
      <c r="AL306" s="77"/>
      <c r="AM306" s="77"/>
      <c r="AN306" s="77"/>
      <c r="AO306" s="77"/>
      <c r="AP306" s="77"/>
      <c r="AQ306" s="77"/>
      <c r="AR306" s="77"/>
      <c r="AS306" s="77"/>
      <c r="AT306" s="77"/>
      <c r="AU306" s="77"/>
      <c r="AV306" s="80" t="str">
        <f>HYPERLINK("https://pbs.twimg.com/profile_images/1608485869735796740/WuIPM8qO_normal.jpg")</f>
        <v>https://pbs.twimg.com/profile_images/1608485869735796740/WuIPM8qO_normal.jpg</v>
      </c>
      <c r="AW306" s="82" t="s">
        <v>12010</v>
      </c>
      <c r="AX306" s="82" t="s">
        <v>12010</v>
      </c>
      <c r="AY306" s="77"/>
      <c r="AZ306" s="82" t="s">
        <v>15984</v>
      </c>
      <c r="BA306" s="82" t="s">
        <v>15984</v>
      </c>
      <c r="BB306" s="82" t="s">
        <v>15984</v>
      </c>
      <c r="BC306" s="82" t="s">
        <v>12010</v>
      </c>
      <c r="BD306" s="82" t="s">
        <v>16163</v>
      </c>
      <c r="BE306" s="77"/>
      <c r="BF306" s="77"/>
      <c r="BG306" s="77"/>
      <c r="BH306" s="77"/>
      <c r="BI306" s="77"/>
    </row>
    <row r="307" spans="1:61" x14ac:dyDescent="0.25">
      <c r="A307" s="62" t="s">
        <v>327</v>
      </c>
      <c r="B307" s="62" t="s">
        <v>327</v>
      </c>
      <c r="C307" s="63"/>
      <c r="D307" s="64"/>
      <c r="E307" s="65"/>
      <c r="F307" s="66"/>
      <c r="G307" s="63"/>
      <c r="H307" s="67"/>
      <c r="I307" s="68"/>
      <c r="J307" s="68"/>
      <c r="K307" s="32"/>
      <c r="L307" s="75">
        <v>307</v>
      </c>
      <c r="M307" s="75"/>
      <c r="N307" s="70"/>
      <c r="O307" s="77" t="s">
        <v>179</v>
      </c>
      <c r="P307" s="79">
        <v>45188.889143518521</v>
      </c>
      <c r="Q307" s="77" t="s">
        <v>1191</v>
      </c>
      <c r="R307" s="77">
        <v>0</v>
      </c>
      <c r="S307" s="77">
        <v>1</v>
      </c>
      <c r="T307" s="77">
        <v>0</v>
      </c>
      <c r="U307" s="77">
        <v>0</v>
      </c>
      <c r="V307" s="77">
        <v>17</v>
      </c>
      <c r="W307" s="82" t="s">
        <v>4991</v>
      </c>
      <c r="X307" s="80" t="str">
        <f>HYPERLINK("https://github.com/victordhn/Finance-Projects/blob/master/Webscraping_B3.ipynb")</f>
        <v>https://github.com/victordhn/Finance-Projects/blob/master/Webscraping_B3.ipynb</v>
      </c>
      <c r="Y307" s="77" t="s">
        <v>6496</v>
      </c>
      <c r="Z307" s="77"/>
      <c r="AA307" s="77" t="s">
        <v>6800</v>
      </c>
      <c r="AB307" s="77" t="s">
        <v>7742</v>
      </c>
      <c r="AC307" s="82" t="s">
        <v>7750</v>
      </c>
      <c r="AD307" s="77" t="s">
        <v>7788</v>
      </c>
      <c r="AE307" s="80" t="str">
        <f>HYPERLINK("https://twitter.com/victor_dhn/status/1704244061584920922")</f>
        <v>https://twitter.com/victor_dhn/status/1704244061584920922</v>
      </c>
      <c r="AF307" s="79">
        <v>45188.889143518521</v>
      </c>
      <c r="AG307" s="85">
        <v>45188</v>
      </c>
      <c r="AH307" s="82" t="s">
        <v>8079</v>
      </c>
      <c r="AI307" s="77" t="b">
        <v>0</v>
      </c>
      <c r="AJ307" s="77"/>
      <c r="AK307" s="77"/>
      <c r="AL307" s="77"/>
      <c r="AM307" s="77"/>
      <c r="AN307" s="77"/>
      <c r="AO307" s="77"/>
      <c r="AP307" s="77"/>
      <c r="AQ307" s="77" t="s">
        <v>10772</v>
      </c>
      <c r="AR307" s="77"/>
      <c r="AS307" s="77"/>
      <c r="AT307" s="77"/>
      <c r="AU307" s="77"/>
      <c r="AV307" s="80" t="str">
        <f>HYPERLINK("https://pbs.twimg.com/media/F6aw5DnX0AAWp2Q.png")</f>
        <v>https://pbs.twimg.com/media/F6aw5DnX0AAWp2Q.png</v>
      </c>
      <c r="AW307" s="82" t="s">
        <v>12011</v>
      </c>
      <c r="AX307" s="82" t="s">
        <v>12011</v>
      </c>
      <c r="AY307" s="77"/>
      <c r="AZ307" s="82" t="s">
        <v>15984</v>
      </c>
      <c r="BA307" s="82" t="s">
        <v>15984</v>
      </c>
      <c r="BB307" s="82" t="s">
        <v>15984</v>
      </c>
      <c r="BC307" s="82" t="s">
        <v>12011</v>
      </c>
      <c r="BD307" s="82" t="s">
        <v>16164</v>
      </c>
      <c r="BE307" s="77"/>
      <c r="BF307" s="77"/>
      <c r="BG307" s="77"/>
      <c r="BH307" s="77"/>
      <c r="BI307" s="77"/>
    </row>
    <row r="308" spans="1:61" x14ac:dyDescent="0.25">
      <c r="A308" s="62" t="s">
        <v>327</v>
      </c>
      <c r="B308" s="62" t="s">
        <v>327</v>
      </c>
      <c r="C308" s="63"/>
      <c r="D308" s="64"/>
      <c r="E308" s="65"/>
      <c r="F308" s="66"/>
      <c r="G308" s="63"/>
      <c r="H308" s="67"/>
      <c r="I308" s="68"/>
      <c r="J308" s="68"/>
      <c r="K308" s="32"/>
      <c r="L308" s="75">
        <v>308</v>
      </c>
      <c r="M308" s="75"/>
      <c r="N308" s="70"/>
      <c r="O308" s="77" t="s">
        <v>179</v>
      </c>
      <c r="P308" s="79">
        <v>45194.47760416667</v>
      </c>
      <c r="Q308" s="77" t="s">
        <v>1192</v>
      </c>
      <c r="R308" s="77">
        <v>0</v>
      </c>
      <c r="S308" s="77">
        <v>1</v>
      </c>
      <c r="T308" s="77">
        <v>0</v>
      </c>
      <c r="U308" s="77">
        <v>0</v>
      </c>
      <c r="V308" s="77">
        <v>23</v>
      </c>
      <c r="W308" s="82" t="s">
        <v>4992</v>
      </c>
      <c r="X308" s="80" t="str">
        <f>HYPERLINK("https://github.com/victordhn/Finance-Projects/blob/master/Regressao%20Linear.ipynb")</f>
        <v>https://github.com/victordhn/Finance-Projects/blob/master/Regressao%20Linear.ipynb</v>
      </c>
      <c r="Y308" s="77" t="s">
        <v>6496</v>
      </c>
      <c r="Z308" s="77"/>
      <c r="AA308" s="77" t="s">
        <v>6801</v>
      </c>
      <c r="AB308" s="77" t="s">
        <v>7742</v>
      </c>
      <c r="AC308" s="82" t="s">
        <v>7750</v>
      </c>
      <c r="AD308" s="77" t="s">
        <v>7788</v>
      </c>
      <c r="AE308" s="80" t="str">
        <f>HYPERLINK("https://twitter.com/victor_dhn/status/1706269252167094741")</f>
        <v>https://twitter.com/victor_dhn/status/1706269252167094741</v>
      </c>
      <c r="AF308" s="79">
        <v>45194.47760416667</v>
      </c>
      <c r="AG308" s="85">
        <v>45194</v>
      </c>
      <c r="AH308" s="82" t="s">
        <v>8080</v>
      </c>
      <c r="AI308" s="77" t="b">
        <v>0</v>
      </c>
      <c r="AJ308" s="77"/>
      <c r="AK308" s="77"/>
      <c r="AL308" s="77"/>
      <c r="AM308" s="77"/>
      <c r="AN308" s="77"/>
      <c r="AO308" s="77"/>
      <c r="AP308" s="77"/>
      <c r="AQ308" s="77" t="s">
        <v>10773</v>
      </c>
      <c r="AR308" s="77"/>
      <c r="AS308" s="77"/>
      <c r="AT308" s="77"/>
      <c r="AU308" s="77"/>
      <c r="AV308" s="80" t="str">
        <f>HYPERLINK("https://pbs.twimg.com/media/F63i1XwWQAA5eK2.jpg")</f>
        <v>https://pbs.twimg.com/media/F63i1XwWQAA5eK2.jpg</v>
      </c>
      <c r="AW308" s="82" t="s">
        <v>12012</v>
      </c>
      <c r="AX308" s="82" t="s">
        <v>12012</v>
      </c>
      <c r="AY308" s="77"/>
      <c r="AZ308" s="82" t="s">
        <v>15984</v>
      </c>
      <c r="BA308" s="82" t="s">
        <v>15984</v>
      </c>
      <c r="BB308" s="82" t="s">
        <v>15984</v>
      </c>
      <c r="BC308" s="82" t="s">
        <v>12012</v>
      </c>
      <c r="BD308" s="82" t="s">
        <v>16164</v>
      </c>
      <c r="BE308" s="77"/>
      <c r="BF308" s="77"/>
      <c r="BG308" s="77"/>
      <c r="BH308" s="77"/>
      <c r="BI308" s="77"/>
    </row>
    <row r="309" spans="1:61" x14ac:dyDescent="0.25">
      <c r="A309" s="62" t="s">
        <v>328</v>
      </c>
      <c r="B309" s="62" t="s">
        <v>387</v>
      </c>
      <c r="C309" s="63"/>
      <c r="D309" s="64"/>
      <c r="E309" s="65"/>
      <c r="F309" s="66"/>
      <c r="G309" s="63"/>
      <c r="H309" s="67"/>
      <c r="I309" s="68"/>
      <c r="J309" s="68"/>
      <c r="K309" s="32"/>
      <c r="L309" s="75">
        <v>309</v>
      </c>
      <c r="M309" s="75"/>
      <c r="N309" s="70"/>
      <c r="O309" s="77" t="s">
        <v>897</v>
      </c>
      <c r="P309" s="79">
        <v>45195.088912037034</v>
      </c>
      <c r="Q309" s="77" t="s">
        <v>1193</v>
      </c>
      <c r="R309" s="77">
        <v>1</v>
      </c>
      <c r="S309" s="77">
        <v>0</v>
      </c>
      <c r="T309" s="77">
        <v>0</v>
      </c>
      <c r="U309" s="77">
        <v>0</v>
      </c>
      <c r="V309" s="77"/>
      <c r="W309" s="82" t="s">
        <v>4993</v>
      </c>
      <c r="X309" s="77"/>
      <c r="Y309" s="77"/>
      <c r="Z309" s="77" t="s">
        <v>387</v>
      </c>
      <c r="AA309" s="77"/>
      <c r="AB309" s="77"/>
      <c r="AC309" s="82" t="s">
        <v>7751</v>
      </c>
      <c r="AD309" s="77" t="s">
        <v>7788</v>
      </c>
      <c r="AE309" s="80" t="str">
        <f>HYPERLINK("https://twitter.com/opnet67/status/1706490781987426789")</f>
        <v>https://twitter.com/opnet67/status/1706490781987426789</v>
      </c>
      <c r="AF309" s="79">
        <v>45195.088912037034</v>
      </c>
      <c r="AG309" s="85">
        <v>45195</v>
      </c>
      <c r="AH309" s="82" t="s">
        <v>8081</v>
      </c>
      <c r="AI309" s="77" t="b">
        <v>0</v>
      </c>
      <c r="AJ309" s="77"/>
      <c r="AK309" s="77"/>
      <c r="AL309" s="77"/>
      <c r="AM309" s="77"/>
      <c r="AN309" s="77"/>
      <c r="AO309" s="77"/>
      <c r="AP309" s="77"/>
      <c r="AQ309" s="77"/>
      <c r="AR309" s="77"/>
      <c r="AS309" s="77"/>
      <c r="AT309" s="77"/>
      <c r="AU309" s="77"/>
      <c r="AV309" s="80" t="str">
        <f>HYPERLINK("https://pbs.twimg.com/profile_images/1116965858914574337/szVCX-V6_normal.jpg")</f>
        <v>https://pbs.twimg.com/profile_images/1116965858914574337/szVCX-V6_normal.jpg</v>
      </c>
      <c r="AW309" s="82" t="s">
        <v>12013</v>
      </c>
      <c r="AX309" s="82" t="s">
        <v>12013</v>
      </c>
      <c r="AY309" s="77"/>
      <c r="AZ309" s="82" t="s">
        <v>15984</v>
      </c>
      <c r="BA309" s="82" t="s">
        <v>15984</v>
      </c>
      <c r="BB309" s="82" t="s">
        <v>14937</v>
      </c>
      <c r="BC309" s="82" t="s">
        <v>14937</v>
      </c>
      <c r="BD309" s="82" t="s">
        <v>16165</v>
      </c>
      <c r="BE309" s="77"/>
      <c r="BF309" s="77"/>
      <c r="BG309" s="77"/>
      <c r="BH309" s="77"/>
      <c r="BI309" s="77"/>
    </row>
    <row r="310" spans="1:61" x14ac:dyDescent="0.25">
      <c r="A310" s="62" t="s">
        <v>329</v>
      </c>
      <c r="B310" s="62" t="s">
        <v>329</v>
      </c>
      <c r="C310" s="63"/>
      <c r="D310" s="64"/>
      <c r="E310" s="65"/>
      <c r="F310" s="66"/>
      <c r="G310" s="63"/>
      <c r="H310" s="67"/>
      <c r="I310" s="68"/>
      <c r="J310" s="68"/>
      <c r="K310" s="32"/>
      <c r="L310" s="75">
        <v>310</v>
      </c>
      <c r="M310" s="75"/>
      <c r="N310" s="70"/>
      <c r="O310" s="77" t="s">
        <v>179</v>
      </c>
      <c r="P310" s="79">
        <v>45145.497719907406</v>
      </c>
      <c r="Q310" s="77" t="s">
        <v>1194</v>
      </c>
      <c r="R310" s="77">
        <v>0</v>
      </c>
      <c r="S310" s="77">
        <v>0</v>
      </c>
      <c r="T310" s="77">
        <v>0</v>
      </c>
      <c r="U310" s="77">
        <v>1</v>
      </c>
      <c r="V310" s="77">
        <v>83</v>
      </c>
      <c r="W310" s="82" t="s">
        <v>4994</v>
      </c>
      <c r="X310" s="77"/>
      <c r="Y310" s="77"/>
      <c r="Z310" s="77"/>
      <c r="AA310" s="77" t="s">
        <v>6802</v>
      </c>
      <c r="AB310" s="77" t="s">
        <v>7742</v>
      </c>
      <c r="AC310" s="82" t="s">
        <v>7750</v>
      </c>
      <c r="AD310" s="77" t="s">
        <v>7790</v>
      </c>
      <c r="AE310" s="80" t="str">
        <f>HYPERLINK("https://twitter.com/juanero1982/status/1688519535429623808")</f>
        <v>https://twitter.com/juanero1982/status/1688519535429623808</v>
      </c>
      <c r="AF310" s="79">
        <v>45145.497719907406</v>
      </c>
      <c r="AG310" s="85">
        <v>45145</v>
      </c>
      <c r="AH310" s="82" t="s">
        <v>8082</v>
      </c>
      <c r="AI310" s="77" t="b">
        <v>0</v>
      </c>
      <c r="AJ310" s="77"/>
      <c r="AK310" s="77"/>
      <c r="AL310" s="77"/>
      <c r="AM310" s="77"/>
      <c r="AN310" s="77"/>
      <c r="AO310" s="77"/>
      <c r="AP310" s="77"/>
      <c r="AQ310" s="77" t="s">
        <v>10774</v>
      </c>
      <c r="AR310" s="77"/>
      <c r="AS310" s="77"/>
      <c r="AT310" s="77"/>
      <c r="AU310" s="77"/>
      <c r="AV310" s="80" t="str">
        <f>HYPERLINK("https://pbs.twimg.com/media/F27SsqvW8AACSr-.jpg")</f>
        <v>https://pbs.twimg.com/media/F27SsqvW8AACSr-.jpg</v>
      </c>
      <c r="AW310" s="82" t="s">
        <v>12014</v>
      </c>
      <c r="AX310" s="82" t="s">
        <v>12014</v>
      </c>
      <c r="AY310" s="77"/>
      <c r="AZ310" s="82" t="s">
        <v>15984</v>
      </c>
      <c r="BA310" s="82" t="s">
        <v>15984</v>
      </c>
      <c r="BB310" s="82" t="s">
        <v>15984</v>
      </c>
      <c r="BC310" s="82" t="s">
        <v>12014</v>
      </c>
      <c r="BD310" s="77">
        <v>479977457</v>
      </c>
      <c r="BE310" s="77"/>
      <c r="BF310" s="77"/>
      <c r="BG310" s="77"/>
      <c r="BH310" s="77"/>
      <c r="BI310" s="77"/>
    </row>
    <row r="311" spans="1:61" x14ac:dyDescent="0.25">
      <c r="A311" s="62" t="s">
        <v>330</v>
      </c>
      <c r="B311" s="62" t="s">
        <v>330</v>
      </c>
      <c r="C311" s="63"/>
      <c r="D311" s="64"/>
      <c r="E311" s="65"/>
      <c r="F311" s="66"/>
      <c r="G311" s="63"/>
      <c r="H311" s="67"/>
      <c r="I311" s="68"/>
      <c r="J311" s="68"/>
      <c r="K311" s="32"/>
      <c r="L311" s="75">
        <v>311</v>
      </c>
      <c r="M311" s="75"/>
      <c r="N311" s="70"/>
      <c r="O311" s="77" t="s">
        <v>179</v>
      </c>
      <c r="P311" s="79">
        <v>45166.885474537034</v>
      </c>
      <c r="Q311" s="77" t="s">
        <v>1195</v>
      </c>
      <c r="R311" s="77">
        <v>0</v>
      </c>
      <c r="S311" s="77">
        <v>0</v>
      </c>
      <c r="T311" s="77">
        <v>1</v>
      </c>
      <c r="U311" s="77">
        <v>0</v>
      </c>
      <c r="V311" s="77">
        <v>27</v>
      </c>
      <c r="W311" s="82" t="s">
        <v>4995</v>
      </c>
      <c r="X311" s="77"/>
      <c r="Y311" s="77"/>
      <c r="Z311" s="77"/>
      <c r="AA311" s="77" t="s">
        <v>6803</v>
      </c>
      <c r="AB311" s="77" t="s">
        <v>7742</v>
      </c>
      <c r="AC311" s="82" t="s">
        <v>7759</v>
      </c>
      <c r="AD311" s="77" t="s">
        <v>7789</v>
      </c>
      <c r="AE311" s="80" t="str">
        <f>HYPERLINK("https://twitter.com/verodatobr/status/1696270200750903796")</f>
        <v>https://twitter.com/verodatobr/status/1696270200750903796</v>
      </c>
      <c r="AF311" s="79">
        <v>45166.885474537034</v>
      </c>
      <c r="AG311" s="85">
        <v>45166</v>
      </c>
      <c r="AH311" s="82" t="s">
        <v>8083</v>
      </c>
      <c r="AI311" s="77" t="b">
        <v>0</v>
      </c>
      <c r="AJ311" s="77"/>
      <c r="AK311" s="77"/>
      <c r="AL311" s="77"/>
      <c r="AM311" s="77"/>
      <c r="AN311" s="77"/>
      <c r="AO311" s="77"/>
      <c r="AP311" s="77"/>
      <c r="AQ311" s="77" t="s">
        <v>10775</v>
      </c>
      <c r="AR311" s="77"/>
      <c r="AS311" s="77"/>
      <c r="AT311" s="77"/>
      <c r="AU311" s="77"/>
      <c r="AV311" s="80" t="str">
        <f>HYPERLINK("https://pbs.twimg.com/media/F4pcwmPWoAAaun7.png")</f>
        <v>https://pbs.twimg.com/media/F4pcwmPWoAAaun7.png</v>
      </c>
      <c r="AW311" s="82" t="s">
        <v>12015</v>
      </c>
      <c r="AX311" s="82" t="s">
        <v>12015</v>
      </c>
      <c r="AY311" s="77"/>
      <c r="AZ311" s="82" t="s">
        <v>15984</v>
      </c>
      <c r="BA311" s="82" t="s">
        <v>15984</v>
      </c>
      <c r="BB311" s="82" t="s">
        <v>15984</v>
      </c>
      <c r="BC311" s="82" t="s">
        <v>12015</v>
      </c>
      <c r="BD311" s="82" t="s">
        <v>16166</v>
      </c>
      <c r="BE311" s="77"/>
      <c r="BF311" s="77"/>
      <c r="BG311" s="77"/>
      <c r="BH311" s="77"/>
      <c r="BI311" s="77"/>
    </row>
    <row r="312" spans="1:61" x14ac:dyDescent="0.25">
      <c r="A312" s="62" t="s">
        <v>330</v>
      </c>
      <c r="B312" s="62" t="s">
        <v>330</v>
      </c>
      <c r="C312" s="63"/>
      <c r="D312" s="64"/>
      <c r="E312" s="65"/>
      <c r="F312" s="66"/>
      <c r="G312" s="63"/>
      <c r="H312" s="67"/>
      <c r="I312" s="68"/>
      <c r="J312" s="68"/>
      <c r="K312" s="32"/>
      <c r="L312" s="75">
        <v>312</v>
      </c>
      <c r="M312" s="75"/>
      <c r="N312" s="70"/>
      <c r="O312" s="77" t="s">
        <v>179</v>
      </c>
      <c r="P312" s="79">
        <v>45168.885474537034</v>
      </c>
      <c r="Q312" s="77" t="s">
        <v>1196</v>
      </c>
      <c r="R312" s="77">
        <v>0</v>
      </c>
      <c r="S312" s="77">
        <v>0</v>
      </c>
      <c r="T312" s="77">
        <v>0</v>
      </c>
      <c r="U312" s="77">
        <v>0</v>
      </c>
      <c r="V312" s="77">
        <v>26</v>
      </c>
      <c r="W312" s="82" t="s">
        <v>4995</v>
      </c>
      <c r="X312" s="77"/>
      <c r="Y312" s="77"/>
      <c r="Z312" s="77"/>
      <c r="AA312" s="77" t="s">
        <v>6804</v>
      </c>
      <c r="AB312" s="77" t="s">
        <v>7742</v>
      </c>
      <c r="AC312" s="82" t="s">
        <v>7759</v>
      </c>
      <c r="AD312" s="77" t="s">
        <v>7789</v>
      </c>
      <c r="AE312" s="80" t="str">
        <f>HYPERLINK("https://twitter.com/verodatobr/status/1696994974234013816")</f>
        <v>https://twitter.com/verodatobr/status/1696994974234013816</v>
      </c>
      <c r="AF312" s="79">
        <v>45168.885474537034</v>
      </c>
      <c r="AG312" s="85">
        <v>45168</v>
      </c>
      <c r="AH312" s="82" t="s">
        <v>8083</v>
      </c>
      <c r="AI312" s="77" t="b">
        <v>0</v>
      </c>
      <c r="AJ312" s="77"/>
      <c r="AK312" s="77"/>
      <c r="AL312" s="77"/>
      <c r="AM312" s="77"/>
      <c r="AN312" s="77"/>
      <c r="AO312" s="77"/>
      <c r="AP312" s="77"/>
      <c r="AQ312" s="77" t="s">
        <v>10776</v>
      </c>
      <c r="AR312" s="77"/>
      <c r="AS312" s="77"/>
      <c r="AT312" s="77"/>
      <c r="AU312" s="77"/>
      <c r="AV312" s="80" t="str">
        <f>HYPERLINK("https://pbs.twimg.com/media/F4zv79-W0AAp1s4.png")</f>
        <v>https://pbs.twimg.com/media/F4zv79-W0AAp1s4.png</v>
      </c>
      <c r="AW312" s="82" t="s">
        <v>12016</v>
      </c>
      <c r="AX312" s="82" t="s">
        <v>12016</v>
      </c>
      <c r="AY312" s="77"/>
      <c r="AZ312" s="82" t="s">
        <v>15984</v>
      </c>
      <c r="BA312" s="82" t="s">
        <v>15984</v>
      </c>
      <c r="BB312" s="82" t="s">
        <v>15984</v>
      </c>
      <c r="BC312" s="82" t="s">
        <v>12016</v>
      </c>
      <c r="BD312" s="82" t="s">
        <v>16166</v>
      </c>
      <c r="BE312" s="77"/>
      <c r="BF312" s="77"/>
      <c r="BG312" s="77"/>
      <c r="BH312" s="77"/>
      <c r="BI312" s="77"/>
    </row>
    <row r="313" spans="1:61" x14ac:dyDescent="0.25">
      <c r="A313" s="62" t="s">
        <v>330</v>
      </c>
      <c r="B313" s="62" t="s">
        <v>330</v>
      </c>
      <c r="C313" s="63"/>
      <c r="D313" s="64"/>
      <c r="E313" s="65"/>
      <c r="F313" s="66"/>
      <c r="G313" s="63"/>
      <c r="H313" s="67"/>
      <c r="I313" s="68"/>
      <c r="J313" s="68"/>
      <c r="K313" s="32"/>
      <c r="L313" s="75">
        <v>313</v>
      </c>
      <c r="M313" s="75"/>
      <c r="N313" s="70"/>
      <c r="O313" s="77" t="s">
        <v>179</v>
      </c>
      <c r="P313" s="79">
        <v>45167.885474537034</v>
      </c>
      <c r="Q313" s="77" t="s">
        <v>1197</v>
      </c>
      <c r="R313" s="77">
        <v>0</v>
      </c>
      <c r="S313" s="77">
        <v>0</v>
      </c>
      <c r="T313" s="77">
        <v>1</v>
      </c>
      <c r="U313" s="77">
        <v>0</v>
      </c>
      <c r="V313" s="77">
        <v>15</v>
      </c>
      <c r="W313" s="82" t="s">
        <v>4995</v>
      </c>
      <c r="X313" s="77"/>
      <c r="Y313" s="77"/>
      <c r="Z313" s="77"/>
      <c r="AA313" s="77" t="s">
        <v>6805</v>
      </c>
      <c r="AB313" s="77" t="s">
        <v>7742</v>
      </c>
      <c r="AC313" s="82" t="s">
        <v>7759</v>
      </c>
      <c r="AD313" s="77" t="s">
        <v>7789</v>
      </c>
      <c r="AE313" s="80" t="str">
        <f>HYPERLINK("https://twitter.com/verodatobr/status/1696632586632638821")</f>
        <v>https://twitter.com/verodatobr/status/1696632586632638821</v>
      </c>
      <c r="AF313" s="79">
        <v>45167.885474537034</v>
      </c>
      <c r="AG313" s="85">
        <v>45167</v>
      </c>
      <c r="AH313" s="82" t="s">
        <v>8083</v>
      </c>
      <c r="AI313" s="77" t="b">
        <v>0</v>
      </c>
      <c r="AJ313" s="77"/>
      <c r="AK313" s="77"/>
      <c r="AL313" s="77"/>
      <c r="AM313" s="77"/>
      <c r="AN313" s="77"/>
      <c r="AO313" s="77"/>
      <c r="AP313" s="77"/>
      <c r="AQ313" s="77" t="s">
        <v>10777</v>
      </c>
      <c r="AR313" s="77"/>
      <c r="AS313" s="77"/>
      <c r="AT313" s="77"/>
      <c r="AU313" s="77"/>
      <c r="AV313" s="80" t="str">
        <f>HYPERLINK("https://pbs.twimg.com/media/F4umWOdWUAA9Mzf.png")</f>
        <v>https://pbs.twimg.com/media/F4umWOdWUAA9Mzf.png</v>
      </c>
      <c r="AW313" s="82" t="s">
        <v>12017</v>
      </c>
      <c r="AX313" s="82" t="s">
        <v>12017</v>
      </c>
      <c r="AY313" s="77"/>
      <c r="AZ313" s="82" t="s">
        <v>15984</v>
      </c>
      <c r="BA313" s="82" t="s">
        <v>15984</v>
      </c>
      <c r="BB313" s="82" t="s">
        <v>15984</v>
      </c>
      <c r="BC313" s="82" t="s">
        <v>12017</v>
      </c>
      <c r="BD313" s="82" t="s">
        <v>16166</v>
      </c>
      <c r="BE313" s="77"/>
      <c r="BF313" s="77"/>
      <c r="BG313" s="77"/>
      <c r="BH313" s="77"/>
      <c r="BI313" s="77"/>
    </row>
    <row r="314" spans="1:61" x14ac:dyDescent="0.25">
      <c r="A314" s="62" t="s">
        <v>330</v>
      </c>
      <c r="B314" s="62" t="s">
        <v>330</v>
      </c>
      <c r="C314" s="63"/>
      <c r="D314" s="64"/>
      <c r="E314" s="65"/>
      <c r="F314" s="66"/>
      <c r="G314" s="63"/>
      <c r="H314" s="67"/>
      <c r="I314" s="68"/>
      <c r="J314" s="68"/>
      <c r="K314" s="32"/>
      <c r="L314" s="75">
        <v>314</v>
      </c>
      <c r="M314" s="75"/>
      <c r="N314" s="70"/>
      <c r="O314" s="77" t="s">
        <v>179</v>
      </c>
      <c r="P314" s="79">
        <v>45173.885474537034</v>
      </c>
      <c r="Q314" s="77" t="s">
        <v>1198</v>
      </c>
      <c r="R314" s="77">
        <v>0</v>
      </c>
      <c r="S314" s="77">
        <v>0</v>
      </c>
      <c r="T314" s="77">
        <v>1</v>
      </c>
      <c r="U314" s="77">
        <v>0</v>
      </c>
      <c r="V314" s="77">
        <v>13</v>
      </c>
      <c r="W314" s="82" t="s">
        <v>4995</v>
      </c>
      <c r="X314" s="77"/>
      <c r="Y314" s="77"/>
      <c r="Z314" s="77"/>
      <c r="AA314" s="77" t="s">
        <v>6806</v>
      </c>
      <c r="AB314" s="77" t="s">
        <v>7742</v>
      </c>
      <c r="AC314" s="82" t="s">
        <v>7759</v>
      </c>
      <c r="AD314" s="77" t="s">
        <v>7789</v>
      </c>
      <c r="AE314" s="80" t="str">
        <f>HYPERLINK("https://twitter.com/verodatobr/status/1698806914140832035")</f>
        <v>https://twitter.com/verodatobr/status/1698806914140832035</v>
      </c>
      <c r="AF314" s="79">
        <v>45173.885474537034</v>
      </c>
      <c r="AG314" s="85">
        <v>45173</v>
      </c>
      <c r="AH314" s="82" t="s">
        <v>8083</v>
      </c>
      <c r="AI314" s="77" t="b">
        <v>0</v>
      </c>
      <c r="AJ314" s="77"/>
      <c r="AK314" s="77"/>
      <c r="AL314" s="77"/>
      <c r="AM314" s="77"/>
      <c r="AN314" s="77"/>
      <c r="AO314" s="77"/>
      <c r="AP314" s="77"/>
      <c r="AQ314" s="77" t="s">
        <v>10778</v>
      </c>
      <c r="AR314" s="77"/>
      <c r="AS314" s="77"/>
      <c r="AT314" s="77"/>
      <c r="AU314" s="77"/>
      <c r="AV314" s="80" t="str">
        <f>HYPERLINK("https://pbs.twimg.com/media/F5Nf4uZXwAEbt7k.png")</f>
        <v>https://pbs.twimg.com/media/F5Nf4uZXwAEbt7k.png</v>
      </c>
      <c r="AW314" s="82" t="s">
        <v>12018</v>
      </c>
      <c r="AX314" s="82" t="s">
        <v>12018</v>
      </c>
      <c r="AY314" s="77"/>
      <c r="AZ314" s="82" t="s">
        <v>15984</v>
      </c>
      <c r="BA314" s="82" t="s">
        <v>15984</v>
      </c>
      <c r="BB314" s="82" t="s">
        <v>15984</v>
      </c>
      <c r="BC314" s="82" t="s">
        <v>12018</v>
      </c>
      <c r="BD314" s="82" t="s">
        <v>16166</v>
      </c>
      <c r="BE314" s="77"/>
      <c r="BF314" s="77"/>
      <c r="BG314" s="77"/>
      <c r="BH314" s="77"/>
      <c r="BI314" s="77"/>
    </row>
    <row r="315" spans="1:61" x14ac:dyDescent="0.25">
      <c r="A315" s="62" t="s">
        <v>330</v>
      </c>
      <c r="B315" s="62" t="s">
        <v>330</v>
      </c>
      <c r="C315" s="63"/>
      <c r="D315" s="64"/>
      <c r="E315" s="65"/>
      <c r="F315" s="66"/>
      <c r="G315" s="63"/>
      <c r="H315" s="67"/>
      <c r="I315" s="68"/>
      <c r="J315" s="68"/>
      <c r="K315" s="32"/>
      <c r="L315" s="75">
        <v>315</v>
      </c>
      <c r="M315" s="75"/>
      <c r="N315" s="70"/>
      <c r="O315" s="77" t="s">
        <v>179</v>
      </c>
      <c r="P315" s="79">
        <v>45169.885462962964</v>
      </c>
      <c r="Q315" s="77" t="s">
        <v>1199</v>
      </c>
      <c r="R315" s="77">
        <v>0</v>
      </c>
      <c r="S315" s="77">
        <v>0</v>
      </c>
      <c r="T315" s="77">
        <v>1</v>
      </c>
      <c r="U315" s="77">
        <v>0</v>
      </c>
      <c r="V315" s="77">
        <v>35</v>
      </c>
      <c r="W315" s="82" t="s">
        <v>4995</v>
      </c>
      <c r="X315" s="77"/>
      <c r="Y315" s="77"/>
      <c r="Z315" s="77"/>
      <c r="AA315" s="77" t="s">
        <v>6807</v>
      </c>
      <c r="AB315" s="77" t="s">
        <v>7742</v>
      </c>
      <c r="AC315" s="82" t="s">
        <v>7759</v>
      </c>
      <c r="AD315" s="77" t="s">
        <v>7789</v>
      </c>
      <c r="AE315" s="80" t="str">
        <f>HYPERLINK("https://twitter.com/verodatobr/status/1697357361352966577")</f>
        <v>https://twitter.com/verodatobr/status/1697357361352966577</v>
      </c>
      <c r="AF315" s="79">
        <v>45169.885462962964</v>
      </c>
      <c r="AG315" s="85">
        <v>45169</v>
      </c>
      <c r="AH315" s="82" t="s">
        <v>8084</v>
      </c>
      <c r="AI315" s="77" t="b">
        <v>0</v>
      </c>
      <c r="AJ315" s="77"/>
      <c r="AK315" s="77"/>
      <c r="AL315" s="77"/>
      <c r="AM315" s="77"/>
      <c r="AN315" s="77"/>
      <c r="AO315" s="77"/>
      <c r="AP315" s="77"/>
      <c r="AQ315" s="77" t="s">
        <v>10779</v>
      </c>
      <c r="AR315" s="77"/>
      <c r="AS315" s="77"/>
      <c r="AT315" s="77"/>
      <c r="AU315" s="77"/>
      <c r="AV315" s="80" t="str">
        <f>HYPERLINK("https://pbs.twimg.com/media/F445hrbWwAA4EJh.png")</f>
        <v>https://pbs.twimg.com/media/F445hrbWwAA4EJh.png</v>
      </c>
      <c r="AW315" s="82" t="s">
        <v>12019</v>
      </c>
      <c r="AX315" s="82" t="s">
        <v>12019</v>
      </c>
      <c r="AY315" s="77"/>
      <c r="AZ315" s="82" t="s">
        <v>15984</v>
      </c>
      <c r="BA315" s="82" t="s">
        <v>15984</v>
      </c>
      <c r="BB315" s="82" t="s">
        <v>15984</v>
      </c>
      <c r="BC315" s="82" t="s">
        <v>12019</v>
      </c>
      <c r="BD315" s="82" t="s">
        <v>16166</v>
      </c>
      <c r="BE315" s="77"/>
      <c r="BF315" s="77"/>
      <c r="BG315" s="77"/>
      <c r="BH315" s="77"/>
      <c r="BI315" s="77"/>
    </row>
    <row r="316" spans="1:61" x14ac:dyDescent="0.25">
      <c r="A316" s="62" t="s">
        <v>330</v>
      </c>
      <c r="B316" s="62" t="s">
        <v>330</v>
      </c>
      <c r="C316" s="63"/>
      <c r="D316" s="64"/>
      <c r="E316" s="65"/>
      <c r="F316" s="66"/>
      <c r="G316" s="63"/>
      <c r="H316" s="67"/>
      <c r="I316" s="68"/>
      <c r="J316" s="68"/>
      <c r="K316" s="32"/>
      <c r="L316" s="75">
        <v>316</v>
      </c>
      <c r="M316" s="75"/>
      <c r="N316" s="70"/>
      <c r="O316" s="77" t="s">
        <v>179</v>
      </c>
      <c r="P316" s="79">
        <v>45181.885474537034</v>
      </c>
      <c r="Q316" s="77" t="s">
        <v>1200</v>
      </c>
      <c r="R316" s="77">
        <v>0</v>
      </c>
      <c r="S316" s="77">
        <v>0</v>
      </c>
      <c r="T316" s="77">
        <v>0</v>
      </c>
      <c r="U316" s="77">
        <v>0</v>
      </c>
      <c r="V316" s="77">
        <v>23</v>
      </c>
      <c r="W316" s="82" t="s">
        <v>4995</v>
      </c>
      <c r="X316" s="77"/>
      <c r="Y316" s="77"/>
      <c r="Z316" s="77"/>
      <c r="AA316" s="77" t="s">
        <v>6808</v>
      </c>
      <c r="AB316" s="77" t="s">
        <v>7742</v>
      </c>
      <c r="AC316" s="82" t="s">
        <v>7759</v>
      </c>
      <c r="AD316" s="77" t="s">
        <v>7789</v>
      </c>
      <c r="AE316" s="80" t="str">
        <f>HYPERLINK("https://twitter.com/verodatobr/status/1701706018344796625")</f>
        <v>https://twitter.com/verodatobr/status/1701706018344796625</v>
      </c>
      <c r="AF316" s="79">
        <v>45181.885474537034</v>
      </c>
      <c r="AG316" s="85">
        <v>45181</v>
      </c>
      <c r="AH316" s="82" t="s">
        <v>8083</v>
      </c>
      <c r="AI316" s="77" t="b">
        <v>0</v>
      </c>
      <c r="AJ316" s="77"/>
      <c r="AK316" s="77"/>
      <c r="AL316" s="77"/>
      <c r="AM316" s="77"/>
      <c r="AN316" s="77"/>
      <c r="AO316" s="77"/>
      <c r="AP316" s="77"/>
      <c r="AQ316" s="77" t="s">
        <v>10780</v>
      </c>
      <c r="AR316" s="77"/>
      <c r="AS316" s="77"/>
      <c r="AT316" s="77"/>
      <c r="AU316" s="77"/>
      <c r="AV316" s="80" t="str">
        <f>HYPERLINK("https://pbs.twimg.com/media/F52sm0zW0AAFEAx.png")</f>
        <v>https://pbs.twimg.com/media/F52sm0zW0AAFEAx.png</v>
      </c>
      <c r="AW316" s="82" t="s">
        <v>12020</v>
      </c>
      <c r="AX316" s="82" t="s">
        <v>12020</v>
      </c>
      <c r="AY316" s="77"/>
      <c r="AZ316" s="82" t="s">
        <v>15984</v>
      </c>
      <c r="BA316" s="82" t="s">
        <v>15984</v>
      </c>
      <c r="BB316" s="82" t="s">
        <v>15984</v>
      </c>
      <c r="BC316" s="82" t="s">
        <v>12020</v>
      </c>
      <c r="BD316" s="82" t="s">
        <v>16166</v>
      </c>
      <c r="BE316" s="77"/>
      <c r="BF316" s="77"/>
      <c r="BG316" s="77"/>
      <c r="BH316" s="77"/>
      <c r="BI316" s="77"/>
    </row>
    <row r="317" spans="1:61" x14ac:dyDescent="0.25">
      <c r="A317" s="62" t="s">
        <v>330</v>
      </c>
      <c r="B317" s="62" t="s">
        <v>330</v>
      </c>
      <c r="C317" s="63"/>
      <c r="D317" s="64"/>
      <c r="E317" s="65"/>
      <c r="F317" s="66"/>
      <c r="G317" s="63"/>
      <c r="H317" s="67"/>
      <c r="I317" s="68"/>
      <c r="J317" s="68"/>
      <c r="K317" s="32"/>
      <c r="L317" s="75">
        <v>317</v>
      </c>
      <c r="M317" s="75"/>
      <c r="N317" s="70"/>
      <c r="O317" s="77" t="s">
        <v>179</v>
      </c>
      <c r="P317" s="79">
        <v>45176.885474537034</v>
      </c>
      <c r="Q317" s="77" t="s">
        <v>1201</v>
      </c>
      <c r="R317" s="77">
        <v>0</v>
      </c>
      <c r="S317" s="77">
        <v>0</v>
      </c>
      <c r="T317" s="77">
        <v>0</v>
      </c>
      <c r="U317" s="77">
        <v>0</v>
      </c>
      <c r="V317" s="77">
        <v>9</v>
      </c>
      <c r="W317" s="82" t="s">
        <v>4995</v>
      </c>
      <c r="X317" s="77"/>
      <c r="Y317" s="77"/>
      <c r="Z317" s="77"/>
      <c r="AA317" s="77" t="s">
        <v>6809</v>
      </c>
      <c r="AB317" s="77" t="s">
        <v>7742</v>
      </c>
      <c r="AC317" s="82" t="s">
        <v>7759</v>
      </c>
      <c r="AD317" s="77" t="s">
        <v>7789</v>
      </c>
      <c r="AE317" s="80" t="str">
        <f>HYPERLINK("https://twitter.com/verodatobr/status/1699894079390093531")</f>
        <v>https://twitter.com/verodatobr/status/1699894079390093531</v>
      </c>
      <c r="AF317" s="79">
        <v>45176.885474537034</v>
      </c>
      <c r="AG317" s="85">
        <v>45176</v>
      </c>
      <c r="AH317" s="82" t="s">
        <v>8083</v>
      </c>
      <c r="AI317" s="77" t="b">
        <v>0</v>
      </c>
      <c r="AJ317" s="77"/>
      <c r="AK317" s="77"/>
      <c r="AL317" s="77"/>
      <c r="AM317" s="77"/>
      <c r="AN317" s="77"/>
      <c r="AO317" s="77"/>
      <c r="AP317" s="77"/>
      <c r="AQ317" s="77" t="s">
        <v>10781</v>
      </c>
      <c r="AR317" s="77"/>
      <c r="AS317" s="77"/>
      <c r="AT317" s="77"/>
      <c r="AU317" s="77"/>
      <c r="AV317" s="80" t="str">
        <f>HYPERLINK("https://pbs.twimg.com/media/F5c8qGfX0AAyhJz.png")</f>
        <v>https://pbs.twimg.com/media/F5c8qGfX0AAyhJz.png</v>
      </c>
      <c r="AW317" s="82" t="s">
        <v>12021</v>
      </c>
      <c r="AX317" s="82" t="s">
        <v>12021</v>
      </c>
      <c r="AY317" s="77"/>
      <c r="AZ317" s="82" t="s">
        <v>15984</v>
      </c>
      <c r="BA317" s="82" t="s">
        <v>15984</v>
      </c>
      <c r="BB317" s="82" t="s">
        <v>15984</v>
      </c>
      <c r="BC317" s="82" t="s">
        <v>12021</v>
      </c>
      <c r="BD317" s="82" t="s">
        <v>16166</v>
      </c>
      <c r="BE317" s="77"/>
      <c r="BF317" s="77"/>
      <c r="BG317" s="77"/>
      <c r="BH317" s="77"/>
      <c r="BI317" s="77"/>
    </row>
    <row r="318" spans="1:61" x14ac:dyDescent="0.25">
      <c r="A318" s="62" t="s">
        <v>330</v>
      </c>
      <c r="B318" s="62" t="s">
        <v>330</v>
      </c>
      <c r="C318" s="63"/>
      <c r="D318" s="64"/>
      <c r="E318" s="65"/>
      <c r="F318" s="66"/>
      <c r="G318" s="63"/>
      <c r="H318" s="67"/>
      <c r="I318" s="68"/>
      <c r="J318" s="68"/>
      <c r="K318" s="32"/>
      <c r="L318" s="75">
        <v>318</v>
      </c>
      <c r="M318" s="75"/>
      <c r="N318" s="70"/>
      <c r="O318" s="77" t="s">
        <v>179</v>
      </c>
      <c r="P318" s="79">
        <v>45174.885474537034</v>
      </c>
      <c r="Q318" s="77" t="s">
        <v>1202</v>
      </c>
      <c r="R318" s="77">
        <v>0</v>
      </c>
      <c r="S318" s="77">
        <v>0</v>
      </c>
      <c r="T318" s="77">
        <v>0</v>
      </c>
      <c r="U318" s="77">
        <v>0</v>
      </c>
      <c r="V318" s="77">
        <v>17</v>
      </c>
      <c r="W318" s="82" t="s">
        <v>4995</v>
      </c>
      <c r="X318" s="77"/>
      <c r="Y318" s="77"/>
      <c r="Z318" s="77"/>
      <c r="AA318" s="77" t="s">
        <v>6810</v>
      </c>
      <c r="AB318" s="77" t="s">
        <v>7742</v>
      </c>
      <c r="AC318" s="82" t="s">
        <v>7759</v>
      </c>
      <c r="AD318" s="77" t="s">
        <v>7789</v>
      </c>
      <c r="AE318" s="80" t="str">
        <f>HYPERLINK("https://twitter.com/verodatobr/status/1699169303990255998")</f>
        <v>https://twitter.com/verodatobr/status/1699169303990255998</v>
      </c>
      <c r="AF318" s="79">
        <v>45174.885474537034</v>
      </c>
      <c r="AG318" s="85">
        <v>45174</v>
      </c>
      <c r="AH318" s="82" t="s">
        <v>8083</v>
      </c>
      <c r="AI318" s="77" t="b">
        <v>0</v>
      </c>
      <c r="AJ318" s="77"/>
      <c r="AK318" s="77"/>
      <c r="AL318" s="77"/>
      <c r="AM318" s="77"/>
      <c r="AN318" s="77"/>
      <c r="AO318" s="77"/>
      <c r="AP318" s="77"/>
      <c r="AQ318" s="77" t="s">
        <v>10782</v>
      </c>
      <c r="AR318" s="77"/>
      <c r="AS318" s="77"/>
      <c r="AT318" s="77"/>
      <c r="AU318" s="77"/>
      <c r="AV318" s="80" t="str">
        <f>HYPERLINK("https://pbs.twimg.com/media/F5SpemaXMAASCug.png")</f>
        <v>https://pbs.twimg.com/media/F5SpemaXMAASCug.png</v>
      </c>
      <c r="AW318" s="82" t="s">
        <v>12022</v>
      </c>
      <c r="AX318" s="82" t="s">
        <v>12022</v>
      </c>
      <c r="AY318" s="77"/>
      <c r="AZ318" s="82" t="s">
        <v>15984</v>
      </c>
      <c r="BA318" s="82" t="s">
        <v>15984</v>
      </c>
      <c r="BB318" s="82" t="s">
        <v>15984</v>
      </c>
      <c r="BC318" s="82" t="s">
        <v>12022</v>
      </c>
      <c r="BD318" s="82" t="s">
        <v>16166</v>
      </c>
      <c r="BE318" s="77"/>
      <c r="BF318" s="77"/>
      <c r="BG318" s="77"/>
      <c r="BH318" s="77"/>
      <c r="BI318" s="77"/>
    </row>
    <row r="319" spans="1:61" x14ac:dyDescent="0.25">
      <c r="A319" s="62" t="s">
        <v>330</v>
      </c>
      <c r="B319" s="62" t="s">
        <v>330</v>
      </c>
      <c r="C319" s="63"/>
      <c r="D319" s="64"/>
      <c r="E319" s="65"/>
      <c r="F319" s="66"/>
      <c r="G319" s="63"/>
      <c r="H319" s="67"/>
      <c r="I319" s="68"/>
      <c r="J319" s="68"/>
      <c r="K319" s="32"/>
      <c r="L319" s="75">
        <v>319</v>
      </c>
      <c r="M319" s="75"/>
      <c r="N319" s="70"/>
      <c r="O319" s="77" t="s">
        <v>179</v>
      </c>
      <c r="P319" s="79">
        <v>45183.885462962964</v>
      </c>
      <c r="Q319" s="77" t="s">
        <v>1203</v>
      </c>
      <c r="R319" s="77">
        <v>0</v>
      </c>
      <c r="S319" s="77">
        <v>0</v>
      </c>
      <c r="T319" s="77">
        <v>0</v>
      </c>
      <c r="U319" s="77">
        <v>0</v>
      </c>
      <c r="V319" s="77">
        <v>73</v>
      </c>
      <c r="W319" s="82" t="s">
        <v>4995</v>
      </c>
      <c r="X319" s="77"/>
      <c r="Y319" s="77"/>
      <c r="Z319" s="77"/>
      <c r="AA319" s="77" t="s">
        <v>6811</v>
      </c>
      <c r="AB319" s="77" t="s">
        <v>7742</v>
      </c>
      <c r="AC319" s="82" t="s">
        <v>7759</v>
      </c>
      <c r="AD319" s="77" t="s">
        <v>7789</v>
      </c>
      <c r="AE319" s="80" t="str">
        <f>HYPERLINK("https://twitter.com/verodatobr/status/1702430791387496533")</f>
        <v>https://twitter.com/verodatobr/status/1702430791387496533</v>
      </c>
      <c r="AF319" s="79">
        <v>45183.885462962964</v>
      </c>
      <c r="AG319" s="85">
        <v>45183</v>
      </c>
      <c r="AH319" s="82" t="s">
        <v>8084</v>
      </c>
      <c r="AI319" s="77" t="b">
        <v>0</v>
      </c>
      <c r="AJ319" s="77"/>
      <c r="AK319" s="77"/>
      <c r="AL319" s="77"/>
      <c r="AM319" s="77"/>
      <c r="AN319" s="77"/>
      <c r="AO319" s="77"/>
      <c r="AP319" s="77"/>
      <c r="AQ319" s="77" t="s">
        <v>10783</v>
      </c>
      <c r="AR319" s="77"/>
      <c r="AS319" s="77"/>
      <c r="AT319" s="77"/>
      <c r="AU319" s="77"/>
      <c r="AV319" s="80" t="str">
        <f>HYPERLINK("https://pbs.twimg.com/media/F6A_yKvXUAADR6g.png")</f>
        <v>https://pbs.twimg.com/media/F6A_yKvXUAADR6g.png</v>
      </c>
      <c r="AW319" s="82" t="s">
        <v>12023</v>
      </c>
      <c r="AX319" s="82" t="s">
        <v>12023</v>
      </c>
      <c r="AY319" s="77"/>
      <c r="AZ319" s="82" t="s">
        <v>15984</v>
      </c>
      <c r="BA319" s="82" t="s">
        <v>15984</v>
      </c>
      <c r="BB319" s="82" t="s">
        <v>15984</v>
      </c>
      <c r="BC319" s="82" t="s">
        <v>12023</v>
      </c>
      <c r="BD319" s="82" t="s">
        <v>16166</v>
      </c>
      <c r="BE319" s="77"/>
      <c r="BF319" s="77"/>
      <c r="BG319" s="77"/>
      <c r="BH319" s="77"/>
      <c r="BI319" s="77"/>
    </row>
    <row r="320" spans="1:61" x14ac:dyDescent="0.25">
      <c r="A320" s="62" t="s">
        <v>330</v>
      </c>
      <c r="B320" s="62" t="s">
        <v>330</v>
      </c>
      <c r="C320" s="63"/>
      <c r="D320" s="64"/>
      <c r="E320" s="65"/>
      <c r="F320" s="66"/>
      <c r="G320" s="63"/>
      <c r="H320" s="67"/>
      <c r="I320" s="68"/>
      <c r="J320" s="68"/>
      <c r="K320" s="32"/>
      <c r="L320" s="75">
        <v>320</v>
      </c>
      <c r="M320" s="75"/>
      <c r="N320" s="70"/>
      <c r="O320" s="77" t="s">
        <v>179</v>
      </c>
      <c r="P320" s="79">
        <v>45184.885462962964</v>
      </c>
      <c r="Q320" s="77" t="s">
        <v>1204</v>
      </c>
      <c r="R320" s="77">
        <v>0</v>
      </c>
      <c r="S320" s="77">
        <v>0</v>
      </c>
      <c r="T320" s="77">
        <v>0</v>
      </c>
      <c r="U320" s="77">
        <v>0</v>
      </c>
      <c r="V320" s="77">
        <v>128</v>
      </c>
      <c r="W320" s="82" t="s">
        <v>4995</v>
      </c>
      <c r="X320" s="77"/>
      <c r="Y320" s="77"/>
      <c r="Z320" s="77"/>
      <c r="AA320" s="77" t="s">
        <v>6812</v>
      </c>
      <c r="AB320" s="77" t="s">
        <v>7742</v>
      </c>
      <c r="AC320" s="82" t="s">
        <v>7759</v>
      </c>
      <c r="AD320" s="77" t="s">
        <v>7789</v>
      </c>
      <c r="AE320" s="80" t="str">
        <f>HYPERLINK("https://twitter.com/verodatobr/status/1702793178351378462")</f>
        <v>https://twitter.com/verodatobr/status/1702793178351378462</v>
      </c>
      <c r="AF320" s="79">
        <v>45184.885462962964</v>
      </c>
      <c r="AG320" s="85">
        <v>45184</v>
      </c>
      <c r="AH320" s="82" t="s">
        <v>8084</v>
      </c>
      <c r="AI320" s="77" t="b">
        <v>0</v>
      </c>
      <c r="AJ320" s="77"/>
      <c r="AK320" s="77"/>
      <c r="AL320" s="77"/>
      <c r="AM320" s="77"/>
      <c r="AN320" s="77"/>
      <c r="AO320" s="77"/>
      <c r="AP320" s="77"/>
      <c r="AQ320" s="77" t="s">
        <v>10784</v>
      </c>
      <c r="AR320" s="77"/>
      <c r="AS320" s="77"/>
      <c r="AT320" s="77"/>
      <c r="AU320" s="77"/>
      <c r="AV320" s="80" t="str">
        <f>HYPERLINK("https://pbs.twimg.com/media/F6GJX3aWwAA2y1x.png")</f>
        <v>https://pbs.twimg.com/media/F6GJX3aWwAA2y1x.png</v>
      </c>
      <c r="AW320" s="82" t="s">
        <v>12024</v>
      </c>
      <c r="AX320" s="82" t="s">
        <v>12024</v>
      </c>
      <c r="AY320" s="77"/>
      <c r="AZ320" s="82" t="s">
        <v>15984</v>
      </c>
      <c r="BA320" s="82" t="s">
        <v>15984</v>
      </c>
      <c r="BB320" s="82" t="s">
        <v>15984</v>
      </c>
      <c r="BC320" s="82" t="s">
        <v>12024</v>
      </c>
      <c r="BD320" s="82" t="s">
        <v>16166</v>
      </c>
      <c r="BE320" s="77"/>
      <c r="BF320" s="77"/>
      <c r="BG320" s="77"/>
      <c r="BH320" s="77"/>
      <c r="BI320" s="77"/>
    </row>
    <row r="321" spans="1:61" x14ac:dyDescent="0.25">
      <c r="A321" s="62" t="s">
        <v>330</v>
      </c>
      <c r="B321" s="62" t="s">
        <v>330</v>
      </c>
      <c r="C321" s="63"/>
      <c r="D321" s="64"/>
      <c r="E321" s="65"/>
      <c r="F321" s="66"/>
      <c r="G321" s="63"/>
      <c r="H321" s="67"/>
      <c r="I321" s="68"/>
      <c r="J321" s="68"/>
      <c r="K321" s="32"/>
      <c r="L321" s="75">
        <v>321</v>
      </c>
      <c r="M321" s="75"/>
      <c r="N321" s="70"/>
      <c r="O321" s="77" t="s">
        <v>179</v>
      </c>
      <c r="P321" s="79">
        <v>45187.885462962964</v>
      </c>
      <c r="Q321" s="77" t="s">
        <v>1205</v>
      </c>
      <c r="R321" s="77">
        <v>0</v>
      </c>
      <c r="S321" s="77">
        <v>0</v>
      </c>
      <c r="T321" s="77">
        <v>0</v>
      </c>
      <c r="U321" s="77">
        <v>0</v>
      </c>
      <c r="V321" s="77">
        <v>148</v>
      </c>
      <c r="W321" s="82" t="s">
        <v>4995</v>
      </c>
      <c r="X321" s="77"/>
      <c r="Y321" s="77"/>
      <c r="Z321" s="77"/>
      <c r="AA321" s="77" t="s">
        <v>6813</v>
      </c>
      <c r="AB321" s="77" t="s">
        <v>7742</v>
      </c>
      <c r="AC321" s="82" t="s">
        <v>7759</v>
      </c>
      <c r="AD321" s="77" t="s">
        <v>7789</v>
      </c>
      <c r="AE321" s="80" t="str">
        <f>HYPERLINK("https://twitter.com/verodatobr/status/1703880342732443785")</f>
        <v>https://twitter.com/verodatobr/status/1703880342732443785</v>
      </c>
      <c r="AF321" s="79">
        <v>45187.885462962964</v>
      </c>
      <c r="AG321" s="85">
        <v>45187</v>
      </c>
      <c r="AH321" s="82" t="s">
        <v>8084</v>
      </c>
      <c r="AI321" s="77" t="b">
        <v>0</v>
      </c>
      <c r="AJ321" s="77"/>
      <c r="AK321" s="77"/>
      <c r="AL321" s="77"/>
      <c r="AM321" s="77"/>
      <c r="AN321" s="77"/>
      <c r="AO321" s="77"/>
      <c r="AP321" s="77"/>
      <c r="AQ321" s="77" t="s">
        <v>10785</v>
      </c>
      <c r="AR321" s="77"/>
      <c r="AS321" s="77"/>
      <c r="AT321" s="77"/>
      <c r="AU321" s="77"/>
      <c r="AV321" s="80" t="str">
        <f>HYPERLINK("https://pbs.twimg.com/media/F6VmJKFXsAAMiJt.png")</f>
        <v>https://pbs.twimg.com/media/F6VmJKFXsAAMiJt.png</v>
      </c>
      <c r="AW321" s="82" t="s">
        <v>12025</v>
      </c>
      <c r="AX321" s="82" t="s">
        <v>12025</v>
      </c>
      <c r="AY321" s="77"/>
      <c r="AZ321" s="82" t="s">
        <v>15984</v>
      </c>
      <c r="BA321" s="82" t="s">
        <v>15984</v>
      </c>
      <c r="BB321" s="82" t="s">
        <v>15984</v>
      </c>
      <c r="BC321" s="82" t="s">
        <v>12025</v>
      </c>
      <c r="BD321" s="82" t="s">
        <v>16166</v>
      </c>
      <c r="BE321" s="77"/>
      <c r="BF321" s="77"/>
      <c r="BG321" s="77"/>
      <c r="BH321" s="77"/>
      <c r="BI321" s="77"/>
    </row>
    <row r="322" spans="1:61" x14ac:dyDescent="0.25">
      <c r="A322" s="62" t="s">
        <v>330</v>
      </c>
      <c r="B322" s="62" t="s">
        <v>330</v>
      </c>
      <c r="C322" s="63"/>
      <c r="D322" s="64"/>
      <c r="E322" s="65"/>
      <c r="F322" s="66"/>
      <c r="G322" s="63"/>
      <c r="H322" s="67"/>
      <c r="I322" s="68"/>
      <c r="J322" s="68"/>
      <c r="K322" s="32"/>
      <c r="L322" s="75">
        <v>322</v>
      </c>
      <c r="M322" s="75"/>
      <c r="N322" s="70"/>
      <c r="O322" s="77" t="s">
        <v>179</v>
      </c>
      <c r="P322" s="79">
        <v>45175.885474537034</v>
      </c>
      <c r="Q322" s="77" t="s">
        <v>1206</v>
      </c>
      <c r="R322" s="77">
        <v>0</v>
      </c>
      <c r="S322" s="77">
        <v>0</v>
      </c>
      <c r="T322" s="77">
        <v>0</v>
      </c>
      <c r="U322" s="77">
        <v>0</v>
      </c>
      <c r="V322" s="77">
        <v>10</v>
      </c>
      <c r="W322" s="82" t="s">
        <v>4995</v>
      </c>
      <c r="X322" s="77"/>
      <c r="Y322" s="77"/>
      <c r="Z322" s="77"/>
      <c r="AA322" s="77" t="s">
        <v>6814</v>
      </c>
      <c r="AB322" s="77" t="s">
        <v>7742</v>
      </c>
      <c r="AC322" s="82" t="s">
        <v>7759</v>
      </c>
      <c r="AD322" s="77" t="s">
        <v>7789</v>
      </c>
      <c r="AE322" s="80" t="str">
        <f>HYPERLINK("https://twitter.com/verodatobr/status/1699531688919904759")</f>
        <v>https://twitter.com/verodatobr/status/1699531688919904759</v>
      </c>
      <c r="AF322" s="79">
        <v>45175.885474537034</v>
      </c>
      <c r="AG322" s="85">
        <v>45175</v>
      </c>
      <c r="AH322" s="82" t="s">
        <v>8083</v>
      </c>
      <c r="AI322" s="77" t="b">
        <v>0</v>
      </c>
      <c r="AJ322" s="77"/>
      <c r="AK322" s="77"/>
      <c r="AL322" s="77"/>
      <c r="AM322" s="77"/>
      <c r="AN322" s="77"/>
      <c r="AO322" s="77"/>
      <c r="AP322" s="77"/>
      <c r="AQ322" s="77" t="s">
        <v>10786</v>
      </c>
      <c r="AR322" s="77"/>
      <c r="AS322" s="77"/>
      <c r="AT322" s="77"/>
      <c r="AU322" s="77"/>
      <c r="AV322" s="80" t="str">
        <f>HYPERLINK("https://pbs.twimg.com/media/F5XzEMQWwAAqFOe.png")</f>
        <v>https://pbs.twimg.com/media/F5XzEMQWwAAqFOe.png</v>
      </c>
      <c r="AW322" s="82" t="s">
        <v>12026</v>
      </c>
      <c r="AX322" s="82" t="s">
        <v>12026</v>
      </c>
      <c r="AY322" s="77"/>
      <c r="AZ322" s="82" t="s">
        <v>15984</v>
      </c>
      <c r="BA322" s="82" t="s">
        <v>15984</v>
      </c>
      <c r="BB322" s="82" t="s">
        <v>15984</v>
      </c>
      <c r="BC322" s="82" t="s">
        <v>12026</v>
      </c>
      <c r="BD322" s="82" t="s">
        <v>16166</v>
      </c>
      <c r="BE322" s="77"/>
      <c r="BF322" s="77"/>
      <c r="BG322" s="77"/>
      <c r="BH322" s="77"/>
      <c r="BI322" s="77"/>
    </row>
    <row r="323" spans="1:61" x14ac:dyDescent="0.25">
      <c r="A323" s="62" t="s">
        <v>330</v>
      </c>
      <c r="B323" s="62" t="s">
        <v>330</v>
      </c>
      <c r="C323" s="63"/>
      <c r="D323" s="64"/>
      <c r="E323" s="65"/>
      <c r="F323" s="66"/>
      <c r="G323" s="63"/>
      <c r="H323" s="67"/>
      <c r="I323" s="68"/>
      <c r="J323" s="68"/>
      <c r="K323" s="32"/>
      <c r="L323" s="75">
        <v>323</v>
      </c>
      <c r="M323" s="75"/>
      <c r="N323" s="70"/>
      <c r="O323" s="77" t="s">
        <v>179</v>
      </c>
      <c r="P323" s="79">
        <v>45191.885462962964</v>
      </c>
      <c r="Q323" s="77" t="s">
        <v>1207</v>
      </c>
      <c r="R323" s="77">
        <v>0</v>
      </c>
      <c r="S323" s="77">
        <v>0</v>
      </c>
      <c r="T323" s="77">
        <v>0</v>
      </c>
      <c r="U323" s="77">
        <v>0</v>
      </c>
      <c r="V323" s="77">
        <v>42</v>
      </c>
      <c r="W323" s="82" t="s">
        <v>4995</v>
      </c>
      <c r="X323" s="77"/>
      <c r="Y323" s="77"/>
      <c r="Z323" s="77"/>
      <c r="AA323" s="77" t="s">
        <v>6815</v>
      </c>
      <c r="AB323" s="77" t="s">
        <v>7742</v>
      </c>
      <c r="AC323" s="82" t="s">
        <v>7759</v>
      </c>
      <c r="AD323" s="77" t="s">
        <v>7789</v>
      </c>
      <c r="AE323" s="80" t="str">
        <f>HYPERLINK("https://twitter.com/verodatobr/status/1705329892814958889")</f>
        <v>https://twitter.com/verodatobr/status/1705329892814958889</v>
      </c>
      <c r="AF323" s="79">
        <v>45191.885462962964</v>
      </c>
      <c r="AG323" s="85">
        <v>45191</v>
      </c>
      <c r="AH323" s="82" t="s">
        <v>8084</v>
      </c>
      <c r="AI323" s="77" t="b">
        <v>0</v>
      </c>
      <c r="AJ323" s="77"/>
      <c r="AK323" s="77"/>
      <c r="AL323" s="77"/>
      <c r="AM323" s="77"/>
      <c r="AN323" s="77"/>
      <c r="AO323" s="77"/>
      <c r="AP323" s="77"/>
      <c r="AQ323" s="77" t="s">
        <v>10787</v>
      </c>
      <c r="AR323" s="77"/>
      <c r="AS323" s="77"/>
      <c r="AT323" s="77"/>
      <c r="AU323" s="77"/>
      <c r="AV323" s="80" t="str">
        <f>HYPERLINK("https://pbs.twimg.com/media/F6qMgFGWQAAsES0.png")</f>
        <v>https://pbs.twimg.com/media/F6qMgFGWQAAsES0.png</v>
      </c>
      <c r="AW323" s="82" t="s">
        <v>12027</v>
      </c>
      <c r="AX323" s="82" t="s">
        <v>12027</v>
      </c>
      <c r="AY323" s="77"/>
      <c r="AZ323" s="82" t="s">
        <v>15984</v>
      </c>
      <c r="BA323" s="82" t="s">
        <v>15984</v>
      </c>
      <c r="BB323" s="82" t="s">
        <v>15984</v>
      </c>
      <c r="BC323" s="82" t="s">
        <v>12027</v>
      </c>
      <c r="BD323" s="82" t="s">
        <v>16166</v>
      </c>
      <c r="BE323" s="77"/>
      <c r="BF323" s="77"/>
      <c r="BG323" s="77"/>
      <c r="BH323" s="77"/>
      <c r="BI323" s="77"/>
    </row>
    <row r="324" spans="1:61" x14ac:dyDescent="0.25">
      <c r="A324" s="62" t="s">
        <v>330</v>
      </c>
      <c r="B324" s="62" t="s">
        <v>330</v>
      </c>
      <c r="C324" s="63"/>
      <c r="D324" s="64"/>
      <c r="E324" s="65"/>
      <c r="F324" s="66"/>
      <c r="G324" s="63"/>
      <c r="H324" s="67"/>
      <c r="I324" s="68"/>
      <c r="J324" s="68"/>
      <c r="K324" s="32"/>
      <c r="L324" s="75">
        <v>324</v>
      </c>
      <c r="M324" s="75"/>
      <c r="N324" s="70"/>
      <c r="O324" s="77" t="s">
        <v>179</v>
      </c>
      <c r="P324" s="79">
        <v>45170.885474537034</v>
      </c>
      <c r="Q324" s="77" t="s">
        <v>1208</v>
      </c>
      <c r="R324" s="77">
        <v>0</v>
      </c>
      <c r="S324" s="77">
        <v>0</v>
      </c>
      <c r="T324" s="77">
        <v>0</v>
      </c>
      <c r="U324" s="77">
        <v>0</v>
      </c>
      <c r="V324" s="77">
        <v>45</v>
      </c>
      <c r="W324" s="82" t="s">
        <v>4995</v>
      </c>
      <c r="X324" s="77"/>
      <c r="Y324" s="77"/>
      <c r="Z324" s="77"/>
      <c r="AA324" s="77" t="s">
        <v>6816</v>
      </c>
      <c r="AB324" s="77" t="s">
        <v>7742</v>
      </c>
      <c r="AC324" s="82" t="s">
        <v>7759</v>
      </c>
      <c r="AD324" s="77" t="s">
        <v>7789</v>
      </c>
      <c r="AE324" s="80" t="str">
        <f>HYPERLINK("https://twitter.com/verodatobr/status/1697719749768061004")</f>
        <v>https://twitter.com/verodatobr/status/1697719749768061004</v>
      </c>
      <c r="AF324" s="79">
        <v>45170.885474537034</v>
      </c>
      <c r="AG324" s="85">
        <v>45170</v>
      </c>
      <c r="AH324" s="82" t="s">
        <v>8083</v>
      </c>
      <c r="AI324" s="77" t="b">
        <v>0</v>
      </c>
      <c r="AJ324" s="77"/>
      <c r="AK324" s="77"/>
      <c r="AL324" s="77"/>
      <c r="AM324" s="77"/>
      <c r="AN324" s="77"/>
      <c r="AO324" s="77"/>
      <c r="AP324" s="77"/>
      <c r="AQ324" s="77" t="s">
        <v>10788</v>
      </c>
      <c r="AR324" s="77"/>
      <c r="AS324" s="77"/>
      <c r="AT324" s="77"/>
      <c r="AU324" s="77"/>
      <c r="AV324" s="80" t="str">
        <f>HYPERLINK("https://pbs.twimg.com/media/F4-DHc6XMAA8rOM.png")</f>
        <v>https://pbs.twimg.com/media/F4-DHc6XMAA8rOM.png</v>
      </c>
      <c r="AW324" s="82" t="s">
        <v>12028</v>
      </c>
      <c r="AX324" s="82" t="s">
        <v>12028</v>
      </c>
      <c r="AY324" s="77"/>
      <c r="AZ324" s="82" t="s">
        <v>15984</v>
      </c>
      <c r="BA324" s="82" t="s">
        <v>15984</v>
      </c>
      <c r="BB324" s="82" t="s">
        <v>15984</v>
      </c>
      <c r="BC324" s="82" t="s">
        <v>12028</v>
      </c>
      <c r="BD324" s="82" t="s">
        <v>16166</v>
      </c>
      <c r="BE324" s="77"/>
      <c r="BF324" s="77"/>
      <c r="BG324" s="77"/>
      <c r="BH324" s="77"/>
      <c r="BI324" s="77"/>
    </row>
    <row r="325" spans="1:61" x14ac:dyDescent="0.25">
      <c r="A325" s="62" t="s">
        <v>330</v>
      </c>
      <c r="B325" s="62" t="s">
        <v>330</v>
      </c>
      <c r="C325" s="63"/>
      <c r="D325" s="64"/>
      <c r="E325" s="65"/>
      <c r="F325" s="66"/>
      <c r="G325" s="63"/>
      <c r="H325" s="67"/>
      <c r="I325" s="68"/>
      <c r="J325" s="68"/>
      <c r="K325" s="32"/>
      <c r="L325" s="75">
        <v>325</v>
      </c>
      <c r="M325" s="75"/>
      <c r="N325" s="70"/>
      <c r="O325" s="77" t="s">
        <v>179</v>
      </c>
      <c r="P325" s="79">
        <v>45190.88559027778</v>
      </c>
      <c r="Q325" s="77" t="s">
        <v>1209</v>
      </c>
      <c r="R325" s="77">
        <v>0</v>
      </c>
      <c r="S325" s="77">
        <v>0</v>
      </c>
      <c r="T325" s="77">
        <v>0</v>
      </c>
      <c r="U325" s="77">
        <v>0</v>
      </c>
      <c r="V325" s="77">
        <v>31</v>
      </c>
      <c r="W325" s="82" t="s">
        <v>4995</v>
      </c>
      <c r="X325" s="77"/>
      <c r="Y325" s="77"/>
      <c r="Z325" s="77"/>
      <c r="AA325" s="77" t="s">
        <v>6817</v>
      </c>
      <c r="AB325" s="77" t="s">
        <v>7742</v>
      </c>
      <c r="AC325" s="82" t="s">
        <v>7759</v>
      </c>
      <c r="AD325" s="77" t="s">
        <v>7789</v>
      </c>
      <c r="AE325" s="80" t="str">
        <f>HYPERLINK("https://twitter.com/verodatobr/status/1704967549689929818")</f>
        <v>https://twitter.com/verodatobr/status/1704967549689929818</v>
      </c>
      <c r="AF325" s="79">
        <v>45190.88559027778</v>
      </c>
      <c r="AG325" s="85">
        <v>45190</v>
      </c>
      <c r="AH325" s="82" t="s">
        <v>8085</v>
      </c>
      <c r="AI325" s="77" t="b">
        <v>0</v>
      </c>
      <c r="AJ325" s="77"/>
      <c r="AK325" s="77"/>
      <c r="AL325" s="77"/>
      <c r="AM325" s="77"/>
      <c r="AN325" s="77"/>
      <c r="AO325" s="77"/>
      <c r="AP325" s="77"/>
      <c r="AQ325" s="77" t="s">
        <v>10789</v>
      </c>
      <c r="AR325" s="77"/>
      <c r="AS325" s="77"/>
      <c r="AT325" s="77"/>
      <c r="AU325" s="77"/>
      <c r="AV325" s="80" t="str">
        <f>HYPERLINK("https://pbs.twimg.com/media/F6lC86gXEAA5GLL.png")</f>
        <v>https://pbs.twimg.com/media/F6lC86gXEAA5GLL.png</v>
      </c>
      <c r="AW325" s="82" t="s">
        <v>12029</v>
      </c>
      <c r="AX325" s="82" t="s">
        <v>12029</v>
      </c>
      <c r="AY325" s="77"/>
      <c r="AZ325" s="82" t="s">
        <v>15984</v>
      </c>
      <c r="BA325" s="82" t="s">
        <v>15984</v>
      </c>
      <c r="BB325" s="82" t="s">
        <v>15984</v>
      </c>
      <c r="BC325" s="82" t="s">
        <v>12029</v>
      </c>
      <c r="BD325" s="82" t="s">
        <v>16166</v>
      </c>
      <c r="BE325" s="77"/>
      <c r="BF325" s="77"/>
      <c r="BG325" s="77"/>
      <c r="BH325" s="77"/>
      <c r="BI325" s="77"/>
    </row>
    <row r="326" spans="1:61" x14ac:dyDescent="0.25">
      <c r="A326" s="62" t="s">
        <v>330</v>
      </c>
      <c r="B326" s="62" t="s">
        <v>330</v>
      </c>
      <c r="C326" s="63"/>
      <c r="D326" s="64"/>
      <c r="E326" s="65"/>
      <c r="F326" s="66"/>
      <c r="G326" s="63"/>
      <c r="H326" s="67"/>
      <c r="I326" s="68"/>
      <c r="J326" s="68"/>
      <c r="K326" s="32"/>
      <c r="L326" s="75">
        <v>326</v>
      </c>
      <c r="M326" s="75"/>
      <c r="N326" s="70"/>
      <c r="O326" s="77" t="s">
        <v>179</v>
      </c>
      <c r="P326" s="79">
        <v>45189.885474537034</v>
      </c>
      <c r="Q326" s="77" t="s">
        <v>1210</v>
      </c>
      <c r="R326" s="77">
        <v>0</v>
      </c>
      <c r="S326" s="77">
        <v>0</v>
      </c>
      <c r="T326" s="77">
        <v>0</v>
      </c>
      <c r="U326" s="77">
        <v>0</v>
      </c>
      <c r="V326" s="77">
        <v>74</v>
      </c>
      <c r="W326" s="82" t="s">
        <v>4995</v>
      </c>
      <c r="X326" s="77"/>
      <c r="Y326" s="77"/>
      <c r="Z326" s="77"/>
      <c r="AA326" s="77" t="s">
        <v>6818</v>
      </c>
      <c r="AB326" s="77" t="s">
        <v>7742</v>
      </c>
      <c r="AC326" s="82" t="s">
        <v>7759</v>
      </c>
      <c r="AD326" s="77" t="s">
        <v>7789</v>
      </c>
      <c r="AE326" s="80" t="str">
        <f>HYPERLINK("https://twitter.com/verodatobr/status/1704605119969722687")</f>
        <v>https://twitter.com/verodatobr/status/1704605119969722687</v>
      </c>
      <c r="AF326" s="79">
        <v>45189.885474537034</v>
      </c>
      <c r="AG326" s="85">
        <v>45189</v>
      </c>
      <c r="AH326" s="82" t="s">
        <v>8083</v>
      </c>
      <c r="AI326" s="77" t="b">
        <v>0</v>
      </c>
      <c r="AJ326" s="77"/>
      <c r="AK326" s="77"/>
      <c r="AL326" s="77"/>
      <c r="AM326" s="77"/>
      <c r="AN326" s="77"/>
      <c r="AO326" s="77"/>
      <c r="AP326" s="77"/>
      <c r="AQ326" s="77" t="s">
        <v>10790</v>
      </c>
      <c r="AR326" s="77"/>
      <c r="AS326" s="77"/>
      <c r="AT326" s="77"/>
      <c r="AU326" s="77"/>
      <c r="AV326" s="80" t="str">
        <f>HYPERLINK("https://pbs.twimg.com/media/F6f5UvLWQAc8SC5.png")</f>
        <v>https://pbs.twimg.com/media/F6f5UvLWQAc8SC5.png</v>
      </c>
      <c r="AW326" s="82" t="s">
        <v>12030</v>
      </c>
      <c r="AX326" s="82" t="s">
        <v>12030</v>
      </c>
      <c r="AY326" s="77"/>
      <c r="AZ326" s="82" t="s">
        <v>15984</v>
      </c>
      <c r="BA326" s="82" t="s">
        <v>15984</v>
      </c>
      <c r="BB326" s="82" t="s">
        <v>15984</v>
      </c>
      <c r="BC326" s="82" t="s">
        <v>12030</v>
      </c>
      <c r="BD326" s="82" t="s">
        <v>16166</v>
      </c>
      <c r="BE326" s="77"/>
      <c r="BF326" s="77"/>
      <c r="BG326" s="77"/>
      <c r="BH326" s="77"/>
      <c r="BI326" s="77"/>
    </row>
    <row r="327" spans="1:61" x14ac:dyDescent="0.25">
      <c r="A327" s="62" t="s">
        <v>330</v>
      </c>
      <c r="B327" s="62" t="s">
        <v>330</v>
      </c>
      <c r="C327" s="63"/>
      <c r="D327" s="64"/>
      <c r="E327" s="65"/>
      <c r="F327" s="66"/>
      <c r="G327" s="63"/>
      <c r="H327" s="67"/>
      <c r="I327" s="68"/>
      <c r="J327" s="68"/>
      <c r="K327" s="32"/>
      <c r="L327" s="75">
        <v>327</v>
      </c>
      <c r="M327" s="75"/>
      <c r="N327" s="70"/>
      <c r="O327" s="77" t="s">
        <v>179</v>
      </c>
      <c r="P327" s="79">
        <v>45177.885474537034</v>
      </c>
      <c r="Q327" s="77" t="s">
        <v>1211</v>
      </c>
      <c r="R327" s="77">
        <v>0</v>
      </c>
      <c r="S327" s="77">
        <v>0</v>
      </c>
      <c r="T327" s="77">
        <v>0</v>
      </c>
      <c r="U327" s="77">
        <v>0</v>
      </c>
      <c r="V327" s="77">
        <v>66</v>
      </c>
      <c r="W327" s="82" t="s">
        <v>4995</v>
      </c>
      <c r="X327" s="77"/>
      <c r="Y327" s="77"/>
      <c r="Z327" s="77"/>
      <c r="AA327" s="77" t="s">
        <v>6819</v>
      </c>
      <c r="AB327" s="77" t="s">
        <v>7742</v>
      </c>
      <c r="AC327" s="82" t="s">
        <v>7759</v>
      </c>
      <c r="AD327" s="77" t="s">
        <v>7789</v>
      </c>
      <c r="AE327" s="80" t="str">
        <f>HYPERLINK("https://twitter.com/verodatobr/status/1700256466186191177")</f>
        <v>https://twitter.com/verodatobr/status/1700256466186191177</v>
      </c>
      <c r="AF327" s="79">
        <v>45177.885474537034</v>
      </c>
      <c r="AG327" s="85">
        <v>45177</v>
      </c>
      <c r="AH327" s="82" t="s">
        <v>8083</v>
      </c>
      <c r="AI327" s="77" t="b">
        <v>0</v>
      </c>
      <c r="AJ327" s="77"/>
      <c r="AK327" s="77"/>
      <c r="AL327" s="77"/>
      <c r="AM327" s="77"/>
      <c r="AN327" s="77"/>
      <c r="AO327" s="77"/>
      <c r="AP327" s="77"/>
      <c r="AQ327" s="77" t="s">
        <v>10791</v>
      </c>
      <c r="AR327" s="77"/>
      <c r="AS327" s="77"/>
      <c r="AT327" s="77"/>
      <c r="AU327" s="77"/>
      <c r="AV327" s="80" t="str">
        <f>HYPERLINK("https://pbs.twimg.com/media/F5iGPyMWoAAZzpy.png")</f>
        <v>https://pbs.twimg.com/media/F5iGPyMWoAAZzpy.png</v>
      </c>
      <c r="AW327" s="82" t="s">
        <v>12031</v>
      </c>
      <c r="AX327" s="82" t="s">
        <v>12031</v>
      </c>
      <c r="AY327" s="77"/>
      <c r="AZ327" s="82" t="s">
        <v>15984</v>
      </c>
      <c r="BA327" s="82" t="s">
        <v>15984</v>
      </c>
      <c r="BB327" s="82" t="s">
        <v>15984</v>
      </c>
      <c r="BC327" s="82" t="s">
        <v>12031</v>
      </c>
      <c r="BD327" s="82" t="s">
        <v>16166</v>
      </c>
      <c r="BE327" s="77"/>
      <c r="BF327" s="77"/>
      <c r="BG327" s="77"/>
      <c r="BH327" s="77"/>
      <c r="BI327" s="77"/>
    </row>
    <row r="328" spans="1:61" x14ac:dyDescent="0.25">
      <c r="A328" s="62" t="s">
        <v>330</v>
      </c>
      <c r="B328" s="62" t="s">
        <v>330</v>
      </c>
      <c r="C328" s="63"/>
      <c r="D328" s="64"/>
      <c r="E328" s="65"/>
      <c r="F328" s="66"/>
      <c r="G328" s="63"/>
      <c r="H328" s="67"/>
      <c r="I328" s="68"/>
      <c r="J328" s="68"/>
      <c r="K328" s="32"/>
      <c r="L328" s="75">
        <v>328</v>
      </c>
      <c r="M328" s="75"/>
      <c r="N328" s="70"/>
      <c r="O328" s="77" t="s">
        <v>179</v>
      </c>
      <c r="P328" s="79">
        <v>45194.885462962964</v>
      </c>
      <c r="Q328" s="77" t="s">
        <v>1212</v>
      </c>
      <c r="R328" s="77">
        <v>0</v>
      </c>
      <c r="S328" s="77">
        <v>0</v>
      </c>
      <c r="T328" s="77">
        <v>0</v>
      </c>
      <c r="U328" s="77">
        <v>0</v>
      </c>
      <c r="V328" s="77">
        <v>47</v>
      </c>
      <c r="W328" s="82" t="s">
        <v>4995</v>
      </c>
      <c r="X328" s="77"/>
      <c r="Y328" s="77"/>
      <c r="Z328" s="77"/>
      <c r="AA328" s="77" t="s">
        <v>6820</v>
      </c>
      <c r="AB328" s="77" t="s">
        <v>7742</v>
      </c>
      <c r="AC328" s="82" t="s">
        <v>7759</v>
      </c>
      <c r="AD328" s="77" t="s">
        <v>7789</v>
      </c>
      <c r="AE328" s="80" t="str">
        <f>HYPERLINK("https://twitter.com/verodatobr/status/1706417056122335357")</f>
        <v>https://twitter.com/verodatobr/status/1706417056122335357</v>
      </c>
      <c r="AF328" s="79">
        <v>45194.885462962964</v>
      </c>
      <c r="AG328" s="85">
        <v>45194</v>
      </c>
      <c r="AH328" s="82" t="s">
        <v>8084</v>
      </c>
      <c r="AI328" s="77" t="b">
        <v>0</v>
      </c>
      <c r="AJ328" s="77"/>
      <c r="AK328" s="77"/>
      <c r="AL328" s="77"/>
      <c r="AM328" s="77"/>
      <c r="AN328" s="77"/>
      <c r="AO328" s="77"/>
      <c r="AP328" s="77"/>
      <c r="AQ328" s="77" t="s">
        <v>10792</v>
      </c>
      <c r="AR328" s="77"/>
      <c r="AS328" s="77"/>
      <c r="AT328" s="77"/>
      <c r="AU328" s="77"/>
      <c r="AV328" s="80" t="str">
        <f>HYPERLINK("https://pbs.twimg.com/media/F65pRTxX0AAZ56v.png")</f>
        <v>https://pbs.twimg.com/media/F65pRTxX0AAZ56v.png</v>
      </c>
      <c r="AW328" s="82" t="s">
        <v>12032</v>
      </c>
      <c r="AX328" s="82" t="s">
        <v>12032</v>
      </c>
      <c r="AY328" s="77"/>
      <c r="AZ328" s="82" t="s">
        <v>15984</v>
      </c>
      <c r="BA328" s="82" t="s">
        <v>15984</v>
      </c>
      <c r="BB328" s="82" t="s">
        <v>15984</v>
      </c>
      <c r="BC328" s="82" t="s">
        <v>12032</v>
      </c>
      <c r="BD328" s="82" t="s">
        <v>16166</v>
      </c>
      <c r="BE328" s="77"/>
      <c r="BF328" s="77"/>
      <c r="BG328" s="77"/>
      <c r="BH328" s="77"/>
      <c r="BI328" s="77"/>
    </row>
    <row r="329" spans="1:61" x14ac:dyDescent="0.25">
      <c r="A329" s="62" t="s">
        <v>330</v>
      </c>
      <c r="B329" s="62" t="s">
        <v>330</v>
      </c>
      <c r="C329" s="63"/>
      <c r="D329" s="64"/>
      <c r="E329" s="65"/>
      <c r="F329" s="66"/>
      <c r="G329" s="63"/>
      <c r="H329" s="67"/>
      <c r="I329" s="68"/>
      <c r="J329" s="68"/>
      <c r="K329" s="32"/>
      <c r="L329" s="75">
        <v>329</v>
      </c>
      <c r="M329" s="75"/>
      <c r="N329" s="70"/>
      <c r="O329" s="77" t="s">
        <v>179</v>
      </c>
      <c r="P329" s="79">
        <v>45195.885462962964</v>
      </c>
      <c r="Q329" s="77" t="s">
        <v>1213</v>
      </c>
      <c r="R329" s="77">
        <v>0</v>
      </c>
      <c r="S329" s="77">
        <v>0</v>
      </c>
      <c r="T329" s="77">
        <v>0</v>
      </c>
      <c r="U329" s="77">
        <v>0</v>
      </c>
      <c r="V329" s="77">
        <v>44</v>
      </c>
      <c r="W329" s="82" t="s">
        <v>4995</v>
      </c>
      <c r="X329" s="77"/>
      <c r="Y329" s="77"/>
      <c r="Z329" s="77"/>
      <c r="AA329" s="77" t="s">
        <v>6821</v>
      </c>
      <c r="AB329" s="77" t="s">
        <v>7742</v>
      </c>
      <c r="AC329" s="82" t="s">
        <v>7759</v>
      </c>
      <c r="AD329" s="77" t="s">
        <v>7789</v>
      </c>
      <c r="AE329" s="80" t="str">
        <f>HYPERLINK("https://twitter.com/verodatobr/status/1706779445946732574")</f>
        <v>https://twitter.com/verodatobr/status/1706779445946732574</v>
      </c>
      <c r="AF329" s="79">
        <v>45195.885462962964</v>
      </c>
      <c r="AG329" s="85">
        <v>45195</v>
      </c>
      <c r="AH329" s="82" t="s">
        <v>8084</v>
      </c>
      <c r="AI329" s="77" t="b">
        <v>0</v>
      </c>
      <c r="AJ329" s="77"/>
      <c r="AK329" s="77"/>
      <c r="AL329" s="77"/>
      <c r="AM329" s="77"/>
      <c r="AN329" s="77"/>
      <c r="AO329" s="77"/>
      <c r="AP329" s="77"/>
      <c r="AQ329" s="77" t="s">
        <v>10793</v>
      </c>
      <c r="AR329" s="77"/>
      <c r="AS329" s="77"/>
      <c r="AT329" s="77"/>
      <c r="AU329" s="77"/>
      <c r="AV329" s="80" t="str">
        <f>HYPERLINK("https://pbs.twimg.com/media/F6-y3IDWwAIwtLa.png")</f>
        <v>https://pbs.twimg.com/media/F6-y3IDWwAIwtLa.png</v>
      </c>
      <c r="AW329" s="82" t="s">
        <v>12033</v>
      </c>
      <c r="AX329" s="82" t="s">
        <v>12033</v>
      </c>
      <c r="AY329" s="77"/>
      <c r="AZ329" s="82" t="s">
        <v>15984</v>
      </c>
      <c r="BA329" s="82" t="s">
        <v>15984</v>
      </c>
      <c r="BB329" s="82" t="s">
        <v>15984</v>
      </c>
      <c r="BC329" s="82" t="s">
        <v>12033</v>
      </c>
      <c r="BD329" s="82" t="s">
        <v>16166</v>
      </c>
      <c r="BE329" s="77"/>
      <c r="BF329" s="77"/>
      <c r="BG329" s="77"/>
      <c r="BH329" s="77"/>
      <c r="BI329" s="77"/>
    </row>
    <row r="330" spans="1:61" x14ac:dyDescent="0.25">
      <c r="A330" s="62" t="s">
        <v>330</v>
      </c>
      <c r="B330" s="62" t="s">
        <v>330</v>
      </c>
      <c r="C330" s="63"/>
      <c r="D330" s="64"/>
      <c r="E330" s="65"/>
      <c r="F330" s="66"/>
      <c r="G330" s="63"/>
      <c r="H330" s="67"/>
      <c r="I330" s="68"/>
      <c r="J330" s="68"/>
      <c r="K330" s="32"/>
      <c r="L330" s="75">
        <v>330</v>
      </c>
      <c r="M330" s="75"/>
      <c r="N330" s="70"/>
      <c r="O330" s="77" t="s">
        <v>179</v>
      </c>
      <c r="P330" s="79">
        <v>45182.885462962964</v>
      </c>
      <c r="Q330" s="77" t="s">
        <v>1214</v>
      </c>
      <c r="R330" s="77">
        <v>0</v>
      </c>
      <c r="S330" s="77">
        <v>0</v>
      </c>
      <c r="T330" s="77">
        <v>0</v>
      </c>
      <c r="U330" s="77">
        <v>0</v>
      </c>
      <c r="V330" s="77">
        <v>263</v>
      </c>
      <c r="W330" s="82" t="s">
        <v>4995</v>
      </c>
      <c r="X330" s="77"/>
      <c r="Y330" s="77"/>
      <c r="Z330" s="77"/>
      <c r="AA330" s="77" t="s">
        <v>6822</v>
      </c>
      <c r="AB330" s="77" t="s">
        <v>7742</v>
      </c>
      <c r="AC330" s="82" t="s">
        <v>7759</v>
      </c>
      <c r="AD330" s="77" t="s">
        <v>7789</v>
      </c>
      <c r="AE330" s="80" t="str">
        <f>HYPERLINK("https://twitter.com/verodatobr/status/1702068403417063835")</f>
        <v>https://twitter.com/verodatobr/status/1702068403417063835</v>
      </c>
      <c r="AF330" s="79">
        <v>45182.885462962964</v>
      </c>
      <c r="AG330" s="85">
        <v>45182</v>
      </c>
      <c r="AH330" s="82" t="s">
        <v>8084</v>
      </c>
      <c r="AI330" s="77" t="b">
        <v>0</v>
      </c>
      <c r="AJ330" s="77"/>
      <c r="AK330" s="77"/>
      <c r="AL330" s="77"/>
      <c r="AM330" s="77"/>
      <c r="AN330" s="77"/>
      <c r="AO330" s="77"/>
      <c r="AP330" s="77"/>
      <c r="AQ330" s="77" t="s">
        <v>10794</v>
      </c>
      <c r="AR330" s="77"/>
      <c r="AS330" s="77"/>
      <c r="AT330" s="77"/>
      <c r="AU330" s="77"/>
      <c r="AV330" s="80" t="str">
        <f>HYPERLINK("https://pbs.twimg.com/media/F572MZ8WQAAaPdj.png")</f>
        <v>https://pbs.twimg.com/media/F572MZ8WQAAaPdj.png</v>
      </c>
      <c r="AW330" s="82" t="s">
        <v>12034</v>
      </c>
      <c r="AX330" s="82" t="s">
        <v>12034</v>
      </c>
      <c r="AY330" s="77"/>
      <c r="AZ330" s="82" t="s">
        <v>15984</v>
      </c>
      <c r="BA330" s="82" t="s">
        <v>15984</v>
      </c>
      <c r="BB330" s="82" t="s">
        <v>15984</v>
      </c>
      <c r="BC330" s="82" t="s">
        <v>12034</v>
      </c>
      <c r="BD330" s="82" t="s">
        <v>16166</v>
      </c>
      <c r="BE330" s="77"/>
      <c r="BF330" s="77"/>
      <c r="BG330" s="77"/>
      <c r="BH330" s="77"/>
      <c r="BI330" s="77"/>
    </row>
    <row r="331" spans="1:61" x14ac:dyDescent="0.25">
      <c r="A331" s="62" t="s">
        <v>330</v>
      </c>
      <c r="B331" s="62" t="s">
        <v>330</v>
      </c>
      <c r="C331" s="63"/>
      <c r="D331" s="64"/>
      <c r="E331" s="65"/>
      <c r="F331" s="66"/>
      <c r="G331" s="63"/>
      <c r="H331" s="67"/>
      <c r="I331" s="68"/>
      <c r="J331" s="68"/>
      <c r="K331" s="32"/>
      <c r="L331" s="75">
        <v>331</v>
      </c>
      <c r="M331" s="75"/>
      <c r="N331" s="70"/>
      <c r="O331" s="77" t="s">
        <v>179</v>
      </c>
      <c r="P331" s="79">
        <v>45196.911111111112</v>
      </c>
      <c r="Q331" s="77" t="s">
        <v>1215</v>
      </c>
      <c r="R331" s="77">
        <v>0</v>
      </c>
      <c r="S331" s="77">
        <v>0</v>
      </c>
      <c r="T331" s="77">
        <v>0</v>
      </c>
      <c r="U331" s="77">
        <v>0</v>
      </c>
      <c r="V331" s="77">
        <v>22</v>
      </c>
      <c r="W331" s="82" t="s">
        <v>4995</v>
      </c>
      <c r="X331" s="77"/>
      <c r="Y331" s="77"/>
      <c r="Z331" s="77"/>
      <c r="AA331" s="77" t="s">
        <v>6823</v>
      </c>
      <c r="AB331" s="77" t="s">
        <v>7742</v>
      </c>
      <c r="AC331" s="82" t="s">
        <v>7750</v>
      </c>
      <c r="AD331" s="77" t="s">
        <v>7789</v>
      </c>
      <c r="AE331" s="80" t="str">
        <f>HYPERLINK("https://twitter.com/verodatobr/status/1707151125789474854")</f>
        <v>https://twitter.com/verodatobr/status/1707151125789474854</v>
      </c>
      <c r="AF331" s="79">
        <v>45196.911111111112</v>
      </c>
      <c r="AG331" s="85">
        <v>45196</v>
      </c>
      <c r="AH331" s="82" t="s">
        <v>7952</v>
      </c>
      <c r="AI331" s="77" t="b">
        <v>0</v>
      </c>
      <c r="AJ331" s="77"/>
      <c r="AK331" s="77"/>
      <c r="AL331" s="77"/>
      <c r="AM331" s="77"/>
      <c r="AN331" s="77"/>
      <c r="AO331" s="77"/>
      <c r="AP331" s="77"/>
      <c r="AQ331" s="77" t="s">
        <v>10795</v>
      </c>
      <c r="AR331" s="77"/>
      <c r="AS331" s="77"/>
      <c r="AT331" s="77"/>
      <c r="AU331" s="77"/>
      <c r="AV331" s="80" t="str">
        <f>HYPERLINK("https://pbs.twimg.com/media/F7EE5kfXAAAeeAe.png")</f>
        <v>https://pbs.twimg.com/media/F7EE5kfXAAAeeAe.png</v>
      </c>
      <c r="AW331" s="82" t="s">
        <v>12035</v>
      </c>
      <c r="AX331" s="82" t="s">
        <v>12035</v>
      </c>
      <c r="AY331" s="77"/>
      <c r="AZ331" s="82" t="s">
        <v>15984</v>
      </c>
      <c r="BA331" s="82" t="s">
        <v>15984</v>
      </c>
      <c r="BB331" s="82" t="s">
        <v>15984</v>
      </c>
      <c r="BC331" s="82" t="s">
        <v>12035</v>
      </c>
      <c r="BD331" s="82" t="s">
        <v>16166</v>
      </c>
      <c r="BE331" s="77"/>
      <c r="BF331" s="77"/>
      <c r="BG331" s="77"/>
      <c r="BH331" s="77"/>
      <c r="BI331" s="77"/>
    </row>
    <row r="332" spans="1:61" x14ac:dyDescent="0.25">
      <c r="A332" s="62" t="s">
        <v>330</v>
      </c>
      <c r="B332" s="62" t="s">
        <v>330</v>
      </c>
      <c r="C332" s="63"/>
      <c r="D332" s="64"/>
      <c r="E332" s="65"/>
      <c r="F332" s="66"/>
      <c r="G332" s="63"/>
      <c r="H332" s="67"/>
      <c r="I332" s="68"/>
      <c r="J332" s="68"/>
      <c r="K332" s="32"/>
      <c r="L332" s="75">
        <v>332</v>
      </c>
      <c r="M332" s="75"/>
      <c r="N332" s="70"/>
      <c r="O332" s="77" t="s">
        <v>179</v>
      </c>
      <c r="P332" s="79">
        <v>45188.885474537034</v>
      </c>
      <c r="Q332" s="77" t="s">
        <v>1216</v>
      </c>
      <c r="R332" s="77">
        <v>0</v>
      </c>
      <c r="S332" s="77">
        <v>0</v>
      </c>
      <c r="T332" s="77">
        <v>0</v>
      </c>
      <c r="U332" s="77">
        <v>0</v>
      </c>
      <c r="V332" s="77">
        <v>123</v>
      </c>
      <c r="W332" s="82" t="s">
        <v>4995</v>
      </c>
      <c r="X332" s="77"/>
      <c r="Y332" s="77"/>
      <c r="Z332" s="77"/>
      <c r="AA332" s="77" t="s">
        <v>6824</v>
      </c>
      <c r="AB332" s="77" t="s">
        <v>7742</v>
      </c>
      <c r="AC332" s="82" t="s">
        <v>7759</v>
      </c>
      <c r="AD332" s="77" t="s">
        <v>7789</v>
      </c>
      <c r="AE332" s="80" t="str">
        <f>HYPERLINK("https://twitter.com/verodatobr/status/1704242731059445879")</f>
        <v>https://twitter.com/verodatobr/status/1704242731059445879</v>
      </c>
      <c r="AF332" s="79">
        <v>45188.885474537034</v>
      </c>
      <c r="AG332" s="85">
        <v>45188</v>
      </c>
      <c r="AH332" s="82" t="s">
        <v>8083</v>
      </c>
      <c r="AI332" s="77" t="b">
        <v>0</v>
      </c>
      <c r="AJ332" s="77"/>
      <c r="AK332" s="77"/>
      <c r="AL332" s="77"/>
      <c r="AM332" s="77"/>
      <c r="AN332" s="77"/>
      <c r="AO332" s="77"/>
      <c r="AP332" s="77"/>
      <c r="AQ332" s="77" t="s">
        <v>10796</v>
      </c>
      <c r="AR332" s="77"/>
      <c r="AS332" s="77"/>
      <c r="AT332" s="77"/>
      <c r="AU332" s="77"/>
      <c r="AV332" s="80" t="str">
        <f>HYPERLINK("https://pbs.twimg.com/media/F6avu5yXsAAwPWZ.png")</f>
        <v>https://pbs.twimg.com/media/F6avu5yXsAAwPWZ.png</v>
      </c>
      <c r="AW332" s="82" t="s">
        <v>12036</v>
      </c>
      <c r="AX332" s="82" t="s">
        <v>12036</v>
      </c>
      <c r="AY332" s="77"/>
      <c r="AZ332" s="82" t="s">
        <v>15984</v>
      </c>
      <c r="BA332" s="82" t="s">
        <v>15984</v>
      </c>
      <c r="BB332" s="82" t="s">
        <v>15984</v>
      </c>
      <c r="BC332" s="82" t="s">
        <v>12036</v>
      </c>
      <c r="BD332" s="82" t="s">
        <v>16166</v>
      </c>
      <c r="BE332" s="77"/>
      <c r="BF332" s="77"/>
      <c r="BG332" s="77"/>
      <c r="BH332" s="77"/>
      <c r="BI332" s="77"/>
    </row>
    <row r="333" spans="1:61" x14ac:dyDescent="0.25">
      <c r="A333" s="62" t="s">
        <v>330</v>
      </c>
      <c r="B333" s="62" t="s">
        <v>330</v>
      </c>
      <c r="C333" s="63"/>
      <c r="D333" s="64"/>
      <c r="E333" s="65"/>
      <c r="F333" s="66"/>
      <c r="G333" s="63"/>
      <c r="H333" s="67"/>
      <c r="I333" s="68"/>
      <c r="J333" s="68"/>
      <c r="K333" s="32"/>
      <c r="L333" s="75">
        <v>333</v>
      </c>
      <c r="M333" s="75"/>
      <c r="N333" s="70"/>
      <c r="O333" s="77" t="s">
        <v>179</v>
      </c>
      <c r="P333" s="79">
        <v>45180.885474537034</v>
      </c>
      <c r="Q333" s="77" t="s">
        <v>1217</v>
      </c>
      <c r="R333" s="77">
        <v>0</v>
      </c>
      <c r="S333" s="77">
        <v>0</v>
      </c>
      <c r="T333" s="77">
        <v>0</v>
      </c>
      <c r="U333" s="77">
        <v>0</v>
      </c>
      <c r="V333" s="77">
        <v>27</v>
      </c>
      <c r="W333" s="82" t="s">
        <v>4995</v>
      </c>
      <c r="X333" s="77"/>
      <c r="Y333" s="77"/>
      <c r="Z333" s="77"/>
      <c r="AA333" s="77" t="s">
        <v>6825</v>
      </c>
      <c r="AB333" s="77" t="s">
        <v>7742</v>
      </c>
      <c r="AC333" s="82" t="s">
        <v>7759</v>
      </c>
      <c r="AD333" s="77" t="s">
        <v>7789</v>
      </c>
      <c r="AE333" s="80" t="str">
        <f>HYPERLINK("https://twitter.com/verodatobr/status/1701343630357647492")</f>
        <v>https://twitter.com/verodatobr/status/1701343630357647492</v>
      </c>
      <c r="AF333" s="79">
        <v>45180.885474537034</v>
      </c>
      <c r="AG333" s="85">
        <v>45180</v>
      </c>
      <c r="AH333" s="82" t="s">
        <v>8083</v>
      </c>
      <c r="AI333" s="77" t="b">
        <v>0</v>
      </c>
      <c r="AJ333" s="77"/>
      <c r="AK333" s="77"/>
      <c r="AL333" s="77"/>
      <c r="AM333" s="77"/>
      <c r="AN333" s="77"/>
      <c r="AO333" s="77"/>
      <c r="AP333" s="77"/>
      <c r="AQ333" s="77" t="s">
        <v>10797</v>
      </c>
      <c r="AR333" s="77"/>
      <c r="AS333" s="77"/>
      <c r="AT333" s="77"/>
      <c r="AU333" s="77"/>
      <c r="AV333" s="80" t="str">
        <f>HYPERLINK("https://pbs.twimg.com/media/F5xjBEXWwAAvqLv.png")</f>
        <v>https://pbs.twimg.com/media/F5xjBEXWwAAvqLv.png</v>
      </c>
      <c r="AW333" s="82" t="s">
        <v>12037</v>
      </c>
      <c r="AX333" s="82" t="s">
        <v>12037</v>
      </c>
      <c r="AY333" s="77"/>
      <c r="AZ333" s="82" t="s">
        <v>15984</v>
      </c>
      <c r="BA333" s="82" t="s">
        <v>15984</v>
      </c>
      <c r="BB333" s="82" t="s">
        <v>15984</v>
      </c>
      <c r="BC333" s="82" t="s">
        <v>12037</v>
      </c>
      <c r="BD333" s="82" t="s">
        <v>16166</v>
      </c>
      <c r="BE333" s="77"/>
      <c r="BF333" s="77"/>
      <c r="BG333" s="77"/>
      <c r="BH333" s="77"/>
      <c r="BI333" s="77"/>
    </row>
    <row r="334" spans="1:61" x14ac:dyDescent="0.25">
      <c r="A334" s="62" t="s">
        <v>331</v>
      </c>
      <c r="B334" s="62" t="s">
        <v>331</v>
      </c>
      <c r="C334" s="63"/>
      <c r="D334" s="64"/>
      <c r="E334" s="65"/>
      <c r="F334" s="66"/>
      <c r="G334" s="63"/>
      <c r="H334" s="67"/>
      <c r="I334" s="68"/>
      <c r="J334" s="68"/>
      <c r="K334" s="32"/>
      <c r="L334" s="75">
        <v>334</v>
      </c>
      <c r="M334" s="75"/>
      <c r="N334" s="70"/>
      <c r="O334" s="77" t="s">
        <v>898</v>
      </c>
      <c r="P334" s="79">
        <v>45165.640266203707</v>
      </c>
      <c r="Q334" s="77" t="s">
        <v>1218</v>
      </c>
      <c r="R334" s="77">
        <v>0</v>
      </c>
      <c r="S334" s="77">
        <v>0</v>
      </c>
      <c r="T334" s="77">
        <v>0</v>
      </c>
      <c r="U334" s="77">
        <v>0</v>
      </c>
      <c r="V334" s="77">
        <v>16</v>
      </c>
      <c r="W334" s="82" t="s">
        <v>4996</v>
      </c>
      <c r="X334" s="77"/>
      <c r="Y334" s="77"/>
      <c r="Z334" s="77"/>
      <c r="AA334" s="77"/>
      <c r="AB334" s="77"/>
      <c r="AC334" s="82" t="s">
        <v>7750</v>
      </c>
      <c r="AD334" s="77" t="s">
        <v>7788</v>
      </c>
      <c r="AE334" s="80" t="str">
        <f>HYPERLINK("https://twitter.com/viniciusantosa/status/1695818951123522014")</f>
        <v>https://twitter.com/viniciusantosa/status/1695818951123522014</v>
      </c>
      <c r="AF334" s="79">
        <v>45165.640266203707</v>
      </c>
      <c r="AG334" s="85">
        <v>45165</v>
      </c>
      <c r="AH334" s="82" t="s">
        <v>8086</v>
      </c>
      <c r="AI334" s="77"/>
      <c r="AJ334" s="77"/>
      <c r="AK334" s="77"/>
      <c r="AL334" s="77"/>
      <c r="AM334" s="77"/>
      <c r="AN334" s="77"/>
      <c r="AO334" s="77"/>
      <c r="AP334" s="77"/>
      <c r="AQ334" s="77"/>
      <c r="AR334" s="77"/>
      <c r="AS334" s="77"/>
      <c r="AT334" s="77"/>
      <c r="AU334" s="77"/>
      <c r="AV334" s="80" t="str">
        <f>HYPERLINK("https://pbs.twimg.com/profile_images/1629500901529378816/tRvt-cH__normal.jpg")</f>
        <v>https://pbs.twimg.com/profile_images/1629500901529378816/tRvt-cH__normal.jpg</v>
      </c>
      <c r="AW334" s="82" t="s">
        <v>12038</v>
      </c>
      <c r="AX334" s="82" t="s">
        <v>12040</v>
      </c>
      <c r="AY334" s="82" t="s">
        <v>15922</v>
      </c>
      <c r="AZ334" s="82" t="s">
        <v>12039</v>
      </c>
      <c r="BA334" s="82" t="s">
        <v>15984</v>
      </c>
      <c r="BB334" s="82" t="s">
        <v>15984</v>
      </c>
      <c r="BC334" s="82" t="s">
        <v>12039</v>
      </c>
      <c r="BD334" s="77">
        <v>1483647062</v>
      </c>
      <c r="BE334" s="77"/>
      <c r="BF334" s="77"/>
      <c r="BG334" s="77"/>
      <c r="BH334" s="77"/>
      <c r="BI334" s="77"/>
    </row>
    <row r="335" spans="1:61" x14ac:dyDescent="0.25">
      <c r="A335" s="62" t="s">
        <v>331</v>
      </c>
      <c r="B335" s="62" t="s">
        <v>331</v>
      </c>
      <c r="C335" s="63"/>
      <c r="D335" s="64"/>
      <c r="E335" s="65"/>
      <c r="F335" s="66"/>
      <c r="G335" s="63"/>
      <c r="H335" s="67"/>
      <c r="I335" s="68"/>
      <c r="J335" s="68"/>
      <c r="K335" s="32"/>
      <c r="L335" s="75">
        <v>335</v>
      </c>
      <c r="M335" s="75"/>
      <c r="N335" s="70"/>
      <c r="O335" s="77" t="s">
        <v>898</v>
      </c>
      <c r="P335" s="79">
        <v>45165.64025462963</v>
      </c>
      <c r="Q335" s="77" t="s">
        <v>1219</v>
      </c>
      <c r="R335" s="77">
        <v>0</v>
      </c>
      <c r="S335" s="77">
        <v>0</v>
      </c>
      <c r="T335" s="77">
        <v>1</v>
      </c>
      <c r="U335" s="77">
        <v>0</v>
      </c>
      <c r="V335" s="77">
        <v>17</v>
      </c>
      <c r="W335" s="82" t="s">
        <v>4997</v>
      </c>
      <c r="X335" s="77"/>
      <c r="Y335" s="77"/>
      <c r="Z335" s="77"/>
      <c r="AA335" s="77"/>
      <c r="AB335" s="77"/>
      <c r="AC335" s="82" t="s">
        <v>7750</v>
      </c>
      <c r="AD335" s="77" t="s">
        <v>7788</v>
      </c>
      <c r="AE335" s="80" t="str">
        <f>HYPERLINK("https://twitter.com/viniciusantosa/status/1695818948682387635")</f>
        <v>https://twitter.com/viniciusantosa/status/1695818948682387635</v>
      </c>
      <c r="AF335" s="79">
        <v>45165.64025462963</v>
      </c>
      <c r="AG335" s="85">
        <v>45165</v>
      </c>
      <c r="AH335" s="82" t="s">
        <v>8087</v>
      </c>
      <c r="AI335" s="77"/>
      <c r="AJ335" s="77"/>
      <c r="AK335" s="77"/>
      <c r="AL335" s="77"/>
      <c r="AM335" s="77"/>
      <c r="AN335" s="77"/>
      <c r="AO335" s="77"/>
      <c r="AP335" s="77"/>
      <c r="AQ335" s="77"/>
      <c r="AR335" s="77"/>
      <c r="AS335" s="77"/>
      <c r="AT335" s="77"/>
      <c r="AU335" s="77"/>
      <c r="AV335" s="80" t="str">
        <f>HYPERLINK("https://pbs.twimg.com/profile_images/1629500901529378816/tRvt-cH__normal.jpg")</f>
        <v>https://pbs.twimg.com/profile_images/1629500901529378816/tRvt-cH__normal.jpg</v>
      </c>
      <c r="AW335" s="82" t="s">
        <v>12039</v>
      </c>
      <c r="AX335" s="82" t="s">
        <v>12040</v>
      </c>
      <c r="AY335" s="82" t="s">
        <v>15922</v>
      </c>
      <c r="AZ335" s="82" t="s">
        <v>12040</v>
      </c>
      <c r="BA335" s="82" t="s">
        <v>15984</v>
      </c>
      <c r="BB335" s="82" t="s">
        <v>15984</v>
      </c>
      <c r="BC335" s="82" t="s">
        <v>12040</v>
      </c>
      <c r="BD335" s="77">
        <v>1483647062</v>
      </c>
      <c r="BE335" s="77"/>
      <c r="BF335" s="77"/>
      <c r="BG335" s="77"/>
      <c r="BH335" s="77"/>
      <c r="BI335" s="77"/>
    </row>
    <row r="336" spans="1:61" x14ac:dyDescent="0.25">
      <c r="A336" s="62" t="s">
        <v>331</v>
      </c>
      <c r="B336" s="62" t="s">
        <v>331</v>
      </c>
      <c r="C336" s="63"/>
      <c r="D336" s="64"/>
      <c r="E336" s="65"/>
      <c r="F336" s="66"/>
      <c r="G336" s="63"/>
      <c r="H336" s="67"/>
      <c r="I336" s="68"/>
      <c r="J336" s="68"/>
      <c r="K336" s="32"/>
      <c r="L336" s="75">
        <v>336</v>
      </c>
      <c r="M336" s="75"/>
      <c r="N336" s="70"/>
      <c r="O336" s="77" t="s">
        <v>179</v>
      </c>
      <c r="P336" s="79">
        <v>45165.64025462963</v>
      </c>
      <c r="Q336" s="77" t="s">
        <v>1220</v>
      </c>
      <c r="R336" s="77">
        <v>0</v>
      </c>
      <c r="S336" s="77">
        <v>0</v>
      </c>
      <c r="T336" s="77">
        <v>1</v>
      </c>
      <c r="U336" s="77">
        <v>0</v>
      </c>
      <c r="V336" s="77">
        <v>32</v>
      </c>
      <c r="W336" s="82" t="s">
        <v>4996</v>
      </c>
      <c r="X336" s="77"/>
      <c r="Y336" s="77"/>
      <c r="Z336" s="77"/>
      <c r="AA336" s="77" t="s">
        <v>6826</v>
      </c>
      <c r="AB336" s="77" t="s">
        <v>7742</v>
      </c>
      <c r="AC336" s="82" t="s">
        <v>7750</v>
      </c>
      <c r="AD336" s="77" t="s">
        <v>7788</v>
      </c>
      <c r="AE336" s="80" t="str">
        <f>HYPERLINK("https://twitter.com/viniciusantosa/status/1695818945868038426")</f>
        <v>https://twitter.com/viniciusantosa/status/1695818945868038426</v>
      </c>
      <c r="AF336" s="79">
        <v>45165.64025462963</v>
      </c>
      <c r="AG336" s="85">
        <v>45165</v>
      </c>
      <c r="AH336" s="82" t="s">
        <v>8087</v>
      </c>
      <c r="AI336" s="77" t="b">
        <v>0</v>
      </c>
      <c r="AJ336" s="77"/>
      <c r="AK336" s="77"/>
      <c r="AL336" s="77"/>
      <c r="AM336" s="77"/>
      <c r="AN336" s="77"/>
      <c r="AO336" s="77"/>
      <c r="AP336" s="77"/>
      <c r="AQ336" s="77" t="s">
        <v>10798</v>
      </c>
      <c r="AR336" s="77"/>
      <c r="AS336" s="77"/>
      <c r="AT336" s="77"/>
      <c r="AU336" s="77"/>
      <c r="AV336" s="80" t="str">
        <f>HYPERLINK("https://pbs.twimg.com/media/F4jBDRNX0AAYo8F.jpg")</f>
        <v>https://pbs.twimg.com/media/F4jBDRNX0AAYo8F.jpg</v>
      </c>
      <c r="AW336" s="82" t="s">
        <v>12040</v>
      </c>
      <c r="AX336" s="82" t="s">
        <v>12040</v>
      </c>
      <c r="AY336" s="77"/>
      <c r="AZ336" s="82" t="s">
        <v>15984</v>
      </c>
      <c r="BA336" s="82" t="s">
        <v>15984</v>
      </c>
      <c r="BB336" s="82" t="s">
        <v>15984</v>
      </c>
      <c r="BC336" s="82" t="s">
        <v>12040</v>
      </c>
      <c r="BD336" s="77">
        <v>1483647062</v>
      </c>
      <c r="BE336" s="77"/>
      <c r="BF336" s="77"/>
      <c r="BG336" s="77"/>
      <c r="BH336" s="77"/>
      <c r="BI336" s="77"/>
    </row>
    <row r="337" spans="1:61" x14ac:dyDescent="0.25">
      <c r="A337" s="62" t="s">
        <v>332</v>
      </c>
      <c r="B337" s="62" t="s">
        <v>332</v>
      </c>
      <c r="C337" s="63"/>
      <c r="D337" s="64"/>
      <c r="E337" s="65"/>
      <c r="F337" s="66"/>
      <c r="G337" s="63"/>
      <c r="H337" s="67"/>
      <c r="I337" s="68"/>
      <c r="J337" s="68"/>
      <c r="K337" s="32"/>
      <c r="L337" s="75">
        <v>337</v>
      </c>
      <c r="M337" s="75"/>
      <c r="N337" s="70"/>
      <c r="O337" s="77" t="s">
        <v>179</v>
      </c>
      <c r="P337" s="79">
        <v>45158.020833333336</v>
      </c>
      <c r="Q337" s="77" t="s">
        <v>1221</v>
      </c>
      <c r="R337" s="77">
        <v>0</v>
      </c>
      <c r="S337" s="77">
        <v>1</v>
      </c>
      <c r="T337" s="77">
        <v>0</v>
      </c>
      <c r="U337" s="77">
        <v>0</v>
      </c>
      <c r="V337" s="77">
        <v>22</v>
      </c>
      <c r="W337" s="82" t="s">
        <v>4998</v>
      </c>
      <c r="X337" s="80" t="str">
        <f>HYPERLINK("https://go.hotmart.com/G45221702E")</f>
        <v>https://go.hotmart.com/G45221702E</v>
      </c>
      <c r="Y337" s="77" t="s">
        <v>6497</v>
      </c>
      <c r="Z337" s="77"/>
      <c r="AA337" s="77" t="s">
        <v>6827</v>
      </c>
      <c r="AB337" s="77" t="s">
        <v>7742</v>
      </c>
      <c r="AC337" s="82" t="s">
        <v>7750</v>
      </c>
      <c r="AD337" s="77" t="s">
        <v>7788</v>
      </c>
      <c r="AE337" s="80" t="str">
        <f>HYPERLINK("https://twitter.com/eddie_poker/status/1693057760479330466")</f>
        <v>https://twitter.com/eddie_poker/status/1693057760479330466</v>
      </c>
      <c r="AF337" s="79">
        <v>45158.020833333336</v>
      </c>
      <c r="AG337" s="85">
        <v>45158</v>
      </c>
      <c r="AH337" s="82" t="s">
        <v>8088</v>
      </c>
      <c r="AI337" s="77" t="b">
        <v>0</v>
      </c>
      <c r="AJ337" s="77"/>
      <c r="AK337" s="77"/>
      <c r="AL337" s="77"/>
      <c r="AM337" s="77"/>
      <c r="AN337" s="77"/>
      <c r="AO337" s="77"/>
      <c r="AP337" s="77"/>
      <c r="AQ337" s="77" t="s">
        <v>10799</v>
      </c>
      <c r="AR337" s="77"/>
      <c r="AS337" s="77"/>
      <c r="AT337" s="77"/>
      <c r="AU337" s="77"/>
      <c r="AV337" s="80" t="str">
        <f>HYPERLINK("https://pbs.twimg.com/media/F31l2GIX0AABGz8.png")</f>
        <v>https://pbs.twimg.com/media/F31l2GIX0AABGz8.png</v>
      </c>
      <c r="AW337" s="82" t="s">
        <v>12041</v>
      </c>
      <c r="AX337" s="82" t="s">
        <v>12041</v>
      </c>
      <c r="AY337" s="77"/>
      <c r="AZ337" s="82" t="s">
        <v>15984</v>
      </c>
      <c r="BA337" s="82" t="s">
        <v>15984</v>
      </c>
      <c r="BB337" s="82" t="s">
        <v>15984</v>
      </c>
      <c r="BC337" s="82" t="s">
        <v>12041</v>
      </c>
      <c r="BD337" s="77">
        <v>634133167</v>
      </c>
      <c r="BE337" s="77"/>
      <c r="BF337" s="77"/>
      <c r="BG337" s="77"/>
      <c r="BH337" s="77"/>
      <c r="BI337" s="77"/>
    </row>
    <row r="338" spans="1:61" x14ac:dyDescent="0.25">
      <c r="A338" s="62" t="s">
        <v>332</v>
      </c>
      <c r="B338" s="62" t="s">
        <v>332</v>
      </c>
      <c r="C338" s="63"/>
      <c r="D338" s="64"/>
      <c r="E338" s="65"/>
      <c r="F338" s="66"/>
      <c r="G338" s="63"/>
      <c r="H338" s="67"/>
      <c r="I338" s="68"/>
      <c r="J338" s="68"/>
      <c r="K338" s="32"/>
      <c r="L338" s="75">
        <v>338</v>
      </c>
      <c r="M338" s="75"/>
      <c r="N338" s="70"/>
      <c r="O338" s="77" t="s">
        <v>179</v>
      </c>
      <c r="P338" s="79">
        <v>45157.979166666664</v>
      </c>
      <c r="Q338" s="77" t="s">
        <v>1222</v>
      </c>
      <c r="R338" s="77">
        <v>0</v>
      </c>
      <c r="S338" s="77">
        <v>1</v>
      </c>
      <c r="T338" s="77">
        <v>0</v>
      </c>
      <c r="U338" s="77">
        <v>0</v>
      </c>
      <c r="V338" s="77">
        <v>15</v>
      </c>
      <c r="W338" s="82" t="s">
        <v>4998</v>
      </c>
      <c r="X338" s="80" t="str">
        <f>HYPERLINK("https://go.hotmart.com/G45221702E")</f>
        <v>https://go.hotmart.com/G45221702E</v>
      </c>
      <c r="Y338" s="77" t="s">
        <v>6497</v>
      </c>
      <c r="Z338" s="77"/>
      <c r="AA338" s="77" t="s">
        <v>6828</v>
      </c>
      <c r="AB338" s="77" t="s">
        <v>7742</v>
      </c>
      <c r="AC338" s="82" t="s">
        <v>7750</v>
      </c>
      <c r="AD338" s="77" t="s">
        <v>7788</v>
      </c>
      <c r="AE338" s="80" t="str">
        <f>HYPERLINK("https://twitter.com/eddie_poker/status/1693042660897137105")</f>
        <v>https://twitter.com/eddie_poker/status/1693042660897137105</v>
      </c>
      <c r="AF338" s="79">
        <v>45157.979166666664</v>
      </c>
      <c r="AG338" s="85">
        <v>45157</v>
      </c>
      <c r="AH338" s="82" t="s">
        <v>7928</v>
      </c>
      <c r="AI338" s="77" t="b">
        <v>0</v>
      </c>
      <c r="AJ338" s="77"/>
      <c r="AK338" s="77"/>
      <c r="AL338" s="77"/>
      <c r="AM338" s="77"/>
      <c r="AN338" s="77"/>
      <c r="AO338" s="77"/>
      <c r="AP338" s="77"/>
      <c r="AQ338" s="77" t="s">
        <v>10800</v>
      </c>
      <c r="AR338" s="77"/>
      <c r="AS338" s="77"/>
      <c r="AT338" s="77"/>
      <c r="AU338" s="77"/>
      <c r="AV338" s="80" t="str">
        <f>HYPERLINK("https://pbs.twimg.com/media/F31lvWOWQAASp2z.png")</f>
        <v>https://pbs.twimg.com/media/F31lvWOWQAASp2z.png</v>
      </c>
      <c r="AW338" s="82" t="s">
        <v>12042</v>
      </c>
      <c r="AX338" s="82" t="s">
        <v>12042</v>
      </c>
      <c r="AY338" s="77"/>
      <c r="AZ338" s="82" t="s">
        <v>15984</v>
      </c>
      <c r="BA338" s="82" t="s">
        <v>15984</v>
      </c>
      <c r="BB338" s="82" t="s">
        <v>15984</v>
      </c>
      <c r="BC338" s="82" t="s">
        <v>12042</v>
      </c>
      <c r="BD338" s="77">
        <v>634133167</v>
      </c>
      <c r="BE338" s="77"/>
      <c r="BF338" s="77"/>
      <c r="BG338" s="77"/>
      <c r="BH338" s="77"/>
      <c r="BI338" s="77"/>
    </row>
    <row r="339" spans="1:61" x14ac:dyDescent="0.25">
      <c r="A339" s="62" t="s">
        <v>332</v>
      </c>
      <c r="B339" s="62" t="s">
        <v>332</v>
      </c>
      <c r="C339" s="63"/>
      <c r="D339" s="64"/>
      <c r="E339" s="65"/>
      <c r="F339" s="66"/>
      <c r="G339" s="63"/>
      <c r="H339" s="67"/>
      <c r="I339" s="68"/>
      <c r="J339" s="68"/>
      <c r="K339" s="32"/>
      <c r="L339" s="75">
        <v>339</v>
      </c>
      <c r="M339" s="75"/>
      <c r="N339" s="70"/>
      <c r="O339" s="77" t="s">
        <v>179</v>
      </c>
      <c r="P339" s="79">
        <v>45157.895833333336</v>
      </c>
      <c r="Q339" s="77" t="s">
        <v>1223</v>
      </c>
      <c r="R339" s="77">
        <v>0</v>
      </c>
      <c r="S339" s="77">
        <v>1</v>
      </c>
      <c r="T339" s="77">
        <v>0</v>
      </c>
      <c r="U339" s="77">
        <v>0</v>
      </c>
      <c r="V339" s="77">
        <v>19</v>
      </c>
      <c r="W339" s="82" t="s">
        <v>4998</v>
      </c>
      <c r="X339" s="80" t="str">
        <f>HYPERLINK("https://go.hotmart.com/G45221702E")</f>
        <v>https://go.hotmart.com/G45221702E</v>
      </c>
      <c r="Y339" s="77" t="s">
        <v>6497</v>
      </c>
      <c r="Z339" s="77"/>
      <c r="AA339" s="77" t="s">
        <v>6829</v>
      </c>
      <c r="AB339" s="77" t="s">
        <v>7742</v>
      </c>
      <c r="AC339" s="82" t="s">
        <v>7750</v>
      </c>
      <c r="AD339" s="77" t="s">
        <v>7788</v>
      </c>
      <c r="AE339" s="80" t="str">
        <f>HYPERLINK("https://twitter.com/eddie_poker/status/1693012462608777542")</f>
        <v>https://twitter.com/eddie_poker/status/1693012462608777542</v>
      </c>
      <c r="AF339" s="79">
        <v>45157.895833333336</v>
      </c>
      <c r="AG339" s="85">
        <v>45157</v>
      </c>
      <c r="AH339" s="82" t="s">
        <v>8089</v>
      </c>
      <c r="AI339" s="77" t="b">
        <v>0</v>
      </c>
      <c r="AJ339" s="77"/>
      <c r="AK339" s="77"/>
      <c r="AL339" s="77"/>
      <c r="AM339" s="77"/>
      <c r="AN339" s="77"/>
      <c r="AO339" s="77"/>
      <c r="AP339" s="77"/>
      <c r="AQ339" s="77" t="s">
        <v>10801</v>
      </c>
      <c r="AR339" s="77"/>
      <c r="AS339" s="77"/>
      <c r="AT339" s="77"/>
      <c r="AU339" s="77"/>
      <c r="AV339" s="80" t="str">
        <f>HYPERLINK("https://pbs.twimg.com/media/F31lZM0XUAAehMz.png")</f>
        <v>https://pbs.twimg.com/media/F31lZM0XUAAehMz.png</v>
      </c>
      <c r="AW339" s="82" t="s">
        <v>12043</v>
      </c>
      <c r="AX339" s="82" t="s">
        <v>12043</v>
      </c>
      <c r="AY339" s="77"/>
      <c r="AZ339" s="82" t="s">
        <v>15984</v>
      </c>
      <c r="BA339" s="82" t="s">
        <v>15984</v>
      </c>
      <c r="BB339" s="82" t="s">
        <v>15984</v>
      </c>
      <c r="BC339" s="82" t="s">
        <v>12043</v>
      </c>
      <c r="BD339" s="77">
        <v>634133167</v>
      </c>
      <c r="BE339" s="77"/>
      <c r="BF339" s="77"/>
      <c r="BG339" s="77"/>
      <c r="BH339" s="77"/>
      <c r="BI339" s="77"/>
    </row>
    <row r="340" spans="1:61" x14ac:dyDescent="0.25">
      <c r="A340" s="62" t="s">
        <v>332</v>
      </c>
      <c r="B340" s="62" t="s">
        <v>332</v>
      </c>
      <c r="C340" s="63"/>
      <c r="D340" s="64"/>
      <c r="E340" s="65"/>
      <c r="F340" s="66"/>
      <c r="G340" s="63"/>
      <c r="H340" s="67"/>
      <c r="I340" s="68"/>
      <c r="J340" s="68"/>
      <c r="K340" s="32"/>
      <c r="L340" s="75">
        <v>340</v>
      </c>
      <c r="M340" s="75"/>
      <c r="N340" s="70"/>
      <c r="O340" s="77" t="s">
        <v>179</v>
      </c>
      <c r="P340" s="79">
        <v>45157.854166666664</v>
      </c>
      <c r="Q340" s="77" t="s">
        <v>1224</v>
      </c>
      <c r="R340" s="77">
        <v>0</v>
      </c>
      <c r="S340" s="77">
        <v>1</v>
      </c>
      <c r="T340" s="77">
        <v>0</v>
      </c>
      <c r="U340" s="77">
        <v>0</v>
      </c>
      <c r="V340" s="77">
        <v>13</v>
      </c>
      <c r="W340" s="82" t="s">
        <v>4998</v>
      </c>
      <c r="X340" s="80" t="str">
        <f>HYPERLINK("https://go.hotmart.com/G45221702E")</f>
        <v>https://go.hotmart.com/G45221702E</v>
      </c>
      <c r="Y340" s="77" t="s">
        <v>6497</v>
      </c>
      <c r="Z340" s="77"/>
      <c r="AA340" s="77" t="s">
        <v>6830</v>
      </c>
      <c r="AB340" s="77" t="s">
        <v>7742</v>
      </c>
      <c r="AC340" s="82" t="s">
        <v>7750</v>
      </c>
      <c r="AD340" s="77" t="s">
        <v>7788</v>
      </c>
      <c r="AE340" s="80" t="str">
        <f>HYPERLINK("https://twitter.com/eddie_poker/status/1692997362258760123")</f>
        <v>https://twitter.com/eddie_poker/status/1692997362258760123</v>
      </c>
      <c r="AF340" s="79">
        <v>45157.854166666664</v>
      </c>
      <c r="AG340" s="85">
        <v>45157</v>
      </c>
      <c r="AH340" s="82" t="s">
        <v>8090</v>
      </c>
      <c r="AI340" s="77" t="b">
        <v>0</v>
      </c>
      <c r="AJ340" s="77"/>
      <c r="AK340" s="77"/>
      <c r="AL340" s="77"/>
      <c r="AM340" s="77"/>
      <c r="AN340" s="77"/>
      <c r="AO340" s="77"/>
      <c r="AP340" s="77"/>
      <c r="AQ340" s="77" t="s">
        <v>10802</v>
      </c>
      <c r="AR340" s="77"/>
      <c r="AS340" s="77"/>
      <c r="AT340" s="77"/>
      <c r="AU340" s="77"/>
      <c r="AV340" s="80" t="str">
        <f>HYPERLINK("https://pbs.twimg.com/media/F31lTrKXsAABTqZ.png")</f>
        <v>https://pbs.twimg.com/media/F31lTrKXsAABTqZ.png</v>
      </c>
      <c r="AW340" s="82" t="s">
        <v>12044</v>
      </c>
      <c r="AX340" s="82" t="s">
        <v>12044</v>
      </c>
      <c r="AY340" s="77"/>
      <c r="AZ340" s="82" t="s">
        <v>15984</v>
      </c>
      <c r="BA340" s="82" t="s">
        <v>15984</v>
      </c>
      <c r="BB340" s="82" t="s">
        <v>15984</v>
      </c>
      <c r="BC340" s="82" t="s">
        <v>12044</v>
      </c>
      <c r="BD340" s="77">
        <v>634133167</v>
      </c>
      <c r="BE340" s="77"/>
      <c r="BF340" s="77"/>
      <c r="BG340" s="77"/>
      <c r="BH340" s="77"/>
      <c r="BI340" s="77"/>
    </row>
    <row r="341" spans="1:61" x14ac:dyDescent="0.25">
      <c r="A341" s="62" t="s">
        <v>332</v>
      </c>
      <c r="B341" s="62" t="s">
        <v>332</v>
      </c>
      <c r="C341" s="63"/>
      <c r="D341" s="64"/>
      <c r="E341" s="65"/>
      <c r="F341" s="66"/>
      <c r="G341" s="63"/>
      <c r="H341" s="67"/>
      <c r="I341" s="68"/>
      <c r="J341" s="68"/>
      <c r="K341" s="32"/>
      <c r="L341" s="75">
        <v>341</v>
      </c>
      <c r="M341" s="75"/>
      <c r="N341" s="70"/>
      <c r="O341" s="77" t="s">
        <v>179</v>
      </c>
      <c r="P341" s="79">
        <v>45157.729166666664</v>
      </c>
      <c r="Q341" s="77" t="s">
        <v>1225</v>
      </c>
      <c r="R341" s="77">
        <v>0</v>
      </c>
      <c r="S341" s="77">
        <v>1</v>
      </c>
      <c r="T341" s="77">
        <v>0</v>
      </c>
      <c r="U341" s="77">
        <v>0</v>
      </c>
      <c r="V341" s="77">
        <v>15</v>
      </c>
      <c r="W341" s="82" t="s">
        <v>4998</v>
      </c>
      <c r="X341" s="80" t="str">
        <f>HYPERLINK("https://go.hotmart.com/G45221702E")</f>
        <v>https://go.hotmart.com/G45221702E</v>
      </c>
      <c r="Y341" s="77" t="s">
        <v>6497</v>
      </c>
      <c r="Z341" s="77"/>
      <c r="AA341" s="77" t="s">
        <v>6831</v>
      </c>
      <c r="AB341" s="77" t="s">
        <v>7742</v>
      </c>
      <c r="AC341" s="82" t="s">
        <v>7750</v>
      </c>
      <c r="AD341" s="77" t="s">
        <v>7788</v>
      </c>
      <c r="AE341" s="80" t="str">
        <f>HYPERLINK("https://twitter.com/eddie_poker/status/1692952063771312372")</f>
        <v>https://twitter.com/eddie_poker/status/1692952063771312372</v>
      </c>
      <c r="AF341" s="79">
        <v>45157.729166666664</v>
      </c>
      <c r="AG341" s="85">
        <v>45157</v>
      </c>
      <c r="AH341" s="82" t="s">
        <v>8091</v>
      </c>
      <c r="AI341" s="77" t="b">
        <v>0</v>
      </c>
      <c r="AJ341" s="77"/>
      <c r="AK341" s="77"/>
      <c r="AL341" s="77"/>
      <c r="AM341" s="77"/>
      <c r="AN341" s="77"/>
      <c r="AO341" s="77"/>
      <c r="AP341" s="77"/>
      <c r="AQ341" s="77" t="s">
        <v>10803</v>
      </c>
      <c r="AR341" s="77"/>
      <c r="AS341" s="77"/>
      <c r="AT341" s="77"/>
      <c r="AU341" s="77"/>
      <c r="AV341" s="80" t="str">
        <f>HYPERLINK("https://pbs.twimg.com/media/F31lA0vXAAA_0_T.png")</f>
        <v>https://pbs.twimg.com/media/F31lA0vXAAA_0_T.png</v>
      </c>
      <c r="AW341" s="82" t="s">
        <v>12045</v>
      </c>
      <c r="AX341" s="82" t="s">
        <v>12045</v>
      </c>
      <c r="AY341" s="77"/>
      <c r="AZ341" s="82" t="s">
        <v>15984</v>
      </c>
      <c r="BA341" s="82" t="s">
        <v>15984</v>
      </c>
      <c r="BB341" s="82" t="s">
        <v>15984</v>
      </c>
      <c r="BC341" s="82" t="s">
        <v>12045</v>
      </c>
      <c r="BD341" s="77">
        <v>634133167</v>
      </c>
      <c r="BE341" s="77"/>
      <c r="BF341" s="77"/>
      <c r="BG341" s="77"/>
      <c r="BH341" s="77"/>
      <c r="BI341" s="77"/>
    </row>
    <row r="342" spans="1:61" x14ac:dyDescent="0.25">
      <c r="A342" s="62" t="s">
        <v>332</v>
      </c>
      <c r="B342" s="62" t="s">
        <v>332</v>
      </c>
      <c r="C342" s="63"/>
      <c r="D342" s="64"/>
      <c r="E342" s="65"/>
      <c r="F342" s="66"/>
      <c r="G342" s="63"/>
      <c r="H342" s="67"/>
      <c r="I342" s="68"/>
      <c r="J342" s="68"/>
      <c r="K342" s="32"/>
      <c r="L342" s="75">
        <v>342</v>
      </c>
      <c r="M342" s="75"/>
      <c r="N342" s="70"/>
      <c r="O342" s="77" t="s">
        <v>179</v>
      </c>
      <c r="P342" s="79">
        <v>45157.645833333336</v>
      </c>
      <c r="Q342" s="77" t="s">
        <v>1226</v>
      </c>
      <c r="R342" s="77">
        <v>0</v>
      </c>
      <c r="S342" s="77">
        <v>1</v>
      </c>
      <c r="T342" s="77">
        <v>0</v>
      </c>
      <c r="U342" s="77">
        <v>0</v>
      </c>
      <c r="V342" s="77">
        <v>11</v>
      </c>
      <c r="W342" s="82" t="s">
        <v>4998</v>
      </c>
      <c r="X342" s="80" t="str">
        <f>HYPERLINK("https://go.hotmart.com/G45221702E")</f>
        <v>https://go.hotmart.com/G45221702E</v>
      </c>
      <c r="Y342" s="77" t="s">
        <v>6497</v>
      </c>
      <c r="Z342" s="77"/>
      <c r="AA342" s="77" t="s">
        <v>6832</v>
      </c>
      <c r="AB342" s="77" t="s">
        <v>7742</v>
      </c>
      <c r="AC342" s="82" t="s">
        <v>7750</v>
      </c>
      <c r="AD342" s="77" t="s">
        <v>7788</v>
      </c>
      <c r="AE342" s="80" t="str">
        <f>HYPERLINK("https://twitter.com/eddie_poker/status/1692921864790925546")</f>
        <v>https://twitter.com/eddie_poker/status/1692921864790925546</v>
      </c>
      <c r="AF342" s="79">
        <v>45157.645833333336</v>
      </c>
      <c r="AG342" s="85">
        <v>45157</v>
      </c>
      <c r="AH342" s="82" t="s">
        <v>8092</v>
      </c>
      <c r="AI342" s="77" t="b">
        <v>0</v>
      </c>
      <c r="AJ342" s="77"/>
      <c r="AK342" s="77"/>
      <c r="AL342" s="77"/>
      <c r="AM342" s="77"/>
      <c r="AN342" s="77"/>
      <c r="AO342" s="77"/>
      <c r="AP342" s="77"/>
      <c r="AQ342" s="77" t="s">
        <v>10804</v>
      </c>
      <c r="AR342" s="77"/>
      <c r="AS342" s="77"/>
      <c r="AT342" s="77"/>
      <c r="AU342" s="77"/>
      <c r="AV342" s="80" t="str">
        <f>HYPERLINK("https://pbs.twimg.com/media/F31k1ctWkAA5XlG.png")</f>
        <v>https://pbs.twimg.com/media/F31k1ctWkAA5XlG.png</v>
      </c>
      <c r="AW342" s="82" t="s">
        <v>12046</v>
      </c>
      <c r="AX342" s="82" t="s">
        <v>12046</v>
      </c>
      <c r="AY342" s="77"/>
      <c r="AZ342" s="82" t="s">
        <v>15984</v>
      </c>
      <c r="BA342" s="82" t="s">
        <v>15984</v>
      </c>
      <c r="BB342" s="82" t="s">
        <v>15984</v>
      </c>
      <c r="BC342" s="82" t="s">
        <v>12046</v>
      </c>
      <c r="BD342" s="77">
        <v>634133167</v>
      </c>
      <c r="BE342" s="77"/>
      <c r="BF342" s="77"/>
      <c r="BG342" s="77"/>
      <c r="BH342" s="77"/>
      <c r="BI342" s="77"/>
    </row>
    <row r="343" spans="1:61" x14ac:dyDescent="0.25">
      <c r="A343" s="62" t="s">
        <v>332</v>
      </c>
      <c r="B343" s="62" t="s">
        <v>332</v>
      </c>
      <c r="C343" s="63"/>
      <c r="D343" s="64"/>
      <c r="E343" s="65"/>
      <c r="F343" s="66"/>
      <c r="G343" s="63"/>
      <c r="H343" s="67"/>
      <c r="I343" s="68"/>
      <c r="J343" s="68"/>
      <c r="K343" s="32"/>
      <c r="L343" s="75">
        <v>343</v>
      </c>
      <c r="M343" s="75"/>
      <c r="N343" s="70"/>
      <c r="O343" s="77" t="s">
        <v>179</v>
      </c>
      <c r="P343" s="79">
        <v>45157.604166666664</v>
      </c>
      <c r="Q343" s="77" t="s">
        <v>1227</v>
      </c>
      <c r="R343" s="77">
        <v>0</v>
      </c>
      <c r="S343" s="77">
        <v>1</v>
      </c>
      <c r="T343" s="77">
        <v>0</v>
      </c>
      <c r="U343" s="77">
        <v>0</v>
      </c>
      <c r="V343" s="77">
        <v>8</v>
      </c>
      <c r="W343" s="82" t="s">
        <v>4998</v>
      </c>
      <c r="X343" s="80" t="str">
        <f>HYPERLINK("https://go.hotmart.com/G45221702E")</f>
        <v>https://go.hotmart.com/G45221702E</v>
      </c>
      <c r="Y343" s="77" t="s">
        <v>6497</v>
      </c>
      <c r="Z343" s="77"/>
      <c r="AA343" s="77" t="s">
        <v>6833</v>
      </c>
      <c r="AB343" s="77" t="s">
        <v>7742</v>
      </c>
      <c r="AC343" s="82" t="s">
        <v>7750</v>
      </c>
      <c r="AD343" s="77" t="s">
        <v>7788</v>
      </c>
      <c r="AE343" s="80" t="str">
        <f>HYPERLINK("https://twitter.com/eddie_poker/status/1692906766772982215")</f>
        <v>https://twitter.com/eddie_poker/status/1692906766772982215</v>
      </c>
      <c r="AF343" s="79">
        <v>45157.604166666664</v>
      </c>
      <c r="AG343" s="85">
        <v>45157</v>
      </c>
      <c r="AH343" s="82" t="s">
        <v>8093</v>
      </c>
      <c r="AI343" s="77" t="b">
        <v>0</v>
      </c>
      <c r="AJ343" s="77"/>
      <c r="AK343" s="77"/>
      <c r="AL343" s="77"/>
      <c r="AM343" s="77"/>
      <c r="AN343" s="77"/>
      <c r="AO343" s="77"/>
      <c r="AP343" s="77"/>
      <c r="AQ343" s="77" t="s">
        <v>10805</v>
      </c>
      <c r="AR343" s="77"/>
      <c r="AS343" s="77"/>
      <c r="AT343" s="77"/>
      <c r="AU343" s="77"/>
      <c r="AV343" s="80" t="str">
        <f>HYPERLINK("https://pbs.twimg.com/media/F31kvrKWsAAIOUC.png")</f>
        <v>https://pbs.twimg.com/media/F31kvrKWsAAIOUC.png</v>
      </c>
      <c r="AW343" s="82" t="s">
        <v>12047</v>
      </c>
      <c r="AX343" s="82" t="s">
        <v>12047</v>
      </c>
      <c r="AY343" s="77"/>
      <c r="AZ343" s="82" t="s">
        <v>15984</v>
      </c>
      <c r="BA343" s="82" t="s">
        <v>15984</v>
      </c>
      <c r="BB343" s="82" t="s">
        <v>15984</v>
      </c>
      <c r="BC343" s="82" t="s">
        <v>12047</v>
      </c>
      <c r="BD343" s="77">
        <v>634133167</v>
      </c>
      <c r="BE343" s="77"/>
      <c r="BF343" s="77"/>
      <c r="BG343" s="77"/>
      <c r="BH343" s="77"/>
      <c r="BI343" s="77"/>
    </row>
    <row r="344" spans="1:61" x14ac:dyDescent="0.25">
      <c r="A344" s="62" t="s">
        <v>332</v>
      </c>
      <c r="B344" s="62" t="s">
        <v>332</v>
      </c>
      <c r="C344" s="63"/>
      <c r="D344" s="64"/>
      <c r="E344" s="65"/>
      <c r="F344" s="66"/>
      <c r="G344" s="63"/>
      <c r="H344" s="67"/>
      <c r="I344" s="68"/>
      <c r="J344" s="68"/>
      <c r="K344" s="32"/>
      <c r="L344" s="75">
        <v>344</v>
      </c>
      <c r="M344" s="75"/>
      <c r="N344" s="70"/>
      <c r="O344" s="77" t="s">
        <v>179</v>
      </c>
      <c r="P344" s="79">
        <v>45157.479166666664</v>
      </c>
      <c r="Q344" s="77" t="s">
        <v>1228</v>
      </c>
      <c r="R344" s="77">
        <v>0</v>
      </c>
      <c r="S344" s="77">
        <v>1</v>
      </c>
      <c r="T344" s="77">
        <v>0</v>
      </c>
      <c r="U344" s="77">
        <v>0</v>
      </c>
      <c r="V344" s="77">
        <v>8</v>
      </c>
      <c r="W344" s="82" t="s">
        <v>4998</v>
      </c>
      <c r="X344" s="80" t="str">
        <f>HYPERLINK("https://go.hotmart.com/G45221702E")</f>
        <v>https://go.hotmart.com/G45221702E</v>
      </c>
      <c r="Y344" s="77" t="s">
        <v>6497</v>
      </c>
      <c r="Z344" s="77"/>
      <c r="AA344" s="77" t="s">
        <v>6834</v>
      </c>
      <c r="AB344" s="77" t="s">
        <v>7742</v>
      </c>
      <c r="AC344" s="82" t="s">
        <v>7750</v>
      </c>
      <c r="AD344" s="77" t="s">
        <v>7788</v>
      </c>
      <c r="AE344" s="80" t="str">
        <f>HYPERLINK("https://twitter.com/eddie_poker/status/1692861468642046019")</f>
        <v>https://twitter.com/eddie_poker/status/1692861468642046019</v>
      </c>
      <c r="AF344" s="79">
        <v>45157.479166666664</v>
      </c>
      <c r="AG344" s="85">
        <v>45157</v>
      </c>
      <c r="AH344" s="82" t="s">
        <v>7851</v>
      </c>
      <c r="AI344" s="77" t="b">
        <v>0</v>
      </c>
      <c r="AJ344" s="77"/>
      <c r="AK344" s="77"/>
      <c r="AL344" s="77"/>
      <c r="AM344" s="77"/>
      <c r="AN344" s="77"/>
      <c r="AO344" s="77"/>
      <c r="AP344" s="77"/>
      <c r="AQ344" s="77" t="s">
        <v>10806</v>
      </c>
      <c r="AR344" s="77"/>
      <c r="AS344" s="77"/>
      <c r="AT344" s="77"/>
      <c r="AU344" s="77"/>
      <c r="AV344" s="80" t="str">
        <f>HYPERLINK("https://pbs.twimg.com/media/F31kblhWgAAAT69.png")</f>
        <v>https://pbs.twimg.com/media/F31kblhWgAAAT69.png</v>
      </c>
      <c r="AW344" s="82" t="s">
        <v>12048</v>
      </c>
      <c r="AX344" s="82" t="s">
        <v>12048</v>
      </c>
      <c r="AY344" s="77"/>
      <c r="AZ344" s="82" t="s">
        <v>15984</v>
      </c>
      <c r="BA344" s="82" t="s">
        <v>15984</v>
      </c>
      <c r="BB344" s="82" t="s">
        <v>15984</v>
      </c>
      <c r="BC344" s="82" t="s">
        <v>12048</v>
      </c>
      <c r="BD344" s="77">
        <v>634133167</v>
      </c>
      <c r="BE344" s="77"/>
      <c r="BF344" s="77"/>
      <c r="BG344" s="77"/>
      <c r="BH344" s="77"/>
      <c r="BI344" s="77"/>
    </row>
    <row r="345" spans="1:61" x14ac:dyDescent="0.25">
      <c r="A345" s="62" t="s">
        <v>332</v>
      </c>
      <c r="B345" s="62" t="s">
        <v>332</v>
      </c>
      <c r="C345" s="63"/>
      <c r="D345" s="64"/>
      <c r="E345" s="65"/>
      <c r="F345" s="66"/>
      <c r="G345" s="63"/>
      <c r="H345" s="67"/>
      <c r="I345" s="68"/>
      <c r="J345" s="68"/>
      <c r="K345" s="32"/>
      <c r="L345" s="75">
        <v>345</v>
      </c>
      <c r="M345" s="75"/>
      <c r="N345" s="70"/>
      <c r="O345" s="77" t="s">
        <v>179</v>
      </c>
      <c r="P345" s="79">
        <v>45157.4375</v>
      </c>
      <c r="Q345" s="77" t="s">
        <v>1229</v>
      </c>
      <c r="R345" s="77">
        <v>0</v>
      </c>
      <c r="S345" s="77">
        <v>1</v>
      </c>
      <c r="T345" s="77">
        <v>0</v>
      </c>
      <c r="U345" s="77">
        <v>0</v>
      </c>
      <c r="V345" s="77">
        <v>8</v>
      </c>
      <c r="W345" s="82" t="s">
        <v>4998</v>
      </c>
      <c r="X345" s="80" t="str">
        <f>HYPERLINK("https://go.hotmart.com/G45221702E")</f>
        <v>https://go.hotmart.com/G45221702E</v>
      </c>
      <c r="Y345" s="77" t="s">
        <v>6497</v>
      </c>
      <c r="Z345" s="77"/>
      <c r="AA345" s="77" t="s">
        <v>6835</v>
      </c>
      <c r="AB345" s="77" t="s">
        <v>7742</v>
      </c>
      <c r="AC345" s="82" t="s">
        <v>7750</v>
      </c>
      <c r="AD345" s="77" t="s">
        <v>7788</v>
      </c>
      <c r="AE345" s="80" t="str">
        <f>HYPERLINK("https://twitter.com/eddie_poker/status/1692846368262599000")</f>
        <v>https://twitter.com/eddie_poker/status/1692846368262599000</v>
      </c>
      <c r="AF345" s="79">
        <v>45157.4375</v>
      </c>
      <c r="AG345" s="85">
        <v>45157</v>
      </c>
      <c r="AH345" s="82" t="s">
        <v>8094</v>
      </c>
      <c r="AI345" s="77" t="b">
        <v>0</v>
      </c>
      <c r="AJ345" s="77"/>
      <c r="AK345" s="77"/>
      <c r="AL345" s="77"/>
      <c r="AM345" s="77"/>
      <c r="AN345" s="77"/>
      <c r="AO345" s="77"/>
      <c r="AP345" s="77"/>
      <c r="AQ345" s="77" t="s">
        <v>10807</v>
      </c>
      <c r="AR345" s="77"/>
      <c r="AS345" s="77"/>
      <c r="AT345" s="77"/>
      <c r="AU345" s="77"/>
      <c r="AV345" s="80" t="str">
        <f>HYPERLINK("https://pbs.twimg.com/media/F31kVVWWQAACPqJ.png")</f>
        <v>https://pbs.twimg.com/media/F31kVVWWQAACPqJ.png</v>
      </c>
      <c r="AW345" s="82" t="s">
        <v>12049</v>
      </c>
      <c r="AX345" s="82" t="s">
        <v>12049</v>
      </c>
      <c r="AY345" s="77"/>
      <c r="AZ345" s="82" t="s">
        <v>15984</v>
      </c>
      <c r="BA345" s="82" t="s">
        <v>15984</v>
      </c>
      <c r="BB345" s="82" t="s">
        <v>15984</v>
      </c>
      <c r="BC345" s="82" t="s">
        <v>12049</v>
      </c>
      <c r="BD345" s="77">
        <v>634133167</v>
      </c>
      <c r="BE345" s="77"/>
      <c r="BF345" s="77"/>
      <c r="BG345" s="77"/>
      <c r="BH345" s="77"/>
      <c r="BI345" s="77"/>
    </row>
    <row r="346" spans="1:61" x14ac:dyDescent="0.25">
      <c r="A346" s="62" t="s">
        <v>332</v>
      </c>
      <c r="B346" s="62" t="s">
        <v>332</v>
      </c>
      <c r="C346" s="63"/>
      <c r="D346" s="64"/>
      <c r="E346" s="65"/>
      <c r="F346" s="66"/>
      <c r="G346" s="63"/>
      <c r="H346" s="67"/>
      <c r="I346" s="68"/>
      <c r="J346" s="68"/>
      <c r="K346" s="32"/>
      <c r="L346" s="75">
        <v>346</v>
      </c>
      <c r="M346" s="75"/>
      <c r="N346" s="70"/>
      <c r="O346" s="77" t="s">
        <v>179</v>
      </c>
      <c r="P346" s="79">
        <v>45157.395833333336</v>
      </c>
      <c r="Q346" s="77" t="s">
        <v>1230</v>
      </c>
      <c r="R346" s="77">
        <v>0</v>
      </c>
      <c r="S346" s="77">
        <v>1</v>
      </c>
      <c r="T346" s="77">
        <v>0</v>
      </c>
      <c r="U346" s="77">
        <v>0</v>
      </c>
      <c r="V346" s="77">
        <v>5</v>
      </c>
      <c r="W346" s="82" t="s">
        <v>4998</v>
      </c>
      <c r="X346" s="80" t="str">
        <f>HYPERLINK("https://go.hotmart.com/G45221702E")</f>
        <v>https://go.hotmart.com/G45221702E</v>
      </c>
      <c r="Y346" s="77" t="s">
        <v>6497</v>
      </c>
      <c r="Z346" s="77"/>
      <c r="AA346" s="77" t="s">
        <v>6836</v>
      </c>
      <c r="AB346" s="77" t="s">
        <v>7742</v>
      </c>
      <c r="AC346" s="82" t="s">
        <v>7750</v>
      </c>
      <c r="AD346" s="77" t="s">
        <v>7788</v>
      </c>
      <c r="AE346" s="80" t="str">
        <f>HYPERLINK("https://twitter.com/eddie_poker/status/1692831268814442915")</f>
        <v>https://twitter.com/eddie_poker/status/1692831268814442915</v>
      </c>
      <c r="AF346" s="79">
        <v>45157.395833333336</v>
      </c>
      <c r="AG346" s="85">
        <v>45157</v>
      </c>
      <c r="AH346" s="82" t="s">
        <v>8095</v>
      </c>
      <c r="AI346" s="77" t="b">
        <v>0</v>
      </c>
      <c r="AJ346" s="77"/>
      <c r="AK346" s="77"/>
      <c r="AL346" s="77"/>
      <c r="AM346" s="77"/>
      <c r="AN346" s="77"/>
      <c r="AO346" s="77"/>
      <c r="AP346" s="77"/>
      <c r="AQ346" s="77" t="s">
        <v>10808</v>
      </c>
      <c r="AR346" s="77"/>
      <c r="AS346" s="77"/>
      <c r="AT346" s="77"/>
      <c r="AU346" s="77"/>
      <c r="AV346" s="80" t="str">
        <f>HYPERLINK("https://pbs.twimg.com/media/F31kP6AWIAA1IwC.png")</f>
        <v>https://pbs.twimg.com/media/F31kP6AWIAA1IwC.png</v>
      </c>
      <c r="AW346" s="82" t="s">
        <v>12050</v>
      </c>
      <c r="AX346" s="82" t="s">
        <v>12050</v>
      </c>
      <c r="AY346" s="77"/>
      <c r="AZ346" s="82" t="s">
        <v>15984</v>
      </c>
      <c r="BA346" s="82" t="s">
        <v>15984</v>
      </c>
      <c r="BB346" s="82" t="s">
        <v>15984</v>
      </c>
      <c r="BC346" s="82" t="s">
        <v>12050</v>
      </c>
      <c r="BD346" s="77">
        <v>634133167</v>
      </c>
      <c r="BE346" s="77"/>
      <c r="BF346" s="77"/>
      <c r="BG346" s="77"/>
      <c r="BH346" s="77"/>
      <c r="BI346" s="77"/>
    </row>
    <row r="347" spans="1:61" x14ac:dyDescent="0.25">
      <c r="A347" s="62" t="s">
        <v>333</v>
      </c>
      <c r="B347" s="62" t="s">
        <v>333</v>
      </c>
      <c r="C347" s="63"/>
      <c r="D347" s="64"/>
      <c r="E347" s="65"/>
      <c r="F347" s="66"/>
      <c r="G347" s="63"/>
      <c r="H347" s="67"/>
      <c r="I347" s="68"/>
      <c r="J347" s="68"/>
      <c r="K347" s="32"/>
      <c r="L347" s="75">
        <v>347</v>
      </c>
      <c r="M347" s="75"/>
      <c r="N347" s="70"/>
      <c r="O347" s="77" t="s">
        <v>179</v>
      </c>
      <c r="P347" s="79">
        <v>45135.772222222222</v>
      </c>
      <c r="Q347" s="77" t="s">
        <v>1231</v>
      </c>
      <c r="R347" s="77">
        <v>0</v>
      </c>
      <c r="S347" s="77">
        <v>0</v>
      </c>
      <c r="T347" s="77">
        <v>0</v>
      </c>
      <c r="U347" s="77">
        <v>0</v>
      </c>
      <c r="V347" s="77">
        <v>70</v>
      </c>
      <c r="W347" s="82" t="s">
        <v>4999</v>
      </c>
      <c r="X347" s="80" t="str">
        <f>HYPERLINK("https://bit.ly/44MboEO")</f>
        <v>https://bit.ly/44MboEO</v>
      </c>
      <c r="Y347" s="77" t="s">
        <v>6468</v>
      </c>
      <c r="Z347" s="77"/>
      <c r="AA347" s="77" t="s">
        <v>6837</v>
      </c>
      <c r="AB347" s="77" t="s">
        <v>7742</v>
      </c>
      <c r="AC347" s="82" t="s">
        <v>7750</v>
      </c>
      <c r="AD347" s="77" t="s">
        <v>7788</v>
      </c>
      <c r="AE347" s="80" t="str">
        <f>HYPERLINK("https://twitter.com/portalvgv/status/1684995133828411392")</f>
        <v>https://twitter.com/portalvgv/status/1684995133828411392</v>
      </c>
      <c r="AF347" s="79">
        <v>45135.772222222222</v>
      </c>
      <c r="AG347" s="85">
        <v>45135</v>
      </c>
      <c r="AH347" s="82" t="s">
        <v>8096</v>
      </c>
      <c r="AI347" s="77" t="b">
        <v>0</v>
      </c>
      <c r="AJ347" s="77"/>
      <c r="AK347" s="77"/>
      <c r="AL347" s="77"/>
      <c r="AM347" s="77"/>
      <c r="AN347" s="77"/>
      <c r="AO347" s="77"/>
      <c r="AP347" s="77"/>
      <c r="AQ347" s="77" t="s">
        <v>10809</v>
      </c>
      <c r="AR347" s="77"/>
      <c r="AS347" s="77"/>
      <c r="AT347" s="77"/>
      <c r="AU347" s="77"/>
      <c r="AV347" s="80" t="str">
        <f>HYPERLINK("https://pbs.twimg.com/media/F2I9gMjWsAwEatv.jpg")</f>
        <v>https://pbs.twimg.com/media/F2I9gMjWsAwEatv.jpg</v>
      </c>
      <c r="AW347" s="82" t="s">
        <v>12051</v>
      </c>
      <c r="AX347" s="82" t="s">
        <v>12051</v>
      </c>
      <c r="AY347" s="77"/>
      <c r="AZ347" s="82" t="s">
        <v>15984</v>
      </c>
      <c r="BA347" s="82" t="s">
        <v>15984</v>
      </c>
      <c r="BB347" s="82" t="s">
        <v>15984</v>
      </c>
      <c r="BC347" s="82" t="s">
        <v>12051</v>
      </c>
      <c r="BD347" s="77">
        <v>67350941</v>
      </c>
      <c r="BE347" s="77"/>
      <c r="BF347" s="77"/>
      <c r="BG347" s="77"/>
      <c r="BH347" s="77"/>
      <c r="BI347" s="77"/>
    </row>
    <row r="348" spans="1:61" x14ac:dyDescent="0.25">
      <c r="A348" s="62" t="s">
        <v>333</v>
      </c>
      <c r="B348" s="62" t="s">
        <v>333</v>
      </c>
      <c r="C348" s="63"/>
      <c r="D348" s="64"/>
      <c r="E348" s="65"/>
      <c r="F348" s="66"/>
      <c r="G348" s="63"/>
      <c r="H348" s="67"/>
      <c r="I348" s="68"/>
      <c r="J348" s="68"/>
      <c r="K348" s="32"/>
      <c r="L348" s="75">
        <v>348</v>
      </c>
      <c r="M348" s="75"/>
      <c r="N348" s="70"/>
      <c r="O348" s="77" t="s">
        <v>179</v>
      </c>
      <c r="P348" s="79">
        <v>45138.743831018517</v>
      </c>
      <c r="Q348" s="77" t="s">
        <v>1232</v>
      </c>
      <c r="R348" s="77">
        <v>0</v>
      </c>
      <c r="S348" s="77">
        <v>1</v>
      </c>
      <c r="T348" s="77">
        <v>0</v>
      </c>
      <c r="U348" s="77">
        <v>0</v>
      </c>
      <c r="V348" s="77">
        <v>102</v>
      </c>
      <c r="W348" s="82" t="s">
        <v>5000</v>
      </c>
      <c r="X348" s="80" t="str">
        <f>HYPERLINK("https://bit.ly/43QtCE3")</f>
        <v>https://bit.ly/43QtCE3</v>
      </c>
      <c r="Y348" s="77" t="s">
        <v>6468</v>
      </c>
      <c r="Z348" s="77"/>
      <c r="AA348" s="77" t="s">
        <v>6838</v>
      </c>
      <c r="AB348" s="77" t="s">
        <v>7742</v>
      </c>
      <c r="AC348" s="82" t="s">
        <v>7750</v>
      </c>
      <c r="AD348" s="77" t="s">
        <v>7788</v>
      </c>
      <c r="AE348" s="80" t="str">
        <f>HYPERLINK("https://twitter.com/portalvgv/status/1686072008151351306")</f>
        <v>https://twitter.com/portalvgv/status/1686072008151351306</v>
      </c>
      <c r="AF348" s="79">
        <v>45138.743831018517</v>
      </c>
      <c r="AG348" s="85">
        <v>45138</v>
      </c>
      <c r="AH348" s="82" t="s">
        <v>8097</v>
      </c>
      <c r="AI348" s="77" t="b">
        <v>0</v>
      </c>
      <c r="AJ348" s="77"/>
      <c r="AK348" s="77"/>
      <c r="AL348" s="77"/>
      <c r="AM348" s="77"/>
      <c r="AN348" s="77"/>
      <c r="AO348" s="77"/>
      <c r="AP348" s="77"/>
      <c r="AQ348" s="77" t="s">
        <v>10810</v>
      </c>
      <c r="AR348" s="77"/>
      <c r="AS348" s="77"/>
      <c r="AT348" s="77"/>
      <c r="AU348" s="77"/>
      <c r="AV348" s="80" t="str">
        <f>HYPERLINK("https://pbs.twimg.com/media/F2YhjS7XoAAQvyC.jpg")</f>
        <v>https://pbs.twimg.com/media/F2YhjS7XoAAQvyC.jpg</v>
      </c>
      <c r="AW348" s="82" t="s">
        <v>12052</v>
      </c>
      <c r="AX348" s="82" t="s">
        <v>12052</v>
      </c>
      <c r="AY348" s="77"/>
      <c r="AZ348" s="82" t="s">
        <v>15984</v>
      </c>
      <c r="BA348" s="82" t="s">
        <v>15984</v>
      </c>
      <c r="BB348" s="82" t="s">
        <v>15984</v>
      </c>
      <c r="BC348" s="82" t="s">
        <v>12052</v>
      </c>
      <c r="BD348" s="77">
        <v>67350941</v>
      </c>
      <c r="BE348" s="77"/>
      <c r="BF348" s="77"/>
      <c r="BG348" s="77"/>
      <c r="BH348" s="77"/>
      <c r="BI348" s="77"/>
    </row>
    <row r="349" spans="1:61" x14ac:dyDescent="0.25">
      <c r="A349" s="62" t="s">
        <v>334</v>
      </c>
      <c r="B349" s="62" t="s">
        <v>334</v>
      </c>
      <c r="C349" s="63"/>
      <c r="D349" s="64"/>
      <c r="E349" s="65"/>
      <c r="F349" s="66"/>
      <c r="G349" s="63"/>
      <c r="H349" s="67"/>
      <c r="I349" s="68"/>
      <c r="J349" s="68"/>
      <c r="K349" s="32"/>
      <c r="L349" s="75">
        <v>349</v>
      </c>
      <c r="M349" s="75"/>
      <c r="N349" s="70"/>
      <c r="O349" s="77" t="s">
        <v>898</v>
      </c>
      <c r="P349" s="79">
        <v>45121.821030092593</v>
      </c>
      <c r="Q349" s="77" t="s">
        <v>1233</v>
      </c>
      <c r="R349" s="77">
        <v>0</v>
      </c>
      <c r="S349" s="77">
        <v>1</v>
      </c>
      <c r="T349" s="77">
        <v>0</v>
      </c>
      <c r="U349" s="77">
        <v>0</v>
      </c>
      <c r="V349" s="77">
        <v>52</v>
      </c>
      <c r="W349" s="82" t="s">
        <v>5001</v>
      </c>
      <c r="X349" s="77"/>
      <c r="Y349" s="77"/>
      <c r="Z349" s="77"/>
      <c r="AA349" s="77"/>
      <c r="AB349" s="77"/>
      <c r="AC349" s="82" t="s">
        <v>7751</v>
      </c>
      <c r="AD349" s="77" t="s">
        <v>7788</v>
      </c>
      <c r="AE349" s="80" t="str">
        <f>HYPERLINK("https://twitter.com/eduardo_garufi/status/1679939393212088320")</f>
        <v>https://twitter.com/eduardo_garufi/status/1679939393212088320</v>
      </c>
      <c r="AF349" s="79">
        <v>45121.821030092593</v>
      </c>
      <c r="AG349" s="85">
        <v>45121</v>
      </c>
      <c r="AH349" s="82" t="s">
        <v>8098</v>
      </c>
      <c r="AI349" s="77"/>
      <c r="AJ349" s="77"/>
      <c r="AK349" s="77"/>
      <c r="AL349" s="77"/>
      <c r="AM349" s="77"/>
      <c r="AN349" s="77"/>
      <c r="AO349" s="77"/>
      <c r="AP349" s="77"/>
      <c r="AQ349" s="77"/>
      <c r="AR349" s="77"/>
      <c r="AS349" s="77"/>
      <c r="AT349" s="77"/>
      <c r="AU349" s="77"/>
      <c r="AV349" s="80" t="str">
        <f>HYPERLINK("https://pbs.twimg.com/profile_images/1679209222507053056/x4xiqfDI_normal.jpg")</f>
        <v>https://pbs.twimg.com/profile_images/1679209222507053056/x4xiqfDI_normal.jpg</v>
      </c>
      <c r="AW349" s="82" t="s">
        <v>12053</v>
      </c>
      <c r="AX349" s="82" t="s">
        <v>15747</v>
      </c>
      <c r="AY349" s="82" t="s">
        <v>15923</v>
      </c>
      <c r="AZ349" s="82" t="s">
        <v>15747</v>
      </c>
      <c r="BA349" s="82" t="s">
        <v>15984</v>
      </c>
      <c r="BB349" s="82" t="s">
        <v>15984</v>
      </c>
      <c r="BC349" s="82" t="s">
        <v>15747</v>
      </c>
      <c r="BD349" s="77">
        <v>86519869</v>
      </c>
      <c r="BE349" s="77"/>
      <c r="BF349" s="77"/>
      <c r="BG349" s="77"/>
      <c r="BH349" s="77"/>
      <c r="BI349" s="77"/>
    </row>
    <row r="350" spans="1:61" x14ac:dyDescent="0.25">
      <c r="A350" s="62" t="s">
        <v>334</v>
      </c>
      <c r="B350" s="62" t="s">
        <v>334</v>
      </c>
      <c r="C350" s="63"/>
      <c r="D350" s="64"/>
      <c r="E350" s="65"/>
      <c r="F350" s="66"/>
      <c r="G350" s="63"/>
      <c r="H350" s="67"/>
      <c r="I350" s="68"/>
      <c r="J350" s="68"/>
      <c r="K350" s="32"/>
      <c r="L350" s="75">
        <v>350</v>
      </c>
      <c r="M350" s="75"/>
      <c r="N350" s="70"/>
      <c r="O350" s="77" t="s">
        <v>898</v>
      </c>
      <c r="P350" s="79">
        <v>45159.783622685187</v>
      </c>
      <c r="Q350" s="77" t="s">
        <v>1234</v>
      </c>
      <c r="R350" s="77">
        <v>0</v>
      </c>
      <c r="S350" s="77">
        <v>0</v>
      </c>
      <c r="T350" s="77">
        <v>0</v>
      </c>
      <c r="U350" s="77">
        <v>0</v>
      </c>
      <c r="V350" s="77">
        <v>40</v>
      </c>
      <c r="W350" s="82" t="s">
        <v>5002</v>
      </c>
      <c r="X350" s="77"/>
      <c r="Y350" s="77"/>
      <c r="Z350" s="77"/>
      <c r="AA350" s="77" t="s">
        <v>6839</v>
      </c>
      <c r="AB350" s="77" t="s">
        <v>7742</v>
      </c>
      <c r="AC350" s="82" t="s">
        <v>7751</v>
      </c>
      <c r="AD350" s="77" t="s">
        <v>7788</v>
      </c>
      <c r="AE350" s="80" t="str">
        <f>HYPERLINK("https://twitter.com/eduardo_garufi/status/1693696575422230577")</f>
        <v>https://twitter.com/eduardo_garufi/status/1693696575422230577</v>
      </c>
      <c r="AF350" s="79">
        <v>45159.783622685187</v>
      </c>
      <c r="AG350" s="85">
        <v>45159</v>
      </c>
      <c r="AH350" s="82" t="s">
        <v>8099</v>
      </c>
      <c r="AI350" s="77" t="b">
        <v>0</v>
      </c>
      <c r="AJ350" s="77"/>
      <c r="AK350" s="77"/>
      <c r="AL350" s="77"/>
      <c r="AM350" s="77"/>
      <c r="AN350" s="77"/>
      <c r="AO350" s="77"/>
      <c r="AP350" s="77"/>
      <c r="AQ350" s="77" t="s">
        <v>10811</v>
      </c>
      <c r="AR350" s="77"/>
      <c r="AS350" s="77"/>
      <c r="AT350" s="77"/>
      <c r="AU350" s="77"/>
      <c r="AV350" s="80" t="str">
        <f>HYPERLINK("https://pbs.twimg.com/media/F4E4DxEWkAAA3tJ.jpg")</f>
        <v>https://pbs.twimg.com/media/F4E4DxEWkAAA3tJ.jpg</v>
      </c>
      <c r="AW350" s="82" t="s">
        <v>12054</v>
      </c>
      <c r="AX350" s="82" t="s">
        <v>15748</v>
      </c>
      <c r="AY350" s="82" t="s">
        <v>15923</v>
      </c>
      <c r="AZ350" s="82" t="s">
        <v>15748</v>
      </c>
      <c r="BA350" s="82" t="s">
        <v>15984</v>
      </c>
      <c r="BB350" s="82" t="s">
        <v>15984</v>
      </c>
      <c r="BC350" s="82" t="s">
        <v>15748</v>
      </c>
      <c r="BD350" s="77">
        <v>86519869</v>
      </c>
      <c r="BE350" s="77"/>
      <c r="BF350" s="77"/>
      <c r="BG350" s="77"/>
      <c r="BH350" s="77"/>
      <c r="BI350" s="77"/>
    </row>
    <row r="351" spans="1:61" x14ac:dyDescent="0.25">
      <c r="A351" s="62" t="s">
        <v>334</v>
      </c>
      <c r="B351" s="62" t="s">
        <v>334</v>
      </c>
      <c r="C351" s="63"/>
      <c r="D351" s="64"/>
      <c r="E351" s="65"/>
      <c r="F351" s="66"/>
      <c r="G351" s="63"/>
      <c r="H351" s="67"/>
      <c r="I351" s="68"/>
      <c r="J351" s="68"/>
      <c r="K351" s="32"/>
      <c r="L351" s="75">
        <v>351</v>
      </c>
      <c r="M351" s="75"/>
      <c r="N351" s="70"/>
      <c r="O351" s="77" t="s">
        <v>898</v>
      </c>
      <c r="P351" s="79">
        <v>45167.526875000003</v>
      </c>
      <c r="Q351" s="77" t="s">
        <v>1235</v>
      </c>
      <c r="R351" s="77">
        <v>0</v>
      </c>
      <c r="S351" s="77">
        <v>0</v>
      </c>
      <c r="T351" s="77">
        <v>1</v>
      </c>
      <c r="U351" s="77">
        <v>0</v>
      </c>
      <c r="V351" s="77">
        <v>39</v>
      </c>
      <c r="W351" s="82" t="s">
        <v>5003</v>
      </c>
      <c r="X351" s="77"/>
      <c r="Y351" s="77"/>
      <c r="Z351" s="77"/>
      <c r="AA351" s="77"/>
      <c r="AB351" s="77"/>
      <c r="AC351" s="82" t="s">
        <v>7751</v>
      </c>
      <c r="AD351" s="77" t="s">
        <v>7788</v>
      </c>
      <c r="AE351" s="80" t="str">
        <f>HYPERLINK("https://twitter.com/eduardo_garufi/status/1696502634406891614")</f>
        <v>https://twitter.com/eduardo_garufi/status/1696502634406891614</v>
      </c>
      <c r="AF351" s="79">
        <v>45167.526875000003</v>
      </c>
      <c r="AG351" s="85">
        <v>45167</v>
      </c>
      <c r="AH351" s="82" t="s">
        <v>8100</v>
      </c>
      <c r="AI351" s="77"/>
      <c r="AJ351" s="77"/>
      <c r="AK351" s="77"/>
      <c r="AL351" s="77"/>
      <c r="AM351" s="77"/>
      <c r="AN351" s="77"/>
      <c r="AO351" s="77"/>
      <c r="AP351" s="77"/>
      <c r="AQ351" s="77"/>
      <c r="AR351" s="77"/>
      <c r="AS351" s="77"/>
      <c r="AT351" s="77"/>
      <c r="AU351" s="77"/>
      <c r="AV351" s="80" t="str">
        <f>HYPERLINK("https://pbs.twimg.com/profile_images/1679209222507053056/x4xiqfDI_normal.jpg")</f>
        <v>https://pbs.twimg.com/profile_images/1679209222507053056/x4xiqfDI_normal.jpg</v>
      </c>
      <c r="AW351" s="82" t="s">
        <v>12055</v>
      </c>
      <c r="AX351" s="82" t="s">
        <v>15749</v>
      </c>
      <c r="AY351" s="82" t="s">
        <v>15923</v>
      </c>
      <c r="AZ351" s="82" t="s">
        <v>15991</v>
      </c>
      <c r="BA351" s="82" t="s">
        <v>15984</v>
      </c>
      <c r="BB351" s="82" t="s">
        <v>15984</v>
      </c>
      <c r="BC351" s="82" t="s">
        <v>15991</v>
      </c>
      <c r="BD351" s="77">
        <v>86519869</v>
      </c>
      <c r="BE351" s="77"/>
      <c r="BF351" s="77"/>
      <c r="BG351" s="77"/>
      <c r="BH351" s="77"/>
      <c r="BI351" s="77"/>
    </row>
    <row r="352" spans="1:61" x14ac:dyDescent="0.25">
      <c r="A352" s="62" t="s">
        <v>334</v>
      </c>
      <c r="B352" s="62" t="s">
        <v>334</v>
      </c>
      <c r="C352" s="63"/>
      <c r="D352" s="64"/>
      <c r="E352" s="65"/>
      <c r="F352" s="66"/>
      <c r="G352" s="63"/>
      <c r="H352" s="67"/>
      <c r="I352" s="68"/>
      <c r="J352" s="68"/>
      <c r="K352" s="32"/>
      <c r="L352" s="75">
        <v>352</v>
      </c>
      <c r="M352" s="75"/>
      <c r="N352" s="70"/>
      <c r="O352" s="77" t="s">
        <v>898</v>
      </c>
      <c r="P352" s="79">
        <v>45175.838553240741</v>
      </c>
      <c r="Q352" s="77" t="s">
        <v>1236</v>
      </c>
      <c r="R352" s="77">
        <v>0</v>
      </c>
      <c r="S352" s="77">
        <v>0</v>
      </c>
      <c r="T352" s="77">
        <v>1</v>
      </c>
      <c r="U352" s="77">
        <v>0</v>
      </c>
      <c r="V352" s="77">
        <v>47</v>
      </c>
      <c r="W352" s="82" t="s">
        <v>5004</v>
      </c>
      <c r="X352" s="77"/>
      <c r="Y352" s="77"/>
      <c r="Z352" s="77"/>
      <c r="AA352" s="77"/>
      <c r="AB352" s="77"/>
      <c r="AC352" s="82" t="s">
        <v>7751</v>
      </c>
      <c r="AD352" s="77" t="s">
        <v>7788</v>
      </c>
      <c r="AE352" s="80" t="str">
        <f>HYPERLINK("https://twitter.com/eduardo_garufi/status/1699514687350599928")</f>
        <v>https://twitter.com/eduardo_garufi/status/1699514687350599928</v>
      </c>
      <c r="AF352" s="79">
        <v>45175.838553240741</v>
      </c>
      <c r="AG352" s="85">
        <v>45175</v>
      </c>
      <c r="AH352" s="82" t="s">
        <v>8101</v>
      </c>
      <c r="AI352" s="77"/>
      <c r="AJ352" s="77"/>
      <c r="AK352" s="77"/>
      <c r="AL352" s="77"/>
      <c r="AM352" s="77"/>
      <c r="AN352" s="77"/>
      <c r="AO352" s="77"/>
      <c r="AP352" s="77"/>
      <c r="AQ352" s="77"/>
      <c r="AR352" s="77"/>
      <c r="AS352" s="77"/>
      <c r="AT352" s="77"/>
      <c r="AU352" s="77"/>
      <c r="AV352" s="80" t="str">
        <f>HYPERLINK("https://pbs.twimg.com/profile_images/1679209222507053056/x4xiqfDI_normal.jpg")</f>
        <v>https://pbs.twimg.com/profile_images/1679209222507053056/x4xiqfDI_normal.jpg</v>
      </c>
      <c r="AW352" s="82" t="s">
        <v>12056</v>
      </c>
      <c r="AX352" s="82" t="s">
        <v>15750</v>
      </c>
      <c r="AY352" s="82" t="s">
        <v>15923</v>
      </c>
      <c r="AZ352" s="82" t="s">
        <v>15750</v>
      </c>
      <c r="BA352" s="82" t="s">
        <v>15984</v>
      </c>
      <c r="BB352" s="82" t="s">
        <v>15984</v>
      </c>
      <c r="BC352" s="82" t="s">
        <v>15750</v>
      </c>
      <c r="BD352" s="77">
        <v>86519869</v>
      </c>
      <c r="BE352" s="77"/>
      <c r="BF352" s="77"/>
      <c r="BG352" s="77"/>
      <c r="BH352" s="77"/>
      <c r="BI352" s="77"/>
    </row>
    <row r="353" spans="1:61" x14ac:dyDescent="0.25">
      <c r="A353" s="62" t="s">
        <v>334</v>
      </c>
      <c r="B353" s="62" t="s">
        <v>334</v>
      </c>
      <c r="C353" s="63"/>
      <c r="D353" s="64"/>
      <c r="E353" s="65"/>
      <c r="F353" s="66"/>
      <c r="G353" s="63"/>
      <c r="H353" s="67"/>
      <c r="I353" s="68"/>
      <c r="J353" s="68"/>
      <c r="K353" s="32"/>
      <c r="L353" s="75">
        <v>353</v>
      </c>
      <c r="M353" s="75"/>
      <c r="N353" s="70"/>
      <c r="O353" s="77" t="s">
        <v>898</v>
      </c>
      <c r="P353" s="79">
        <v>45182.799710648149</v>
      </c>
      <c r="Q353" s="77" t="s">
        <v>1237</v>
      </c>
      <c r="R353" s="77">
        <v>0</v>
      </c>
      <c r="S353" s="77">
        <v>0</v>
      </c>
      <c r="T353" s="77">
        <v>0</v>
      </c>
      <c r="U353" s="77">
        <v>0</v>
      </c>
      <c r="V353" s="77">
        <v>28</v>
      </c>
      <c r="W353" s="82" t="s">
        <v>5005</v>
      </c>
      <c r="X353" s="77"/>
      <c r="Y353" s="77"/>
      <c r="Z353" s="77"/>
      <c r="AA353" s="77"/>
      <c r="AB353" s="77"/>
      <c r="AC353" s="82" t="s">
        <v>7751</v>
      </c>
      <c r="AD353" s="77" t="s">
        <v>7788</v>
      </c>
      <c r="AE353" s="80" t="str">
        <f>HYPERLINK("https://twitter.com/eduardo_garufi/status/1702037325700571603")</f>
        <v>https://twitter.com/eduardo_garufi/status/1702037325700571603</v>
      </c>
      <c r="AF353" s="79">
        <v>45182.799710648149</v>
      </c>
      <c r="AG353" s="85">
        <v>45182</v>
      </c>
      <c r="AH353" s="82" t="s">
        <v>8102</v>
      </c>
      <c r="AI353" s="77"/>
      <c r="AJ353" s="77"/>
      <c r="AK353" s="77"/>
      <c r="AL353" s="77"/>
      <c r="AM353" s="77"/>
      <c r="AN353" s="77"/>
      <c r="AO353" s="77"/>
      <c r="AP353" s="77"/>
      <c r="AQ353" s="77"/>
      <c r="AR353" s="77"/>
      <c r="AS353" s="77"/>
      <c r="AT353" s="77"/>
      <c r="AU353" s="77"/>
      <c r="AV353" s="80" t="str">
        <f>HYPERLINK("https://pbs.twimg.com/profile_images/1679209222507053056/x4xiqfDI_normal.jpg")</f>
        <v>https://pbs.twimg.com/profile_images/1679209222507053056/x4xiqfDI_normal.jpg</v>
      </c>
      <c r="AW353" s="82" t="s">
        <v>12057</v>
      </c>
      <c r="AX353" s="82" t="s">
        <v>15751</v>
      </c>
      <c r="AY353" s="82" t="s">
        <v>15923</v>
      </c>
      <c r="AZ353" s="82" t="s">
        <v>15751</v>
      </c>
      <c r="BA353" s="82" t="s">
        <v>15984</v>
      </c>
      <c r="BB353" s="82" t="s">
        <v>15984</v>
      </c>
      <c r="BC353" s="82" t="s">
        <v>15751</v>
      </c>
      <c r="BD353" s="77">
        <v>86519869</v>
      </c>
      <c r="BE353" s="77"/>
      <c r="BF353" s="77"/>
      <c r="BG353" s="77"/>
      <c r="BH353" s="77"/>
      <c r="BI353" s="77"/>
    </row>
    <row r="354" spans="1:61" x14ac:dyDescent="0.25">
      <c r="A354" s="62" t="s">
        <v>334</v>
      </c>
      <c r="B354" s="62" t="s">
        <v>334</v>
      </c>
      <c r="C354" s="63"/>
      <c r="D354" s="64"/>
      <c r="E354" s="65"/>
      <c r="F354" s="66"/>
      <c r="G354" s="63"/>
      <c r="H354" s="67"/>
      <c r="I354" s="68"/>
      <c r="J354" s="68"/>
      <c r="K354" s="32"/>
      <c r="L354" s="75">
        <v>354</v>
      </c>
      <c r="M354" s="75"/>
      <c r="N354" s="70"/>
      <c r="O354" s="77" t="s">
        <v>898</v>
      </c>
      <c r="P354" s="79">
        <v>45194.800196759257</v>
      </c>
      <c r="Q354" s="77" t="s">
        <v>1238</v>
      </c>
      <c r="R354" s="77">
        <v>0</v>
      </c>
      <c r="S354" s="77">
        <v>1</v>
      </c>
      <c r="T354" s="77">
        <v>1</v>
      </c>
      <c r="U354" s="77">
        <v>0</v>
      </c>
      <c r="V354" s="77">
        <v>49</v>
      </c>
      <c r="W354" s="82" t="s">
        <v>5006</v>
      </c>
      <c r="X354" s="77"/>
      <c r="Y354" s="77"/>
      <c r="Z354" s="77"/>
      <c r="AA354" s="77"/>
      <c r="AB354" s="77"/>
      <c r="AC354" s="82" t="s">
        <v>7751</v>
      </c>
      <c r="AD354" s="77" t="s">
        <v>7788</v>
      </c>
      <c r="AE354" s="80" t="str">
        <f>HYPERLINK("https://twitter.com/eduardo_garufi/status/1706386156416295361")</f>
        <v>https://twitter.com/eduardo_garufi/status/1706386156416295361</v>
      </c>
      <c r="AF354" s="79">
        <v>45194.800196759257</v>
      </c>
      <c r="AG354" s="85">
        <v>45194</v>
      </c>
      <c r="AH354" s="82" t="s">
        <v>8103</v>
      </c>
      <c r="AI354" s="77"/>
      <c r="AJ354" s="77"/>
      <c r="AK354" s="77"/>
      <c r="AL354" s="77"/>
      <c r="AM354" s="77"/>
      <c r="AN354" s="77"/>
      <c r="AO354" s="77"/>
      <c r="AP354" s="77"/>
      <c r="AQ354" s="77"/>
      <c r="AR354" s="77"/>
      <c r="AS354" s="77"/>
      <c r="AT354" s="77"/>
      <c r="AU354" s="77"/>
      <c r="AV354" s="80" t="str">
        <f>HYPERLINK("https://pbs.twimg.com/profile_images/1679209222507053056/x4xiqfDI_normal.jpg")</f>
        <v>https://pbs.twimg.com/profile_images/1679209222507053056/x4xiqfDI_normal.jpg</v>
      </c>
      <c r="AW354" s="82" t="s">
        <v>12058</v>
      </c>
      <c r="AX354" s="82" t="s">
        <v>15752</v>
      </c>
      <c r="AY354" s="82" t="s">
        <v>15923</v>
      </c>
      <c r="AZ354" s="82" t="s">
        <v>15752</v>
      </c>
      <c r="BA354" s="82" t="s">
        <v>15984</v>
      </c>
      <c r="BB354" s="82" t="s">
        <v>15984</v>
      </c>
      <c r="BC354" s="82" t="s">
        <v>15752</v>
      </c>
      <c r="BD354" s="77">
        <v>86519869</v>
      </c>
      <c r="BE354" s="77"/>
      <c r="BF354" s="77"/>
      <c r="BG354" s="77"/>
      <c r="BH354" s="77"/>
      <c r="BI354" s="77"/>
    </row>
    <row r="355" spans="1:61" x14ac:dyDescent="0.25">
      <c r="A355" s="62" t="s">
        <v>335</v>
      </c>
      <c r="B355" s="62" t="s">
        <v>335</v>
      </c>
      <c r="C355" s="63"/>
      <c r="D355" s="64"/>
      <c r="E355" s="65"/>
      <c r="F355" s="66"/>
      <c r="G355" s="63"/>
      <c r="H355" s="67"/>
      <c r="I355" s="68"/>
      <c r="J355" s="68"/>
      <c r="K355" s="32"/>
      <c r="L355" s="75">
        <v>355</v>
      </c>
      <c r="M355" s="75"/>
      <c r="N355" s="70"/>
      <c r="O355" s="77" t="s">
        <v>179</v>
      </c>
      <c r="P355" s="79">
        <v>45182.432986111111</v>
      </c>
      <c r="Q355" s="77" t="s">
        <v>1239</v>
      </c>
      <c r="R355" s="77">
        <v>0</v>
      </c>
      <c r="S355" s="77">
        <v>20</v>
      </c>
      <c r="T355" s="77">
        <v>3</v>
      </c>
      <c r="U355" s="77">
        <v>0</v>
      </c>
      <c r="V355" s="77">
        <v>729</v>
      </c>
      <c r="W355" s="82" t="s">
        <v>5007</v>
      </c>
      <c r="X355" s="77"/>
      <c r="Y355" s="77"/>
      <c r="Z355" s="77"/>
      <c r="AA355" s="77" t="s">
        <v>6840</v>
      </c>
      <c r="AB355" s="77" t="s">
        <v>7742</v>
      </c>
      <c r="AC355" s="82" t="s">
        <v>7752</v>
      </c>
      <c r="AD355" s="77" t="s">
        <v>7788</v>
      </c>
      <c r="AE355" s="80" t="str">
        <f>HYPERLINK("https://twitter.com/ocriptomestre/status/1701904431426502742")</f>
        <v>https://twitter.com/ocriptomestre/status/1701904431426502742</v>
      </c>
      <c r="AF355" s="79">
        <v>45182.432986111111</v>
      </c>
      <c r="AG355" s="85">
        <v>45182</v>
      </c>
      <c r="AH355" s="82" t="s">
        <v>8104</v>
      </c>
      <c r="AI355" s="77" t="b">
        <v>0</v>
      </c>
      <c r="AJ355" s="77"/>
      <c r="AK355" s="77"/>
      <c r="AL355" s="77"/>
      <c r="AM355" s="77"/>
      <c r="AN355" s="77"/>
      <c r="AO355" s="77"/>
      <c r="AP355" s="77"/>
      <c r="AQ355" s="77" t="s">
        <v>10812</v>
      </c>
      <c r="AR355" s="77"/>
      <c r="AS355" s="77"/>
      <c r="AT355" s="77"/>
      <c r="AU355" s="77"/>
      <c r="AV355" s="80" t="str">
        <f>HYPERLINK("https://pbs.twimg.com/media/F55g4fXXIAAt7tk.jpg")</f>
        <v>https://pbs.twimg.com/media/F55g4fXXIAAt7tk.jpg</v>
      </c>
      <c r="AW355" s="82" t="s">
        <v>12059</v>
      </c>
      <c r="AX355" s="82" t="s">
        <v>12059</v>
      </c>
      <c r="AY355" s="77"/>
      <c r="AZ355" s="82" t="s">
        <v>15984</v>
      </c>
      <c r="BA355" s="82" t="s">
        <v>15984</v>
      </c>
      <c r="BB355" s="82" t="s">
        <v>15984</v>
      </c>
      <c r="BC355" s="82" t="s">
        <v>12059</v>
      </c>
      <c r="BD355" s="82" t="s">
        <v>16167</v>
      </c>
      <c r="BE355" s="77"/>
      <c r="BF355" s="77"/>
      <c r="BG355" s="77"/>
      <c r="BH355" s="77"/>
      <c r="BI355" s="77"/>
    </row>
    <row r="356" spans="1:61" x14ac:dyDescent="0.25">
      <c r="A356" s="62" t="s">
        <v>336</v>
      </c>
      <c r="B356" s="62" t="s">
        <v>336</v>
      </c>
      <c r="C356" s="63"/>
      <c r="D356" s="64"/>
      <c r="E356" s="65"/>
      <c r="F356" s="66"/>
      <c r="G356" s="63"/>
      <c r="H356" s="67"/>
      <c r="I356" s="68"/>
      <c r="J356" s="68"/>
      <c r="K356" s="32"/>
      <c r="L356" s="75">
        <v>356</v>
      </c>
      <c r="M356" s="75"/>
      <c r="N356" s="70"/>
      <c r="O356" s="77" t="s">
        <v>179</v>
      </c>
      <c r="P356" s="79">
        <v>45163.039872685185</v>
      </c>
      <c r="Q356" s="77" t="s">
        <v>1240</v>
      </c>
      <c r="R356" s="77">
        <v>0</v>
      </c>
      <c r="S356" s="77">
        <v>1</v>
      </c>
      <c r="T356" s="77">
        <v>0</v>
      </c>
      <c r="U356" s="77">
        <v>0</v>
      </c>
      <c r="V356" s="77">
        <v>30</v>
      </c>
      <c r="W356" s="82" t="s">
        <v>5008</v>
      </c>
      <c r="X356" s="77"/>
      <c r="Y356" s="77"/>
      <c r="Z356" s="77"/>
      <c r="AA356" s="77" t="s">
        <v>6841</v>
      </c>
      <c r="AB356" s="77" t="s">
        <v>7743</v>
      </c>
      <c r="AC356" s="82" t="s">
        <v>7751</v>
      </c>
      <c r="AD356" s="77" t="s">
        <v>7791</v>
      </c>
      <c r="AE356" s="80" t="str">
        <f>HYPERLINK("https://twitter.com/elbunkerradior/status/1694876599227736537")</f>
        <v>https://twitter.com/elbunkerradior/status/1694876599227736537</v>
      </c>
      <c r="AF356" s="79">
        <v>45163.039872685185</v>
      </c>
      <c r="AG356" s="85">
        <v>45163</v>
      </c>
      <c r="AH356" s="82" t="s">
        <v>8105</v>
      </c>
      <c r="AI356" s="77" t="b">
        <v>0</v>
      </c>
      <c r="AJ356" s="77"/>
      <c r="AK356" s="77"/>
      <c r="AL356" s="77"/>
      <c r="AM356" s="77"/>
      <c r="AN356" s="77"/>
      <c r="AO356" s="77"/>
      <c r="AP356" s="77"/>
      <c r="AQ356" s="77" t="s">
        <v>10813</v>
      </c>
      <c r="AR356" s="77">
        <v>21333</v>
      </c>
      <c r="AS356" s="77"/>
      <c r="AT356" s="77"/>
      <c r="AU356" s="77"/>
      <c r="AV356" s="80" t="str">
        <f>HYPERLINK("https://pbs.twimg.com/ext_tw_video_thumb/1694876531644887040/pu/img/ZvyFnKNOo6y5ZslX.jpg")</f>
        <v>https://pbs.twimg.com/ext_tw_video_thumb/1694876531644887040/pu/img/ZvyFnKNOo6y5ZslX.jpg</v>
      </c>
      <c r="AW356" s="82" t="s">
        <v>12060</v>
      </c>
      <c r="AX356" s="82" t="s">
        <v>12060</v>
      </c>
      <c r="AY356" s="77"/>
      <c r="AZ356" s="82" t="s">
        <v>15984</v>
      </c>
      <c r="BA356" s="82" t="s">
        <v>15984</v>
      </c>
      <c r="BB356" s="82" t="s">
        <v>15984</v>
      </c>
      <c r="BC356" s="82" t="s">
        <v>12060</v>
      </c>
      <c r="BD356" s="82" t="s">
        <v>16168</v>
      </c>
      <c r="BE356" s="77"/>
      <c r="BF356" s="77"/>
      <c r="BG356" s="77"/>
      <c r="BH356" s="77"/>
      <c r="BI356" s="77"/>
    </row>
    <row r="357" spans="1:61" x14ac:dyDescent="0.25">
      <c r="A357" s="62" t="s">
        <v>337</v>
      </c>
      <c r="B357" s="62" t="s">
        <v>337</v>
      </c>
      <c r="C357" s="63"/>
      <c r="D357" s="64"/>
      <c r="E357" s="65"/>
      <c r="F357" s="66"/>
      <c r="G357" s="63"/>
      <c r="H357" s="67"/>
      <c r="I357" s="68"/>
      <c r="J357" s="68"/>
      <c r="K357" s="32"/>
      <c r="L357" s="75">
        <v>357</v>
      </c>
      <c r="M357" s="75"/>
      <c r="N357" s="70"/>
      <c r="O357" s="77" t="s">
        <v>179</v>
      </c>
      <c r="P357" s="79">
        <v>45193.597210648149</v>
      </c>
      <c r="Q357" s="77" t="s">
        <v>1241</v>
      </c>
      <c r="R357" s="77">
        <v>0</v>
      </c>
      <c r="S357" s="77">
        <v>0</v>
      </c>
      <c r="T357" s="77">
        <v>0</v>
      </c>
      <c r="U357" s="77">
        <v>0</v>
      </c>
      <c r="V357" s="77">
        <v>25</v>
      </c>
      <c r="W357" s="82" t="s">
        <v>5009</v>
      </c>
      <c r="X357" s="77"/>
      <c r="Y357" s="77"/>
      <c r="Z357" s="77"/>
      <c r="AA357" s="77" t="s">
        <v>6842</v>
      </c>
      <c r="AB357" s="77" t="s">
        <v>7742</v>
      </c>
      <c r="AC357" s="82" t="s">
        <v>7752</v>
      </c>
      <c r="AD357" s="77" t="s">
        <v>7788</v>
      </c>
      <c r="AE357" s="80" t="str">
        <f>HYPERLINK("https://twitter.com/sanchezzandre/status/1705950207903482303")</f>
        <v>https://twitter.com/sanchezzandre/status/1705950207903482303</v>
      </c>
      <c r="AF357" s="79">
        <v>45193.597210648149</v>
      </c>
      <c r="AG357" s="85">
        <v>45193</v>
      </c>
      <c r="AH357" s="82" t="s">
        <v>8106</v>
      </c>
      <c r="AI357" s="77" t="b">
        <v>0</v>
      </c>
      <c r="AJ357" s="77"/>
      <c r="AK357" s="77"/>
      <c r="AL357" s="77"/>
      <c r="AM357" s="77"/>
      <c r="AN357" s="77"/>
      <c r="AO357" s="77"/>
      <c r="AP357" s="77"/>
      <c r="AQ357" s="77" t="s">
        <v>10814</v>
      </c>
      <c r="AR357" s="77"/>
      <c r="AS357" s="77"/>
      <c r="AT357" s="77"/>
      <c r="AU357" s="77"/>
      <c r="AV357" s="80" t="str">
        <f>HYPERLINK("https://pbs.twimg.com/media/F6zAqvGWIAATO--.jpg")</f>
        <v>https://pbs.twimg.com/media/F6zAqvGWIAATO--.jpg</v>
      </c>
      <c r="AW357" s="82" t="s">
        <v>12061</v>
      </c>
      <c r="AX357" s="82" t="s">
        <v>12061</v>
      </c>
      <c r="AY357" s="77"/>
      <c r="AZ357" s="82" t="s">
        <v>15984</v>
      </c>
      <c r="BA357" s="82" t="s">
        <v>15984</v>
      </c>
      <c r="BB357" s="82" t="s">
        <v>15984</v>
      </c>
      <c r="BC357" s="82" t="s">
        <v>12061</v>
      </c>
      <c r="BD357" s="82" t="s">
        <v>16169</v>
      </c>
      <c r="BE357" s="77"/>
      <c r="BF357" s="77"/>
      <c r="BG357" s="77"/>
      <c r="BH357" s="77"/>
      <c r="BI357" s="77"/>
    </row>
    <row r="358" spans="1:61" x14ac:dyDescent="0.25">
      <c r="A358" s="62" t="s">
        <v>338</v>
      </c>
      <c r="B358" s="62" t="s">
        <v>766</v>
      </c>
      <c r="C358" s="63"/>
      <c r="D358" s="64"/>
      <c r="E358" s="65"/>
      <c r="F358" s="66"/>
      <c r="G358" s="63"/>
      <c r="H358" s="67"/>
      <c r="I358" s="68"/>
      <c r="J358" s="68"/>
      <c r="K358" s="32"/>
      <c r="L358" s="75">
        <v>358</v>
      </c>
      <c r="M358" s="75"/>
      <c r="N358" s="70"/>
      <c r="O358" s="77" t="s">
        <v>895</v>
      </c>
      <c r="P358" s="79">
        <v>45135.85765046296</v>
      </c>
      <c r="Q358" s="77" t="s">
        <v>1242</v>
      </c>
      <c r="R358" s="77">
        <v>0</v>
      </c>
      <c r="S358" s="77">
        <v>0</v>
      </c>
      <c r="T358" s="77">
        <v>0</v>
      </c>
      <c r="U358" s="77">
        <v>0</v>
      </c>
      <c r="V358" s="77">
        <v>8</v>
      </c>
      <c r="W358" s="82" t="s">
        <v>5010</v>
      </c>
      <c r="X358" s="77"/>
      <c r="Y358" s="77"/>
      <c r="Z358" s="77" t="s">
        <v>766</v>
      </c>
      <c r="AA358" s="77" t="s">
        <v>6843</v>
      </c>
      <c r="AB358" s="77" t="s">
        <v>7742</v>
      </c>
      <c r="AC358" s="82" t="s">
        <v>7751</v>
      </c>
      <c r="AD358" s="77" t="s">
        <v>7788</v>
      </c>
      <c r="AE358" s="80" t="str">
        <f>HYPERLINK("https://twitter.com/jhonata13179362/status/1685026091746959360")</f>
        <v>https://twitter.com/jhonata13179362/status/1685026091746959360</v>
      </c>
      <c r="AF358" s="79">
        <v>45135.85765046296</v>
      </c>
      <c r="AG358" s="85">
        <v>45135</v>
      </c>
      <c r="AH358" s="82" t="s">
        <v>8107</v>
      </c>
      <c r="AI358" s="77" t="b">
        <v>0</v>
      </c>
      <c r="AJ358" s="77"/>
      <c r="AK358" s="77"/>
      <c r="AL358" s="77"/>
      <c r="AM358" s="77"/>
      <c r="AN358" s="77"/>
      <c r="AO358" s="77"/>
      <c r="AP358" s="77"/>
      <c r="AQ358" s="77" t="s">
        <v>10815</v>
      </c>
      <c r="AR358" s="77"/>
      <c r="AS358" s="77"/>
      <c r="AT358" s="77"/>
      <c r="AU358" s="77"/>
      <c r="AV358" s="80" t="str">
        <f>HYPERLINK("https://pbs.twimg.com/media/F2JqTOjWkAATP46.jpg")</f>
        <v>https://pbs.twimg.com/media/F2JqTOjWkAATP46.jpg</v>
      </c>
      <c r="AW358" s="82" t="s">
        <v>12062</v>
      </c>
      <c r="AX358" s="82" t="s">
        <v>12062</v>
      </c>
      <c r="AY358" s="77"/>
      <c r="AZ358" s="82" t="s">
        <v>15984</v>
      </c>
      <c r="BA358" s="82" t="s">
        <v>15984</v>
      </c>
      <c r="BB358" s="82" t="s">
        <v>15984</v>
      </c>
      <c r="BC358" s="82" t="s">
        <v>12062</v>
      </c>
      <c r="BD358" s="82" t="s">
        <v>16170</v>
      </c>
      <c r="BE358" s="77"/>
      <c r="BF358" s="77"/>
      <c r="BG358" s="77"/>
      <c r="BH358" s="77"/>
      <c r="BI358" s="77"/>
    </row>
    <row r="359" spans="1:61" x14ac:dyDescent="0.25">
      <c r="A359" s="62" t="s">
        <v>338</v>
      </c>
      <c r="B359" s="62" t="s">
        <v>766</v>
      </c>
      <c r="C359" s="63"/>
      <c r="D359" s="64"/>
      <c r="E359" s="65"/>
      <c r="F359" s="66"/>
      <c r="G359" s="63"/>
      <c r="H359" s="67"/>
      <c r="I359" s="68"/>
      <c r="J359" s="68"/>
      <c r="K359" s="32"/>
      <c r="L359" s="75">
        <v>359</v>
      </c>
      <c r="M359" s="75"/>
      <c r="N359" s="70"/>
      <c r="O359" s="77" t="s">
        <v>895</v>
      </c>
      <c r="P359" s="79">
        <v>45138.862835648149</v>
      </c>
      <c r="Q359" s="77" t="s">
        <v>1243</v>
      </c>
      <c r="R359" s="77">
        <v>0</v>
      </c>
      <c r="S359" s="77">
        <v>0</v>
      </c>
      <c r="T359" s="77">
        <v>0</v>
      </c>
      <c r="U359" s="77">
        <v>0</v>
      </c>
      <c r="V359" s="77">
        <v>13</v>
      </c>
      <c r="W359" s="82" t="s">
        <v>5011</v>
      </c>
      <c r="X359" s="77"/>
      <c r="Y359" s="77"/>
      <c r="Z359" s="77" t="s">
        <v>766</v>
      </c>
      <c r="AA359" s="77" t="s">
        <v>6844</v>
      </c>
      <c r="AB359" s="77" t="s">
        <v>7742</v>
      </c>
      <c r="AC359" s="82" t="s">
        <v>7751</v>
      </c>
      <c r="AD359" s="77" t="s">
        <v>7788</v>
      </c>
      <c r="AE359" s="80" t="str">
        <f>HYPERLINK("https://twitter.com/jhonata13179362/status/1686115136669470720")</f>
        <v>https://twitter.com/jhonata13179362/status/1686115136669470720</v>
      </c>
      <c r="AF359" s="79">
        <v>45138.862835648149</v>
      </c>
      <c r="AG359" s="85">
        <v>45138</v>
      </c>
      <c r="AH359" s="82" t="s">
        <v>8108</v>
      </c>
      <c r="AI359" s="77" t="b">
        <v>0</v>
      </c>
      <c r="AJ359" s="77"/>
      <c r="AK359" s="77"/>
      <c r="AL359" s="77"/>
      <c r="AM359" s="77"/>
      <c r="AN359" s="77"/>
      <c r="AO359" s="77"/>
      <c r="AP359" s="77"/>
      <c r="AQ359" s="77" t="s">
        <v>10816</v>
      </c>
      <c r="AR359" s="77"/>
      <c r="AS359" s="77"/>
      <c r="AT359" s="77"/>
      <c r="AU359" s="77"/>
      <c r="AV359" s="80" t="str">
        <f>HYPERLINK("https://pbs.twimg.com/media/F2ZIx_FWsAAm7pk.jpg")</f>
        <v>https://pbs.twimg.com/media/F2ZIx_FWsAAm7pk.jpg</v>
      </c>
      <c r="AW359" s="82" t="s">
        <v>12063</v>
      </c>
      <c r="AX359" s="82" t="s">
        <v>12063</v>
      </c>
      <c r="AY359" s="77"/>
      <c r="AZ359" s="82" t="s">
        <v>15984</v>
      </c>
      <c r="BA359" s="82" t="s">
        <v>15984</v>
      </c>
      <c r="BB359" s="82" t="s">
        <v>15984</v>
      </c>
      <c r="BC359" s="82" t="s">
        <v>12063</v>
      </c>
      <c r="BD359" s="82" t="s">
        <v>16170</v>
      </c>
      <c r="BE359" s="77"/>
      <c r="BF359" s="77"/>
      <c r="BG359" s="77"/>
      <c r="BH359" s="77"/>
      <c r="BI359" s="77"/>
    </row>
    <row r="360" spans="1:61" x14ac:dyDescent="0.25">
      <c r="A360" s="62" t="s">
        <v>338</v>
      </c>
      <c r="B360" s="62" t="s">
        <v>766</v>
      </c>
      <c r="C360" s="63"/>
      <c r="D360" s="64"/>
      <c r="E360" s="65"/>
      <c r="F360" s="66"/>
      <c r="G360" s="63"/>
      <c r="H360" s="67"/>
      <c r="I360" s="68"/>
      <c r="J360" s="68"/>
      <c r="K360" s="32"/>
      <c r="L360" s="75">
        <v>360</v>
      </c>
      <c r="M360" s="75"/>
      <c r="N360" s="70"/>
      <c r="O360" s="77" t="s">
        <v>895</v>
      </c>
      <c r="P360" s="79">
        <v>45142.614062499997</v>
      </c>
      <c r="Q360" s="77" t="s">
        <v>1244</v>
      </c>
      <c r="R360" s="77">
        <v>0</v>
      </c>
      <c r="S360" s="77">
        <v>0</v>
      </c>
      <c r="T360" s="77">
        <v>0</v>
      </c>
      <c r="U360" s="77">
        <v>0</v>
      </c>
      <c r="V360" s="77">
        <v>24</v>
      </c>
      <c r="W360" s="82" t="s">
        <v>5012</v>
      </c>
      <c r="X360" s="77"/>
      <c r="Y360" s="77"/>
      <c r="Z360" s="77" t="s">
        <v>766</v>
      </c>
      <c r="AA360" s="77" t="s">
        <v>6845</v>
      </c>
      <c r="AB360" s="77" t="s">
        <v>7742</v>
      </c>
      <c r="AC360" s="82" t="s">
        <v>7751</v>
      </c>
      <c r="AD360" s="77" t="s">
        <v>7788</v>
      </c>
      <c r="AE360" s="80" t="str">
        <f>HYPERLINK("https://twitter.com/jhonata13179362/status/1687474535505727488")</f>
        <v>https://twitter.com/jhonata13179362/status/1687474535505727488</v>
      </c>
      <c r="AF360" s="79">
        <v>45142.614062499997</v>
      </c>
      <c r="AG360" s="85">
        <v>45142</v>
      </c>
      <c r="AH360" s="82" t="s">
        <v>8109</v>
      </c>
      <c r="AI360" s="77" t="b">
        <v>0</v>
      </c>
      <c r="AJ360" s="77"/>
      <c r="AK360" s="77"/>
      <c r="AL360" s="77"/>
      <c r="AM360" s="77"/>
      <c r="AN360" s="77"/>
      <c r="AO360" s="77"/>
      <c r="AP360" s="77"/>
      <c r="AQ360" s="77" t="s">
        <v>10817</v>
      </c>
      <c r="AR360" s="77"/>
      <c r="AS360" s="77"/>
      <c r="AT360" s="77"/>
      <c r="AU360" s="77"/>
      <c r="AV360" s="80" t="str">
        <f>HYPERLINK("https://pbs.twimg.com/media/F2sdJZtWwAAf1V3.jpg")</f>
        <v>https://pbs.twimg.com/media/F2sdJZtWwAAf1V3.jpg</v>
      </c>
      <c r="AW360" s="82" t="s">
        <v>12064</v>
      </c>
      <c r="AX360" s="82" t="s">
        <v>12064</v>
      </c>
      <c r="AY360" s="77"/>
      <c r="AZ360" s="82" t="s">
        <v>15984</v>
      </c>
      <c r="BA360" s="82" t="s">
        <v>15984</v>
      </c>
      <c r="BB360" s="82" t="s">
        <v>15984</v>
      </c>
      <c r="BC360" s="82" t="s">
        <v>12064</v>
      </c>
      <c r="BD360" s="82" t="s">
        <v>16170</v>
      </c>
      <c r="BE360" s="77"/>
      <c r="BF360" s="77"/>
      <c r="BG360" s="77"/>
      <c r="BH360" s="77"/>
      <c r="BI360" s="77"/>
    </row>
    <row r="361" spans="1:61" x14ac:dyDescent="0.25">
      <c r="A361" s="62" t="s">
        <v>338</v>
      </c>
      <c r="B361" s="62" t="s">
        <v>766</v>
      </c>
      <c r="C361" s="63"/>
      <c r="D361" s="64"/>
      <c r="E361" s="65"/>
      <c r="F361" s="66"/>
      <c r="G361" s="63"/>
      <c r="H361" s="67"/>
      <c r="I361" s="68"/>
      <c r="J361" s="68"/>
      <c r="K361" s="32"/>
      <c r="L361" s="75">
        <v>361</v>
      </c>
      <c r="M361" s="75"/>
      <c r="N361" s="70"/>
      <c r="O361" s="77" t="s">
        <v>895</v>
      </c>
      <c r="P361" s="79">
        <v>45149.600613425922</v>
      </c>
      <c r="Q361" s="77" t="s">
        <v>1245</v>
      </c>
      <c r="R361" s="77">
        <v>0</v>
      </c>
      <c r="S361" s="77">
        <v>0</v>
      </c>
      <c r="T361" s="77">
        <v>0</v>
      </c>
      <c r="U361" s="77">
        <v>0</v>
      </c>
      <c r="V361" s="77">
        <v>24</v>
      </c>
      <c r="W361" s="82" t="s">
        <v>5013</v>
      </c>
      <c r="X361" s="77"/>
      <c r="Y361" s="77"/>
      <c r="Z361" s="77" t="s">
        <v>766</v>
      </c>
      <c r="AA361" s="77" t="s">
        <v>6846</v>
      </c>
      <c r="AB361" s="77" t="s">
        <v>7742</v>
      </c>
      <c r="AC361" s="82" t="s">
        <v>7751</v>
      </c>
      <c r="AD361" s="77" t="s">
        <v>7788</v>
      </c>
      <c r="AE361" s="80" t="str">
        <f>HYPERLINK("https://twitter.com/jhonata13179362/status/1690006375617708034")</f>
        <v>https://twitter.com/jhonata13179362/status/1690006375617708034</v>
      </c>
      <c r="AF361" s="79">
        <v>45149.600613425922</v>
      </c>
      <c r="AG361" s="85">
        <v>45149</v>
      </c>
      <c r="AH361" s="82" t="s">
        <v>8110</v>
      </c>
      <c r="AI361" s="77" t="b">
        <v>0</v>
      </c>
      <c r="AJ361" s="77"/>
      <c r="AK361" s="77"/>
      <c r="AL361" s="77"/>
      <c r="AM361" s="77"/>
      <c r="AN361" s="77"/>
      <c r="AO361" s="77"/>
      <c r="AP361" s="77"/>
      <c r="AQ361" s="77" t="s">
        <v>10818</v>
      </c>
      <c r="AR361" s="77"/>
      <c r="AS361" s="77"/>
      <c r="AT361" s="77"/>
      <c r="AU361" s="77"/>
      <c r="AV361" s="80" t="str">
        <f>HYPERLINK("https://pbs.twimg.com/media/F3Qb17AWIAAybaG.jpg")</f>
        <v>https://pbs.twimg.com/media/F3Qb17AWIAAybaG.jpg</v>
      </c>
      <c r="AW361" s="82" t="s">
        <v>12065</v>
      </c>
      <c r="AX361" s="82" t="s">
        <v>12065</v>
      </c>
      <c r="AY361" s="77"/>
      <c r="AZ361" s="82" t="s">
        <v>15984</v>
      </c>
      <c r="BA361" s="82" t="s">
        <v>15984</v>
      </c>
      <c r="BB361" s="82" t="s">
        <v>15984</v>
      </c>
      <c r="BC361" s="82" t="s">
        <v>12065</v>
      </c>
      <c r="BD361" s="82" t="s">
        <v>16170</v>
      </c>
      <c r="BE361" s="77"/>
      <c r="BF361" s="77"/>
      <c r="BG361" s="77"/>
      <c r="BH361" s="77"/>
      <c r="BI361" s="77"/>
    </row>
    <row r="362" spans="1:61" x14ac:dyDescent="0.25">
      <c r="A362" s="62" t="s">
        <v>338</v>
      </c>
      <c r="B362" s="62" t="s">
        <v>766</v>
      </c>
      <c r="C362" s="63"/>
      <c r="D362" s="64"/>
      <c r="E362" s="65"/>
      <c r="F362" s="66"/>
      <c r="G362" s="63"/>
      <c r="H362" s="67"/>
      <c r="I362" s="68"/>
      <c r="J362" s="68"/>
      <c r="K362" s="32"/>
      <c r="L362" s="75">
        <v>362</v>
      </c>
      <c r="M362" s="75"/>
      <c r="N362" s="70"/>
      <c r="O362" s="77" t="s">
        <v>895</v>
      </c>
      <c r="P362" s="79">
        <v>45180.650925925926</v>
      </c>
      <c r="Q362" s="77" t="s">
        <v>1246</v>
      </c>
      <c r="R362" s="77">
        <v>0</v>
      </c>
      <c r="S362" s="77">
        <v>0</v>
      </c>
      <c r="T362" s="77">
        <v>0</v>
      </c>
      <c r="U362" s="77">
        <v>0</v>
      </c>
      <c r="V362" s="77">
        <v>18</v>
      </c>
      <c r="W362" s="82" t="s">
        <v>5014</v>
      </c>
      <c r="X362" s="77"/>
      <c r="Y362" s="77"/>
      <c r="Z362" s="77" t="s">
        <v>766</v>
      </c>
      <c r="AA362" s="77" t="s">
        <v>6847</v>
      </c>
      <c r="AB362" s="77" t="s">
        <v>7744</v>
      </c>
      <c r="AC362" s="82" t="s">
        <v>7751</v>
      </c>
      <c r="AD362" s="77" t="s">
        <v>7788</v>
      </c>
      <c r="AE362" s="80" t="str">
        <f>HYPERLINK("https://twitter.com/jhonata13179362/status/1701258632468300255")</f>
        <v>https://twitter.com/jhonata13179362/status/1701258632468300255</v>
      </c>
      <c r="AF362" s="79">
        <v>45180.650925925926</v>
      </c>
      <c r="AG362" s="85">
        <v>45180</v>
      </c>
      <c r="AH362" s="82" t="s">
        <v>8111</v>
      </c>
      <c r="AI362" s="77" t="b">
        <v>0</v>
      </c>
      <c r="AJ362" s="77"/>
      <c r="AK362" s="77"/>
      <c r="AL362" s="77"/>
      <c r="AM362" s="77"/>
      <c r="AN362" s="77"/>
      <c r="AO362" s="77"/>
      <c r="AP362" s="77"/>
      <c r="AQ362" s="77" t="s">
        <v>10819</v>
      </c>
      <c r="AR362" s="77"/>
      <c r="AS362" s="77"/>
      <c r="AT362" s="77"/>
      <c r="AU362" s="77"/>
      <c r="AV362" s="80" t="str">
        <f>HYPERLINK("https://pbs.twimg.com/media/F5wVsY_WAAA9bCZ.jpg")</f>
        <v>https://pbs.twimg.com/media/F5wVsY_WAAA9bCZ.jpg</v>
      </c>
      <c r="AW362" s="82" t="s">
        <v>12066</v>
      </c>
      <c r="AX362" s="82" t="s">
        <v>12066</v>
      </c>
      <c r="AY362" s="77"/>
      <c r="AZ362" s="82" t="s">
        <v>15984</v>
      </c>
      <c r="BA362" s="82" t="s">
        <v>15984</v>
      </c>
      <c r="BB362" s="82" t="s">
        <v>15984</v>
      </c>
      <c r="BC362" s="82" t="s">
        <v>12066</v>
      </c>
      <c r="BD362" s="82" t="s">
        <v>16170</v>
      </c>
      <c r="BE362" s="77"/>
      <c r="BF362" s="77"/>
      <c r="BG362" s="77"/>
      <c r="BH362" s="77"/>
      <c r="BI362" s="77"/>
    </row>
    <row r="363" spans="1:61" x14ac:dyDescent="0.25">
      <c r="A363" s="62" t="s">
        <v>338</v>
      </c>
      <c r="B363" s="62" t="s">
        <v>766</v>
      </c>
      <c r="C363" s="63"/>
      <c r="D363" s="64"/>
      <c r="E363" s="65"/>
      <c r="F363" s="66"/>
      <c r="G363" s="63"/>
      <c r="H363" s="67"/>
      <c r="I363" s="68"/>
      <c r="J363" s="68"/>
      <c r="K363" s="32"/>
      <c r="L363" s="75">
        <v>363</v>
      </c>
      <c r="M363" s="75"/>
      <c r="N363" s="70"/>
      <c r="O363" s="77" t="s">
        <v>895</v>
      </c>
      <c r="P363" s="79">
        <v>45180.647997685184</v>
      </c>
      <c r="Q363" s="77" t="s">
        <v>1247</v>
      </c>
      <c r="R363" s="77">
        <v>0</v>
      </c>
      <c r="S363" s="77">
        <v>0</v>
      </c>
      <c r="T363" s="77">
        <v>0</v>
      </c>
      <c r="U363" s="77">
        <v>0</v>
      </c>
      <c r="V363" s="77">
        <v>9</v>
      </c>
      <c r="W363" s="82" t="s">
        <v>5014</v>
      </c>
      <c r="X363" s="77"/>
      <c r="Y363" s="77"/>
      <c r="Z363" s="77" t="s">
        <v>766</v>
      </c>
      <c r="AA363" s="77" t="s">
        <v>6848</v>
      </c>
      <c r="AB363" s="77" t="s">
        <v>7744</v>
      </c>
      <c r="AC363" s="82" t="s">
        <v>7751</v>
      </c>
      <c r="AD363" s="77" t="s">
        <v>7788</v>
      </c>
      <c r="AE363" s="80" t="str">
        <f>HYPERLINK("https://twitter.com/jhonata13179362/status/1701257573402386442")</f>
        <v>https://twitter.com/jhonata13179362/status/1701257573402386442</v>
      </c>
      <c r="AF363" s="79">
        <v>45180.647997685184</v>
      </c>
      <c r="AG363" s="85">
        <v>45180</v>
      </c>
      <c r="AH363" s="82" t="s">
        <v>8112</v>
      </c>
      <c r="AI363" s="77" t="b">
        <v>0</v>
      </c>
      <c r="AJ363" s="77"/>
      <c r="AK363" s="77"/>
      <c r="AL363" s="77"/>
      <c r="AM363" s="77"/>
      <c r="AN363" s="77"/>
      <c r="AO363" s="77"/>
      <c r="AP363" s="77"/>
      <c r="AQ363" s="77" t="s">
        <v>10820</v>
      </c>
      <c r="AR363" s="77"/>
      <c r="AS363" s="77"/>
      <c r="AT363" s="77"/>
      <c r="AU363" s="77"/>
      <c r="AV363" s="80" t="str">
        <f>HYPERLINK("https://pbs.twimg.com/media/F5wUunmWcAAMZex.jpg")</f>
        <v>https://pbs.twimg.com/media/F5wUunmWcAAMZex.jpg</v>
      </c>
      <c r="AW363" s="82" t="s">
        <v>12067</v>
      </c>
      <c r="AX363" s="82" t="s">
        <v>12067</v>
      </c>
      <c r="AY363" s="77"/>
      <c r="AZ363" s="82" t="s">
        <v>15984</v>
      </c>
      <c r="BA363" s="82" t="s">
        <v>15984</v>
      </c>
      <c r="BB363" s="82" t="s">
        <v>15984</v>
      </c>
      <c r="BC363" s="82" t="s">
        <v>12067</v>
      </c>
      <c r="BD363" s="82" t="s">
        <v>16170</v>
      </c>
      <c r="BE363" s="77"/>
      <c r="BF363" s="77"/>
      <c r="BG363" s="77"/>
      <c r="BH363" s="77"/>
      <c r="BI363" s="77"/>
    </row>
    <row r="364" spans="1:61" x14ac:dyDescent="0.25">
      <c r="A364" s="62" t="s">
        <v>338</v>
      </c>
      <c r="B364" s="62" t="s">
        <v>767</v>
      </c>
      <c r="C364" s="63"/>
      <c r="D364" s="64"/>
      <c r="E364" s="65"/>
      <c r="F364" s="66"/>
      <c r="G364" s="63"/>
      <c r="H364" s="67"/>
      <c r="I364" s="68"/>
      <c r="J364" s="68"/>
      <c r="K364" s="32"/>
      <c r="L364" s="75">
        <v>364</v>
      </c>
      <c r="M364" s="75"/>
      <c r="N364" s="70"/>
      <c r="O364" s="77" t="s">
        <v>895</v>
      </c>
      <c r="P364" s="79">
        <v>45190.025925925926</v>
      </c>
      <c r="Q364" s="77" t="s">
        <v>1248</v>
      </c>
      <c r="R364" s="77">
        <v>0</v>
      </c>
      <c r="S364" s="77">
        <v>0</v>
      </c>
      <c r="T364" s="77">
        <v>0</v>
      </c>
      <c r="U364" s="77">
        <v>0</v>
      </c>
      <c r="V364" s="77">
        <v>18</v>
      </c>
      <c r="W364" s="82" t="s">
        <v>5015</v>
      </c>
      <c r="X364" s="77"/>
      <c r="Y364" s="77"/>
      <c r="Z364" s="77" t="s">
        <v>767</v>
      </c>
      <c r="AA364" s="77" t="s">
        <v>6849</v>
      </c>
      <c r="AB364" s="77" t="s">
        <v>7743</v>
      </c>
      <c r="AC364" s="82" t="s">
        <v>7751</v>
      </c>
      <c r="AD364" s="77" t="s">
        <v>7788</v>
      </c>
      <c r="AE364" s="80" t="str">
        <f>HYPERLINK("https://twitter.com/jhonata13179362/status/1704656016791495033")</f>
        <v>https://twitter.com/jhonata13179362/status/1704656016791495033</v>
      </c>
      <c r="AF364" s="79">
        <v>45190.025925925926</v>
      </c>
      <c r="AG364" s="85">
        <v>45190</v>
      </c>
      <c r="AH364" s="82" t="s">
        <v>8113</v>
      </c>
      <c r="AI364" s="77" t="b">
        <v>0</v>
      </c>
      <c r="AJ364" s="77"/>
      <c r="AK364" s="77"/>
      <c r="AL364" s="77"/>
      <c r="AM364" s="77"/>
      <c r="AN364" s="77"/>
      <c r="AO364" s="77"/>
      <c r="AP364" s="77"/>
      <c r="AQ364" s="77" t="s">
        <v>10821</v>
      </c>
      <c r="AR364" s="77">
        <v>140031</v>
      </c>
      <c r="AS364" s="77"/>
      <c r="AT364" s="77"/>
      <c r="AU364" s="77"/>
      <c r="AV364" s="80" t="str">
        <f>HYPERLINK("https://pbs.twimg.com/ext_tw_video_thumb/1704655873711173632/pu/img/VyXUZYwyd-FnOSF5.jpg")</f>
        <v>https://pbs.twimg.com/ext_tw_video_thumb/1704655873711173632/pu/img/VyXUZYwyd-FnOSF5.jpg</v>
      </c>
      <c r="AW364" s="82" t="s">
        <v>12068</v>
      </c>
      <c r="AX364" s="82" t="s">
        <v>12068</v>
      </c>
      <c r="AY364" s="77"/>
      <c r="AZ364" s="82" t="s">
        <v>15984</v>
      </c>
      <c r="BA364" s="82" t="s">
        <v>15984</v>
      </c>
      <c r="BB364" s="82" t="s">
        <v>15984</v>
      </c>
      <c r="BC364" s="82" t="s">
        <v>12068</v>
      </c>
      <c r="BD364" s="82" t="s">
        <v>16170</v>
      </c>
      <c r="BE364" s="77"/>
      <c r="BF364" s="77"/>
      <c r="BG364" s="77"/>
      <c r="BH364" s="77"/>
      <c r="BI364" s="77"/>
    </row>
    <row r="365" spans="1:61" x14ac:dyDescent="0.25">
      <c r="A365" s="62" t="s">
        <v>339</v>
      </c>
      <c r="B365" s="62" t="s">
        <v>339</v>
      </c>
      <c r="C365" s="63"/>
      <c r="D365" s="64"/>
      <c r="E365" s="65"/>
      <c r="F365" s="66"/>
      <c r="G365" s="63"/>
      <c r="H365" s="67"/>
      <c r="I365" s="68"/>
      <c r="J365" s="68"/>
      <c r="K365" s="32"/>
      <c r="L365" s="75">
        <v>365</v>
      </c>
      <c r="M365" s="75"/>
      <c r="N365" s="70"/>
      <c r="O365" s="77" t="s">
        <v>179</v>
      </c>
      <c r="P365" s="79">
        <v>45170.394479166665</v>
      </c>
      <c r="Q365" s="77" t="s">
        <v>1249</v>
      </c>
      <c r="R365" s="77">
        <v>0</v>
      </c>
      <c r="S365" s="77">
        <v>0</v>
      </c>
      <c r="T365" s="77">
        <v>0</v>
      </c>
      <c r="U365" s="77">
        <v>0</v>
      </c>
      <c r="V365" s="77">
        <v>59</v>
      </c>
      <c r="W365" s="82" t="s">
        <v>5016</v>
      </c>
      <c r="X365" s="80" t="str">
        <f>HYPERLINK("https://youtu.be/Zy-bZsRIxu0")</f>
        <v>https://youtu.be/Zy-bZsRIxu0</v>
      </c>
      <c r="Y365" s="77" t="s">
        <v>6472</v>
      </c>
      <c r="Z365" s="77"/>
      <c r="AA365" s="77"/>
      <c r="AB365" s="77"/>
      <c r="AC365" s="82" t="s">
        <v>7750</v>
      </c>
      <c r="AD365" s="77" t="s">
        <v>7788</v>
      </c>
      <c r="AE365" s="80" t="str">
        <f>HYPERLINK("https://twitter.com/tradervlog/status/1697541820010647849")</f>
        <v>https://twitter.com/tradervlog/status/1697541820010647849</v>
      </c>
      <c r="AF365" s="79">
        <v>45170.394479166665</v>
      </c>
      <c r="AG365" s="85">
        <v>45170</v>
      </c>
      <c r="AH365" s="82" t="s">
        <v>8114</v>
      </c>
      <c r="AI365" s="77" t="b">
        <v>0</v>
      </c>
      <c r="AJ365" s="77"/>
      <c r="AK365" s="77"/>
      <c r="AL365" s="77"/>
      <c r="AM365" s="77"/>
      <c r="AN365" s="77"/>
      <c r="AO365" s="77"/>
      <c r="AP365" s="77"/>
      <c r="AQ365" s="77"/>
      <c r="AR365" s="77"/>
      <c r="AS365" s="77"/>
      <c r="AT365" s="77"/>
      <c r="AU365" s="77"/>
      <c r="AV365" s="80" t="str">
        <f>HYPERLINK("https://pbs.twimg.com/profile_images/1635926557977100289/xd69FX_J_normal.jpg")</f>
        <v>https://pbs.twimg.com/profile_images/1635926557977100289/xd69FX_J_normal.jpg</v>
      </c>
      <c r="AW365" s="82" t="s">
        <v>12069</v>
      </c>
      <c r="AX365" s="82" t="s">
        <v>12069</v>
      </c>
      <c r="AY365" s="77"/>
      <c r="AZ365" s="82" t="s">
        <v>15984</v>
      </c>
      <c r="BA365" s="82" t="s">
        <v>15984</v>
      </c>
      <c r="BB365" s="82" t="s">
        <v>15984</v>
      </c>
      <c r="BC365" s="82" t="s">
        <v>12069</v>
      </c>
      <c r="BD365" s="82" t="s">
        <v>16171</v>
      </c>
      <c r="BE365" s="77"/>
      <c r="BF365" s="77"/>
      <c r="BG365" s="77"/>
      <c r="BH365" s="77"/>
      <c r="BI365" s="77"/>
    </row>
    <row r="366" spans="1:61" x14ac:dyDescent="0.25">
      <c r="A366" s="62" t="s">
        <v>340</v>
      </c>
      <c r="B366" s="62" t="s">
        <v>340</v>
      </c>
      <c r="C366" s="63"/>
      <c r="D366" s="64"/>
      <c r="E366" s="65"/>
      <c r="F366" s="66"/>
      <c r="G366" s="63"/>
      <c r="H366" s="67"/>
      <c r="I366" s="68"/>
      <c r="J366" s="68"/>
      <c r="K366" s="32"/>
      <c r="L366" s="75">
        <v>366</v>
      </c>
      <c r="M366" s="75"/>
      <c r="N366" s="70"/>
      <c r="O366" s="77" t="s">
        <v>179</v>
      </c>
      <c r="P366" s="79">
        <v>45184.622835648152</v>
      </c>
      <c r="Q366" s="77" t="s">
        <v>1250</v>
      </c>
      <c r="R366" s="77">
        <v>0</v>
      </c>
      <c r="S366" s="77">
        <v>0</v>
      </c>
      <c r="T366" s="77">
        <v>0</v>
      </c>
      <c r="U366" s="77">
        <v>0</v>
      </c>
      <c r="V366" s="77">
        <v>166</v>
      </c>
      <c r="W366" s="82" t="s">
        <v>5017</v>
      </c>
      <c r="X366" s="77"/>
      <c r="Y366" s="77"/>
      <c r="Z366" s="77"/>
      <c r="AA366" s="77" t="s">
        <v>6850</v>
      </c>
      <c r="AB366" s="77" t="s">
        <v>7743</v>
      </c>
      <c r="AC366" s="82" t="s">
        <v>7751</v>
      </c>
      <c r="AD366" s="77" t="s">
        <v>7788</v>
      </c>
      <c r="AE366" s="80" t="str">
        <f>HYPERLINK("https://twitter.com/made_hits/status/1702698004266840088")</f>
        <v>https://twitter.com/made_hits/status/1702698004266840088</v>
      </c>
      <c r="AF366" s="79">
        <v>45184.622835648152</v>
      </c>
      <c r="AG366" s="85">
        <v>45184</v>
      </c>
      <c r="AH366" s="82" t="s">
        <v>8115</v>
      </c>
      <c r="AI366" s="77" t="b">
        <v>0</v>
      </c>
      <c r="AJ366" s="77"/>
      <c r="AK366" s="77"/>
      <c r="AL366" s="77"/>
      <c r="AM366" s="77"/>
      <c r="AN366" s="77"/>
      <c r="AO366" s="77"/>
      <c r="AP366" s="77"/>
      <c r="AQ366" s="77" t="s">
        <v>10822</v>
      </c>
      <c r="AR366" s="77">
        <v>22840</v>
      </c>
      <c r="AS366" s="77"/>
      <c r="AT366" s="77"/>
      <c r="AU366" s="77"/>
      <c r="AV366" s="80" t="str">
        <f>HYPERLINK("https://pbs.twimg.com/ext_tw_video_thumb/1702697879180103680/pu/img/C232UzaYoKDNJ_wJ.jpg")</f>
        <v>https://pbs.twimg.com/ext_tw_video_thumb/1702697879180103680/pu/img/C232UzaYoKDNJ_wJ.jpg</v>
      </c>
      <c r="AW366" s="82" t="s">
        <v>12070</v>
      </c>
      <c r="AX366" s="82" t="s">
        <v>12070</v>
      </c>
      <c r="AY366" s="77"/>
      <c r="AZ366" s="82" t="s">
        <v>15984</v>
      </c>
      <c r="BA366" s="82" t="s">
        <v>15984</v>
      </c>
      <c r="BB366" s="82" t="s">
        <v>15984</v>
      </c>
      <c r="BC366" s="82" t="s">
        <v>12070</v>
      </c>
      <c r="BD366" s="82" t="s">
        <v>16172</v>
      </c>
      <c r="BE366" s="77"/>
      <c r="BF366" s="77"/>
      <c r="BG366" s="77"/>
      <c r="BH366" s="77"/>
      <c r="BI366" s="77"/>
    </row>
    <row r="367" spans="1:61" x14ac:dyDescent="0.25">
      <c r="A367" s="62" t="s">
        <v>340</v>
      </c>
      <c r="B367" s="62" t="s">
        <v>340</v>
      </c>
      <c r="C367" s="63"/>
      <c r="D367" s="64"/>
      <c r="E367" s="65"/>
      <c r="F367" s="66"/>
      <c r="G367" s="63"/>
      <c r="H367" s="67"/>
      <c r="I367" s="68"/>
      <c r="J367" s="68"/>
      <c r="K367" s="32"/>
      <c r="L367" s="75">
        <v>367</v>
      </c>
      <c r="M367" s="75"/>
      <c r="N367" s="70"/>
      <c r="O367" s="77" t="s">
        <v>179</v>
      </c>
      <c r="P367" s="79">
        <v>45185.624259259261</v>
      </c>
      <c r="Q367" s="77" t="s">
        <v>1251</v>
      </c>
      <c r="R367" s="77">
        <v>0</v>
      </c>
      <c r="S367" s="77">
        <v>0</v>
      </c>
      <c r="T367" s="77">
        <v>0</v>
      </c>
      <c r="U367" s="77">
        <v>0</v>
      </c>
      <c r="V367" s="77">
        <v>59</v>
      </c>
      <c r="W367" s="82" t="s">
        <v>5018</v>
      </c>
      <c r="X367" s="77"/>
      <c r="Y367" s="77"/>
      <c r="Z367" s="77"/>
      <c r="AA367" s="77" t="s">
        <v>6851</v>
      </c>
      <c r="AB367" s="77" t="s">
        <v>7743</v>
      </c>
      <c r="AC367" s="82" t="s">
        <v>7751</v>
      </c>
      <c r="AD367" s="77" t="s">
        <v>7788</v>
      </c>
      <c r="AE367" s="80" t="str">
        <f>HYPERLINK("https://twitter.com/made_hits/status/1703060909252383101")</f>
        <v>https://twitter.com/made_hits/status/1703060909252383101</v>
      </c>
      <c r="AF367" s="79">
        <v>45185.624259259261</v>
      </c>
      <c r="AG367" s="85">
        <v>45185</v>
      </c>
      <c r="AH367" s="82" t="s">
        <v>8116</v>
      </c>
      <c r="AI367" s="77" t="b">
        <v>0</v>
      </c>
      <c r="AJ367" s="77"/>
      <c r="AK367" s="77"/>
      <c r="AL367" s="77"/>
      <c r="AM367" s="77"/>
      <c r="AN367" s="77"/>
      <c r="AO367" s="77"/>
      <c r="AP367" s="77"/>
      <c r="AQ367" s="77" t="s">
        <v>10823</v>
      </c>
      <c r="AR367" s="77">
        <v>44970</v>
      </c>
      <c r="AS367" s="77"/>
      <c r="AT367" s="77"/>
      <c r="AU367" s="77"/>
      <c r="AV367" s="80" t="str">
        <f>HYPERLINK("https://pbs.twimg.com/ext_tw_video_thumb/1703060797914595328/pu/img/s7OEiO_JPEterJqJ.jpg")</f>
        <v>https://pbs.twimg.com/ext_tw_video_thumb/1703060797914595328/pu/img/s7OEiO_JPEterJqJ.jpg</v>
      </c>
      <c r="AW367" s="82" t="s">
        <v>12071</v>
      </c>
      <c r="AX367" s="82" t="s">
        <v>12071</v>
      </c>
      <c r="AY367" s="77"/>
      <c r="AZ367" s="82" t="s">
        <v>15984</v>
      </c>
      <c r="BA367" s="82" t="s">
        <v>15984</v>
      </c>
      <c r="BB367" s="82" t="s">
        <v>15984</v>
      </c>
      <c r="BC367" s="82" t="s">
        <v>12071</v>
      </c>
      <c r="BD367" s="82" t="s">
        <v>16172</v>
      </c>
      <c r="BE367" s="77"/>
      <c r="BF367" s="77"/>
      <c r="BG367" s="77"/>
      <c r="BH367" s="77"/>
      <c r="BI367" s="77"/>
    </row>
    <row r="368" spans="1:61" x14ac:dyDescent="0.25">
      <c r="A368" s="62" t="s">
        <v>340</v>
      </c>
      <c r="B368" s="62" t="s">
        <v>340</v>
      </c>
      <c r="C368" s="63"/>
      <c r="D368" s="64"/>
      <c r="E368" s="65"/>
      <c r="F368" s="66"/>
      <c r="G368" s="63"/>
      <c r="H368" s="67"/>
      <c r="I368" s="68"/>
      <c r="J368" s="68"/>
      <c r="K368" s="32"/>
      <c r="L368" s="75">
        <v>368</v>
      </c>
      <c r="M368" s="75"/>
      <c r="N368" s="70"/>
      <c r="O368" s="77" t="s">
        <v>179</v>
      </c>
      <c r="P368" s="79">
        <v>45188.637175925927</v>
      </c>
      <c r="Q368" s="77" t="s">
        <v>1252</v>
      </c>
      <c r="R368" s="77">
        <v>0</v>
      </c>
      <c r="S368" s="77">
        <v>0</v>
      </c>
      <c r="T368" s="77">
        <v>0</v>
      </c>
      <c r="U368" s="77">
        <v>0</v>
      </c>
      <c r="V368" s="77">
        <v>42</v>
      </c>
      <c r="W368" s="82" t="s">
        <v>5019</v>
      </c>
      <c r="X368" s="77"/>
      <c r="Y368" s="77"/>
      <c r="Z368" s="77"/>
      <c r="AA368" s="77" t="s">
        <v>6852</v>
      </c>
      <c r="AB368" s="77" t="s">
        <v>7743</v>
      </c>
      <c r="AC368" s="82" t="s">
        <v>7751</v>
      </c>
      <c r="AD368" s="77" t="s">
        <v>7788</v>
      </c>
      <c r="AE368" s="80" t="str">
        <f>HYPERLINK("https://twitter.com/made_hits/status/1704152752471830878")</f>
        <v>https://twitter.com/made_hits/status/1704152752471830878</v>
      </c>
      <c r="AF368" s="79">
        <v>45188.637175925927</v>
      </c>
      <c r="AG368" s="85">
        <v>45188</v>
      </c>
      <c r="AH368" s="82" t="s">
        <v>8117</v>
      </c>
      <c r="AI368" s="77" t="b">
        <v>0</v>
      </c>
      <c r="AJ368" s="77"/>
      <c r="AK368" s="77"/>
      <c r="AL368" s="77"/>
      <c r="AM368" s="77"/>
      <c r="AN368" s="77"/>
      <c r="AO368" s="77"/>
      <c r="AP368" s="77"/>
      <c r="AQ368" s="77" t="s">
        <v>10824</v>
      </c>
      <c r="AR368" s="77">
        <v>23200</v>
      </c>
      <c r="AS368" s="77"/>
      <c r="AT368" s="77"/>
      <c r="AU368" s="77"/>
      <c r="AV368" s="80" t="str">
        <f>HYPERLINK("https://pbs.twimg.com/ext_tw_video_thumb/1704152707106217984/pu/img/yoq5sqs4wgZ4Jbw2.jpg")</f>
        <v>https://pbs.twimg.com/ext_tw_video_thumb/1704152707106217984/pu/img/yoq5sqs4wgZ4Jbw2.jpg</v>
      </c>
      <c r="AW368" s="82" t="s">
        <v>12072</v>
      </c>
      <c r="AX368" s="82" t="s">
        <v>12072</v>
      </c>
      <c r="AY368" s="77"/>
      <c r="AZ368" s="82" t="s">
        <v>15984</v>
      </c>
      <c r="BA368" s="82" t="s">
        <v>15984</v>
      </c>
      <c r="BB368" s="82" t="s">
        <v>15984</v>
      </c>
      <c r="BC368" s="82" t="s">
        <v>12072</v>
      </c>
      <c r="BD368" s="82" t="s">
        <v>16172</v>
      </c>
      <c r="BE368" s="77"/>
      <c r="BF368" s="77"/>
      <c r="BG368" s="77"/>
      <c r="BH368" s="77"/>
      <c r="BI368" s="77"/>
    </row>
    <row r="369" spans="1:61" x14ac:dyDescent="0.25">
      <c r="A369" s="62" t="s">
        <v>341</v>
      </c>
      <c r="B369" s="62" t="s">
        <v>341</v>
      </c>
      <c r="C369" s="63"/>
      <c r="D369" s="64"/>
      <c r="E369" s="65"/>
      <c r="F369" s="66"/>
      <c r="G369" s="63"/>
      <c r="H369" s="67"/>
      <c r="I369" s="68"/>
      <c r="J369" s="68"/>
      <c r="K369" s="32"/>
      <c r="L369" s="75">
        <v>369</v>
      </c>
      <c r="M369" s="75"/>
      <c r="N369" s="70"/>
      <c r="O369" s="77" t="s">
        <v>179</v>
      </c>
      <c r="P369" s="79">
        <v>45180.543981481482</v>
      </c>
      <c r="Q369" s="77" t="s">
        <v>1253</v>
      </c>
      <c r="R369" s="77">
        <v>0</v>
      </c>
      <c r="S369" s="77">
        <v>1</v>
      </c>
      <c r="T369" s="77">
        <v>0</v>
      </c>
      <c r="U369" s="77">
        <v>0</v>
      </c>
      <c r="V369" s="77">
        <v>44</v>
      </c>
      <c r="W369" s="82" t="s">
        <v>5020</v>
      </c>
      <c r="X369" s="80" t="str">
        <f>HYPERLINK("https://bit.ly/3rhtBLX")</f>
        <v>https://bit.ly/3rhtBLX</v>
      </c>
      <c r="Y369" s="77" t="s">
        <v>6468</v>
      </c>
      <c r="Z369" s="77"/>
      <c r="AA369" s="77"/>
      <c r="AB369" s="77"/>
      <c r="AC369" s="82" t="s">
        <v>7760</v>
      </c>
      <c r="AD369" s="77" t="s">
        <v>7788</v>
      </c>
      <c r="AE369" s="80" t="str">
        <f>HYPERLINK("https://twitter.com/guarulhosonline/status/1701219878860943772")</f>
        <v>https://twitter.com/guarulhosonline/status/1701219878860943772</v>
      </c>
      <c r="AF369" s="79">
        <v>45180.543981481482</v>
      </c>
      <c r="AG369" s="85">
        <v>45180</v>
      </c>
      <c r="AH369" s="82" t="s">
        <v>8118</v>
      </c>
      <c r="AI369" s="77" t="b">
        <v>0</v>
      </c>
      <c r="AJ369" s="77"/>
      <c r="AK369" s="77"/>
      <c r="AL369" s="77"/>
      <c r="AM369" s="77"/>
      <c r="AN369" s="77"/>
      <c r="AO369" s="77"/>
      <c r="AP369" s="77"/>
      <c r="AQ369" s="77"/>
      <c r="AR369" s="77"/>
      <c r="AS369" s="77"/>
      <c r="AT369" s="77"/>
      <c r="AU369" s="77"/>
      <c r="AV369" s="80" t="str">
        <f>HYPERLINK("https://pbs.twimg.com/profile_images/1177212695776518144/61vDUE-Q_normal.jpg")</f>
        <v>https://pbs.twimg.com/profile_images/1177212695776518144/61vDUE-Q_normal.jpg</v>
      </c>
      <c r="AW369" s="82" t="s">
        <v>12073</v>
      </c>
      <c r="AX369" s="82" t="s">
        <v>12073</v>
      </c>
      <c r="AY369" s="77"/>
      <c r="AZ369" s="82" t="s">
        <v>15984</v>
      </c>
      <c r="BA369" s="82" t="s">
        <v>15984</v>
      </c>
      <c r="BB369" s="82" t="s">
        <v>15984</v>
      </c>
      <c r="BC369" s="82" t="s">
        <v>12073</v>
      </c>
      <c r="BD369" s="77">
        <v>70411503</v>
      </c>
      <c r="BE369" s="77"/>
      <c r="BF369" s="77"/>
      <c r="BG369" s="77"/>
      <c r="BH369" s="77"/>
      <c r="BI369" s="77"/>
    </row>
    <row r="370" spans="1:61" x14ac:dyDescent="0.25">
      <c r="A370" s="62" t="s">
        <v>342</v>
      </c>
      <c r="B370" s="62" t="s">
        <v>342</v>
      </c>
      <c r="C370" s="63"/>
      <c r="D370" s="64"/>
      <c r="E370" s="65"/>
      <c r="F370" s="66"/>
      <c r="G370" s="63"/>
      <c r="H370" s="67"/>
      <c r="I370" s="68"/>
      <c r="J370" s="68"/>
      <c r="K370" s="32"/>
      <c r="L370" s="75">
        <v>370</v>
      </c>
      <c r="M370" s="75"/>
      <c r="N370" s="70"/>
      <c r="O370" s="77" t="s">
        <v>179</v>
      </c>
      <c r="P370" s="79">
        <v>45145.802083333336</v>
      </c>
      <c r="Q370" s="77" t="s">
        <v>1254</v>
      </c>
      <c r="R370" s="77">
        <v>0</v>
      </c>
      <c r="S370" s="77">
        <v>0</v>
      </c>
      <c r="T370" s="77">
        <v>0</v>
      </c>
      <c r="U370" s="77">
        <v>0</v>
      </c>
      <c r="V370" s="77">
        <v>8</v>
      </c>
      <c r="W370" s="82" t="s">
        <v>5021</v>
      </c>
      <c r="X370" s="80" t="str">
        <f>HYPERLINK("https://go.hotmart.com/W74146291P")</f>
        <v>https://go.hotmart.com/W74146291P</v>
      </c>
      <c r="Y370" s="77" t="s">
        <v>6497</v>
      </c>
      <c r="Z370" s="77"/>
      <c r="AA370" s="77" t="s">
        <v>6853</v>
      </c>
      <c r="AB370" s="77" t="s">
        <v>7742</v>
      </c>
      <c r="AC370" s="82" t="s">
        <v>7750</v>
      </c>
      <c r="AD370" s="77" t="s">
        <v>7788</v>
      </c>
      <c r="AE370" s="80" t="str">
        <f>HYPERLINK("https://twitter.com/digital_educ10/status/1688629833570373633")</f>
        <v>https://twitter.com/digital_educ10/status/1688629833570373633</v>
      </c>
      <c r="AF370" s="79">
        <v>45145.802083333336</v>
      </c>
      <c r="AG370" s="85">
        <v>45145</v>
      </c>
      <c r="AH370" s="82" t="s">
        <v>7868</v>
      </c>
      <c r="AI370" s="77" t="b">
        <v>0</v>
      </c>
      <c r="AJ370" s="77"/>
      <c r="AK370" s="77"/>
      <c r="AL370" s="77"/>
      <c r="AM370" s="77"/>
      <c r="AN370" s="77"/>
      <c r="AO370" s="77"/>
      <c r="AP370" s="77"/>
      <c r="AQ370" s="77" t="s">
        <v>10825</v>
      </c>
      <c r="AR370" s="77"/>
      <c r="AS370" s="77"/>
      <c r="AT370" s="77"/>
      <c r="AU370" s="77"/>
      <c r="AV370" s="80" t="str">
        <f>HYPERLINK("https://pbs.twimg.com/media/F23kxnOXoAAg4OZ.png")</f>
        <v>https://pbs.twimg.com/media/F23kxnOXoAAg4OZ.png</v>
      </c>
      <c r="AW370" s="82" t="s">
        <v>12074</v>
      </c>
      <c r="AX370" s="82" t="s">
        <v>12074</v>
      </c>
      <c r="AY370" s="77"/>
      <c r="AZ370" s="82" t="s">
        <v>15984</v>
      </c>
      <c r="BA370" s="82" t="s">
        <v>15984</v>
      </c>
      <c r="BB370" s="82" t="s">
        <v>15984</v>
      </c>
      <c r="BC370" s="82" t="s">
        <v>12074</v>
      </c>
      <c r="BD370" s="82" t="s">
        <v>16173</v>
      </c>
      <c r="BE370" s="77"/>
      <c r="BF370" s="77"/>
      <c r="BG370" s="77"/>
      <c r="BH370" s="77"/>
      <c r="BI370" s="77"/>
    </row>
    <row r="371" spans="1:61" x14ac:dyDescent="0.25">
      <c r="A371" s="62" t="s">
        <v>342</v>
      </c>
      <c r="B371" s="62" t="s">
        <v>342</v>
      </c>
      <c r="C371" s="63"/>
      <c r="D371" s="64"/>
      <c r="E371" s="65"/>
      <c r="F371" s="66"/>
      <c r="G371" s="63"/>
      <c r="H371" s="67"/>
      <c r="I371" s="68"/>
      <c r="J371" s="68"/>
      <c r="K371" s="32"/>
      <c r="L371" s="75">
        <v>371</v>
      </c>
      <c r="M371" s="75"/>
      <c r="N371" s="70"/>
      <c r="O371" s="77" t="s">
        <v>179</v>
      </c>
      <c r="P371" s="79">
        <v>45141.010416666664</v>
      </c>
      <c r="Q371" s="77" t="s">
        <v>1255</v>
      </c>
      <c r="R371" s="77">
        <v>0</v>
      </c>
      <c r="S371" s="77">
        <v>0</v>
      </c>
      <c r="T371" s="77">
        <v>0</v>
      </c>
      <c r="U371" s="77">
        <v>0</v>
      </c>
      <c r="V371" s="77">
        <v>15</v>
      </c>
      <c r="W371" s="82" t="s">
        <v>4998</v>
      </c>
      <c r="X371" s="80" t="str">
        <f>HYPERLINK("https://go.hotmart.com/G45221702E")</f>
        <v>https://go.hotmart.com/G45221702E</v>
      </c>
      <c r="Y371" s="77" t="s">
        <v>6497</v>
      </c>
      <c r="Z371" s="77"/>
      <c r="AA371" s="77" t="s">
        <v>6854</v>
      </c>
      <c r="AB371" s="77" t="s">
        <v>7742</v>
      </c>
      <c r="AC371" s="82" t="s">
        <v>7750</v>
      </c>
      <c r="AD371" s="77" t="s">
        <v>7788</v>
      </c>
      <c r="AE371" s="80" t="str">
        <f>HYPERLINK("https://twitter.com/digital_educ10/status/1686893391991177216")</f>
        <v>https://twitter.com/digital_educ10/status/1686893391991177216</v>
      </c>
      <c r="AF371" s="79">
        <v>45141.010416666664</v>
      </c>
      <c r="AG371" s="85">
        <v>45141</v>
      </c>
      <c r="AH371" s="82" t="s">
        <v>8119</v>
      </c>
      <c r="AI371" s="77" t="b">
        <v>0</v>
      </c>
      <c r="AJ371" s="77"/>
      <c r="AK371" s="77"/>
      <c r="AL371" s="77"/>
      <c r="AM371" s="77"/>
      <c r="AN371" s="77"/>
      <c r="AO371" s="77"/>
      <c r="AP371" s="77"/>
      <c r="AQ371" s="77" t="s">
        <v>10826</v>
      </c>
      <c r="AR371" s="77"/>
      <c r="AS371" s="77"/>
      <c r="AT371" s="77"/>
      <c r="AU371" s="77"/>
      <c r="AV371" s="80" t="str">
        <f>HYPERLINK("https://pbs.twimg.com/media/F2d8-MBWIAADtPR.png")</f>
        <v>https://pbs.twimg.com/media/F2d8-MBWIAADtPR.png</v>
      </c>
      <c r="AW371" s="82" t="s">
        <v>12075</v>
      </c>
      <c r="AX371" s="82" t="s">
        <v>12075</v>
      </c>
      <c r="AY371" s="77"/>
      <c r="AZ371" s="82" t="s">
        <v>15984</v>
      </c>
      <c r="BA371" s="82" t="s">
        <v>15984</v>
      </c>
      <c r="BB371" s="82" t="s">
        <v>15984</v>
      </c>
      <c r="BC371" s="82" t="s">
        <v>12075</v>
      </c>
      <c r="BD371" s="82" t="s">
        <v>16173</v>
      </c>
      <c r="BE371" s="77"/>
      <c r="BF371" s="77"/>
      <c r="BG371" s="77"/>
      <c r="BH371" s="77"/>
      <c r="BI371" s="77"/>
    </row>
    <row r="372" spans="1:61" x14ac:dyDescent="0.25">
      <c r="A372" s="62" t="s">
        <v>342</v>
      </c>
      <c r="B372" s="62" t="s">
        <v>342</v>
      </c>
      <c r="C372" s="63"/>
      <c r="D372" s="64"/>
      <c r="E372" s="65"/>
      <c r="F372" s="66"/>
      <c r="G372" s="63"/>
      <c r="H372" s="67"/>
      <c r="I372" s="68"/>
      <c r="J372" s="68"/>
      <c r="K372" s="32"/>
      <c r="L372" s="75">
        <v>372</v>
      </c>
      <c r="M372" s="75"/>
      <c r="N372" s="70"/>
      <c r="O372" s="77" t="s">
        <v>179</v>
      </c>
      <c r="P372" s="79">
        <v>45144.666666666664</v>
      </c>
      <c r="Q372" s="77" t="s">
        <v>1256</v>
      </c>
      <c r="R372" s="77">
        <v>0</v>
      </c>
      <c r="S372" s="77">
        <v>0</v>
      </c>
      <c r="T372" s="77">
        <v>0</v>
      </c>
      <c r="U372" s="77">
        <v>0</v>
      </c>
      <c r="V372" s="77">
        <v>6</v>
      </c>
      <c r="W372" s="82" t="s">
        <v>5021</v>
      </c>
      <c r="X372" s="80" t="str">
        <f>HYPERLINK("https://go.hotmart.com/W74146291P")</f>
        <v>https://go.hotmart.com/W74146291P</v>
      </c>
      <c r="Y372" s="77" t="s">
        <v>6497</v>
      </c>
      <c r="Z372" s="77"/>
      <c r="AA372" s="77" t="s">
        <v>6855</v>
      </c>
      <c r="AB372" s="77" t="s">
        <v>7742</v>
      </c>
      <c r="AC372" s="82" t="s">
        <v>7750</v>
      </c>
      <c r="AD372" s="77" t="s">
        <v>7788</v>
      </c>
      <c r="AE372" s="80" t="str">
        <f>HYPERLINK("https://twitter.com/digital_educ10/status/1688218373920821248")</f>
        <v>https://twitter.com/digital_educ10/status/1688218373920821248</v>
      </c>
      <c r="AF372" s="79">
        <v>45144.666666666664</v>
      </c>
      <c r="AG372" s="85">
        <v>45144</v>
      </c>
      <c r="AH372" s="82" t="s">
        <v>8120</v>
      </c>
      <c r="AI372" s="77" t="b">
        <v>0</v>
      </c>
      <c r="AJ372" s="77"/>
      <c r="AK372" s="77"/>
      <c r="AL372" s="77"/>
      <c r="AM372" s="77"/>
      <c r="AN372" s="77"/>
      <c r="AO372" s="77"/>
      <c r="AP372" s="77"/>
      <c r="AQ372" s="77" t="s">
        <v>10827</v>
      </c>
      <c r="AR372" s="77"/>
      <c r="AS372" s="77"/>
      <c r="AT372" s="77"/>
      <c r="AU372" s="77"/>
      <c r="AV372" s="80" t="str">
        <f>HYPERLINK("https://pbs.twimg.com/media/F2yJcDjWUAAZXye.png")</f>
        <v>https://pbs.twimg.com/media/F2yJcDjWUAAZXye.png</v>
      </c>
      <c r="AW372" s="82" t="s">
        <v>12076</v>
      </c>
      <c r="AX372" s="82" t="s">
        <v>12076</v>
      </c>
      <c r="AY372" s="77"/>
      <c r="AZ372" s="82" t="s">
        <v>15984</v>
      </c>
      <c r="BA372" s="82" t="s">
        <v>15984</v>
      </c>
      <c r="BB372" s="82" t="s">
        <v>15984</v>
      </c>
      <c r="BC372" s="82" t="s">
        <v>12076</v>
      </c>
      <c r="BD372" s="82" t="s">
        <v>16173</v>
      </c>
      <c r="BE372" s="77"/>
      <c r="BF372" s="77"/>
      <c r="BG372" s="77"/>
      <c r="BH372" s="77"/>
      <c r="BI372" s="77"/>
    </row>
    <row r="373" spans="1:61" x14ac:dyDescent="0.25">
      <c r="A373" s="62" t="s">
        <v>342</v>
      </c>
      <c r="B373" s="62" t="s">
        <v>342</v>
      </c>
      <c r="C373" s="63"/>
      <c r="D373" s="64"/>
      <c r="E373" s="65"/>
      <c r="F373" s="66"/>
      <c r="G373" s="63"/>
      <c r="H373" s="67"/>
      <c r="I373" s="68"/>
      <c r="J373" s="68"/>
      <c r="K373" s="32"/>
      <c r="L373" s="75">
        <v>373</v>
      </c>
      <c r="M373" s="75"/>
      <c r="N373" s="70"/>
      <c r="O373" s="77" t="s">
        <v>179</v>
      </c>
      <c r="P373" s="79">
        <v>45144.625</v>
      </c>
      <c r="Q373" s="77" t="s">
        <v>1257</v>
      </c>
      <c r="R373" s="77">
        <v>0</v>
      </c>
      <c r="S373" s="77">
        <v>0</v>
      </c>
      <c r="T373" s="77">
        <v>0</v>
      </c>
      <c r="U373" s="77">
        <v>0</v>
      </c>
      <c r="V373" s="77">
        <v>7</v>
      </c>
      <c r="W373" s="82" t="s">
        <v>5021</v>
      </c>
      <c r="X373" s="80" t="str">
        <f>HYPERLINK("https://go.hotmart.com/W74146291P")</f>
        <v>https://go.hotmart.com/W74146291P</v>
      </c>
      <c r="Y373" s="77" t="s">
        <v>6497</v>
      </c>
      <c r="Z373" s="77"/>
      <c r="AA373" s="77" t="s">
        <v>6856</v>
      </c>
      <c r="AB373" s="77" t="s">
        <v>7742</v>
      </c>
      <c r="AC373" s="82" t="s">
        <v>7750</v>
      </c>
      <c r="AD373" s="77" t="s">
        <v>7788</v>
      </c>
      <c r="AE373" s="80" t="str">
        <f>HYPERLINK("https://twitter.com/digital_educ10/status/1688203272824475648")</f>
        <v>https://twitter.com/digital_educ10/status/1688203272824475648</v>
      </c>
      <c r="AF373" s="79">
        <v>45144.625</v>
      </c>
      <c r="AG373" s="85">
        <v>45144</v>
      </c>
      <c r="AH373" s="82" t="s">
        <v>7862</v>
      </c>
      <c r="AI373" s="77" t="b">
        <v>0</v>
      </c>
      <c r="AJ373" s="77"/>
      <c r="AK373" s="77"/>
      <c r="AL373" s="77"/>
      <c r="AM373" s="77"/>
      <c r="AN373" s="77"/>
      <c r="AO373" s="77"/>
      <c r="AP373" s="77"/>
      <c r="AQ373" s="77" t="s">
        <v>10828</v>
      </c>
      <c r="AR373" s="77"/>
      <c r="AS373" s="77"/>
      <c r="AT373" s="77"/>
      <c r="AU373" s="77"/>
      <c r="AV373" s="80" t="str">
        <f>HYPERLINK("https://pbs.twimg.com/media/F2yJWSHWUAEaLsj.png")</f>
        <v>https://pbs.twimg.com/media/F2yJWSHWUAEaLsj.png</v>
      </c>
      <c r="AW373" s="82" t="s">
        <v>12077</v>
      </c>
      <c r="AX373" s="82" t="s">
        <v>12077</v>
      </c>
      <c r="AY373" s="77"/>
      <c r="AZ373" s="82" t="s">
        <v>15984</v>
      </c>
      <c r="BA373" s="82" t="s">
        <v>15984</v>
      </c>
      <c r="BB373" s="82" t="s">
        <v>15984</v>
      </c>
      <c r="BC373" s="82" t="s">
        <v>12077</v>
      </c>
      <c r="BD373" s="82" t="s">
        <v>16173</v>
      </c>
      <c r="BE373" s="77"/>
      <c r="BF373" s="77"/>
      <c r="BG373" s="77"/>
      <c r="BH373" s="77"/>
      <c r="BI373" s="77"/>
    </row>
    <row r="374" spans="1:61" x14ac:dyDescent="0.25">
      <c r="A374" s="62" t="s">
        <v>343</v>
      </c>
      <c r="B374" s="62" t="s">
        <v>343</v>
      </c>
      <c r="C374" s="63"/>
      <c r="D374" s="64"/>
      <c r="E374" s="65"/>
      <c r="F374" s="66"/>
      <c r="G374" s="63"/>
      <c r="H374" s="67"/>
      <c r="I374" s="68"/>
      <c r="J374" s="68"/>
      <c r="K374" s="32"/>
      <c r="L374" s="75">
        <v>374</v>
      </c>
      <c r="M374" s="75"/>
      <c r="N374" s="70"/>
      <c r="O374" s="77" t="s">
        <v>179</v>
      </c>
      <c r="P374" s="79">
        <v>45126.651423611111</v>
      </c>
      <c r="Q374" s="77" t="s">
        <v>1258</v>
      </c>
      <c r="R374" s="77">
        <v>0</v>
      </c>
      <c r="S374" s="77">
        <v>1</v>
      </c>
      <c r="T374" s="77">
        <v>0</v>
      </c>
      <c r="U374" s="77">
        <v>0</v>
      </c>
      <c r="V374" s="77">
        <v>270</v>
      </c>
      <c r="W374" s="82" t="s">
        <v>5022</v>
      </c>
      <c r="X374" s="80" t="str">
        <f>HYPERLINK("https://www.youtube.com/watch?v=1wtoxJWKfEY")</f>
        <v>https://www.youtube.com/watch?v=1wtoxJWKfEY</v>
      </c>
      <c r="Y374" s="77" t="s">
        <v>6480</v>
      </c>
      <c r="Z374" s="77"/>
      <c r="AA374" s="77"/>
      <c r="AB374" s="77"/>
      <c r="AC374" s="82" t="s">
        <v>7750</v>
      </c>
      <c r="AD374" s="77" t="s">
        <v>7790</v>
      </c>
      <c r="AE374" s="80" t="str">
        <f>HYPERLINK("https://twitter.com/economicasudea/status/1681689866394845184")</f>
        <v>https://twitter.com/economicasudea/status/1681689866394845184</v>
      </c>
      <c r="AF374" s="79">
        <v>45126.651423611111</v>
      </c>
      <c r="AG374" s="85">
        <v>45126</v>
      </c>
      <c r="AH374" s="82" t="s">
        <v>8121</v>
      </c>
      <c r="AI374" s="77" t="b">
        <v>0</v>
      </c>
      <c r="AJ374" s="77"/>
      <c r="AK374" s="77"/>
      <c r="AL374" s="77"/>
      <c r="AM374" s="77"/>
      <c r="AN374" s="77"/>
      <c r="AO374" s="77"/>
      <c r="AP374" s="77"/>
      <c r="AQ374" s="77"/>
      <c r="AR374" s="77"/>
      <c r="AS374" s="77"/>
      <c r="AT374" s="77"/>
      <c r="AU374" s="77"/>
      <c r="AV374" s="80" t="str">
        <f>HYPERLINK("https://pbs.twimg.com/profile_images/1279110856467451907/LHp3GyiZ_normal.jpg")</f>
        <v>https://pbs.twimg.com/profile_images/1279110856467451907/LHp3GyiZ_normal.jpg</v>
      </c>
      <c r="AW374" s="82" t="s">
        <v>12078</v>
      </c>
      <c r="AX374" s="82" t="s">
        <v>12078</v>
      </c>
      <c r="AY374" s="77"/>
      <c r="AZ374" s="82" t="s">
        <v>15984</v>
      </c>
      <c r="BA374" s="82" t="s">
        <v>15984</v>
      </c>
      <c r="BB374" s="82" t="s">
        <v>15984</v>
      </c>
      <c r="BC374" s="82" t="s">
        <v>12078</v>
      </c>
      <c r="BD374" s="77">
        <v>2612871692</v>
      </c>
      <c r="BE374" s="77"/>
      <c r="BF374" s="77"/>
      <c r="BG374" s="77"/>
      <c r="BH374" s="77"/>
      <c r="BI374" s="77"/>
    </row>
    <row r="375" spans="1:61" x14ac:dyDescent="0.25">
      <c r="A375" s="62" t="s">
        <v>344</v>
      </c>
      <c r="B375" s="62" t="s">
        <v>753</v>
      </c>
      <c r="C375" s="63"/>
      <c r="D375" s="64"/>
      <c r="E375" s="65"/>
      <c r="F375" s="66"/>
      <c r="G375" s="63"/>
      <c r="H375" s="67"/>
      <c r="I375" s="68"/>
      <c r="J375" s="68"/>
      <c r="K375" s="32"/>
      <c r="L375" s="75">
        <v>375</v>
      </c>
      <c r="M375" s="75"/>
      <c r="N375" s="70"/>
      <c r="O375" s="77" t="s">
        <v>899</v>
      </c>
      <c r="P375" s="79">
        <v>45192.072928240741</v>
      </c>
      <c r="Q375" s="77" t="s">
        <v>1116</v>
      </c>
      <c r="R375" s="77">
        <v>10</v>
      </c>
      <c r="S375" s="77">
        <v>0</v>
      </c>
      <c r="T375" s="77">
        <v>0</v>
      </c>
      <c r="U375" s="77">
        <v>0</v>
      </c>
      <c r="V375" s="77"/>
      <c r="W375" s="82" t="s">
        <v>4821</v>
      </c>
      <c r="X375" s="77"/>
      <c r="Y375" s="77"/>
      <c r="Z375" s="77" t="s">
        <v>6566</v>
      </c>
      <c r="AA375" s="77"/>
      <c r="AB375" s="77"/>
      <c r="AC375" s="82" t="s">
        <v>7751</v>
      </c>
      <c r="AD375" s="77" t="s">
        <v>7790</v>
      </c>
      <c r="AE375" s="80" t="str">
        <f>HYPERLINK("https://twitter.com/vallejo1rodri2/status/1705397825662578819")</f>
        <v>https://twitter.com/vallejo1rodri2/status/1705397825662578819</v>
      </c>
      <c r="AF375" s="79">
        <v>45192.072928240741</v>
      </c>
      <c r="AG375" s="85">
        <v>45192</v>
      </c>
      <c r="AH375" s="82" t="s">
        <v>8122</v>
      </c>
      <c r="AI375" s="77"/>
      <c r="AJ375" s="77"/>
      <c r="AK375" s="77"/>
      <c r="AL375" s="77"/>
      <c r="AM375" s="77"/>
      <c r="AN375" s="77"/>
      <c r="AO375" s="77"/>
      <c r="AP375" s="77"/>
      <c r="AQ375" s="77"/>
      <c r="AR375" s="77"/>
      <c r="AS375" s="77"/>
      <c r="AT375" s="77"/>
      <c r="AU375" s="77"/>
      <c r="AV375" s="80" t="str">
        <f>HYPERLINK("https://pbs.twimg.com/profile_images/1574962766133198854/ygK440bb_normal.jpg")</f>
        <v>https://pbs.twimg.com/profile_images/1574962766133198854/ygK440bb_normal.jpg</v>
      </c>
      <c r="AW375" s="82" t="s">
        <v>12079</v>
      </c>
      <c r="AX375" s="82" t="s">
        <v>12079</v>
      </c>
      <c r="AY375" s="77"/>
      <c r="AZ375" s="82" t="s">
        <v>15984</v>
      </c>
      <c r="BA375" s="82" t="s">
        <v>15984</v>
      </c>
      <c r="BB375" s="82" t="s">
        <v>15303</v>
      </c>
      <c r="BC375" s="82" t="s">
        <v>15303</v>
      </c>
      <c r="BD375" s="82" t="s">
        <v>16174</v>
      </c>
      <c r="BE375" s="77"/>
      <c r="BF375" s="77"/>
      <c r="BG375" s="77"/>
      <c r="BH375" s="77"/>
      <c r="BI375" s="77"/>
    </row>
    <row r="376" spans="1:61" x14ac:dyDescent="0.25">
      <c r="A376" s="62" t="s">
        <v>344</v>
      </c>
      <c r="B376" s="62" t="s">
        <v>614</v>
      </c>
      <c r="C376" s="63"/>
      <c r="D376" s="64"/>
      <c r="E376" s="65"/>
      <c r="F376" s="66"/>
      <c r="G376" s="63"/>
      <c r="H376" s="67"/>
      <c r="I376" s="68"/>
      <c r="J376" s="68"/>
      <c r="K376" s="32"/>
      <c r="L376" s="75">
        <v>376</v>
      </c>
      <c r="M376" s="75"/>
      <c r="N376" s="70"/>
      <c r="O376" s="77" t="s">
        <v>897</v>
      </c>
      <c r="P376" s="79">
        <v>45192.072928240741</v>
      </c>
      <c r="Q376" s="77" t="s">
        <v>1116</v>
      </c>
      <c r="R376" s="77">
        <v>10</v>
      </c>
      <c r="S376" s="77">
        <v>0</v>
      </c>
      <c r="T376" s="77">
        <v>0</v>
      </c>
      <c r="U376" s="77">
        <v>0</v>
      </c>
      <c r="V376" s="77"/>
      <c r="W376" s="82" t="s">
        <v>4821</v>
      </c>
      <c r="X376" s="77"/>
      <c r="Y376" s="77"/>
      <c r="Z376" s="77" t="s">
        <v>6566</v>
      </c>
      <c r="AA376" s="77"/>
      <c r="AB376" s="77"/>
      <c r="AC376" s="82" t="s">
        <v>7751</v>
      </c>
      <c r="AD376" s="77" t="s">
        <v>7790</v>
      </c>
      <c r="AE376" s="80" t="str">
        <f>HYPERLINK("https://twitter.com/vallejo1rodri2/status/1705397825662578819")</f>
        <v>https://twitter.com/vallejo1rodri2/status/1705397825662578819</v>
      </c>
      <c r="AF376" s="79">
        <v>45192.072928240741</v>
      </c>
      <c r="AG376" s="85">
        <v>45192</v>
      </c>
      <c r="AH376" s="82" t="s">
        <v>8122</v>
      </c>
      <c r="AI376" s="77"/>
      <c r="AJ376" s="77"/>
      <c r="AK376" s="77"/>
      <c r="AL376" s="77"/>
      <c r="AM376" s="77"/>
      <c r="AN376" s="77"/>
      <c r="AO376" s="77"/>
      <c r="AP376" s="77"/>
      <c r="AQ376" s="77"/>
      <c r="AR376" s="77"/>
      <c r="AS376" s="77"/>
      <c r="AT376" s="77"/>
      <c r="AU376" s="77"/>
      <c r="AV376" s="80" t="str">
        <f>HYPERLINK("https://pbs.twimg.com/profile_images/1574962766133198854/ygK440bb_normal.jpg")</f>
        <v>https://pbs.twimg.com/profile_images/1574962766133198854/ygK440bb_normal.jpg</v>
      </c>
      <c r="AW376" s="82" t="s">
        <v>12079</v>
      </c>
      <c r="AX376" s="82" t="s">
        <v>12079</v>
      </c>
      <c r="AY376" s="77"/>
      <c r="AZ376" s="82" t="s">
        <v>15984</v>
      </c>
      <c r="BA376" s="82" t="s">
        <v>15984</v>
      </c>
      <c r="BB376" s="82" t="s">
        <v>15303</v>
      </c>
      <c r="BC376" s="82" t="s">
        <v>15303</v>
      </c>
      <c r="BD376" s="82" t="s">
        <v>16174</v>
      </c>
      <c r="BE376" s="77"/>
      <c r="BF376" s="77"/>
      <c r="BG376" s="77"/>
      <c r="BH376" s="77"/>
      <c r="BI376" s="77"/>
    </row>
    <row r="377" spans="1:61" x14ac:dyDescent="0.25">
      <c r="A377" s="62" t="s">
        <v>345</v>
      </c>
      <c r="B377" s="62" t="s">
        <v>345</v>
      </c>
      <c r="C377" s="63"/>
      <c r="D377" s="64"/>
      <c r="E377" s="65"/>
      <c r="F377" s="66"/>
      <c r="G377" s="63"/>
      <c r="H377" s="67"/>
      <c r="I377" s="68"/>
      <c r="J377" s="68"/>
      <c r="K377" s="32"/>
      <c r="L377" s="75">
        <v>377</v>
      </c>
      <c r="M377" s="75"/>
      <c r="N377" s="70"/>
      <c r="O377" s="77" t="s">
        <v>179</v>
      </c>
      <c r="P377" s="79">
        <v>45129.823611111111</v>
      </c>
      <c r="Q377" s="77" t="s">
        <v>1259</v>
      </c>
      <c r="R377" s="77">
        <v>0</v>
      </c>
      <c r="S377" s="77">
        <v>0</v>
      </c>
      <c r="T377" s="77">
        <v>0</v>
      </c>
      <c r="U377" s="77">
        <v>0</v>
      </c>
      <c r="V377" s="77">
        <v>57</v>
      </c>
      <c r="W377" s="82" t="s">
        <v>5023</v>
      </c>
      <c r="X377" s="77"/>
      <c r="Y377" s="77"/>
      <c r="Z377" s="77"/>
      <c r="AA377" s="77" t="s">
        <v>6857</v>
      </c>
      <c r="AB377" s="77" t="s">
        <v>7742</v>
      </c>
      <c r="AC377" s="82" t="s">
        <v>7752</v>
      </c>
      <c r="AD377" s="77" t="s">
        <v>7788</v>
      </c>
      <c r="AE377" s="80" t="str">
        <f>HYPERLINK("https://twitter.com/rmac_avera/status/1682839428736118785")</f>
        <v>https://twitter.com/rmac_avera/status/1682839428736118785</v>
      </c>
      <c r="AF377" s="79">
        <v>45129.823611111111</v>
      </c>
      <c r="AG377" s="85">
        <v>45129</v>
      </c>
      <c r="AH377" s="82" t="s">
        <v>8123</v>
      </c>
      <c r="AI377" s="77" t="b">
        <v>0</v>
      </c>
      <c r="AJ377" s="77"/>
      <c r="AK377" s="77"/>
      <c r="AL377" s="77"/>
      <c r="AM377" s="77"/>
      <c r="AN377" s="77"/>
      <c r="AO377" s="77"/>
      <c r="AP377" s="77"/>
      <c r="AQ377" s="77" t="s">
        <v>10829</v>
      </c>
      <c r="AR377" s="77"/>
      <c r="AS377" s="77"/>
      <c r="AT377" s="77"/>
      <c r="AU377" s="77"/>
      <c r="AV377" s="80" t="str">
        <f>HYPERLINK("https://pbs.twimg.com/media/F1qlifWWIAAjs4v.jpg")</f>
        <v>https://pbs.twimg.com/media/F1qlifWWIAAjs4v.jpg</v>
      </c>
      <c r="AW377" s="82" t="s">
        <v>12080</v>
      </c>
      <c r="AX377" s="82" t="s">
        <v>12080</v>
      </c>
      <c r="AY377" s="77"/>
      <c r="AZ377" s="82" t="s">
        <v>15984</v>
      </c>
      <c r="BA377" s="82" t="s">
        <v>15984</v>
      </c>
      <c r="BB377" s="82" t="s">
        <v>15984</v>
      </c>
      <c r="BC377" s="82" t="s">
        <v>12080</v>
      </c>
      <c r="BD377" s="82" t="s">
        <v>16175</v>
      </c>
      <c r="BE377" s="77"/>
      <c r="BF377" s="77"/>
      <c r="BG377" s="77"/>
      <c r="BH377" s="77"/>
      <c r="BI377" s="77"/>
    </row>
    <row r="378" spans="1:61" x14ac:dyDescent="0.25">
      <c r="A378" s="62" t="s">
        <v>346</v>
      </c>
      <c r="B378" s="62" t="s">
        <v>346</v>
      </c>
      <c r="C378" s="63"/>
      <c r="D378" s="64"/>
      <c r="E378" s="65"/>
      <c r="F378" s="66"/>
      <c r="G378" s="63"/>
      <c r="H378" s="67"/>
      <c r="I378" s="68"/>
      <c r="J378" s="68"/>
      <c r="K378" s="32"/>
      <c r="L378" s="75">
        <v>378</v>
      </c>
      <c r="M378" s="75"/>
      <c r="N378" s="70"/>
      <c r="O378" s="77" t="s">
        <v>898</v>
      </c>
      <c r="P378" s="79">
        <v>45155.750127314815</v>
      </c>
      <c r="Q378" s="77" t="s">
        <v>1260</v>
      </c>
      <c r="R378" s="77">
        <v>0</v>
      </c>
      <c r="S378" s="77">
        <v>0</v>
      </c>
      <c r="T378" s="77">
        <v>0</v>
      </c>
      <c r="U378" s="77">
        <v>0</v>
      </c>
      <c r="V378" s="77">
        <v>17</v>
      </c>
      <c r="W378" s="82" t="s">
        <v>5024</v>
      </c>
      <c r="X378" s="77"/>
      <c r="Y378" s="77"/>
      <c r="Z378" s="77"/>
      <c r="AA378" s="77"/>
      <c r="AB378" s="77"/>
      <c r="AC378" s="82" t="s">
        <v>7750</v>
      </c>
      <c r="AD378" s="77" t="s">
        <v>7788</v>
      </c>
      <c r="AE378" s="80" t="str">
        <f>HYPERLINK("https://twitter.com/j_henrique_/status/1692234887284068567")</f>
        <v>https://twitter.com/j_henrique_/status/1692234887284068567</v>
      </c>
      <c r="AF378" s="79">
        <v>45155.750127314815</v>
      </c>
      <c r="AG378" s="85">
        <v>45155</v>
      </c>
      <c r="AH378" s="82" t="s">
        <v>8124</v>
      </c>
      <c r="AI378" s="77"/>
      <c r="AJ378" s="77"/>
      <c r="AK378" s="77"/>
      <c r="AL378" s="77"/>
      <c r="AM378" s="77"/>
      <c r="AN378" s="77"/>
      <c r="AO378" s="77"/>
      <c r="AP378" s="77"/>
      <c r="AQ378" s="77"/>
      <c r="AR378" s="77"/>
      <c r="AS378" s="77"/>
      <c r="AT378" s="77"/>
      <c r="AU378" s="77"/>
      <c r="AV378" s="80" t="str">
        <f>HYPERLINK("https://pbs.twimg.com/profile_images/1703901655190712320/pDeuaAoR_normal.jpg")</f>
        <v>https://pbs.twimg.com/profile_images/1703901655190712320/pDeuaAoR_normal.jpg</v>
      </c>
      <c r="AW378" s="82" t="s">
        <v>12081</v>
      </c>
      <c r="AX378" s="82" t="s">
        <v>15753</v>
      </c>
      <c r="AY378" s="82" t="s">
        <v>15924</v>
      </c>
      <c r="AZ378" s="82" t="s">
        <v>15753</v>
      </c>
      <c r="BA378" s="82" t="s">
        <v>15984</v>
      </c>
      <c r="BB378" s="82" t="s">
        <v>15984</v>
      </c>
      <c r="BC378" s="82" t="s">
        <v>15753</v>
      </c>
      <c r="BD378" s="77">
        <v>272512616</v>
      </c>
      <c r="BE378" s="77"/>
      <c r="BF378" s="77"/>
      <c r="BG378" s="77"/>
      <c r="BH378" s="77"/>
      <c r="BI378" s="77"/>
    </row>
    <row r="379" spans="1:61" x14ac:dyDescent="0.25">
      <c r="A379" s="62" t="s">
        <v>347</v>
      </c>
      <c r="B379" s="62" t="s">
        <v>598</v>
      </c>
      <c r="C379" s="63"/>
      <c r="D379" s="64"/>
      <c r="E379" s="65"/>
      <c r="F379" s="66"/>
      <c r="G379" s="63"/>
      <c r="H379" s="67"/>
      <c r="I379" s="68"/>
      <c r="J379" s="68"/>
      <c r="K379" s="32"/>
      <c r="L379" s="75">
        <v>379</v>
      </c>
      <c r="M379" s="75"/>
      <c r="N379" s="70"/>
      <c r="O379" s="77" t="s">
        <v>897</v>
      </c>
      <c r="P379" s="79">
        <v>45192.002280092594</v>
      </c>
      <c r="Q379" s="77" t="s">
        <v>1261</v>
      </c>
      <c r="R379" s="77">
        <v>1</v>
      </c>
      <c r="S379" s="77">
        <v>0</v>
      </c>
      <c r="T379" s="77">
        <v>0</v>
      </c>
      <c r="U379" s="77">
        <v>0</v>
      </c>
      <c r="V379" s="77"/>
      <c r="W379" s="77"/>
      <c r="X379" s="77"/>
      <c r="Y379" s="77"/>
      <c r="Z379" s="77" t="s">
        <v>598</v>
      </c>
      <c r="AA379" s="77"/>
      <c r="AB379" s="77"/>
      <c r="AC379" s="82" t="s">
        <v>7752</v>
      </c>
      <c r="AD379" s="77" t="s">
        <v>7788</v>
      </c>
      <c r="AE379" s="80" t="str">
        <f>HYPERLINK("https://twitter.com/r_penhafilho/status/1705372226118365687")</f>
        <v>https://twitter.com/r_penhafilho/status/1705372226118365687</v>
      </c>
      <c r="AF379" s="79">
        <v>45192.002280092594</v>
      </c>
      <c r="AG379" s="85">
        <v>45192</v>
      </c>
      <c r="AH379" s="82" t="s">
        <v>8125</v>
      </c>
      <c r="AI379" s="77" t="b">
        <v>0</v>
      </c>
      <c r="AJ379" s="77"/>
      <c r="AK379" s="77"/>
      <c r="AL379" s="77"/>
      <c r="AM379" s="77"/>
      <c r="AN379" s="77"/>
      <c r="AO379" s="77"/>
      <c r="AP379" s="77"/>
      <c r="AQ379" s="77"/>
      <c r="AR379" s="77"/>
      <c r="AS379" s="77"/>
      <c r="AT379" s="77"/>
      <c r="AU379" s="77"/>
      <c r="AV379" s="80" t="str">
        <f>HYPERLINK("https://pbs.twimg.com/profile_images/1415671442369224705/9mHiRMTU_normal.jpg")</f>
        <v>https://pbs.twimg.com/profile_images/1415671442369224705/9mHiRMTU_normal.jpg</v>
      </c>
      <c r="AW379" s="82" t="s">
        <v>12082</v>
      </c>
      <c r="AX379" s="82" t="s">
        <v>12082</v>
      </c>
      <c r="AY379" s="77"/>
      <c r="AZ379" s="82" t="s">
        <v>15984</v>
      </c>
      <c r="BA379" s="82" t="s">
        <v>15984</v>
      </c>
      <c r="BB379" s="82" t="s">
        <v>12884</v>
      </c>
      <c r="BC379" s="82" t="s">
        <v>12884</v>
      </c>
      <c r="BD379" s="77">
        <v>201282088</v>
      </c>
      <c r="BE379" s="77"/>
      <c r="BF379" s="77"/>
      <c r="BG379" s="77"/>
      <c r="BH379" s="77"/>
      <c r="BI379" s="77"/>
    </row>
    <row r="380" spans="1:61" x14ac:dyDescent="0.25">
      <c r="A380" s="62" t="s">
        <v>348</v>
      </c>
      <c r="B380" s="62" t="s">
        <v>348</v>
      </c>
      <c r="C380" s="63"/>
      <c r="D380" s="64"/>
      <c r="E380" s="65"/>
      <c r="F380" s="66"/>
      <c r="G380" s="63"/>
      <c r="H380" s="67"/>
      <c r="I380" s="68"/>
      <c r="J380" s="68"/>
      <c r="K380" s="32"/>
      <c r="L380" s="75">
        <v>380</v>
      </c>
      <c r="M380" s="75"/>
      <c r="N380" s="70"/>
      <c r="O380" s="77" t="s">
        <v>898</v>
      </c>
      <c r="P380" s="79">
        <v>45118.60255787037</v>
      </c>
      <c r="Q380" s="77" t="s">
        <v>1262</v>
      </c>
      <c r="R380" s="77">
        <v>0</v>
      </c>
      <c r="S380" s="77">
        <v>0</v>
      </c>
      <c r="T380" s="77">
        <v>1</v>
      </c>
      <c r="U380" s="77">
        <v>0</v>
      </c>
      <c r="V380" s="77">
        <v>24</v>
      </c>
      <c r="W380" s="82" t="s">
        <v>4839</v>
      </c>
      <c r="X380" s="77"/>
      <c r="Y380" s="77"/>
      <c r="Z380" s="77"/>
      <c r="AA380" s="77"/>
      <c r="AB380" s="77"/>
      <c r="AC380" s="82" t="s">
        <v>7750</v>
      </c>
      <c r="AD380" s="77" t="s">
        <v>7788</v>
      </c>
      <c r="AE380" s="80" t="str">
        <f>HYPERLINK("https://twitter.com/invest_kla/status/1678773057132052480")</f>
        <v>https://twitter.com/invest_kla/status/1678773057132052480</v>
      </c>
      <c r="AF380" s="79">
        <v>45118.60255787037</v>
      </c>
      <c r="AG380" s="85">
        <v>45118</v>
      </c>
      <c r="AH380" s="82" t="s">
        <v>8126</v>
      </c>
      <c r="AI380" s="77"/>
      <c r="AJ380" s="77"/>
      <c r="AK380" s="77"/>
      <c r="AL380" s="77"/>
      <c r="AM380" s="77"/>
      <c r="AN380" s="77"/>
      <c r="AO380" s="77"/>
      <c r="AP380" s="77"/>
      <c r="AQ380" s="77"/>
      <c r="AR380" s="77"/>
      <c r="AS380" s="77"/>
      <c r="AT380" s="77"/>
      <c r="AU380" s="77"/>
      <c r="AV380" s="80" t="str">
        <f>HYPERLINK("https://pbs.twimg.com/profile_images/1611007714779357192/KfacuwSp_normal.png")</f>
        <v>https://pbs.twimg.com/profile_images/1611007714779357192/KfacuwSp_normal.png</v>
      </c>
      <c r="AW380" s="82" t="s">
        <v>12083</v>
      </c>
      <c r="AX380" s="82" t="s">
        <v>15754</v>
      </c>
      <c r="AY380" s="82" t="s">
        <v>15925</v>
      </c>
      <c r="AZ380" s="82" t="s">
        <v>15992</v>
      </c>
      <c r="BA380" s="82" t="s">
        <v>15984</v>
      </c>
      <c r="BB380" s="82" t="s">
        <v>15984</v>
      </c>
      <c r="BC380" s="82" t="s">
        <v>15992</v>
      </c>
      <c r="BD380" s="82" t="s">
        <v>15925</v>
      </c>
      <c r="BE380" s="77"/>
      <c r="BF380" s="77"/>
      <c r="BG380" s="77"/>
      <c r="BH380" s="77"/>
      <c r="BI380" s="77"/>
    </row>
    <row r="381" spans="1:61" x14ac:dyDescent="0.25">
      <c r="A381" s="62" t="s">
        <v>349</v>
      </c>
      <c r="B381" s="62" t="s">
        <v>349</v>
      </c>
      <c r="C381" s="63"/>
      <c r="D381" s="64"/>
      <c r="E381" s="65"/>
      <c r="F381" s="66"/>
      <c r="G381" s="63"/>
      <c r="H381" s="67"/>
      <c r="I381" s="68"/>
      <c r="J381" s="68"/>
      <c r="K381" s="32"/>
      <c r="L381" s="75">
        <v>381</v>
      </c>
      <c r="M381" s="75"/>
      <c r="N381" s="70"/>
      <c r="O381" s="77" t="s">
        <v>179</v>
      </c>
      <c r="P381" s="79">
        <v>45186.465381944443</v>
      </c>
      <c r="Q381" s="77" t="s">
        <v>918</v>
      </c>
      <c r="R381" s="77">
        <v>0</v>
      </c>
      <c r="S381" s="77">
        <v>0</v>
      </c>
      <c r="T381" s="77">
        <v>0</v>
      </c>
      <c r="U381" s="77">
        <v>0</v>
      </c>
      <c r="V381" s="77">
        <v>3</v>
      </c>
      <c r="W381" s="82" t="s">
        <v>4815</v>
      </c>
      <c r="X381" s="77"/>
      <c r="Y381" s="77"/>
      <c r="Z381" s="77"/>
      <c r="AA381" s="77"/>
      <c r="AB381" s="77"/>
      <c r="AC381" s="82" t="s">
        <v>7750</v>
      </c>
      <c r="AD381" s="77" t="s">
        <v>7789</v>
      </c>
      <c r="AE381" s="80" t="str">
        <f>HYPERLINK("https://twitter.com/zenstockjourney/status/1703365721902744041")</f>
        <v>https://twitter.com/zenstockjourney/status/1703365721902744041</v>
      </c>
      <c r="AF381" s="79">
        <v>45186.465381944443</v>
      </c>
      <c r="AG381" s="85">
        <v>45186</v>
      </c>
      <c r="AH381" s="82" t="s">
        <v>8127</v>
      </c>
      <c r="AI381" s="77"/>
      <c r="AJ381" s="77"/>
      <c r="AK381" s="77"/>
      <c r="AL381" s="77"/>
      <c r="AM381" s="77"/>
      <c r="AN381" s="77"/>
      <c r="AO381" s="77"/>
      <c r="AP381" s="77"/>
      <c r="AQ381" s="77"/>
      <c r="AR381" s="77"/>
      <c r="AS381" s="77"/>
      <c r="AT381" s="77"/>
      <c r="AU381" s="77"/>
      <c r="AV381" s="80" t="str">
        <f>HYPERLINK("https://pbs.twimg.com/profile_images/1699367792825217024/Ru_izWzc_normal.jpg")</f>
        <v>https://pbs.twimg.com/profile_images/1699367792825217024/Ru_izWzc_normal.jpg</v>
      </c>
      <c r="AW381" s="82" t="s">
        <v>12084</v>
      </c>
      <c r="AX381" s="82" t="s">
        <v>12084</v>
      </c>
      <c r="AY381" s="77"/>
      <c r="AZ381" s="82" t="s">
        <v>15984</v>
      </c>
      <c r="BA381" s="82" t="s">
        <v>15984</v>
      </c>
      <c r="BB381" s="82" t="s">
        <v>15984</v>
      </c>
      <c r="BC381" s="82" t="s">
        <v>12084</v>
      </c>
      <c r="BD381" s="82" t="s">
        <v>16176</v>
      </c>
      <c r="BE381" s="77"/>
      <c r="BF381" s="77"/>
      <c r="BG381" s="77"/>
      <c r="BH381" s="77"/>
      <c r="BI381" s="77"/>
    </row>
    <row r="382" spans="1:61" x14ac:dyDescent="0.25">
      <c r="A382" s="62" t="s">
        <v>350</v>
      </c>
      <c r="B382" s="62" t="s">
        <v>350</v>
      </c>
      <c r="C382" s="63"/>
      <c r="D382" s="64"/>
      <c r="E382" s="65"/>
      <c r="F382" s="66"/>
      <c r="G382" s="63"/>
      <c r="H382" s="67"/>
      <c r="I382" s="68"/>
      <c r="J382" s="68"/>
      <c r="K382" s="32"/>
      <c r="L382" s="75">
        <v>382</v>
      </c>
      <c r="M382" s="75"/>
      <c r="N382" s="70"/>
      <c r="O382" s="77" t="s">
        <v>179</v>
      </c>
      <c r="P382" s="79">
        <v>45156.951689814814</v>
      </c>
      <c r="Q382" s="77" t="s">
        <v>1263</v>
      </c>
      <c r="R382" s="77">
        <v>0</v>
      </c>
      <c r="S382" s="77">
        <v>0</v>
      </c>
      <c r="T382" s="77">
        <v>0</v>
      </c>
      <c r="U382" s="77">
        <v>0</v>
      </c>
      <c r="V382" s="77">
        <v>14</v>
      </c>
      <c r="W382" s="82" t="s">
        <v>5025</v>
      </c>
      <c r="X382" s="80" t="str">
        <f>HYPERLINK("https://brasil.perfil.com/economia/ibovespa-volta-a-subir-e-fecha-aos-115-mil-pontos.phtml")</f>
        <v>https://brasil.perfil.com/economia/ibovespa-volta-a-subir-e-fecha-aos-115-mil-pontos.phtml</v>
      </c>
      <c r="Y382" s="77" t="s">
        <v>6498</v>
      </c>
      <c r="Z382" s="77"/>
      <c r="AA382" s="77"/>
      <c r="AB382" s="77"/>
      <c r="AC382" s="82" t="s">
        <v>7750</v>
      </c>
      <c r="AD382" s="77" t="s">
        <v>7791</v>
      </c>
      <c r="AE382" s="80" t="str">
        <f>HYPERLINK("https://twitter.com/perfilcombrasil/status/1692670315426394414")</f>
        <v>https://twitter.com/perfilcombrasil/status/1692670315426394414</v>
      </c>
      <c r="AF382" s="79">
        <v>45156.951689814814</v>
      </c>
      <c r="AG382" s="85">
        <v>45156</v>
      </c>
      <c r="AH382" s="82" t="s">
        <v>8128</v>
      </c>
      <c r="AI382" s="77" t="b">
        <v>0</v>
      </c>
      <c r="AJ382" s="77"/>
      <c r="AK382" s="77"/>
      <c r="AL382" s="77"/>
      <c r="AM382" s="77"/>
      <c r="AN382" s="77"/>
      <c r="AO382" s="77"/>
      <c r="AP382" s="77"/>
      <c r="AQ382" s="77"/>
      <c r="AR382" s="77"/>
      <c r="AS382" s="77"/>
      <c r="AT382" s="77"/>
      <c r="AU382" s="77"/>
      <c r="AV382" s="80" t="str">
        <f>HYPERLINK("https://pbs.twimg.com/profile_images/1373348274288099328/X9OehZDj_normal.jpg")</f>
        <v>https://pbs.twimg.com/profile_images/1373348274288099328/X9OehZDj_normal.jpg</v>
      </c>
      <c r="AW382" s="82" t="s">
        <v>12085</v>
      </c>
      <c r="AX382" s="82" t="s">
        <v>12085</v>
      </c>
      <c r="AY382" s="77"/>
      <c r="AZ382" s="82" t="s">
        <v>15984</v>
      </c>
      <c r="BA382" s="82" t="s">
        <v>15984</v>
      </c>
      <c r="BB382" s="82" t="s">
        <v>15984</v>
      </c>
      <c r="BC382" s="82" t="s">
        <v>12085</v>
      </c>
      <c r="BD382" s="82" t="s">
        <v>16177</v>
      </c>
      <c r="BE382" s="77"/>
      <c r="BF382" s="77"/>
      <c r="BG382" s="77"/>
      <c r="BH382" s="77"/>
      <c r="BI382" s="77"/>
    </row>
    <row r="383" spans="1:61" x14ac:dyDescent="0.25">
      <c r="A383" s="62" t="s">
        <v>350</v>
      </c>
      <c r="B383" s="62" t="s">
        <v>350</v>
      </c>
      <c r="C383" s="63"/>
      <c r="D383" s="64"/>
      <c r="E383" s="65"/>
      <c r="F383" s="66"/>
      <c r="G383" s="63"/>
      <c r="H383" s="67"/>
      <c r="I383" s="68"/>
      <c r="J383" s="68"/>
      <c r="K383" s="32"/>
      <c r="L383" s="75">
        <v>383</v>
      </c>
      <c r="M383" s="75"/>
      <c r="N383" s="70"/>
      <c r="O383" s="77" t="s">
        <v>179</v>
      </c>
      <c r="P383" s="79">
        <v>45148.007731481484</v>
      </c>
      <c r="Q383" s="77" t="s">
        <v>1264</v>
      </c>
      <c r="R383" s="77">
        <v>0</v>
      </c>
      <c r="S383" s="77">
        <v>0</v>
      </c>
      <c r="T383" s="77">
        <v>0</v>
      </c>
      <c r="U383" s="77">
        <v>0</v>
      </c>
      <c r="V383" s="77">
        <v>38</v>
      </c>
      <c r="W383" s="82" t="s">
        <v>5026</v>
      </c>
      <c r="X383" s="80" t="str">
        <f>HYPERLINK("https://brasil.perfil.com/economia/dolar-fecha-acima-de-r-490-com-dados-da-economia-chinesa.phtml")</f>
        <v>https://brasil.perfil.com/economia/dolar-fecha-acima-de-r-490-com-dados-da-economia-chinesa.phtml</v>
      </c>
      <c r="Y383" s="77" t="s">
        <v>6498</v>
      </c>
      <c r="Z383" s="77"/>
      <c r="AA383" s="77"/>
      <c r="AB383" s="77"/>
      <c r="AC383" s="82" t="s">
        <v>7750</v>
      </c>
      <c r="AD383" s="77" t="s">
        <v>7791</v>
      </c>
      <c r="AE383" s="80" t="str">
        <f>HYPERLINK("https://twitter.com/perfilcombrasil/status/1689429133980209152")</f>
        <v>https://twitter.com/perfilcombrasil/status/1689429133980209152</v>
      </c>
      <c r="AF383" s="79">
        <v>45148.007731481484</v>
      </c>
      <c r="AG383" s="85">
        <v>45148</v>
      </c>
      <c r="AH383" s="82" t="s">
        <v>8129</v>
      </c>
      <c r="AI383" s="77" t="b">
        <v>0</v>
      </c>
      <c r="AJ383" s="77"/>
      <c r="AK383" s="77"/>
      <c r="AL383" s="77"/>
      <c r="AM383" s="77"/>
      <c r="AN383" s="77"/>
      <c r="AO383" s="77"/>
      <c r="AP383" s="77"/>
      <c r="AQ383" s="77"/>
      <c r="AR383" s="77"/>
      <c r="AS383" s="77"/>
      <c r="AT383" s="77"/>
      <c r="AU383" s="77"/>
      <c r="AV383" s="80" t="str">
        <f>HYPERLINK("https://pbs.twimg.com/profile_images/1373348274288099328/X9OehZDj_normal.jpg")</f>
        <v>https://pbs.twimg.com/profile_images/1373348274288099328/X9OehZDj_normal.jpg</v>
      </c>
      <c r="AW383" s="82" t="s">
        <v>12086</v>
      </c>
      <c r="AX383" s="82" t="s">
        <v>12086</v>
      </c>
      <c r="AY383" s="77"/>
      <c r="AZ383" s="82" t="s">
        <v>15984</v>
      </c>
      <c r="BA383" s="82" t="s">
        <v>15984</v>
      </c>
      <c r="BB383" s="82" t="s">
        <v>15984</v>
      </c>
      <c r="BC383" s="82" t="s">
        <v>12086</v>
      </c>
      <c r="BD383" s="82" t="s">
        <v>16177</v>
      </c>
      <c r="BE383" s="77"/>
      <c r="BF383" s="77"/>
      <c r="BG383" s="77"/>
      <c r="BH383" s="77"/>
      <c r="BI383" s="77"/>
    </row>
    <row r="384" spans="1:61" x14ac:dyDescent="0.25">
      <c r="A384" s="62" t="s">
        <v>350</v>
      </c>
      <c r="B384" s="62" t="s">
        <v>350</v>
      </c>
      <c r="C384" s="63"/>
      <c r="D384" s="64"/>
      <c r="E384" s="65"/>
      <c r="F384" s="66"/>
      <c r="G384" s="63"/>
      <c r="H384" s="67"/>
      <c r="I384" s="68"/>
      <c r="J384" s="68"/>
      <c r="K384" s="32"/>
      <c r="L384" s="75">
        <v>384</v>
      </c>
      <c r="M384" s="75"/>
      <c r="N384" s="70"/>
      <c r="O384" s="77" t="s">
        <v>179</v>
      </c>
      <c r="P384" s="79">
        <v>45180.663275462961</v>
      </c>
      <c r="Q384" s="77" t="s">
        <v>1265</v>
      </c>
      <c r="R384" s="77">
        <v>0</v>
      </c>
      <c r="S384" s="77">
        <v>0</v>
      </c>
      <c r="T384" s="77">
        <v>0</v>
      </c>
      <c r="U384" s="77">
        <v>0</v>
      </c>
      <c r="V384" s="77">
        <v>9</v>
      </c>
      <c r="W384" s="82" t="s">
        <v>5027</v>
      </c>
      <c r="X384" s="80" t="str">
        <f>HYPERLINK("https://brasil.perfil.com/economia/mercado-eleva-para-264-projecao-do-crescimento-da-economia-em-2023.phtml")</f>
        <v>https://brasil.perfil.com/economia/mercado-eleva-para-264-projecao-do-crescimento-da-economia-em-2023.phtml</v>
      </c>
      <c r="Y384" s="77" t="s">
        <v>6498</v>
      </c>
      <c r="Z384" s="77"/>
      <c r="AA384" s="77"/>
      <c r="AB384" s="77"/>
      <c r="AC384" s="82" t="s">
        <v>7750</v>
      </c>
      <c r="AD384" s="77" t="s">
        <v>7791</v>
      </c>
      <c r="AE384" s="80" t="str">
        <f>HYPERLINK("https://twitter.com/perfilcombrasil/status/1701263109153788358")</f>
        <v>https://twitter.com/perfilcombrasil/status/1701263109153788358</v>
      </c>
      <c r="AF384" s="79">
        <v>45180.663275462961</v>
      </c>
      <c r="AG384" s="85">
        <v>45180</v>
      </c>
      <c r="AH384" s="82" t="s">
        <v>8130</v>
      </c>
      <c r="AI384" s="77" t="b">
        <v>0</v>
      </c>
      <c r="AJ384" s="77"/>
      <c r="AK384" s="77"/>
      <c r="AL384" s="77"/>
      <c r="AM384" s="77"/>
      <c r="AN384" s="77"/>
      <c r="AO384" s="77"/>
      <c r="AP384" s="77"/>
      <c r="AQ384" s="77"/>
      <c r="AR384" s="77"/>
      <c r="AS384" s="77"/>
      <c r="AT384" s="77"/>
      <c r="AU384" s="77"/>
      <c r="AV384" s="80" t="str">
        <f>HYPERLINK("https://pbs.twimg.com/profile_images/1373348274288099328/X9OehZDj_normal.jpg")</f>
        <v>https://pbs.twimg.com/profile_images/1373348274288099328/X9OehZDj_normal.jpg</v>
      </c>
      <c r="AW384" s="82" t="s">
        <v>12087</v>
      </c>
      <c r="AX384" s="82" t="s">
        <v>12087</v>
      </c>
      <c r="AY384" s="77"/>
      <c r="AZ384" s="82" t="s">
        <v>15984</v>
      </c>
      <c r="BA384" s="82" t="s">
        <v>15984</v>
      </c>
      <c r="BB384" s="82" t="s">
        <v>15984</v>
      </c>
      <c r="BC384" s="82" t="s">
        <v>12087</v>
      </c>
      <c r="BD384" s="82" t="s">
        <v>16177</v>
      </c>
      <c r="BE384" s="77"/>
      <c r="BF384" s="77"/>
      <c r="BG384" s="77"/>
      <c r="BH384" s="77"/>
      <c r="BI384" s="77"/>
    </row>
    <row r="385" spans="1:61" x14ac:dyDescent="0.25">
      <c r="A385" s="62" t="s">
        <v>351</v>
      </c>
      <c r="B385" s="62" t="s">
        <v>351</v>
      </c>
      <c r="C385" s="63"/>
      <c r="D385" s="64"/>
      <c r="E385" s="65"/>
      <c r="F385" s="66"/>
      <c r="G385" s="63"/>
      <c r="H385" s="67"/>
      <c r="I385" s="68"/>
      <c r="J385" s="68"/>
      <c r="K385" s="32"/>
      <c r="L385" s="75">
        <v>385</v>
      </c>
      <c r="M385" s="75"/>
      <c r="N385" s="70"/>
      <c r="O385" s="77" t="s">
        <v>179</v>
      </c>
      <c r="P385" s="79">
        <v>45193.496608796297</v>
      </c>
      <c r="Q385" s="77" t="s">
        <v>1014</v>
      </c>
      <c r="R385" s="77">
        <v>0</v>
      </c>
      <c r="S385" s="77">
        <v>0</v>
      </c>
      <c r="T385" s="77">
        <v>0</v>
      </c>
      <c r="U385" s="77">
        <v>0</v>
      </c>
      <c r="V385" s="77">
        <v>12</v>
      </c>
      <c r="W385" s="82" t="s">
        <v>4849</v>
      </c>
      <c r="X385" s="77"/>
      <c r="Y385" s="77"/>
      <c r="Z385" s="77"/>
      <c r="AA385" s="77"/>
      <c r="AB385" s="77"/>
      <c r="AC385" s="82" t="s">
        <v>7750</v>
      </c>
      <c r="AD385" s="77" t="s">
        <v>7789</v>
      </c>
      <c r="AE385" s="80" t="str">
        <f>HYPERLINK("https://twitter.com/posistockwizard/status/1705913750455246976")</f>
        <v>https://twitter.com/posistockwizard/status/1705913750455246976</v>
      </c>
      <c r="AF385" s="79">
        <v>45193.496608796297</v>
      </c>
      <c r="AG385" s="85">
        <v>45193</v>
      </c>
      <c r="AH385" s="82" t="s">
        <v>8131</v>
      </c>
      <c r="AI385" s="77"/>
      <c r="AJ385" s="77"/>
      <c r="AK385" s="77"/>
      <c r="AL385" s="77"/>
      <c r="AM385" s="77"/>
      <c r="AN385" s="77"/>
      <c r="AO385" s="77"/>
      <c r="AP385" s="77"/>
      <c r="AQ385" s="77"/>
      <c r="AR385" s="77"/>
      <c r="AS385" s="77"/>
      <c r="AT385" s="77"/>
      <c r="AU385" s="77"/>
      <c r="AV385" s="80" t="str">
        <f>HYPERLINK("https://pbs.twimg.com/profile_images/1699367769412628480/P7a_Q0iM_normal.jpg")</f>
        <v>https://pbs.twimg.com/profile_images/1699367769412628480/P7a_Q0iM_normal.jpg</v>
      </c>
      <c r="AW385" s="82" t="s">
        <v>12088</v>
      </c>
      <c r="AX385" s="82" t="s">
        <v>12088</v>
      </c>
      <c r="AY385" s="77"/>
      <c r="AZ385" s="82" t="s">
        <v>15984</v>
      </c>
      <c r="BA385" s="82" t="s">
        <v>15984</v>
      </c>
      <c r="BB385" s="82" t="s">
        <v>15984</v>
      </c>
      <c r="BC385" s="82" t="s">
        <v>12088</v>
      </c>
      <c r="BD385" s="82" t="s">
        <v>16178</v>
      </c>
      <c r="BE385" s="77"/>
      <c r="BF385" s="77"/>
      <c r="BG385" s="77"/>
      <c r="BH385" s="77"/>
      <c r="BI385" s="77"/>
    </row>
    <row r="386" spans="1:61" x14ac:dyDescent="0.25">
      <c r="A386" s="62" t="s">
        <v>352</v>
      </c>
      <c r="B386" s="62" t="s">
        <v>260</v>
      </c>
      <c r="C386" s="63"/>
      <c r="D386" s="64"/>
      <c r="E386" s="65"/>
      <c r="F386" s="66"/>
      <c r="G386" s="63"/>
      <c r="H386" s="67"/>
      <c r="I386" s="68"/>
      <c r="J386" s="68"/>
      <c r="K386" s="32"/>
      <c r="L386" s="75">
        <v>386</v>
      </c>
      <c r="M386" s="75"/>
      <c r="N386" s="70"/>
      <c r="O386" s="77" t="s">
        <v>897</v>
      </c>
      <c r="P386" s="79">
        <v>45188.688078703701</v>
      </c>
      <c r="Q386" s="77" t="s">
        <v>1266</v>
      </c>
      <c r="R386" s="77">
        <v>2</v>
      </c>
      <c r="S386" s="77">
        <v>0</v>
      </c>
      <c r="T386" s="77">
        <v>0</v>
      </c>
      <c r="U386" s="77">
        <v>0</v>
      </c>
      <c r="V386" s="77"/>
      <c r="W386" s="82" t="s">
        <v>5028</v>
      </c>
      <c r="X386" s="77"/>
      <c r="Y386" s="77"/>
      <c r="Z386" s="77" t="s">
        <v>260</v>
      </c>
      <c r="AA386" s="77"/>
      <c r="AB386" s="77"/>
      <c r="AC386" s="82" t="s">
        <v>7752</v>
      </c>
      <c r="AD386" s="77" t="s">
        <v>7788</v>
      </c>
      <c r="AE386" s="80" t="str">
        <f>HYPERLINK("https://twitter.com/zealberto_rios/status/1704171199855550568")</f>
        <v>https://twitter.com/zealberto_rios/status/1704171199855550568</v>
      </c>
      <c r="AF386" s="79">
        <v>45188.688078703701</v>
      </c>
      <c r="AG386" s="85">
        <v>45188</v>
      </c>
      <c r="AH386" s="82" t="s">
        <v>8132</v>
      </c>
      <c r="AI386" s="77"/>
      <c r="AJ386" s="77"/>
      <c r="AK386" s="77"/>
      <c r="AL386" s="77"/>
      <c r="AM386" s="77"/>
      <c r="AN386" s="77"/>
      <c r="AO386" s="77"/>
      <c r="AP386" s="77"/>
      <c r="AQ386" s="77"/>
      <c r="AR386" s="77"/>
      <c r="AS386" s="77"/>
      <c r="AT386" s="77"/>
      <c r="AU386" s="77"/>
      <c r="AV386" s="80" t="str">
        <f>HYPERLINK("https://pbs.twimg.com/profile_images/1632118556744712192/w-JrvfT6_normal.jpg")</f>
        <v>https://pbs.twimg.com/profile_images/1632118556744712192/w-JrvfT6_normal.jpg</v>
      </c>
      <c r="AW386" s="82" t="s">
        <v>12089</v>
      </c>
      <c r="AX386" s="82" t="s">
        <v>12089</v>
      </c>
      <c r="AY386" s="77"/>
      <c r="AZ386" s="82" t="s">
        <v>15984</v>
      </c>
      <c r="BA386" s="82" t="s">
        <v>15984</v>
      </c>
      <c r="BB386" s="82" t="s">
        <v>12275</v>
      </c>
      <c r="BC386" s="82" t="s">
        <v>12275</v>
      </c>
      <c r="BD386" s="82" t="s">
        <v>16179</v>
      </c>
      <c r="BE386" s="77"/>
      <c r="BF386" s="77"/>
      <c r="BG386" s="77"/>
      <c r="BH386" s="77"/>
      <c r="BI386" s="77"/>
    </row>
    <row r="387" spans="1:61" x14ac:dyDescent="0.25">
      <c r="A387" s="62" t="s">
        <v>353</v>
      </c>
      <c r="B387" s="62" t="s">
        <v>353</v>
      </c>
      <c r="C387" s="63"/>
      <c r="D387" s="64"/>
      <c r="E387" s="65"/>
      <c r="F387" s="66"/>
      <c r="G387" s="63"/>
      <c r="H387" s="67"/>
      <c r="I387" s="68"/>
      <c r="J387" s="68"/>
      <c r="K387" s="32"/>
      <c r="L387" s="75">
        <v>387</v>
      </c>
      <c r="M387" s="75"/>
      <c r="N387" s="70"/>
      <c r="O387" s="77" t="s">
        <v>179</v>
      </c>
      <c r="P387" s="79">
        <v>45185.583344907405</v>
      </c>
      <c r="Q387" s="77" t="s">
        <v>1267</v>
      </c>
      <c r="R387" s="77">
        <v>0</v>
      </c>
      <c r="S387" s="77">
        <v>0</v>
      </c>
      <c r="T387" s="77">
        <v>0</v>
      </c>
      <c r="U387" s="77">
        <v>0</v>
      </c>
      <c r="V387" s="77">
        <v>14</v>
      </c>
      <c r="W387" s="82" t="s">
        <v>5029</v>
      </c>
      <c r="X387" s="80" t="str">
        <f>HYPERLINK("https://correiodeminas.com.br/2023/09/16/o-fim-de-uma-era-analista-preve-colapso-pior-que-1929-nos-mercados-financeiros/")</f>
        <v>https://correiodeminas.com.br/2023/09/16/o-fim-de-uma-era-analista-preve-colapso-pior-que-1929-nos-mercados-financeiros/</v>
      </c>
      <c r="Y387" s="77" t="s">
        <v>6470</v>
      </c>
      <c r="Z387" s="77"/>
      <c r="AA387" s="77" t="s">
        <v>6858</v>
      </c>
      <c r="AB387" s="77" t="s">
        <v>7742</v>
      </c>
      <c r="AC387" s="82" t="s">
        <v>7750</v>
      </c>
      <c r="AD387" s="77" t="s">
        <v>7788</v>
      </c>
      <c r="AE387" s="80" t="str">
        <f>HYPERLINK("https://twitter.com/correiodeminas/status/1703046083189080300")</f>
        <v>https://twitter.com/correiodeminas/status/1703046083189080300</v>
      </c>
      <c r="AF387" s="79">
        <v>45185.583344907405</v>
      </c>
      <c r="AG387" s="85">
        <v>45185</v>
      </c>
      <c r="AH387" s="82" t="s">
        <v>7860</v>
      </c>
      <c r="AI387" s="77" t="b">
        <v>0</v>
      </c>
      <c r="AJ387" s="77"/>
      <c r="AK387" s="77"/>
      <c r="AL387" s="77"/>
      <c r="AM387" s="77"/>
      <c r="AN387" s="77"/>
      <c r="AO387" s="77"/>
      <c r="AP387" s="77"/>
      <c r="AQ387" s="77" t="s">
        <v>10830</v>
      </c>
      <c r="AR387" s="77"/>
      <c r="AS387" s="77"/>
      <c r="AT387" s="77"/>
      <c r="AU387" s="77"/>
      <c r="AV387" s="80" t="str">
        <f>HYPERLINK("https://pbs.twimg.com/media/F6GW-IMW8AAZTsX.jpg")</f>
        <v>https://pbs.twimg.com/media/F6GW-IMW8AAZTsX.jpg</v>
      </c>
      <c r="AW387" s="82" t="s">
        <v>12090</v>
      </c>
      <c r="AX387" s="82" t="s">
        <v>12090</v>
      </c>
      <c r="AY387" s="77"/>
      <c r="AZ387" s="82" t="s">
        <v>15984</v>
      </c>
      <c r="BA387" s="82" t="s">
        <v>15984</v>
      </c>
      <c r="BB387" s="82" t="s">
        <v>15984</v>
      </c>
      <c r="BC387" s="82" t="s">
        <v>12090</v>
      </c>
      <c r="BD387" s="77">
        <v>119024617</v>
      </c>
      <c r="BE387" s="77"/>
      <c r="BF387" s="77"/>
      <c r="BG387" s="77"/>
      <c r="BH387" s="77"/>
      <c r="BI387" s="77"/>
    </row>
    <row r="388" spans="1:61" x14ac:dyDescent="0.25">
      <c r="A388" s="62" t="s">
        <v>353</v>
      </c>
      <c r="B388" s="62" t="s">
        <v>353</v>
      </c>
      <c r="C388" s="63"/>
      <c r="D388" s="64"/>
      <c r="E388" s="65"/>
      <c r="F388" s="66"/>
      <c r="G388" s="63"/>
      <c r="H388" s="67"/>
      <c r="I388" s="68"/>
      <c r="J388" s="68"/>
      <c r="K388" s="32"/>
      <c r="L388" s="75">
        <v>388</v>
      </c>
      <c r="M388" s="75"/>
      <c r="N388" s="70"/>
      <c r="O388" s="77" t="s">
        <v>179</v>
      </c>
      <c r="P388" s="79">
        <v>45185.000011574077</v>
      </c>
      <c r="Q388" s="77" t="s">
        <v>1268</v>
      </c>
      <c r="R388" s="77">
        <v>0</v>
      </c>
      <c r="S388" s="77">
        <v>0</v>
      </c>
      <c r="T388" s="77">
        <v>0</v>
      </c>
      <c r="U388" s="77">
        <v>0</v>
      </c>
      <c r="V388" s="77">
        <v>17</v>
      </c>
      <c r="W388" s="82" t="s">
        <v>5030</v>
      </c>
      <c r="X388" s="80" t="str">
        <f>HYPERLINK("https://correiodeminas.com.br/2023/09/15/a-empresa-brasileira-que-mais-gera-bilionarios-saiba-qual-e/")</f>
        <v>https://correiodeminas.com.br/2023/09/15/a-empresa-brasileira-que-mais-gera-bilionarios-saiba-qual-e/</v>
      </c>
      <c r="Y388" s="77" t="s">
        <v>6470</v>
      </c>
      <c r="Z388" s="77"/>
      <c r="AA388" s="77" t="s">
        <v>6859</v>
      </c>
      <c r="AB388" s="77" t="s">
        <v>7742</v>
      </c>
      <c r="AC388" s="82" t="s">
        <v>7750</v>
      </c>
      <c r="AD388" s="77" t="s">
        <v>7788</v>
      </c>
      <c r="AE388" s="80" t="str">
        <f>HYPERLINK("https://twitter.com/correiodeminas/status/1702834689680269384")</f>
        <v>https://twitter.com/correiodeminas/status/1702834689680269384</v>
      </c>
      <c r="AF388" s="79">
        <v>45185.000011574077</v>
      </c>
      <c r="AG388" s="85">
        <v>45185</v>
      </c>
      <c r="AH388" s="82" t="s">
        <v>7883</v>
      </c>
      <c r="AI388" s="77" t="b">
        <v>0</v>
      </c>
      <c r="AJ388" s="77"/>
      <c r="AK388" s="77"/>
      <c r="AL388" s="77"/>
      <c r="AM388" s="77"/>
      <c r="AN388" s="77"/>
      <c r="AO388" s="77"/>
      <c r="AP388" s="77"/>
      <c r="AQ388" s="77" t="s">
        <v>10831</v>
      </c>
      <c r="AR388" s="77"/>
      <c r="AS388" s="77"/>
      <c r="AT388" s="77"/>
      <c r="AU388" s="77"/>
      <c r="AV388" s="80" t="str">
        <f>HYPERLINK("https://pbs.twimg.com/media/F6FmsjSXQAA8CsP.jpg")</f>
        <v>https://pbs.twimg.com/media/F6FmsjSXQAA8CsP.jpg</v>
      </c>
      <c r="AW388" s="82" t="s">
        <v>12091</v>
      </c>
      <c r="AX388" s="82" t="s">
        <v>12091</v>
      </c>
      <c r="AY388" s="77"/>
      <c r="AZ388" s="82" t="s">
        <v>15984</v>
      </c>
      <c r="BA388" s="82" t="s">
        <v>15984</v>
      </c>
      <c r="BB388" s="82" t="s">
        <v>15984</v>
      </c>
      <c r="BC388" s="82" t="s">
        <v>12091</v>
      </c>
      <c r="BD388" s="77">
        <v>119024617</v>
      </c>
      <c r="BE388" s="77"/>
      <c r="BF388" s="77"/>
      <c r="BG388" s="77"/>
      <c r="BH388" s="77"/>
      <c r="BI388" s="77"/>
    </row>
    <row r="389" spans="1:61" x14ac:dyDescent="0.25">
      <c r="A389" s="62" t="s">
        <v>354</v>
      </c>
      <c r="B389" s="62" t="s">
        <v>502</v>
      </c>
      <c r="C389" s="63"/>
      <c r="D389" s="64"/>
      <c r="E389" s="65"/>
      <c r="F389" s="66"/>
      <c r="G389" s="63"/>
      <c r="H389" s="67"/>
      <c r="I389" s="68"/>
      <c r="J389" s="68"/>
      <c r="K389" s="32"/>
      <c r="L389" s="75">
        <v>389</v>
      </c>
      <c r="M389" s="75"/>
      <c r="N389" s="70"/>
      <c r="O389" s="77" t="s">
        <v>897</v>
      </c>
      <c r="P389" s="79">
        <v>45189.881122685183</v>
      </c>
      <c r="Q389" s="77" t="s">
        <v>1118</v>
      </c>
      <c r="R389" s="77">
        <v>12</v>
      </c>
      <c r="S389" s="77">
        <v>0</v>
      </c>
      <c r="T389" s="77">
        <v>0</v>
      </c>
      <c r="U389" s="77">
        <v>0</v>
      </c>
      <c r="V389" s="77"/>
      <c r="W389" s="82" t="s">
        <v>4934</v>
      </c>
      <c r="X389" s="77"/>
      <c r="Y389" s="77"/>
      <c r="Z389" s="77" t="s">
        <v>502</v>
      </c>
      <c r="AA389" s="77"/>
      <c r="AB389" s="77"/>
      <c r="AC389" s="82" t="s">
        <v>7752</v>
      </c>
      <c r="AD389" s="77" t="s">
        <v>7790</v>
      </c>
      <c r="AE389" s="80" t="str">
        <f>HYPERLINK("https://twitter.com/amalia38886043/status/1704603543552799143")</f>
        <v>https://twitter.com/amalia38886043/status/1704603543552799143</v>
      </c>
      <c r="AF389" s="79">
        <v>45189.881122685183</v>
      </c>
      <c r="AG389" s="85">
        <v>45189</v>
      </c>
      <c r="AH389" s="82" t="s">
        <v>8133</v>
      </c>
      <c r="AI389" s="77"/>
      <c r="AJ389" s="77"/>
      <c r="AK389" s="77"/>
      <c r="AL389" s="77"/>
      <c r="AM389" s="77"/>
      <c r="AN389" s="77"/>
      <c r="AO389" s="77"/>
      <c r="AP389" s="77"/>
      <c r="AQ389" s="77"/>
      <c r="AR389" s="77"/>
      <c r="AS389" s="77"/>
      <c r="AT389" s="77"/>
      <c r="AU389" s="77"/>
      <c r="AV389" s="80" t="str">
        <f>HYPERLINK("https://pbs.twimg.com/profile_images/1061763664431271936/INskQggu_normal.jpg")</f>
        <v>https://pbs.twimg.com/profile_images/1061763664431271936/INskQggu_normal.jpg</v>
      </c>
      <c r="AW389" s="82" t="s">
        <v>12092</v>
      </c>
      <c r="AX389" s="82" t="s">
        <v>12092</v>
      </c>
      <c r="AY389" s="77"/>
      <c r="AZ389" s="82" t="s">
        <v>15984</v>
      </c>
      <c r="BA389" s="82" t="s">
        <v>15984</v>
      </c>
      <c r="BB389" s="82" t="s">
        <v>13287</v>
      </c>
      <c r="BC389" s="82" t="s">
        <v>13287</v>
      </c>
      <c r="BD389" s="82" t="s">
        <v>16180</v>
      </c>
      <c r="BE389" s="77"/>
      <c r="BF389" s="77"/>
      <c r="BG389" s="77"/>
      <c r="BH389" s="77"/>
      <c r="BI389" s="77"/>
    </row>
    <row r="390" spans="1:61" x14ac:dyDescent="0.25">
      <c r="A390" s="62" t="s">
        <v>355</v>
      </c>
      <c r="B390" s="62" t="s">
        <v>355</v>
      </c>
      <c r="C390" s="63"/>
      <c r="D390" s="64"/>
      <c r="E390" s="65"/>
      <c r="F390" s="66"/>
      <c r="G390" s="63"/>
      <c r="H390" s="67"/>
      <c r="I390" s="68"/>
      <c r="J390" s="68"/>
      <c r="K390" s="32"/>
      <c r="L390" s="75">
        <v>390</v>
      </c>
      <c r="M390" s="75"/>
      <c r="N390" s="70"/>
      <c r="O390" s="77" t="s">
        <v>179</v>
      </c>
      <c r="P390" s="79">
        <v>45180.984074074076</v>
      </c>
      <c r="Q390" s="77" t="s">
        <v>1269</v>
      </c>
      <c r="R390" s="77">
        <v>0</v>
      </c>
      <c r="S390" s="77">
        <v>0</v>
      </c>
      <c r="T390" s="77">
        <v>0</v>
      </c>
      <c r="U390" s="77">
        <v>0</v>
      </c>
      <c r="V390" s="77">
        <v>118</v>
      </c>
      <c r="W390" s="82" t="s">
        <v>5031</v>
      </c>
      <c r="X390" s="77"/>
      <c r="Y390" s="77"/>
      <c r="Z390" s="77"/>
      <c r="AA390" s="77" t="s">
        <v>6860</v>
      </c>
      <c r="AB390" s="77" t="s">
        <v>7742</v>
      </c>
      <c r="AC390" s="82" t="s">
        <v>7750</v>
      </c>
      <c r="AD390" s="77" t="s">
        <v>7788</v>
      </c>
      <c r="AE390" s="80" t="str">
        <f>HYPERLINK("https://twitter.com/bedrock079tm/status/1701379360563855820")</f>
        <v>https://twitter.com/bedrock079tm/status/1701379360563855820</v>
      </c>
      <c r="AF390" s="79">
        <v>45180.984074074076</v>
      </c>
      <c r="AG390" s="85">
        <v>45180</v>
      </c>
      <c r="AH390" s="82" t="s">
        <v>8134</v>
      </c>
      <c r="AI390" s="77" t="b">
        <v>0</v>
      </c>
      <c r="AJ390" s="77"/>
      <c r="AK390" s="77"/>
      <c r="AL390" s="77"/>
      <c r="AM390" s="77"/>
      <c r="AN390" s="77"/>
      <c r="AO390" s="77"/>
      <c r="AP390" s="77"/>
      <c r="AQ390" s="77" t="s">
        <v>10832</v>
      </c>
      <c r="AR390" s="77"/>
      <c r="AS390" s="77"/>
      <c r="AT390" s="77"/>
      <c r="AU390" s="77"/>
      <c r="AV390" s="80" t="str">
        <f>HYPERLINK("https://pbs.twimg.com/media/F5yC-QyWAAArxCv.jpg")</f>
        <v>https://pbs.twimg.com/media/F5yC-QyWAAArxCv.jpg</v>
      </c>
      <c r="AW390" s="82" t="s">
        <v>12093</v>
      </c>
      <c r="AX390" s="82" t="s">
        <v>12093</v>
      </c>
      <c r="AY390" s="77"/>
      <c r="AZ390" s="82" t="s">
        <v>15984</v>
      </c>
      <c r="BA390" s="82" t="s">
        <v>15984</v>
      </c>
      <c r="BB390" s="82" t="s">
        <v>15984</v>
      </c>
      <c r="BC390" s="82" t="s">
        <v>12093</v>
      </c>
      <c r="BD390" s="82" t="s">
        <v>16181</v>
      </c>
      <c r="BE390" s="77"/>
      <c r="BF390" s="77"/>
      <c r="BG390" s="77"/>
      <c r="BH390" s="77"/>
      <c r="BI390" s="77"/>
    </row>
    <row r="391" spans="1:61" x14ac:dyDescent="0.25">
      <c r="A391" s="62" t="s">
        <v>356</v>
      </c>
      <c r="B391" s="62" t="s">
        <v>356</v>
      </c>
      <c r="C391" s="63"/>
      <c r="D391" s="64"/>
      <c r="E391" s="65"/>
      <c r="F391" s="66"/>
      <c r="G391" s="63"/>
      <c r="H391" s="67"/>
      <c r="I391" s="68"/>
      <c r="J391" s="68"/>
      <c r="K391" s="32"/>
      <c r="L391" s="75">
        <v>391</v>
      </c>
      <c r="M391" s="75"/>
      <c r="N391" s="70"/>
      <c r="O391" s="77" t="s">
        <v>179</v>
      </c>
      <c r="P391" s="79">
        <v>45152.647673611114</v>
      </c>
      <c r="Q391" s="77" t="s">
        <v>1270</v>
      </c>
      <c r="R391" s="77">
        <v>0</v>
      </c>
      <c r="S391" s="77">
        <v>0</v>
      </c>
      <c r="T391" s="77">
        <v>0</v>
      </c>
      <c r="U391" s="77">
        <v>0</v>
      </c>
      <c r="V391" s="77">
        <v>10</v>
      </c>
      <c r="W391" s="82" t="s">
        <v>5032</v>
      </c>
      <c r="X391" s="80" t="str">
        <f>HYPERLINK("https://ovies.com.br/inflacao/")</f>
        <v>https://ovies.com.br/inflacao/</v>
      </c>
      <c r="Y391" s="77" t="s">
        <v>6470</v>
      </c>
      <c r="Z391" s="77"/>
      <c r="AA391" s="77"/>
      <c r="AB391" s="77"/>
      <c r="AC391" s="82" t="s">
        <v>7750</v>
      </c>
      <c r="AD391" s="77" t="s">
        <v>7788</v>
      </c>
      <c r="AE391" s="80" t="str">
        <f>HYPERLINK("https://twitter.com/viesdanoticia/status/1691110593447735297")</f>
        <v>https://twitter.com/viesdanoticia/status/1691110593447735297</v>
      </c>
      <c r="AF391" s="79">
        <v>45152.647673611114</v>
      </c>
      <c r="AG391" s="85">
        <v>45152</v>
      </c>
      <c r="AH391" s="82" t="s">
        <v>8135</v>
      </c>
      <c r="AI391" s="77" t="b">
        <v>0</v>
      </c>
      <c r="AJ391" s="77"/>
      <c r="AK391" s="77"/>
      <c r="AL391" s="77"/>
      <c r="AM391" s="77"/>
      <c r="AN391" s="77"/>
      <c r="AO391" s="77"/>
      <c r="AP391" s="77"/>
      <c r="AQ391" s="77"/>
      <c r="AR391" s="77"/>
      <c r="AS391" s="77"/>
      <c r="AT391" s="77"/>
      <c r="AU391" s="77"/>
      <c r="AV391" s="80" t="str">
        <f>HYPERLINK("https://pbs.twimg.com/profile_images/1631749166748631050/Rgr4ToBl_normal.jpg")</f>
        <v>https://pbs.twimg.com/profile_images/1631749166748631050/Rgr4ToBl_normal.jpg</v>
      </c>
      <c r="AW391" s="82" t="s">
        <v>12094</v>
      </c>
      <c r="AX391" s="82" t="s">
        <v>12094</v>
      </c>
      <c r="AY391" s="77"/>
      <c r="AZ391" s="82" t="s">
        <v>15984</v>
      </c>
      <c r="BA391" s="82" t="s">
        <v>15984</v>
      </c>
      <c r="BB391" s="82" t="s">
        <v>15984</v>
      </c>
      <c r="BC391" s="82" t="s">
        <v>12094</v>
      </c>
      <c r="BD391" s="82" t="s">
        <v>16182</v>
      </c>
      <c r="BE391" s="77"/>
      <c r="BF391" s="77"/>
      <c r="BG391" s="77"/>
      <c r="BH391" s="77"/>
      <c r="BI391" s="77"/>
    </row>
    <row r="392" spans="1:61" x14ac:dyDescent="0.25">
      <c r="A392" s="62" t="s">
        <v>357</v>
      </c>
      <c r="B392" s="62" t="s">
        <v>357</v>
      </c>
      <c r="C392" s="63"/>
      <c r="D392" s="64"/>
      <c r="E392" s="65"/>
      <c r="F392" s="66"/>
      <c r="G392" s="63"/>
      <c r="H392" s="67"/>
      <c r="I392" s="68"/>
      <c r="J392" s="68"/>
      <c r="K392" s="32"/>
      <c r="L392" s="75">
        <v>392</v>
      </c>
      <c r="M392" s="75"/>
      <c r="N392" s="70"/>
      <c r="O392" s="77" t="s">
        <v>179</v>
      </c>
      <c r="P392" s="79">
        <v>45135.84652777778</v>
      </c>
      <c r="Q392" s="77" t="s">
        <v>1271</v>
      </c>
      <c r="R392" s="77">
        <v>0</v>
      </c>
      <c r="S392" s="77">
        <v>0</v>
      </c>
      <c r="T392" s="77">
        <v>0</v>
      </c>
      <c r="U392" s="77">
        <v>0</v>
      </c>
      <c r="V392" s="77">
        <v>7</v>
      </c>
      <c r="W392" s="82" t="s">
        <v>5033</v>
      </c>
      <c r="X392" s="77"/>
      <c r="Y392" s="77"/>
      <c r="Z392" s="77"/>
      <c r="AA392" s="77" t="s">
        <v>6861</v>
      </c>
      <c r="AB392" s="77" t="s">
        <v>7742</v>
      </c>
      <c r="AC392" s="82" t="s">
        <v>7750</v>
      </c>
      <c r="AD392" s="77" t="s">
        <v>7788</v>
      </c>
      <c r="AE392" s="80" t="str">
        <f>HYPERLINK("https://twitter.com/earn2trade_br/status/1685022060945276928")</f>
        <v>https://twitter.com/earn2trade_br/status/1685022060945276928</v>
      </c>
      <c r="AF392" s="79">
        <v>45135.84652777778</v>
      </c>
      <c r="AG392" s="85">
        <v>45135</v>
      </c>
      <c r="AH392" s="82" t="s">
        <v>8136</v>
      </c>
      <c r="AI392" s="77" t="b">
        <v>0</v>
      </c>
      <c r="AJ392" s="77"/>
      <c r="AK392" s="77"/>
      <c r="AL392" s="77"/>
      <c r="AM392" s="77"/>
      <c r="AN392" s="77"/>
      <c r="AO392" s="77"/>
      <c r="AP392" s="77"/>
      <c r="AQ392" s="77" t="s">
        <v>10833</v>
      </c>
      <c r="AR392" s="77"/>
      <c r="AS392" s="77"/>
      <c r="AT392" s="77"/>
      <c r="AU392" s="77"/>
      <c r="AV392" s="80" t="str">
        <f>HYPERLINK("https://pbs.twimg.com/media/F2H48m3WwAA65-w.jpg")</f>
        <v>https://pbs.twimg.com/media/F2H48m3WwAA65-w.jpg</v>
      </c>
      <c r="AW392" s="82" t="s">
        <v>12095</v>
      </c>
      <c r="AX392" s="82" t="s">
        <v>12095</v>
      </c>
      <c r="AY392" s="77"/>
      <c r="AZ392" s="82" t="s">
        <v>15984</v>
      </c>
      <c r="BA392" s="82" t="s">
        <v>15984</v>
      </c>
      <c r="BB392" s="82" t="s">
        <v>15984</v>
      </c>
      <c r="BC392" s="82" t="s">
        <v>12095</v>
      </c>
      <c r="BD392" s="82" t="s">
        <v>16183</v>
      </c>
      <c r="BE392" s="77"/>
      <c r="BF392" s="77"/>
      <c r="BG392" s="77"/>
      <c r="BH392" s="77"/>
      <c r="BI392" s="77"/>
    </row>
    <row r="393" spans="1:61" x14ac:dyDescent="0.25">
      <c r="A393" s="62" t="s">
        <v>357</v>
      </c>
      <c r="B393" s="62" t="s">
        <v>357</v>
      </c>
      <c r="C393" s="63"/>
      <c r="D393" s="64"/>
      <c r="E393" s="65"/>
      <c r="F393" s="66"/>
      <c r="G393" s="63"/>
      <c r="H393" s="67"/>
      <c r="I393" s="68"/>
      <c r="J393" s="68"/>
      <c r="K393" s="32"/>
      <c r="L393" s="75">
        <v>393</v>
      </c>
      <c r="M393" s="75"/>
      <c r="N393" s="70"/>
      <c r="O393" s="77" t="s">
        <v>179</v>
      </c>
      <c r="P393" s="79">
        <v>45117.84097222222</v>
      </c>
      <c r="Q393" s="77" t="s">
        <v>1272</v>
      </c>
      <c r="R393" s="77">
        <v>0</v>
      </c>
      <c r="S393" s="77">
        <v>0</v>
      </c>
      <c r="T393" s="77">
        <v>0</v>
      </c>
      <c r="U393" s="77">
        <v>0</v>
      </c>
      <c r="V393" s="77">
        <v>10</v>
      </c>
      <c r="W393" s="82" t="s">
        <v>5033</v>
      </c>
      <c r="X393" s="77"/>
      <c r="Y393" s="77"/>
      <c r="Z393" s="77"/>
      <c r="AA393" s="77" t="s">
        <v>6862</v>
      </c>
      <c r="AB393" s="77" t="s">
        <v>7742</v>
      </c>
      <c r="AC393" s="82" t="s">
        <v>7750</v>
      </c>
      <c r="AD393" s="77" t="s">
        <v>7788</v>
      </c>
      <c r="AE393" s="80" t="str">
        <f>HYPERLINK("https://twitter.com/earn2trade_br/status/1678497066182660096")</f>
        <v>https://twitter.com/earn2trade_br/status/1678497066182660096</v>
      </c>
      <c r="AF393" s="79">
        <v>45117.84097222222</v>
      </c>
      <c r="AG393" s="85">
        <v>45117</v>
      </c>
      <c r="AH393" s="82" t="s">
        <v>8137</v>
      </c>
      <c r="AI393" s="77" t="b">
        <v>0</v>
      </c>
      <c r="AJ393" s="77"/>
      <c r="AK393" s="77"/>
      <c r="AL393" s="77"/>
      <c r="AM393" s="77"/>
      <c r="AN393" s="77"/>
      <c r="AO393" s="77"/>
      <c r="AP393" s="77"/>
      <c r="AQ393" s="77" t="s">
        <v>10834</v>
      </c>
      <c r="AR393" s="77"/>
      <c r="AS393" s="77"/>
      <c r="AT393" s="77"/>
      <c r="AU393" s="77"/>
      <c r="AV393" s="80" t="str">
        <f>HYPERLINK("https://pbs.twimg.com/media/F0rKdOmXsAItfb8.jpg")</f>
        <v>https://pbs.twimg.com/media/F0rKdOmXsAItfb8.jpg</v>
      </c>
      <c r="AW393" s="82" t="s">
        <v>12096</v>
      </c>
      <c r="AX393" s="82" t="s">
        <v>12096</v>
      </c>
      <c r="AY393" s="77"/>
      <c r="AZ393" s="82" t="s">
        <v>15984</v>
      </c>
      <c r="BA393" s="82" t="s">
        <v>15984</v>
      </c>
      <c r="BB393" s="82" t="s">
        <v>15984</v>
      </c>
      <c r="BC393" s="82" t="s">
        <v>12096</v>
      </c>
      <c r="BD393" s="82" t="s">
        <v>16183</v>
      </c>
      <c r="BE393" s="77"/>
      <c r="BF393" s="77"/>
      <c r="BG393" s="77"/>
      <c r="BH393" s="77"/>
      <c r="BI393" s="77"/>
    </row>
    <row r="394" spans="1:61" x14ac:dyDescent="0.25">
      <c r="A394" s="62" t="s">
        <v>357</v>
      </c>
      <c r="B394" s="62" t="s">
        <v>357</v>
      </c>
      <c r="C394" s="63"/>
      <c r="D394" s="64"/>
      <c r="E394" s="65"/>
      <c r="F394" s="66"/>
      <c r="G394" s="63"/>
      <c r="H394" s="67"/>
      <c r="I394" s="68"/>
      <c r="J394" s="68"/>
      <c r="K394" s="32"/>
      <c r="L394" s="75">
        <v>394</v>
      </c>
      <c r="M394" s="75"/>
      <c r="N394" s="70"/>
      <c r="O394" s="77" t="s">
        <v>179</v>
      </c>
      <c r="P394" s="79">
        <v>45140.052106481482</v>
      </c>
      <c r="Q394" s="77" t="s">
        <v>1273</v>
      </c>
      <c r="R394" s="77">
        <v>0</v>
      </c>
      <c r="S394" s="77">
        <v>0</v>
      </c>
      <c r="T394" s="77">
        <v>0</v>
      </c>
      <c r="U394" s="77">
        <v>0</v>
      </c>
      <c r="V394" s="77">
        <v>6</v>
      </c>
      <c r="W394" s="82" t="s">
        <v>5033</v>
      </c>
      <c r="X394" s="77"/>
      <c r="Y394" s="77"/>
      <c r="Z394" s="77"/>
      <c r="AA394" s="77" t="s">
        <v>6863</v>
      </c>
      <c r="AB394" s="77" t="s">
        <v>7742</v>
      </c>
      <c r="AC394" s="82" t="s">
        <v>7750</v>
      </c>
      <c r="AD394" s="77" t="s">
        <v>7788</v>
      </c>
      <c r="AE394" s="80" t="str">
        <f>HYPERLINK("https://twitter.com/earn2trade_br/status/1686546114869145600")</f>
        <v>https://twitter.com/earn2trade_br/status/1686546114869145600</v>
      </c>
      <c r="AF394" s="79">
        <v>45140.052106481482</v>
      </c>
      <c r="AG394" s="85">
        <v>45140</v>
      </c>
      <c r="AH394" s="82" t="s">
        <v>8138</v>
      </c>
      <c r="AI394" s="77" t="b">
        <v>0</v>
      </c>
      <c r="AJ394" s="77"/>
      <c r="AK394" s="77"/>
      <c r="AL394" s="77"/>
      <c r="AM394" s="77"/>
      <c r="AN394" s="77"/>
      <c r="AO394" s="77"/>
      <c r="AP394" s="77"/>
      <c r="AQ394" s="77" t="s">
        <v>10835</v>
      </c>
      <c r="AR394" s="77"/>
      <c r="AS394" s="77"/>
      <c r="AT394" s="77"/>
      <c r="AU394" s="77"/>
      <c r="AV394" s="80" t="str">
        <f>HYPERLINK("https://pbs.twimg.com/media/F2fQvqlXgAE77xj.jpg")</f>
        <v>https://pbs.twimg.com/media/F2fQvqlXgAE77xj.jpg</v>
      </c>
      <c r="AW394" s="82" t="s">
        <v>12097</v>
      </c>
      <c r="AX394" s="82" t="s">
        <v>12097</v>
      </c>
      <c r="AY394" s="77"/>
      <c r="AZ394" s="82" t="s">
        <v>15984</v>
      </c>
      <c r="BA394" s="82" t="s">
        <v>15984</v>
      </c>
      <c r="BB394" s="82" t="s">
        <v>15984</v>
      </c>
      <c r="BC394" s="82" t="s">
        <v>12097</v>
      </c>
      <c r="BD394" s="82" t="s">
        <v>16183</v>
      </c>
      <c r="BE394" s="77"/>
      <c r="BF394" s="77"/>
      <c r="BG394" s="77"/>
      <c r="BH394" s="77"/>
      <c r="BI394" s="77"/>
    </row>
    <row r="395" spans="1:61" x14ac:dyDescent="0.25">
      <c r="A395" s="62" t="s">
        <v>357</v>
      </c>
      <c r="B395" s="62" t="s">
        <v>357</v>
      </c>
      <c r="C395" s="63"/>
      <c r="D395" s="64"/>
      <c r="E395" s="65"/>
      <c r="F395" s="66"/>
      <c r="G395" s="63"/>
      <c r="H395" s="67"/>
      <c r="I395" s="68"/>
      <c r="J395" s="68"/>
      <c r="K395" s="32"/>
      <c r="L395" s="75">
        <v>395</v>
      </c>
      <c r="M395" s="75"/>
      <c r="N395" s="70"/>
      <c r="O395" s="77" t="s">
        <v>179</v>
      </c>
      <c r="P395" s="79">
        <v>45120.866666666669</v>
      </c>
      <c r="Q395" s="77" t="s">
        <v>1274</v>
      </c>
      <c r="R395" s="77">
        <v>0</v>
      </c>
      <c r="S395" s="77">
        <v>0</v>
      </c>
      <c r="T395" s="77">
        <v>0</v>
      </c>
      <c r="U395" s="77">
        <v>0</v>
      </c>
      <c r="V395" s="77">
        <v>11</v>
      </c>
      <c r="W395" s="82" t="s">
        <v>5033</v>
      </c>
      <c r="X395" s="80" t="str">
        <f>HYPERLINK("https://e2t.to/43lYE6n")</f>
        <v>https://e2t.to/43lYE6n</v>
      </c>
      <c r="Y395" s="77" t="s">
        <v>6499</v>
      </c>
      <c r="Z395" s="77"/>
      <c r="AA395" s="77" t="s">
        <v>6864</v>
      </c>
      <c r="AB395" s="77" t="s">
        <v>7742</v>
      </c>
      <c r="AC395" s="82" t="s">
        <v>7750</v>
      </c>
      <c r="AD395" s="77" t="s">
        <v>7788</v>
      </c>
      <c r="AE395" s="80" t="str">
        <f>HYPERLINK("https://twitter.com/earn2trade_br/status/1679593541054480385")</f>
        <v>https://twitter.com/earn2trade_br/status/1679593541054480385</v>
      </c>
      <c r="AF395" s="79">
        <v>45120.866666666669</v>
      </c>
      <c r="AG395" s="85">
        <v>45120</v>
      </c>
      <c r="AH395" s="82" t="s">
        <v>8139</v>
      </c>
      <c r="AI395" s="77" t="b">
        <v>0</v>
      </c>
      <c r="AJ395" s="77"/>
      <c r="AK395" s="77"/>
      <c r="AL395" s="77"/>
      <c r="AM395" s="77"/>
      <c r="AN395" s="77"/>
      <c r="AO395" s="77"/>
      <c r="AP395" s="77"/>
      <c r="AQ395" s="77" t="s">
        <v>10836</v>
      </c>
      <c r="AR395" s="77"/>
      <c r="AS395" s="77"/>
      <c r="AT395" s="77"/>
      <c r="AU395" s="77"/>
      <c r="AV395" s="80" t="str">
        <f>HYPERLINK("https://pbs.twimg.com/media/F03GSX9X0AIhcd8.jpg")</f>
        <v>https://pbs.twimg.com/media/F03GSX9X0AIhcd8.jpg</v>
      </c>
      <c r="AW395" s="82" t="s">
        <v>12098</v>
      </c>
      <c r="AX395" s="82" t="s">
        <v>12098</v>
      </c>
      <c r="AY395" s="77"/>
      <c r="AZ395" s="82" t="s">
        <v>15984</v>
      </c>
      <c r="BA395" s="82" t="s">
        <v>15984</v>
      </c>
      <c r="BB395" s="82" t="s">
        <v>15984</v>
      </c>
      <c r="BC395" s="82" t="s">
        <v>12098</v>
      </c>
      <c r="BD395" s="82" t="s">
        <v>16183</v>
      </c>
      <c r="BE395" s="77"/>
      <c r="BF395" s="77"/>
      <c r="BG395" s="77"/>
      <c r="BH395" s="77"/>
      <c r="BI395" s="77"/>
    </row>
    <row r="396" spans="1:61" x14ac:dyDescent="0.25">
      <c r="A396" s="62" t="s">
        <v>357</v>
      </c>
      <c r="B396" s="62" t="s">
        <v>357</v>
      </c>
      <c r="C396" s="63"/>
      <c r="D396" s="64"/>
      <c r="E396" s="65"/>
      <c r="F396" s="66"/>
      <c r="G396" s="63"/>
      <c r="H396" s="67"/>
      <c r="I396" s="68"/>
      <c r="J396" s="68"/>
      <c r="K396" s="32"/>
      <c r="L396" s="75">
        <v>396</v>
      </c>
      <c r="M396" s="75"/>
      <c r="N396" s="70"/>
      <c r="O396" s="77" t="s">
        <v>179</v>
      </c>
      <c r="P396" s="79">
        <v>45147.868750000001</v>
      </c>
      <c r="Q396" s="77" t="s">
        <v>1275</v>
      </c>
      <c r="R396" s="77">
        <v>0</v>
      </c>
      <c r="S396" s="77">
        <v>0</v>
      </c>
      <c r="T396" s="77">
        <v>1</v>
      </c>
      <c r="U396" s="77">
        <v>0</v>
      </c>
      <c r="V396" s="77">
        <v>6</v>
      </c>
      <c r="W396" s="82" t="s">
        <v>5033</v>
      </c>
      <c r="X396" s="77"/>
      <c r="Y396" s="77"/>
      <c r="Z396" s="77"/>
      <c r="AA396" s="77" t="s">
        <v>6865</v>
      </c>
      <c r="AB396" s="77" t="s">
        <v>7742</v>
      </c>
      <c r="AC396" s="82" t="s">
        <v>7750</v>
      </c>
      <c r="AD396" s="77" t="s">
        <v>7788</v>
      </c>
      <c r="AE396" s="80" t="str">
        <f>HYPERLINK("https://twitter.com/earn2trade_br/status/1689378768572579845")</f>
        <v>https://twitter.com/earn2trade_br/status/1689378768572579845</v>
      </c>
      <c r="AF396" s="79">
        <v>45147.868750000001</v>
      </c>
      <c r="AG396" s="85">
        <v>45147</v>
      </c>
      <c r="AH396" s="82" t="s">
        <v>8140</v>
      </c>
      <c r="AI396" s="77" t="b">
        <v>0</v>
      </c>
      <c r="AJ396" s="77"/>
      <c r="AK396" s="77"/>
      <c r="AL396" s="77"/>
      <c r="AM396" s="77"/>
      <c r="AN396" s="77"/>
      <c r="AO396" s="77"/>
      <c r="AP396" s="77"/>
      <c r="AQ396" s="77" t="s">
        <v>10837</v>
      </c>
      <c r="AR396" s="77"/>
      <c r="AS396" s="77"/>
      <c r="AT396" s="77"/>
      <c r="AU396" s="77"/>
      <c r="AV396" s="80" t="str">
        <f>HYPERLINK("https://pbs.twimg.com/media/F3FXxEnXwAAe8P_.jpg")</f>
        <v>https://pbs.twimg.com/media/F3FXxEnXwAAe8P_.jpg</v>
      </c>
      <c r="AW396" s="82" t="s">
        <v>12099</v>
      </c>
      <c r="AX396" s="82" t="s">
        <v>12099</v>
      </c>
      <c r="AY396" s="77"/>
      <c r="AZ396" s="82" t="s">
        <v>15984</v>
      </c>
      <c r="BA396" s="82" t="s">
        <v>15984</v>
      </c>
      <c r="BB396" s="82" t="s">
        <v>15984</v>
      </c>
      <c r="BC396" s="82" t="s">
        <v>12099</v>
      </c>
      <c r="BD396" s="82" t="s">
        <v>16183</v>
      </c>
      <c r="BE396" s="77"/>
      <c r="BF396" s="77"/>
      <c r="BG396" s="77"/>
      <c r="BH396" s="77"/>
      <c r="BI396" s="77"/>
    </row>
    <row r="397" spans="1:61" x14ac:dyDescent="0.25">
      <c r="A397" s="62" t="s">
        <v>357</v>
      </c>
      <c r="B397" s="62" t="s">
        <v>357</v>
      </c>
      <c r="C397" s="63"/>
      <c r="D397" s="64"/>
      <c r="E397" s="65"/>
      <c r="F397" s="66"/>
      <c r="G397" s="63"/>
      <c r="H397" s="67"/>
      <c r="I397" s="68"/>
      <c r="J397" s="68"/>
      <c r="K397" s="32"/>
      <c r="L397" s="75">
        <v>397</v>
      </c>
      <c r="M397" s="75"/>
      <c r="N397" s="70"/>
      <c r="O397" s="77" t="s">
        <v>179</v>
      </c>
      <c r="P397" s="79">
        <v>45137.847916666666</v>
      </c>
      <c r="Q397" s="77" t="s">
        <v>1276</v>
      </c>
      <c r="R397" s="77">
        <v>0</v>
      </c>
      <c r="S397" s="77">
        <v>0</v>
      </c>
      <c r="T397" s="77">
        <v>0</v>
      </c>
      <c r="U397" s="77">
        <v>0</v>
      </c>
      <c r="V397" s="77">
        <v>8</v>
      </c>
      <c r="W397" s="82" t="s">
        <v>5033</v>
      </c>
      <c r="X397" s="77"/>
      <c r="Y397" s="77"/>
      <c r="Z397" s="77"/>
      <c r="AA397" s="77" t="s">
        <v>6866</v>
      </c>
      <c r="AB397" s="77" t="s">
        <v>7742</v>
      </c>
      <c r="AC397" s="82" t="s">
        <v>7750</v>
      </c>
      <c r="AD397" s="77" t="s">
        <v>7788</v>
      </c>
      <c r="AE397" s="80" t="str">
        <f>HYPERLINK("https://twitter.com/earn2trade_br/status/1685747340030967808")</f>
        <v>https://twitter.com/earn2trade_br/status/1685747340030967808</v>
      </c>
      <c r="AF397" s="79">
        <v>45137.847916666666</v>
      </c>
      <c r="AG397" s="85">
        <v>45137</v>
      </c>
      <c r="AH397" s="82" t="s">
        <v>8141</v>
      </c>
      <c r="AI397" s="77" t="b">
        <v>0</v>
      </c>
      <c r="AJ397" s="77"/>
      <c r="AK397" s="77"/>
      <c r="AL397" s="77"/>
      <c r="AM397" s="77"/>
      <c r="AN397" s="77"/>
      <c r="AO397" s="77"/>
      <c r="AP397" s="77"/>
      <c r="AQ397" s="77" t="s">
        <v>10838</v>
      </c>
      <c r="AR397" s="77"/>
      <c r="AS397" s="77"/>
      <c r="AT397" s="77"/>
      <c r="AU397" s="77"/>
      <c r="AV397" s="80" t="str">
        <f>HYPERLINK("https://pbs.twimg.com/media/F2H5ff8WUAACwHn.jpg")</f>
        <v>https://pbs.twimg.com/media/F2H5ff8WUAACwHn.jpg</v>
      </c>
      <c r="AW397" s="82" t="s">
        <v>12100</v>
      </c>
      <c r="AX397" s="82" t="s">
        <v>12100</v>
      </c>
      <c r="AY397" s="77"/>
      <c r="AZ397" s="82" t="s">
        <v>15984</v>
      </c>
      <c r="BA397" s="82" t="s">
        <v>15984</v>
      </c>
      <c r="BB397" s="82" t="s">
        <v>15984</v>
      </c>
      <c r="BC397" s="82" t="s">
        <v>12100</v>
      </c>
      <c r="BD397" s="82" t="s">
        <v>16183</v>
      </c>
      <c r="BE397" s="77"/>
      <c r="BF397" s="77"/>
      <c r="BG397" s="77"/>
      <c r="BH397" s="77"/>
      <c r="BI397" s="77"/>
    </row>
    <row r="398" spans="1:61" x14ac:dyDescent="0.25">
      <c r="A398" s="62" t="s">
        <v>357</v>
      </c>
      <c r="B398" s="62" t="s">
        <v>357</v>
      </c>
      <c r="C398" s="63"/>
      <c r="D398" s="64"/>
      <c r="E398" s="65"/>
      <c r="F398" s="66"/>
      <c r="G398" s="63"/>
      <c r="H398" s="67"/>
      <c r="I398" s="68"/>
      <c r="J398" s="68"/>
      <c r="K398" s="32"/>
      <c r="L398" s="75">
        <v>398</v>
      </c>
      <c r="M398" s="75"/>
      <c r="N398" s="70"/>
      <c r="O398" s="77" t="s">
        <v>179</v>
      </c>
      <c r="P398" s="79">
        <v>45128.852083333331</v>
      </c>
      <c r="Q398" s="77" t="s">
        <v>1277</v>
      </c>
      <c r="R398" s="77">
        <v>0</v>
      </c>
      <c r="S398" s="77">
        <v>0</v>
      </c>
      <c r="T398" s="77">
        <v>0</v>
      </c>
      <c r="U398" s="77">
        <v>0</v>
      </c>
      <c r="V398" s="77">
        <v>9</v>
      </c>
      <c r="W398" s="82" t="s">
        <v>5033</v>
      </c>
      <c r="X398" s="77"/>
      <c r="Y398" s="77"/>
      <c r="Z398" s="77"/>
      <c r="AA398" s="77" t="s">
        <v>6867</v>
      </c>
      <c r="AB398" s="77" t="s">
        <v>7742</v>
      </c>
      <c r="AC398" s="82" t="s">
        <v>7750</v>
      </c>
      <c r="AD398" s="77" t="s">
        <v>7788</v>
      </c>
      <c r="AE398" s="80" t="str">
        <f>HYPERLINK("https://twitter.com/earn2trade_br/status/1682487359168757760")</f>
        <v>https://twitter.com/earn2trade_br/status/1682487359168757760</v>
      </c>
      <c r="AF398" s="79">
        <v>45128.852083333331</v>
      </c>
      <c r="AG398" s="85">
        <v>45128</v>
      </c>
      <c r="AH398" s="82" t="s">
        <v>8142</v>
      </c>
      <c r="AI398" s="77" t="b">
        <v>0</v>
      </c>
      <c r="AJ398" s="77"/>
      <c r="AK398" s="77"/>
      <c r="AL398" s="77"/>
      <c r="AM398" s="77"/>
      <c r="AN398" s="77"/>
      <c r="AO398" s="77"/>
      <c r="AP398" s="77"/>
      <c r="AQ398" s="77" t="s">
        <v>10839</v>
      </c>
      <c r="AR398" s="77"/>
      <c r="AS398" s="77"/>
      <c r="AT398" s="77"/>
      <c r="AU398" s="77"/>
      <c r="AV398" s="80" t="str">
        <f>HYPERLINK("https://pbs.twimg.com/media/F1a2wnBWwAQEO5T.jpg")</f>
        <v>https://pbs.twimg.com/media/F1a2wnBWwAQEO5T.jpg</v>
      </c>
      <c r="AW398" s="82" t="s">
        <v>12101</v>
      </c>
      <c r="AX398" s="82" t="s">
        <v>12101</v>
      </c>
      <c r="AY398" s="77"/>
      <c r="AZ398" s="82" t="s">
        <v>15984</v>
      </c>
      <c r="BA398" s="82" t="s">
        <v>15984</v>
      </c>
      <c r="BB398" s="82" t="s">
        <v>15984</v>
      </c>
      <c r="BC398" s="82" t="s">
        <v>12101</v>
      </c>
      <c r="BD398" s="82" t="s">
        <v>16183</v>
      </c>
      <c r="BE398" s="77"/>
      <c r="BF398" s="77"/>
      <c r="BG398" s="77"/>
      <c r="BH398" s="77"/>
      <c r="BI398" s="77"/>
    </row>
    <row r="399" spans="1:61" x14ac:dyDescent="0.25">
      <c r="A399" s="62" t="s">
        <v>357</v>
      </c>
      <c r="B399" s="62" t="s">
        <v>357</v>
      </c>
      <c r="C399" s="63"/>
      <c r="D399" s="64"/>
      <c r="E399" s="65"/>
      <c r="F399" s="66"/>
      <c r="G399" s="63"/>
      <c r="H399" s="67"/>
      <c r="I399" s="68"/>
      <c r="J399" s="68"/>
      <c r="K399" s="32"/>
      <c r="L399" s="75">
        <v>399</v>
      </c>
      <c r="M399" s="75"/>
      <c r="N399" s="70"/>
      <c r="O399" s="77" t="s">
        <v>179</v>
      </c>
      <c r="P399" s="79">
        <v>45118.855567129627</v>
      </c>
      <c r="Q399" s="77" t="s">
        <v>1278</v>
      </c>
      <c r="R399" s="77">
        <v>0</v>
      </c>
      <c r="S399" s="77">
        <v>0</v>
      </c>
      <c r="T399" s="77">
        <v>0</v>
      </c>
      <c r="U399" s="77">
        <v>0</v>
      </c>
      <c r="V399" s="77">
        <v>19</v>
      </c>
      <c r="W399" s="82" t="s">
        <v>5033</v>
      </c>
      <c r="X399" s="77"/>
      <c r="Y399" s="77"/>
      <c r="Z399" s="77"/>
      <c r="AA399" s="77" t="s">
        <v>6868</v>
      </c>
      <c r="AB399" s="77" t="s">
        <v>7742</v>
      </c>
      <c r="AC399" s="82" t="s">
        <v>7750</v>
      </c>
      <c r="AD399" s="77" t="s">
        <v>7788</v>
      </c>
      <c r="AE399" s="80" t="str">
        <f>HYPERLINK("https://twitter.com/earn2trade_br/status/1678864744789278720")</f>
        <v>https://twitter.com/earn2trade_br/status/1678864744789278720</v>
      </c>
      <c r="AF399" s="79">
        <v>45118.855567129627</v>
      </c>
      <c r="AG399" s="85">
        <v>45118</v>
      </c>
      <c r="AH399" s="82" t="s">
        <v>8143</v>
      </c>
      <c r="AI399" s="77" t="b">
        <v>0</v>
      </c>
      <c r="AJ399" s="77"/>
      <c r="AK399" s="77"/>
      <c r="AL399" s="77"/>
      <c r="AM399" s="77"/>
      <c r="AN399" s="77"/>
      <c r="AO399" s="77"/>
      <c r="AP399" s="77"/>
      <c r="AQ399" s="77" t="s">
        <v>10840</v>
      </c>
      <c r="AR399" s="77"/>
      <c r="AS399" s="77"/>
      <c r="AT399" s="77"/>
      <c r="AU399" s="77"/>
      <c r="AV399" s="80" t="str">
        <f>HYPERLINK("https://pbs.twimg.com/media/F0yGkfxXoAMX7gW.jpg")</f>
        <v>https://pbs.twimg.com/media/F0yGkfxXoAMX7gW.jpg</v>
      </c>
      <c r="AW399" s="82" t="s">
        <v>12102</v>
      </c>
      <c r="AX399" s="82" t="s">
        <v>12102</v>
      </c>
      <c r="AY399" s="77"/>
      <c r="AZ399" s="82" t="s">
        <v>15984</v>
      </c>
      <c r="BA399" s="82" t="s">
        <v>15984</v>
      </c>
      <c r="BB399" s="82" t="s">
        <v>15984</v>
      </c>
      <c r="BC399" s="82" t="s">
        <v>12102</v>
      </c>
      <c r="BD399" s="82" t="s">
        <v>16183</v>
      </c>
      <c r="BE399" s="77"/>
      <c r="BF399" s="77"/>
      <c r="BG399" s="77"/>
      <c r="BH399" s="77"/>
      <c r="BI399" s="77"/>
    </row>
    <row r="400" spans="1:61" x14ac:dyDescent="0.25">
      <c r="A400" s="62" t="s">
        <v>357</v>
      </c>
      <c r="B400" s="62" t="s">
        <v>357</v>
      </c>
      <c r="C400" s="63"/>
      <c r="D400" s="64"/>
      <c r="E400" s="65"/>
      <c r="F400" s="66"/>
      <c r="G400" s="63"/>
      <c r="H400" s="67"/>
      <c r="I400" s="68"/>
      <c r="J400" s="68"/>
      <c r="K400" s="32"/>
      <c r="L400" s="75">
        <v>400</v>
      </c>
      <c r="M400" s="75"/>
      <c r="N400" s="70"/>
      <c r="O400" s="77" t="s">
        <v>179</v>
      </c>
      <c r="P400" s="79">
        <v>45150.775694444441</v>
      </c>
      <c r="Q400" s="77" t="s">
        <v>1279</v>
      </c>
      <c r="R400" s="77">
        <v>0</v>
      </c>
      <c r="S400" s="77">
        <v>0</v>
      </c>
      <c r="T400" s="77">
        <v>0</v>
      </c>
      <c r="U400" s="77">
        <v>0</v>
      </c>
      <c r="V400" s="77">
        <v>12</v>
      </c>
      <c r="W400" s="82" t="s">
        <v>5033</v>
      </c>
      <c r="X400" s="77"/>
      <c r="Y400" s="77"/>
      <c r="Z400" s="77"/>
      <c r="AA400" s="77" t="s">
        <v>6869</v>
      </c>
      <c r="AB400" s="77" t="s">
        <v>7742</v>
      </c>
      <c r="AC400" s="82" t="s">
        <v>7750</v>
      </c>
      <c r="AD400" s="77" t="s">
        <v>7788</v>
      </c>
      <c r="AE400" s="80" t="str">
        <f>HYPERLINK("https://twitter.com/earn2trade_br/status/1690432209868427265")</f>
        <v>https://twitter.com/earn2trade_br/status/1690432209868427265</v>
      </c>
      <c r="AF400" s="79">
        <v>45150.775694444441</v>
      </c>
      <c r="AG400" s="85">
        <v>45150</v>
      </c>
      <c r="AH400" s="82" t="s">
        <v>8144</v>
      </c>
      <c r="AI400" s="77" t="b">
        <v>0</v>
      </c>
      <c r="AJ400" s="77"/>
      <c r="AK400" s="77"/>
      <c r="AL400" s="77"/>
      <c r="AM400" s="77"/>
      <c r="AN400" s="77"/>
      <c r="AO400" s="77"/>
      <c r="AP400" s="77"/>
      <c r="AQ400" s="77" t="s">
        <v>10841</v>
      </c>
      <c r="AR400" s="77"/>
      <c r="AS400" s="77"/>
      <c r="AT400" s="77"/>
      <c r="AU400" s="77"/>
      <c r="AV400" s="80" t="str">
        <f>HYPERLINK("https://pbs.twimg.com/media/F3RxA65WgAA0bv2.jpg")</f>
        <v>https://pbs.twimg.com/media/F3RxA65WgAA0bv2.jpg</v>
      </c>
      <c r="AW400" s="82" t="s">
        <v>12103</v>
      </c>
      <c r="AX400" s="82" t="s">
        <v>12103</v>
      </c>
      <c r="AY400" s="77"/>
      <c r="AZ400" s="82" t="s">
        <v>15984</v>
      </c>
      <c r="BA400" s="82" t="s">
        <v>15984</v>
      </c>
      <c r="BB400" s="82" t="s">
        <v>15984</v>
      </c>
      <c r="BC400" s="82" t="s">
        <v>12103</v>
      </c>
      <c r="BD400" s="82" t="s">
        <v>16183</v>
      </c>
      <c r="BE400" s="77"/>
      <c r="BF400" s="77"/>
      <c r="BG400" s="77"/>
      <c r="BH400" s="77"/>
      <c r="BI400" s="77"/>
    </row>
    <row r="401" spans="1:61" x14ac:dyDescent="0.25">
      <c r="A401" s="62" t="s">
        <v>357</v>
      </c>
      <c r="B401" s="62" t="s">
        <v>357</v>
      </c>
      <c r="C401" s="63"/>
      <c r="D401" s="64"/>
      <c r="E401" s="65"/>
      <c r="F401" s="66"/>
      <c r="G401" s="63"/>
      <c r="H401" s="67"/>
      <c r="I401" s="68"/>
      <c r="J401" s="68"/>
      <c r="K401" s="32"/>
      <c r="L401" s="75">
        <v>401</v>
      </c>
      <c r="M401" s="75"/>
      <c r="N401" s="70"/>
      <c r="O401" s="77" t="s">
        <v>179</v>
      </c>
      <c r="P401" s="79">
        <v>45149.854016203702</v>
      </c>
      <c r="Q401" s="77" t="s">
        <v>1280</v>
      </c>
      <c r="R401" s="77">
        <v>0</v>
      </c>
      <c r="S401" s="77">
        <v>1</v>
      </c>
      <c r="T401" s="77">
        <v>0</v>
      </c>
      <c r="U401" s="77">
        <v>0</v>
      </c>
      <c r="V401" s="77">
        <v>12</v>
      </c>
      <c r="W401" s="82" t="s">
        <v>5033</v>
      </c>
      <c r="X401" s="77"/>
      <c r="Y401" s="77"/>
      <c r="Z401" s="77"/>
      <c r="AA401" s="77" t="s">
        <v>6870</v>
      </c>
      <c r="AB401" s="77" t="s">
        <v>7742</v>
      </c>
      <c r="AC401" s="82" t="s">
        <v>7750</v>
      </c>
      <c r="AD401" s="77" t="s">
        <v>7788</v>
      </c>
      <c r="AE401" s="80" t="str">
        <f>HYPERLINK("https://twitter.com/earn2trade_br/status/1690098204212105216")</f>
        <v>https://twitter.com/earn2trade_br/status/1690098204212105216</v>
      </c>
      <c r="AF401" s="79">
        <v>45149.854016203702</v>
      </c>
      <c r="AG401" s="85">
        <v>45149</v>
      </c>
      <c r="AH401" s="82" t="s">
        <v>8145</v>
      </c>
      <c r="AI401" s="77" t="b">
        <v>0</v>
      </c>
      <c r="AJ401" s="77"/>
      <c r="AK401" s="77"/>
      <c r="AL401" s="77"/>
      <c r="AM401" s="77"/>
      <c r="AN401" s="77"/>
      <c r="AO401" s="77"/>
      <c r="AP401" s="77"/>
      <c r="AQ401" s="77" t="s">
        <v>10842</v>
      </c>
      <c r="AR401" s="77"/>
      <c r="AS401" s="77"/>
      <c r="AT401" s="77"/>
      <c r="AU401" s="77"/>
      <c r="AV401" s="80" t="str">
        <f>HYPERLINK("https://pbs.twimg.com/media/F3RvWPzX0AEJjF8.jpg")</f>
        <v>https://pbs.twimg.com/media/F3RvWPzX0AEJjF8.jpg</v>
      </c>
      <c r="AW401" s="82" t="s">
        <v>12104</v>
      </c>
      <c r="AX401" s="82" t="s">
        <v>12104</v>
      </c>
      <c r="AY401" s="77"/>
      <c r="AZ401" s="82" t="s">
        <v>15984</v>
      </c>
      <c r="BA401" s="82" t="s">
        <v>15984</v>
      </c>
      <c r="BB401" s="82" t="s">
        <v>15984</v>
      </c>
      <c r="BC401" s="82" t="s">
        <v>12104</v>
      </c>
      <c r="BD401" s="82" t="s">
        <v>16183</v>
      </c>
      <c r="BE401" s="77"/>
      <c r="BF401" s="77"/>
      <c r="BG401" s="77"/>
      <c r="BH401" s="77"/>
      <c r="BI401" s="77"/>
    </row>
    <row r="402" spans="1:61" x14ac:dyDescent="0.25">
      <c r="A402" s="62" t="s">
        <v>357</v>
      </c>
      <c r="B402" s="62" t="s">
        <v>357</v>
      </c>
      <c r="C402" s="63"/>
      <c r="D402" s="64"/>
      <c r="E402" s="65"/>
      <c r="F402" s="66"/>
      <c r="G402" s="63"/>
      <c r="H402" s="67"/>
      <c r="I402" s="68"/>
      <c r="J402" s="68"/>
      <c r="K402" s="32"/>
      <c r="L402" s="75">
        <v>402</v>
      </c>
      <c r="M402" s="75"/>
      <c r="N402" s="70"/>
      <c r="O402" s="77" t="s">
        <v>179</v>
      </c>
      <c r="P402" s="79">
        <v>45155.68545138889</v>
      </c>
      <c r="Q402" s="77" t="s">
        <v>1281</v>
      </c>
      <c r="R402" s="77">
        <v>0</v>
      </c>
      <c r="S402" s="77">
        <v>1</v>
      </c>
      <c r="T402" s="77">
        <v>0</v>
      </c>
      <c r="U402" s="77">
        <v>0</v>
      </c>
      <c r="V402" s="77">
        <v>29</v>
      </c>
      <c r="W402" s="82" t="s">
        <v>5034</v>
      </c>
      <c r="X402" s="80" t="str">
        <f>HYPERLINK("https://e2t.to/3YHWkGi")</f>
        <v>https://e2t.to/3YHWkGi</v>
      </c>
      <c r="Y402" s="77" t="s">
        <v>6499</v>
      </c>
      <c r="Z402" s="77"/>
      <c r="AA402" s="77" t="s">
        <v>6871</v>
      </c>
      <c r="AB402" s="77" t="s">
        <v>7742</v>
      </c>
      <c r="AC402" s="82" t="s">
        <v>7750</v>
      </c>
      <c r="AD402" s="77" t="s">
        <v>7788</v>
      </c>
      <c r="AE402" s="80" t="str">
        <f>HYPERLINK("https://twitter.com/earn2trade_br/status/1692211449471381941")</f>
        <v>https://twitter.com/earn2trade_br/status/1692211449471381941</v>
      </c>
      <c r="AF402" s="79">
        <v>45155.68545138889</v>
      </c>
      <c r="AG402" s="85">
        <v>45155</v>
      </c>
      <c r="AH402" s="82" t="s">
        <v>8146</v>
      </c>
      <c r="AI402" s="77" t="b">
        <v>0</v>
      </c>
      <c r="AJ402" s="77"/>
      <c r="AK402" s="77"/>
      <c r="AL402" s="77"/>
      <c r="AM402" s="77"/>
      <c r="AN402" s="77"/>
      <c r="AO402" s="77"/>
      <c r="AP402" s="77"/>
      <c r="AQ402" s="77" t="s">
        <v>10843</v>
      </c>
      <c r="AR402" s="77"/>
      <c r="AS402" s="77"/>
      <c r="AT402" s="77"/>
      <c r="AU402" s="77"/>
      <c r="AV402" s="80" t="str">
        <f>HYPERLINK("https://pbs.twimg.com/media/F3vxQMBXsAoNToa.jpg")</f>
        <v>https://pbs.twimg.com/media/F3vxQMBXsAoNToa.jpg</v>
      </c>
      <c r="AW402" s="82" t="s">
        <v>12105</v>
      </c>
      <c r="AX402" s="82" t="s">
        <v>12105</v>
      </c>
      <c r="AY402" s="77"/>
      <c r="AZ402" s="82" t="s">
        <v>15984</v>
      </c>
      <c r="BA402" s="82" t="s">
        <v>15984</v>
      </c>
      <c r="BB402" s="82" t="s">
        <v>15984</v>
      </c>
      <c r="BC402" s="82" t="s">
        <v>12105</v>
      </c>
      <c r="BD402" s="82" t="s">
        <v>16183</v>
      </c>
      <c r="BE402" s="77"/>
      <c r="BF402" s="77"/>
      <c r="BG402" s="77"/>
      <c r="BH402" s="77"/>
      <c r="BI402" s="77"/>
    </row>
    <row r="403" spans="1:61" x14ac:dyDescent="0.25">
      <c r="A403" s="62" t="s">
        <v>357</v>
      </c>
      <c r="B403" s="62" t="s">
        <v>357</v>
      </c>
      <c r="C403" s="63"/>
      <c r="D403" s="64"/>
      <c r="E403" s="65"/>
      <c r="F403" s="66"/>
      <c r="G403" s="63"/>
      <c r="H403" s="67"/>
      <c r="I403" s="68"/>
      <c r="J403" s="68"/>
      <c r="K403" s="32"/>
      <c r="L403" s="75">
        <v>403</v>
      </c>
      <c r="M403" s="75"/>
      <c r="N403" s="70"/>
      <c r="O403" s="77" t="s">
        <v>179</v>
      </c>
      <c r="P403" s="79">
        <v>45130.814583333333</v>
      </c>
      <c r="Q403" s="77" t="s">
        <v>1282</v>
      </c>
      <c r="R403" s="77">
        <v>0</v>
      </c>
      <c r="S403" s="77">
        <v>0</v>
      </c>
      <c r="T403" s="77">
        <v>0</v>
      </c>
      <c r="U403" s="77">
        <v>0</v>
      </c>
      <c r="V403" s="77">
        <v>25</v>
      </c>
      <c r="W403" s="82" t="s">
        <v>5033</v>
      </c>
      <c r="X403" s="77"/>
      <c r="Y403" s="77"/>
      <c r="Z403" s="77"/>
      <c r="AA403" s="77" t="s">
        <v>6872</v>
      </c>
      <c r="AB403" s="77" t="s">
        <v>7742</v>
      </c>
      <c r="AC403" s="82" t="s">
        <v>7750</v>
      </c>
      <c r="AD403" s="77" t="s">
        <v>7788</v>
      </c>
      <c r="AE403" s="80" t="str">
        <f>HYPERLINK("https://twitter.com/earn2trade_br/status/1683198545464270849")</f>
        <v>https://twitter.com/earn2trade_br/status/1683198545464270849</v>
      </c>
      <c r="AF403" s="79">
        <v>45130.814583333333</v>
      </c>
      <c r="AG403" s="85">
        <v>45130</v>
      </c>
      <c r="AH403" s="82" t="s">
        <v>8147</v>
      </c>
      <c r="AI403" s="77" t="b">
        <v>0</v>
      </c>
      <c r="AJ403" s="77"/>
      <c r="AK403" s="77"/>
      <c r="AL403" s="77"/>
      <c r="AM403" s="77"/>
      <c r="AN403" s="77"/>
      <c r="AO403" s="77"/>
      <c r="AP403" s="77"/>
      <c r="AQ403" s="77" t="s">
        <v>10844</v>
      </c>
      <c r="AR403" s="77"/>
      <c r="AS403" s="77"/>
      <c r="AT403" s="77"/>
      <c r="AU403" s="77"/>
      <c r="AV403" s="80" t="str">
        <f>HYPERLINK("https://pbs.twimg.com/media/F1kwCgOXgAAFxl2.jpg")</f>
        <v>https://pbs.twimg.com/media/F1kwCgOXgAAFxl2.jpg</v>
      </c>
      <c r="AW403" s="82" t="s">
        <v>12106</v>
      </c>
      <c r="AX403" s="82" t="s">
        <v>12106</v>
      </c>
      <c r="AY403" s="77"/>
      <c r="AZ403" s="82" t="s">
        <v>15984</v>
      </c>
      <c r="BA403" s="82" t="s">
        <v>15984</v>
      </c>
      <c r="BB403" s="82" t="s">
        <v>15984</v>
      </c>
      <c r="BC403" s="82" t="s">
        <v>12106</v>
      </c>
      <c r="BD403" s="82" t="s">
        <v>16183</v>
      </c>
      <c r="BE403" s="77"/>
      <c r="BF403" s="77"/>
      <c r="BG403" s="77"/>
      <c r="BH403" s="77"/>
      <c r="BI403" s="77"/>
    </row>
    <row r="404" spans="1:61" x14ac:dyDescent="0.25">
      <c r="A404" s="62" t="s">
        <v>357</v>
      </c>
      <c r="B404" s="62" t="s">
        <v>357</v>
      </c>
      <c r="C404" s="63"/>
      <c r="D404" s="64"/>
      <c r="E404" s="65"/>
      <c r="F404" s="66"/>
      <c r="G404" s="63"/>
      <c r="H404" s="67"/>
      <c r="I404" s="68"/>
      <c r="J404" s="68"/>
      <c r="K404" s="32"/>
      <c r="L404" s="75">
        <v>404</v>
      </c>
      <c r="M404" s="75"/>
      <c r="N404" s="70"/>
      <c r="O404" s="77" t="s">
        <v>179</v>
      </c>
      <c r="P404" s="79">
        <v>45164.895833333336</v>
      </c>
      <c r="Q404" s="77" t="s">
        <v>1283</v>
      </c>
      <c r="R404" s="77">
        <v>0</v>
      </c>
      <c r="S404" s="77">
        <v>0</v>
      </c>
      <c r="T404" s="77">
        <v>1</v>
      </c>
      <c r="U404" s="77">
        <v>0</v>
      </c>
      <c r="V404" s="77">
        <v>18</v>
      </c>
      <c r="W404" s="82" t="s">
        <v>5033</v>
      </c>
      <c r="X404" s="77"/>
      <c r="Y404" s="77"/>
      <c r="Z404" s="77"/>
      <c r="AA404" s="77" t="s">
        <v>6873</v>
      </c>
      <c r="AB404" s="77" t="s">
        <v>7742</v>
      </c>
      <c r="AC404" s="82" t="s">
        <v>7750</v>
      </c>
      <c r="AD404" s="77" t="s">
        <v>7788</v>
      </c>
      <c r="AE404" s="80" t="str">
        <f>HYPERLINK("https://twitter.com/earn2trade_br/status/1695549178858873334")</f>
        <v>https://twitter.com/earn2trade_br/status/1695549178858873334</v>
      </c>
      <c r="AF404" s="79">
        <v>45164.895833333336</v>
      </c>
      <c r="AG404" s="85">
        <v>45164</v>
      </c>
      <c r="AH404" s="82" t="s">
        <v>8089</v>
      </c>
      <c r="AI404" s="77" t="b">
        <v>0</v>
      </c>
      <c r="AJ404" s="77"/>
      <c r="AK404" s="77"/>
      <c r="AL404" s="77"/>
      <c r="AM404" s="77"/>
      <c r="AN404" s="77"/>
      <c r="AO404" s="77"/>
      <c r="AP404" s="77"/>
      <c r="AQ404" s="77" t="s">
        <v>10845</v>
      </c>
      <c r="AR404" s="77"/>
      <c r="AS404" s="77"/>
      <c r="AT404" s="77"/>
      <c r="AU404" s="77"/>
      <c r="AV404" s="80" t="str">
        <f>HYPERLINK("https://pbs.twimg.com/media/F4bjqH0XIAAjD3V.jpg")</f>
        <v>https://pbs.twimg.com/media/F4bjqH0XIAAjD3V.jpg</v>
      </c>
      <c r="AW404" s="82" t="s">
        <v>12107</v>
      </c>
      <c r="AX404" s="82" t="s">
        <v>12107</v>
      </c>
      <c r="AY404" s="77"/>
      <c r="AZ404" s="82" t="s">
        <v>15984</v>
      </c>
      <c r="BA404" s="82" t="s">
        <v>15984</v>
      </c>
      <c r="BB404" s="82" t="s">
        <v>15984</v>
      </c>
      <c r="BC404" s="82" t="s">
        <v>12107</v>
      </c>
      <c r="BD404" s="82" t="s">
        <v>16183</v>
      </c>
      <c r="BE404" s="77"/>
      <c r="BF404" s="77"/>
      <c r="BG404" s="77"/>
      <c r="BH404" s="77"/>
      <c r="BI404" s="77"/>
    </row>
    <row r="405" spans="1:61" x14ac:dyDescent="0.25">
      <c r="A405" s="62" t="s">
        <v>357</v>
      </c>
      <c r="B405" s="62" t="s">
        <v>357</v>
      </c>
      <c r="C405" s="63"/>
      <c r="D405" s="64"/>
      <c r="E405" s="65"/>
      <c r="F405" s="66"/>
      <c r="G405" s="63"/>
      <c r="H405" s="67"/>
      <c r="I405" s="68"/>
      <c r="J405" s="68"/>
      <c r="K405" s="32"/>
      <c r="L405" s="75">
        <v>405</v>
      </c>
      <c r="M405" s="75"/>
      <c r="N405" s="70"/>
      <c r="O405" s="77" t="s">
        <v>179</v>
      </c>
      <c r="P405" s="79">
        <v>45152.812106481484</v>
      </c>
      <c r="Q405" s="77" t="s">
        <v>1284</v>
      </c>
      <c r="R405" s="77">
        <v>0</v>
      </c>
      <c r="S405" s="77">
        <v>0</v>
      </c>
      <c r="T405" s="77">
        <v>0</v>
      </c>
      <c r="U405" s="77">
        <v>0</v>
      </c>
      <c r="V405" s="77">
        <v>41</v>
      </c>
      <c r="W405" s="82" t="s">
        <v>5033</v>
      </c>
      <c r="X405" s="80" t="str">
        <f>HYPERLINK("https://e2t.to/fb-tcp-pt")</f>
        <v>https://e2t.to/fb-tcp-pt</v>
      </c>
      <c r="Y405" s="77" t="s">
        <v>6499</v>
      </c>
      <c r="Z405" s="77"/>
      <c r="AA405" s="77" t="s">
        <v>6874</v>
      </c>
      <c r="AB405" s="77" t="s">
        <v>7743</v>
      </c>
      <c r="AC405" s="82" t="s">
        <v>7750</v>
      </c>
      <c r="AD405" s="77" t="s">
        <v>7788</v>
      </c>
      <c r="AE405" s="80" t="str">
        <f>HYPERLINK("https://twitter.com/earn2trade_br/status/1691170181374992384")</f>
        <v>https://twitter.com/earn2trade_br/status/1691170181374992384</v>
      </c>
      <c r="AF405" s="79">
        <v>45152.812106481484</v>
      </c>
      <c r="AG405" s="85">
        <v>45152</v>
      </c>
      <c r="AH405" s="82" t="s">
        <v>8148</v>
      </c>
      <c r="AI405" s="77" t="b">
        <v>0</v>
      </c>
      <c r="AJ405" s="77"/>
      <c r="AK405" s="77"/>
      <c r="AL405" s="77"/>
      <c r="AM405" s="77"/>
      <c r="AN405" s="77"/>
      <c r="AO405" s="77"/>
      <c r="AP405" s="77"/>
      <c r="AQ405" s="77" t="s">
        <v>10846</v>
      </c>
      <c r="AR405" s="77">
        <v>9813</v>
      </c>
      <c r="AS405" s="77"/>
      <c r="AT405" s="77"/>
      <c r="AU405" s="77"/>
      <c r="AV405" s="80" t="str">
        <f>HYPERLINK("https://pbs.twimg.com/ext_tw_video_thumb/1691170063728930816/pu/img/BYP1C9XpDjeKm_QS.jpg")</f>
        <v>https://pbs.twimg.com/ext_tw_video_thumb/1691170063728930816/pu/img/BYP1C9XpDjeKm_QS.jpg</v>
      </c>
      <c r="AW405" s="82" t="s">
        <v>12108</v>
      </c>
      <c r="AX405" s="82" t="s">
        <v>12108</v>
      </c>
      <c r="AY405" s="77"/>
      <c r="AZ405" s="82" t="s">
        <v>15984</v>
      </c>
      <c r="BA405" s="82" t="s">
        <v>15984</v>
      </c>
      <c r="BB405" s="82" t="s">
        <v>15984</v>
      </c>
      <c r="BC405" s="82" t="s">
        <v>12108</v>
      </c>
      <c r="BD405" s="82" t="s">
        <v>16183</v>
      </c>
      <c r="BE405" s="77"/>
      <c r="BF405" s="77"/>
      <c r="BG405" s="77"/>
      <c r="BH405" s="77"/>
      <c r="BI405" s="77"/>
    </row>
    <row r="406" spans="1:61" x14ac:dyDescent="0.25">
      <c r="A406" s="62" t="s">
        <v>357</v>
      </c>
      <c r="B406" s="62" t="s">
        <v>357</v>
      </c>
      <c r="C406" s="63"/>
      <c r="D406" s="64"/>
      <c r="E406" s="65"/>
      <c r="F406" s="66"/>
      <c r="G406" s="63"/>
      <c r="H406" s="67"/>
      <c r="I406" s="68"/>
      <c r="J406" s="68"/>
      <c r="K406" s="32"/>
      <c r="L406" s="75">
        <v>406</v>
      </c>
      <c r="M406" s="75"/>
      <c r="N406" s="70"/>
      <c r="O406" s="77" t="s">
        <v>179</v>
      </c>
      <c r="P406" s="79">
        <v>45161.802141203705</v>
      </c>
      <c r="Q406" s="77" t="s">
        <v>1285</v>
      </c>
      <c r="R406" s="77">
        <v>0</v>
      </c>
      <c r="S406" s="77">
        <v>0</v>
      </c>
      <c r="T406" s="77">
        <v>0</v>
      </c>
      <c r="U406" s="77">
        <v>0</v>
      </c>
      <c r="V406" s="77">
        <v>8</v>
      </c>
      <c r="W406" s="82" t="s">
        <v>5035</v>
      </c>
      <c r="X406" s="80" t="str">
        <f>HYPERLINK("https://e2t.to/3stYCwl")</f>
        <v>https://e2t.to/3stYCwl</v>
      </c>
      <c r="Y406" s="77" t="s">
        <v>6499</v>
      </c>
      <c r="Z406" s="77"/>
      <c r="AA406" s="77" t="s">
        <v>6875</v>
      </c>
      <c r="AB406" s="77" t="s">
        <v>7742</v>
      </c>
      <c r="AC406" s="82" t="s">
        <v>7750</v>
      </c>
      <c r="AD406" s="77" t="s">
        <v>7788</v>
      </c>
      <c r="AE406" s="80" t="str">
        <f>HYPERLINK("https://twitter.com/earn2trade_br/status/1694428061167415651")</f>
        <v>https://twitter.com/earn2trade_br/status/1694428061167415651</v>
      </c>
      <c r="AF406" s="79">
        <v>45161.802141203705</v>
      </c>
      <c r="AG406" s="85">
        <v>45161</v>
      </c>
      <c r="AH406" s="82" t="s">
        <v>8149</v>
      </c>
      <c r="AI406" s="77" t="b">
        <v>0</v>
      </c>
      <c r="AJ406" s="77"/>
      <c r="AK406" s="77"/>
      <c r="AL406" s="77"/>
      <c r="AM406" s="77"/>
      <c r="AN406" s="77"/>
      <c r="AO406" s="77"/>
      <c r="AP406" s="77"/>
      <c r="AQ406" s="77" t="s">
        <v>10847</v>
      </c>
      <c r="AR406" s="77"/>
      <c r="AS406" s="77"/>
      <c r="AT406" s="77"/>
      <c r="AU406" s="77"/>
      <c r="AV406" s="80" t="str">
        <f>HYPERLINK("https://pbs.twimg.com/media/F4PRVBNXEAE3vkw.jpg")</f>
        <v>https://pbs.twimg.com/media/F4PRVBNXEAE3vkw.jpg</v>
      </c>
      <c r="AW406" s="82" t="s">
        <v>12109</v>
      </c>
      <c r="AX406" s="82" t="s">
        <v>12109</v>
      </c>
      <c r="AY406" s="77"/>
      <c r="AZ406" s="82" t="s">
        <v>15984</v>
      </c>
      <c r="BA406" s="82" t="s">
        <v>15984</v>
      </c>
      <c r="BB406" s="82" t="s">
        <v>15984</v>
      </c>
      <c r="BC406" s="82" t="s">
        <v>12109</v>
      </c>
      <c r="BD406" s="82" t="s">
        <v>16183</v>
      </c>
      <c r="BE406" s="77"/>
      <c r="BF406" s="77"/>
      <c r="BG406" s="77"/>
      <c r="BH406" s="77"/>
      <c r="BI406" s="77"/>
    </row>
    <row r="407" spans="1:61" x14ac:dyDescent="0.25">
      <c r="A407" s="62" t="s">
        <v>357</v>
      </c>
      <c r="B407" s="62" t="s">
        <v>357</v>
      </c>
      <c r="C407" s="63"/>
      <c r="D407" s="64"/>
      <c r="E407" s="65"/>
      <c r="F407" s="66"/>
      <c r="G407" s="63"/>
      <c r="H407" s="67"/>
      <c r="I407" s="68"/>
      <c r="J407" s="68"/>
      <c r="K407" s="32"/>
      <c r="L407" s="75">
        <v>407</v>
      </c>
      <c r="M407" s="75"/>
      <c r="N407" s="70"/>
      <c r="O407" s="77" t="s">
        <v>179</v>
      </c>
      <c r="P407" s="79">
        <v>45144.866666666669</v>
      </c>
      <c r="Q407" s="77" t="s">
        <v>1286</v>
      </c>
      <c r="R407" s="77">
        <v>0</v>
      </c>
      <c r="S407" s="77">
        <v>0</v>
      </c>
      <c r="T407" s="77">
        <v>1</v>
      </c>
      <c r="U407" s="77">
        <v>0</v>
      </c>
      <c r="V407" s="77">
        <v>16</v>
      </c>
      <c r="W407" s="82" t="s">
        <v>5033</v>
      </c>
      <c r="X407" s="77"/>
      <c r="Y407" s="77"/>
      <c r="Z407" s="77"/>
      <c r="AA407" s="77" t="s">
        <v>6876</v>
      </c>
      <c r="AB407" s="77" t="s">
        <v>7742</v>
      </c>
      <c r="AC407" s="82" t="s">
        <v>7750</v>
      </c>
      <c r="AD407" s="77" t="s">
        <v>7788</v>
      </c>
      <c r="AE407" s="80" t="str">
        <f>HYPERLINK("https://twitter.com/earn2trade_br/status/1688290849967476736")</f>
        <v>https://twitter.com/earn2trade_br/status/1688290849967476736</v>
      </c>
      <c r="AF407" s="79">
        <v>45144.866666666669</v>
      </c>
      <c r="AG407" s="85">
        <v>45144</v>
      </c>
      <c r="AH407" s="82" t="s">
        <v>8139</v>
      </c>
      <c r="AI407" s="77" t="b">
        <v>0</v>
      </c>
      <c r="AJ407" s="77"/>
      <c r="AK407" s="77"/>
      <c r="AL407" s="77"/>
      <c r="AM407" s="77"/>
      <c r="AN407" s="77"/>
      <c r="AO407" s="77"/>
      <c r="AP407" s="77"/>
      <c r="AQ407" s="77" t="s">
        <v>10848</v>
      </c>
      <c r="AR407" s="77"/>
      <c r="AS407" s="77"/>
      <c r="AT407" s="77"/>
      <c r="AU407" s="77"/>
      <c r="AV407" s="80" t="str">
        <f>HYPERLINK("https://pbs.twimg.com/media/F2zVlRDWAAA6etm.jpg")</f>
        <v>https://pbs.twimg.com/media/F2zVlRDWAAA6etm.jpg</v>
      </c>
      <c r="AW407" s="82" t="s">
        <v>12110</v>
      </c>
      <c r="AX407" s="82" t="s">
        <v>12110</v>
      </c>
      <c r="AY407" s="77"/>
      <c r="AZ407" s="82" t="s">
        <v>15984</v>
      </c>
      <c r="BA407" s="82" t="s">
        <v>15984</v>
      </c>
      <c r="BB407" s="82" t="s">
        <v>15984</v>
      </c>
      <c r="BC407" s="82" t="s">
        <v>12110</v>
      </c>
      <c r="BD407" s="82" t="s">
        <v>16183</v>
      </c>
      <c r="BE407" s="77"/>
      <c r="BF407" s="77"/>
      <c r="BG407" s="77"/>
      <c r="BH407" s="77"/>
      <c r="BI407" s="77"/>
    </row>
    <row r="408" spans="1:61" x14ac:dyDescent="0.25">
      <c r="A408" s="62" t="s">
        <v>357</v>
      </c>
      <c r="B408" s="62" t="s">
        <v>357</v>
      </c>
      <c r="C408" s="63"/>
      <c r="D408" s="64"/>
      <c r="E408" s="65"/>
      <c r="F408" s="66"/>
      <c r="G408" s="63"/>
      <c r="H408" s="67"/>
      <c r="I408" s="68"/>
      <c r="J408" s="68"/>
      <c r="K408" s="32"/>
      <c r="L408" s="75">
        <v>408</v>
      </c>
      <c r="M408" s="75"/>
      <c r="N408" s="70"/>
      <c r="O408" s="77" t="s">
        <v>179</v>
      </c>
      <c r="P408" s="79">
        <v>45165.919247685182</v>
      </c>
      <c r="Q408" s="77" t="s">
        <v>1287</v>
      </c>
      <c r="R408" s="77">
        <v>0</v>
      </c>
      <c r="S408" s="77">
        <v>0</v>
      </c>
      <c r="T408" s="77">
        <v>1</v>
      </c>
      <c r="U408" s="77">
        <v>0</v>
      </c>
      <c r="V408" s="77">
        <v>22</v>
      </c>
      <c r="W408" s="82" t="s">
        <v>5033</v>
      </c>
      <c r="X408" s="77"/>
      <c r="Y408" s="77"/>
      <c r="Z408" s="77"/>
      <c r="AA408" s="77" t="s">
        <v>6877</v>
      </c>
      <c r="AB408" s="77" t="s">
        <v>7742</v>
      </c>
      <c r="AC408" s="82" t="s">
        <v>7750</v>
      </c>
      <c r="AD408" s="77" t="s">
        <v>7788</v>
      </c>
      <c r="AE408" s="80" t="str">
        <f>HYPERLINK("https://twitter.com/earn2trade_br/status/1695920051650494886")</f>
        <v>https://twitter.com/earn2trade_br/status/1695920051650494886</v>
      </c>
      <c r="AF408" s="79">
        <v>45165.919247685182</v>
      </c>
      <c r="AG408" s="85">
        <v>45165</v>
      </c>
      <c r="AH408" s="82" t="s">
        <v>8150</v>
      </c>
      <c r="AI408" s="77" t="b">
        <v>0</v>
      </c>
      <c r="AJ408" s="77"/>
      <c r="AK408" s="77"/>
      <c r="AL408" s="77"/>
      <c r="AM408" s="77"/>
      <c r="AN408" s="77"/>
      <c r="AO408" s="77"/>
      <c r="AP408" s="77"/>
      <c r="AQ408" s="77" t="s">
        <v>10849</v>
      </c>
      <c r="AR408" s="77"/>
      <c r="AS408" s="77"/>
      <c r="AT408" s="77"/>
      <c r="AU408" s="77"/>
      <c r="AV408" s="80" t="str">
        <f>HYPERLINK("https://pbs.twimg.com/media/F4keShsXIAAX9o3.jpg")</f>
        <v>https://pbs.twimg.com/media/F4keShsXIAAX9o3.jpg</v>
      </c>
      <c r="AW408" s="82" t="s">
        <v>12111</v>
      </c>
      <c r="AX408" s="82" t="s">
        <v>12111</v>
      </c>
      <c r="AY408" s="77"/>
      <c r="AZ408" s="82" t="s">
        <v>15984</v>
      </c>
      <c r="BA408" s="82" t="s">
        <v>15984</v>
      </c>
      <c r="BB408" s="82" t="s">
        <v>15984</v>
      </c>
      <c r="BC408" s="82" t="s">
        <v>12111</v>
      </c>
      <c r="BD408" s="82" t="s">
        <v>16183</v>
      </c>
      <c r="BE408" s="77"/>
      <c r="BF408" s="77"/>
      <c r="BG408" s="77"/>
      <c r="BH408" s="77"/>
      <c r="BI408" s="77"/>
    </row>
    <row r="409" spans="1:61" x14ac:dyDescent="0.25">
      <c r="A409" s="62" t="s">
        <v>357</v>
      </c>
      <c r="B409" s="62" t="s">
        <v>357</v>
      </c>
      <c r="C409" s="63"/>
      <c r="D409" s="64"/>
      <c r="E409" s="65"/>
      <c r="F409" s="66"/>
      <c r="G409" s="63"/>
      <c r="H409" s="67"/>
      <c r="I409" s="68"/>
      <c r="J409" s="68"/>
      <c r="K409" s="32"/>
      <c r="L409" s="75">
        <v>409</v>
      </c>
      <c r="M409" s="75"/>
      <c r="N409" s="70"/>
      <c r="O409" s="77" t="s">
        <v>179</v>
      </c>
      <c r="P409" s="79">
        <v>45121.857569444444</v>
      </c>
      <c r="Q409" s="77" t="s">
        <v>1288</v>
      </c>
      <c r="R409" s="77">
        <v>0</v>
      </c>
      <c r="S409" s="77">
        <v>1</v>
      </c>
      <c r="T409" s="77">
        <v>0</v>
      </c>
      <c r="U409" s="77">
        <v>0</v>
      </c>
      <c r="V409" s="77">
        <v>19</v>
      </c>
      <c r="W409" s="82" t="s">
        <v>5033</v>
      </c>
      <c r="X409" s="77"/>
      <c r="Y409" s="77"/>
      <c r="Z409" s="77"/>
      <c r="AA409" s="77" t="s">
        <v>6878</v>
      </c>
      <c r="AB409" s="77" t="s">
        <v>7742</v>
      </c>
      <c r="AC409" s="82" t="s">
        <v>7750</v>
      </c>
      <c r="AD409" s="77" t="s">
        <v>7788</v>
      </c>
      <c r="AE409" s="80" t="str">
        <f>HYPERLINK("https://twitter.com/earn2trade_br/status/1679952632029249539")</f>
        <v>https://twitter.com/earn2trade_br/status/1679952632029249539</v>
      </c>
      <c r="AF409" s="79">
        <v>45121.857569444444</v>
      </c>
      <c r="AG409" s="85">
        <v>45121</v>
      </c>
      <c r="AH409" s="82" t="s">
        <v>8151</v>
      </c>
      <c r="AI409" s="77" t="b">
        <v>0</v>
      </c>
      <c r="AJ409" s="77"/>
      <c r="AK409" s="77"/>
      <c r="AL409" s="77"/>
      <c r="AM409" s="77"/>
      <c r="AN409" s="77"/>
      <c r="AO409" s="77"/>
      <c r="AP409" s="77"/>
      <c r="AQ409" s="77" t="s">
        <v>10850</v>
      </c>
      <c r="AR409" s="77"/>
      <c r="AS409" s="77"/>
      <c r="AT409" s="77"/>
      <c r="AU409" s="77"/>
      <c r="AV409" s="80" t="str">
        <f>HYPERLINK("https://pbs.twimg.com/media/F1Bj41YX0AIfZ0y.jpg")</f>
        <v>https://pbs.twimg.com/media/F1Bj41YX0AIfZ0y.jpg</v>
      </c>
      <c r="AW409" s="82" t="s">
        <v>12112</v>
      </c>
      <c r="AX409" s="82" t="s">
        <v>12112</v>
      </c>
      <c r="AY409" s="77"/>
      <c r="AZ409" s="82" t="s">
        <v>15984</v>
      </c>
      <c r="BA409" s="82" t="s">
        <v>15984</v>
      </c>
      <c r="BB409" s="82" t="s">
        <v>15984</v>
      </c>
      <c r="BC409" s="82" t="s">
        <v>12112</v>
      </c>
      <c r="BD409" s="82" t="s">
        <v>16183</v>
      </c>
      <c r="BE409" s="77"/>
      <c r="BF409" s="77"/>
      <c r="BG409" s="77"/>
      <c r="BH409" s="77"/>
      <c r="BI409" s="77"/>
    </row>
    <row r="410" spans="1:61" x14ac:dyDescent="0.25">
      <c r="A410" s="62" t="s">
        <v>357</v>
      </c>
      <c r="B410" s="62" t="s">
        <v>357</v>
      </c>
      <c r="C410" s="63"/>
      <c r="D410" s="64"/>
      <c r="E410" s="65"/>
      <c r="F410" s="66"/>
      <c r="G410" s="63"/>
      <c r="H410" s="67"/>
      <c r="I410" s="68"/>
      <c r="J410" s="68"/>
      <c r="K410" s="32"/>
      <c r="L410" s="75">
        <v>410</v>
      </c>
      <c r="M410" s="75"/>
      <c r="N410" s="70"/>
      <c r="O410" s="77" t="s">
        <v>179</v>
      </c>
      <c r="P410" s="79">
        <v>45167.732812499999</v>
      </c>
      <c r="Q410" s="77" t="s">
        <v>1289</v>
      </c>
      <c r="R410" s="77">
        <v>0</v>
      </c>
      <c r="S410" s="77">
        <v>0</v>
      </c>
      <c r="T410" s="77">
        <v>0</v>
      </c>
      <c r="U410" s="77">
        <v>0</v>
      </c>
      <c r="V410" s="77">
        <v>12</v>
      </c>
      <c r="W410" s="82" t="s">
        <v>5033</v>
      </c>
      <c r="X410" s="77"/>
      <c r="Y410" s="77"/>
      <c r="Z410" s="77"/>
      <c r="AA410" s="77" t="s">
        <v>6879</v>
      </c>
      <c r="AB410" s="77" t="s">
        <v>7742</v>
      </c>
      <c r="AC410" s="82" t="s">
        <v>7750</v>
      </c>
      <c r="AD410" s="77" t="s">
        <v>7788</v>
      </c>
      <c r="AE410" s="80" t="str">
        <f>HYPERLINK("https://twitter.com/earn2trade_br/status/1696577263666429965")</f>
        <v>https://twitter.com/earn2trade_br/status/1696577263666429965</v>
      </c>
      <c r="AF410" s="79">
        <v>45167.732812499999</v>
      </c>
      <c r="AG410" s="85">
        <v>45167</v>
      </c>
      <c r="AH410" s="82" t="s">
        <v>8152</v>
      </c>
      <c r="AI410" s="77" t="b">
        <v>0</v>
      </c>
      <c r="AJ410" s="77"/>
      <c r="AK410" s="77"/>
      <c r="AL410" s="77"/>
      <c r="AM410" s="77"/>
      <c r="AN410" s="77"/>
      <c r="AO410" s="77"/>
      <c r="AP410" s="77"/>
      <c r="AQ410" s="77" t="s">
        <v>10851</v>
      </c>
      <c r="AR410" s="77"/>
      <c r="AS410" s="77"/>
      <c r="AT410" s="77"/>
      <c r="AU410" s="77"/>
      <c r="AV410" s="80" t="str">
        <f>HYPERLINK("https://pbs.twimg.com/media/F4tz_1tWkAEiKT8.jpg")</f>
        <v>https://pbs.twimg.com/media/F4tz_1tWkAEiKT8.jpg</v>
      </c>
      <c r="AW410" s="82" t="s">
        <v>12113</v>
      </c>
      <c r="AX410" s="82" t="s">
        <v>12113</v>
      </c>
      <c r="AY410" s="77"/>
      <c r="AZ410" s="82" t="s">
        <v>15984</v>
      </c>
      <c r="BA410" s="82" t="s">
        <v>15984</v>
      </c>
      <c r="BB410" s="82" t="s">
        <v>15984</v>
      </c>
      <c r="BC410" s="82" t="s">
        <v>12113</v>
      </c>
      <c r="BD410" s="82" t="s">
        <v>16183</v>
      </c>
      <c r="BE410" s="77"/>
      <c r="BF410" s="77"/>
      <c r="BG410" s="77"/>
      <c r="BH410" s="77"/>
      <c r="BI410" s="77"/>
    </row>
    <row r="411" spans="1:61" x14ac:dyDescent="0.25">
      <c r="A411" s="62" t="s">
        <v>357</v>
      </c>
      <c r="B411" s="62" t="s">
        <v>357</v>
      </c>
      <c r="C411" s="63"/>
      <c r="D411" s="64"/>
      <c r="E411" s="65"/>
      <c r="F411" s="66"/>
      <c r="G411" s="63"/>
      <c r="H411" s="67"/>
      <c r="I411" s="68"/>
      <c r="J411" s="68"/>
      <c r="K411" s="32"/>
      <c r="L411" s="75">
        <v>411</v>
      </c>
      <c r="M411" s="75"/>
      <c r="N411" s="70"/>
      <c r="O411" s="77" t="s">
        <v>179</v>
      </c>
      <c r="P411" s="79">
        <v>45153.728587962964</v>
      </c>
      <c r="Q411" s="77" t="s">
        <v>1290</v>
      </c>
      <c r="R411" s="77">
        <v>0</v>
      </c>
      <c r="S411" s="77">
        <v>0</v>
      </c>
      <c r="T411" s="77">
        <v>0</v>
      </c>
      <c r="U411" s="77">
        <v>0</v>
      </c>
      <c r="V411" s="77">
        <v>13</v>
      </c>
      <c r="W411" s="82" t="s">
        <v>5033</v>
      </c>
      <c r="X411" s="77"/>
      <c r="Y411" s="77"/>
      <c r="Z411" s="77"/>
      <c r="AA411" s="77" t="s">
        <v>6880</v>
      </c>
      <c r="AB411" s="77" t="s">
        <v>7742</v>
      </c>
      <c r="AC411" s="82" t="s">
        <v>7750</v>
      </c>
      <c r="AD411" s="77" t="s">
        <v>7788</v>
      </c>
      <c r="AE411" s="80" t="str">
        <f>HYPERLINK("https://twitter.com/earn2trade_br/status/1691502303843328009")</f>
        <v>https://twitter.com/earn2trade_br/status/1691502303843328009</v>
      </c>
      <c r="AF411" s="79">
        <v>45153.728587962964</v>
      </c>
      <c r="AG411" s="85">
        <v>45153</v>
      </c>
      <c r="AH411" s="82" t="s">
        <v>8153</v>
      </c>
      <c r="AI411" s="77" t="b">
        <v>0</v>
      </c>
      <c r="AJ411" s="77"/>
      <c r="AK411" s="77"/>
      <c r="AL411" s="77"/>
      <c r="AM411" s="77"/>
      <c r="AN411" s="77"/>
      <c r="AO411" s="77"/>
      <c r="AP411" s="77"/>
      <c r="AQ411" s="77" t="s">
        <v>10852</v>
      </c>
      <c r="AR411" s="77"/>
      <c r="AS411" s="77"/>
      <c r="AT411" s="77"/>
      <c r="AU411" s="77"/>
      <c r="AV411" s="80" t="str">
        <f>HYPERLINK("https://pbs.twimg.com/media/F3lsYBSWIA4mOil.jpg")</f>
        <v>https://pbs.twimg.com/media/F3lsYBSWIA4mOil.jpg</v>
      </c>
      <c r="AW411" s="82" t="s">
        <v>12114</v>
      </c>
      <c r="AX411" s="82" t="s">
        <v>12114</v>
      </c>
      <c r="AY411" s="77"/>
      <c r="AZ411" s="82" t="s">
        <v>15984</v>
      </c>
      <c r="BA411" s="82" t="s">
        <v>15984</v>
      </c>
      <c r="BB411" s="82" t="s">
        <v>15984</v>
      </c>
      <c r="BC411" s="82" t="s">
        <v>12114</v>
      </c>
      <c r="BD411" s="82" t="s">
        <v>16183</v>
      </c>
      <c r="BE411" s="77"/>
      <c r="BF411" s="77"/>
      <c r="BG411" s="77"/>
      <c r="BH411" s="77"/>
      <c r="BI411" s="77"/>
    </row>
    <row r="412" spans="1:61" x14ac:dyDescent="0.25">
      <c r="A412" s="62" t="s">
        <v>357</v>
      </c>
      <c r="B412" s="62" t="s">
        <v>357</v>
      </c>
      <c r="C412" s="63"/>
      <c r="D412" s="64"/>
      <c r="E412" s="65"/>
      <c r="F412" s="66"/>
      <c r="G412" s="63"/>
      <c r="H412" s="67"/>
      <c r="I412" s="68"/>
      <c r="J412" s="68"/>
      <c r="K412" s="32"/>
      <c r="L412" s="75">
        <v>412</v>
      </c>
      <c r="M412" s="75"/>
      <c r="N412" s="70"/>
      <c r="O412" s="77" t="s">
        <v>179</v>
      </c>
      <c r="P412" s="79">
        <v>45169.381921296299</v>
      </c>
      <c r="Q412" s="77" t="s">
        <v>1291</v>
      </c>
      <c r="R412" s="77">
        <v>0</v>
      </c>
      <c r="S412" s="77">
        <v>0</v>
      </c>
      <c r="T412" s="77">
        <v>0</v>
      </c>
      <c r="U412" s="77">
        <v>0</v>
      </c>
      <c r="V412" s="77">
        <v>21</v>
      </c>
      <c r="W412" s="82" t="s">
        <v>5035</v>
      </c>
      <c r="X412" s="77"/>
      <c r="Y412" s="77"/>
      <c r="Z412" s="77"/>
      <c r="AA412" s="77" t="s">
        <v>6881</v>
      </c>
      <c r="AB412" s="77" t="s">
        <v>7742</v>
      </c>
      <c r="AC412" s="82" t="s">
        <v>7750</v>
      </c>
      <c r="AD412" s="77" t="s">
        <v>7788</v>
      </c>
      <c r="AE412" s="80" t="str">
        <f>HYPERLINK("https://twitter.com/earn2trade_br/status/1697174881379532882")</f>
        <v>https://twitter.com/earn2trade_br/status/1697174881379532882</v>
      </c>
      <c r="AF412" s="79">
        <v>45169.381921296299</v>
      </c>
      <c r="AG412" s="85">
        <v>45169</v>
      </c>
      <c r="AH412" s="82" t="s">
        <v>8154</v>
      </c>
      <c r="AI412" s="77" t="b">
        <v>0</v>
      </c>
      <c r="AJ412" s="77"/>
      <c r="AK412" s="77"/>
      <c r="AL412" s="77"/>
      <c r="AM412" s="77"/>
      <c r="AN412" s="77"/>
      <c r="AO412" s="77"/>
      <c r="AP412" s="77"/>
      <c r="AQ412" s="77" t="s">
        <v>10853</v>
      </c>
      <c r="AR412" s="77"/>
      <c r="AS412" s="77"/>
      <c r="AT412" s="77"/>
      <c r="AU412" s="77"/>
      <c r="AV412" s="80" t="str">
        <f>HYPERLINK("https://pbs.twimg.com/media/F42TjJiWkAALiT_.jpg")</f>
        <v>https://pbs.twimg.com/media/F42TjJiWkAALiT_.jpg</v>
      </c>
      <c r="AW412" s="82" t="s">
        <v>12115</v>
      </c>
      <c r="AX412" s="82" t="s">
        <v>12115</v>
      </c>
      <c r="AY412" s="77"/>
      <c r="AZ412" s="82" t="s">
        <v>15984</v>
      </c>
      <c r="BA412" s="82" t="s">
        <v>15984</v>
      </c>
      <c r="BB412" s="82" t="s">
        <v>15984</v>
      </c>
      <c r="BC412" s="82" t="s">
        <v>12115</v>
      </c>
      <c r="BD412" s="82" t="s">
        <v>16183</v>
      </c>
      <c r="BE412" s="77"/>
      <c r="BF412" s="77"/>
      <c r="BG412" s="77"/>
      <c r="BH412" s="77"/>
      <c r="BI412" s="77"/>
    </row>
    <row r="413" spans="1:61" x14ac:dyDescent="0.25">
      <c r="A413" s="62" t="s">
        <v>357</v>
      </c>
      <c r="B413" s="62" t="s">
        <v>357</v>
      </c>
      <c r="C413" s="63"/>
      <c r="D413" s="64"/>
      <c r="E413" s="65"/>
      <c r="F413" s="66"/>
      <c r="G413" s="63"/>
      <c r="H413" s="67"/>
      <c r="I413" s="68"/>
      <c r="J413" s="68"/>
      <c r="K413" s="32"/>
      <c r="L413" s="75">
        <v>413</v>
      </c>
      <c r="M413" s="75"/>
      <c r="N413" s="70"/>
      <c r="O413" s="77" t="s">
        <v>179</v>
      </c>
      <c r="P413" s="79">
        <v>45125.720879629633</v>
      </c>
      <c r="Q413" s="77" t="s">
        <v>1292</v>
      </c>
      <c r="R413" s="77">
        <v>0</v>
      </c>
      <c r="S413" s="77">
        <v>1</v>
      </c>
      <c r="T413" s="77">
        <v>0</v>
      </c>
      <c r="U413" s="77">
        <v>0</v>
      </c>
      <c r="V413" s="77">
        <v>19</v>
      </c>
      <c r="W413" s="82" t="s">
        <v>5033</v>
      </c>
      <c r="X413" s="77"/>
      <c r="Y413" s="77"/>
      <c r="Z413" s="77"/>
      <c r="AA413" s="77" t="s">
        <v>6882</v>
      </c>
      <c r="AB413" s="77" t="s">
        <v>7742</v>
      </c>
      <c r="AC413" s="82" t="s">
        <v>7750</v>
      </c>
      <c r="AD413" s="77" t="s">
        <v>7788</v>
      </c>
      <c r="AE413" s="80" t="str">
        <f>HYPERLINK("https://twitter.com/earn2trade_br/status/1681352650783178763")</f>
        <v>https://twitter.com/earn2trade_br/status/1681352650783178763</v>
      </c>
      <c r="AF413" s="79">
        <v>45125.720879629633</v>
      </c>
      <c r="AG413" s="85">
        <v>45125</v>
      </c>
      <c r="AH413" s="82" t="s">
        <v>8155</v>
      </c>
      <c r="AI413" s="77" t="b">
        <v>0</v>
      </c>
      <c r="AJ413" s="77"/>
      <c r="AK413" s="77"/>
      <c r="AL413" s="77"/>
      <c r="AM413" s="77"/>
      <c r="AN413" s="77"/>
      <c r="AO413" s="77"/>
      <c r="AP413" s="77"/>
      <c r="AQ413" s="77" t="s">
        <v>10854</v>
      </c>
      <c r="AR413" s="77"/>
      <c r="AS413" s="77"/>
      <c r="AT413" s="77"/>
      <c r="AU413" s="77"/>
      <c r="AV413" s="80" t="str">
        <f>HYPERLINK("https://pbs.twimg.com/media/F1VdTrBXwBYTjkG.jpg")</f>
        <v>https://pbs.twimg.com/media/F1VdTrBXwBYTjkG.jpg</v>
      </c>
      <c r="AW413" s="82" t="s">
        <v>12116</v>
      </c>
      <c r="AX413" s="82" t="s">
        <v>12116</v>
      </c>
      <c r="AY413" s="77"/>
      <c r="AZ413" s="82" t="s">
        <v>15984</v>
      </c>
      <c r="BA413" s="82" t="s">
        <v>15984</v>
      </c>
      <c r="BB413" s="82" t="s">
        <v>15984</v>
      </c>
      <c r="BC413" s="82" t="s">
        <v>12116</v>
      </c>
      <c r="BD413" s="82" t="s">
        <v>16183</v>
      </c>
      <c r="BE413" s="77"/>
      <c r="BF413" s="77"/>
      <c r="BG413" s="77"/>
      <c r="BH413" s="77"/>
      <c r="BI413" s="77"/>
    </row>
    <row r="414" spans="1:61" x14ac:dyDescent="0.25">
      <c r="A414" s="62" t="s">
        <v>357</v>
      </c>
      <c r="B414" s="62" t="s">
        <v>357</v>
      </c>
      <c r="C414" s="63"/>
      <c r="D414" s="64"/>
      <c r="E414" s="65"/>
      <c r="F414" s="66"/>
      <c r="G414" s="63"/>
      <c r="H414" s="67"/>
      <c r="I414" s="68"/>
      <c r="J414" s="68"/>
      <c r="K414" s="32"/>
      <c r="L414" s="75">
        <v>414</v>
      </c>
      <c r="M414" s="75"/>
      <c r="N414" s="70"/>
      <c r="O414" s="77" t="s">
        <v>179</v>
      </c>
      <c r="P414" s="79">
        <v>45168.989976851852</v>
      </c>
      <c r="Q414" s="77" t="s">
        <v>1293</v>
      </c>
      <c r="R414" s="77">
        <v>0</v>
      </c>
      <c r="S414" s="77">
        <v>0</v>
      </c>
      <c r="T414" s="77">
        <v>0</v>
      </c>
      <c r="U414" s="77">
        <v>0</v>
      </c>
      <c r="V414" s="77">
        <v>13</v>
      </c>
      <c r="W414" s="82" t="s">
        <v>5033</v>
      </c>
      <c r="X414" s="77"/>
      <c r="Y414" s="77"/>
      <c r="Z414" s="77"/>
      <c r="AA414" s="77" t="s">
        <v>6883</v>
      </c>
      <c r="AB414" s="77" t="s">
        <v>7742</v>
      </c>
      <c r="AC414" s="82" t="s">
        <v>7750</v>
      </c>
      <c r="AD414" s="77" t="s">
        <v>7788</v>
      </c>
      <c r="AE414" s="80" t="str">
        <f>HYPERLINK("https://twitter.com/earn2trade_br/status/1697032844411895925")</f>
        <v>https://twitter.com/earn2trade_br/status/1697032844411895925</v>
      </c>
      <c r="AF414" s="79">
        <v>45168.989976851852</v>
      </c>
      <c r="AG414" s="85">
        <v>45168</v>
      </c>
      <c r="AH414" s="82" t="s">
        <v>8156</v>
      </c>
      <c r="AI414" s="77" t="b">
        <v>0</v>
      </c>
      <c r="AJ414" s="77"/>
      <c r="AK414" s="77"/>
      <c r="AL414" s="77"/>
      <c r="AM414" s="77"/>
      <c r="AN414" s="77"/>
      <c r="AO414" s="77"/>
      <c r="AP414" s="77"/>
      <c r="AQ414" s="77" t="s">
        <v>10855</v>
      </c>
      <c r="AR414" s="77"/>
      <c r="AS414" s="77"/>
      <c r="AT414" s="77"/>
      <c r="AU414" s="77"/>
      <c r="AV414" s="80" t="str">
        <f>HYPERLINK("https://pbs.twimg.com/media/F40NHbwXgAA-V_k.jpg")</f>
        <v>https://pbs.twimg.com/media/F40NHbwXgAA-V_k.jpg</v>
      </c>
      <c r="AW414" s="82" t="s">
        <v>12117</v>
      </c>
      <c r="AX414" s="82" t="s">
        <v>12117</v>
      </c>
      <c r="AY414" s="77"/>
      <c r="AZ414" s="82" t="s">
        <v>15984</v>
      </c>
      <c r="BA414" s="82" t="s">
        <v>15984</v>
      </c>
      <c r="BB414" s="82" t="s">
        <v>15984</v>
      </c>
      <c r="BC414" s="82" t="s">
        <v>12117</v>
      </c>
      <c r="BD414" s="82" t="s">
        <v>16183</v>
      </c>
      <c r="BE414" s="77"/>
      <c r="BF414" s="77"/>
      <c r="BG414" s="77"/>
      <c r="BH414" s="77"/>
      <c r="BI414" s="77"/>
    </row>
    <row r="415" spans="1:61" x14ac:dyDescent="0.25">
      <c r="A415" s="62" t="s">
        <v>357</v>
      </c>
      <c r="B415" s="62" t="s">
        <v>357</v>
      </c>
      <c r="C415" s="63"/>
      <c r="D415" s="64"/>
      <c r="E415" s="65"/>
      <c r="F415" s="66"/>
      <c r="G415" s="63"/>
      <c r="H415" s="67"/>
      <c r="I415" s="68"/>
      <c r="J415" s="68"/>
      <c r="K415" s="32"/>
      <c r="L415" s="75">
        <v>415</v>
      </c>
      <c r="M415" s="75"/>
      <c r="N415" s="70"/>
      <c r="O415" s="77" t="s">
        <v>179</v>
      </c>
      <c r="P415" s="79">
        <v>45145.912662037037</v>
      </c>
      <c r="Q415" s="77" t="s">
        <v>1294</v>
      </c>
      <c r="R415" s="77">
        <v>0</v>
      </c>
      <c r="S415" s="77">
        <v>0</v>
      </c>
      <c r="T415" s="77">
        <v>1</v>
      </c>
      <c r="U415" s="77">
        <v>0</v>
      </c>
      <c r="V415" s="77">
        <v>8</v>
      </c>
      <c r="W415" s="82" t="s">
        <v>5033</v>
      </c>
      <c r="X415" s="77"/>
      <c r="Y415" s="77"/>
      <c r="Z415" s="77"/>
      <c r="AA415" s="77" t="s">
        <v>6884</v>
      </c>
      <c r="AB415" s="77" t="s">
        <v>7742</v>
      </c>
      <c r="AC415" s="82" t="s">
        <v>7750</v>
      </c>
      <c r="AD415" s="77" t="s">
        <v>7788</v>
      </c>
      <c r="AE415" s="80" t="str">
        <f>HYPERLINK("https://twitter.com/earn2trade_br/status/1688669906747772928")</f>
        <v>https://twitter.com/earn2trade_br/status/1688669906747772928</v>
      </c>
      <c r="AF415" s="79">
        <v>45145.912662037037</v>
      </c>
      <c r="AG415" s="85">
        <v>45145</v>
      </c>
      <c r="AH415" s="82" t="s">
        <v>8157</v>
      </c>
      <c r="AI415" s="77" t="b">
        <v>0</v>
      </c>
      <c r="AJ415" s="77"/>
      <c r="AK415" s="77"/>
      <c r="AL415" s="77"/>
      <c r="AM415" s="77"/>
      <c r="AN415" s="77"/>
      <c r="AO415" s="77"/>
      <c r="AP415" s="77"/>
      <c r="AQ415" s="77" t="s">
        <v>10856</v>
      </c>
      <c r="AR415" s="77"/>
      <c r="AS415" s="77"/>
      <c r="AT415" s="77"/>
      <c r="AU415" s="77"/>
      <c r="AV415" s="80" t="str">
        <f>HYPERLINK("https://pbs.twimg.com/media/F29cUupWcAAPo0I.jpg")</f>
        <v>https://pbs.twimg.com/media/F29cUupWcAAPo0I.jpg</v>
      </c>
      <c r="AW415" s="82" t="s">
        <v>12118</v>
      </c>
      <c r="AX415" s="82" t="s">
        <v>12118</v>
      </c>
      <c r="AY415" s="77"/>
      <c r="AZ415" s="82" t="s">
        <v>15984</v>
      </c>
      <c r="BA415" s="82" t="s">
        <v>15984</v>
      </c>
      <c r="BB415" s="82" t="s">
        <v>15984</v>
      </c>
      <c r="BC415" s="82" t="s">
        <v>12118</v>
      </c>
      <c r="BD415" s="82" t="s">
        <v>16183</v>
      </c>
      <c r="BE415" s="77"/>
      <c r="BF415" s="77"/>
      <c r="BG415" s="77"/>
      <c r="BH415" s="77"/>
      <c r="BI415" s="77"/>
    </row>
    <row r="416" spans="1:61" x14ac:dyDescent="0.25">
      <c r="A416" s="62" t="s">
        <v>357</v>
      </c>
      <c r="B416" s="62" t="s">
        <v>357</v>
      </c>
      <c r="C416" s="63"/>
      <c r="D416" s="64"/>
      <c r="E416" s="65"/>
      <c r="F416" s="66"/>
      <c r="G416" s="63"/>
      <c r="H416" s="67"/>
      <c r="I416" s="68"/>
      <c r="J416" s="68"/>
      <c r="K416" s="32"/>
      <c r="L416" s="75">
        <v>416</v>
      </c>
      <c r="M416" s="75"/>
      <c r="N416" s="70"/>
      <c r="O416" s="77" t="s">
        <v>179</v>
      </c>
      <c r="P416" s="79">
        <v>45126.7653587963</v>
      </c>
      <c r="Q416" s="77" t="s">
        <v>1295</v>
      </c>
      <c r="R416" s="77">
        <v>0</v>
      </c>
      <c r="S416" s="77">
        <v>0</v>
      </c>
      <c r="T416" s="77">
        <v>0</v>
      </c>
      <c r="U416" s="77">
        <v>0</v>
      </c>
      <c r="V416" s="77">
        <v>15</v>
      </c>
      <c r="W416" s="82" t="s">
        <v>5033</v>
      </c>
      <c r="X416" s="77"/>
      <c r="Y416" s="77"/>
      <c r="Z416" s="77"/>
      <c r="AA416" s="77" t="s">
        <v>6885</v>
      </c>
      <c r="AB416" s="77" t="s">
        <v>7742</v>
      </c>
      <c r="AC416" s="82" t="s">
        <v>7750</v>
      </c>
      <c r="AD416" s="77" t="s">
        <v>7788</v>
      </c>
      <c r="AE416" s="80" t="str">
        <f>HYPERLINK("https://twitter.com/earn2trade_br/status/1681731155161169935")</f>
        <v>https://twitter.com/earn2trade_br/status/1681731155161169935</v>
      </c>
      <c r="AF416" s="79">
        <v>45126.7653587963</v>
      </c>
      <c r="AG416" s="85">
        <v>45126</v>
      </c>
      <c r="AH416" s="82" t="s">
        <v>8158</v>
      </c>
      <c r="AI416" s="77" t="b">
        <v>0</v>
      </c>
      <c r="AJ416" s="77"/>
      <c r="AK416" s="77"/>
      <c r="AL416" s="77"/>
      <c r="AM416" s="77"/>
      <c r="AN416" s="77"/>
      <c r="AO416" s="77"/>
      <c r="AP416" s="77"/>
      <c r="AQ416" s="77" t="s">
        <v>10857</v>
      </c>
      <c r="AR416" s="77"/>
      <c r="AS416" s="77"/>
      <c r="AT416" s="77"/>
      <c r="AU416" s="77"/>
      <c r="AV416" s="80" t="str">
        <f>HYPERLINK("https://pbs.twimg.com/media/F1a1dlLWwBIJMTR.jpg")</f>
        <v>https://pbs.twimg.com/media/F1a1dlLWwBIJMTR.jpg</v>
      </c>
      <c r="AW416" s="82" t="s">
        <v>12119</v>
      </c>
      <c r="AX416" s="82" t="s">
        <v>12119</v>
      </c>
      <c r="AY416" s="77"/>
      <c r="AZ416" s="82" t="s">
        <v>15984</v>
      </c>
      <c r="BA416" s="82" t="s">
        <v>15984</v>
      </c>
      <c r="BB416" s="82" t="s">
        <v>15984</v>
      </c>
      <c r="BC416" s="82" t="s">
        <v>12119</v>
      </c>
      <c r="BD416" s="82" t="s">
        <v>16183</v>
      </c>
      <c r="BE416" s="77"/>
      <c r="BF416" s="77"/>
      <c r="BG416" s="77"/>
      <c r="BH416" s="77"/>
      <c r="BI416" s="77"/>
    </row>
    <row r="417" spans="1:61" x14ac:dyDescent="0.25">
      <c r="A417" s="62" t="s">
        <v>357</v>
      </c>
      <c r="B417" s="62" t="s">
        <v>357</v>
      </c>
      <c r="C417" s="63"/>
      <c r="D417" s="64"/>
      <c r="E417" s="65"/>
      <c r="F417" s="66"/>
      <c r="G417" s="63"/>
      <c r="H417" s="67"/>
      <c r="I417" s="68"/>
      <c r="J417" s="68"/>
      <c r="K417" s="32"/>
      <c r="L417" s="75">
        <v>417</v>
      </c>
      <c r="M417" s="75"/>
      <c r="N417" s="70"/>
      <c r="O417" s="77" t="s">
        <v>179</v>
      </c>
      <c r="P417" s="79">
        <v>45170.027743055558</v>
      </c>
      <c r="Q417" s="77" t="s">
        <v>1296</v>
      </c>
      <c r="R417" s="77">
        <v>0</v>
      </c>
      <c r="S417" s="77">
        <v>0</v>
      </c>
      <c r="T417" s="77">
        <v>0</v>
      </c>
      <c r="U417" s="77">
        <v>0</v>
      </c>
      <c r="V417" s="77">
        <v>16</v>
      </c>
      <c r="W417" s="82" t="s">
        <v>5033</v>
      </c>
      <c r="X417" s="80" t="str">
        <f>HYPERLINK("https://e2t.to/3YVSfhH")</f>
        <v>https://e2t.to/3YVSfhH</v>
      </c>
      <c r="Y417" s="77" t="s">
        <v>6499</v>
      </c>
      <c r="Z417" s="77"/>
      <c r="AA417" s="77" t="s">
        <v>6886</v>
      </c>
      <c r="AB417" s="77" t="s">
        <v>7742</v>
      </c>
      <c r="AC417" s="82" t="s">
        <v>7750</v>
      </c>
      <c r="AD417" s="77" t="s">
        <v>7788</v>
      </c>
      <c r="AE417" s="80" t="str">
        <f>HYPERLINK("https://twitter.com/earn2trade_br/status/1697408918211735780")</f>
        <v>https://twitter.com/earn2trade_br/status/1697408918211735780</v>
      </c>
      <c r="AF417" s="79">
        <v>45170.027743055558</v>
      </c>
      <c r="AG417" s="85">
        <v>45170</v>
      </c>
      <c r="AH417" s="82" t="s">
        <v>8159</v>
      </c>
      <c r="AI417" s="77" t="b">
        <v>0</v>
      </c>
      <c r="AJ417" s="77"/>
      <c r="AK417" s="77"/>
      <c r="AL417" s="77"/>
      <c r="AM417" s="77"/>
      <c r="AN417" s="77"/>
      <c r="AO417" s="77"/>
      <c r="AP417" s="77"/>
      <c r="AQ417" s="77" t="s">
        <v>10858</v>
      </c>
      <c r="AR417" s="77"/>
      <c r="AS417" s="77"/>
      <c r="AT417" s="77"/>
      <c r="AU417" s="77"/>
      <c r="AV417" s="80" t="str">
        <f>HYPERLINK("https://pbs.twimg.com/media/F45oZnHWQAASFI1.jpg")</f>
        <v>https://pbs.twimg.com/media/F45oZnHWQAASFI1.jpg</v>
      </c>
      <c r="AW417" s="82" t="s">
        <v>12120</v>
      </c>
      <c r="AX417" s="82" t="s">
        <v>12120</v>
      </c>
      <c r="AY417" s="77"/>
      <c r="AZ417" s="82" t="s">
        <v>15984</v>
      </c>
      <c r="BA417" s="82" t="s">
        <v>15984</v>
      </c>
      <c r="BB417" s="82" t="s">
        <v>15984</v>
      </c>
      <c r="BC417" s="82" t="s">
        <v>12120</v>
      </c>
      <c r="BD417" s="82" t="s">
        <v>16183</v>
      </c>
      <c r="BE417" s="77"/>
      <c r="BF417" s="77"/>
      <c r="BG417" s="77"/>
      <c r="BH417" s="77"/>
      <c r="BI417" s="77"/>
    </row>
    <row r="418" spans="1:61" x14ac:dyDescent="0.25">
      <c r="A418" s="62" t="s">
        <v>357</v>
      </c>
      <c r="B418" s="62" t="s">
        <v>357</v>
      </c>
      <c r="C418" s="63"/>
      <c r="D418" s="64"/>
      <c r="E418" s="65"/>
      <c r="F418" s="66"/>
      <c r="G418" s="63"/>
      <c r="H418" s="67"/>
      <c r="I418" s="68"/>
      <c r="J418" s="68"/>
      <c r="K418" s="32"/>
      <c r="L418" s="75">
        <v>418</v>
      </c>
      <c r="M418" s="75"/>
      <c r="N418" s="70"/>
      <c r="O418" s="77" t="s">
        <v>179</v>
      </c>
      <c r="P418" s="79">
        <v>45145.385000000002</v>
      </c>
      <c r="Q418" s="77" t="s">
        <v>1297</v>
      </c>
      <c r="R418" s="77">
        <v>0</v>
      </c>
      <c r="S418" s="77">
        <v>0</v>
      </c>
      <c r="T418" s="77">
        <v>0</v>
      </c>
      <c r="U418" s="77">
        <v>0</v>
      </c>
      <c r="V418" s="77">
        <v>13</v>
      </c>
      <c r="W418" s="82" t="s">
        <v>5033</v>
      </c>
      <c r="X418" s="80" t="str">
        <f>HYPERLINK("https://e2t.to/fb-tcp-pt")</f>
        <v>https://e2t.to/fb-tcp-pt</v>
      </c>
      <c r="Y418" s="77" t="s">
        <v>6499</v>
      </c>
      <c r="Z418" s="77"/>
      <c r="AA418" s="77" t="s">
        <v>6887</v>
      </c>
      <c r="AB418" s="77" t="s">
        <v>7743</v>
      </c>
      <c r="AC418" s="82" t="s">
        <v>7750</v>
      </c>
      <c r="AD418" s="77" t="s">
        <v>7788</v>
      </c>
      <c r="AE418" s="80" t="str">
        <f>HYPERLINK("https://twitter.com/earn2trade_br/status/1688478688025686016")</f>
        <v>https://twitter.com/earn2trade_br/status/1688478688025686016</v>
      </c>
      <c r="AF418" s="79">
        <v>45145.385000000002</v>
      </c>
      <c r="AG418" s="85">
        <v>45145</v>
      </c>
      <c r="AH418" s="82" t="s">
        <v>8160</v>
      </c>
      <c r="AI418" s="77" t="b">
        <v>0</v>
      </c>
      <c r="AJ418" s="77"/>
      <c r="AK418" s="77"/>
      <c r="AL418" s="77"/>
      <c r="AM418" s="77"/>
      <c r="AN418" s="77"/>
      <c r="AO418" s="77"/>
      <c r="AP418" s="77"/>
      <c r="AQ418" s="77" t="s">
        <v>10859</v>
      </c>
      <c r="AR418" s="77">
        <v>10010</v>
      </c>
      <c r="AS418" s="77"/>
      <c r="AT418" s="77"/>
      <c r="AU418" s="77"/>
      <c r="AV418" s="80" t="str">
        <f>HYPERLINK("https://pbs.twimg.com/ext_tw_video_thumb/1688478674478145536/pu/img/99Jib0I9jn3AfDIL.jpg")</f>
        <v>https://pbs.twimg.com/ext_tw_video_thumb/1688478674478145536/pu/img/99Jib0I9jn3AfDIL.jpg</v>
      </c>
      <c r="AW418" s="82" t="s">
        <v>12121</v>
      </c>
      <c r="AX418" s="82" t="s">
        <v>12121</v>
      </c>
      <c r="AY418" s="77"/>
      <c r="AZ418" s="82" t="s">
        <v>15984</v>
      </c>
      <c r="BA418" s="82" t="s">
        <v>15984</v>
      </c>
      <c r="BB418" s="82" t="s">
        <v>15984</v>
      </c>
      <c r="BC418" s="82" t="s">
        <v>12121</v>
      </c>
      <c r="BD418" s="82" t="s">
        <v>16183</v>
      </c>
      <c r="BE418" s="77"/>
      <c r="BF418" s="77"/>
      <c r="BG418" s="77"/>
      <c r="BH418" s="77"/>
      <c r="BI418" s="77"/>
    </row>
    <row r="419" spans="1:61" x14ac:dyDescent="0.25">
      <c r="A419" s="62" t="s">
        <v>357</v>
      </c>
      <c r="B419" s="62" t="s">
        <v>357</v>
      </c>
      <c r="C419" s="63"/>
      <c r="D419" s="64"/>
      <c r="E419" s="65"/>
      <c r="F419" s="66"/>
      <c r="G419" s="63"/>
      <c r="H419" s="67"/>
      <c r="I419" s="68"/>
      <c r="J419" s="68"/>
      <c r="K419" s="32"/>
      <c r="L419" s="75">
        <v>419</v>
      </c>
      <c r="M419" s="75"/>
      <c r="N419" s="70"/>
      <c r="O419" s="77" t="s">
        <v>179</v>
      </c>
      <c r="P419" s="79">
        <v>45174.829444444447</v>
      </c>
      <c r="Q419" s="77" t="s">
        <v>1298</v>
      </c>
      <c r="R419" s="77">
        <v>0</v>
      </c>
      <c r="S419" s="77">
        <v>0</v>
      </c>
      <c r="T419" s="77">
        <v>0</v>
      </c>
      <c r="U419" s="77">
        <v>0</v>
      </c>
      <c r="V419" s="77">
        <v>10</v>
      </c>
      <c r="W419" s="82" t="s">
        <v>5033</v>
      </c>
      <c r="X419" s="77"/>
      <c r="Y419" s="77"/>
      <c r="Z419" s="77"/>
      <c r="AA419" s="77" t="s">
        <v>6888</v>
      </c>
      <c r="AB419" s="77" t="s">
        <v>7742</v>
      </c>
      <c r="AC419" s="82" t="s">
        <v>7750</v>
      </c>
      <c r="AD419" s="77" t="s">
        <v>7788</v>
      </c>
      <c r="AE419" s="80" t="str">
        <f>HYPERLINK("https://twitter.com/earn2trade_br/status/1699148997313589440")</f>
        <v>https://twitter.com/earn2trade_br/status/1699148997313589440</v>
      </c>
      <c r="AF419" s="79">
        <v>45174.829444444447</v>
      </c>
      <c r="AG419" s="85">
        <v>45174</v>
      </c>
      <c r="AH419" s="82" t="s">
        <v>8161</v>
      </c>
      <c r="AI419" s="77" t="b">
        <v>0</v>
      </c>
      <c r="AJ419" s="77"/>
      <c r="AK419" s="77"/>
      <c r="AL419" s="77"/>
      <c r="AM419" s="77"/>
      <c r="AN419" s="77"/>
      <c r="AO419" s="77"/>
      <c r="AP419" s="77"/>
      <c r="AQ419" s="77" t="s">
        <v>10860</v>
      </c>
      <c r="AR419" s="77"/>
      <c r="AS419" s="77"/>
      <c r="AT419" s="77"/>
      <c r="AU419" s="77"/>
      <c r="AV419" s="80" t="str">
        <f>HYPERLINK("https://pbs.twimg.com/media/F5SW867XgAASxPm.jpg")</f>
        <v>https://pbs.twimg.com/media/F5SW867XgAASxPm.jpg</v>
      </c>
      <c r="AW419" s="82" t="s">
        <v>12122</v>
      </c>
      <c r="AX419" s="82" t="s">
        <v>12122</v>
      </c>
      <c r="AY419" s="77"/>
      <c r="AZ419" s="82" t="s">
        <v>15984</v>
      </c>
      <c r="BA419" s="82" t="s">
        <v>15984</v>
      </c>
      <c r="BB419" s="82" t="s">
        <v>15984</v>
      </c>
      <c r="BC419" s="82" t="s">
        <v>12122</v>
      </c>
      <c r="BD419" s="82" t="s">
        <v>16183</v>
      </c>
      <c r="BE419" s="77"/>
      <c r="BF419" s="77"/>
      <c r="BG419" s="77"/>
      <c r="BH419" s="77"/>
      <c r="BI419" s="77"/>
    </row>
    <row r="420" spans="1:61" x14ac:dyDescent="0.25">
      <c r="A420" s="62" t="s">
        <v>357</v>
      </c>
      <c r="B420" s="62" t="s">
        <v>357</v>
      </c>
      <c r="C420" s="63"/>
      <c r="D420" s="64"/>
      <c r="E420" s="65"/>
      <c r="F420" s="66"/>
      <c r="G420" s="63"/>
      <c r="H420" s="67"/>
      <c r="I420" s="68"/>
      <c r="J420" s="68"/>
      <c r="K420" s="32"/>
      <c r="L420" s="75">
        <v>420</v>
      </c>
      <c r="M420" s="75"/>
      <c r="N420" s="70"/>
      <c r="O420" s="77" t="s">
        <v>179</v>
      </c>
      <c r="P420" s="79">
        <v>45138.730590277781</v>
      </c>
      <c r="Q420" s="77" t="s">
        <v>1299</v>
      </c>
      <c r="R420" s="77">
        <v>0</v>
      </c>
      <c r="S420" s="77">
        <v>0</v>
      </c>
      <c r="T420" s="77">
        <v>0</v>
      </c>
      <c r="U420" s="77">
        <v>0</v>
      </c>
      <c r="V420" s="77">
        <v>5</v>
      </c>
      <c r="W420" s="82" t="s">
        <v>5033</v>
      </c>
      <c r="X420" s="77"/>
      <c r="Y420" s="77"/>
      <c r="Z420" s="77"/>
      <c r="AA420" s="77" t="s">
        <v>6889</v>
      </c>
      <c r="AB420" s="77" t="s">
        <v>7742</v>
      </c>
      <c r="AC420" s="82" t="s">
        <v>7750</v>
      </c>
      <c r="AD420" s="77" t="s">
        <v>7788</v>
      </c>
      <c r="AE420" s="80" t="str">
        <f>HYPERLINK("https://twitter.com/earn2trade_br/status/1686067210203119628")</f>
        <v>https://twitter.com/earn2trade_br/status/1686067210203119628</v>
      </c>
      <c r="AF420" s="79">
        <v>45138.730590277781</v>
      </c>
      <c r="AG420" s="85">
        <v>45138</v>
      </c>
      <c r="AH420" s="82" t="s">
        <v>8162</v>
      </c>
      <c r="AI420" s="77" t="b">
        <v>0</v>
      </c>
      <c r="AJ420" s="77"/>
      <c r="AK420" s="77"/>
      <c r="AL420" s="77"/>
      <c r="AM420" s="77"/>
      <c r="AN420" s="77"/>
      <c r="AO420" s="77"/>
      <c r="AP420" s="77"/>
      <c r="AQ420" s="77" t="s">
        <v>10861</v>
      </c>
      <c r="AR420" s="77"/>
      <c r="AS420" s="77"/>
      <c r="AT420" s="77"/>
      <c r="AU420" s="77"/>
      <c r="AV420" s="80" t="str">
        <f>HYPERLINK("https://pbs.twimg.com/media/F2YdKFEWQAAwdUz.jpg")</f>
        <v>https://pbs.twimg.com/media/F2YdKFEWQAAwdUz.jpg</v>
      </c>
      <c r="AW420" s="82" t="s">
        <v>12123</v>
      </c>
      <c r="AX420" s="82" t="s">
        <v>12123</v>
      </c>
      <c r="AY420" s="77"/>
      <c r="AZ420" s="82" t="s">
        <v>15984</v>
      </c>
      <c r="BA420" s="82" t="s">
        <v>15984</v>
      </c>
      <c r="BB420" s="82" t="s">
        <v>15984</v>
      </c>
      <c r="BC420" s="82" t="s">
        <v>12123</v>
      </c>
      <c r="BD420" s="82" t="s">
        <v>16183</v>
      </c>
      <c r="BE420" s="77"/>
      <c r="BF420" s="77"/>
      <c r="BG420" s="77"/>
      <c r="BH420" s="77"/>
      <c r="BI420" s="77"/>
    </row>
    <row r="421" spans="1:61" x14ac:dyDescent="0.25">
      <c r="A421" s="62" t="s">
        <v>357</v>
      </c>
      <c r="B421" s="62" t="s">
        <v>357</v>
      </c>
      <c r="C421" s="63"/>
      <c r="D421" s="64"/>
      <c r="E421" s="65"/>
      <c r="F421" s="66"/>
      <c r="G421" s="63"/>
      <c r="H421" s="67"/>
      <c r="I421" s="68"/>
      <c r="J421" s="68"/>
      <c r="K421" s="32"/>
      <c r="L421" s="75">
        <v>421</v>
      </c>
      <c r="M421" s="75"/>
      <c r="N421" s="70"/>
      <c r="O421" s="77" t="s">
        <v>179</v>
      </c>
      <c r="P421" s="79">
        <v>45129.855555555558</v>
      </c>
      <c r="Q421" s="77" t="s">
        <v>1300</v>
      </c>
      <c r="R421" s="77">
        <v>0</v>
      </c>
      <c r="S421" s="77">
        <v>0</v>
      </c>
      <c r="T421" s="77">
        <v>0</v>
      </c>
      <c r="U421" s="77">
        <v>0</v>
      </c>
      <c r="V421" s="77">
        <v>16</v>
      </c>
      <c r="W421" s="82" t="s">
        <v>5033</v>
      </c>
      <c r="X421" s="77"/>
      <c r="Y421" s="77"/>
      <c r="Z421" s="77"/>
      <c r="AA421" s="77" t="s">
        <v>6890</v>
      </c>
      <c r="AB421" s="77" t="s">
        <v>7742</v>
      </c>
      <c r="AC421" s="82" t="s">
        <v>7750</v>
      </c>
      <c r="AD421" s="77" t="s">
        <v>7788</v>
      </c>
      <c r="AE421" s="80" t="str">
        <f>HYPERLINK("https://twitter.com/earn2trade_br/status/1682851005459755008")</f>
        <v>https://twitter.com/earn2trade_br/status/1682851005459755008</v>
      </c>
      <c r="AF421" s="79">
        <v>45129.855555555558</v>
      </c>
      <c r="AG421" s="85">
        <v>45129</v>
      </c>
      <c r="AH421" s="82" t="s">
        <v>8163</v>
      </c>
      <c r="AI421" s="77" t="b">
        <v>0</v>
      </c>
      <c r="AJ421" s="77"/>
      <c r="AK421" s="77"/>
      <c r="AL421" s="77"/>
      <c r="AM421" s="77"/>
      <c r="AN421" s="77"/>
      <c r="AO421" s="77"/>
      <c r="AP421" s="77"/>
      <c r="AQ421" s="77" t="s">
        <v>10862</v>
      </c>
      <c r="AR421" s="77"/>
      <c r="AS421" s="77"/>
      <c r="AT421" s="77"/>
      <c r="AU421" s="77"/>
      <c r="AV421" s="80" t="str">
        <f>HYPERLINK("https://pbs.twimg.com/media/F1kvj-0XoAEH4N3.jpg")</f>
        <v>https://pbs.twimg.com/media/F1kvj-0XoAEH4N3.jpg</v>
      </c>
      <c r="AW421" s="82" t="s">
        <v>12124</v>
      </c>
      <c r="AX421" s="82" t="s">
        <v>12124</v>
      </c>
      <c r="AY421" s="77"/>
      <c r="AZ421" s="82" t="s">
        <v>15984</v>
      </c>
      <c r="BA421" s="82" t="s">
        <v>15984</v>
      </c>
      <c r="BB421" s="82" t="s">
        <v>15984</v>
      </c>
      <c r="BC421" s="82" t="s">
        <v>12124</v>
      </c>
      <c r="BD421" s="82" t="s">
        <v>16183</v>
      </c>
      <c r="BE421" s="77"/>
      <c r="BF421" s="77"/>
      <c r="BG421" s="77"/>
      <c r="BH421" s="77"/>
      <c r="BI421" s="77"/>
    </row>
    <row r="422" spans="1:61" x14ac:dyDescent="0.25">
      <c r="A422" s="62" t="s">
        <v>357</v>
      </c>
      <c r="B422" s="62" t="s">
        <v>357</v>
      </c>
      <c r="C422" s="63"/>
      <c r="D422" s="64"/>
      <c r="E422" s="65"/>
      <c r="F422" s="66"/>
      <c r="G422" s="63"/>
      <c r="H422" s="67"/>
      <c r="I422" s="68"/>
      <c r="J422" s="68"/>
      <c r="K422" s="32"/>
      <c r="L422" s="75">
        <v>422</v>
      </c>
      <c r="M422" s="75"/>
      <c r="N422" s="70"/>
      <c r="O422" s="77" t="s">
        <v>179</v>
      </c>
      <c r="P422" s="79">
        <v>45119.822268518517</v>
      </c>
      <c r="Q422" s="77" t="s">
        <v>1301</v>
      </c>
      <c r="R422" s="77">
        <v>0</v>
      </c>
      <c r="S422" s="77">
        <v>1</v>
      </c>
      <c r="T422" s="77">
        <v>0</v>
      </c>
      <c r="U422" s="77">
        <v>0</v>
      </c>
      <c r="V422" s="77">
        <v>15</v>
      </c>
      <c r="W422" s="82" t="s">
        <v>5033</v>
      </c>
      <c r="X422" s="77"/>
      <c r="Y422" s="77"/>
      <c r="Z422" s="77"/>
      <c r="AA422" s="77" t="s">
        <v>6891</v>
      </c>
      <c r="AB422" s="77" t="s">
        <v>7742</v>
      </c>
      <c r="AC422" s="82" t="s">
        <v>7750</v>
      </c>
      <c r="AD422" s="77" t="s">
        <v>7788</v>
      </c>
      <c r="AE422" s="80" t="str">
        <f>HYPERLINK("https://twitter.com/earn2trade_br/status/1679215064883027968")</f>
        <v>https://twitter.com/earn2trade_br/status/1679215064883027968</v>
      </c>
      <c r="AF422" s="79">
        <v>45119.822268518517</v>
      </c>
      <c r="AG422" s="85">
        <v>45119</v>
      </c>
      <c r="AH422" s="82" t="s">
        <v>8164</v>
      </c>
      <c r="AI422" s="77" t="b">
        <v>0</v>
      </c>
      <c r="AJ422" s="77"/>
      <c r="AK422" s="77"/>
      <c r="AL422" s="77"/>
      <c r="AM422" s="77"/>
      <c r="AN422" s="77"/>
      <c r="AO422" s="77"/>
      <c r="AP422" s="77"/>
      <c r="AQ422" s="77" t="s">
        <v>10863</v>
      </c>
      <c r="AR422" s="77"/>
      <c r="AS422" s="77"/>
      <c r="AT422" s="77"/>
      <c r="AU422" s="77"/>
      <c r="AV422" s="80" t="str">
        <f>HYPERLINK("https://pbs.twimg.com/media/F03FLuiXgAYPYr9.jpg")</f>
        <v>https://pbs.twimg.com/media/F03FLuiXgAYPYr9.jpg</v>
      </c>
      <c r="AW422" s="82" t="s">
        <v>12125</v>
      </c>
      <c r="AX422" s="82" t="s">
        <v>12125</v>
      </c>
      <c r="AY422" s="77"/>
      <c r="AZ422" s="82" t="s">
        <v>15984</v>
      </c>
      <c r="BA422" s="82" t="s">
        <v>15984</v>
      </c>
      <c r="BB422" s="82" t="s">
        <v>15984</v>
      </c>
      <c r="BC422" s="82" t="s">
        <v>12125</v>
      </c>
      <c r="BD422" s="82" t="s">
        <v>16183</v>
      </c>
      <c r="BE422" s="77"/>
      <c r="BF422" s="77"/>
      <c r="BG422" s="77"/>
      <c r="BH422" s="77"/>
      <c r="BI422" s="77"/>
    </row>
    <row r="423" spans="1:61" x14ac:dyDescent="0.25">
      <c r="A423" s="62" t="s">
        <v>357</v>
      </c>
      <c r="B423" s="62" t="s">
        <v>357</v>
      </c>
      <c r="C423" s="63"/>
      <c r="D423" s="64"/>
      <c r="E423" s="65"/>
      <c r="F423" s="66"/>
      <c r="G423" s="63"/>
      <c r="H423" s="67"/>
      <c r="I423" s="68"/>
      <c r="J423" s="68"/>
      <c r="K423" s="32"/>
      <c r="L423" s="75">
        <v>423</v>
      </c>
      <c r="M423" s="75"/>
      <c r="N423" s="70"/>
      <c r="O423" s="77" t="s">
        <v>179</v>
      </c>
      <c r="P423" s="79">
        <v>45172.856249999997</v>
      </c>
      <c r="Q423" s="77" t="s">
        <v>1302</v>
      </c>
      <c r="R423" s="77">
        <v>0</v>
      </c>
      <c r="S423" s="77">
        <v>0</v>
      </c>
      <c r="T423" s="77">
        <v>0</v>
      </c>
      <c r="U423" s="77">
        <v>0</v>
      </c>
      <c r="V423" s="77">
        <v>15</v>
      </c>
      <c r="W423" s="82" t="s">
        <v>5033</v>
      </c>
      <c r="X423" s="77"/>
      <c r="Y423" s="77"/>
      <c r="Z423" s="77"/>
      <c r="AA423" s="77" t="s">
        <v>6892</v>
      </c>
      <c r="AB423" s="77" t="s">
        <v>7742</v>
      </c>
      <c r="AC423" s="82" t="s">
        <v>7750</v>
      </c>
      <c r="AD423" s="77" t="s">
        <v>7788</v>
      </c>
      <c r="AE423" s="80" t="str">
        <f>HYPERLINK("https://twitter.com/earn2trade_br/status/1698433935363940774")</f>
        <v>https://twitter.com/earn2trade_br/status/1698433935363940774</v>
      </c>
      <c r="AF423" s="79">
        <v>45172.856249999997</v>
      </c>
      <c r="AG423" s="85">
        <v>45172</v>
      </c>
      <c r="AH423" s="82" t="s">
        <v>8165</v>
      </c>
      <c r="AI423" s="77" t="b">
        <v>0</v>
      </c>
      <c r="AJ423" s="77"/>
      <c r="AK423" s="77"/>
      <c r="AL423" s="77"/>
      <c r="AM423" s="77"/>
      <c r="AN423" s="77"/>
      <c r="AO423" s="77"/>
      <c r="AP423" s="77"/>
      <c r="AQ423" s="77" t="s">
        <v>10864</v>
      </c>
      <c r="AR423" s="77"/>
      <c r="AS423" s="77"/>
      <c r="AT423" s="77"/>
      <c r="AU423" s="77"/>
      <c r="AV423" s="80" t="str">
        <f>HYPERLINK("https://pbs.twimg.com/media/F5CnofQXAAAvsFt.jpg")</f>
        <v>https://pbs.twimg.com/media/F5CnofQXAAAvsFt.jpg</v>
      </c>
      <c r="AW423" s="82" t="s">
        <v>12126</v>
      </c>
      <c r="AX423" s="82" t="s">
        <v>12126</v>
      </c>
      <c r="AY423" s="77"/>
      <c r="AZ423" s="82" t="s">
        <v>15984</v>
      </c>
      <c r="BA423" s="82" t="s">
        <v>15984</v>
      </c>
      <c r="BB423" s="82" t="s">
        <v>15984</v>
      </c>
      <c r="BC423" s="82" t="s">
        <v>12126</v>
      </c>
      <c r="BD423" s="82" t="s">
        <v>16183</v>
      </c>
      <c r="BE423" s="77"/>
      <c r="BF423" s="77"/>
      <c r="BG423" s="77"/>
      <c r="BH423" s="77"/>
      <c r="BI423" s="77"/>
    </row>
    <row r="424" spans="1:61" x14ac:dyDescent="0.25">
      <c r="A424" s="62" t="s">
        <v>357</v>
      </c>
      <c r="B424" s="62" t="s">
        <v>357</v>
      </c>
      <c r="C424" s="63"/>
      <c r="D424" s="64"/>
      <c r="E424" s="65"/>
      <c r="F424" s="66"/>
      <c r="G424" s="63"/>
      <c r="H424" s="67"/>
      <c r="I424" s="68"/>
      <c r="J424" s="68"/>
      <c r="K424" s="32"/>
      <c r="L424" s="75">
        <v>424</v>
      </c>
      <c r="M424" s="75"/>
      <c r="N424" s="70"/>
      <c r="O424" s="77" t="s">
        <v>179</v>
      </c>
      <c r="P424" s="79">
        <v>45173.826932870368</v>
      </c>
      <c r="Q424" s="77" t="s">
        <v>1303</v>
      </c>
      <c r="R424" s="77">
        <v>0</v>
      </c>
      <c r="S424" s="77">
        <v>0</v>
      </c>
      <c r="T424" s="77">
        <v>1</v>
      </c>
      <c r="U424" s="77">
        <v>0</v>
      </c>
      <c r="V424" s="77">
        <v>18</v>
      </c>
      <c r="W424" s="82" t="s">
        <v>5033</v>
      </c>
      <c r="X424" s="77"/>
      <c r="Y424" s="77"/>
      <c r="Z424" s="77"/>
      <c r="AA424" s="77" t="s">
        <v>6893</v>
      </c>
      <c r="AB424" s="77" t="s">
        <v>7742</v>
      </c>
      <c r="AC424" s="82" t="s">
        <v>7750</v>
      </c>
      <c r="AD424" s="77" t="s">
        <v>7788</v>
      </c>
      <c r="AE424" s="80" t="str">
        <f>HYPERLINK("https://twitter.com/earn2trade_br/status/1698785698491322439")</f>
        <v>https://twitter.com/earn2trade_br/status/1698785698491322439</v>
      </c>
      <c r="AF424" s="79">
        <v>45173.826932870368</v>
      </c>
      <c r="AG424" s="85">
        <v>45173</v>
      </c>
      <c r="AH424" s="82" t="s">
        <v>8166</v>
      </c>
      <c r="AI424" s="77" t="b">
        <v>0</v>
      </c>
      <c r="AJ424" s="77"/>
      <c r="AK424" s="77"/>
      <c r="AL424" s="77"/>
      <c r="AM424" s="77"/>
      <c r="AN424" s="77"/>
      <c r="AO424" s="77"/>
      <c r="AP424" s="77"/>
      <c r="AQ424" s="77" t="s">
        <v>10865</v>
      </c>
      <c r="AR424" s="77"/>
      <c r="AS424" s="77"/>
      <c r="AT424" s="77"/>
      <c r="AU424" s="77"/>
      <c r="AV424" s="80" t="str">
        <f>HYPERLINK("https://pbs.twimg.com/media/F5NMlIGWoAA4y4b.jpg")</f>
        <v>https://pbs.twimg.com/media/F5NMlIGWoAA4y4b.jpg</v>
      </c>
      <c r="AW424" s="82" t="s">
        <v>12127</v>
      </c>
      <c r="AX424" s="82" t="s">
        <v>12127</v>
      </c>
      <c r="AY424" s="77"/>
      <c r="AZ424" s="82" t="s">
        <v>15984</v>
      </c>
      <c r="BA424" s="82" t="s">
        <v>15984</v>
      </c>
      <c r="BB424" s="82" t="s">
        <v>15984</v>
      </c>
      <c r="BC424" s="82" t="s">
        <v>12127</v>
      </c>
      <c r="BD424" s="82" t="s">
        <v>16183</v>
      </c>
      <c r="BE424" s="77"/>
      <c r="BF424" s="77"/>
      <c r="BG424" s="77"/>
      <c r="BH424" s="77"/>
      <c r="BI424" s="77"/>
    </row>
    <row r="425" spans="1:61" x14ac:dyDescent="0.25">
      <c r="A425" s="62" t="s">
        <v>357</v>
      </c>
      <c r="B425" s="62" t="s">
        <v>357</v>
      </c>
      <c r="C425" s="63"/>
      <c r="D425" s="64"/>
      <c r="E425" s="65"/>
      <c r="F425" s="66"/>
      <c r="G425" s="63"/>
      <c r="H425" s="67"/>
      <c r="I425" s="68"/>
      <c r="J425" s="68"/>
      <c r="K425" s="32"/>
      <c r="L425" s="75">
        <v>425</v>
      </c>
      <c r="M425" s="75"/>
      <c r="N425" s="70"/>
      <c r="O425" s="77" t="s">
        <v>179</v>
      </c>
      <c r="P425" s="79">
        <v>45161.865972222222</v>
      </c>
      <c r="Q425" s="77" t="s">
        <v>1304</v>
      </c>
      <c r="R425" s="77">
        <v>0</v>
      </c>
      <c r="S425" s="77">
        <v>0</v>
      </c>
      <c r="T425" s="77">
        <v>0</v>
      </c>
      <c r="U425" s="77">
        <v>0</v>
      </c>
      <c r="V425" s="77">
        <v>22</v>
      </c>
      <c r="W425" s="82" t="s">
        <v>5033</v>
      </c>
      <c r="X425" s="77"/>
      <c r="Y425" s="77"/>
      <c r="Z425" s="77"/>
      <c r="AA425" s="77" t="s">
        <v>6894</v>
      </c>
      <c r="AB425" s="77" t="s">
        <v>7742</v>
      </c>
      <c r="AC425" s="82" t="s">
        <v>7750</v>
      </c>
      <c r="AD425" s="77" t="s">
        <v>7788</v>
      </c>
      <c r="AE425" s="80" t="str">
        <f>HYPERLINK("https://twitter.com/earn2trade_br/status/1694451192020058421")</f>
        <v>https://twitter.com/earn2trade_br/status/1694451192020058421</v>
      </c>
      <c r="AF425" s="79">
        <v>45161.865972222222</v>
      </c>
      <c r="AG425" s="85">
        <v>45161</v>
      </c>
      <c r="AH425" s="82" t="s">
        <v>8051</v>
      </c>
      <c r="AI425" s="77" t="b">
        <v>0</v>
      </c>
      <c r="AJ425" s="77"/>
      <c r="AK425" s="77"/>
      <c r="AL425" s="77"/>
      <c r="AM425" s="77"/>
      <c r="AN425" s="77"/>
      <c r="AO425" s="77"/>
      <c r="AP425" s="77"/>
      <c r="AQ425" s="77" t="s">
        <v>10866</v>
      </c>
      <c r="AR425" s="77"/>
      <c r="AS425" s="77"/>
      <c r="AT425" s="77"/>
      <c r="AU425" s="77"/>
      <c r="AV425" s="80" t="str">
        <f>HYPERLINK("https://pbs.twimg.com/media/F4PRe4RWEAItHdb.jpg")</f>
        <v>https://pbs.twimg.com/media/F4PRe4RWEAItHdb.jpg</v>
      </c>
      <c r="AW425" s="82" t="s">
        <v>12128</v>
      </c>
      <c r="AX425" s="82" t="s">
        <v>12128</v>
      </c>
      <c r="AY425" s="77"/>
      <c r="AZ425" s="82" t="s">
        <v>15984</v>
      </c>
      <c r="BA425" s="82" t="s">
        <v>15984</v>
      </c>
      <c r="BB425" s="82" t="s">
        <v>15984</v>
      </c>
      <c r="BC425" s="82" t="s">
        <v>12128</v>
      </c>
      <c r="BD425" s="82" t="s">
        <v>16183</v>
      </c>
      <c r="BE425" s="77"/>
      <c r="BF425" s="77"/>
      <c r="BG425" s="77"/>
      <c r="BH425" s="77"/>
      <c r="BI425" s="77"/>
    </row>
    <row r="426" spans="1:61" x14ac:dyDescent="0.25">
      <c r="A426" s="62" t="s">
        <v>357</v>
      </c>
      <c r="B426" s="62" t="s">
        <v>357</v>
      </c>
      <c r="C426" s="63"/>
      <c r="D426" s="64"/>
      <c r="E426" s="65"/>
      <c r="F426" s="66"/>
      <c r="G426" s="63"/>
      <c r="H426" s="67"/>
      <c r="I426" s="68"/>
      <c r="J426" s="68"/>
      <c r="K426" s="32"/>
      <c r="L426" s="75">
        <v>426</v>
      </c>
      <c r="M426" s="75"/>
      <c r="N426" s="70"/>
      <c r="O426" s="77" t="s">
        <v>179</v>
      </c>
      <c r="P426" s="79">
        <v>45160.722546296296</v>
      </c>
      <c r="Q426" s="77" t="s">
        <v>1305</v>
      </c>
      <c r="R426" s="77">
        <v>0</v>
      </c>
      <c r="S426" s="77">
        <v>0</v>
      </c>
      <c r="T426" s="77">
        <v>1</v>
      </c>
      <c r="U426" s="77">
        <v>0</v>
      </c>
      <c r="V426" s="77">
        <v>21</v>
      </c>
      <c r="W426" s="82" t="s">
        <v>5033</v>
      </c>
      <c r="X426" s="77"/>
      <c r="Y426" s="77"/>
      <c r="Z426" s="77"/>
      <c r="AA426" s="77" t="s">
        <v>6895</v>
      </c>
      <c r="AB426" s="77" t="s">
        <v>7742</v>
      </c>
      <c r="AC426" s="82" t="s">
        <v>7750</v>
      </c>
      <c r="AD426" s="77" t="s">
        <v>7788</v>
      </c>
      <c r="AE426" s="80" t="str">
        <f>HYPERLINK("https://twitter.com/earn2trade_br/status/1694036830667043280")</f>
        <v>https://twitter.com/earn2trade_br/status/1694036830667043280</v>
      </c>
      <c r="AF426" s="79">
        <v>45160.722546296296</v>
      </c>
      <c r="AG426" s="85">
        <v>45160</v>
      </c>
      <c r="AH426" s="82" t="s">
        <v>8167</v>
      </c>
      <c r="AI426" s="77" t="b">
        <v>0</v>
      </c>
      <c r="AJ426" s="77"/>
      <c r="AK426" s="77"/>
      <c r="AL426" s="77"/>
      <c r="AM426" s="77"/>
      <c r="AN426" s="77"/>
      <c r="AO426" s="77"/>
      <c r="AP426" s="77"/>
      <c r="AQ426" s="77" t="s">
        <v>10867</v>
      </c>
      <c r="AR426" s="77"/>
      <c r="AS426" s="77"/>
      <c r="AT426" s="77"/>
      <c r="AU426" s="77"/>
      <c r="AV426" s="80" t="str">
        <f>HYPERLINK("https://pbs.twimg.com/media/F4JtgybW8AE33sb.jpg")</f>
        <v>https://pbs.twimg.com/media/F4JtgybW8AE33sb.jpg</v>
      </c>
      <c r="AW426" s="82" t="s">
        <v>12129</v>
      </c>
      <c r="AX426" s="82" t="s">
        <v>12129</v>
      </c>
      <c r="AY426" s="77"/>
      <c r="AZ426" s="82" t="s">
        <v>15984</v>
      </c>
      <c r="BA426" s="82" t="s">
        <v>15984</v>
      </c>
      <c r="BB426" s="82" t="s">
        <v>15984</v>
      </c>
      <c r="BC426" s="82" t="s">
        <v>12129</v>
      </c>
      <c r="BD426" s="82" t="s">
        <v>16183</v>
      </c>
      <c r="BE426" s="77"/>
      <c r="BF426" s="77"/>
      <c r="BG426" s="77"/>
      <c r="BH426" s="77"/>
      <c r="BI426" s="77"/>
    </row>
    <row r="427" spans="1:61" x14ac:dyDescent="0.25">
      <c r="A427" s="62" t="s">
        <v>357</v>
      </c>
      <c r="B427" s="62" t="s">
        <v>357</v>
      </c>
      <c r="C427" s="63"/>
      <c r="D427" s="64"/>
      <c r="E427" s="65"/>
      <c r="F427" s="66"/>
      <c r="G427" s="63"/>
      <c r="H427" s="67"/>
      <c r="I427" s="68"/>
      <c r="J427" s="68"/>
      <c r="K427" s="32"/>
      <c r="L427" s="75">
        <v>427</v>
      </c>
      <c r="M427" s="75"/>
      <c r="N427" s="70"/>
      <c r="O427" s="77" t="s">
        <v>179</v>
      </c>
      <c r="P427" s="79">
        <v>45123.859722222223</v>
      </c>
      <c r="Q427" s="77" t="s">
        <v>1306</v>
      </c>
      <c r="R427" s="77">
        <v>0</v>
      </c>
      <c r="S427" s="77">
        <v>1</v>
      </c>
      <c r="T427" s="77">
        <v>0</v>
      </c>
      <c r="U427" s="77">
        <v>0</v>
      </c>
      <c r="V427" s="77">
        <v>16</v>
      </c>
      <c r="W427" s="82" t="s">
        <v>5033</v>
      </c>
      <c r="X427" s="77"/>
      <c r="Y427" s="77"/>
      <c r="Z427" s="77"/>
      <c r="AA427" s="77" t="s">
        <v>6896</v>
      </c>
      <c r="AB427" s="77" t="s">
        <v>7742</v>
      </c>
      <c r="AC427" s="82" t="s">
        <v>7750</v>
      </c>
      <c r="AD427" s="77" t="s">
        <v>7788</v>
      </c>
      <c r="AE427" s="80" t="str">
        <f>HYPERLINK("https://twitter.com/earn2trade_br/status/1680678188198907908")</f>
        <v>https://twitter.com/earn2trade_br/status/1680678188198907908</v>
      </c>
      <c r="AF427" s="79">
        <v>45123.859722222223</v>
      </c>
      <c r="AG427" s="85">
        <v>45123</v>
      </c>
      <c r="AH427" s="82" t="s">
        <v>8168</v>
      </c>
      <c r="AI427" s="77" t="b">
        <v>0</v>
      </c>
      <c r="AJ427" s="77"/>
      <c r="AK427" s="77"/>
      <c r="AL427" s="77"/>
      <c r="AM427" s="77"/>
      <c r="AN427" s="77"/>
      <c r="AO427" s="77"/>
      <c r="AP427" s="77"/>
      <c r="AQ427" s="77" t="s">
        <v>10868</v>
      </c>
      <c r="AR427" s="77"/>
      <c r="AS427" s="77"/>
      <c r="AT427" s="77"/>
      <c r="AU427" s="77"/>
      <c r="AV427" s="80" t="str">
        <f>HYPERLINK("https://pbs.twimg.com/media/F1BkxGuXoAAMsfs.jpg")</f>
        <v>https://pbs.twimg.com/media/F1BkxGuXoAAMsfs.jpg</v>
      </c>
      <c r="AW427" s="82" t="s">
        <v>12130</v>
      </c>
      <c r="AX427" s="82" t="s">
        <v>12130</v>
      </c>
      <c r="AY427" s="77"/>
      <c r="AZ427" s="82" t="s">
        <v>15984</v>
      </c>
      <c r="BA427" s="82" t="s">
        <v>15984</v>
      </c>
      <c r="BB427" s="82" t="s">
        <v>15984</v>
      </c>
      <c r="BC427" s="82" t="s">
        <v>12130</v>
      </c>
      <c r="BD427" s="82" t="s">
        <v>16183</v>
      </c>
      <c r="BE427" s="77"/>
      <c r="BF427" s="77"/>
      <c r="BG427" s="77"/>
      <c r="BH427" s="77"/>
      <c r="BI427" s="77"/>
    </row>
    <row r="428" spans="1:61" x14ac:dyDescent="0.25">
      <c r="A428" s="62" t="s">
        <v>357</v>
      </c>
      <c r="B428" s="62" t="s">
        <v>357</v>
      </c>
      <c r="C428" s="63"/>
      <c r="D428" s="64"/>
      <c r="E428" s="65"/>
      <c r="F428" s="66"/>
      <c r="G428" s="63"/>
      <c r="H428" s="67"/>
      <c r="I428" s="68"/>
      <c r="J428" s="68"/>
      <c r="K428" s="32"/>
      <c r="L428" s="75">
        <v>428</v>
      </c>
      <c r="M428" s="75"/>
      <c r="N428" s="70"/>
      <c r="O428" s="77" t="s">
        <v>179</v>
      </c>
      <c r="P428" s="79">
        <v>45176.934594907405</v>
      </c>
      <c r="Q428" s="77" t="s">
        <v>1307</v>
      </c>
      <c r="R428" s="77">
        <v>0</v>
      </c>
      <c r="S428" s="77">
        <v>0</v>
      </c>
      <c r="T428" s="77">
        <v>0</v>
      </c>
      <c r="U428" s="77">
        <v>0</v>
      </c>
      <c r="V428" s="77">
        <v>14</v>
      </c>
      <c r="W428" s="82" t="s">
        <v>5033</v>
      </c>
      <c r="X428" s="80" t="str">
        <f>HYPERLINK("https://e2t.to/3L9RCeU")</f>
        <v>https://e2t.to/3L9RCeU</v>
      </c>
      <c r="Y428" s="77" t="s">
        <v>6499</v>
      </c>
      <c r="Z428" s="77"/>
      <c r="AA428" s="77" t="s">
        <v>6897</v>
      </c>
      <c r="AB428" s="77" t="s">
        <v>7742</v>
      </c>
      <c r="AC428" s="82" t="s">
        <v>7750</v>
      </c>
      <c r="AD428" s="77" t="s">
        <v>7788</v>
      </c>
      <c r="AE428" s="80" t="str">
        <f>HYPERLINK("https://twitter.com/earn2trade_br/status/1699911877143445893")</f>
        <v>https://twitter.com/earn2trade_br/status/1699911877143445893</v>
      </c>
      <c r="AF428" s="79">
        <v>45176.934594907405</v>
      </c>
      <c r="AG428" s="85">
        <v>45176</v>
      </c>
      <c r="AH428" s="82" t="s">
        <v>8169</v>
      </c>
      <c r="AI428" s="77" t="b">
        <v>0</v>
      </c>
      <c r="AJ428" s="77"/>
      <c r="AK428" s="77"/>
      <c r="AL428" s="77"/>
      <c r="AM428" s="77"/>
      <c r="AN428" s="77"/>
      <c r="AO428" s="77"/>
      <c r="AP428" s="77"/>
      <c r="AQ428" s="77" t="s">
        <v>10869</v>
      </c>
      <c r="AR428" s="77"/>
      <c r="AS428" s="77"/>
      <c r="AT428" s="77"/>
      <c r="AU428" s="77"/>
      <c r="AV428" s="80" t="str">
        <f>HYPERLINK("https://pbs.twimg.com/media/F5dMt-tXcAAeMkU.jpg")</f>
        <v>https://pbs.twimg.com/media/F5dMt-tXcAAeMkU.jpg</v>
      </c>
      <c r="AW428" s="82" t="s">
        <v>12131</v>
      </c>
      <c r="AX428" s="82" t="s">
        <v>12131</v>
      </c>
      <c r="AY428" s="77"/>
      <c r="AZ428" s="82" t="s">
        <v>15984</v>
      </c>
      <c r="BA428" s="82" t="s">
        <v>15984</v>
      </c>
      <c r="BB428" s="82" t="s">
        <v>15984</v>
      </c>
      <c r="BC428" s="82" t="s">
        <v>12131</v>
      </c>
      <c r="BD428" s="82" t="s">
        <v>16183</v>
      </c>
      <c r="BE428" s="77"/>
      <c r="BF428" s="77"/>
      <c r="BG428" s="77"/>
      <c r="BH428" s="77"/>
      <c r="BI428" s="77"/>
    </row>
    <row r="429" spans="1:61" x14ac:dyDescent="0.25">
      <c r="A429" s="62" t="s">
        <v>357</v>
      </c>
      <c r="B429" s="62" t="s">
        <v>357</v>
      </c>
      <c r="C429" s="63"/>
      <c r="D429" s="64"/>
      <c r="E429" s="65"/>
      <c r="F429" s="66"/>
      <c r="G429" s="63"/>
      <c r="H429" s="67"/>
      <c r="I429" s="68"/>
      <c r="J429" s="68"/>
      <c r="K429" s="32"/>
      <c r="L429" s="75">
        <v>429</v>
      </c>
      <c r="M429" s="75"/>
      <c r="N429" s="70"/>
      <c r="O429" s="77" t="s">
        <v>179</v>
      </c>
      <c r="P429" s="79">
        <v>45147.451354166667</v>
      </c>
      <c r="Q429" s="77" t="s">
        <v>1308</v>
      </c>
      <c r="R429" s="77">
        <v>0</v>
      </c>
      <c r="S429" s="77">
        <v>0</v>
      </c>
      <c r="T429" s="77">
        <v>0</v>
      </c>
      <c r="U429" s="77">
        <v>0</v>
      </c>
      <c r="V429" s="77">
        <v>6</v>
      </c>
      <c r="W429" s="82" t="s">
        <v>5036</v>
      </c>
      <c r="X429" s="80" t="str">
        <f>HYPERLINK("https://e2t.to/45k8jf5")</f>
        <v>https://e2t.to/45k8jf5</v>
      </c>
      <c r="Y429" s="77" t="s">
        <v>6499</v>
      </c>
      <c r="Z429" s="77"/>
      <c r="AA429" s="77"/>
      <c r="AB429" s="77"/>
      <c r="AC429" s="82" t="s">
        <v>7750</v>
      </c>
      <c r="AD429" s="77" t="s">
        <v>7788</v>
      </c>
      <c r="AE429" s="80" t="str">
        <f>HYPERLINK("https://twitter.com/earn2trade_br/status/1689227511966666752")</f>
        <v>https://twitter.com/earn2trade_br/status/1689227511966666752</v>
      </c>
      <c r="AF429" s="79">
        <v>45147.451354166667</v>
      </c>
      <c r="AG429" s="85">
        <v>45147</v>
      </c>
      <c r="AH429" s="82" t="s">
        <v>8170</v>
      </c>
      <c r="AI429" s="77" t="b">
        <v>0</v>
      </c>
      <c r="AJ429" s="77"/>
      <c r="AK429" s="77"/>
      <c r="AL429" s="77"/>
      <c r="AM429" s="77"/>
      <c r="AN429" s="77"/>
      <c r="AO429" s="77"/>
      <c r="AP429" s="77"/>
      <c r="AQ429" s="77"/>
      <c r="AR429" s="77"/>
      <c r="AS429" s="77"/>
      <c r="AT429" s="77"/>
      <c r="AU429" s="77"/>
      <c r="AV429" s="80" t="str">
        <f>HYPERLINK("https://pbs.twimg.com/profile_images/1693639422074351616/hU9mP7eb_normal.jpg")</f>
        <v>https://pbs.twimg.com/profile_images/1693639422074351616/hU9mP7eb_normal.jpg</v>
      </c>
      <c r="AW429" s="82" t="s">
        <v>12132</v>
      </c>
      <c r="AX429" s="82" t="s">
        <v>12132</v>
      </c>
      <c r="AY429" s="77"/>
      <c r="AZ429" s="82" t="s">
        <v>15984</v>
      </c>
      <c r="BA429" s="82" t="s">
        <v>15984</v>
      </c>
      <c r="BB429" s="82" t="s">
        <v>15984</v>
      </c>
      <c r="BC429" s="82" t="s">
        <v>12132</v>
      </c>
      <c r="BD429" s="82" t="s">
        <v>16183</v>
      </c>
      <c r="BE429" s="77"/>
      <c r="BF429" s="77"/>
      <c r="BG429" s="77"/>
      <c r="BH429" s="77"/>
      <c r="BI429" s="77"/>
    </row>
    <row r="430" spans="1:61" x14ac:dyDescent="0.25">
      <c r="A430" s="62" t="s">
        <v>357</v>
      </c>
      <c r="B430" s="62" t="s">
        <v>357</v>
      </c>
      <c r="C430" s="63"/>
      <c r="D430" s="64"/>
      <c r="E430" s="65"/>
      <c r="F430" s="66"/>
      <c r="G430" s="63"/>
      <c r="H430" s="67"/>
      <c r="I430" s="68"/>
      <c r="J430" s="68"/>
      <c r="K430" s="32"/>
      <c r="L430" s="75">
        <v>430</v>
      </c>
      <c r="M430" s="75"/>
      <c r="N430" s="70"/>
      <c r="O430" s="77" t="s">
        <v>179</v>
      </c>
      <c r="P430" s="79">
        <v>45177.762499999997</v>
      </c>
      <c r="Q430" s="77" t="s">
        <v>1309</v>
      </c>
      <c r="R430" s="77">
        <v>0</v>
      </c>
      <c r="S430" s="77">
        <v>0</v>
      </c>
      <c r="T430" s="77">
        <v>0</v>
      </c>
      <c r="U430" s="77">
        <v>0</v>
      </c>
      <c r="V430" s="77">
        <v>7</v>
      </c>
      <c r="W430" s="82" t="s">
        <v>5033</v>
      </c>
      <c r="X430" s="77"/>
      <c r="Y430" s="77"/>
      <c r="Z430" s="77"/>
      <c r="AA430" s="77" t="s">
        <v>6898</v>
      </c>
      <c r="AB430" s="77" t="s">
        <v>7742</v>
      </c>
      <c r="AC430" s="82" t="s">
        <v>7750</v>
      </c>
      <c r="AD430" s="77" t="s">
        <v>7788</v>
      </c>
      <c r="AE430" s="80" t="str">
        <f>HYPERLINK("https://twitter.com/earn2trade_br/status/1700211901643284786")</f>
        <v>https://twitter.com/earn2trade_br/status/1700211901643284786</v>
      </c>
      <c r="AF430" s="79">
        <v>45177.762499999997</v>
      </c>
      <c r="AG430" s="85">
        <v>45177</v>
      </c>
      <c r="AH430" s="82" t="s">
        <v>8171</v>
      </c>
      <c r="AI430" s="77" t="b">
        <v>0</v>
      </c>
      <c r="AJ430" s="77"/>
      <c r="AK430" s="77"/>
      <c r="AL430" s="77"/>
      <c r="AM430" s="77"/>
      <c r="AN430" s="77"/>
      <c r="AO430" s="77"/>
      <c r="AP430" s="77"/>
      <c r="AQ430" s="77" t="s">
        <v>10870</v>
      </c>
      <c r="AR430" s="77"/>
      <c r="AS430" s="77"/>
      <c r="AT430" s="77"/>
      <c r="AU430" s="77"/>
      <c r="AV430" s="80" t="str">
        <f>HYPERLINK("https://pbs.twimg.com/media/F5hdsmQW4AAdSDI.jpg")</f>
        <v>https://pbs.twimg.com/media/F5hdsmQW4AAdSDI.jpg</v>
      </c>
      <c r="AW430" s="82" t="s">
        <v>12133</v>
      </c>
      <c r="AX430" s="82" t="s">
        <v>12133</v>
      </c>
      <c r="AY430" s="77"/>
      <c r="AZ430" s="82" t="s">
        <v>15984</v>
      </c>
      <c r="BA430" s="82" t="s">
        <v>15984</v>
      </c>
      <c r="BB430" s="82" t="s">
        <v>15984</v>
      </c>
      <c r="BC430" s="82" t="s">
        <v>12133</v>
      </c>
      <c r="BD430" s="82" t="s">
        <v>16183</v>
      </c>
      <c r="BE430" s="77"/>
      <c r="BF430" s="77"/>
      <c r="BG430" s="77"/>
      <c r="BH430" s="77"/>
      <c r="BI430" s="77"/>
    </row>
    <row r="431" spans="1:61" x14ac:dyDescent="0.25">
      <c r="A431" s="62" t="s">
        <v>357</v>
      </c>
      <c r="B431" s="62" t="s">
        <v>357</v>
      </c>
      <c r="C431" s="63"/>
      <c r="D431" s="64"/>
      <c r="E431" s="65"/>
      <c r="F431" s="66"/>
      <c r="G431" s="63"/>
      <c r="H431" s="67"/>
      <c r="I431" s="68"/>
      <c r="J431" s="68"/>
      <c r="K431" s="32"/>
      <c r="L431" s="75">
        <v>431</v>
      </c>
      <c r="M431" s="75"/>
      <c r="N431" s="70"/>
      <c r="O431" s="77" t="s">
        <v>179</v>
      </c>
      <c r="P431" s="79">
        <v>45163.82104166667</v>
      </c>
      <c r="Q431" s="77" t="s">
        <v>1310</v>
      </c>
      <c r="R431" s="77">
        <v>0</v>
      </c>
      <c r="S431" s="77">
        <v>0</v>
      </c>
      <c r="T431" s="77">
        <v>1</v>
      </c>
      <c r="U431" s="77">
        <v>0</v>
      </c>
      <c r="V431" s="77">
        <v>11</v>
      </c>
      <c r="W431" s="82" t="s">
        <v>5033</v>
      </c>
      <c r="X431" s="80" t="str">
        <f>HYPERLINK("https://e2t.to/3OPebX3")</f>
        <v>https://e2t.to/3OPebX3</v>
      </c>
      <c r="Y431" s="77" t="s">
        <v>6499</v>
      </c>
      <c r="Z431" s="77"/>
      <c r="AA431" s="77" t="s">
        <v>6899</v>
      </c>
      <c r="AB431" s="77" t="s">
        <v>7742</v>
      </c>
      <c r="AC431" s="82" t="s">
        <v>7750</v>
      </c>
      <c r="AD431" s="77" t="s">
        <v>7788</v>
      </c>
      <c r="AE431" s="80" t="str">
        <f>HYPERLINK("https://twitter.com/earn2trade_br/status/1695159685802824126")</f>
        <v>https://twitter.com/earn2trade_br/status/1695159685802824126</v>
      </c>
      <c r="AF431" s="79">
        <v>45163.82104166667</v>
      </c>
      <c r="AG431" s="85">
        <v>45163</v>
      </c>
      <c r="AH431" s="82" t="s">
        <v>8172</v>
      </c>
      <c r="AI431" s="77" t="b">
        <v>0</v>
      </c>
      <c r="AJ431" s="77"/>
      <c r="AK431" s="77"/>
      <c r="AL431" s="77"/>
      <c r="AM431" s="77"/>
      <c r="AN431" s="77"/>
      <c r="AO431" s="77"/>
      <c r="AP431" s="77"/>
      <c r="AQ431" s="77" t="s">
        <v>10871</v>
      </c>
      <c r="AR431" s="77"/>
      <c r="AS431" s="77"/>
      <c r="AT431" s="77"/>
      <c r="AU431" s="77"/>
      <c r="AV431" s="80" t="str">
        <f>HYPERLINK("https://pbs.twimg.com/media/F4Zqvh4XAAAioyP.jpg")</f>
        <v>https://pbs.twimg.com/media/F4Zqvh4XAAAioyP.jpg</v>
      </c>
      <c r="AW431" s="82" t="s">
        <v>12134</v>
      </c>
      <c r="AX431" s="82" t="s">
        <v>12134</v>
      </c>
      <c r="AY431" s="77"/>
      <c r="AZ431" s="82" t="s">
        <v>15984</v>
      </c>
      <c r="BA431" s="82" t="s">
        <v>15984</v>
      </c>
      <c r="BB431" s="82" t="s">
        <v>15984</v>
      </c>
      <c r="BC431" s="82" t="s">
        <v>12134</v>
      </c>
      <c r="BD431" s="82" t="s">
        <v>16183</v>
      </c>
      <c r="BE431" s="77"/>
      <c r="BF431" s="77"/>
      <c r="BG431" s="77"/>
      <c r="BH431" s="77"/>
      <c r="BI431" s="77"/>
    </row>
    <row r="432" spans="1:61" x14ac:dyDescent="0.25">
      <c r="A432" s="62" t="s">
        <v>357</v>
      </c>
      <c r="B432" s="62" t="s">
        <v>357</v>
      </c>
      <c r="C432" s="63"/>
      <c r="D432" s="64"/>
      <c r="E432" s="65"/>
      <c r="F432" s="66"/>
      <c r="G432" s="63"/>
      <c r="H432" s="67"/>
      <c r="I432" s="68"/>
      <c r="J432" s="68"/>
      <c r="K432" s="32"/>
      <c r="L432" s="75">
        <v>432</v>
      </c>
      <c r="M432" s="75"/>
      <c r="N432" s="70"/>
      <c r="O432" s="77" t="s">
        <v>179</v>
      </c>
      <c r="P432" s="79">
        <v>45151.859027777777</v>
      </c>
      <c r="Q432" s="77" t="s">
        <v>1311</v>
      </c>
      <c r="R432" s="77">
        <v>0</v>
      </c>
      <c r="S432" s="77">
        <v>0</v>
      </c>
      <c r="T432" s="77">
        <v>1</v>
      </c>
      <c r="U432" s="77">
        <v>0</v>
      </c>
      <c r="V432" s="77">
        <v>11</v>
      </c>
      <c r="W432" s="82" t="s">
        <v>5033</v>
      </c>
      <c r="X432" s="77"/>
      <c r="Y432" s="77"/>
      <c r="Z432" s="77"/>
      <c r="AA432" s="77" t="s">
        <v>6900</v>
      </c>
      <c r="AB432" s="77" t="s">
        <v>7742</v>
      </c>
      <c r="AC432" s="82" t="s">
        <v>7750</v>
      </c>
      <c r="AD432" s="77" t="s">
        <v>7788</v>
      </c>
      <c r="AE432" s="80" t="str">
        <f>HYPERLINK("https://twitter.com/earn2trade_br/status/1690824796765065216")</f>
        <v>https://twitter.com/earn2trade_br/status/1690824796765065216</v>
      </c>
      <c r="AF432" s="79">
        <v>45151.859027777777</v>
      </c>
      <c r="AG432" s="85">
        <v>45151</v>
      </c>
      <c r="AH432" s="82" t="s">
        <v>8173</v>
      </c>
      <c r="AI432" s="77" t="b">
        <v>0</v>
      </c>
      <c r="AJ432" s="77"/>
      <c r="AK432" s="77"/>
      <c r="AL432" s="77"/>
      <c r="AM432" s="77"/>
      <c r="AN432" s="77"/>
      <c r="AO432" s="77"/>
      <c r="AP432" s="77"/>
      <c r="AQ432" s="77" t="s">
        <v>10872</v>
      </c>
      <c r="AR432" s="77"/>
      <c r="AS432" s="77"/>
      <c r="AT432" s="77"/>
      <c r="AU432" s="77"/>
      <c r="AV432" s="80" t="str">
        <f>HYPERLINK("https://pbs.twimg.com/media/F3RxODkXwAIbxdr.jpg")</f>
        <v>https://pbs.twimg.com/media/F3RxODkXwAIbxdr.jpg</v>
      </c>
      <c r="AW432" s="82" t="s">
        <v>12135</v>
      </c>
      <c r="AX432" s="82" t="s">
        <v>12135</v>
      </c>
      <c r="AY432" s="77"/>
      <c r="AZ432" s="82" t="s">
        <v>15984</v>
      </c>
      <c r="BA432" s="82" t="s">
        <v>15984</v>
      </c>
      <c r="BB432" s="82" t="s">
        <v>15984</v>
      </c>
      <c r="BC432" s="82" t="s">
        <v>12135</v>
      </c>
      <c r="BD432" s="82" t="s">
        <v>16183</v>
      </c>
      <c r="BE432" s="77"/>
      <c r="BF432" s="77"/>
      <c r="BG432" s="77"/>
      <c r="BH432" s="77"/>
      <c r="BI432" s="77"/>
    </row>
    <row r="433" spans="1:61" x14ac:dyDescent="0.25">
      <c r="A433" s="62" t="s">
        <v>357</v>
      </c>
      <c r="B433" s="62" t="s">
        <v>357</v>
      </c>
      <c r="C433" s="63"/>
      <c r="D433" s="64"/>
      <c r="E433" s="65"/>
      <c r="F433" s="66"/>
      <c r="G433" s="63"/>
      <c r="H433" s="67"/>
      <c r="I433" s="68"/>
      <c r="J433" s="68"/>
      <c r="K433" s="32"/>
      <c r="L433" s="75">
        <v>433</v>
      </c>
      <c r="M433" s="75"/>
      <c r="N433" s="70"/>
      <c r="O433" s="77" t="s">
        <v>179</v>
      </c>
      <c r="P433" s="79">
        <v>45124.749675925923</v>
      </c>
      <c r="Q433" s="77" t="s">
        <v>1312</v>
      </c>
      <c r="R433" s="77">
        <v>0</v>
      </c>
      <c r="S433" s="77">
        <v>0</v>
      </c>
      <c r="T433" s="77">
        <v>0</v>
      </c>
      <c r="U433" s="77">
        <v>0</v>
      </c>
      <c r="V433" s="77">
        <v>18</v>
      </c>
      <c r="W433" s="82" t="s">
        <v>5033</v>
      </c>
      <c r="X433" s="77"/>
      <c r="Y433" s="77"/>
      <c r="Z433" s="77"/>
      <c r="AA433" s="77" t="s">
        <v>6901</v>
      </c>
      <c r="AB433" s="77" t="s">
        <v>7742</v>
      </c>
      <c r="AC433" s="82" t="s">
        <v>7750</v>
      </c>
      <c r="AD433" s="77" t="s">
        <v>7788</v>
      </c>
      <c r="AE433" s="80" t="str">
        <f>HYPERLINK("https://twitter.com/earn2trade_br/status/1681000697372835841")</f>
        <v>https://twitter.com/earn2trade_br/status/1681000697372835841</v>
      </c>
      <c r="AF433" s="79">
        <v>45124.749675925923</v>
      </c>
      <c r="AG433" s="85">
        <v>45124</v>
      </c>
      <c r="AH433" s="82" t="s">
        <v>8174</v>
      </c>
      <c r="AI433" s="77" t="b">
        <v>0</v>
      </c>
      <c r="AJ433" s="77"/>
      <c r="AK433" s="77"/>
      <c r="AL433" s="77"/>
      <c r="AM433" s="77"/>
      <c r="AN433" s="77"/>
      <c r="AO433" s="77"/>
      <c r="AP433" s="77"/>
      <c r="AQ433" s="77" t="s">
        <v>10873</v>
      </c>
      <c r="AR433" s="77"/>
      <c r="AS433" s="77"/>
      <c r="AT433" s="77"/>
      <c r="AU433" s="77"/>
      <c r="AV433" s="80" t="str">
        <f>HYPERLINK("https://pbs.twimg.com/media/F1QdIZqX0AEa-cL.jpg")</f>
        <v>https://pbs.twimg.com/media/F1QdIZqX0AEa-cL.jpg</v>
      </c>
      <c r="AW433" s="82" t="s">
        <v>12136</v>
      </c>
      <c r="AX433" s="82" t="s">
        <v>12136</v>
      </c>
      <c r="AY433" s="77"/>
      <c r="AZ433" s="82" t="s">
        <v>15984</v>
      </c>
      <c r="BA433" s="82" t="s">
        <v>15984</v>
      </c>
      <c r="BB433" s="82" t="s">
        <v>15984</v>
      </c>
      <c r="BC433" s="82" t="s">
        <v>12136</v>
      </c>
      <c r="BD433" s="82" t="s">
        <v>16183</v>
      </c>
      <c r="BE433" s="77"/>
      <c r="BF433" s="77"/>
      <c r="BG433" s="77"/>
      <c r="BH433" s="77"/>
      <c r="BI433" s="77"/>
    </row>
    <row r="434" spans="1:61" x14ac:dyDescent="0.25">
      <c r="A434" s="62" t="s">
        <v>357</v>
      </c>
      <c r="B434" s="62" t="s">
        <v>357</v>
      </c>
      <c r="C434" s="63"/>
      <c r="D434" s="64"/>
      <c r="E434" s="65"/>
      <c r="F434" s="66"/>
      <c r="G434" s="63"/>
      <c r="H434" s="67"/>
      <c r="I434" s="68"/>
      <c r="J434" s="68"/>
      <c r="K434" s="32"/>
      <c r="L434" s="75">
        <v>434</v>
      </c>
      <c r="M434" s="75"/>
      <c r="N434" s="70"/>
      <c r="O434" s="77" t="s">
        <v>179</v>
      </c>
      <c r="P434" s="79">
        <v>45181.82540509259</v>
      </c>
      <c r="Q434" s="77" t="s">
        <v>1313</v>
      </c>
      <c r="R434" s="77">
        <v>0</v>
      </c>
      <c r="S434" s="77">
        <v>0</v>
      </c>
      <c r="T434" s="77">
        <v>0</v>
      </c>
      <c r="U434" s="77">
        <v>0</v>
      </c>
      <c r="V434" s="77">
        <v>7</v>
      </c>
      <c r="W434" s="82" t="s">
        <v>5033</v>
      </c>
      <c r="X434" s="77"/>
      <c r="Y434" s="77"/>
      <c r="Z434" s="77"/>
      <c r="AA434" s="77" t="s">
        <v>6902</v>
      </c>
      <c r="AB434" s="77" t="s">
        <v>7742</v>
      </c>
      <c r="AC434" s="82" t="s">
        <v>7750</v>
      </c>
      <c r="AD434" s="77" t="s">
        <v>7788</v>
      </c>
      <c r="AE434" s="80" t="str">
        <f>HYPERLINK("https://twitter.com/earn2trade_br/status/1701684248069931171")</f>
        <v>https://twitter.com/earn2trade_br/status/1701684248069931171</v>
      </c>
      <c r="AF434" s="79">
        <v>45181.82540509259</v>
      </c>
      <c r="AG434" s="85">
        <v>45181</v>
      </c>
      <c r="AH434" s="82" t="s">
        <v>8175</v>
      </c>
      <c r="AI434" s="77" t="b">
        <v>0</v>
      </c>
      <c r="AJ434" s="77"/>
      <c r="AK434" s="77"/>
      <c r="AL434" s="77"/>
      <c r="AM434" s="77"/>
      <c r="AN434" s="77"/>
      <c r="AO434" s="77"/>
      <c r="AP434" s="77"/>
      <c r="AQ434" s="77" t="s">
        <v>10874</v>
      </c>
      <c r="AR434" s="77"/>
      <c r="AS434" s="77"/>
      <c r="AT434" s="77"/>
      <c r="AU434" s="77"/>
      <c r="AV434" s="80" t="str">
        <f>HYPERLINK("https://pbs.twimg.com/media/F52Yy0yWMAAR5xL.jpg")</f>
        <v>https://pbs.twimg.com/media/F52Yy0yWMAAR5xL.jpg</v>
      </c>
      <c r="AW434" s="82" t="s">
        <v>12137</v>
      </c>
      <c r="AX434" s="82" t="s">
        <v>12137</v>
      </c>
      <c r="AY434" s="77"/>
      <c r="AZ434" s="82" t="s">
        <v>15984</v>
      </c>
      <c r="BA434" s="82" t="s">
        <v>15984</v>
      </c>
      <c r="BB434" s="82" t="s">
        <v>15984</v>
      </c>
      <c r="BC434" s="82" t="s">
        <v>12137</v>
      </c>
      <c r="BD434" s="82" t="s">
        <v>16183</v>
      </c>
      <c r="BE434" s="77"/>
      <c r="BF434" s="77"/>
      <c r="BG434" s="77"/>
      <c r="BH434" s="77"/>
      <c r="BI434" s="77"/>
    </row>
    <row r="435" spans="1:61" x14ac:dyDescent="0.25">
      <c r="A435" s="62" t="s">
        <v>357</v>
      </c>
      <c r="B435" s="62" t="s">
        <v>357</v>
      </c>
      <c r="C435" s="63"/>
      <c r="D435" s="64"/>
      <c r="E435" s="65"/>
      <c r="F435" s="66"/>
      <c r="G435" s="63"/>
      <c r="H435" s="67"/>
      <c r="I435" s="68"/>
      <c r="J435" s="68"/>
      <c r="K435" s="32"/>
      <c r="L435" s="75">
        <v>435</v>
      </c>
      <c r="M435" s="75"/>
      <c r="N435" s="70"/>
      <c r="O435" s="77" t="s">
        <v>179</v>
      </c>
      <c r="P435" s="79">
        <v>45154.717453703706</v>
      </c>
      <c r="Q435" s="77" t="s">
        <v>1314</v>
      </c>
      <c r="R435" s="77">
        <v>0</v>
      </c>
      <c r="S435" s="77">
        <v>0</v>
      </c>
      <c r="T435" s="77">
        <v>0</v>
      </c>
      <c r="U435" s="77">
        <v>0</v>
      </c>
      <c r="V435" s="77">
        <v>14</v>
      </c>
      <c r="W435" s="82" t="s">
        <v>5033</v>
      </c>
      <c r="X435" s="77"/>
      <c r="Y435" s="77"/>
      <c r="Z435" s="77"/>
      <c r="AA435" s="77" t="s">
        <v>6903</v>
      </c>
      <c r="AB435" s="77" t="s">
        <v>7742</v>
      </c>
      <c r="AC435" s="82" t="s">
        <v>7750</v>
      </c>
      <c r="AD435" s="77" t="s">
        <v>7788</v>
      </c>
      <c r="AE435" s="80" t="str">
        <f>HYPERLINK("https://twitter.com/earn2trade_br/status/1691860657354797109")</f>
        <v>https://twitter.com/earn2trade_br/status/1691860657354797109</v>
      </c>
      <c r="AF435" s="79">
        <v>45154.717453703706</v>
      </c>
      <c r="AG435" s="85">
        <v>45154</v>
      </c>
      <c r="AH435" s="82" t="s">
        <v>8176</v>
      </c>
      <c r="AI435" s="77" t="b">
        <v>0</v>
      </c>
      <c r="AJ435" s="77"/>
      <c r="AK435" s="77"/>
      <c r="AL435" s="77"/>
      <c r="AM435" s="77"/>
      <c r="AN435" s="77"/>
      <c r="AO435" s="77"/>
      <c r="AP435" s="77"/>
      <c r="AQ435" s="77" t="s">
        <v>10875</v>
      </c>
      <c r="AR435" s="77"/>
      <c r="AS435" s="77"/>
      <c r="AT435" s="77"/>
      <c r="AU435" s="77"/>
      <c r="AV435" s="80" t="str">
        <f>HYPERLINK("https://pbs.twimg.com/media/F3qyMwxXcAEt8J_.jpg")</f>
        <v>https://pbs.twimg.com/media/F3qyMwxXcAEt8J_.jpg</v>
      </c>
      <c r="AW435" s="82" t="s">
        <v>12138</v>
      </c>
      <c r="AX435" s="82" t="s">
        <v>12138</v>
      </c>
      <c r="AY435" s="77"/>
      <c r="AZ435" s="82" t="s">
        <v>15984</v>
      </c>
      <c r="BA435" s="82" t="s">
        <v>15984</v>
      </c>
      <c r="BB435" s="82" t="s">
        <v>15984</v>
      </c>
      <c r="BC435" s="82" t="s">
        <v>12138</v>
      </c>
      <c r="BD435" s="82" t="s">
        <v>16183</v>
      </c>
      <c r="BE435" s="77"/>
      <c r="BF435" s="77"/>
      <c r="BG435" s="77"/>
      <c r="BH435" s="77"/>
      <c r="BI435" s="77"/>
    </row>
    <row r="436" spans="1:61" x14ac:dyDescent="0.25">
      <c r="A436" s="62" t="s">
        <v>357</v>
      </c>
      <c r="B436" s="62" t="s">
        <v>357</v>
      </c>
      <c r="C436" s="63"/>
      <c r="D436" s="64"/>
      <c r="E436" s="65"/>
      <c r="F436" s="66"/>
      <c r="G436" s="63"/>
      <c r="H436" s="67"/>
      <c r="I436" s="68"/>
      <c r="J436" s="68"/>
      <c r="K436" s="32"/>
      <c r="L436" s="75">
        <v>436</v>
      </c>
      <c r="M436" s="75"/>
      <c r="N436" s="70"/>
      <c r="O436" s="77" t="s">
        <v>179</v>
      </c>
      <c r="P436" s="79">
        <v>45128.687361111108</v>
      </c>
      <c r="Q436" s="77" t="s">
        <v>1315</v>
      </c>
      <c r="R436" s="77">
        <v>0</v>
      </c>
      <c r="S436" s="77">
        <v>0</v>
      </c>
      <c r="T436" s="77">
        <v>0</v>
      </c>
      <c r="U436" s="77">
        <v>0</v>
      </c>
      <c r="V436" s="77">
        <v>2</v>
      </c>
      <c r="W436" s="82" t="s">
        <v>5037</v>
      </c>
      <c r="X436" s="80" t="str">
        <f>HYPERLINK("https://e2t.to/44zZPAE")</f>
        <v>https://e2t.to/44zZPAE</v>
      </c>
      <c r="Y436" s="77" t="s">
        <v>6499</v>
      </c>
      <c r="Z436" s="77"/>
      <c r="AA436" s="77" t="s">
        <v>6904</v>
      </c>
      <c r="AB436" s="77" t="s">
        <v>7742</v>
      </c>
      <c r="AC436" s="82" t="s">
        <v>7750</v>
      </c>
      <c r="AD436" s="77" t="s">
        <v>7788</v>
      </c>
      <c r="AE436" s="80" t="str">
        <f>HYPERLINK("https://twitter.com/earn2trade_br/status/1682427666924707845")</f>
        <v>https://twitter.com/earn2trade_br/status/1682427666924707845</v>
      </c>
      <c r="AF436" s="79">
        <v>45128.687361111108</v>
      </c>
      <c r="AG436" s="85">
        <v>45128</v>
      </c>
      <c r="AH436" s="82" t="s">
        <v>8177</v>
      </c>
      <c r="AI436" s="77" t="b">
        <v>0</v>
      </c>
      <c r="AJ436" s="77"/>
      <c r="AK436" s="77"/>
      <c r="AL436" s="77"/>
      <c r="AM436" s="77"/>
      <c r="AN436" s="77"/>
      <c r="AO436" s="77"/>
      <c r="AP436" s="77"/>
      <c r="AQ436" s="77" t="s">
        <v>10876</v>
      </c>
      <c r="AR436" s="77"/>
      <c r="AS436" s="77"/>
      <c r="AT436" s="77"/>
      <c r="AU436" s="77"/>
      <c r="AV436" s="80" t="str">
        <f>HYPERLINK("https://pbs.twimg.com/media/F1kvBi1XgAElf4y.jpg")</f>
        <v>https://pbs.twimg.com/media/F1kvBi1XgAElf4y.jpg</v>
      </c>
      <c r="AW436" s="82" t="s">
        <v>12139</v>
      </c>
      <c r="AX436" s="82" t="s">
        <v>12139</v>
      </c>
      <c r="AY436" s="77"/>
      <c r="AZ436" s="82" t="s">
        <v>15984</v>
      </c>
      <c r="BA436" s="82" t="s">
        <v>15984</v>
      </c>
      <c r="BB436" s="82" t="s">
        <v>15984</v>
      </c>
      <c r="BC436" s="82" t="s">
        <v>12139</v>
      </c>
      <c r="BD436" s="82" t="s">
        <v>16183</v>
      </c>
      <c r="BE436" s="77"/>
      <c r="BF436" s="77"/>
      <c r="BG436" s="77"/>
      <c r="BH436" s="77"/>
      <c r="BI436" s="77"/>
    </row>
    <row r="437" spans="1:61" x14ac:dyDescent="0.25">
      <c r="A437" s="62" t="s">
        <v>357</v>
      </c>
      <c r="B437" s="62" t="s">
        <v>357</v>
      </c>
      <c r="C437" s="63"/>
      <c r="D437" s="64"/>
      <c r="E437" s="65"/>
      <c r="F437" s="66"/>
      <c r="G437" s="63"/>
      <c r="H437" s="67"/>
      <c r="I437" s="68"/>
      <c r="J437" s="68"/>
      <c r="K437" s="32"/>
      <c r="L437" s="75">
        <v>437</v>
      </c>
      <c r="M437" s="75"/>
      <c r="N437" s="70"/>
      <c r="O437" s="77" t="s">
        <v>179</v>
      </c>
      <c r="P437" s="79">
        <v>45187.795439814814</v>
      </c>
      <c r="Q437" s="77" t="s">
        <v>1316</v>
      </c>
      <c r="R437" s="77">
        <v>0</v>
      </c>
      <c r="S437" s="77">
        <v>0</v>
      </c>
      <c r="T437" s="77">
        <v>0</v>
      </c>
      <c r="U437" s="77">
        <v>0</v>
      </c>
      <c r="V437" s="77">
        <v>7</v>
      </c>
      <c r="W437" s="82" t="s">
        <v>5033</v>
      </c>
      <c r="X437" s="77"/>
      <c r="Y437" s="77"/>
      <c r="Z437" s="77"/>
      <c r="AA437" s="77" t="s">
        <v>6905</v>
      </c>
      <c r="AB437" s="77" t="s">
        <v>7742</v>
      </c>
      <c r="AC437" s="82" t="s">
        <v>7750</v>
      </c>
      <c r="AD437" s="77" t="s">
        <v>7788</v>
      </c>
      <c r="AE437" s="80" t="str">
        <f>HYPERLINK("https://twitter.com/earn2trade_br/status/1703847717259075988")</f>
        <v>https://twitter.com/earn2trade_br/status/1703847717259075988</v>
      </c>
      <c r="AF437" s="79">
        <v>45187.795439814814</v>
      </c>
      <c r="AG437" s="85">
        <v>45187</v>
      </c>
      <c r="AH437" s="82" t="s">
        <v>8178</v>
      </c>
      <c r="AI437" s="77" t="b">
        <v>0</v>
      </c>
      <c r="AJ437" s="77"/>
      <c r="AK437" s="77"/>
      <c r="AL437" s="77"/>
      <c r="AM437" s="77"/>
      <c r="AN437" s="77"/>
      <c r="AO437" s="77"/>
      <c r="AP437" s="77"/>
      <c r="AQ437" s="77" t="s">
        <v>10877</v>
      </c>
      <c r="AR437" s="77"/>
      <c r="AS437" s="77"/>
      <c r="AT437" s="77"/>
      <c r="AU437" s="77"/>
      <c r="AV437" s="80" t="str">
        <f>HYPERLINK("https://pbs.twimg.com/media/F6VId2VWkAAqomo.jpg")</f>
        <v>https://pbs.twimg.com/media/F6VId2VWkAAqomo.jpg</v>
      </c>
      <c r="AW437" s="82" t="s">
        <v>12140</v>
      </c>
      <c r="AX437" s="82" t="s">
        <v>12140</v>
      </c>
      <c r="AY437" s="77"/>
      <c r="AZ437" s="82" t="s">
        <v>15984</v>
      </c>
      <c r="BA437" s="82" t="s">
        <v>15984</v>
      </c>
      <c r="BB437" s="82" t="s">
        <v>15984</v>
      </c>
      <c r="BC437" s="82" t="s">
        <v>12140</v>
      </c>
      <c r="BD437" s="82" t="s">
        <v>16183</v>
      </c>
      <c r="BE437" s="77"/>
      <c r="BF437" s="77"/>
      <c r="BG437" s="77"/>
      <c r="BH437" s="77"/>
      <c r="BI437" s="77"/>
    </row>
    <row r="438" spans="1:61" x14ac:dyDescent="0.25">
      <c r="A438" s="62" t="s">
        <v>357</v>
      </c>
      <c r="B438" s="62" t="s">
        <v>357</v>
      </c>
      <c r="C438" s="63"/>
      <c r="D438" s="64"/>
      <c r="E438" s="65"/>
      <c r="F438" s="66"/>
      <c r="G438" s="63"/>
      <c r="H438" s="67"/>
      <c r="I438" s="68"/>
      <c r="J438" s="68"/>
      <c r="K438" s="32"/>
      <c r="L438" s="75">
        <v>438</v>
      </c>
      <c r="M438" s="75"/>
      <c r="N438" s="70"/>
      <c r="O438" s="77" t="s">
        <v>179</v>
      </c>
      <c r="P438" s="79">
        <v>45182.927777777775</v>
      </c>
      <c r="Q438" s="77" t="s">
        <v>1317</v>
      </c>
      <c r="R438" s="77">
        <v>0</v>
      </c>
      <c r="S438" s="77">
        <v>0</v>
      </c>
      <c r="T438" s="77">
        <v>0</v>
      </c>
      <c r="U438" s="77">
        <v>0</v>
      </c>
      <c r="V438" s="77">
        <v>9</v>
      </c>
      <c r="W438" s="82" t="s">
        <v>5033</v>
      </c>
      <c r="X438" s="77"/>
      <c r="Y438" s="77"/>
      <c r="Z438" s="77"/>
      <c r="AA438" s="77" t="s">
        <v>6906</v>
      </c>
      <c r="AB438" s="77" t="s">
        <v>7742</v>
      </c>
      <c r="AC438" s="82" t="s">
        <v>7750</v>
      </c>
      <c r="AD438" s="77" t="s">
        <v>7788</v>
      </c>
      <c r="AE438" s="80" t="str">
        <f>HYPERLINK("https://twitter.com/earn2trade_br/status/1702083734785438109")</f>
        <v>https://twitter.com/earn2trade_br/status/1702083734785438109</v>
      </c>
      <c r="AF438" s="79">
        <v>45182.927777777775</v>
      </c>
      <c r="AG438" s="85">
        <v>45182</v>
      </c>
      <c r="AH438" s="82" t="s">
        <v>8179</v>
      </c>
      <c r="AI438" s="77" t="b">
        <v>0</v>
      </c>
      <c r="AJ438" s="77"/>
      <c r="AK438" s="77"/>
      <c r="AL438" s="77"/>
      <c r="AM438" s="77"/>
      <c r="AN438" s="77"/>
      <c r="AO438" s="77"/>
      <c r="AP438" s="77"/>
      <c r="AQ438" s="77" t="s">
        <v>10878</v>
      </c>
      <c r="AR438" s="77"/>
      <c r="AS438" s="77"/>
      <c r="AT438" s="77"/>
      <c r="AU438" s="77"/>
      <c r="AV438" s="80" t="str">
        <f>HYPERLINK("https://pbs.twimg.com/media/F572jaCWoAArE5U.jpg")</f>
        <v>https://pbs.twimg.com/media/F572jaCWoAArE5U.jpg</v>
      </c>
      <c r="AW438" s="82" t="s">
        <v>12141</v>
      </c>
      <c r="AX438" s="82" t="s">
        <v>12141</v>
      </c>
      <c r="AY438" s="77"/>
      <c r="AZ438" s="82" t="s">
        <v>15984</v>
      </c>
      <c r="BA438" s="82" t="s">
        <v>15984</v>
      </c>
      <c r="BB438" s="82" t="s">
        <v>15984</v>
      </c>
      <c r="BC438" s="82" t="s">
        <v>12141</v>
      </c>
      <c r="BD438" s="82" t="s">
        <v>16183</v>
      </c>
      <c r="BE438" s="77"/>
      <c r="BF438" s="77"/>
      <c r="BG438" s="77"/>
      <c r="BH438" s="77"/>
      <c r="BI438" s="77"/>
    </row>
    <row r="439" spans="1:61" x14ac:dyDescent="0.25">
      <c r="A439" s="62" t="s">
        <v>357</v>
      </c>
      <c r="B439" s="62" t="s">
        <v>357</v>
      </c>
      <c r="C439" s="63"/>
      <c r="D439" s="64"/>
      <c r="E439" s="65"/>
      <c r="F439" s="66"/>
      <c r="G439" s="63"/>
      <c r="H439" s="67"/>
      <c r="I439" s="68"/>
      <c r="J439" s="68"/>
      <c r="K439" s="32"/>
      <c r="L439" s="75">
        <v>439</v>
      </c>
      <c r="M439" s="75"/>
      <c r="N439" s="70"/>
      <c r="O439" s="77" t="s">
        <v>179</v>
      </c>
      <c r="P439" s="79">
        <v>45175.92083333333</v>
      </c>
      <c r="Q439" s="77" t="s">
        <v>1318</v>
      </c>
      <c r="R439" s="77">
        <v>0</v>
      </c>
      <c r="S439" s="77">
        <v>0</v>
      </c>
      <c r="T439" s="77">
        <v>0</v>
      </c>
      <c r="U439" s="77">
        <v>0</v>
      </c>
      <c r="V439" s="77">
        <v>14</v>
      </c>
      <c r="W439" s="82" t="s">
        <v>5033</v>
      </c>
      <c r="X439" s="77"/>
      <c r="Y439" s="77"/>
      <c r="Z439" s="77"/>
      <c r="AA439" s="77" t="s">
        <v>6907</v>
      </c>
      <c r="AB439" s="77" t="s">
        <v>7742</v>
      </c>
      <c r="AC439" s="82" t="s">
        <v>7750</v>
      </c>
      <c r="AD439" s="77" t="s">
        <v>7788</v>
      </c>
      <c r="AE439" s="80" t="str">
        <f>HYPERLINK("https://twitter.com/earn2trade_br/status/1699544503496155259")</f>
        <v>https://twitter.com/earn2trade_br/status/1699544503496155259</v>
      </c>
      <c r="AF439" s="79">
        <v>45175.92083333333</v>
      </c>
      <c r="AG439" s="85">
        <v>45175</v>
      </c>
      <c r="AH439" s="82" t="s">
        <v>8180</v>
      </c>
      <c r="AI439" s="77" t="b">
        <v>0</v>
      </c>
      <c r="AJ439" s="77"/>
      <c r="AK439" s="77"/>
      <c r="AL439" s="77"/>
      <c r="AM439" s="77"/>
      <c r="AN439" s="77"/>
      <c r="AO439" s="77"/>
      <c r="AP439" s="77"/>
      <c r="AQ439" s="77" t="s">
        <v>10879</v>
      </c>
      <c r="AR439" s="77"/>
      <c r="AS439" s="77"/>
      <c r="AT439" s="77"/>
      <c r="AU439" s="77"/>
      <c r="AV439" s="80" t="str">
        <f>HYPERLINK("https://pbs.twimg.com/media/F5XVo9wWIAA01EL.jpg")</f>
        <v>https://pbs.twimg.com/media/F5XVo9wWIAA01EL.jpg</v>
      </c>
      <c r="AW439" s="82" t="s">
        <v>12142</v>
      </c>
      <c r="AX439" s="82" t="s">
        <v>12142</v>
      </c>
      <c r="AY439" s="77"/>
      <c r="AZ439" s="82" t="s">
        <v>15984</v>
      </c>
      <c r="BA439" s="82" t="s">
        <v>15984</v>
      </c>
      <c r="BB439" s="82" t="s">
        <v>15984</v>
      </c>
      <c r="BC439" s="82" t="s">
        <v>12142</v>
      </c>
      <c r="BD439" s="82" t="s">
        <v>16183</v>
      </c>
      <c r="BE439" s="77"/>
      <c r="BF439" s="77"/>
      <c r="BG439" s="77"/>
      <c r="BH439" s="77"/>
      <c r="BI439" s="77"/>
    </row>
    <row r="440" spans="1:61" x14ac:dyDescent="0.25">
      <c r="A440" s="62" t="s">
        <v>357</v>
      </c>
      <c r="B440" s="62" t="s">
        <v>357</v>
      </c>
      <c r="C440" s="63"/>
      <c r="D440" s="64"/>
      <c r="E440" s="65"/>
      <c r="F440" s="66"/>
      <c r="G440" s="63"/>
      <c r="H440" s="67"/>
      <c r="I440" s="68"/>
      <c r="J440" s="68"/>
      <c r="K440" s="32"/>
      <c r="L440" s="75">
        <v>440</v>
      </c>
      <c r="M440" s="75"/>
      <c r="N440" s="70"/>
      <c r="O440" s="77" t="s">
        <v>179</v>
      </c>
      <c r="P440" s="79">
        <v>45190.724004629628</v>
      </c>
      <c r="Q440" s="77" t="s">
        <v>1319</v>
      </c>
      <c r="R440" s="77">
        <v>0</v>
      </c>
      <c r="S440" s="77">
        <v>0</v>
      </c>
      <c r="T440" s="77">
        <v>0</v>
      </c>
      <c r="U440" s="77">
        <v>0</v>
      </c>
      <c r="V440" s="77">
        <v>9</v>
      </c>
      <c r="W440" s="82" t="s">
        <v>5038</v>
      </c>
      <c r="X440" s="80" t="str">
        <f>HYPERLINK("https://e2t.to/3LyTEFA")</f>
        <v>https://e2t.to/3LyTEFA</v>
      </c>
      <c r="Y440" s="77" t="s">
        <v>6499</v>
      </c>
      <c r="Z440" s="77"/>
      <c r="AA440" s="77" t="s">
        <v>6908</v>
      </c>
      <c r="AB440" s="77" t="s">
        <v>7742</v>
      </c>
      <c r="AC440" s="82" t="s">
        <v>7750</v>
      </c>
      <c r="AD440" s="77" t="s">
        <v>7788</v>
      </c>
      <c r="AE440" s="80" t="str">
        <f>HYPERLINK("https://twitter.com/earn2trade_br/status/1704908993666359774")</f>
        <v>https://twitter.com/earn2trade_br/status/1704908993666359774</v>
      </c>
      <c r="AF440" s="79">
        <v>45190.724004629628</v>
      </c>
      <c r="AG440" s="85">
        <v>45190</v>
      </c>
      <c r="AH440" s="82" t="s">
        <v>8181</v>
      </c>
      <c r="AI440" s="77" t="b">
        <v>0</v>
      </c>
      <c r="AJ440" s="77"/>
      <c r="AK440" s="77"/>
      <c r="AL440" s="77"/>
      <c r="AM440" s="77"/>
      <c r="AN440" s="77"/>
      <c r="AO440" s="77"/>
      <c r="AP440" s="77"/>
      <c r="AQ440" s="77" t="s">
        <v>10880</v>
      </c>
      <c r="AR440" s="77"/>
      <c r="AS440" s="77"/>
      <c r="AT440" s="77"/>
      <c r="AU440" s="77"/>
      <c r="AV440" s="80" t="str">
        <f>HYPERLINK("https://pbs.twimg.com/media/F6kNo9PWMAAdoF9.jpg")</f>
        <v>https://pbs.twimg.com/media/F6kNo9PWMAAdoF9.jpg</v>
      </c>
      <c r="AW440" s="82" t="s">
        <v>12143</v>
      </c>
      <c r="AX440" s="82" t="s">
        <v>12143</v>
      </c>
      <c r="AY440" s="77"/>
      <c r="AZ440" s="82" t="s">
        <v>15984</v>
      </c>
      <c r="BA440" s="82" t="s">
        <v>15984</v>
      </c>
      <c r="BB440" s="82" t="s">
        <v>15984</v>
      </c>
      <c r="BC440" s="82" t="s">
        <v>12143</v>
      </c>
      <c r="BD440" s="82" t="s">
        <v>16183</v>
      </c>
      <c r="BE440" s="77"/>
      <c r="BF440" s="77"/>
      <c r="BG440" s="77"/>
      <c r="BH440" s="77"/>
      <c r="BI440" s="77"/>
    </row>
    <row r="441" spans="1:61" x14ac:dyDescent="0.25">
      <c r="A441" s="62" t="s">
        <v>357</v>
      </c>
      <c r="B441" s="62" t="s">
        <v>357</v>
      </c>
      <c r="C441" s="63"/>
      <c r="D441" s="64"/>
      <c r="E441" s="65"/>
      <c r="F441" s="66"/>
      <c r="G441" s="63"/>
      <c r="H441" s="67"/>
      <c r="I441" s="68"/>
      <c r="J441" s="68"/>
      <c r="K441" s="32"/>
      <c r="L441" s="75">
        <v>441</v>
      </c>
      <c r="M441" s="75"/>
      <c r="N441" s="70"/>
      <c r="O441" s="77" t="s">
        <v>179</v>
      </c>
      <c r="P441" s="79">
        <v>45189.89166666667</v>
      </c>
      <c r="Q441" s="77" t="s">
        <v>1320</v>
      </c>
      <c r="R441" s="77">
        <v>0</v>
      </c>
      <c r="S441" s="77">
        <v>0</v>
      </c>
      <c r="T441" s="77">
        <v>0</v>
      </c>
      <c r="U441" s="77">
        <v>0</v>
      </c>
      <c r="V441" s="77">
        <v>13</v>
      </c>
      <c r="W441" s="82" t="s">
        <v>5033</v>
      </c>
      <c r="X441" s="77"/>
      <c r="Y441" s="77"/>
      <c r="Z441" s="77"/>
      <c r="AA441" s="77" t="s">
        <v>6909</v>
      </c>
      <c r="AB441" s="77" t="s">
        <v>7742</v>
      </c>
      <c r="AC441" s="82" t="s">
        <v>7750</v>
      </c>
      <c r="AD441" s="77" t="s">
        <v>7788</v>
      </c>
      <c r="AE441" s="80" t="str">
        <f>HYPERLINK("https://twitter.com/earn2trade_br/status/1704607363469386217")</f>
        <v>https://twitter.com/earn2trade_br/status/1704607363469386217</v>
      </c>
      <c r="AF441" s="79">
        <v>45189.89166666667</v>
      </c>
      <c r="AG441" s="85">
        <v>45189</v>
      </c>
      <c r="AH441" s="82" t="s">
        <v>8182</v>
      </c>
      <c r="AI441" s="77" t="b">
        <v>0</v>
      </c>
      <c r="AJ441" s="77"/>
      <c r="AK441" s="77"/>
      <c r="AL441" s="77"/>
      <c r="AM441" s="77"/>
      <c r="AN441" s="77"/>
      <c r="AO441" s="77"/>
      <c r="AP441" s="77"/>
      <c r="AQ441" s="77" t="s">
        <v>10881</v>
      </c>
      <c r="AR441" s="77"/>
      <c r="AS441" s="77"/>
      <c r="AT441" s="77"/>
      <c r="AU441" s="77"/>
      <c r="AV441" s="80" t="str">
        <f>HYPERLINK("https://pbs.twimg.com/media/F6fEiZUXsAAixno.jpg")</f>
        <v>https://pbs.twimg.com/media/F6fEiZUXsAAixno.jpg</v>
      </c>
      <c r="AW441" s="82" t="s">
        <v>12144</v>
      </c>
      <c r="AX441" s="82" t="s">
        <v>12144</v>
      </c>
      <c r="AY441" s="77"/>
      <c r="AZ441" s="82" t="s">
        <v>15984</v>
      </c>
      <c r="BA441" s="82" t="s">
        <v>15984</v>
      </c>
      <c r="BB441" s="82" t="s">
        <v>15984</v>
      </c>
      <c r="BC441" s="82" t="s">
        <v>12144</v>
      </c>
      <c r="BD441" s="82" t="s">
        <v>16183</v>
      </c>
      <c r="BE441" s="77"/>
      <c r="BF441" s="77"/>
      <c r="BG441" s="77"/>
      <c r="BH441" s="77"/>
      <c r="BI441" s="77"/>
    </row>
    <row r="442" spans="1:61" x14ac:dyDescent="0.25">
      <c r="A442" s="62" t="s">
        <v>357</v>
      </c>
      <c r="B442" s="62" t="s">
        <v>357</v>
      </c>
      <c r="C442" s="63"/>
      <c r="D442" s="64"/>
      <c r="E442" s="65"/>
      <c r="F442" s="66"/>
      <c r="G442" s="63"/>
      <c r="H442" s="67"/>
      <c r="I442" s="68"/>
      <c r="J442" s="68"/>
      <c r="K442" s="32"/>
      <c r="L442" s="75">
        <v>442</v>
      </c>
      <c r="M442" s="75"/>
      <c r="N442" s="70"/>
      <c r="O442" s="77" t="s">
        <v>179</v>
      </c>
      <c r="P442" s="79">
        <v>45178.529629629629</v>
      </c>
      <c r="Q442" s="77" t="s">
        <v>1321</v>
      </c>
      <c r="R442" s="77">
        <v>0</v>
      </c>
      <c r="S442" s="77">
        <v>0</v>
      </c>
      <c r="T442" s="77">
        <v>0</v>
      </c>
      <c r="U442" s="77">
        <v>0</v>
      </c>
      <c r="V442" s="77">
        <v>13</v>
      </c>
      <c r="W442" s="82" t="s">
        <v>5033</v>
      </c>
      <c r="X442" s="77"/>
      <c r="Y442" s="77"/>
      <c r="Z442" s="77"/>
      <c r="AA442" s="77" t="s">
        <v>6910</v>
      </c>
      <c r="AB442" s="77" t="s">
        <v>7742</v>
      </c>
      <c r="AC442" s="82" t="s">
        <v>7750</v>
      </c>
      <c r="AD442" s="77" t="s">
        <v>7788</v>
      </c>
      <c r="AE442" s="80" t="str">
        <f>HYPERLINK("https://twitter.com/earn2trade_br/status/1700489899974009193")</f>
        <v>https://twitter.com/earn2trade_br/status/1700489899974009193</v>
      </c>
      <c r="AF442" s="79">
        <v>45178.529629629629</v>
      </c>
      <c r="AG442" s="85">
        <v>45178</v>
      </c>
      <c r="AH442" s="82" t="s">
        <v>8183</v>
      </c>
      <c r="AI442" s="77" t="b">
        <v>0</v>
      </c>
      <c r="AJ442" s="77"/>
      <c r="AK442" s="77"/>
      <c r="AL442" s="77"/>
      <c r="AM442" s="77"/>
      <c r="AN442" s="77"/>
      <c r="AO442" s="77"/>
      <c r="AP442" s="77"/>
      <c r="AQ442" s="77" t="s">
        <v>10882</v>
      </c>
      <c r="AR442" s="77"/>
      <c r="AS442" s="77"/>
      <c r="AT442" s="77"/>
      <c r="AU442" s="77"/>
      <c r="AV442" s="80" t="str">
        <f>HYPERLINK("https://pbs.twimg.com/media/F5lai8rWUAAILln.jpg")</f>
        <v>https://pbs.twimg.com/media/F5lai8rWUAAILln.jpg</v>
      </c>
      <c r="AW442" s="82" t="s">
        <v>12145</v>
      </c>
      <c r="AX442" s="82" t="s">
        <v>12145</v>
      </c>
      <c r="AY442" s="77"/>
      <c r="AZ442" s="82" t="s">
        <v>15984</v>
      </c>
      <c r="BA442" s="82" t="s">
        <v>15984</v>
      </c>
      <c r="BB442" s="82" t="s">
        <v>15984</v>
      </c>
      <c r="BC442" s="82" t="s">
        <v>12145</v>
      </c>
      <c r="BD442" s="82" t="s">
        <v>16183</v>
      </c>
      <c r="BE442" s="77"/>
      <c r="BF442" s="77"/>
      <c r="BG442" s="77"/>
      <c r="BH442" s="77"/>
      <c r="BI442" s="77"/>
    </row>
    <row r="443" spans="1:61" x14ac:dyDescent="0.25">
      <c r="A443" s="62" t="s">
        <v>357</v>
      </c>
      <c r="B443" s="62" t="s">
        <v>357</v>
      </c>
      <c r="C443" s="63"/>
      <c r="D443" s="64"/>
      <c r="E443" s="65"/>
      <c r="F443" s="66"/>
      <c r="G443" s="63"/>
      <c r="H443" s="67"/>
      <c r="I443" s="68"/>
      <c r="J443" s="68"/>
      <c r="K443" s="32"/>
      <c r="L443" s="75">
        <v>443</v>
      </c>
      <c r="M443" s="75"/>
      <c r="N443" s="70"/>
      <c r="O443" s="77" t="s">
        <v>179</v>
      </c>
      <c r="P443" s="79">
        <v>45192.834201388891</v>
      </c>
      <c r="Q443" s="77" t="s">
        <v>1322</v>
      </c>
      <c r="R443" s="77">
        <v>0</v>
      </c>
      <c r="S443" s="77">
        <v>0</v>
      </c>
      <c r="T443" s="77">
        <v>0</v>
      </c>
      <c r="U443" s="77">
        <v>0</v>
      </c>
      <c r="V443" s="77">
        <v>19</v>
      </c>
      <c r="W443" s="82" t="s">
        <v>5033</v>
      </c>
      <c r="X443" s="77"/>
      <c r="Y443" s="77"/>
      <c r="Z443" s="77"/>
      <c r="AA443" s="77" t="s">
        <v>6911</v>
      </c>
      <c r="AB443" s="77" t="s">
        <v>7742</v>
      </c>
      <c r="AC443" s="82" t="s">
        <v>7750</v>
      </c>
      <c r="AD443" s="77" t="s">
        <v>7788</v>
      </c>
      <c r="AE443" s="80" t="str">
        <f>HYPERLINK("https://twitter.com/earn2trade_br/status/1705673702522679559")</f>
        <v>https://twitter.com/earn2trade_br/status/1705673702522679559</v>
      </c>
      <c r="AF443" s="79">
        <v>45192.834201388891</v>
      </c>
      <c r="AG443" s="85">
        <v>45192</v>
      </c>
      <c r="AH443" s="82" t="s">
        <v>8184</v>
      </c>
      <c r="AI443" s="77" t="b">
        <v>0</v>
      </c>
      <c r="AJ443" s="77"/>
      <c r="AK443" s="77"/>
      <c r="AL443" s="77"/>
      <c r="AM443" s="77"/>
      <c r="AN443" s="77"/>
      <c r="AO443" s="77"/>
      <c r="AP443" s="77"/>
      <c r="AQ443" s="77" t="s">
        <v>10883</v>
      </c>
      <c r="AR443" s="77"/>
      <c r="AS443" s="77"/>
      <c r="AT443" s="77"/>
      <c r="AU443" s="77"/>
      <c r="AV443" s="80" t="str">
        <f>HYPERLINK("https://pbs.twimg.com/media/F6vFL5uWIAAOhNa.jpg")</f>
        <v>https://pbs.twimg.com/media/F6vFL5uWIAAOhNa.jpg</v>
      </c>
      <c r="AW443" s="82" t="s">
        <v>12146</v>
      </c>
      <c r="AX443" s="82" t="s">
        <v>12146</v>
      </c>
      <c r="AY443" s="77"/>
      <c r="AZ443" s="82" t="s">
        <v>15984</v>
      </c>
      <c r="BA443" s="82" t="s">
        <v>15984</v>
      </c>
      <c r="BB443" s="82" t="s">
        <v>15984</v>
      </c>
      <c r="BC443" s="82" t="s">
        <v>12146</v>
      </c>
      <c r="BD443" s="82" t="s">
        <v>16183</v>
      </c>
      <c r="BE443" s="77"/>
      <c r="BF443" s="77"/>
      <c r="BG443" s="77"/>
      <c r="BH443" s="77"/>
      <c r="BI443" s="77"/>
    </row>
    <row r="444" spans="1:61" x14ac:dyDescent="0.25">
      <c r="A444" s="62" t="s">
        <v>357</v>
      </c>
      <c r="B444" s="62" t="s">
        <v>357</v>
      </c>
      <c r="C444" s="63"/>
      <c r="D444" s="64"/>
      <c r="E444" s="65"/>
      <c r="F444" s="66"/>
      <c r="G444" s="63"/>
      <c r="H444" s="67"/>
      <c r="I444" s="68"/>
      <c r="J444" s="68"/>
      <c r="K444" s="32"/>
      <c r="L444" s="75">
        <v>444</v>
      </c>
      <c r="M444" s="75"/>
      <c r="N444" s="70"/>
      <c r="O444" s="77" t="s">
        <v>179</v>
      </c>
      <c r="P444" s="79">
        <v>45189.724733796298</v>
      </c>
      <c r="Q444" s="77" t="s">
        <v>1323</v>
      </c>
      <c r="R444" s="77">
        <v>0</v>
      </c>
      <c r="S444" s="77">
        <v>0</v>
      </c>
      <c r="T444" s="77">
        <v>0</v>
      </c>
      <c r="U444" s="77">
        <v>0</v>
      </c>
      <c r="V444" s="77">
        <v>5</v>
      </c>
      <c r="W444" s="82" t="s">
        <v>5036</v>
      </c>
      <c r="X444" s="80" t="str">
        <f>HYPERLINK("https://e2t.to/45Q7FXr")</f>
        <v>https://e2t.to/45Q7FXr</v>
      </c>
      <c r="Y444" s="77" t="s">
        <v>6499</v>
      </c>
      <c r="Z444" s="77"/>
      <c r="AA444" s="77" t="s">
        <v>6912</v>
      </c>
      <c r="AB444" s="77" t="s">
        <v>7742</v>
      </c>
      <c r="AC444" s="82" t="s">
        <v>7750</v>
      </c>
      <c r="AD444" s="77" t="s">
        <v>7788</v>
      </c>
      <c r="AE444" s="80" t="str">
        <f>HYPERLINK("https://twitter.com/earn2trade_br/status/1704546871979434356")</f>
        <v>https://twitter.com/earn2trade_br/status/1704546871979434356</v>
      </c>
      <c r="AF444" s="79">
        <v>45189.724733796298</v>
      </c>
      <c r="AG444" s="85">
        <v>45189</v>
      </c>
      <c r="AH444" s="82" t="s">
        <v>8185</v>
      </c>
      <c r="AI444" s="77" t="b">
        <v>0</v>
      </c>
      <c r="AJ444" s="77"/>
      <c r="AK444" s="77"/>
      <c r="AL444" s="77"/>
      <c r="AM444" s="77"/>
      <c r="AN444" s="77"/>
      <c r="AO444" s="77"/>
      <c r="AP444" s="77"/>
      <c r="AQ444" s="77" t="s">
        <v>10884</v>
      </c>
      <c r="AR444" s="77"/>
      <c r="AS444" s="77"/>
      <c r="AT444" s="77"/>
      <c r="AU444" s="77"/>
      <c r="AV444" s="80" t="str">
        <f>HYPERLINK("https://pbs.twimg.com/media/F6fEVwQXkAAyB67.jpg")</f>
        <v>https://pbs.twimg.com/media/F6fEVwQXkAAyB67.jpg</v>
      </c>
      <c r="AW444" s="82" t="s">
        <v>12147</v>
      </c>
      <c r="AX444" s="82" t="s">
        <v>12147</v>
      </c>
      <c r="AY444" s="77"/>
      <c r="AZ444" s="82" t="s">
        <v>15984</v>
      </c>
      <c r="BA444" s="82" t="s">
        <v>15984</v>
      </c>
      <c r="BB444" s="82" t="s">
        <v>15984</v>
      </c>
      <c r="BC444" s="82" t="s">
        <v>12147</v>
      </c>
      <c r="BD444" s="82" t="s">
        <v>16183</v>
      </c>
      <c r="BE444" s="77"/>
      <c r="BF444" s="77"/>
      <c r="BG444" s="77"/>
      <c r="BH444" s="77"/>
      <c r="BI444" s="77"/>
    </row>
    <row r="445" spans="1:61" x14ac:dyDescent="0.25">
      <c r="A445" s="62" t="s">
        <v>357</v>
      </c>
      <c r="B445" s="62" t="s">
        <v>357</v>
      </c>
      <c r="C445" s="63"/>
      <c r="D445" s="64"/>
      <c r="E445" s="65"/>
      <c r="F445" s="66"/>
      <c r="G445" s="63"/>
      <c r="H445" s="67"/>
      <c r="I445" s="68"/>
      <c r="J445" s="68"/>
      <c r="K445" s="32"/>
      <c r="L445" s="75">
        <v>445</v>
      </c>
      <c r="M445" s="75"/>
      <c r="N445" s="70"/>
      <c r="O445" s="77" t="s">
        <v>179</v>
      </c>
      <c r="P445" s="79">
        <v>45136.847222222219</v>
      </c>
      <c r="Q445" s="77" t="s">
        <v>1324</v>
      </c>
      <c r="R445" s="77">
        <v>0</v>
      </c>
      <c r="S445" s="77">
        <v>0</v>
      </c>
      <c r="T445" s="77">
        <v>0</v>
      </c>
      <c r="U445" s="77">
        <v>0</v>
      </c>
      <c r="V445" s="77">
        <v>13</v>
      </c>
      <c r="W445" s="82" t="s">
        <v>5033</v>
      </c>
      <c r="X445" s="77"/>
      <c r="Y445" s="77"/>
      <c r="Z445" s="77"/>
      <c r="AA445" s="77" t="s">
        <v>6913</v>
      </c>
      <c r="AB445" s="77" t="s">
        <v>7742</v>
      </c>
      <c r="AC445" s="82" t="s">
        <v>7750</v>
      </c>
      <c r="AD445" s="77" t="s">
        <v>7788</v>
      </c>
      <c r="AE445" s="80" t="str">
        <f>HYPERLINK("https://twitter.com/earn2trade_br/status/1685384700540444673")</f>
        <v>https://twitter.com/earn2trade_br/status/1685384700540444673</v>
      </c>
      <c r="AF445" s="79">
        <v>45136.847222222219</v>
      </c>
      <c r="AG445" s="85">
        <v>45136</v>
      </c>
      <c r="AH445" s="82" t="s">
        <v>8186</v>
      </c>
      <c r="AI445" s="77" t="b">
        <v>0</v>
      </c>
      <c r="AJ445" s="77"/>
      <c r="AK445" s="77"/>
      <c r="AL445" s="77"/>
      <c r="AM445" s="77"/>
      <c r="AN445" s="77"/>
      <c r="AO445" s="77"/>
      <c r="AP445" s="77"/>
      <c r="AQ445" s="77" t="s">
        <v>10885</v>
      </c>
      <c r="AR445" s="77"/>
      <c r="AS445" s="77"/>
      <c r="AT445" s="77"/>
      <c r="AU445" s="77"/>
      <c r="AV445" s="80" t="str">
        <f>HYPERLINK("https://pbs.twimg.com/media/F2H5QYBW8AEM80-.jpg")</f>
        <v>https://pbs.twimg.com/media/F2H5QYBW8AEM80-.jpg</v>
      </c>
      <c r="AW445" s="82" t="s">
        <v>12148</v>
      </c>
      <c r="AX445" s="82" t="s">
        <v>12148</v>
      </c>
      <c r="AY445" s="77"/>
      <c r="AZ445" s="82" t="s">
        <v>15984</v>
      </c>
      <c r="BA445" s="82" t="s">
        <v>15984</v>
      </c>
      <c r="BB445" s="82" t="s">
        <v>15984</v>
      </c>
      <c r="BC445" s="82" t="s">
        <v>12148</v>
      </c>
      <c r="BD445" s="82" t="s">
        <v>16183</v>
      </c>
      <c r="BE445" s="77"/>
      <c r="BF445" s="77"/>
      <c r="BG445" s="77"/>
      <c r="BH445" s="77"/>
      <c r="BI445" s="77"/>
    </row>
    <row r="446" spans="1:61" x14ac:dyDescent="0.25">
      <c r="A446" s="62" t="s">
        <v>357</v>
      </c>
      <c r="B446" s="62" t="s">
        <v>357</v>
      </c>
      <c r="C446" s="63"/>
      <c r="D446" s="64"/>
      <c r="E446" s="65"/>
      <c r="F446" s="66"/>
      <c r="G446" s="63"/>
      <c r="H446" s="67"/>
      <c r="I446" s="68"/>
      <c r="J446" s="68"/>
      <c r="K446" s="32"/>
      <c r="L446" s="75">
        <v>446</v>
      </c>
      <c r="M446" s="75"/>
      <c r="N446" s="70"/>
      <c r="O446" s="77" t="s">
        <v>179</v>
      </c>
      <c r="P446" s="79">
        <v>45194.556909722225</v>
      </c>
      <c r="Q446" s="77" t="s">
        <v>1325</v>
      </c>
      <c r="R446" s="77">
        <v>0</v>
      </c>
      <c r="S446" s="77">
        <v>0</v>
      </c>
      <c r="T446" s="77">
        <v>0</v>
      </c>
      <c r="U446" s="77">
        <v>0</v>
      </c>
      <c r="V446" s="77">
        <v>11</v>
      </c>
      <c r="W446" s="82" t="s">
        <v>5033</v>
      </c>
      <c r="X446" s="77"/>
      <c r="Y446" s="77"/>
      <c r="Z446" s="77"/>
      <c r="AA446" s="77" t="s">
        <v>6914</v>
      </c>
      <c r="AB446" s="77" t="s">
        <v>7742</v>
      </c>
      <c r="AC446" s="82" t="s">
        <v>7750</v>
      </c>
      <c r="AD446" s="77" t="s">
        <v>7788</v>
      </c>
      <c r="AE446" s="80" t="str">
        <f>HYPERLINK("https://twitter.com/earn2trade_br/status/1706297994172150162")</f>
        <v>https://twitter.com/earn2trade_br/status/1706297994172150162</v>
      </c>
      <c r="AF446" s="79">
        <v>45194.556909722225</v>
      </c>
      <c r="AG446" s="85">
        <v>45194</v>
      </c>
      <c r="AH446" s="82" t="s">
        <v>8187</v>
      </c>
      <c r="AI446" s="77" t="b">
        <v>0</v>
      </c>
      <c r="AJ446" s="77"/>
      <c r="AK446" s="77"/>
      <c r="AL446" s="77"/>
      <c r="AM446" s="77"/>
      <c r="AN446" s="77"/>
      <c r="AO446" s="77"/>
      <c r="AP446" s="77"/>
      <c r="AQ446" s="77" t="s">
        <v>10886</v>
      </c>
      <c r="AR446" s="77"/>
      <c r="AS446" s="77"/>
      <c r="AT446" s="77"/>
      <c r="AU446" s="77"/>
      <c r="AV446" s="80" t="str">
        <f>HYPERLINK("https://pbs.twimg.com/media/F6386uKXIAAMetE.jpg")</f>
        <v>https://pbs.twimg.com/media/F6386uKXIAAMetE.jpg</v>
      </c>
      <c r="AW446" s="82" t="s">
        <v>12149</v>
      </c>
      <c r="AX446" s="82" t="s">
        <v>12149</v>
      </c>
      <c r="AY446" s="77"/>
      <c r="AZ446" s="82" t="s">
        <v>15984</v>
      </c>
      <c r="BA446" s="82" t="s">
        <v>15984</v>
      </c>
      <c r="BB446" s="82" t="s">
        <v>15984</v>
      </c>
      <c r="BC446" s="82" t="s">
        <v>12149</v>
      </c>
      <c r="BD446" s="82" t="s">
        <v>16183</v>
      </c>
      <c r="BE446" s="77"/>
      <c r="BF446" s="77"/>
      <c r="BG446" s="77"/>
      <c r="BH446" s="77"/>
      <c r="BI446" s="77"/>
    </row>
    <row r="447" spans="1:61" x14ac:dyDescent="0.25">
      <c r="A447" s="62" t="s">
        <v>357</v>
      </c>
      <c r="B447" s="62" t="s">
        <v>357</v>
      </c>
      <c r="C447" s="63"/>
      <c r="D447" s="64"/>
      <c r="E447" s="65"/>
      <c r="F447" s="66"/>
      <c r="G447" s="63"/>
      <c r="H447" s="67"/>
      <c r="I447" s="68"/>
      <c r="J447" s="68"/>
      <c r="K447" s="32"/>
      <c r="L447" s="75">
        <v>447</v>
      </c>
      <c r="M447" s="75"/>
      <c r="N447" s="70"/>
      <c r="O447" s="77" t="s">
        <v>179</v>
      </c>
      <c r="P447" s="79">
        <v>45162.704895833333</v>
      </c>
      <c r="Q447" s="77" t="s">
        <v>1326</v>
      </c>
      <c r="R447" s="77">
        <v>0</v>
      </c>
      <c r="S447" s="77">
        <v>0</v>
      </c>
      <c r="T447" s="77">
        <v>0</v>
      </c>
      <c r="U447" s="77">
        <v>0</v>
      </c>
      <c r="V447" s="77">
        <v>7</v>
      </c>
      <c r="W447" s="82" t="s">
        <v>5033</v>
      </c>
      <c r="X447" s="80" t="str">
        <f>HYPERLINK("https://e2t.to/3qOoSkL")</f>
        <v>https://e2t.to/3qOoSkL</v>
      </c>
      <c r="Y447" s="77" t="s">
        <v>6499</v>
      </c>
      <c r="Z447" s="77"/>
      <c r="AA447" s="77" t="s">
        <v>6915</v>
      </c>
      <c r="AB447" s="77" t="s">
        <v>7742</v>
      </c>
      <c r="AC447" s="82" t="s">
        <v>7750</v>
      </c>
      <c r="AD447" s="77" t="s">
        <v>7788</v>
      </c>
      <c r="AE447" s="80" t="str">
        <f>HYPERLINK("https://twitter.com/earn2trade_br/status/1694755207664542180")</f>
        <v>https://twitter.com/earn2trade_br/status/1694755207664542180</v>
      </c>
      <c r="AF447" s="79">
        <v>45162.704895833333</v>
      </c>
      <c r="AG447" s="85">
        <v>45162</v>
      </c>
      <c r="AH447" s="82" t="s">
        <v>8188</v>
      </c>
      <c r="AI447" s="77" t="b">
        <v>0</v>
      </c>
      <c r="AJ447" s="77"/>
      <c r="AK447" s="77"/>
      <c r="AL447" s="77"/>
      <c r="AM447" s="77"/>
      <c r="AN447" s="77"/>
      <c r="AO447" s="77"/>
      <c r="AP447" s="77"/>
      <c r="AQ447" s="77" t="s">
        <v>10887</v>
      </c>
      <c r="AR447" s="77"/>
      <c r="AS447" s="77"/>
      <c r="AT447" s="77"/>
      <c r="AU447" s="77"/>
      <c r="AV447" s="80" t="str">
        <f>HYPERLINK("https://pbs.twimg.com/media/F4T6zjIWIAAz9Rz.jpg")</f>
        <v>https://pbs.twimg.com/media/F4T6zjIWIAAz9Rz.jpg</v>
      </c>
      <c r="AW447" s="82" t="s">
        <v>12150</v>
      </c>
      <c r="AX447" s="82" t="s">
        <v>12150</v>
      </c>
      <c r="AY447" s="77"/>
      <c r="AZ447" s="82" t="s">
        <v>15984</v>
      </c>
      <c r="BA447" s="82" t="s">
        <v>15984</v>
      </c>
      <c r="BB447" s="82" t="s">
        <v>15984</v>
      </c>
      <c r="BC447" s="82" t="s">
        <v>12150</v>
      </c>
      <c r="BD447" s="82" t="s">
        <v>16183</v>
      </c>
      <c r="BE447" s="77"/>
      <c r="BF447" s="77"/>
      <c r="BG447" s="77"/>
      <c r="BH447" s="77"/>
      <c r="BI447" s="77"/>
    </row>
    <row r="448" spans="1:61" x14ac:dyDescent="0.25">
      <c r="A448" s="62" t="s">
        <v>357</v>
      </c>
      <c r="B448" s="62" t="s">
        <v>357</v>
      </c>
      <c r="C448" s="63"/>
      <c r="D448" s="64"/>
      <c r="E448" s="65"/>
      <c r="F448" s="66"/>
      <c r="G448" s="63"/>
      <c r="H448" s="67"/>
      <c r="I448" s="68"/>
      <c r="J448" s="68"/>
      <c r="K448" s="32"/>
      <c r="L448" s="75">
        <v>448</v>
      </c>
      <c r="M448" s="75"/>
      <c r="N448" s="70"/>
      <c r="O448" s="77" t="s">
        <v>179</v>
      </c>
      <c r="P448" s="79">
        <v>45141.812592592592</v>
      </c>
      <c r="Q448" s="77" t="s">
        <v>1327</v>
      </c>
      <c r="R448" s="77">
        <v>0</v>
      </c>
      <c r="S448" s="77">
        <v>0</v>
      </c>
      <c r="T448" s="77">
        <v>1</v>
      </c>
      <c r="U448" s="77">
        <v>0</v>
      </c>
      <c r="V448" s="77">
        <v>6</v>
      </c>
      <c r="W448" s="82" t="s">
        <v>5033</v>
      </c>
      <c r="X448" s="80" t="str">
        <f>HYPERLINK("https://e2t.to/459UZtK")</f>
        <v>https://e2t.to/459UZtK</v>
      </c>
      <c r="Y448" s="77" t="s">
        <v>6499</v>
      </c>
      <c r="Z448" s="77"/>
      <c r="AA448" s="77" t="s">
        <v>6916</v>
      </c>
      <c r="AB448" s="77" t="s">
        <v>7742</v>
      </c>
      <c r="AC448" s="82" t="s">
        <v>7750</v>
      </c>
      <c r="AD448" s="77" t="s">
        <v>7788</v>
      </c>
      <c r="AE448" s="80" t="str">
        <f>HYPERLINK("https://twitter.com/earn2trade_br/status/1687184091412582400")</f>
        <v>https://twitter.com/earn2trade_br/status/1687184091412582400</v>
      </c>
      <c r="AF448" s="79">
        <v>45141.812592592592</v>
      </c>
      <c r="AG448" s="85">
        <v>45141</v>
      </c>
      <c r="AH448" s="82" t="s">
        <v>8189</v>
      </c>
      <c r="AI448" s="77" t="b">
        <v>0</v>
      </c>
      <c r="AJ448" s="77"/>
      <c r="AK448" s="77"/>
      <c r="AL448" s="77"/>
      <c r="AM448" s="77"/>
      <c r="AN448" s="77"/>
      <c r="AO448" s="77"/>
      <c r="AP448" s="77"/>
      <c r="AQ448" s="77" t="s">
        <v>10888</v>
      </c>
      <c r="AR448" s="77"/>
      <c r="AS448" s="77"/>
      <c r="AT448" s="77"/>
      <c r="AU448" s="77"/>
      <c r="AV448" s="80" t="str">
        <f>HYPERLINK("https://pbs.twimg.com/media/F2oU4S1WoAA1IQv.jpg")</f>
        <v>https://pbs.twimg.com/media/F2oU4S1WoAA1IQv.jpg</v>
      </c>
      <c r="AW448" s="82" t="s">
        <v>12151</v>
      </c>
      <c r="AX448" s="82" t="s">
        <v>12151</v>
      </c>
      <c r="AY448" s="77"/>
      <c r="AZ448" s="82" t="s">
        <v>15984</v>
      </c>
      <c r="BA448" s="82" t="s">
        <v>15984</v>
      </c>
      <c r="BB448" s="82" t="s">
        <v>15984</v>
      </c>
      <c r="BC448" s="82" t="s">
        <v>12151</v>
      </c>
      <c r="BD448" s="82" t="s">
        <v>16183</v>
      </c>
      <c r="BE448" s="77"/>
      <c r="BF448" s="77"/>
      <c r="BG448" s="77"/>
      <c r="BH448" s="77"/>
      <c r="BI448" s="77"/>
    </row>
    <row r="449" spans="1:61" x14ac:dyDescent="0.25">
      <c r="A449" s="62" t="s">
        <v>357</v>
      </c>
      <c r="B449" s="62" t="s">
        <v>357</v>
      </c>
      <c r="C449" s="63"/>
      <c r="D449" s="64"/>
      <c r="E449" s="65"/>
      <c r="F449" s="66"/>
      <c r="G449" s="63"/>
      <c r="H449" s="67"/>
      <c r="I449" s="68"/>
      <c r="J449" s="68"/>
      <c r="K449" s="32"/>
      <c r="L449" s="75">
        <v>449</v>
      </c>
      <c r="M449" s="75"/>
      <c r="N449" s="70"/>
      <c r="O449" s="77" t="s">
        <v>179</v>
      </c>
      <c r="P449" s="79">
        <v>45194.85670138889</v>
      </c>
      <c r="Q449" s="77" t="s">
        <v>1328</v>
      </c>
      <c r="R449" s="77">
        <v>0</v>
      </c>
      <c r="S449" s="77">
        <v>0</v>
      </c>
      <c r="T449" s="77">
        <v>0</v>
      </c>
      <c r="U449" s="77">
        <v>0</v>
      </c>
      <c r="V449" s="77">
        <v>4</v>
      </c>
      <c r="W449" s="82" t="s">
        <v>5033</v>
      </c>
      <c r="X449" s="77"/>
      <c r="Y449" s="77"/>
      <c r="Z449" s="77"/>
      <c r="AA449" s="77" t="s">
        <v>6917</v>
      </c>
      <c r="AB449" s="77" t="s">
        <v>7742</v>
      </c>
      <c r="AC449" s="82" t="s">
        <v>7750</v>
      </c>
      <c r="AD449" s="77" t="s">
        <v>7788</v>
      </c>
      <c r="AE449" s="80" t="str">
        <f>HYPERLINK("https://twitter.com/earn2trade_br/status/1706406633742487801")</f>
        <v>https://twitter.com/earn2trade_br/status/1706406633742487801</v>
      </c>
      <c r="AF449" s="79">
        <v>45194.85670138889</v>
      </c>
      <c r="AG449" s="85">
        <v>45194</v>
      </c>
      <c r="AH449" s="82" t="s">
        <v>8190</v>
      </c>
      <c r="AI449" s="77" t="b">
        <v>0</v>
      </c>
      <c r="AJ449" s="77"/>
      <c r="AK449" s="77"/>
      <c r="AL449" s="77"/>
      <c r="AM449" s="77"/>
      <c r="AN449" s="77"/>
      <c r="AO449" s="77"/>
      <c r="AP449" s="77"/>
      <c r="AQ449" s="77" t="s">
        <v>10889</v>
      </c>
      <c r="AR449" s="77"/>
      <c r="AS449" s="77"/>
      <c r="AT449" s="77"/>
      <c r="AU449" s="77"/>
      <c r="AV449" s="80" t="str">
        <f>HYPERLINK("https://pbs.twimg.com/media/F65fvp5WgAAS3jd.jpg")</f>
        <v>https://pbs.twimg.com/media/F65fvp5WgAAS3jd.jpg</v>
      </c>
      <c r="AW449" s="82" t="s">
        <v>12152</v>
      </c>
      <c r="AX449" s="82" t="s">
        <v>12152</v>
      </c>
      <c r="AY449" s="77"/>
      <c r="AZ449" s="82" t="s">
        <v>15984</v>
      </c>
      <c r="BA449" s="82" t="s">
        <v>15984</v>
      </c>
      <c r="BB449" s="82" t="s">
        <v>15984</v>
      </c>
      <c r="BC449" s="82" t="s">
        <v>12152</v>
      </c>
      <c r="BD449" s="82" t="s">
        <v>16183</v>
      </c>
      <c r="BE449" s="77"/>
      <c r="BF449" s="77"/>
      <c r="BG449" s="77"/>
      <c r="BH449" s="77"/>
      <c r="BI449" s="77"/>
    </row>
    <row r="450" spans="1:61" x14ac:dyDescent="0.25">
      <c r="A450" s="62" t="s">
        <v>357</v>
      </c>
      <c r="B450" s="62" t="s">
        <v>357</v>
      </c>
      <c r="C450" s="63"/>
      <c r="D450" s="64"/>
      <c r="E450" s="65"/>
      <c r="F450" s="66"/>
      <c r="G450" s="63"/>
      <c r="H450" s="67"/>
      <c r="I450" s="68"/>
      <c r="J450" s="68"/>
      <c r="K450" s="32"/>
      <c r="L450" s="75">
        <v>450</v>
      </c>
      <c r="M450" s="75"/>
      <c r="N450" s="70"/>
      <c r="O450" s="77" t="s">
        <v>179</v>
      </c>
      <c r="P450" s="79">
        <v>45194.069039351853</v>
      </c>
      <c r="Q450" s="77" t="s">
        <v>1329</v>
      </c>
      <c r="R450" s="77">
        <v>0</v>
      </c>
      <c r="S450" s="77">
        <v>0</v>
      </c>
      <c r="T450" s="77">
        <v>0</v>
      </c>
      <c r="U450" s="77">
        <v>0</v>
      </c>
      <c r="V450" s="77">
        <v>16</v>
      </c>
      <c r="W450" s="82" t="s">
        <v>5033</v>
      </c>
      <c r="X450" s="77"/>
      <c r="Y450" s="77"/>
      <c r="Z450" s="77"/>
      <c r="AA450" s="77" t="s">
        <v>6918</v>
      </c>
      <c r="AB450" s="77" t="s">
        <v>7742</v>
      </c>
      <c r="AC450" s="82" t="s">
        <v>7750</v>
      </c>
      <c r="AD450" s="77" t="s">
        <v>7788</v>
      </c>
      <c r="AE450" s="80" t="str">
        <f>HYPERLINK("https://twitter.com/earn2trade_br/status/1706121195538547181")</f>
        <v>https://twitter.com/earn2trade_br/status/1706121195538547181</v>
      </c>
      <c r="AF450" s="79">
        <v>45194.069039351853</v>
      </c>
      <c r="AG450" s="85">
        <v>45194</v>
      </c>
      <c r="AH450" s="82" t="s">
        <v>8191</v>
      </c>
      <c r="AI450" s="77" t="b">
        <v>0</v>
      </c>
      <c r="AJ450" s="77"/>
      <c r="AK450" s="77"/>
      <c r="AL450" s="77"/>
      <c r="AM450" s="77"/>
      <c r="AN450" s="77"/>
      <c r="AO450" s="77"/>
      <c r="AP450" s="77"/>
      <c r="AQ450" s="77" t="s">
        <v>10890</v>
      </c>
      <c r="AR450" s="77"/>
      <c r="AS450" s="77"/>
      <c r="AT450" s="77"/>
      <c r="AU450" s="77"/>
      <c r="AV450" s="80" t="str">
        <f>HYPERLINK("https://pbs.twimg.com/media/F61cLbqW4AApiPy.jpg")</f>
        <v>https://pbs.twimg.com/media/F61cLbqW4AApiPy.jpg</v>
      </c>
      <c r="AW450" s="82" t="s">
        <v>12153</v>
      </c>
      <c r="AX450" s="82" t="s">
        <v>12153</v>
      </c>
      <c r="AY450" s="77"/>
      <c r="AZ450" s="82" t="s">
        <v>15984</v>
      </c>
      <c r="BA450" s="82" t="s">
        <v>15984</v>
      </c>
      <c r="BB450" s="82" t="s">
        <v>15984</v>
      </c>
      <c r="BC450" s="82" t="s">
        <v>12153</v>
      </c>
      <c r="BD450" s="82" t="s">
        <v>16183</v>
      </c>
      <c r="BE450" s="77"/>
      <c r="BF450" s="77"/>
      <c r="BG450" s="77"/>
      <c r="BH450" s="77"/>
      <c r="BI450" s="77"/>
    </row>
    <row r="451" spans="1:61" x14ac:dyDescent="0.25">
      <c r="A451" s="62" t="s">
        <v>357</v>
      </c>
      <c r="B451" s="62" t="s">
        <v>357</v>
      </c>
      <c r="C451" s="63"/>
      <c r="D451" s="64"/>
      <c r="E451" s="65"/>
      <c r="F451" s="66"/>
      <c r="G451" s="63"/>
      <c r="H451" s="67"/>
      <c r="I451" s="68"/>
      <c r="J451" s="68"/>
      <c r="K451" s="32"/>
      <c r="L451" s="75">
        <v>451</v>
      </c>
      <c r="M451" s="75"/>
      <c r="N451" s="70"/>
      <c r="O451" s="77" t="s">
        <v>179</v>
      </c>
      <c r="P451" s="79">
        <v>45182.88616898148</v>
      </c>
      <c r="Q451" s="77" t="s">
        <v>1330</v>
      </c>
      <c r="R451" s="77">
        <v>0</v>
      </c>
      <c r="S451" s="77">
        <v>0</v>
      </c>
      <c r="T451" s="77">
        <v>0</v>
      </c>
      <c r="U451" s="77">
        <v>0</v>
      </c>
      <c r="V451" s="77">
        <v>8</v>
      </c>
      <c r="W451" s="82" t="s">
        <v>5033</v>
      </c>
      <c r="X451" s="80" t="str">
        <f>HYPERLINK("https://e2t.to/3PAbhqK")</f>
        <v>https://e2t.to/3PAbhqK</v>
      </c>
      <c r="Y451" s="77" t="s">
        <v>6499</v>
      </c>
      <c r="Z451" s="77"/>
      <c r="AA451" s="77" t="s">
        <v>6919</v>
      </c>
      <c r="AB451" s="77" t="s">
        <v>7742</v>
      </c>
      <c r="AC451" s="82" t="s">
        <v>7750</v>
      </c>
      <c r="AD451" s="77" t="s">
        <v>7788</v>
      </c>
      <c r="AE451" s="80" t="str">
        <f>HYPERLINK("https://twitter.com/earn2trade_br/status/1702068658506179029")</f>
        <v>https://twitter.com/earn2trade_br/status/1702068658506179029</v>
      </c>
      <c r="AF451" s="79">
        <v>45182.88616898148</v>
      </c>
      <c r="AG451" s="85">
        <v>45182</v>
      </c>
      <c r="AH451" s="82" t="s">
        <v>8192</v>
      </c>
      <c r="AI451" s="77" t="b">
        <v>0</v>
      </c>
      <c r="AJ451" s="77"/>
      <c r="AK451" s="77"/>
      <c r="AL451" s="77"/>
      <c r="AM451" s="77"/>
      <c r="AN451" s="77"/>
      <c r="AO451" s="77"/>
      <c r="AP451" s="77"/>
      <c r="AQ451" s="77" t="s">
        <v>10891</v>
      </c>
      <c r="AR451" s="77"/>
      <c r="AS451" s="77"/>
      <c r="AT451" s="77"/>
      <c r="AU451" s="77"/>
      <c r="AV451" s="80" t="str">
        <f>HYPERLINK("https://pbs.twimg.com/media/F572ar0XwAAJAIX.jpg")</f>
        <v>https://pbs.twimg.com/media/F572ar0XwAAJAIX.jpg</v>
      </c>
      <c r="AW451" s="82" t="s">
        <v>12154</v>
      </c>
      <c r="AX451" s="82" t="s">
        <v>12154</v>
      </c>
      <c r="AY451" s="77"/>
      <c r="AZ451" s="82" t="s">
        <v>15984</v>
      </c>
      <c r="BA451" s="82" t="s">
        <v>15984</v>
      </c>
      <c r="BB451" s="82" t="s">
        <v>15984</v>
      </c>
      <c r="BC451" s="82" t="s">
        <v>12154</v>
      </c>
      <c r="BD451" s="82" t="s">
        <v>16183</v>
      </c>
      <c r="BE451" s="77"/>
      <c r="BF451" s="77"/>
      <c r="BG451" s="77"/>
      <c r="BH451" s="77"/>
      <c r="BI451" s="77"/>
    </row>
    <row r="452" spans="1:61" x14ac:dyDescent="0.25">
      <c r="A452" s="62" t="s">
        <v>357</v>
      </c>
      <c r="B452" s="62" t="s">
        <v>357</v>
      </c>
      <c r="C452" s="63"/>
      <c r="D452" s="64"/>
      <c r="E452" s="65"/>
      <c r="F452" s="66"/>
      <c r="G452" s="63"/>
      <c r="H452" s="67"/>
      <c r="I452" s="68"/>
      <c r="J452" s="68"/>
      <c r="K452" s="32"/>
      <c r="L452" s="75">
        <v>452</v>
      </c>
      <c r="M452" s="75"/>
      <c r="N452" s="70"/>
      <c r="O452" s="77" t="s">
        <v>179</v>
      </c>
      <c r="P452" s="79">
        <v>45158.788194444445</v>
      </c>
      <c r="Q452" s="77" t="s">
        <v>1331</v>
      </c>
      <c r="R452" s="77">
        <v>0</v>
      </c>
      <c r="S452" s="77">
        <v>0</v>
      </c>
      <c r="T452" s="77">
        <v>0</v>
      </c>
      <c r="U452" s="77">
        <v>0</v>
      </c>
      <c r="V452" s="77">
        <v>22</v>
      </c>
      <c r="W452" s="82" t="s">
        <v>5033</v>
      </c>
      <c r="X452" s="77"/>
      <c r="Y452" s="77"/>
      <c r="Z452" s="77"/>
      <c r="AA452" s="77" t="s">
        <v>6920</v>
      </c>
      <c r="AB452" s="77" t="s">
        <v>7742</v>
      </c>
      <c r="AC452" s="82" t="s">
        <v>7750</v>
      </c>
      <c r="AD452" s="77" t="s">
        <v>7788</v>
      </c>
      <c r="AE452" s="80" t="str">
        <f>HYPERLINK("https://twitter.com/earn2trade_br/status/1693335842721317259")</f>
        <v>https://twitter.com/earn2trade_br/status/1693335842721317259</v>
      </c>
      <c r="AF452" s="79">
        <v>45158.788194444445</v>
      </c>
      <c r="AG452" s="85">
        <v>45158</v>
      </c>
      <c r="AH452" s="82" t="s">
        <v>8193</v>
      </c>
      <c r="AI452" s="77" t="b">
        <v>0</v>
      </c>
      <c r="AJ452" s="77"/>
      <c r="AK452" s="77"/>
      <c r="AL452" s="77"/>
      <c r="AM452" s="77"/>
      <c r="AN452" s="77"/>
      <c r="AO452" s="77"/>
      <c r="AP452" s="77"/>
      <c r="AQ452" s="77" t="s">
        <v>10892</v>
      </c>
      <c r="AR452" s="77"/>
      <c r="AS452" s="77"/>
      <c r="AT452" s="77"/>
      <c r="AU452" s="77"/>
      <c r="AV452" s="80" t="str">
        <f>HYPERLINK("https://pbs.twimg.com/media/F36mWq0WEAAuPxW.jpg")</f>
        <v>https://pbs.twimg.com/media/F36mWq0WEAAuPxW.jpg</v>
      </c>
      <c r="AW452" s="82" t="s">
        <v>12155</v>
      </c>
      <c r="AX452" s="82" t="s">
        <v>12155</v>
      </c>
      <c r="AY452" s="77"/>
      <c r="AZ452" s="82" t="s">
        <v>15984</v>
      </c>
      <c r="BA452" s="82" t="s">
        <v>15984</v>
      </c>
      <c r="BB452" s="82" t="s">
        <v>15984</v>
      </c>
      <c r="BC452" s="82" t="s">
        <v>12155</v>
      </c>
      <c r="BD452" s="82" t="s">
        <v>16183</v>
      </c>
      <c r="BE452" s="77"/>
      <c r="BF452" s="77"/>
      <c r="BG452" s="77"/>
      <c r="BH452" s="77"/>
      <c r="BI452" s="77"/>
    </row>
    <row r="453" spans="1:61" x14ac:dyDescent="0.25">
      <c r="A453" s="62" t="s">
        <v>357</v>
      </c>
      <c r="B453" s="62" t="s">
        <v>357</v>
      </c>
      <c r="C453" s="63"/>
      <c r="D453" s="64"/>
      <c r="E453" s="65"/>
      <c r="F453" s="66"/>
      <c r="G453" s="63"/>
      <c r="H453" s="67"/>
      <c r="I453" s="68"/>
      <c r="J453" s="68"/>
      <c r="K453" s="32"/>
      <c r="L453" s="75">
        <v>453</v>
      </c>
      <c r="M453" s="75"/>
      <c r="N453" s="70"/>
      <c r="O453" s="77" t="s">
        <v>179</v>
      </c>
      <c r="P453" s="79">
        <v>45195.760069444441</v>
      </c>
      <c r="Q453" s="77" t="s">
        <v>1332</v>
      </c>
      <c r="R453" s="77">
        <v>0</v>
      </c>
      <c r="S453" s="77">
        <v>0</v>
      </c>
      <c r="T453" s="77">
        <v>0</v>
      </c>
      <c r="U453" s="77">
        <v>0</v>
      </c>
      <c r="V453" s="77">
        <v>10</v>
      </c>
      <c r="W453" s="82" t="s">
        <v>5033</v>
      </c>
      <c r="X453" s="77"/>
      <c r="Y453" s="77"/>
      <c r="Z453" s="77"/>
      <c r="AA453" s="77" t="s">
        <v>6921</v>
      </c>
      <c r="AB453" s="77" t="s">
        <v>7742</v>
      </c>
      <c r="AC453" s="82" t="s">
        <v>7750</v>
      </c>
      <c r="AD453" s="77" t="s">
        <v>7788</v>
      </c>
      <c r="AE453" s="80" t="str">
        <f>HYPERLINK("https://twitter.com/earn2trade_br/status/1706734002013384981")</f>
        <v>https://twitter.com/earn2trade_br/status/1706734002013384981</v>
      </c>
      <c r="AF453" s="79">
        <v>45195.760069444441</v>
      </c>
      <c r="AG453" s="85">
        <v>45195</v>
      </c>
      <c r="AH453" s="82" t="s">
        <v>8194</v>
      </c>
      <c r="AI453" s="77" t="b">
        <v>0</v>
      </c>
      <c r="AJ453" s="77"/>
      <c r="AK453" s="77"/>
      <c r="AL453" s="77"/>
      <c r="AM453" s="77"/>
      <c r="AN453" s="77"/>
      <c r="AO453" s="77"/>
      <c r="AP453" s="77"/>
      <c r="AQ453" s="77" t="s">
        <v>10893</v>
      </c>
      <c r="AR453" s="77"/>
      <c r="AS453" s="77"/>
      <c r="AT453" s="77"/>
      <c r="AU453" s="77"/>
      <c r="AV453" s="80" t="str">
        <f>HYPERLINK("https://pbs.twimg.com/media/F6-Jhv9WMAAONgb.jpg")</f>
        <v>https://pbs.twimg.com/media/F6-Jhv9WMAAONgb.jpg</v>
      </c>
      <c r="AW453" s="82" t="s">
        <v>12156</v>
      </c>
      <c r="AX453" s="82" t="s">
        <v>12156</v>
      </c>
      <c r="AY453" s="77"/>
      <c r="AZ453" s="82" t="s">
        <v>15984</v>
      </c>
      <c r="BA453" s="82" t="s">
        <v>15984</v>
      </c>
      <c r="BB453" s="82" t="s">
        <v>15984</v>
      </c>
      <c r="BC453" s="82" t="s">
        <v>12156</v>
      </c>
      <c r="BD453" s="82" t="s">
        <v>16183</v>
      </c>
      <c r="BE453" s="77"/>
      <c r="BF453" s="77"/>
      <c r="BG453" s="77"/>
      <c r="BH453" s="77"/>
      <c r="BI453" s="77"/>
    </row>
    <row r="454" spans="1:61" x14ac:dyDescent="0.25">
      <c r="A454" s="62" t="s">
        <v>357</v>
      </c>
      <c r="B454" s="62" t="s">
        <v>357</v>
      </c>
      <c r="C454" s="63"/>
      <c r="D454" s="64"/>
      <c r="E454" s="65"/>
      <c r="F454" s="66"/>
      <c r="G454" s="63"/>
      <c r="H454" s="67"/>
      <c r="I454" s="68"/>
      <c r="J454" s="68"/>
      <c r="K454" s="32"/>
      <c r="L454" s="75">
        <v>454</v>
      </c>
      <c r="M454" s="75"/>
      <c r="N454" s="70"/>
      <c r="O454" s="77" t="s">
        <v>179</v>
      </c>
      <c r="P454" s="79">
        <v>45191.726273148146</v>
      </c>
      <c r="Q454" s="77" t="s">
        <v>1333</v>
      </c>
      <c r="R454" s="77">
        <v>0</v>
      </c>
      <c r="S454" s="77">
        <v>0</v>
      </c>
      <c r="T454" s="77">
        <v>0</v>
      </c>
      <c r="U454" s="77">
        <v>0</v>
      </c>
      <c r="V454" s="77">
        <v>12</v>
      </c>
      <c r="W454" s="82" t="s">
        <v>5036</v>
      </c>
      <c r="X454" s="80" t="str">
        <f>HYPERLINK("https://e2t.to/48soVn8")</f>
        <v>https://e2t.to/48soVn8</v>
      </c>
      <c r="Y454" s="77" t="s">
        <v>6499</v>
      </c>
      <c r="Z454" s="77"/>
      <c r="AA454" s="77" t="s">
        <v>6922</v>
      </c>
      <c r="AB454" s="77" t="s">
        <v>7742</v>
      </c>
      <c r="AC454" s="82" t="s">
        <v>7750</v>
      </c>
      <c r="AD454" s="77" t="s">
        <v>7788</v>
      </c>
      <c r="AE454" s="80" t="str">
        <f>HYPERLINK("https://twitter.com/earn2trade_br/status/1705272205095944392")</f>
        <v>https://twitter.com/earn2trade_br/status/1705272205095944392</v>
      </c>
      <c r="AF454" s="79">
        <v>45191.726273148146</v>
      </c>
      <c r="AG454" s="85">
        <v>45191</v>
      </c>
      <c r="AH454" s="82" t="s">
        <v>8195</v>
      </c>
      <c r="AI454" s="77" t="b">
        <v>0</v>
      </c>
      <c r="AJ454" s="77"/>
      <c r="AK454" s="77"/>
      <c r="AL454" s="77"/>
      <c r="AM454" s="77"/>
      <c r="AN454" s="77"/>
      <c r="AO454" s="77"/>
      <c r="AP454" s="77"/>
      <c r="AQ454" s="77" t="s">
        <v>10894</v>
      </c>
      <c r="AR454" s="77"/>
      <c r="AS454" s="77"/>
      <c r="AT454" s="77"/>
      <c r="AU454" s="77"/>
      <c r="AV454" s="80" t="str">
        <f>HYPERLINK("https://pbs.twimg.com/media/F6pYBtrW0AAR0YX.jpg")</f>
        <v>https://pbs.twimg.com/media/F6pYBtrW0AAR0YX.jpg</v>
      </c>
      <c r="AW454" s="82" t="s">
        <v>12157</v>
      </c>
      <c r="AX454" s="82" t="s">
        <v>12157</v>
      </c>
      <c r="AY454" s="77"/>
      <c r="AZ454" s="82" t="s">
        <v>15984</v>
      </c>
      <c r="BA454" s="82" t="s">
        <v>15984</v>
      </c>
      <c r="BB454" s="82" t="s">
        <v>15984</v>
      </c>
      <c r="BC454" s="82" t="s">
        <v>12157</v>
      </c>
      <c r="BD454" s="82" t="s">
        <v>16183</v>
      </c>
      <c r="BE454" s="77"/>
      <c r="BF454" s="77"/>
      <c r="BG454" s="77"/>
      <c r="BH454" s="77"/>
      <c r="BI454" s="77"/>
    </row>
    <row r="455" spans="1:61" x14ac:dyDescent="0.25">
      <c r="A455" s="62" t="s">
        <v>357</v>
      </c>
      <c r="B455" s="62" t="s">
        <v>357</v>
      </c>
      <c r="C455" s="63"/>
      <c r="D455" s="64"/>
      <c r="E455" s="65"/>
      <c r="F455" s="66"/>
      <c r="G455" s="63"/>
      <c r="H455" s="67"/>
      <c r="I455" s="68"/>
      <c r="J455" s="68"/>
      <c r="K455" s="32"/>
      <c r="L455" s="75">
        <v>455</v>
      </c>
      <c r="M455" s="75"/>
      <c r="N455" s="70"/>
      <c r="O455" s="77" t="s">
        <v>179</v>
      </c>
      <c r="P455" s="79">
        <v>45188.727939814817</v>
      </c>
      <c r="Q455" s="77" t="s">
        <v>1334</v>
      </c>
      <c r="R455" s="77">
        <v>0</v>
      </c>
      <c r="S455" s="77">
        <v>0</v>
      </c>
      <c r="T455" s="77">
        <v>0</v>
      </c>
      <c r="U455" s="77">
        <v>0</v>
      </c>
      <c r="V455" s="77">
        <v>9</v>
      </c>
      <c r="W455" s="82" t="s">
        <v>5033</v>
      </c>
      <c r="X455" s="77"/>
      <c r="Y455" s="77"/>
      <c r="Z455" s="77"/>
      <c r="AA455" s="77" t="s">
        <v>6923</v>
      </c>
      <c r="AB455" s="77" t="s">
        <v>7742</v>
      </c>
      <c r="AC455" s="82" t="s">
        <v>7750</v>
      </c>
      <c r="AD455" s="77" t="s">
        <v>7788</v>
      </c>
      <c r="AE455" s="80" t="str">
        <f>HYPERLINK("https://twitter.com/earn2trade_br/status/1704185645357261185")</f>
        <v>https://twitter.com/earn2trade_br/status/1704185645357261185</v>
      </c>
      <c r="AF455" s="79">
        <v>45188.727939814817</v>
      </c>
      <c r="AG455" s="85">
        <v>45188</v>
      </c>
      <c r="AH455" s="82" t="s">
        <v>8196</v>
      </c>
      <c r="AI455" s="77" t="b">
        <v>0</v>
      </c>
      <c r="AJ455" s="77"/>
      <c r="AK455" s="77"/>
      <c r="AL455" s="77"/>
      <c r="AM455" s="77"/>
      <c r="AN455" s="77"/>
      <c r="AO455" s="77"/>
      <c r="AP455" s="77"/>
      <c r="AQ455" s="77" t="s">
        <v>10895</v>
      </c>
      <c r="AR455" s="77"/>
      <c r="AS455" s="77"/>
      <c r="AT455" s="77"/>
      <c r="AU455" s="77"/>
      <c r="AV455" s="80" t="str">
        <f>HYPERLINK("https://pbs.twimg.com/media/F6Z7zH7WUAEgXMr.jpg")</f>
        <v>https://pbs.twimg.com/media/F6Z7zH7WUAEgXMr.jpg</v>
      </c>
      <c r="AW455" s="82" t="s">
        <v>12158</v>
      </c>
      <c r="AX455" s="82" t="s">
        <v>12158</v>
      </c>
      <c r="AY455" s="77"/>
      <c r="AZ455" s="82" t="s">
        <v>15984</v>
      </c>
      <c r="BA455" s="82" t="s">
        <v>15984</v>
      </c>
      <c r="BB455" s="82" t="s">
        <v>15984</v>
      </c>
      <c r="BC455" s="82" t="s">
        <v>12158</v>
      </c>
      <c r="BD455" s="82" t="s">
        <v>16183</v>
      </c>
      <c r="BE455" s="77"/>
      <c r="BF455" s="77"/>
      <c r="BG455" s="77"/>
      <c r="BH455" s="77"/>
      <c r="BI455" s="77"/>
    </row>
    <row r="456" spans="1:61" x14ac:dyDescent="0.25">
      <c r="A456" s="62" t="s">
        <v>357</v>
      </c>
      <c r="B456" s="62" t="s">
        <v>357</v>
      </c>
      <c r="C456" s="63"/>
      <c r="D456" s="64"/>
      <c r="E456" s="65"/>
      <c r="F456" s="66"/>
      <c r="G456" s="63"/>
      <c r="H456" s="67"/>
      <c r="I456" s="68"/>
      <c r="J456" s="68"/>
      <c r="K456" s="32"/>
      <c r="L456" s="75">
        <v>456</v>
      </c>
      <c r="M456" s="75"/>
      <c r="N456" s="70"/>
      <c r="O456" s="77" t="s">
        <v>179</v>
      </c>
      <c r="P456" s="79">
        <v>45186.234351851854</v>
      </c>
      <c r="Q456" s="77" t="s">
        <v>1335</v>
      </c>
      <c r="R456" s="77">
        <v>0</v>
      </c>
      <c r="S456" s="77">
        <v>0</v>
      </c>
      <c r="T456" s="77">
        <v>0</v>
      </c>
      <c r="U456" s="77">
        <v>0</v>
      </c>
      <c r="V456" s="77">
        <v>12</v>
      </c>
      <c r="W456" s="82" t="s">
        <v>5033</v>
      </c>
      <c r="X456" s="77"/>
      <c r="Y456" s="77"/>
      <c r="Z456" s="77"/>
      <c r="AA456" s="77" t="s">
        <v>6924</v>
      </c>
      <c r="AB456" s="77" t="s">
        <v>7742</v>
      </c>
      <c r="AC456" s="82" t="s">
        <v>7750</v>
      </c>
      <c r="AD456" s="77" t="s">
        <v>7788</v>
      </c>
      <c r="AE456" s="80" t="str">
        <f>HYPERLINK("https://twitter.com/earn2trade_br/status/1703281996703694913")</f>
        <v>https://twitter.com/earn2trade_br/status/1703281996703694913</v>
      </c>
      <c r="AF456" s="79">
        <v>45186.234351851854</v>
      </c>
      <c r="AG456" s="85">
        <v>45186</v>
      </c>
      <c r="AH456" s="82" t="s">
        <v>8197</v>
      </c>
      <c r="AI456" s="77" t="b">
        <v>0</v>
      </c>
      <c r="AJ456" s="77"/>
      <c r="AK456" s="77"/>
      <c r="AL456" s="77"/>
      <c r="AM456" s="77"/>
      <c r="AN456" s="77"/>
      <c r="AO456" s="77"/>
      <c r="AP456" s="77"/>
      <c r="AQ456" s="77" t="s">
        <v>10896</v>
      </c>
      <c r="AR456" s="77"/>
      <c r="AS456" s="77"/>
      <c r="AT456" s="77"/>
      <c r="AU456" s="77"/>
      <c r="AV456" s="80" t="str">
        <f>HYPERLINK("https://pbs.twimg.com/media/F6NF4ZDWcAAMjsh.jpg")</f>
        <v>https://pbs.twimg.com/media/F6NF4ZDWcAAMjsh.jpg</v>
      </c>
      <c r="AW456" s="82" t="s">
        <v>12159</v>
      </c>
      <c r="AX456" s="82" t="s">
        <v>12159</v>
      </c>
      <c r="AY456" s="77"/>
      <c r="AZ456" s="82" t="s">
        <v>15984</v>
      </c>
      <c r="BA456" s="82" t="s">
        <v>15984</v>
      </c>
      <c r="BB456" s="82" t="s">
        <v>15984</v>
      </c>
      <c r="BC456" s="82" t="s">
        <v>12159</v>
      </c>
      <c r="BD456" s="82" t="s">
        <v>16183</v>
      </c>
      <c r="BE456" s="77"/>
      <c r="BF456" s="77"/>
      <c r="BG456" s="77"/>
      <c r="BH456" s="77"/>
      <c r="BI456" s="77"/>
    </row>
    <row r="457" spans="1:61" x14ac:dyDescent="0.25">
      <c r="A457" s="62" t="s">
        <v>357</v>
      </c>
      <c r="B457" s="62" t="s">
        <v>357</v>
      </c>
      <c r="C457" s="63"/>
      <c r="D457" s="64"/>
      <c r="E457" s="65"/>
      <c r="F457" s="66"/>
      <c r="G457" s="63"/>
      <c r="H457" s="67"/>
      <c r="I457" s="68"/>
      <c r="J457" s="68"/>
      <c r="K457" s="32"/>
      <c r="L457" s="75">
        <v>457</v>
      </c>
      <c r="M457" s="75"/>
      <c r="N457" s="70"/>
      <c r="O457" s="77" t="s">
        <v>179</v>
      </c>
      <c r="P457" s="79">
        <v>45179.738194444442</v>
      </c>
      <c r="Q457" s="77" t="s">
        <v>1336</v>
      </c>
      <c r="R457" s="77">
        <v>0</v>
      </c>
      <c r="S457" s="77">
        <v>0</v>
      </c>
      <c r="T457" s="77">
        <v>0</v>
      </c>
      <c r="U457" s="77">
        <v>0</v>
      </c>
      <c r="V457" s="77">
        <v>13</v>
      </c>
      <c r="W457" s="82" t="s">
        <v>5033</v>
      </c>
      <c r="X457" s="77"/>
      <c r="Y457" s="77"/>
      <c r="Z457" s="77"/>
      <c r="AA457" s="77" t="s">
        <v>6925</v>
      </c>
      <c r="AB457" s="77" t="s">
        <v>7742</v>
      </c>
      <c r="AC457" s="82" t="s">
        <v>7750</v>
      </c>
      <c r="AD457" s="77" t="s">
        <v>7788</v>
      </c>
      <c r="AE457" s="80" t="str">
        <f>HYPERLINK("https://twitter.com/earn2trade_br/status/1700927868459720834")</f>
        <v>https://twitter.com/earn2trade_br/status/1700927868459720834</v>
      </c>
      <c r="AF457" s="79">
        <v>45179.738194444442</v>
      </c>
      <c r="AG457" s="85">
        <v>45179</v>
      </c>
      <c r="AH457" s="82" t="s">
        <v>8198</v>
      </c>
      <c r="AI457" s="77" t="b">
        <v>0</v>
      </c>
      <c r="AJ457" s="77"/>
      <c r="AK457" s="77"/>
      <c r="AL457" s="77"/>
      <c r="AM457" s="77"/>
      <c r="AN457" s="77"/>
      <c r="AO457" s="77"/>
      <c r="AP457" s="77"/>
      <c r="AQ457" s="77" t="s">
        <v>10897</v>
      </c>
      <c r="AR457" s="77"/>
      <c r="AS457" s="77"/>
      <c r="AT457" s="77"/>
      <c r="AU457" s="77"/>
      <c r="AV457" s="80" t="str">
        <f>HYPERLINK("https://pbs.twimg.com/media/F5laqKTW0AAaS3q.jpg")</f>
        <v>https://pbs.twimg.com/media/F5laqKTW0AAaS3q.jpg</v>
      </c>
      <c r="AW457" s="82" t="s">
        <v>12160</v>
      </c>
      <c r="AX457" s="82" t="s">
        <v>12160</v>
      </c>
      <c r="AY457" s="77"/>
      <c r="AZ457" s="82" t="s">
        <v>15984</v>
      </c>
      <c r="BA457" s="82" t="s">
        <v>15984</v>
      </c>
      <c r="BB457" s="82" t="s">
        <v>15984</v>
      </c>
      <c r="BC457" s="82" t="s">
        <v>12160</v>
      </c>
      <c r="BD457" s="82" t="s">
        <v>16183</v>
      </c>
      <c r="BE457" s="77"/>
      <c r="BF457" s="77"/>
      <c r="BG457" s="77"/>
      <c r="BH457" s="77"/>
      <c r="BI457" s="77"/>
    </row>
    <row r="458" spans="1:61" x14ac:dyDescent="0.25">
      <c r="A458" s="62" t="s">
        <v>357</v>
      </c>
      <c r="B458" s="62" t="s">
        <v>357</v>
      </c>
      <c r="C458" s="63"/>
      <c r="D458" s="64"/>
      <c r="E458" s="65"/>
      <c r="F458" s="66"/>
      <c r="G458" s="63"/>
      <c r="H458" s="67"/>
      <c r="I458" s="68"/>
      <c r="J458" s="68"/>
      <c r="K458" s="32"/>
      <c r="L458" s="75">
        <v>458</v>
      </c>
      <c r="M458" s="75"/>
      <c r="N458" s="70"/>
      <c r="O458" s="77" t="s">
        <v>179</v>
      </c>
      <c r="P458" s="79">
        <v>45159.927407407406</v>
      </c>
      <c r="Q458" s="77" t="s">
        <v>1337</v>
      </c>
      <c r="R458" s="77">
        <v>0</v>
      </c>
      <c r="S458" s="77">
        <v>0</v>
      </c>
      <c r="T458" s="77">
        <v>1</v>
      </c>
      <c r="U458" s="77">
        <v>0</v>
      </c>
      <c r="V458" s="77">
        <v>14</v>
      </c>
      <c r="W458" s="82" t="s">
        <v>5033</v>
      </c>
      <c r="X458" s="77"/>
      <c r="Y458" s="77"/>
      <c r="Z458" s="77"/>
      <c r="AA458" s="77" t="s">
        <v>6926</v>
      </c>
      <c r="AB458" s="77" t="s">
        <v>7742</v>
      </c>
      <c r="AC458" s="82" t="s">
        <v>7750</v>
      </c>
      <c r="AD458" s="77" t="s">
        <v>7788</v>
      </c>
      <c r="AE458" s="80" t="str">
        <f>HYPERLINK("https://twitter.com/earn2trade_br/status/1693748682728853950")</f>
        <v>https://twitter.com/earn2trade_br/status/1693748682728853950</v>
      </c>
      <c r="AF458" s="79">
        <v>45159.927407407406</v>
      </c>
      <c r="AG458" s="85">
        <v>45159</v>
      </c>
      <c r="AH458" s="82" t="s">
        <v>8199</v>
      </c>
      <c r="AI458" s="77" t="b">
        <v>0</v>
      </c>
      <c r="AJ458" s="77"/>
      <c r="AK458" s="77"/>
      <c r="AL458" s="77"/>
      <c r="AM458" s="77"/>
      <c r="AN458" s="77"/>
      <c r="AO458" s="77"/>
      <c r="AP458" s="77"/>
      <c r="AQ458" s="77" t="s">
        <v>10898</v>
      </c>
      <c r="AR458" s="77"/>
      <c r="AS458" s="77"/>
      <c r="AT458" s="77"/>
      <c r="AU458" s="77"/>
      <c r="AV458" s="80" t="str">
        <f>HYPERLINK("https://pbs.twimg.com/media/F4FnblDWcAAXOVx.jpg")</f>
        <v>https://pbs.twimg.com/media/F4FnblDWcAAXOVx.jpg</v>
      </c>
      <c r="AW458" s="82" t="s">
        <v>12161</v>
      </c>
      <c r="AX458" s="82" t="s">
        <v>12161</v>
      </c>
      <c r="AY458" s="77"/>
      <c r="AZ458" s="82" t="s">
        <v>15984</v>
      </c>
      <c r="BA458" s="82" t="s">
        <v>15984</v>
      </c>
      <c r="BB458" s="82" t="s">
        <v>15984</v>
      </c>
      <c r="BC458" s="82" t="s">
        <v>12161</v>
      </c>
      <c r="BD458" s="82" t="s">
        <v>16183</v>
      </c>
      <c r="BE458" s="77"/>
      <c r="BF458" s="77"/>
      <c r="BG458" s="77"/>
      <c r="BH458" s="77"/>
      <c r="BI458" s="77"/>
    </row>
    <row r="459" spans="1:61" x14ac:dyDescent="0.25">
      <c r="A459" s="62" t="s">
        <v>357</v>
      </c>
      <c r="B459" s="62" t="s">
        <v>357</v>
      </c>
      <c r="C459" s="63"/>
      <c r="D459" s="64"/>
      <c r="E459" s="65"/>
      <c r="F459" s="66"/>
      <c r="G459" s="63"/>
      <c r="H459" s="67"/>
      <c r="I459" s="68"/>
      <c r="J459" s="68"/>
      <c r="K459" s="32"/>
      <c r="L459" s="75">
        <v>459</v>
      </c>
      <c r="M459" s="75"/>
      <c r="N459" s="70"/>
      <c r="O459" s="77" t="s">
        <v>179</v>
      </c>
      <c r="P459" s="79">
        <v>45140.537662037037</v>
      </c>
      <c r="Q459" s="77" t="s">
        <v>1338</v>
      </c>
      <c r="R459" s="77">
        <v>0</v>
      </c>
      <c r="S459" s="77">
        <v>1</v>
      </c>
      <c r="T459" s="77">
        <v>1</v>
      </c>
      <c r="U459" s="77">
        <v>0</v>
      </c>
      <c r="V459" s="77">
        <v>13</v>
      </c>
      <c r="W459" s="82" t="s">
        <v>5033</v>
      </c>
      <c r="X459" s="77"/>
      <c r="Y459" s="77"/>
      <c r="Z459" s="77"/>
      <c r="AA459" s="77" t="s">
        <v>6927</v>
      </c>
      <c r="AB459" s="77" t="s">
        <v>7742</v>
      </c>
      <c r="AC459" s="82" t="s">
        <v>7750</v>
      </c>
      <c r="AD459" s="77" t="s">
        <v>7788</v>
      </c>
      <c r="AE459" s="80" t="str">
        <f>HYPERLINK("https://twitter.com/earn2trade_br/status/1686722071018065920")</f>
        <v>https://twitter.com/earn2trade_br/status/1686722071018065920</v>
      </c>
      <c r="AF459" s="79">
        <v>45140.537662037037</v>
      </c>
      <c r="AG459" s="85">
        <v>45140</v>
      </c>
      <c r="AH459" s="82" t="s">
        <v>8200</v>
      </c>
      <c r="AI459" s="77" t="b">
        <v>0</v>
      </c>
      <c r="AJ459" s="77"/>
      <c r="AK459" s="77"/>
      <c r="AL459" s="77"/>
      <c r="AM459" s="77"/>
      <c r="AN459" s="77"/>
      <c r="AO459" s="77"/>
      <c r="AP459" s="77"/>
      <c r="AQ459" s="77" t="s">
        <v>10899</v>
      </c>
      <c r="AR459" s="77"/>
      <c r="AS459" s="77"/>
      <c r="AT459" s="77"/>
      <c r="AU459" s="77"/>
      <c r="AV459" s="80" t="str">
        <f>HYPERLINK("https://pbs.twimg.com/media/F2hwxRzXwAA-_yT.jpg")</f>
        <v>https://pbs.twimg.com/media/F2hwxRzXwAA-_yT.jpg</v>
      </c>
      <c r="AW459" s="82" t="s">
        <v>12162</v>
      </c>
      <c r="AX459" s="82" t="s">
        <v>12162</v>
      </c>
      <c r="AY459" s="77"/>
      <c r="AZ459" s="82" t="s">
        <v>15984</v>
      </c>
      <c r="BA459" s="82" t="s">
        <v>15984</v>
      </c>
      <c r="BB459" s="82" t="s">
        <v>15984</v>
      </c>
      <c r="BC459" s="82" t="s">
        <v>12162</v>
      </c>
      <c r="BD459" s="82" t="s">
        <v>16183</v>
      </c>
      <c r="BE459" s="77"/>
      <c r="BF459" s="77"/>
      <c r="BG459" s="77"/>
      <c r="BH459" s="77"/>
      <c r="BI459" s="77"/>
    </row>
    <row r="460" spans="1:61" x14ac:dyDescent="0.25">
      <c r="A460" s="62" t="s">
        <v>357</v>
      </c>
      <c r="B460" s="62" t="s">
        <v>357</v>
      </c>
      <c r="C460" s="63"/>
      <c r="D460" s="64"/>
      <c r="E460" s="65"/>
      <c r="F460" s="66"/>
      <c r="G460" s="63"/>
      <c r="H460" s="67"/>
      <c r="I460" s="68"/>
      <c r="J460" s="68"/>
      <c r="K460" s="32"/>
      <c r="L460" s="75">
        <v>460</v>
      </c>
      <c r="M460" s="75"/>
      <c r="N460" s="70"/>
      <c r="O460" s="77" t="s">
        <v>179</v>
      </c>
      <c r="P460" s="79">
        <v>45196.796701388892</v>
      </c>
      <c r="Q460" s="77" t="s">
        <v>1339</v>
      </c>
      <c r="R460" s="77">
        <v>0</v>
      </c>
      <c r="S460" s="77">
        <v>0</v>
      </c>
      <c r="T460" s="77">
        <v>0</v>
      </c>
      <c r="U460" s="77">
        <v>0</v>
      </c>
      <c r="V460" s="77">
        <v>6</v>
      </c>
      <c r="W460" s="82" t="s">
        <v>5033</v>
      </c>
      <c r="X460" s="77"/>
      <c r="Y460" s="77"/>
      <c r="Z460" s="77"/>
      <c r="AA460" s="77" t="s">
        <v>6928</v>
      </c>
      <c r="AB460" s="77" t="s">
        <v>7742</v>
      </c>
      <c r="AC460" s="82" t="s">
        <v>7750</v>
      </c>
      <c r="AD460" s="77" t="s">
        <v>7788</v>
      </c>
      <c r="AE460" s="80" t="str">
        <f>HYPERLINK("https://twitter.com/earn2trade_br/status/1707109664922448082")</f>
        <v>https://twitter.com/earn2trade_br/status/1707109664922448082</v>
      </c>
      <c r="AF460" s="79">
        <v>45196.796701388892</v>
      </c>
      <c r="AG460" s="85">
        <v>45196</v>
      </c>
      <c r="AH460" s="82" t="s">
        <v>8201</v>
      </c>
      <c r="AI460" s="77" t="b">
        <v>0</v>
      </c>
      <c r="AJ460" s="77"/>
      <c r="AK460" s="77"/>
      <c r="AL460" s="77"/>
      <c r="AM460" s="77"/>
      <c r="AN460" s="77"/>
      <c r="AO460" s="77"/>
      <c r="AP460" s="77"/>
      <c r="AQ460" s="77" t="s">
        <v>10900</v>
      </c>
      <c r="AR460" s="77"/>
      <c r="AS460" s="77"/>
      <c r="AT460" s="77"/>
      <c r="AU460" s="77"/>
      <c r="AV460" s="80" t="str">
        <f>HYPERLINK("https://pbs.twimg.com/media/F7De2avWIAAdutg.jpg")</f>
        <v>https://pbs.twimg.com/media/F7De2avWIAAdutg.jpg</v>
      </c>
      <c r="AW460" s="82" t="s">
        <v>12163</v>
      </c>
      <c r="AX460" s="82" t="s">
        <v>12163</v>
      </c>
      <c r="AY460" s="77"/>
      <c r="AZ460" s="82" t="s">
        <v>15984</v>
      </c>
      <c r="BA460" s="82" t="s">
        <v>15984</v>
      </c>
      <c r="BB460" s="82" t="s">
        <v>15984</v>
      </c>
      <c r="BC460" s="82" t="s">
        <v>12163</v>
      </c>
      <c r="BD460" s="82" t="s">
        <v>16183</v>
      </c>
      <c r="BE460" s="77"/>
      <c r="BF460" s="77"/>
      <c r="BG460" s="77"/>
      <c r="BH460" s="77"/>
      <c r="BI460" s="77"/>
    </row>
    <row r="461" spans="1:61" x14ac:dyDescent="0.25">
      <c r="A461" s="62" t="s">
        <v>357</v>
      </c>
      <c r="B461" s="62" t="s">
        <v>357</v>
      </c>
      <c r="C461" s="63"/>
      <c r="D461" s="64"/>
      <c r="E461" s="65"/>
      <c r="F461" s="66"/>
      <c r="G461" s="63"/>
      <c r="H461" s="67"/>
      <c r="I461" s="68"/>
      <c r="J461" s="68"/>
      <c r="K461" s="32"/>
      <c r="L461" s="75">
        <v>461</v>
      </c>
      <c r="M461" s="75"/>
      <c r="N461" s="70"/>
      <c r="O461" s="77" t="s">
        <v>179</v>
      </c>
      <c r="P461" s="79">
        <v>45131.837500000001</v>
      </c>
      <c r="Q461" s="77" t="s">
        <v>1340</v>
      </c>
      <c r="R461" s="77">
        <v>0</v>
      </c>
      <c r="S461" s="77">
        <v>0</v>
      </c>
      <c r="T461" s="77">
        <v>0</v>
      </c>
      <c r="U461" s="77">
        <v>0</v>
      </c>
      <c r="V461" s="77">
        <v>13</v>
      </c>
      <c r="W461" s="82" t="s">
        <v>5033</v>
      </c>
      <c r="X461" s="77"/>
      <c r="Y461" s="77"/>
      <c r="Z461" s="77"/>
      <c r="AA461" s="77" t="s">
        <v>6929</v>
      </c>
      <c r="AB461" s="77" t="s">
        <v>7742</v>
      </c>
      <c r="AC461" s="82" t="s">
        <v>7750</v>
      </c>
      <c r="AD461" s="77" t="s">
        <v>7788</v>
      </c>
      <c r="AE461" s="80" t="str">
        <f>HYPERLINK("https://twitter.com/earn2trade_br/status/1683569238018228224")</f>
        <v>https://twitter.com/earn2trade_br/status/1683569238018228224</v>
      </c>
      <c r="AF461" s="79">
        <v>45131.837500000001</v>
      </c>
      <c r="AG461" s="85">
        <v>45131</v>
      </c>
      <c r="AH461" s="82" t="s">
        <v>8202</v>
      </c>
      <c r="AI461" s="77" t="b">
        <v>0</v>
      </c>
      <c r="AJ461" s="77"/>
      <c r="AK461" s="77"/>
      <c r="AL461" s="77"/>
      <c r="AM461" s="77"/>
      <c r="AN461" s="77"/>
      <c r="AO461" s="77"/>
      <c r="AP461" s="77"/>
      <c r="AQ461" s="77" t="s">
        <v>10901</v>
      </c>
      <c r="AR461" s="77"/>
      <c r="AS461" s="77"/>
      <c r="AT461" s="77"/>
      <c r="AU461" s="77"/>
      <c r="AV461" s="80" t="str">
        <f>HYPERLINK("https://pbs.twimg.com/media/F1zraeFXwAEMgzH.jpg")</f>
        <v>https://pbs.twimg.com/media/F1zraeFXwAEMgzH.jpg</v>
      </c>
      <c r="AW461" s="82" t="s">
        <v>12164</v>
      </c>
      <c r="AX461" s="82" t="s">
        <v>12164</v>
      </c>
      <c r="AY461" s="77"/>
      <c r="AZ461" s="82" t="s">
        <v>15984</v>
      </c>
      <c r="BA461" s="82" t="s">
        <v>15984</v>
      </c>
      <c r="BB461" s="82" t="s">
        <v>15984</v>
      </c>
      <c r="BC461" s="82" t="s">
        <v>12164</v>
      </c>
      <c r="BD461" s="82" t="s">
        <v>16183</v>
      </c>
      <c r="BE461" s="77"/>
      <c r="BF461" s="77"/>
      <c r="BG461" s="77"/>
      <c r="BH461" s="77"/>
      <c r="BI461" s="77"/>
    </row>
    <row r="462" spans="1:61" x14ac:dyDescent="0.25">
      <c r="A462" s="62" t="s">
        <v>357</v>
      </c>
      <c r="B462" s="62" t="s">
        <v>357</v>
      </c>
      <c r="C462" s="63"/>
      <c r="D462" s="64"/>
      <c r="E462" s="65"/>
      <c r="F462" s="66"/>
      <c r="G462" s="63"/>
      <c r="H462" s="67"/>
      <c r="I462" s="68"/>
      <c r="J462" s="68"/>
      <c r="K462" s="32"/>
      <c r="L462" s="75">
        <v>462</v>
      </c>
      <c r="M462" s="75"/>
      <c r="N462" s="70"/>
      <c r="O462" s="77" t="s">
        <v>179</v>
      </c>
      <c r="P462" s="79">
        <v>45196.880555555559</v>
      </c>
      <c r="Q462" s="77" t="s">
        <v>1341</v>
      </c>
      <c r="R462" s="77">
        <v>0</v>
      </c>
      <c r="S462" s="77">
        <v>0</v>
      </c>
      <c r="T462" s="77">
        <v>0</v>
      </c>
      <c r="U462" s="77">
        <v>0</v>
      </c>
      <c r="V462" s="77">
        <v>1</v>
      </c>
      <c r="W462" s="82" t="s">
        <v>5034</v>
      </c>
      <c r="X462" s="80" t="str">
        <f>HYPERLINK("https://e2t.to/45d7Ivc")</f>
        <v>https://e2t.to/45d7Ivc</v>
      </c>
      <c r="Y462" s="77" t="s">
        <v>6499</v>
      </c>
      <c r="Z462" s="77"/>
      <c r="AA462" s="77" t="s">
        <v>6930</v>
      </c>
      <c r="AB462" s="77" t="s">
        <v>7742</v>
      </c>
      <c r="AC462" s="82" t="s">
        <v>7750</v>
      </c>
      <c r="AD462" s="77" t="s">
        <v>7788</v>
      </c>
      <c r="AE462" s="80" t="str">
        <f>HYPERLINK("https://twitter.com/earn2trade_br/status/1707140052101300613")</f>
        <v>https://twitter.com/earn2trade_br/status/1707140052101300613</v>
      </c>
      <c r="AF462" s="79">
        <v>45196.880555555559</v>
      </c>
      <c r="AG462" s="85">
        <v>45196</v>
      </c>
      <c r="AH462" s="82" t="s">
        <v>8203</v>
      </c>
      <c r="AI462" s="77" t="b">
        <v>0</v>
      </c>
      <c r="AJ462" s="77"/>
      <c r="AK462" s="77"/>
      <c r="AL462" s="77"/>
      <c r="AM462" s="77"/>
      <c r="AN462" s="77"/>
      <c r="AO462" s="77"/>
      <c r="AP462" s="77"/>
      <c r="AQ462" s="77" t="s">
        <v>10902</v>
      </c>
      <c r="AR462" s="77"/>
      <c r="AS462" s="77"/>
      <c r="AT462" s="77"/>
      <c r="AU462" s="77"/>
      <c r="AV462" s="80" t="str">
        <f>HYPERLINK("https://pbs.twimg.com/media/F7DfYmcXwAAskRx.jpg")</f>
        <v>https://pbs.twimg.com/media/F7DfYmcXwAAskRx.jpg</v>
      </c>
      <c r="AW462" s="82" t="s">
        <v>12165</v>
      </c>
      <c r="AX462" s="82" t="s">
        <v>12165</v>
      </c>
      <c r="AY462" s="77"/>
      <c r="AZ462" s="82" t="s">
        <v>15984</v>
      </c>
      <c r="BA462" s="82" t="s">
        <v>15984</v>
      </c>
      <c r="BB462" s="82" t="s">
        <v>15984</v>
      </c>
      <c r="BC462" s="82" t="s">
        <v>12165</v>
      </c>
      <c r="BD462" s="82" t="s">
        <v>16183</v>
      </c>
      <c r="BE462" s="77"/>
      <c r="BF462" s="77"/>
      <c r="BG462" s="77"/>
      <c r="BH462" s="77"/>
      <c r="BI462" s="77"/>
    </row>
    <row r="463" spans="1:61" x14ac:dyDescent="0.25">
      <c r="A463" s="62" t="s">
        <v>357</v>
      </c>
      <c r="B463" s="62" t="s">
        <v>357</v>
      </c>
      <c r="C463" s="63"/>
      <c r="D463" s="64"/>
      <c r="E463" s="65"/>
      <c r="F463" s="66"/>
      <c r="G463" s="63"/>
      <c r="H463" s="67"/>
      <c r="I463" s="68"/>
      <c r="J463" s="68"/>
      <c r="K463" s="32"/>
      <c r="L463" s="75">
        <v>463</v>
      </c>
      <c r="M463" s="75"/>
      <c r="N463" s="70"/>
      <c r="O463" s="77" t="s">
        <v>179</v>
      </c>
      <c r="P463" s="79">
        <v>45186.90347222222</v>
      </c>
      <c r="Q463" s="77" t="s">
        <v>1342</v>
      </c>
      <c r="R463" s="77">
        <v>0</v>
      </c>
      <c r="S463" s="77">
        <v>0</v>
      </c>
      <c r="T463" s="77">
        <v>0</v>
      </c>
      <c r="U463" s="77">
        <v>0</v>
      </c>
      <c r="V463" s="77">
        <v>28</v>
      </c>
      <c r="W463" s="82" t="s">
        <v>5033</v>
      </c>
      <c r="X463" s="77"/>
      <c r="Y463" s="77"/>
      <c r="Z463" s="77"/>
      <c r="AA463" s="77" t="s">
        <v>6931</v>
      </c>
      <c r="AB463" s="77" t="s">
        <v>7742</v>
      </c>
      <c r="AC463" s="82" t="s">
        <v>7750</v>
      </c>
      <c r="AD463" s="77" t="s">
        <v>7788</v>
      </c>
      <c r="AE463" s="80" t="str">
        <f>HYPERLINK("https://twitter.com/earn2trade_br/status/1703524478045585892")</f>
        <v>https://twitter.com/earn2trade_br/status/1703524478045585892</v>
      </c>
      <c r="AF463" s="79">
        <v>45186.90347222222</v>
      </c>
      <c r="AG463" s="85">
        <v>45186</v>
      </c>
      <c r="AH463" s="82" t="s">
        <v>8204</v>
      </c>
      <c r="AI463" s="77" t="b">
        <v>0</v>
      </c>
      <c r="AJ463" s="77"/>
      <c r="AK463" s="77"/>
      <c r="AL463" s="77"/>
      <c r="AM463" s="77"/>
      <c r="AN463" s="77"/>
      <c r="AO463" s="77"/>
      <c r="AP463" s="77"/>
      <c r="AQ463" s="77" t="s">
        <v>10903</v>
      </c>
      <c r="AR463" s="77"/>
      <c r="AS463" s="77"/>
      <c r="AT463" s="77"/>
      <c r="AU463" s="77"/>
      <c r="AV463" s="80" t="str">
        <f>HYPERLINK("https://pbs.twimg.com/media/F6NG9IvXwAAX7IZ.jpg")</f>
        <v>https://pbs.twimg.com/media/F6NG9IvXwAAX7IZ.jpg</v>
      </c>
      <c r="AW463" s="82" t="s">
        <v>12166</v>
      </c>
      <c r="AX463" s="82" t="s">
        <v>12166</v>
      </c>
      <c r="AY463" s="77"/>
      <c r="AZ463" s="82" t="s">
        <v>15984</v>
      </c>
      <c r="BA463" s="82" t="s">
        <v>15984</v>
      </c>
      <c r="BB463" s="82" t="s">
        <v>15984</v>
      </c>
      <c r="BC463" s="82" t="s">
        <v>12166</v>
      </c>
      <c r="BD463" s="82" t="s">
        <v>16183</v>
      </c>
      <c r="BE463" s="77"/>
      <c r="BF463" s="77"/>
      <c r="BG463" s="77"/>
      <c r="BH463" s="77"/>
      <c r="BI463" s="77"/>
    </row>
    <row r="464" spans="1:61" x14ac:dyDescent="0.25">
      <c r="A464" s="62" t="s">
        <v>357</v>
      </c>
      <c r="B464" s="62" t="s">
        <v>357</v>
      </c>
      <c r="C464" s="63"/>
      <c r="D464" s="64"/>
      <c r="E464" s="65"/>
      <c r="F464" s="66"/>
      <c r="G464" s="63"/>
      <c r="H464" s="67"/>
      <c r="I464" s="68"/>
      <c r="J464" s="68"/>
      <c r="K464" s="32"/>
      <c r="L464" s="75">
        <v>464</v>
      </c>
      <c r="M464" s="75"/>
      <c r="N464" s="70"/>
      <c r="O464" s="77" t="s">
        <v>179</v>
      </c>
      <c r="P464" s="79">
        <v>45180.852766203701</v>
      </c>
      <c r="Q464" s="77" t="s">
        <v>1343</v>
      </c>
      <c r="R464" s="77">
        <v>0</v>
      </c>
      <c r="S464" s="77">
        <v>0</v>
      </c>
      <c r="T464" s="77">
        <v>0</v>
      </c>
      <c r="U464" s="77">
        <v>0</v>
      </c>
      <c r="V464" s="77">
        <v>25</v>
      </c>
      <c r="W464" s="82" t="s">
        <v>5033</v>
      </c>
      <c r="X464" s="77"/>
      <c r="Y464" s="77"/>
      <c r="Z464" s="77"/>
      <c r="AA464" s="77" t="s">
        <v>6932</v>
      </c>
      <c r="AB464" s="77" t="s">
        <v>7742</v>
      </c>
      <c r="AC464" s="82" t="s">
        <v>7750</v>
      </c>
      <c r="AD464" s="77" t="s">
        <v>7788</v>
      </c>
      <c r="AE464" s="80" t="str">
        <f>HYPERLINK("https://twitter.com/earn2trade_br/status/1701331777338454079")</f>
        <v>https://twitter.com/earn2trade_br/status/1701331777338454079</v>
      </c>
      <c r="AF464" s="79">
        <v>45180.852766203701</v>
      </c>
      <c r="AG464" s="85">
        <v>45180</v>
      </c>
      <c r="AH464" s="82" t="s">
        <v>8205</v>
      </c>
      <c r="AI464" s="77" t="b">
        <v>0</v>
      </c>
      <c r="AJ464" s="77"/>
      <c r="AK464" s="77"/>
      <c r="AL464" s="77"/>
      <c r="AM464" s="77"/>
      <c r="AN464" s="77"/>
      <c r="AO464" s="77"/>
      <c r="AP464" s="77"/>
      <c r="AQ464" s="77" t="s">
        <v>10904</v>
      </c>
      <c r="AR464" s="77"/>
      <c r="AS464" s="77"/>
      <c r="AT464" s="77"/>
      <c r="AU464" s="77"/>
      <c r="AV464" s="80" t="str">
        <f>HYPERLINK("https://pbs.twimg.com/media/F5xYOmkWsAA5svm.jpg")</f>
        <v>https://pbs.twimg.com/media/F5xYOmkWsAA5svm.jpg</v>
      </c>
      <c r="AW464" s="82" t="s">
        <v>12167</v>
      </c>
      <c r="AX464" s="82" t="s">
        <v>12167</v>
      </c>
      <c r="AY464" s="77"/>
      <c r="AZ464" s="82" t="s">
        <v>15984</v>
      </c>
      <c r="BA464" s="82" t="s">
        <v>15984</v>
      </c>
      <c r="BB464" s="82" t="s">
        <v>15984</v>
      </c>
      <c r="BC464" s="82" t="s">
        <v>12167</v>
      </c>
      <c r="BD464" s="82" t="s">
        <v>16183</v>
      </c>
      <c r="BE464" s="77"/>
      <c r="BF464" s="77"/>
      <c r="BG464" s="77"/>
      <c r="BH464" s="77"/>
      <c r="BI464" s="77"/>
    </row>
    <row r="465" spans="1:61" x14ac:dyDescent="0.25">
      <c r="A465" s="62" t="s">
        <v>357</v>
      </c>
      <c r="B465" s="62" t="s">
        <v>357</v>
      </c>
      <c r="C465" s="63"/>
      <c r="D465" s="64"/>
      <c r="E465" s="65"/>
      <c r="F465" s="66"/>
      <c r="G465" s="63"/>
      <c r="H465" s="67"/>
      <c r="I465" s="68"/>
      <c r="J465" s="68"/>
      <c r="K465" s="32"/>
      <c r="L465" s="75">
        <v>465</v>
      </c>
      <c r="M465" s="75"/>
      <c r="N465" s="70"/>
      <c r="O465" s="77" t="s">
        <v>179</v>
      </c>
      <c r="P465" s="79">
        <v>45154.885416666664</v>
      </c>
      <c r="Q465" s="77" t="s">
        <v>1344</v>
      </c>
      <c r="R465" s="77">
        <v>0</v>
      </c>
      <c r="S465" s="77">
        <v>0</v>
      </c>
      <c r="T465" s="77">
        <v>1</v>
      </c>
      <c r="U465" s="77">
        <v>0</v>
      </c>
      <c r="V465" s="77">
        <v>10</v>
      </c>
      <c r="W465" s="82" t="s">
        <v>5037</v>
      </c>
      <c r="X465" s="80" t="str">
        <f>HYPERLINK("https://e2t.to/3KHRF14")</f>
        <v>https://e2t.to/3KHRF14</v>
      </c>
      <c r="Y465" s="77" t="s">
        <v>6499</v>
      </c>
      <c r="Z465" s="77"/>
      <c r="AA465" s="77" t="s">
        <v>6933</v>
      </c>
      <c r="AB465" s="77" t="s">
        <v>7742</v>
      </c>
      <c r="AC465" s="82" t="s">
        <v>7750</v>
      </c>
      <c r="AD465" s="77" t="s">
        <v>7788</v>
      </c>
      <c r="AE465" s="80" t="str">
        <f>HYPERLINK("https://twitter.com/earn2trade_br/status/1691921523379192214")</f>
        <v>https://twitter.com/earn2trade_br/status/1691921523379192214</v>
      </c>
      <c r="AF465" s="79">
        <v>45154.885416666664</v>
      </c>
      <c r="AG465" s="85">
        <v>45154</v>
      </c>
      <c r="AH465" s="82" t="s">
        <v>8206</v>
      </c>
      <c r="AI465" s="77" t="b">
        <v>0</v>
      </c>
      <c r="AJ465" s="77"/>
      <c r="AK465" s="77"/>
      <c r="AL465" s="77"/>
      <c r="AM465" s="77"/>
      <c r="AN465" s="77"/>
      <c r="AO465" s="77"/>
      <c r="AP465" s="77"/>
      <c r="AQ465" s="77" t="s">
        <v>10905</v>
      </c>
      <c r="AR465" s="77"/>
      <c r="AS465" s="77"/>
      <c r="AT465" s="77"/>
      <c r="AU465" s="77"/>
      <c r="AV465" s="80" t="str">
        <f>HYPERLINK("https://pbs.twimg.com/media/F3qyzV3XcAkKrvN.jpg")</f>
        <v>https://pbs.twimg.com/media/F3qyzV3XcAkKrvN.jpg</v>
      </c>
      <c r="AW465" s="82" t="s">
        <v>12168</v>
      </c>
      <c r="AX465" s="82" t="s">
        <v>12168</v>
      </c>
      <c r="AY465" s="77"/>
      <c r="AZ465" s="82" t="s">
        <v>15984</v>
      </c>
      <c r="BA465" s="82" t="s">
        <v>15984</v>
      </c>
      <c r="BB465" s="82" t="s">
        <v>15984</v>
      </c>
      <c r="BC465" s="82" t="s">
        <v>12168</v>
      </c>
      <c r="BD465" s="82" t="s">
        <v>16183</v>
      </c>
      <c r="BE465" s="77"/>
      <c r="BF465" s="77"/>
      <c r="BG465" s="77"/>
      <c r="BH465" s="77"/>
      <c r="BI465" s="77"/>
    </row>
    <row r="466" spans="1:61" x14ac:dyDescent="0.25">
      <c r="A466" s="62" t="s">
        <v>358</v>
      </c>
      <c r="B466" s="62" t="s">
        <v>502</v>
      </c>
      <c r="C466" s="63"/>
      <c r="D466" s="64"/>
      <c r="E466" s="65"/>
      <c r="F466" s="66"/>
      <c r="G466" s="63"/>
      <c r="H466" s="67"/>
      <c r="I466" s="68"/>
      <c r="J466" s="68"/>
      <c r="K466" s="32"/>
      <c r="L466" s="75">
        <v>466</v>
      </c>
      <c r="M466" s="75"/>
      <c r="N466" s="70"/>
      <c r="O466" s="77" t="s">
        <v>897</v>
      </c>
      <c r="P466" s="79">
        <v>45189.974606481483</v>
      </c>
      <c r="Q466" s="77" t="s">
        <v>1118</v>
      </c>
      <c r="R466" s="77">
        <v>12</v>
      </c>
      <c r="S466" s="77">
        <v>0</v>
      </c>
      <c r="T466" s="77">
        <v>0</v>
      </c>
      <c r="U466" s="77">
        <v>0</v>
      </c>
      <c r="V466" s="77"/>
      <c r="W466" s="82" t="s">
        <v>4934</v>
      </c>
      <c r="X466" s="77"/>
      <c r="Y466" s="77"/>
      <c r="Z466" s="77" t="s">
        <v>502</v>
      </c>
      <c r="AA466" s="77"/>
      <c r="AB466" s="77"/>
      <c r="AC466" s="82" t="s">
        <v>7750</v>
      </c>
      <c r="AD466" s="77" t="s">
        <v>7790</v>
      </c>
      <c r="AE466" s="80" t="str">
        <f>HYPERLINK("https://twitter.com/neo_silva/status/1704637421067858025")</f>
        <v>https://twitter.com/neo_silva/status/1704637421067858025</v>
      </c>
      <c r="AF466" s="79">
        <v>45189.974606481483</v>
      </c>
      <c r="AG466" s="85">
        <v>45189</v>
      </c>
      <c r="AH466" s="82" t="s">
        <v>8207</v>
      </c>
      <c r="AI466" s="77"/>
      <c r="AJ466" s="77"/>
      <c r="AK466" s="77"/>
      <c r="AL466" s="77"/>
      <c r="AM466" s="77"/>
      <c r="AN466" s="77"/>
      <c r="AO466" s="77"/>
      <c r="AP466" s="77"/>
      <c r="AQ466" s="77"/>
      <c r="AR466" s="77"/>
      <c r="AS466" s="77"/>
      <c r="AT466" s="77"/>
      <c r="AU466" s="77"/>
      <c r="AV466" s="80" t="str">
        <f>HYPERLINK("https://pbs.twimg.com/profile_images/3039157428/296d805a524661987d33e56e985a5114_normal.jpeg")</f>
        <v>https://pbs.twimg.com/profile_images/3039157428/296d805a524661987d33e56e985a5114_normal.jpeg</v>
      </c>
      <c r="AW466" s="82" t="s">
        <v>12169</v>
      </c>
      <c r="AX466" s="82" t="s">
        <v>12169</v>
      </c>
      <c r="AY466" s="77"/>
      <c r="AZ466" s="82" t="s">
        <v>15984</v>
      </c>
      <c r="BA466" s="82" t="s">
        <v>15984</v>
      </c>
      <c r="BB466" s="82" t="s">
        <v>13287</v>
      </c>
      <c r="BC466" s="82" t="s">
        <v>13287</v>
      </c>
      <c r="BD466" s="77">
        <v>152678723</v>
      </c>
      <c r="BE466" s="77"/>
      <c r="BF466" s="77"/>
      <c r="BG466" s="77"/>
      <c r="BH466" s="77"/>
      <c r="BI466" s="77"/>
    </row>
    <row r="467" spans="1:61" x14ac:dyDescent="0.25">
      <c r="A467" s="62" t="s">
        <v>359</v>
      </c>
      <c r="B467" s="62" t="s">
        <v>359</v>
      </c>
      <c r="C467" s="63"/>
      <c r="D467" s="64"/>
      <c r="E467" s="65"/>
      <c r="F467" s="66"/>
      <c r="G467" s="63"/>
      <c r="H467" s="67"/>
      <c r="I467" s="68"/>
      <c r="J467" s="68"/>
      <c r="K467" s="32"/>
      <c r="L467" s="75">
        <v>467</v>
      </c>
      <c r="M467" s="75"/>
      <c r="N467" s="70"/>
      <c r="O467" s="77" t="s">
        <v>179</v>
      </c>
      <c r="P467" s="79">
        <v>45125.846435185187</v>
      </c>
      <c r="Q467" s="77" t="s">
        <v>1345</v>
      </c>
      <c r="R467" s="77">
        <v>0</v>
      </c>
      <c r="S467" s="77">
        <v>0</v>
      </c>
      <c r="T467" s="77">
        <v>0</v>
      </c>
      <c r="U467" s="77">
        <v>0</v>
      </c>
      <c r="V467" s="77">
        <v>15</v>
      </c>
      <c r="W467" s="82" t="s">
        <v>5039</v>
      </c>
      <c r="X467" s="80" t="str">
        <f>HYPERLINK("https://www.instagram.com/p/Cu2e2PPvDPY/?img_index=1")</f>
        <v>https://www.instagram.com/p/Cu2e2PPvDPY/?img_index=1</v>
      </c>
      <c r="Y467" s="77" t="s">
        <v>6469</v>
      </c>
      <c r="Z467" s="77"/>
      <c r="AA467" s="77"/>
      <c r="AB467" s="77"/>
      <c r="AC467" s="82" t="s">
        <v>7750</v>
      </c>
      <c r="AD467" s="77" t="s">
        <v>7788</v>
      </c>
      <c r="AE467" s="80" t="str">
        <f>HYPERLINK("https://twitter.com/teddyopen/status/1681398148302876673")</f>
        <v>https://twitter.com/teddyopen/status/1681398148302876673</v>
      </c>
      <c r="AF467" s="79">
        <v>45125.846435185187</v>
      </c>
      <c r="AG467" s="85">
        <v>45125</v>
      </c>
      <c r="AH467" s="82" t="s">
        <v>8208</v>
      </c>
      <c r="AI467" s="77" t="b">
        <v>0</v>
      </c>
      <c r="AJ467" s="77"/>
      <c r="AK467" s="77"/>
      <c r="AL467" s="77"/>
      <c r="AM467" s="77"/>
      <c r="AN467" s="77"/>
      <c r="AO467" s="77"/>
      <c r="AP467" s="77"/>
      <c r="AQ467" s="77"/>
      <c r="AR467" s="77"/>
      <c r="AS467" s="77"/>
      <c r="AT467" s="77"/>
      <c r="AU467" s="77"/>
      <c r="AV467" s="80" t="str">
        <f>HYPERLINK("https://pbs.twimg.com/profile_images/1651952473068716033/KixrVrY0_normal.jpg")</f>
        <v>https://pbs.twimg.com/profile_images/1651952473068716033/KixrVrY0_normal.jpg</v>
      </c>
      <c r="AW467" s="82" t="s">
        <v>12170</v>
      </c>
      <c r="AX467" s="82" t="s">
        <v>12170</v>
      </c>
      <c r="AY467" s="77"/>
      <c r="AZ467" s="82" t="s">
        <v>15984</v>
      </c>
      <c r="BA467" s="82" t="s">
        <v>15984</v>
      </c>
      <c r="BB467" s="82" t="s">
        <v>15984</v>
      </c>
      <c r="BC467" s="82" t="s">
        <v>12170</v>
      </c>
      <c r="BD467" s="82" t="s">
        <v>16184</v>
      </c>
      <c r="BE467" s="77"/>
      <c r="BF467" s="77"/>
      <c r="BG467" s="77"/>
      <c r="BH467" s="77"/>
      <c r="BI467" s="77"/>
    </row>
    <row r="468" spans="1:61" x14ac:dyDescent="0.25">
      <c r="A468" s="62" t="s">
        <v>360</v>
      </c>
      <c r="B468" s="62" t="s">
        <v>753</v>
      </c>
      <c r="C468" s="63"/>
      <c r="D468" s="64"/>
      <c r="E468" s="65"/>
      <c r="F468" s="66"/>
      <c r="G468" s="63"/>
      <c r="H468" s="67"/>
      <c r="I468" s="68"/>
      <c r="J468" s="68"/>
      <c r="K468" s="32"/>
      <c r="L468" s="75">
        <v>468</v>
      </c>
      <c r="M468" s="75"/>
      <c r="N468" s="70"/>
      <c r="O468" s="77" t="s">
        <v>899</v>
      </c>
      <c r="P468" s="79">
        <v>45192.054965277777</v>
      </c>
      <c r="Q468" s="77" t="s">
        <v>1116</v>
      </c>
      <c r="R468" s="77">
        <v>10</v>
      </c>
      <c r="S468" s="77">
        <v>0</v>
      </c>
      <c r="T468" s="77">
        <v>0</v>
      </c>
      <c r="U468" s="77">
        <v>0</v>
      </c>
      <c r="V468" s="77"/>
      <c r="W468" s="82" t="s">
        <v>4821</v>
      </c>
      <c r="X468" s="77"/>
      <c r="Y468" s="77"/>
      <c r="Z468" s="77" t="s">
        <v>6566</v>
      </c>
      <c r="AA468" s="77"/>
      <c r="AB468" s="77"/>
      <c r="AC468" s="82" t="s">
        <v>7751</v>
      </c>
      <c r="AD468" s="77" t="s">
        <v>7790</v>
      </c>
      <c r="AE468" s="80" t="str">
        <f>HYPERLINK("https://twitter.com/alejandro994/status/1705391316673458616")</f>
        <v>https://twitter.com/alejandro994/status/1705391316673458616</v>
      </c>
      <c r="AF468" s="79">
        <v>45192.054965277777</v>
      </c>
      <c r="AG468" s="85">
        <v>45192</v>
      </c>
      <c r="AH468" s="82" t="s">
        <v>8209</v>
      </c>
      <c r="AI468" s="77"/>
      <c r="AJ468" s="77"/>
      <c r="AK468" s="77"/>
      <c r="AL468" s="77"/>
      <c r="AM468" s="77"/>
      <c r="AN468" s="77"/>
      <c r="AO468" s="77"/>
      <c r="AP468" s="77"/>
      <c r="AQ468" s="77"/>
      <c r="AR468" s="77"/>
      <c r="AS468" s="77"/>
      <c r="AT468" s="77"/>
      <c r="AU468" s="77"/>
      <c r="AV468" s="80" t="str">
        <f>HYPERLINK("https://pbs.twimg.com/profile_images/1475281567329230854/3MJjYQHw_normal.jpg")</f>
        <v>https://pbs.twimg.com/profile_images/1475281567329230854/3MJjYQHw_normal.jpg</v>
      </c>
      <c r="AW468" s="82" t="s">
        <v>12171</v>
      </c>
      <c r="AX468" s="82" t="s">
        <v>12171</v>
      </c>
      <c r="AY468" s="77"/>
      <c r="AZ468" s="82" t="s">
        <v>15984</v>
      </c>
      <c r="BA468" s="82" t="s">
        <v>15984</v>
      </c>
      <c r="BB468" s="82" t="s">
        <v>15303</v>
      </c>
      <c r="BC468" s="82" t="s">
        <v>15303</v>
      </c>
      <c r="BD468" s="77">
        <v>270647451</v>
      </c>
      <c r="BE468" s="77"/>
      <c r="BF468" s="77"/>
      <c r="BG468" s="77"/>
      <c r="BH468" s="77"/>
      <c r="BI468" s="77"/>
    </row>
    <row r="469" spans="1:61" x14ac:dyDescent="0.25">
      <c r="A469" s="62" t="s">
        <v>360</v>
      </c>
      <c r="B469" s="62" t="s">
        <v>614</v>
      </c>
      <c r="C469" s="63"/>
      <c r="D469" s="64"/>
      <c r="E469" s="65"/>
      <c r="F469" s="66"/>
      <c r="G469" s="63"/>
      <c r="H469" s="67"/>
      <c r="I469" s="68"/>
      <c r="J469" s="68"/>
      <c r="K469" s="32"/>
      <c r="L469" s="75">
        <v>469</v>
      </c>
      <c r="M469" s="75"/>
      <c r="N469" s="70"/>
      <c r="O469" s="77" t="s">
        <v>897</v>
      </c>
      <c r="P469" s="79">
        <v>45192.054965277777</v>
      </c>
      <c r="Q469" s="77" t="s">
        <v>1116</v>
      </c>
      <c r="R469" s="77">
        <v>10</v>
      </c>
      <c r="S469" s="77">
        <v>0</v>
      </c>
      <c r="T469" s="77">
        <v>0</v>
      </c>
      <c r="U469" s="77">
        <v>0</v>
      </c>
      <c r="V469" s="77"/>
      <c r="W469" s="82" t="s">
        <v>4821</v>
      </c>
      <c r="X469" s="77"/>
      <c r="Y469" s="77"/>
      <c r="Z469" s="77" t="s">
        <v>6566</v>
      </c>
      <c r="AA469" s="77"/>
      <c r="AB469" s="77"/>
      <c r="AC469" s="82" t="s">
        <v>7751</v>
      </c>
      <c r="AD469" s="77" t="s">
        <v>7790</v>
      </c>
      <c r="AE469" s="80" t="str">
        <f>HYPERLINK("https://twitter.com/alejandro994/status/1705391316673458616")</f>
        <v>https://twitter.com/alejandro994/status/1705391316673458616</v>
      </c>
      <c r="AF469" s="79">
        <v>45192.054965277777</v>
      </c>
      <c r="AG469" s="85">
        <v>45192</v>
      </c>
      <c r="AH469" s="82" t="s">
        <v>8209</v>
      </c>
      <c r="AI469" s="77"/>
      <c r="AJ469" s="77"/>
      <c r="AK469" s="77"/>
      <c r="AL469" s="77"/>
      <c r="AM469" s="77"/>
      <c r="AN469" s="77"/>
      <c r="AO469" s="77"/>
      <c r="AP469" s="77"/>
      <c r="AQ469" s="77"/>
      <c r="AR469" s="77"/>
      <c r="AS469" s="77"/>
      <c r="AT469" s="77"/>
      <c r="AU469" s="77"/>
      <c r="AV469" s="80" t="str">
        <f>HYPERLINK("https://pbs.twimg.com/profile_images/1475281567329230854/3MJjYQHw_normal.jpg")</f>
        <v>https://pbs.twimg.com/profile_images/1475281567329230854/3MJjYQHw_normal.jpg</v>
      </c>
      <c r="AW469" s="82" t="s">
        <v>12171</v>
      </c>
      <c r="AX469" s="82" t="s">
        <v>12171</v>
      </c>
      <c r="AY469" s="77"/>
      <c r="AZ469" s="82" t="s">
        <v>15984</v>
      </c>
      <c r="BA469" s="82" t="s">
        <v>15984</v>
      </c>
      <c r="BB469" s="82" t="s">
        <v>15303</v>
      </c>
      <c r="BC469" s="82" t="s">
        <v>15303</v>
      </c>
      <c r="BD469" s="77">
        <v>270647451</v>
      </c>
      <c r="BE469" s="77"/>
      <c r="BF469" s="77"/>
      <c r="BG469" s="77"/>
      <c r="BH469" s="77"/>
      <c r="BI469" s="77"/>
    </row>
    <row r="470" spans="1:61" x14ac:dyDescent="0.25">
      <c r="A470" s="62" t="s">
        <v>361</v>
      </c>
      <c r="B470" s="62" t="s">
        <v>361</v>
      </c>
      <c r="C470" s="63"/>
      <c r="D470" s="64"/>
      <c r="E470" s="65"/>
      <c r="F470" s="66"/>
      <c r="G470" s="63"/>
      <c r="H470" s="67"/>
      <c r="I470" s="68"/>
      <c r="J470" s="68"/>
      <c r="K470" s="32"/>
      <c r="L470" s="75">
        <v>470</v>
      </c>
      <c r="M470" s="75"/>
      <c r="N470" s="70"/>
      <c r="O470" s="77" t="s">
        <v>179</v>
      </c>
      <c r="P470" s="79">
        <v>45128.621018518519</v>
      </c>
      <c r="Q470" s="77" t="s">
        <v>1346</v>
      </c>
      <c r="R470" s="77">
        <v>0</v>
      </c>
      <c r="S470" s="77">
        <v>2</v>
      </c>
      <c r="T470" s="77">
        <v>0</v>
      </c>
      <c r="U470" s="77">
        <v>0</v>
      </c>
      <c r="V470" s="77">
        <v>19</v>
      </c>
      <c r="W470" s="82" t="s">
        <v>5040</v>
      </c>
      <c r="X470" s="77"/>
      <c r="Y470" s="77"/>
      <c r="Z470" s="77"/>
      <c r="AA470" s="77" t="s">
        <v>6934</v>
      </c>
      <c r="AB470" s="77" t="s">
        <v>7742</v>
      </c>
      <c r="AC470" s="82" t="s">
        <v>7750</v>
      </c>
      <c r="AD470" s="77" t="s">
        <v>7790</v>
      </c>
      <c r="AE470" s="80" t="str">
        <f>HYPERLINK("https://twitter.com/drodri1972/status/1682403626738655233")</f>
        <v>https://twitter.com/drodri1972/status/1682403626738655233</v>
      </c>
      <c r="AF470" s="79">
        <v>45128.621018518519</v>
      </c>
      <c r="AG470" s="85">
        <v>45128</v>
      </c>
      <c r="AH470" s="82" t="s">
        <v>8210</v>
      </c>
      <c r="AI470" s="77" t="b">
        <v>0</v>
      </c>
      <c r="AJ470" s="77"/>
      <c r="AK470" s="77"/>
      <c r="AL470" s="77"/>
      <c r="AM470" s="77"/>
      <c r="AN470" s="77"/>
      <c r="AO470" s="77"/>
      <c r="AP470" s="77"/>
      <c r="AQ470" s="77" t="s">
        <v>10906</v>
      </c>
      <c r="AR470" s="77"/>
      <c r="AS470" s="77"/>
      <c r="AT470" s="77"/>
      <c r="AU470" s="77"/>
      <c r="AV470" s="80" t="str">
        <f>HYPERLINK("https://pbs.twimg.com/media/F1kZLawXwAI3OV5.jpg")</f>
        <v>https://pbs.twimg.com/media/F1kZLawXwAI3OV5.jpg</v>
      </c>
      <c r="AW470" s="82" t="s">
        <v>12172</v>
      </c>
      <c r="AX470" s="82" t="s">
        <v>12172</v>
      </c>
      <c r="AY470" s="77"/>
      <c r="AZ470" s="82" t="s">
        <v>15984</v>
      </c>
      <c r="BA470" s="82" t="s">
        <v>15984</v>
      </c>
      <c r="BB470" s="82" t="s">
        <v>15984</v>
      </c>
      <c r="BC470" s="82" t="s">
        <v>12172</v>
      </c>
      <c r="BD470" s="77">
        <v>240899947</v>
      </c>
      <c r="BE470" s="77"/>
      <c r="BF470" s="77"/>
      <c r="BG470" s="77"/>
      <c r="BH470" s="77"/>
      <c r="BI470" s="77"/>
    </row>
    <row r="471" spans="1:61" x14ac:dyDescent="0.25">
      <c r="A471" s="62" t="s">
        <v>362</v>
      </c>
      <c r="B471" s="62" t="s">
        <v>768</v>
      </c>
      <c r="C471" s="63"/>
      <c r="D471" s="64"/>
      <c r="E471" s="65"/>
      <c r="F471" s="66"/>
      <c r="G471" s="63"/>
      <c r="H471" s="67"/>
      <c r="I471" s="68"/>
      <c r="J471" s="68"/>
      <c r="K471" s="32"/>
      <c r="L471" s="75">
        <v>471</v>
      </c>
      <c r="M471" s="75"/>
      <c r="N471" s="70"/>
      <c r="O471" s="77" t="s">
        <v>895</v>
      </c>
      <c r="P471" s="79">
        <v>45163.568854166668</v>
      </c>
      <c r="Q471" s="77" t="s">
        <v>1347</v>
      </c>
      <c r="R471" s="77">
        <v>0</v>
      </c>
      <c r="S471" s="77">
        <v>0</v>
      </c>
      <c r="T471" s="77">
        <v>0</v>
      </c>
      <c r="U471" s="77">
        <v>0</v>
      </c>
      <c r="V471" s="77">
        <v>28</v>
      </c>
      <c r="W471" s="82" t="s">
        <v>5041</v>
      </c>
      <c r="X471" s="77"/>
      <c r="Y471" s="77"/>
      <c r="Z471" s="77" t="s">
        <v>768</v>
      </c>
      <c r="AA471" s="77" t="s">
        <v>6935</v>
      </c>
      <c r="AB471" s="77" t="s">
        <v>7742</v>
      </c>
      <c r="AC471" s="82" t="s">
        <v>7751</v>
      </c>
      <c r="AD471" s="77" t="s">
        <v>7788</v>
      </c>
      <c r="AE471" s="80" t="str">
        <f>HYPERLINK("https://twitter.com/ygor_fbc/status/1695068298830864559")</f>
        <v>https://twitter.com/ygor_fbc/status/1695068298830864559</v>
      </c>
      <c r="AF471" s="79">
        <v>45163.568854166668</v>
      </c>
      <c r="AG471" s="85">
        <v>45163</v>
      </c>
      <c r="AH471" s="82" t="s">
        <v>8211</v>
      </c>
      <c r="AI471" s="77" t="b">
        <v>0</v>
      </c>
      <c r="AJ471" s="77" t="s">
        <v>10565</v>
      </c>
      <c r="AK471" s="77" t="s">
        <v>10570</v>
      </c>
      <c r="AL471" s="77" t="s">
        <v>10574</v>
      </c>
      <c r="AM471" s="77" t="s">
        <v>10583</v>
      </c>
      <c r="AN471" s="77" t="s">
        <v>10594</v>
      </c>
      <c r="AO471" s="77" t="s">
        <v>10604</v>
      </c>
      <c r="AP471" s="77" t="s">
        <v>10609</v>
      </c>
      <c r="AQ471" s="77" t="s">
        <v>10907</v>
      </c>
      <c r="AR471" s="77"/>
      <c r="AS471" s="77"/>
      <c r="AT471" s="77"/>
      <c r="AU471" s="77"/>
      <c r="AV471" s="80" t="str">
        <f>HYPERLINK("https://pbs.twimg.com/media/F4YXokdXwAAPe27.jpg")</f>
        <v>https://pbs.twimg.com/media/F4YXokdXwAAPe27.jpg</v>
      </c>
      <c r="AW471" s="82" t="s">
        <v>12173</v>
      </c>
      <c r="AX471" s="82" t="s">
        <v>12173</v>
      </c>
      <c r="AY471" s="77"/>
      <c r="AZ471" s="82" t="s">
        <v>15984</v>
      </c>
      <c r="BA471" s="82" t="s">
        <v>15984</v>
      </c>
      <c r="BB471" s="82" t="s">
        <v>15984</v>
      </c>
      <c r="BC471" s="82" t="s">
        <v>12173</v>
      </c>
      <c r="BD471" s="77">
        <v>266611119</v>
      </c>
      <c r="BE471" s="77"/>
      <c r="BF471" s="77"/>
      <c r="BG471" s="77"/>
      <c r="BH471" s="77"/>
      <c r="BI471" s="77"/>
    </row>
    <row r="472" spans="1:61" x14ac:dyDescent="0.25">
      <c r="A472" s="62" t="s">
        <v>363</v>
      </c>
      <c r="B472" s="62" t="s">
        <v>363</v>
      </c>
      <c r="C472" s="63"/>
      <c r="D472" s="64"/>
      <c r="E472" s="65"/>
      <c r="F472" s="66"/>
      <c r="G472" s="63"/>
      <c r="H472" s="67"/>
      <c r="I472" s="68"/>
      <c r="J472" s="68"/>
      <c r="K472" s="32"/>
      <c r="L472" s="75">
        <v>472</v>
      </c>
      <c r="M472" s="75"/>
      <c r="N472" s="70"/>
      <c r="O472" s="77" t="s">
        <v>179</v>
      </c>
      <c r="P472" s="79">
        <v>45118.030891203707</v>
      </c>
      <c r="Q472" s="77" t="s">
        <v>1348</v>
      </c>
      <c r="R472" s="77">
        <v>0</v>
      </c>
      <c r="S472" s="77">
        <v>2</v>
      </c>
      <c r="T472" s="77">
        <v>2</v>
      </c>
      <c r="U472" s="77">
        <v>0</v>
      </c>
      <c r="V472" s="77">
        <v>66</v>
      </c>
      <c r="W472" s="82" t="s">
        <v>5042</v>
      </c>
      <c r="X472" s="77"/>
      <c r="Y472" s="77"/>
      <c r="Z472" s="77"/>
      <c r="AA472" s="77" t="s">
        <v>6936</v>
      </c>
      <c r="AB472" s="77" t="s">
        <v>7742</v>
      </c>
      <c r="AC472" s="82" t="s">
        <v>7751</v>
      </c>
      <c r="AD472" s="77" t="s">
        <v>7791</v>
      </c>
      <c r="AE472" s="80" t="str">
        <f>HYPERLINK("https://twitter.com/henleinvest/status/1678565890181218304")</f>
        <v>https://twitter.com/henleinvest/status/1678565890181218304</v>
      </c>
      <c r="AF472" s="79">
        <v>45118.030891203707</v>
      </c>
      <c r="AG472" s="85">
        <v>45118</v>
      </c>
      <c r="AH472" s="82" t="s">
        <v>8212</v>
      </c>
      <c r="AI472" s="77" t="b">
        <v>0</v>
      </c>
      <c r="AJ472" s="77"/>
      <c r="AK472" s="77"/>
      <c r="AL472" s="77"/>
      <c r="AM472" s="77"/>
      <c r="AN472" s="77"/>
      <c r="AO472" s="77"/>
      <c r="AP472" s="77"/>
      <c r="AQ472" s="77" t="s">
        <v>10908</v>
      </c>
      <c r="AR472" s="77"/>
      <c r="AS472" s="77"/>
      <c r="AT472" s="77"/>
      <c r="AU472" s="77"/>
      <c r="AV472" s="80" t="str">
        <f>HYPERLINK("https://pbs.twimg.com/media/F0t2x-IWYAArkil.jpg")</f>
        <v>https://pbs.twimg.com/media/F0t2x-IWYAArkil.jpg</v>
      </c>
      <c r="AW472" s="82" t="s">
        <v>12174</v>
      </c>
      <c r="AX472" s="82" t="s">
        <v>12174</v>
      </c>
      <c r="AY472" s="77"/>
      <c r="AZ472" s="82" t="s">
        <v>15984</v>
      </c>
      <c r="BA472" s="82" t="s">
        <v>15984</v>
      </c>
      <c r="BB472" s="82" t="s">
        <v>15984</v>
      </c>
      <c r="BC472" s="82" t="s">
        <v>12174</v>
      </c>
      <c r="BD472" s="82" t="s">
        <v>16185</v>
      </c>
      <c r="BE472" s="77"/>
      <c r="BF472" s="77"/>
      <c r="BG472" s="77"/>
      <c r="BH472" s="77"/>
      <c r="BI472" s="77"/>
    </row>
    <row r="473" spans="1:61" x14ac:dyDescent="0.25">
      <c r="A473" s="62" t="s">
        <v>364</v>
      </c>
      <c r="B473" s="62" t="s">
        <v>364</v>
      </c>
      <c r="C473" s="63"/>
      <c r="D473" s="64"/>
      <c r="E473" s="65"/>
      <c r="F473" s="66"/>
      <c r="G473" s="63"/>
      <c r="H473" s="67"/>
      <c r="I473" s="68"/>
      <c r="J473" s="68"/>
      <c r="K473" s="32"/>
      <c r="L473" s="75">
        <v>473</v>
      </c>
      <c r="M473" s="75"/>
      <c r="N473" s="70"/>
      <c r="O473" s="77" t="s">
        <v>179</v>
      </c>
      <c r="P473" s="79">
        <v>45180.74790509259</v>
      </c>
      <c r="Q473" s="77" t="s">
        <v>1349</v>
      </c>
      <c r="R473" s="77">
        <v>0</v>
      </c>
      <c r="S473" s="77">
        <v>0</v>
      </c>
      <c r="T473" s="77">
        <v>0</v>
      </c>
      <c r="U473" s="77">
        <v>0</v>
      </c>
      <c r="V473" s="77">
        <v>138</v>
      </c>
      <c r="W473" s="82" t="s">
        <v>5043</v>
      </c>
      <c r="X473" s="80" t="str">
        <f>HYPERLINK("https://portaldeprefeitura.com.br/2023/09/mercado-financeiro-eleva-para-264-projecao-do-crescimento-da-economia-em-2023-segundo-pesquisa-do-banco-central/")</f>
        <v>https://portaldeprefeitura.com.br/2023/09/mercado-financeiro-eleva-para-264-projecao-do-crescimento-da-economia-em-2023-segundo-pesquisa-do-banco-central/</v>
      </c>
      <c r="Y473" s="77" t="s">
        <v>6470</v>
      </c>
      <c r="Z473" s="77"/>
      <c r="AA473" s="77"/>
      <c r="AB473" s="77"/>
      <c r="AC473" s="82" t="s">
        <v>7750</v>
      </c>
      <c r="AD473" s="77" t="s">
        <v>7788</v>
      </c>
      <c r="AE473" s="80" t="str">
        <f>HYPERLINK("https://twitter.com/p_prefeitura/status/1701293776591872416")</f>
        <v>https://twitter.com/p_prefeitura/status/1701293776591872416</v>
      </c>
      <c r="AF473" s="79">
        <v>45180.74790509259</v>
      </c>
      <c r="AG473" s="85">
        <v>45180</v>
      </c>
      <c r="AH473" s="82" t="s">
        <v>8213</v>
      </c>
      <c r="AI473" s="77" t="b">
        <v>0</v>
      </c>
      <c r="AJ473" s="77"/>
      <c r="AK473" s="77"/>
      <c r="AL473" s="77"/>
      <c r="AM473" s="77"/>
      <c r="AN473" s="77"/>
      <c r="AO473" s="77"/>
      <c r="AP473" s="77"/>
      <c r="AQ473" s="77"/>
      <c r="AR473" s="77"/>
      <c r="AS473" s="77"/>
      <c r="AT473" s="77"/>
      <c r="AU473" s="77"/>
      <c r="AV473" s="80" t="str">
        <f>HYPERLINK("https://pbs.twimg.com/profile_images/1669793783867645969/-NOFVFmF_normal.jpg")</f>
        <v>https://pbs.twimg.com/profile_images/1669793783867645969/-NOFVFmF_normal.jpg</v>
      </c>
      <c r="AW473" s="82" t="s">
        <v>12175</v>
      </c>
      <c r="AX473" s="82" t="s">
        <v>12175</v>
      </c>
      <c r="AY473" s="77"/>
      <c r="AZ473" s="82" t="s">
        <v>15984</v>
      </c>
      <c r="BA473" s="82" t="s">
        <v>15984</v>
      </c>
      <c r="BB473" s="82" t="s">
        <v>15984</v>
      </c>
      <c r="BC473" s="82" t="s">
        <v>12175</v>
      </c>
      <c r="BD473" s="77">
        <v>3024436931</v>
      </c>
      <c r="BE473" s="77"/>
      <c r="BF473" s="77"/>
      <c r="BG473" s="77"/>
      <c r="BH473" s="77"/>
      <c r="BI473" s="77"/>
    </row>
    <row r="474" spans="1:61" x14ac:dyDescent="0.25">
      <c r="A474" s="62" t="s">
        <v>364</v>
      </c>
      <c r="B474" s="62" t="s">
        <v>364</v>
      </c>
      <c r="C474" s="63"/>
      <c r="D474" s="64"/>
      <c r="E474" s="65"/>
      <c r="F474" s="66"/>
      <c r="G474" s="63"/>
      <c r="H474" s="67"/>
      <c r="I474" s="68"/>
      <c r="J474" s="68"/>
      <c r="K474" s="32"/>
      <c r="L474" s="75">
        <v>474</v>
      </c>
      <c r="M474" s="75"/>
      <c r="N474" s="70"/>
      <c r="O474" s="77" t="s">
        <v>179</v>
      </c>
      <c r="P474" s="79">
        <v>45187.738877314812</v>
      </c>
      <c r="Q474" s="77" t="s">
        <v>1350</v>
      </c>
      <c r="R474" s="77">
        <v>0</v>
      </c>
      <c r="S474" s="77">
        <v>0</v>
      </c>
      <c r="T474" s="77">
        <v>0</v>
      </c>
      <c r="U474" s="77">
        <v>0</v>
      </c>
      <c r="V474" s="77">
        <v>162</v>
      </c>
      <c r="W474" s="82" t="s">
        <v>5044</v>
      </c>
      <c r="X474" s="80" t="str">
        <f>HYPERLINK("http://portaldeprefeitura.com.br/2023/09/projecao-de-crescimento-economico-sobe-pela-quarta-vez-e-vai-a-289-para-2023-aponta-mercado/")</f>
        <v>http://portaldeprefeitura.com.br/2023/09/projecao-de-crescimento-economico-sobe-pela-quarta-vez-e-vai-a-289-para-2023-aponta-mercado/</v>
      </c>
      <c r="Y474" s="77" t="s">
        <v>6470</v>
      </c>
      <c r="Z474" s="77"/>
      <c r="AA474" s="77"/>
      <c r="AB474" s="77"/>
      <c r="AC474" s="82" t="s">
        <v>7750</v>
      </c>
      <c r="AD474" s="77" t="s">
        <v>7788</v>
      </c>
      <c r="AE474" s="80" t="str">
        <f>HYPERLINK("https://twitter.com/p_prefeitura/status/1703827220169429477")</f>
        <v>https://twitter.com/p_prefeitura/status/1703827220169429477</v>
      </c>
      <c r="AF474" s="79">
        <v>45187.738877314812</v>
      </c>
      <c r="AG474" s="85">
        <v>45187</v>
      </c>
      <c r="AH474" s="82" t="s">
        <v>8214</v>
      </c>
      <c r="AI474" s="77" t="b">
        <v>0</v>
      </c>
      <c r="AJ474" s="77"/>
      <c r="AK474" s="77"/>
      <c r="AL474" s="77"/>
      <c r="AM474" s="77"/>
      <c r="AN474" s="77"/>
      <c r="AO474" s="77"/>
      <c r="AP474" s="77"/>
      <c r="AQ474" s="77"/>
      <c r="AR474" s="77"/>
      <c r="AS474" s="77"/>
      <c r="AT474" s="77"/>
      <c r="AU474" s="77"/>
      <c r="AV474" s="80" t="str">
        <f>HYPERLINK("https://pbs.twimg.com/profile_images/1669793783867645969/-NOFVFmF_normal.jpg")</f>
        <v>https://pbs.twimg.com/profile_images/1669793783867645969/-NOFVFmF_normal.jpg</v>
      </c>
      <c r="AW474" s="82" t="s">
        <v>12176</v>
      </c>
      <c r="AX474" s="82" t="s">
        <v>12176</v>
      </c>
      <c r="AY474" s="77"/>
      <c r="AZ474" s="82" t="s">
        <v>15984</v>
      </c>
      <c r="BA474" s="82" t="s">
        <v>15984</v>
      </c>
      <c r="BB474" s="82" t="s">
        <v>15984</v>
      </c>
      <c r="BC474" s="82" t="s">
        <v>12176</v>
      </c>
      <c r="BD474" s="77">
        <v>3024436931</v>
      </c>
      <c r="BE474" s="77"/>
      <c r="BF474" s="77"/>
      <c r="BG474" s="77"/>
      <c r="BH474" s="77"/>
      <c r="BI474" s="77"/>
    </row>
    <row r="475" spans="1:61" x14ac:dyDescent="0.25">
      <c r="A475" s="62" t="s">
        <v>365</v>
      </c>
      <c r="B475" s="62" t="s">
        <v>769</v>
      </c>
      <c r="C475" s="63"/>
      <c r="D475" s="64"/>
      <c r="E475" s="65"/>
      <c r="F475" s="66"/>
      <c r="G475" s="63"/>
      <c r="H475" s="67"/>
      <c r="I475" s="68"/>
      <c r="J475" s="68"/>
      <c r="K475" s="32"/>
      <c r="L475" s="75">
        <v>475</v>
      </c>
      <c r="M475" s="75"/>
      <c r="N475" s="70"/>
      <c r="O475" s="77" t="s">
        <v>895</v>
      </c>
      <c r="P475" s="79">
        <v>45133.587245370371</v>
      </c>
      <c r="Q475" s="77" t="s">
        <v>1351</v>
      </c>
      <c r="R475" s="77">
        <v>0</v>
      </c>
      <c r="S475" s="77">
        <v>0</v>
      </c>
      <c r="T475" s="77">
        <v>0</v>
      </c>
      <c r="U475" s="77">
        <v>0</v>
      </c>
      <c r="V475" s="77">
        <v>16</v>
      </c>
      <c r="W475" s="82" t="s">
        <v>5045</v>
      </c>
      <c r="X475" s="80" t="str">
        <f>HYPERLINK("https://thinkonomics.com/2023/07/2252/fitch-eleva-rating-soberano-do-brasil-de-bb-para-bb/")</f>
        <v>https://thinkonomics.com/2023/07/2252/fitch-eleva-rating-soberano-do-brasil-de-bb-para-bb/</v>
      </c>
      <c r="Y475" s="77" t="s">
        <v>6500</v>
      </c>
      <c r="Z475" s="77" t="s">
        <v>769</v>
      </c>
      <c r="AA475" s="77"/>
      <c r="AB475" s="77"/>
      <c r="AC475" s="82" t="s">
        <v>7750</v>
      </c>
      <c r="AD475" s="77" t="s">
        <v>7788</v>
      </c>
      <c r="AE475" s="80" t="str">
        <f>HYPERLINK("https://twitter.com/thinkonomics/status/1684203325745426433")</f>
        <v>https://twitter.com/thinkonomics/status/1684203325745426433</v>
      </c>
      <c r="AF475" s="79">
        <v>45133.587245370371</v>
      </c>
      <c r="AG475" s="85">
        <v>45133</v>
      </c>
      <c r="AH475" s="82" t="s">
        <v>8215</v>
      </c>
      <c r="AI475" s="77" t="b">
        <v>0</v>
      </c>
      <c r="AJ475" s="77"/>
      <c r="AK475" s="77"/>
      <c r="AL475" s="77"/>
      <c r="AM475" s="77"/>
      <c r="AN475" s="77"/>
      <c r="AO475" s="77"/>
      <c r="AP475" s="77"/>
      <c r="AQ475" s="77"/>
      <c r="AR475" s="77"/>
      <c r="AS475" s="77"/>
      <c r="AT475" s="77"/>
      <c r="AU475" s="77"/>
      <c r="AV475" s="80" t="str">
        <f>HYPERLINK("https://pbs.twimg.com/profile_images/1108213685779075072/jtUVACRX_normal.jpg")</f>
        <v>https://pbs.twimg.com/profile_images/1108213685779075072/jtUVACRX_normal.jpg</v>
      </c>
      <c r="AW475" s="82" t="s">
        <v>12177</v>
      </c>
      <c r="AX475" s="82" t="s">
        <v>12177</v>
      </c>
      <c r="AY475" s="77"/>
      <c r="AZ475" s="82" t="s">
        <v>15984</v>
      </c>
      <c r="BA475" s="82" t="s">
        <v>15984</v>
      </c>
      <c r="BB475" s="82" t="s">
        <v>15984</v>
      </c>
      <c r="BC475" s="82" t="s">
        <v>12177</v>
      </c>
      <c r="BD475" s="82" t="s">
        <v>16186</v>
      </c>
      <c r="BE475" s="77"/>
      <c r="BF475" s="77"/>
      <c r="BG475" s="77"/>
      <c r="BH475" s="77"/>
      <c r="BI475" s="77"/>
    </row>
    <row r="476" spans="1:61" x14ac:dyDescent="0.25">
      <c r="A476" s="62" t="s">
        <v>365</v>
      </c>
      <c r="B476" s="62" t="s">
        <v>365</v>
      </c>
      <c r="C476" s="63"/>
      <c r="D476" s="64"/>
      <c r="E476" s="65"/>
      <c r="F476" s="66"/>
      <c r="G476" s="63"/>
      <c r="H476" s="67"/>
      <c r="I476" s="68"/>
      <c r="J476" s="68"/>
      <c r="K476" s="32"/>
      <c r="L476" s="75">
        <v>476</v>
      </c>
      <c r="M476" s="75"/>
      <c r="N476" s="70"/>
      <c r="O476" s="77" t="s">
        <v>179</v>
      </c>
      <c r="P476" s="79">
        <v>45183.591898148145</v>
      </c>
      <c r="Q476" s="77" t="s">
        <v>1352</v>
      </c>
      <c r="R476" s="77">
        <v>0</v>
      </c>
      <c r="S476" s="77">
        <v>0</v>
      </c>
      <c r="T476" s="77">
        <v>1</v>
      </c>
      <c r="U476" s="77">
        <v>0</v>
      </c>
      <c r="V476" s="77">
        <v>18</v>
      </c>
      <c r="W476" s="82" t="s">
        <v>5046</v>
      </c>
      <c r="X476" s="80" t="str">
        <f>HYPERLINK("https://thinkonomics.com/2023/09/2293/confianca-da-industria-cai-pela-primeira-vez-em-cinco-meses/")</f>
        <v>https://thinkonomics.com/2023/09/2293/confianca-da-industria-cai-pela-primeira-vez-em-cinco-meses/</v>
      </c>
      <c r="Y476" s="77" t="s">
        <v>6500</v>
      </c>
      <c r="Z476" s="77"/>
      <c r="AA476" s="77" t="s">
        <v>6937</v>
      </c>
      <c r="AB476" s="77" t="s">
        <v>7742</v>
      </c>
      <c r="AC476" s="82" t="s">
        <v>7750</v>
      </c>
      <c r="AD476" s="77" t="s">
        <v>7788</v>
      </c>
      <c r="AE476" s="80" t="str">
        <f>HYPERLINK("https://twitter.com/thinkonomics/status/1702324403277856996")</f>
        <v>https://twitter.com/thinkonomics/status/1702324403277856996</v>
      </c>
      <c r="AF476" s="79">
        <v>45183.591898148145</v>
      </c>
      <c r="AG476" s="85">
        <v>45183</v>
      </c>
      <c r="AH476" s="82" t="s">
        <v>8216</v>
      </c>
      <c r="AI476" s="77" t="b">
        <v>0</v>
      </c>
      <c r="AJ476" s="77"/>
      <c r="AK476" s="77"/>
      <c r="AL476" s="77"/>
      <c r="AM476" s="77"/>
      <c r="AN476" s="77"/>
      <c r="AO476" s="77"/>
      <c r="AP476" s="77"/>
      <c r="AQ476" s="77" t="s">
        <v>10909</v>
      </c>
      <c r="AR476" s="77"/>
      <c r="AS476" s="77"/>
      <c r="AT476" s="77"/>
      <c r="AU476" s="77"/>
      <c r="AV476" s="80" t="str">
        <f>HYPERLINK("https://pbs.twimg.com/media/F5_e6_pbMAA5N7k.jpg")</f>
        <v>https://pbs.twimg.com/media/F5_e6_pbMAA5N7k.jpg</v>
      </c>
      <c r="AW476" s="82" t="s">
        <v>12178</v>
      </c>
      <c r="AX476" s="82" t="s">
        <v>12178</v>
      </c>
      <c r="AY476" s="77"/>
      <c r="AZ476" s="82" t="s">
        <v>15984</v>
      </c>
      <c r="BA476" s="82" t="s">
        <v>15984</v>
      </c>
      <c r="BB476" s="82" t="s">
        <v>15984</v>
      </c>
      <c r="BC476" s="82" t="s">
        <v>12178</v>
      </c>
      <c r="BD476" s="82" t="s">
        <v>16186</v>
      </c>
      <c r="BE476" s="77"/>
      <c r="BF476" s="77"/>
      <c r="BG476" s="77"/>
      <c r="BH476" s="77"/>
      <c r="BI476" s="77"/>
    </row>
    <row r="477" spans="1:61" x14ac:dyDescent="0.25">
      <c r="A477" s="62" t="s">
        <v>366</v>
      </c>
      <c r="B477" s="62" t="s">
        <v>366</v>
      </c>
      <c r="C477" s="63"/>
      <c r="D477" s="64"/>
      <c r="E477" s="65"/>
      <c r="F477" s="66"/>
      <c r="G477" s="63"/>
      <c r="H477" s="67"/>
      <c r="I477" s="68"/>
      <c r="J477" s="68"/>
      <c r="K477" s="32"/>
      <c r="L477" s="75">
        <v>477</v>
      </c>
      <c r="M477" s="75"/>
      <c r="N477" s="70"/>
      <c r="O477" s="77" t="s">
        <v>179</v>
      </c>
      <c r="P477" s="79">
        <v>45125.770844907405</v>
      </c>
      <c r="Q477" s="77" t="s">
        <v>1353</v>
      </c>
      <c r="R477" s="77">
        <v>0</v>
      </c>
      <c r="S477" s="77">
        <v>0</v>
      </c>
      <c r="T477" s="77">
        <v>0</v>
      </c>
      <c r="U477" s="77">
        <v>0</v>
      </c>
      <c r="V477" s="77">
        <v>6</v>
      </c>
      <c r="W477" s="82" t="s">
        <v>5047</v>
      </c>
      <c r="X477" s="80" t="str">
        <f>HYPERLINK("https://d4business.com.br/capital-markets/como-investir-na-b3/")</f>
        <v>https://d4business.com.br/capital-markets/como-investir-na-b3/</v>
      </c>
      <c r="Y477" s="77" t="s">
        <v>6470</v>
      </c>
      <c r="Z477" s="77"/>
      <c r="AA477" s="77" t="s">
        <v>6938</v>
      </c>
      <c r="AB477" s="77" t="s">
        <v>7742</v>
      </c>
      <c r="AC477" s="82" t="s">
        <v>7757</v>
      </c>
      <c r="AD477" s="77" t="s">
        <v>7788</v>
      </c>
      <c r="AE477" s="80" t="str">
        <f>HYPERLINK("https://twitter.com/businessd4/status/1681370757509546000")</f>
        <v>https://twitter.com/businessd4/status/1681370757509546000</v>
      </c>
      <c r="AF477" s="79">
        <v>45125.770844907405</v>
      </c>
      <c r="AG477" s="85">
        <v>45125</v>
      </c>
      <c r="AH477" s="82" t="s">
        <v>8217</v>
      </c>
      <c r="AI477" s="77" t="b">
        <v>0</v>
      </c>
      <c r="AJ477" s="77"/>
      <c r="AK477" s="77"/>
      <c r="AL477" s="77"/>
      <c r="AM477" s="77"/>
      <c r="AN477" s="77"/>
      <c r="AO477" s="77"/>
      <c r="AP477" s="77"/>
      <c r="AQ477" s="77" t="s">
        <v>10910</v>
      </c>
      <c r="AR477" s="77"/>
      <c r="AS477" s="77"/>
      <c r="AT477" s="77"/>
      <c r="AU477" s="77"/>
      <c r="AV477" s="80" t="str">
        <f>HYPERLINK("https://pbs.twimg.com/media/F1VtywMWAA0ICHX.jpg")</f>
        <v>https://pbs.twimg.com/media/F1VtywMWAA0ICHX.jpg</v>
      </c>
      <c r="AW477" s="82" t="s">
        <v>12179</v>
      </c>
      <c r="AX477" s="82" t="s">
        <v>12179</v>
      </c>
      <c r="AY477" s="77"/>
      <c r="AZ477" s="82" t="s">
        <v>15984</v>
      </c>
      <c r="BA477" s="82" t="s">
        <v>15984</v>
      </c>
      <c r="BB477" s="82" t="s">
        <v>15984</v>
      </c>
      <c r="BC477" s="82" t="s">
        <v>12179</v>
      </c>
      <c r="BD477" s="82" t="s">
        <v>16187</v>
      </c>
      <c r="BE477" s="77"/>
      <c r="BF477" s="77"/>
      <c r="BG477" s="77"/>
      <c r="BH477" s="77"/>
      <c r="BI477" s="77"/>
    </row>
    <row r="478" spans="1:61" x14ac:dyDescent="0.25">
      <c r="A478" s="62" t="s">
        <v>367</v>
      </c>
      <c r="B478" s="62" t="s">
        <v>770</v>
      </c>
      <c r="C478" s="63"/>
      <c r="D478" s="64"/>
      <c r="E478" s="65"/>
      <c r="F478" s="66"/>
      <c r="G478" s="63"/>
      <c r="H478" s="67"/>
      <c r="I478" s="68"/>
      <c r="J478" s="68"/>
      <c r="K478" s="32"/>
      <c r="L478" s="75">
        <v>478</v>
      </c>
      <c r="M478" s="75"/>
      <c r="N478" s="70"/>
      <c r="O478" s="77" t="s">
        <v>895</v>
      </c>
      <c r="P478" s="79">
        <v>45128.935057870367</v>
      </c>
      <c r="Q478" s="77" t="s">
        <v>1354</v>
      </c>
      <c r="R478" s="77">
        <v>0</v>
      </c>
      <c r="S478" s="77">
        <v>1</v>
      </c>
      <c r="T478" s="77">
        <v>0</v>
      </c>
      <c r="U478" s="77">
        <v>0</v>
      </c>
      <c r="V478" s="77">
        <v>7</v>
      </c>
      <c r="W478" s="82" t="s">
        <v>5048</v>
      </c>
      <c r="X478" s="77"/>
      <c r="Y478" s="77"/>
      <c r="Z478" s="77" t="s">
        <v>6568</v>
      </c>
      <c r="AA478" s="77" t="s">
        <v>6939</v>
      </c>
      <c r="AB478" s="77" t="s">
        <v>7742</v>
      </c>
      <c r="AC478" s="82" t="s">
        <v>7751</v>
      </c>
      <c r="AD478" s="77" t="s">
        <v>7790</v>
      </c>
      <c r="AE478" s="80" t="str">
        <f>HYPERLINK("https://twitter.com/elenaliberal/status/1682517427953840129")</f>
        <v>https://twitter.com/elenaliberal/status/1682517427953840129</v>
      </c>
      <c r="AF478" s="79">
        <v>45128.935057870367</v>
      </c>
      <c r="AG478" s="85">
        <v>45128</v>
      </c>
      <c r="AH478" s="82" t="s">
        <v>8218</v>
      </c>
      <c r="AI478" s="77" t="b">
        <v>0</v>
      </c>
      <c r="AJ478" s="77"/>
      <c r="AK478" s="77"/>
      <c r="AL478" s="77"/>
      <c r="AM478" s="77"/>
      <c r="AN478" s="77"/>
      <c r="AO478" s="77"/>
      <c r="AP478" s="77"/>
      <c r="AQ478" s="77" t="s">
        <v>10911</v>
      </c>
      <c r="AR478" s="77"/>
      <c r="AS478" s="77"/>
      <c r="AT478" s="77"/>
      <c r="AU478" s="77"/>
      <c r="AV478" s="80" t="str">
        <f>HYPERLINK("https://pbs.twimg.com/media/F1mArvLXwAAOEuS.jpg")</f>
        <v>https://pbs.twimg.com/media/F1mArvLXwAAOEuS.jpg</v>
      </c>
      <c r="AW478" s="82" t="s">
        <v>12180</v>
      </c>
      <c r="AX478" s="82" t="s">
        <v>12180</v>
      </c>
      <c r="AY478" s="82" t="s">
        <v>15926</v>
      </c>
      <c r="AZ478" s="82" t="s">
        <v>15984</v>
      </c>
      <c r="BA478" s="82" t="s">
        <v>15984</v>
      </c>
      <c r="BB478" s="82" t="s">
        <v>15984</v>
      </c>
      <c r="BC478" s="82" t="s">
        <v>12180</v>
      </c>
      <c r="BD478" s="82" t="s">
        <v>16188</v>
      </c>
      <c r="BE478" s="77"/>
      <c r="BF478" s="77"/>
      <c r="BG478" s="77"/>
      <c r="BH478" s="77"/>
      <c r="BI478" s="77"/>
    </row>
    <row r="479" spans="1:61" x14ac:dyDescent="0.25">
      <c r="A479" s="62" t="s">
        <v>367</v>
      </c>
      <c r="B479" s="62" t="s">
        <v>771</v>
      </c>
      <c r="C479" s="63"/>
      <c r="D479" s="64"/>
      <c r="E479" s="65"/>
      <c r="F479" s="66"/>
      <c r="G479" s="63"/>
      <c r="H479" s="67"/>
      <c r="I479" s="68"/>
      <c r="J479" s="68"/>
      <c r="K479" s="32"/>
      <c r="L479" s="75">
        <v>479</v>
      </c>
      <c r="M479" s="75"/>
      <c r="N479" s="70"/>
      <c r="O479" s="77" t="s">
        <v>895</v>
      </c>
      <c r="P479" s="79">
        <v>45128.935057870367</v>
      </c>
      <c r="Q479" s="77" t="s">
        <v>1354</v>
      </c>
      <c r="R479" s="77">
        <v>0</v>
      </c>
      <c r="S479" s="77">
        <v>1</v>
      </c>
      <c r="T479" s="77">
        <v>0</v>
      </c>
      <c r="U479" s="77">
        <v>0</v>
      </c>
      <c r="V479" s="77">
        <v>7</v>
      </c>
      <c r="W479" s="82" t="s">
        <v>5048</v>
      </c>
      <c r="X479" s="77"/>
      <c r="Y479" s="77"/>
      <c r="Z479" s="77" t="s">
        <v>6568</v>
      </c>
      <c r="AA479" s="77" t="s">
        <v>6939</v>
      </c>
      <c r="AB479" s="77" t="s">
        <v>7742</v>
      </c>
      <c r="AC479" s="82" t="s">
        <v>7751</v>
      </c>
      <c r="AD479" s="77" t="s">
        <v>7790</v>
      </c>
      <c r="AE479" s="80" t="str">
        <f>HYPERLINK("https://twitter.com/elenaliberal/status/1682517427953840129")</f>
        <v>https://twitter.com/elenaliberal/status/1682517427953840129</v>
      </c>
      <c r="AF479" s="79">
        <v>45128.935057870367</v>
      </c>
      <c r="AG479" s="85">
        <v>45128</v>
      </c>
      <c r="AH479" s="82" t="s">
        <v>8218</v>
      </c>
      <c r="AI479" s="77" t="b">
        <v>0</v>
      </c>
      <c r="AJ479" s="77"/>
      <c r="AK479" s="77"/>
      <c r="AL479" s="77"/>
      <c r="AM479" s="77"/>
      <c r="AN479" s="77"/>
      <c r="AO479" s="77"/>
      <c r="AP479" s="77"/>
      <c r="AQ479" s="77" t="s">
        <v>10911</v>
      </c>
      <c r="AR479" s="77"/>
      <c r="AS479" s="77"/>
      <c r="AT479" s="77"/>
      <c r="AU479" s="77"/>
      <c r="AV479" s="80" t="str">
        <f>HYPERLINK("https://pbs.twimg.com/media/F1mArvLXwAAOEuS.jpg")</f>
        <v>https://pbs.twimg.com/media/F1mArvLXwAAOEuS.jpg</v>
      </c>
      <c r="AW479" s="82" t="s">
        <v>12180</v>
      </c>
      <c r="AX479" s="82" t="s">
        <v>12180</v>
      </c>
      <c r="AY479" s="82" t="s">
        <v>15926</v>
      </c>
      <c r="AZ479" s="82" t="s">
        <v>15984</v>
      </c>
      <c r="BA479" s="82" t="s">
        <v>15984</v>
      </c>
      <c r="BB479" s="82" t="s">
        <v>15984</v>
      </c>
      <c r="BC479" s="82" t="s">
        <v>12180</v>
      </c>
      <c r="BD479" s="82" t="s">
        <v>16188</v>
      </c>
      <c r="BE479" s="77"/>
      <c r="BF479" s="77"/>
      <c r="BG479" s="77"/>
      <c r="BH479" s="77"/>
      <c r="BI479" s="77"/>
    </row>
    <row r="480" spans="1:61" x14ac:dyDescent="0.25">
      <c r="A480" s="62" t="s">
        <v>368</v>
      </c>
      <c r="B480" s="62" t="s">
        <v>368</v>
      </c>
      <c r="C480" s="63"/>
      <c r="D480" s="64"/>
      <c r="E480" s="65"/>
      <c r="F480" s="66"/>
      <c r="G480" s="63"/>
      <c r="H480" s="67"/>
      <c r="I480" s="68"/>
      <c r="J480" s="68"/>
      <c r="K480" s="32"/>
      <c r="L480" s="75">
        <v>480</v>
      </c>
      <c r="M480" s="75"/>
      <c r="N480" s="70"/>
      <c r="O480" s="77" t="s">
        <v>179</v>
      </c>
      <c r="P480" s="79">
        <v>45182.739953703705</v>
      </c>
      <c r="Q480" s="77" t="s">
        <v>1355</v>
      </c>
      <c r="R480" s="77">
        <v>0</v>
      </c>
      <c r="S480" s="77">
        <v>0</v>
      </c>
      <c r="T480" s="77">
        <v>1</v>
      </c>
      <c r="U480" s="77">
        <v>0</v>
      </c>
      <c r="V480" s="77">
        <v>10</v>
      </c>
      <c r="W480" s="82" t="s">
        <v>5049</v>
      </c>
      <c r="X480" s="77"/>
      <c r="Y480" s="77"/>
      <c r="Z480" s="77"/>
      <c r="AA480" s="77"/>
      <c r="AB480" s="77"/>
      <c r="AC480" s="82" t="s">
        <v>7751</v>
      </c>
      <c r="AD480" s="77" t="s">
        <v>7788</v>
      </c>
      <c r="AE480" s="80" t="str">
        <f>HYPERLINK("https://twitter.com/financialstream/status/1702015668747464745")</f>
        <v>https://twitter.com/financialstream/status/1702015668747464745</v>
      </c>
      <c r="AF480" s="79">
        <v>45182.739953703705</v>
      </c>
      <c r="AG480" s="85">
        <v>45182</v>
      </c>
      <c r="AH480" s="82" t="s">
        <v>8219</v>
      </c>
      <c r="AI480" s="77"/>
      <c r="AJ480" s="77"/>
      <c r="AK480" s="77"/>
      <c r="AL480" s="77"/>
      <c r="AM480" s="77"/>
      <c r="AN480" s="77"/>
      <c r="AO480" s="77"/>
      <c r="AP480" s="77"/>
      <c r="AQ480" s="77"/>
      <c r="AR480" s="77"/>
      <c r="AS480" s="77"/>
      <c r="AT480" s="77"/>
      <c r="AU480" s="77"/>
      <c r="AV480" s="80" t="str">
        <f>HYPERLINK("https://pbs.twimg.com/profile_images/1550999438952464384/tFhqdbVs_normal.jpg")</f>
        <v>https://pbs.twimg.com/profile_images/1550999438952464384/tFhqdbVs_normal.jpg</v>
      </c>
      <c r="AW480" s="82" t="s">
        <v>12181</v>
      </c>
      <c r="AX480" s="82" t="s">
        <v>12181</v>
      </c>
      <c r="AY480" s="77"/>
      <c r="AZ480" s="82" t="s">
        <v>15984</v>
      </c>
      <c r="BA480" s="82" t="s">
        <v>15984</v>
      </c>
      <c r="BB480" s="82" t="s">
        <v>15984</v>
      </c>
      <c r="BC480" s="82" t="s">
        <v>12181</v>
      </c>
      <c r="BD480" s="82" t="s">
        <v>16189</v>
      </c>
      <c r="BE480" s="77"/>
      <c r="BF480" s="77"/>
      <c r="BG480" s="77"/>
      <c r="BH480" s="77"/>
      <c r="BI480" s="77"/>
    </row>
    <row r="481" spans="1:61" x14ac:dyDescent="0.25">
      <c r="A481" s="62" t="s">
        <v>369</v>
      </c>
      <c r="B481" s="62" t="s">
        <v>369</v>
      </c>
      <c r="C481" s="63"/>
      <c r="D481" s="64"/>
      <c r="E481" s="65"/>
      <c r="F481" s="66"/>
      <c r="G481" s="63"/>
      <c r="H481" s="67"/>
      <c r="I481" s="68"/>
      <c r="J481" s="68"/>
      <c r="K481" s="32"/>
      <c r="L481" s="75">
        <v>481</v>
      </c>
      <c r="M481" s="75"/>
      <c r="N481" s="70"/>
      <c r="O481" s="77" t="s">
        <v>898</v>
      </c>
      <c r="P481" s="79">
        <v>45148.902708333335</v>
      </c>
      <c r="Q481" s="77" t="s">
        <v>1356</v>
      </c>
      <c r="R481" s="77">
        <v>0</v>
      </c>
      <c r="S481" s="77">
        <v>0</v>
      </c>
      <c r="T481" s="77">
        <v>0</v>
      </c>
      <c r="U481" s="77">
        <v>0</v>
      </c>
      <c r="V481" s="77">
        <v>103</v>
      </c>
      <c r="W481" s="82" t="s">
        <v>5050</v>
      </c>
      <c r="X481" s="77"/>
      <c r="Y481" s="77"/>
      <c r="Z481" s="77"/>
      <c r="AA481" s="77"/>
      <c r="AB481" s="77"/>
      <c r="AC481" s="82" t="s">
        <v>7752</v>
      </c>
      <c r="AD481" s="77" t="s">
        <v>7788</v>
      </c>
      <c r="AE481" s="80" t="str">
        <f>HYPERLINK("https://twitter.com/antonioblvs/status/1689753462764920833")</f>
        <v>https://twitter.com/antonioblvs/status/1689753462764920833</v>
      </c>
      <c r="AF481" s="79">
        <v>45148.902708333335</v>
      </c>
      <c r="AG481" s="85">
        <v>45148</v>
      </c>
      <c r="AH481" s="82" t="s">
        <v>8220</v>
      </c>
      <c r="AI481" s="77"/>
      <c r="AJ481" s="77"/>
      <c r="AK481" s="77"/>
      <c r="AL481" s="77"/>
      <c r="AM481" s="77"/>
      <c r="AN481" s="77"/>
      <c r="AO481" s="77"/>
      <c r="AP481" s="77"/>
      <c r="AQ481" s="77"/>
      <c r="AR481" s="77"/>
      <c r="AS481" s="77"/>
      <c r="AT481" s="77"/>
      <c r="AU481" s="77"/>
      <c r="AV481" s="80" t="str">
        <f>HYPERLINK("https://pbs.twimg.com/profile_images/1581021166751424512/bs_MN8XB_normal.jpg")</f>
        <v>https://pbs.twimg.com/profile_images/1581021166751424512/bs_MN8XB_normal.jpg</v>
      </c>
      <c r="AW481" s="82" t="s">
        <v>12182</v>
      </c>
      <c r="AX481" s="82" t="s">
        <v>15755</v>
      </c>
      <c r="AY481" s="82" t="s">
        <v>15927</v>
      </c>
      <c r="AZ481" s="82" t="s">
        <v>15993</v>
      </c>
      <c r="BA481" s="82" t="s">
        <v>15984</v>
      </c>
      <c r="BB481" s="82" t="s">
        <v>15984</v>
      </c>
      <c r="BC481" s="82" t="s">
        <v>15993</v>
      </c>
      <c r="BD481" s="77">
        <v>125870611</v>
      </c>
      <c r="BE481" s="77"/>
      <c r="BF481" s="77"/>
      <c r="BG481" s="77"/>
      <c r="BH481" s="77"/>
      <c r="BI481" s="77"/>
    </row>
    <row r="482" spans="1:61" x14ac:dyDescent="0.25">
      <c r="A482" s="62" t="s">
        <v>370</v>
      </c>
      <c r="B482" s="62" t="s">
        <v>370</v>
      </c>
      <c r="C482" s="63"/>
      <c r="D482" s="64"/>
      <c r="E482" s="65"/>
      <c r="F482" s="66"/>
      <c r="G482" s="63"/>
      <c r="H482" s="67"/>
      <c r="I482" s="68"/>
      <c r="J482" s="68"/>
      <c r="K482" s="32"/>
      <c r="L482" s="75">
        <v>482</v>
      </c>
      <c r="M482" s="75"/>
      <c r="N482" s="70"/>
      <c r="O482" s="77" t="s">
        <v>179</v>
      </c>
      <c r="P482" s="79">
        <v>45194.591990740744</v>
      </c>
      <c r="Q482" s="77" t="s">
        <v>1357</v>
      </c>
      <c r="R482" s="77">
        <v>0</v>
      </c>
      <c r="S482" s="77">
        <v>1</v>
      </c>
      <c r="T482" s="77">
        <v>0</v>
      </c>
      <c r="U482" s="77">
        <v>0</v>
      </c>
      <c r="V482" s="77">
        <v>28</v>
      </c>
      <c r="W482" s="82" t="s">
        <v>5051</v>
      </c>
      <c r="X482" s="80" t="str">
        <f>HYPERLINK("https://www.instagram.com/p/CxnhkV3ulw-/?img_index=3")</f>
        <v>https://www.instagram.com/p/CxnhkV3ulw-/?img_index=3</v>
      </c>
      <c r="Y482" s="77" t="s">
        <v>6469</v>
      </c>
      <c r="Z482" s="77"/>
      <c r="AA482" s="77"/>
      <c r="AB482" s="77"/>
      <c r="AC482" s="82" t="s">
        <v>7750</v>
      </c>
      <c r="AD482" s="77" t="s">
        <v>7788</v>
      </c>
      <c r="AE482" s="80" t="str">
        <f>HYPERLINK("https://twitter.com/sunggustavo/status/1706310705517855088")</f>
        <v>https://twitter.com/sunggustavo/status/1706310705517855088</v>
      </c>
      <c r="AF482" s="79">
        <v>45194.591990740744</v>
      </c>
      <c r="AG482" s="85">
        <v>45194</v>
      </c>
      <c r="AH482" s="82" t="s">
        <v>8221</v>
      </c>
      <c r="AI482" s="77" t="b">
        <v>0</v>
      </c>
      <c r="AJ482" s="77"/>
      <c r="AK482" s="77"/>
      <c r="AL482" s="77"/>
      <c r="AM482" s="77"/>
      <c r="AN482" s="77"/>
      <c r="AO482" s="77"/>
      <c r="AP482" s="77"/>
      <c r="AQ482" s="77"/>
      <c r="AR482" s="77"/>
      <c r="AS482" s="77"/>
      <c r="AT482" s="77"/>
      <c r="AU482" s="77"/>
      <c r="AV482" s="80" t="str">
        <f>HYPERLINK("https://pbs.twimg.com/profile_images/1491426913625198593/FdCpB7C7_normal.jpg")</f>
        <v>https://pbs.twimg.com/profile_images/1491426913625198593/FdCpB7C7_normal.jpg</v>
      </c>
      <c r="AW482" s="82" t="s">
        <v>12183</v>
      </c>
      <c r="AX482" s="82" t="s">
        <v>12183</v>
      </c>
      <c r="AY482" s="77"/>
      <c r="AZ482" s="82" t="s">
        <v>15984</v>
      </c>
      <c r="BA482" s="82" t="s">
        <v>15984</v>
      </c>
      <c r="BB482" s="82" t="s">
        <v>15984</v>
      </c>
      <c r="BC482" s="82" t="s">
        <v>12183</v>
      </c>
      <c r="BD482" s="82" t="s">
        <v>16190</v>
      </c>
      <c r="BE482" s="77"/>
      <c r="BF482" s="77"/>
      <c r="BG482" s="77"/>
      <c r="BH482" s="77"/>
      <c r="BI482" s="77"/>
    </row>
    <row r="483" spans="1:61" x14ac:dyDescent="0.25">
      <c r="A483" s="62" t="s">
        <v>371</v>
      </c>
      <c r="B483" s="62" t="s">
        <v>371</v>
      </c>
      <c r="C483" s="63"/>
      <c r="D483" s="64"/>
      <c r="E483" s="65"/>
      <c r="F483" s="66"/>
      <c r="G483" s="63"/>
      <c r="H483" s="67"/>
      <c r="I483" s="68"/>
      <c r="J483" s="68"/>
      <c r="K483" s="32"/>
      <c r="L483" s="75">
        <v>483</v>
      </c>
      <c r="M483" s="75"/>
      <c r="N483" s="70"/>
      <c r="O483" s="77" t="s">
        <v>179</v>
      </c>
      <c r="P483" s="79">
        <v>45127.753854166665</v>
      </c>
      <c r="Q483" s="77" t="s">
        <v>1358</v>
      </c>
      <c r="R483" s="77">
        <v>0</v>
      </c>
      <c r="S483" s="77">
        <v>0</v>
      </c>
      <c r="T483" s="77">
        <v>0</v>
      </c>
      <c r="U483" s="77">
        <v>0</v>
      </c>
      <c r="V483" s="77">
        <v>62</v>
      </c>
      <c r="W483" s="82" t="s">
        <v>5052</v>
      </c>
      <c r="X483" s="77"/>
      <c r="Y483" s="77"/>
      <c r="Z483" s="77"/>
      <c r="AA483" s="77" t="s">
        <v>6940</v>
      </c>
      <c r="AB483" s="77" t="s">
        <v>7743</v>
      </c>
      <c r="AC483" s="82" t="s">
        <v>7752</v>
      </c>
      <c r="AD483" s="77" t="s">
        <v>7788</v>
      </c>
      <c r="AE483" s="80" t="str">
        <f>HYPERLINK("https://twitter.com/mano_investidor/status/1682089377135054848")</f>
        <v>https://twitter.com/mano_investidor/status/1682089377135054848</v>
      </c>
      <c r="AF483" s="79">
        <v>45127.753854166665</v>
      </c>
      <c r="AG483" s="85">
        <v>45127</v>
      </c>
      <c r="AH483" s="82" t="s">
        <v>8222</v>
      </c>
      <c r="AI483" s="77" t="b">
        <v>0</v>
      </c>
      <c r="AJ483" s="77"/>
      <c r="AK483" s="77"/>
      <c r="AL483" s="77"/>
      <c r="AM483" s="77"/>
      <c r="AN483" s="77"/>
      <c r="AO483" s="77"/>
      <c r="AP483" s="77"/>
      <c r="AQ483" s="77" t="s">
        <v>10912</v>
      </c>
      <c r="AR483" s="77">
        <v>70666</v>
      </c>
      <c r="AS483" s="77"/>
      <c r="AT483" s="77"/>
      <c r="AU483" s="77"/>
      <c r="AV483" s="80" t="str">
        <f>HYPERLINK("https://pbs.twimg.com/ext_tw_video_thumb/1682089242883661834/pu/img/dBUuLfkKvgJii2fQ.jpg")</f>
        <v>https://pbs.twimg.com/ext_tw_video_thumb/1682089242883661834/pu/img/dBUuLfkKvgJii2fQ.jpg</v>
      </c>
      <c r="AW483" s="82" t="s">
        <v>12184</v>
      </c>
      <c r="AX483" s="82" t="s">
        <v>12184</v>
      </c>
      <c r="AY483" s="77"/>
      <c r="AZ483" s="82" t="s">
        <v>15984</v>
      </c>
      <c r="BA483" s="82" t="s">
        <v>15984</v>
      </c>
      <c r="BB483" s="82" t="s">
        <v>15984</v>
      </c>
      <c r="BC483" s="82" t="s">
        <v>12184</v>
      </c>
      <c r="BD483" s="82" t="s">
        <v>16191</v>
      </c>
      <c r="BE483" s="77"/>
      <c r="BF483" s="77"/>
      <c r="BG483" s="77"/>
      <c r="BH483" s="77"/>
      <c r="BI483" s="77"/>
    </row>
    <row r="484" spans="1:61" x14ac:dyDescent="0.25">
      <c r="A484" s="62" t="s">
        <v>372</v>
      </c>
      <c r="B484" s="62" t="s">
        <v>372</v>
      </c>
      <c r="C484" s="63"/>
      <c r="D484" s="64"/>
      <c r="E484" s="65"/>
      <c r="F484" s="66"/>
      <c r="G484" s="63"/>
      <c r="H484" s="67"/>
      <c r="I484" s="68"/>
      <c r="J484" s="68"/>
      <c r="K484" s="32"/>
      <c r="L484" s="75">
        <v>484</v>
      </c>
      <c r="M484" s="75"/>
      <c r="N484" s="70"/>
      <c r="O484" s="77" t="s">
        <v>179</v>
      </c>
      <c r="P484" s="79">
        <v>45163.531412037039</v>
      </c>
      <c r="Q484" s="77" t="s">
        <v>1359</v>
      </c>
      <c r="R484" s="77">
        <v>2</v>
      </c>
      <c r="S484" s="77">
        <v>4</v>
      </c>
      <c r="T484" s="77">
        <v>0</v>
      </c>
      <c r="U484" s="77">
        <v>0</v>
      </c>
      <c r="V484" s="77">
        <v>2382</v>
      </c>
      <c r="W484" s="82" t="s">
        <v>5053</v>
      </c>
      <c r="X484" s="80" t="str">
        <f>HYPERLINK("https://ow.ly/hC8250PEbNI")</f>
        <v>https://ow.ly/hC8250PEbNI</v>
      </c>
      <c r="Y484" s="77" t="s">
        <v>6501</v>
      </c>
      <c r="Z484" s="77"/>
      <c r="AA484" s="77" t="s">
        <v>6941</v>
      </c>
      <c r="AB484" s="77" t="s">
        <v>7742</v>
      </c>
      <c r="AC484" s="82" t="s">
        <v>7761</v>
      </c>
      <c r="AD484" s="77" t="s">
        <v>7790</v>
      </c>
      <c r="AE484" s="80" t="str">
        <f>HYPERLINK("https://twitter.com/diariolibre/status/1695054728336441386")</f>
        <v>https://twitter.com/diariolibre/status/1695054728336441386</v>
      </c>
      <c r="AF484" s="79">
        <v>45163.531412037039</v>
      </c>
      <c r="AG484" s="85">
        <v>45163</v>
      </c>
      <c r="AH484" s="82" t="s">
        <v>8223</v>
      </c>
      <c r="AI484" s="77" t="b">
        <v>0</v>
      </c>
      <c r="AJ484" s="77"/>
      <c r="AK484" s="77"/>
      <c r="AL484" s="77"/>
      <c r="AM484" s="77"/>
      <c r="AN484" s="77"/>
      <c r="AO484" s="77"/>
      <c r="AP484" s="77"/>
      <c r="AQ484" s="77" t="s">
        <v>10913</v>
      </c>
      <c r="AR484" s="77"/>
      <c r="AS484" s="77"/>
      <c r="AT484" s="77"/>
      <c r="AU484" s="77"/>
      <c r="AV484" s="80" t="str">
        <f>HYPERLINK("https://pbs.twimg.com/media/F4YLSwqXwAAic2q.jpg")</f>
        <v>https://pbs.twimg.com/media/F4YLSwqXwAAic2q.jpg</v>
      </c>
      <c r="AW484" s="82" t="s">
        <v>12185</v>
      </c>
      <c r="AX484" s="82" t="s">
        <v>12185</v>
      </c>
      <c r="AY484" s="77"/>
      <c r="AZ484" s="82" t="s">
        <v>15984</v>
      </c>
      <c r="BA484" s="82" t="s">
        <v>15984</v>
      </c>
      <c r="BB484" s="82" t="s">
        <v>15984</v>
      </c>
      <c r="BC484" s="82" t="s">
        <v>12185</v>
      </c>
      <c r="BD484" s="77">
        <v>34639484</v>
      </c>
      <c r="BE484" s="77"/>
      <c r="BF484" s="77"/>
      <c r="BG484" s="77"/>
      <c r="BH484" s="77"/>
      <c r="BI484" s="77"/>
    </row>
    <row r="485" spans="1:61" x14ac:dyDescent="0.25">
      <c r="A485" s="62" t="s">
        <v>372</v>
      </c>
      <c r="B485" s="62" t="s">
        <v>372</v>
      </c>
      <c r="C485" s="63"/>
      <c r="D485" s="64"/>
      <c r="E485" s="65"/>
      <c r="F485" s="66"/>
      <c r="G485" s="63"/>
      <c r="H485" s="67"/>
      <c r="I485" s="68"/>
      <c r="J485" s="68"/>
      <c r="K485" s="32"/>
      <c r="L485" s="75">
        <v>485</v>
      </c>
      <c r="M485" s="75"/>
      <c r="N485" s="70"/>
      <c r="O485" s="77" t="s">
        <v>179</v>
      </c>
      <c r="P485" s="79">
        <v>45160.479317129626</v>
      </c>
      <c r="Q485" s="77" t="s">
        <v>1360</v>
      </c>
      <c r="R485" s="77">
        <v>1</v>
      </c>
      <c r="S485" s="77">
        <v>9</v>
      </c>
      <c r="T485" s="77">
        <v>0</v>
      </c>
      <c r="U485" s="77">
        <v>0</v>
      </c>
      <c r="V485" s="77">
        <v>3492</v>
      </c>
      <c r="W485" s="82" t="s">
        <v>5054</v>
      </c>
      <c r="X485" s="80" t="str">
        <f>HYPERLINK("https://ow.ly/4Ii850PBKsg")</f>
        <v>https://ow.ly/4Ii850PBKsg</v>
      </c>
      <c r="Y485" s="77" t="s">
        <v>6501</v>
      </c>
      <c r="Z485" s="77"/>
      <c r="AA485" s="77" t="s">
        <v>6942</v>
      </c>
      <c r="AB485" s="77" t="s">
        <v>7742</v>
      </c>
      <c r="AC485" s="82" t="s">
        <v>7761</v>
      </c>
      <c r="AD485" s="77" t="s">
        <v>7790</v>
      </c>
      <c r="AE485" s="80" t="str">
        <f>HYPERLINK("https://twitter.com/diariolibre/status/1693948686563221911")</f>
        <v>https://twitter.com/diariolibre/status/1693948686563221911</v>
      </c>
      <c r="AF485" s="79">
        <v>45160.479317129626</v>
      </c>
      <c r="AG485" s="85">
        <v>45160</v>
      </c>
      <c r="AH485" s="82" t="s">
        <v>8224</v>
      </c>
      <c r="AI485" s="77" t="b">
        <v>0</v>
      </c>
      <c r="AJ485" s="77"/>
      <c r="AK485" s="77"/>
      <c r="AL485" s="77"/>
      <c r="AM485" s="77"/>
      <c r="AN485" s="77"/>
      <c r="AO485" s="77"/>
      <c r="AP485" s="77"/>
      <c r="AQ485" s="77" t="s">
        <v>10914</v>
      </c>
      <c r="AR485" s="77"/>
      <c r="AS485" s="77"/>
      <c r="AT485" s="77"/>
      <c r="AU485" s="77"/>
      <c r="AV485" s="80" t="str">
        <f>HYPERLINK("https://pbs.twimg.com/media/F4IdWpTWgAAg6X9.jpg")</f>
        <v>https://pbs.twimg.com/media/F4IdWpTWgAAg6X9.jpg</v>
      </c>
      <c r="AW485" s="82" t="s">
        <v>12186</v>
      </c>
      <c r="AX485" s="82" t="s">
        <v>12186</v>
      </c>
      <c r="AY485" s="77"/>
      <c r="AZ485" s="82" t="s">
        <v>15984</v>
      </c>
      <c r="BA485" s="82" t="s">
        <v>15984</v>
      </c>
      <c r="BB485" s="82" t="s">
        <v>15984</v>
      </c>
      <c r="BC485" s="82" t="s">
        <v>12186</v>
      </c>
      <c r="BD485" s="77">
        <v>34639484</v>
      </c>
      <c r="BE485" s="77"/>
      <c r="BF485" s="77"/>
      <c r="BG485" s="77"/>
      <c r="BH485" s="77"/>
      <c r="BI485" s="77"/>
    </row>
    <row r="486" spans="1:61" x14ac:dyDescent="0.25">
      <c r="A486" s="62" t="s">
        <v>372</v>
      </c>
      <c r="B486" s="62" t="s">
        <v>372</v>
      </c>
      <c r="C486" s="63"/>
      <c r="D486" s="64"/>
      <c r="E486" s="65"/>
      <c r="F486" s="66"/>
      <c r="G486" s="63"/>
      <c r="H486" s="67"/>
      <c r="I486" s="68"/>
      <c r="J486" s="68"/>
      <c r="K486" s="32"/>
      <c r="L486" s="75">
        <v>486</v>
      </c>
      <c r="M486" s="75"/>
      <c r="N486" s="70"/>
      <c r="O486" s="77" t="s">
        <v>179</v>
      </c>
      <c r="P486" s="79">
        <v>45166.479386574072</v>
      </c>
      <c r="Q486" s="77" t="s">
        <v>1361</v>
      </c>
      <c r="R486" s="77">
        <v>17</v>
      </c>
      <c r="S486" s="77">
        <v>27</v>
      </c>
      <c r="T486" s="77">
        <v>8</v>
      </c>
      <c r="U486" s="77">
        <v>8</v>
      </c>
      <c r="V486" s="77">
        <v>9929</v>
      </c>
      <c r="W486" s="82" t="s">
        <v>5055</v>
      </c>
      <c r="X486" s="80" t="str">
        <f>HYPERLINK("https://ow.ly/rgnW50PEP7T")</f>
        <v>https://ow.ly/rgnW50PEP7T</v>
      </c>
      <c r="Y486" s="77" t="s">
        <v>6501</v>
      </c>
      <c r="Z486" s="77"/>
      <c r="AA486" s="77" t="s">
        <v>6943</v>
      </c>
      <c r="AB486" s="77" t="s">
        <v>7747</v>
      </c>
      <c r="AC486" s="82" t="s">
        <v>7761</v>
      </c>
      <c r="AD486" s="77" t="s">
        <v>7790</v>
      </c>
      <c r="AE486" s="80" t="str">
        <f>HYPERLINK("https://twitter.com/diariolibre/status/1696123037899174095")</f>
        <v>https://twitter.com/diariolibre/status/1696123037899174095</v>
      </c>
      <c r="AF486" s="79">
        <v>45166.479386574072</v>
      </c>
      <c r="AG486" s="85">
        <v>45166</v>
      </c>
      <c r="AH486" s="82" t="s">
        <v>8225</v>
      </c>
      <c r="AI486" s="77" t="b">
        <v>0</v>
      </c>
      <c r="AJ486" s="77"/>
      <c r="AK486" s="77"/>
      <c r="AL486" s="77"/>
      <c r="AM486" s="77"/>
      <c r="AN486" s="77"/>
      <c r="AO486" s="77"/>
      <c r="AP486" s="77"/>
      <c r="AQ486" s="77" t="s">
        <v>10915</v>
      </c>
      <c r="AR486" s="77"/>
      <c r="AS486" s="77"/>
      <c r="AT486" s="77"/>
      <c r="AU486" s="77"/>
      <c r="AV486" s="80" t="str">
        <f>HYPERLINK("https://pbs.twimg.com/media/F4nW6fuWAAAFje5.jpg")</f>
        <v>https://pbs.twimg.com/media/F4nW6fuWAAAFje5.jpg</v>
      </c>
      <c r="AW486" s="82" t="s">
        <v>12187</v>
      </c>
      <c r="AX486" s="82" t="s">
        <v>12187</v>
      </c>
      <c r="AY486" s="77"/>
      <c r="AZ486" s="82" t="s">
        <v>15984</v>
      </c>
      <c r="BA486" s="82" t="s">
        <v>15984</v>
      </c>
      <c r="BB486" s="82" t="s">
        <v>15984</v>
      </c>
      <c r="BC486" s="82" t="s">
        <v>12187</v>
      </c>
      <c r="BD486" s="77">
        <v>34639484</v>
      </c>
      <c r="BE486" s="77"/>
      <c r="BF486" s="77"/>
      <c r="BG486" s="77"/>
      <c r="BH486" s="77"/>
      <c r="BI486" s="77"/>
    </row>
    <row r="487" spans="1:61" x14ac:dyDescent="0.25">
      <c r="A487" s="62" t="s">
        <v>372</v>
      </c>
      <c r="B487" s="62" t="s">
        <v>372</v>
      </c>
      <c r="C487" s="63"/>
      <c r="D487" s="64"/>
      <c r="E487" s="65"/>
      <c r="F487" s="66"/>
      <c r="G487" s="63"/>
      <c r="H487" s="67"/>
      <c r="I487" s="68"/>
      <c r="J487" s="68"/>
      <c r="K487" s="32"/>
      <c r="L487" s="75">
        <v>487</v>
      </c>
      <c r="M487" s="75"/>
      <c r="N487" s="70"/>
      <c r="O487" s="77" t="s">
        <v>179</v>
      </c>
      <c r="P487" s="79">
        <v>45173.459340277775</v>
      </c>
      <c r="Q487" s="77" t="s">
        <v>1362</v>
      </c>
      <c r="R487" s="77">
        <v>4</v>
      </c>
      <c r="S487" s="77">
        <v>9</v>
      </c>
      <c r="T487" s="77">
        <v>2</v>
      </c>
      <c r="U487" s="77">
        <v>3</v>
      </c>
      <c r="V487" s="77">
        <v>3136</v>
      </c>
      <c r="W487" s="82" t="s">
        <v>5056</v>
      </c>
      <c r="X487" s="80" t="str">
        <f>HYPERLINK("https://ow.ly/42nK50PHjsi")</f>
        <v>https://ow.ly/42nK50PHjsi</v>
      </c>
      <c r="Y487" s="77" t="s">
        <v>6501</v>
      </c>
      <c r="Z487" s="77"/>
      <c r="AA487" s="77" t="s">
        <v>6944</v>
      </c>
      <c r="AB487" s="77" t="s">
        <v>7742</v>
      </c>
      <c r="AC487" s="82" t="s">
        <v>7761</v>
      </c>
      <c r="AD487" s="77" t="s">
        <v>7790</v>
      </c>
      <c r="AE487" s="80" t="str">
        <f>HYPERLINK("https://twitter.com/diariolibre/status/1698652489631887709")</f>
        <v>https://twitter.com/diariolibre/status/1698652489631887709</v>
      </c>
      <c r="AF487" s="79">
        <v>45173.459340277775</v>
      </c>
      <c r="AG487" s="85">
        <v>45173</v>
      </c>
      <c r="AH487" s="82" t="s">
        <v>8226</v>
      </c>
      <c r="AI487" s="77" t="b">
        <v>0</v>
      </c>
      <c r="AJ487" s="77"/>
      <c r="AK487" s="77"/>
      <c r="AL487" s="77"/>
      <c r="AM487" s="77"/>
      <c r="AN487" s="77"/>
      <c r="AO487" s="77"/>
      <c r="AP487" s="77"/>
      <c r="AQ487" s="77" t="s">
        <v>10916</v>
      </c>
      <c r="AR487" s="77"/>
      <c r="AS487" s="77"/>
      <c r="AT487" s="77"/>
      <c r="AU487" s="77"/>
      <c r="AV487" s="80" t="str">
        <f>HYPERLINK("https://pbs.twimg.com/media/F5LTcCHWkAA0cEH.jpg")</f>
        <v>https://pbs.twimg.com/media/F5LTcCHWkAA0cEH.jpg</v>
      </c>
      <c r="AW487" s="82" t="s">
        <v>12188</v>
      </c>
      <c r="AX487" s="82" t="s">
        <v>12188</v>
      </c>
      <c r="AY487" s="77"/>
      <c r="AZ487" s="82" t="s">
        <v>15984</v>
      </c>
      <c r="BA487" s="82" t="s">
        <v>15984</v>
      </c>
      <c r="BB487" s="82" t="s">
        <v>15984</v>
      </c>
      <c r="BC487" s="82" t="s">
        <v>12188</v>
      </c>
      <c r="BD487" s="77">
        <v>34639484</v>
      </c>
      <c r="BE487" s="77"/>
      <c r="BF487" s="77"/>
      <c r="BG487" s="77"/>
      <c r="BH487" s="77"/>
      <c r="BI487" s="77"/>
    </row>
    <row r="488" spans="1:61" x14ac:dyDescent="0.25">
      <c r="A488" s="62" t="s">
        <v>372</v>
      </c>
      <c r="B488" s="62" t="s">
        <v>372</v>
      </c>
      <c r="C488" s="63"/>
      <c r="D488" s="64"/>
      <c r="E488" s="65"/>
      <c r="F488" s="66"/>
      <c r="G488" s="63"/>
      <c r="H488" s="67"/>
      <c r="I488" s="68"/>
      <c r="J488" s="68"/>
      <c r="K488" s="32"/>
      <c r="L488" s="75">
        <v>488</v>
      </c>
      <c r="M488" s="75"/>
      <c r="N488" s="70"/>
      <c r="O488" s="77" t="s">
        <v>179</v>
      </c>
      <c r="P488" s="79">
        <v>45175.510601851849</v>
      </c>
      <c r="Q488" s="77" t="s">
        <v>1363</v>
      </c>
      <c r="R488" s="77">
        <v>0</v>
      </c>
      <c r="S488" s="77">
        <v>0</v>
      </c>
      <c r="T488" s="77">
        <v>0</v>
      </c>
      <c r="U488" s="77">
        <v>0</v>
      </c>
      <c r="V488" s="77">
        <v>1769</v>
      </c>
      <c r="W488" s="82" t="s">
        <v>5057</v>
      </c>
      <c r="X488" s="80" t="str">
        <f>HYPERLINK("https://ow.ly/wecP50PI8kX")</f>
        <v>https://ow.ly/wecP50PI8kX</v>
      </c>
      <c r="Y488" s="77" t="s">
        <v>6501</v>
      </c>
      <c r="Z488" s="77"/>
      <c r="AA488" s="77" t="s">
        <v>6945</v>
      </c>
      <c r="AB488" s="77" t="s">
        <v>7742</v>
      </c>
      <c r="AC488" s="82" t="s">
        <v>7761</v>
      </c>
      <c r="AD488" s="77" t="s">
        <v>7790</v>
      </c>
      <c r="AE488" s="80" t="str">
        <f>HYPERLINK("https://twitter.com/diariolibre/status/1699395840635293935")</f>
        <v>https://twitter.com/diariolibre/status/1699395840635293935</v>
      </c>
      <c r="AF488" s="79">
        <v>45175.510601851849</v>
      </c>
      <c r="AG488" s="85">
        <v>45175</v>
      </c>
      <c r="AH488" s="82" t="s">
        <v>8227</v>
      </c>
      <c r="AI488" s="77" t="b">
        <v>0</v>
      </c>
      <c r="AJ488" s="77"/>
      <c r="AK488" s="77"/>
      <c r="AL488" s="77"/>
      <c r="AM488" s="77"/>
      <c r="AN488" s="77"/>
      <c r="AO488" s="77"/>
      <c r="AP488" s="77"/>
      <c r="AQ488" s="77" t="s">
        <v>10917</v>
      </c>
      <c r="AR488" s="77"/>
      <c r="AS488" s="77"/>
      <c r="AT488" s="77"/>
      <c r="AU488" s="77"/>
      <c r="AV488" s="80" t="str">
        <f>HYPERLINK("https://pbs.twimg.com/media/F5V3gwKXYAAVCby.jpg")</f>
        <v>https://pbs.twimg.com/media/F5V3gwKXYAAVCby.jpg</v>
      </c>
      <c r="AW488" s="82" t="s">
        <v>12189</v>
      </c>
      <c r="AX488" s="82" t="s">
        <v>12189</v>
      </c>
      <c r="AY488" s="77"/>
      <c r="AZ488" s="82" t="s">
        <v>15984</v>
      </c>
      <c r="BA488" s="82" t="s">
        <v>15984</v>
      </c>
      <c r="BB488" s="82" t="s">
        <v>15984</v>
      </c>
      <c r="BC488" s="82" t="s">
        <v>12189</v>
      </c>
      <c r="BD488" s="77">
        <v>34639484</v>
      </c>
      <c r="BE488" s="77"/>
      <c r="BF488" s="77"/>
      <c r="BG488" s="77"/>
      <c r="BH488" s="77"/>
      <c r="BI488" s="77"/>
    </row>
    <row r="489" spans="1:61" x14ac:dyDescent="0.25">
      <c r="A489" s="62" t="s">
        <v>372</v>
      </c>
      <c r="B489" s="62" t="s">
        <v>372</v>
      </c>
      <c r="C489" s="63"/>
      <c r="D489" s="64"/>
      <c r="E489" s="65"/>
      <c r="F489" s="66"/>
      <c r="G489" s="63"/>
      <c r="H489" s="67"/>
      <c r="I489" s="68"/>
      <c r="J489" s="68"/>
      <c r="K489" s="32"/>
      <c r="L489" s="75">
        <v>489</v>
      </c>
      <c r="M489" s="75"/>
      <c r="N489" s="70"/>
      <c r="O489" s="77" t="s">
        <v>179</v>
      </c>
      <c r="P489" s="79">
        <v>45186.812685185185</v>
      </c>
      <c r="Q489" s="77" t="s">
        <v>1364</v>
      </c>
      <c r="R489" s="77">
        <v>1</v>
      </c>
      <c r="S489" s="77">
        <v>2</v>
      </c>
      <c r="T489" s="77">
        <v>1</v>
      </c>
      <c r="U489" s="77">
        <v>0</v>
      </c>
      <c r="V489" s="77">
        <v>2912</v>
      </c>
      <c r="W489" s="82" t="s">
        <v>5058</v>
      </c>
      <c r="X489" s="80" t="str">
        <f>HYPERLINK("https://ow.ly/gpPa50PMvyk")</f>
        <v>https://ow.ly/gpPa50PMvyk</v>
      </c>
      <c r="Y489" s="77" t="s">
        <v>6501</v>
      </c>
      <c r="Z489" s="77"/>
      <c r="AA489" s="77" t="s">
        <v>6946</v>
      </c>
      <c r="AB489" s="77" t="s">
        <v>7742</v>
      </c>
      <c r="AC489" s="82" t="s">
        <v>7761</v>
      </c>
      <c r="AD489" s="77" t="s">
        <v>7790</v>
      </c>
      <c r="AE489" s="80" t="str">
        <f>HYPERLINK("https://twitter.com/diariolibre/status/1703491578973569059")</f>
        <v>https://twitter.com/diariolibre/status/1703491578973569059</v>
      </c>
      <c r="AF489" s="79">
        <v>45186.812685185185</v>
      </c>
      <c r="AG489" s="85">
        <v>45186</v>
      </c>
      <c r="AH489" s="82" t="s">
        <v>8228</v>
      </c>
      <c r="AI489" s="77" t="b">
        <v>0</v>
      </c>
      <c r="AJ489" s="77"/>
      <c r="AK489" s="77"/>
      <c r="AL489" s="77"/>
      <c r="AM489" s="77"/>
      <c r="AN489" s="77"/>
      <c r="AO489" s="77"/>
      <c r="AP489" s="77"/>
      <c r="AQ489" s="77" t="s">
        <v>10918</v>
      </c>
      <c r="AR489" s="77"/>
      <c r="AS489" s="77"/>
      <c r="AT489" s="77"/>
      <c r="AU489" s="77"/>
      <c r="AV489" s="80" t="str">
        <f>HYPERLINK("https://pbs.twimg.com/media/F6QEkIRXQAAAp5O.jpg")</f>
        <v>https://pbs.twimg.com/media/F6QEkIRXQAAAp5O.jpg</v>
      </c>
      <c r="AW489" s="82" t="s">
        <v>12190</v>
      </c>
      <c r="AX489" s="82" t="s">
        <v>12190</v>
      </c>
      <c r="AY489" s="77"/>
      <c r="AZ489" s="82" t="s">
        <v>15984</v>
      </c>
      <c r="BA489" s="82" t="s">
        <v>15984</v>
      </c>
      <c r="BB489" s="82" t="s">
        <v>15984</v>
      </c>
      <c r="BC489" s="82" t="s">
        <v>12190</v>
      </c>
      <c r="BD489" s="77">
        <v>34639484</v>
      </c>
      <c r="BE489" s="77"/>
      <c r="BF489" s="77"/>
      <c r="BG489" s="77"/>
      <c r="BH489" s="77"/>
      <c r="BI489" s="77"/>
    </row>
    <row r="490" spans="1:61" x14ac:dyDescent="0.25">
      <c r="A490" s="62" t="s">
        <v>372</v>
      </c>
      <c r="B490" s="62" t="s">
        <v>372</v>
      </c>
      <c r="C490" s="63"/>
      <c r="D490" s="64"/>
      <c r="E490" s="65"/>
      <c r="F490" s="66"/>
      <c r="G490" s="63"/>
      <c r="H490" s="67"/>
      <c r="I490" s="68"/>
      <c r="J490" s="68"/>
      <c r="K490" s="32"/>
      <c r="L490" s="75">
        <v>490</v>
      </c>
      <c r="M490" s="75"/>
      <c r="N490" s="70"/>
      <c r="O490" s="77" t="s">
        <v>179</v>
      </c>
      <c r="P490" s="79">
        <v>45192.489699074074</v>
      </c>
      <c r="Q490" s="77" t="s">
        <v>1365</v>
      </c>
      <c r="R490" s="77">
        <v>0</v>
      </c>
      <c r="S490" s="77">
        <v>7</v>
      </c>
      <c r="T490" s="77">
        <v>1</v>
      </c>
      <c r="U490" s="77">
        <v>0</v>
      </c>
      <c r="V490" s="77">
        <v>2800</v>
      </c>
      <c r="W490" s="82" t="s">
        <v>5059</v>
      </c>
      <c r="X490" s="80" t="str">
        <f>HYPERLINK("https://ow.ly/wSGZ50POOX7")</f>
        <v>https://ow.ly/wSGZ50POOX7</v>
      </c>
      <c r="Y490" s="77" t="s">
        <v>6501</v>
      </c>
      <c r="Z490" s="77"/>
      <c r="AA490" s="77" t="s">
        <v>6947</v>
      </c>
      <c r="AB490" s="77" t="s">
        <v>7742</v>
      </c>
      <c r="AC490" s="82" t="s">
        <v>7761</v>
      </c>
      <c r="AD490" s="77" t="s">
        <v>7790</v>
      </c>
      <c r="AE490" s="80" t="str">
        <f>HYPERLINK("https://twitter.com/diariolibre/status/1705548861492625734")</f>
        <v>https://twitter.com/diariolibre/status/1705548861492625734</v>
      </c>
      <c r="AF490" s="79">
        <v>45192.489699074074</v>
      </c>
      <c r="AG490" s="85">
        <v>45192</v>
      </c>
      <c r="AH490" s="82" t="s">
        <v>8229</v>
      </c>
      <c r="AI490" s="77" t="b">
        <v>0</v>
      </c>
      <c r="AJ490" s="77"/>
      <c r="AK490" s="77"/>
      <c r="AL490" s="77"/>
      <c r="AM490" s="77"/>
      <c r="AN490" s="77"/>
      <c r="AO490" s="77"/>
      <c r="AP490" s="77"/>
      <c r="AQ490" s="77" t="s">
        <v>10919</v>
      </c>
      <c r="AR490" s="77"/>
      <c r="AS490" s="77"/>
      <c r="AT490" s="77"/>
      <c r="AU490" s="77"/>
      <c r="AV490" s="80" t="str">
        <f>HYPERLINK("https://pbs.twimg.com/media/F6tTpvhXQAAi47c.jpg")</f>
        <v>https://pbs.twimg.com/media/F6tTpvhXQAAi47c.jpg</v>
      </c>
      <c r="AW490" s="82" t="s">
        <v>12191</v>
      </c>
      <c r="AX490" s="82" t="s">
        <v>12191</v>
      </c>
      <c r="AY490" s="77"/>
      <c r="AZ490" s="82" t="s">
        <v>15984</v>
      </c>
      <c r="BA490" s="82" t="s">
        <v>15984</v>
      </c>
      <c r="BB490" s="82" t="s">
        <v>15984</v>
      </c>
      <c r="BC490" s="82" t="s">
        <v>12191</v>
      </c>
      <c r="BD490" s="77">
        <v>34639484</v>
      </c>
      <c r="BE490" s="77"/>
      <c r="BF490" s="77"/>
      <c r="BG490" s="77"/>
      <c r="BH490" s="77"/>
      <c r="BI490" s="77"/>
    </row>
    <row r="491" spans="1:61" x14ac:dyDescent="0.25">
      <c r="A491" s="62" t="s">
        <v>373</v>
      </c>
      <c r="B491" s="62" t="s">
        <v>373</v>
      </c>
      <c r="C491" s="63"/>
      <c r="D491" s="64"/>
      <c r="E491" s="65"/>
      <c r="F491" s="66"/>
      <c r="G491" s="63"/>
      <c r="H491" s="67"/>
      <c r="I491" s="68"/>
      <c r="J491" s="68"/>
      <c r="K491" s="32"/>
      <c r="L491" s="75">
        <v>491</v>
      </c>
      <c r="M491" s="75"/>
      <c r="N491" s="70"/>
      <c r="O491" s="77" t="s">
        <v>179</v>
      </c>
      <c r="P491" s="79">
        <v>45189.900937500002</v>
      </c>
      <c r="Q491" s="77" t="s">
        <v>1366</v>
      </c>
      <c r="R491" s="77">
        <v>0</v>
      </c>
      <c r="S491" s="77">
        <v>0</v>
      </c>
      <c r="T491" s="77">
        <v>0</v>
      </c>
      <c r="U491" s="77">
        <v>0</v>
      </c>
      <c r="V491" s="77">
        <v>40</v>
      </c>
      <c r="W491" s="82" t="s">
        <v>5060</v>
      </c>
      <c r="X491" s="77"/>
      <c r="Y491" s="77"/>
      <c r="Z491" s="77"/>
      <c r="AA491" s="77" t="s">
        <v>6948</v>
      </c>
      <c r="AB491" s="77" t="s">
        <v>7743</v>
      </c>
      <c r="AC491" s="82" t="s">
        <v>7751</v>
      </c>
      <c r="AD491" s="77" t="s">
        <v>7788</v>
      </c>
      <c r="AE491" s="80" t="str">
        <f>HYPERLINK("https://twitter.com/infinitgo/status/1704610722653655419")</f>
        <v>https://twitter.com/infinitgo/status/1704610722653655419</v>
      </c>
      <c r="AF491" s="79">
        <v>45189.900937500002</v>
      </c>
      <c r="AG491" s="85">
        <v>45189</v>
      </c>
      <c r="AH491" s="82" t="s">
        <v>8230</v>
      </c>
      <c r="AI491" s="77" t="b">
        <v>0</v>
      </c>
      <c r="AJ491" s="77"/>
      <c r="AK491" s="77"/>
      <c r="AL491" s="77"/>
      <c r="AM491" s="77"/>
      <c r="AN491" s="77"/>
      <c r="AO491" s="77"/>
      <c r="AP491" s="77"/>
      <c r="AQ491" s="77" t="s">
        <v>10920</v>
      </c>
      <c r="AR491" s="77">
        <v>76200</v>
      </c>
      <c r="AS491" s="77"/>
      <c r="AT491" s="77"/>
      <c r="AU491" s="77"/>
      <c r="AV491" s="80" t="str">
        <f>HYPERLINK("https://pbs.twimg.com/ext_tw_video_thumb/1704610673785806848/pu/img/Ch9YIbrQqwPw5rTy.jpg")</f>
        <v>https://pbs.twimg.com/ext_tw_video_thumb/1704610673785806848/pu/img/Ch9YIbrQqwPw5rTy.jpg</v>
      </c>
      <c r="AW491" s="82" t="s">
        <v>12192</v>
      </c>
      <c r="AX491" s="82" t="s">
        <v>12192</v>
      </c>
      <c r="AY491" s="77"/>
      <c r="AZ491" s="82" t="s">
        <v>15984</v>
      </c>
      <c r="BA491" s="82" t="s">
        <v>15984</v>
      </c>
      <c r="BB491" s="82" t="s">
        <v>15984</v>
      </c>
      <c r="BC491" s="82" t="s">
        <v>12192</v>
      </c>
      <c r="BD491" s="82" t="s">
        <v>16192</v>
      </c>
      <c r="BE491" s="77"/>
      <c r="BF491" s="77"/>
      <c r="BG491" s="77"/>
      <c r="BH491" s="77"/>
      <c r="BI491" s="77"/>
    </row>
    <row r="492" spans="1:61" x14ac:dyDescent="0.25">
      <c r="A492" s="62" t="s">
        <v>374</v>
      </c>
      <c r="B492" s="62" t="s">
        <v>374</v>
      </c>
      <c r="C492" s="63"/>
      <c r="D492" s="64"/>
      <c r="E492" s="65"/>
      <c r="F492" s="66"/>
      <c r="G492" s="63"/>
      <c r="H492" s="67"/>
      <c r="I492" s="68"/>
      <c r="J492" s="68"/>
      <c r="K492" s="32"/>
      <c r="L492" s="75">
        <v>492</v>
      </c>
      <c r="M492" s="75"/>
      <c r="N492" s="70"/>
      <c r="O492" s="77" t="s">
        <v>898</v>
      </c>
      <c r="P492" s="79">
        <v>45120.513761574075</v>
      </c>
      <c r="Q492" s="77" t="s">
        <v>1367</v>
      </c>
      <c r="R492" s="77">
        <v>0</v>
      </c>
      <c r="S492" s="77">
        <v>0</v>
      </c>
      <c r="T492" s="77">
        <v>0</v>
      </c>
      <c r="U492" s="77">
        <v>0</v>
      </c>
      <c r="V492" s="77"/>
      <c r="W492" s="82" t="s">
        <v>5061</v>
      </c>
      <c r="X492" s="77"/>
      <c r="Y492" s="77"/>
      <c r="Z492" s="77"/>
      <c r="AA492" s="77"/>
      <c r="AB492" s="77"/>
      <c r="AC492" s="82" t="s">
        <v>7750</v>
      </c>
      <c r="AD492" s="77" t="s">
        <v>7788</v>
      </c>
      <c r="AE492" s="80" t="str">
        <f>HYPERLINK("https://twitter.com/danielg_s6/status/1679465652686389249")</f>
        <v>https://twitter.com/danielg_s6/status/1679465652686389249</v>
      </c>
      <c r="AF492" s="79">
        <v>45120.513761574075</v>
      </c>
      <c r="AG492" s="85">
        <v>45120</v>
      </c>
      <c r="AH492" s="82" t="s">
        <v>8231</v>
      </c>
      <c r="AI492" s="77"/>
      <c r="AJ492" s="77"/>
      <c r="AK492" s="77"/>
      <c r="AL492" s="77"/>
      <c r="AM492" s="77"/>
      <c r="AN492" s="77"/>
      <c r="AO492" s="77"/>
      <c r="AP492" s="77"/>
      <c r="AQ492" s="77"/>
      <c r="AR492" s="77"/>
      <c r="AS492" s="77"/>
      <c r="AT492" s="77"/>
      <c r="AU492" s="77"/>
      <c r="AV492" s="80" t="str">
        <f>HYPERLINK("https://pbs.twimg.com/profile_images/1598423978082705410/jU-vUeHf_normal.jpg")</f>
        <v>https://pbs.twimg.com/profile_images/1598423978082705410/jU-vUeHf_normal.jpg</v>
      </c>
      <c r="AW492" s="82" t="s">
        <v>12193</v>
      </c>
      <c r="AX492" s="82" t="s">
        <v>12196</v>
      </c>
      <c r="AY492" s="82" t="s">
        <v>15928</v>
      </c>
      <c r="AZ492" s="82" t="s">
        <v>15994</v>
      </c>
      <c r="BA492" s="82" t="s">
        <v>15984</v>
      </c>
      <c r="BB492" s="82" t="s">
        <v>15984</v>
      </c>
      <c r="BC492" s="82" t="s">
        <v>15994</v>
      </c>
      <c r="BD492" s="82" t="s">
        <v>15928</v>
      </c>
      <c r="BE492" s="77"/>
      <c r="BF492" s="77"/>
      <c r="BG492" s="77"/>
      <c r="BH492" s="77"/>
      <c r="BI492" s="77"/>
    </row>
    <row r="493" spans="1:61" x14ac:dyDescent="0.25">
      <c r="A493" s="62" t="s">
        <v>374</v>
      </c>
      <c r="B493" s="62" t="s">
        <v>374</v>
      </c>
      <c r="C493" s="63"/>
      <c r="D493" s="64"/>
      <c r="E493" s="65"/>
      <c r="F493" s="66"/>
      <c r="G493" s="63"/>
      <c r="H493" s="67"/>
      <c r="I493" s="68"/>
      <c r="J493" s="68"/>
      <c r="K493" s="32"/>
      <c r="L493" s="75">
        <v>493</v>
      </c>
      <c r="M493" s="75"/>
      <c r="N493" s="70"/>
      <c r="O493" s="77" t="s">
        <v>898</v>
      </c>
      <c r="P493" s="79">
        <v>45120.513020833336</v>
      </c>
      <c r="Q493" s="77" t="s">
        <v>1368</v>
      </c>
      <c r="R493" s="77">
        <v>0</v>
      </c>
      <c r="S493" s="77">
        <v>0</v>
      </c>
      <c r="T493" s="77">
        <v>1</v>
      </c>
      <c r="U493" s="77">
        <v>0</v>
      </c>
      <c r="V493" s="77">
        <v>7</v>
      </c>
      <c r="W493" s="82" t="s">
        <v>5062</v>
      </c>
      <c r="X493" s="77"/>
      <c r="Y493" s="77"/>
      <c r="Z493" s="77"/>
      <c r="AA493" s="77"/>
      <c r="AB493" s="77"/>
      <c r="AC493" s="82" t="s">
        <v>7750</v>
      </c>
      <c r="AD493" s="77" t="s">
        <v>7788</v>
      </c>
      <c r="AE493" s="80" t="str">
        <f>HYPERLINK("https://twitter.com/danielg_s6/status/1679465385781805056")</f>
        <v>https://twitter.com/danielg_s6/status/1679465385781805056</v>
      </c>
      <c r="AF493" s="79">
        <v>45120.513020833336</v>
      </c>
      <c r="AG493" s="85">
        <v>45120</v>
      </c>
      <c r="AH493" s="82" t="s">
        <v>8232</v>
      </c>
      <c r="AI493" s="77"/>
      <c r="AJ493" s="77"/>
      <c r="AK493" s="77"/>
      <c r="AL493" s="77"/>
      <c r="AM493" s="77"/>
      <c r="AN493" s="77"/>
      <c r="AO493" s="77"/>
      <c r="AP493" s="77"/>
      <c r="AQ493" s="77"/>
      <c r="AR493" s="77"/>
      <c r="AS493" s="77"/>
      <c r="AT493" s="77"/>
      <c r="AU493" s="77"/>
      <c r="AV493" s="80" t="str">
        <f>HYPERLINK("https://pbs.twimg.com/profile_images/1598423978082705410/jU-vUeHf_normal.jpg")</f>
        <v>https://pbs.twimg.com/profile_images/1598423978082705410/jU-vUeHf_normal.jpg</v>
      </c>
      <c r="AW493" s="82" t="s">
        <v>12194</v>
      </c>
      <c r="AX493" s="82" t="s">
        <v>12196</v>
      </c>
      <c r="AY493" s="82" t="s">
        <v>15928</v>
      </c>
      <c r="AZ493" s="82" t="s">
        <v>12195</v>
      </c>
      <c r="BA493" s="82" t="s">
        <v>15984</v>
      </c>
      <c r="BB493" s="82" t="s">
        <v>15984</v>
      </c>
      <c r="BC493" s="82" t="s">
        <v>12195</v>
      </c>
      <c r="BD493" s="82" t="s">
        <v>15928</v>
      </c>
      <c r="BE493" s="77"/>
      <c r="BF493" s="77"/>
      <c r="BG493" s="77"/>
      <c r="BH493" s="77"/>
      <c r="BI493" s="77"/>
    </row>
    <row r="494" spans="1:61" x14ac:dyDescent="0.25">
      <c r="A494" s="62" t="s">
        <v>374</v>
      </c>
      <c r="B494" s="62" t="s">
        <v>374</v>
      </c>
      <c r="C494" s="63"/>
      <c r="D494" s="64"/>
      <c r="E494" s="65"/>
      <c r="F494" s="66"/>
      <c r="G494" s="63"/>
      <c r="H494" s="67"/>
      <c r="I494" s="68"/>
      <c r="J494" s="68"/>
      <c r="K494" s="32"/>
      <c r="L494" s="75">
        <v>494</v>
      </c>
      <c r="M494" s="75"/>
      <c r="N494" s="70"/>
      <c r="O494" s="77" t="s">
        <v>898</v>
      </c>
      <c r="P494" s="79">
        <v>45120.513009259259</v>
      </c>
      <c r="Q494" s="77" t="s">
        <v>1369</v>
      </c>
      <c r="R494" s="77">
        <v>0</v>
      </c>
      <c r="S494" s="77">
        <v>0</v>
      </c>
      <c r="T494" s="77">
        <v>1</v>
      </c>
      <c r="U494" s="77">
        <v>0</v>
      </c>
      <c r="V494" s="77">
        <v>34</v>
      </c>
      <c r="W494" s="82" t="s">
        <v>5063</v>
      </c>
      <c r="X494" s="77"/>
      <c r="Y494" s="77"/>
      <c r="Z494" s="77"/>
      <c r="AA494" s="77"/>
      <c r="AB494" s="77"/>
      <c r="AC494" s="82" t="s">
        <v>7750</v>
      </c>
      <c r="AD494" s="77" t="s">
        <v>7788</v>
      </c>
      <c r="AE494" s="80" t="str">
        <f>HYPERLINK("https://twitter.com/danielg_s6/status/1679465381109325824")</f>
        <v>https://twitter.com/danielg_s6/status/1679465381109325824</v>
      </c>
      <c r="AF494" s="79">
        <v>45120.513009259259</v>
      </c>
      <c r="AG494" s="85">
        <v>45120</v>
      </c>
      <c r="AH494" s="82" t="s">
        <v>8233</v>
      </c>
      <c r="AI494" s="77"/>
      <c r="AJ494" s="77"/>
      <c r="AK494" s="77"/>
      <c r="AL494" s="77"/>
      <c r="AM494" s="77"/>
      <c r="AN494" s="77"/>
      <c r="AO494" s="77"/>
      <c r="AP494" s="77"/>
      <c r="AQ494" s="77"/>
      <c r="AR494" s="77"/>
      <c r="AS494" s="77"/>
      <c r="AT494" s="77"/>
      <c r="AU494" s="77"/>
      <c r="AV494" s="80" t="str">
        <f>HYPERLINK("https://pbs.twimg.com/profile_images/1598423978082705410/jU-vUeHf_normal.jpg")</f>
        <v>https://pbs.twimg.com/profile_images/1598423978082705410/jU-vUeHf_normal.jpg</v>
      </c>
      <c r="AW494" s="82" t="s">
        <v>12195</v>
      </c>
      <c r="AX494" s="82" t="s">
        <v>12196</v>
      </c>
      <c r="AY494" s="82" t="s">
        <v>15928</v>
      </c>
      <c r="AZ494" s="82" t="s">
        <v>12196</v>
      </c>
      <c r="BA494" s="82" t="s">
        <v>15984</v>
      </c>
      <c r="BB494" s="82" t="s">
        <v>15984</v>
      </c>
      <c r="BC494" s="82" t="s">
        <v>12196</v>
      </c>
      <c r="BD494" s="82" t="s">
        <v>15928</v>
      </c>
      <c r="BE494" s="77"/>
      <c r="BF494" s="77"/>
      <c r="BG494" s="77"/>
      <c r="BH494" s="77"/>
      <c r="BI494" s="77"/>
    </row>
    <row r="495" spans="1:61" x14ac:dyDescent="0.25">
      <c r="A495" s="62" t="s">
        <v>374</v>
      </c>
      <c r="B495" s="62" t="s">
        <v>374</v>
      </c>
      <c r="C495" s="63"/>
      <c r="D495" s="64"/>
      <c r="E495" s="65"/>
      <c r="F495" s="66"/>
      <c r="G495" s="63"/>
      <c r="H495" s="67"/>
      <c r="I495" s="68"/>
      <c r="J495" s="68"/>
      <c r="K495" s="32"/>
      <c r="L495" s="75">
        <v>495</v>
      </c>
      <c r="M495" s="75"/>
      <c r="N495" s="70"/>
      <c r="O495" s="77" t="s">
        <v>179</v>
      </c>
      <c r="P495" s="79">
        <v>45120.512997685182</v>
      </c>
      <c r="Q495" s="77" t="s">
        <v>1370</v>
      </c>
      <c r="R495" s="77">
        <v>0</v>
      </c>
      <c r="S495" s="77">
        <v>0</v>
      </c>
      <c r="T495" s="77">
        <v>1</v>
      </c>
      <c r="U495" s="77">
        <v>0</v>
      </c>
      <c r="V495" s="77">
        <v>2</v>
      </c>
      <c r="W495" s="82" t="s">
        <v>5064</v>
      </c>
      <c r="X495" s="77"/>
      <c r="Y495" s="77"/>
      <c r="Z495" s="77"/>
      <c r="AA495" s="77"/>
      <c r="AB495" s="77"/>
      <c r="AC495" s="82" t="s">
        <v>7750</v>
      </c>
      <c r="AD495" s="77" t="s">
        <v>7788</v>
      </c>
      <c r="AE495" s="80" t="str">
        <f>HYPERLINK("https://twitter.com/danielg_s6/status/1679465376671776770")</f>
        <v>https://twitter.com/danielg_s6/status/1679465376671776770</v>
      </c>
      <c r="AF495" s="79">
        <v>45120.512997685182</v>
      </c>
      <c r="AG495" s="85">
        <v>45120</v>
      </c>
      <c r="AH495" s="82" t="s">
        <v>8234</v>
      </c>
      <c r="AI495" s="77"/>
      <c r="AJ495" s="77"/>
      <c r="AK495" s="77"/>
      <c r="AL495" s="77"/>
      <c r="AM495" s="77"/>
      <c r="AN495" s="77"/>
      <c r="AO495" s="77"/>
      <c r="AP495" s="77"/>
      <c r="AQ495" s="77"/>
      <c r="AR495" s="77"/>
      <c r="AS495" s="77"/>
      <c r="AT495" s="77"/>
      <c r="AU495" s="77"/>
      <c r="AV495" s="80" t="str">
        <f>HYPERLINK("https://pbs.twimg.com/profile_images/1598423978082705410/jU-vUeHf_normal.jpg")</f>
        <v>https://pbs.twimg.com/profile_images/1598423978082705410/jU-vUeHf_normal.jpg</v>
      </c>
      <c r="AW495" s="82" t="s">
        <v>12196</v>
      </c>
      <c r="AX495" s="82" t="s">
        <v>12196</v>
      </c>
      <c r="AY495" s="77"/>
      <c r="AZ495" s="82" t="s">
        <v>15984</v>
      </c>
      <c r="BA495" s="82" t="s">
        <v>15984</v>
      </c>
      <c r="BB495" s="82" t="s">
        <v>15984</v>
      </c>
      <c r="BC495" s="82" t="s">
        <v>12196</v>
      </c>
      <c r="BD495" s="82" t="s">
        <v>15928</v>
      </c>
      <c r="BE495" s="77"/>
      <c r="BF495" s="77"/>
      <c r="BG495" s="77"/>
      <c r="BH495" s="77"/>
      <c r="BI495" s="77"/>
    </row>
    <row r="496" spans="1:61" x14ac:dyDescent="0.25">
      <c r="A496" s="62" t="s">
        <v>374</v>
      </c>
      <c r="B496" s="62" t="s">
        <v>374</v>
      </c>
      <c r="C496" s="63"/>
      <c r="D496" s="64"/>
      <c r="E496" s="65"/>
      <c r="F496" s="66"/>
      <c r="G496" s="63"/>
      <c r="H496" s="67"/>
      <c r="I496" s="68"/>
      <c r="J496" s="68"/>
      <c r="K496" s="32"/>
      <c r="L496" s="75">
        <v>496</v>
      </c>
      <c r="M496" s="75"/>
      <c r="N496" s="70"/>
      <c r="O496" s="77" t="s">
        <v>898</v>
      </c>
      <c r="P496" s="79">
        <v>45127.571261574078</v>
      </c>
      <c r="Q496" s="77" t="s">
        <v>1371</v>
      </c>
      <c r="R496" s="77">
        <v>0</v>
      </c>
      <c r="S496" s="77">
        <v>0</v>
      </c>
      <c r="T496" s="77">
        <v>1</v>
      </c>
      <c r="U496" s="77">
        <v>0</v>
      </c>
      <c r="V496" s="77">
        <v>3</v>
      </c>
      <c r="W496" s="82" t="s">
        <v>4839</v>
      </c>
      <c r="X496" s="77"/>
      <c r="Y496" s="77"/>
      <c r="Z496" s="77"/>
      <c r="AA496" s="77"/>
      <c r="AB496" s="77"/>
      <c r="AC496" s="82" t="s">
        <v>7750</v>
      </c>
      <c r="AD496" s="77" t="s">
        <v>7788</v>
      </c>
      <c r="AE496" s="80" t="str">
        <f>HYPERLINK("https://twitter.com/danielg_s6/status/1682023205916266497")</f>
        <v>https://twitter.com/danielg_s6/status/1682023205916266497</v>
      </c>
      <c r="AF496" s="79">
        <v>45127.571261574078</v>
      </c>
      <c r="AG496" s="85">
        <v>45127</v>
      </c>
      <c r="AH496" s="82" t="s">
        <v>8235</v>
      </c>
      <c r="AI496" s="77"/>
      <c r="AJ496" s="77"/>
      <c r="AK496" s="77"/>
      <c r="AL496" s="77"/>
      <c r="AM496" s="77"/>
      <c r="AN496" s="77"/>
      <c r="AO496" s="77"/>
      <c r="AP496" s="77"/>
      <c r="AQ496" s="77"/>
      <c r="AR496" s="77"/>
      <c r="AS496" s="77"/>
      <c r="AT496" s="77"/>
      <c r="AU496" s="77"/>
      <c r="AV496" s="80" t="str">
        <f>HYPERLINK("https://pbs.twimg.com/profile_images/1598423978082705410/jU-vUeHf_normal.jpg")</f>
        <v>https://pbs.twimg.com/profile_images/1598423978082705410/jU-vUeHf_normal.jpg</v>
      </c>
      <c r="AW496" s="82" t="s">
        <v>12197</v>
      </c>
      <c r="AX496" s="82" t="s">
        <v>15756</v>
      </c>
      <c r="AY496" s="82" t="s">
        <v>15928</v>
      </c>
      <c r="AZ496" s="82" t="s">
        <v>15995</v>
      </c>
      <c r="BA496" s="82" t="s">
        <v>15984</v>
      </c>
      <c r="BB496" s="82" t="s">
        <v>15984</v>
      </c>
      <c r="BC496" s="82" t="s">
        <v>15995</v>
      </c>
      <c r="BD496" s="82" t="s">
        <v>15928</v>
      </c>
      <c r="BE496" s="77"/>
      <c r="BF496" s="77"/>
      <c r="BG496" s="77"/>
      <c r="BH496" s="77"/>
      <c r="BI496" s="77"/>
    </row>
    <row r="497" spans="1:61" x14ac:dyDescent="0.25">
      <c r="A497" s="62" t="s">
        <v>374</v>
      </c>
      <c r="B497" s="62" t="s">
        <v>374</v>
      </c>
      <c r="C497" s="63"/>
      <c r="D497" s="64"/>
      <c r="E497" s="65"/>
      <c r="F497" s="66"/>
      <c r="G497" s="63"/>
      <c r="H497" s="67"/>
      <c r="I497" s="68"/>
      <c r="J497" s="68"/>
      <c r="K497" s="32"/>
      <c r="L497" s="75">
        <v>497</v>
      </c>
      <c r="M497" s="75"/>
      <c r="N497" s="70"/>
      <c r="O497" s="77" t="s">
        <v>898</v>
      </c>
      <c r="P497" s="79">
        <v>45127.55505787037</v>
      </c>
      <c r="Q497" s="77" t="s">
        <v>1372</v>
      </c>
      <c r="R497" s="77">
        <v>0</v>
      </c>
      <c r="S497" s="77">
        <v>0</v>
      </c>
      <c r="T497" s="77">
        <v>0</v>
      </c>
      <c r="U497" s="77">
        <v>0</v>
      </c>
      <c r="V497" s="77">
        <v>4</v>
      </c>
      <c r="W497" s="82" t="s">
        <v>5065</v>
      </c>
      <c r="X497" s="77"/>
      <c r="Y497" s="77"/>
      <c r="Z497" s="77"/>
      <c r="AA497" s="77"/>
      <c r="AB497" s="77"/>
      <c r="AC497" s="82" t="s">
        <v>7750</v>
      </c>
      <c r="AD497" s="77" t="s">
        <v>7788</v>
      </c>
      <c r="AE497" s="80" t="str">
        <f>HYPERLINK("https://twitter.com/danielg_s6/status/1682017333718515712")</f>
        <v>https://twitter.com/danielg_s6/status/1682017333718515712</v>
      </c>
      <c r="AF497" s="79">
        <v>45127.55505787037</v>
      </c>
      <c r="AG497" s="85">
        <v>45127</v>
      </c>
      <c r="AH497" s="82" t="s">
        <v>8236</v>
      </c>
      <c r="AI497" s="77"/>
      <c r="AJ497" s="77"/>
      <c r="AK497" s="77"/>
      <c r="AL497" s="77"/>
      <c r="AM497" s="77"/>
      <c r="AN497" s="77"/>
      <c r="AO497" s="77"/>
      <c r="AP497" s="77"/>
      <c r="AQ497" s="77"/>
      <c r="AR497" s="77"/>
      <c r="AS497" s="77"/>
      <c r="AT497" s="77"/>
      <c r="AU497" s="77"/>
      <c r="AV497" s="80" t="str">
        <f>HYPERLINK("https://pbs.twimg.com/profile_images/1598423978082705410/jU-vUeHf_normal.jpg")</f>
        <v>https://pbs.twimg.com/profile_images/1598423978082705410/jU-vUeHf_normal.jpg</v>
      </c>
      <c r="AW497" s="82" t="s">
        <v>12198</v>
      </c>
      <c r="AX497" s="82" t="s">
        <v>15757</v>
      </c>
      <c r="AY497" s="82" t="s">
        <v>15928</v>
      </c>
      <c r="AZ497" s="82" t="s">
        <v>15996</v>
      </c>
      <c r="BA497" s="82" t="s">
        <v>15984</v>
      </c>
      <c r="BB497" s="82" t="s">
        <v>15984</v>
      </c>
      <c r="BC497" s="82" t="s">
        <v>15996</v>
      </c>
      <c r="BD497" s="82" t="s">
        <v>15928</v>
      </c>
      <c r="BE497" s="77"/>
      <c r="BF497" s="77"/>
      <c r="BG497" s="77"/>
      <c r="BH497" s="77"/>
      <c r="BI497" s="77"/>
    </row>
    <row r="498" spans="1:61" x14ac:dyDescent="0.25">
      <c r="A498" s="62" t="s">
        <v>374</v>
      </c>
      <c r="B498" s="62" t="s">
        <v>374</v>
      </c>
      <c r="C498" s="63"/>
      <c r="D498" s="64"/>
      <c r="E498" s="65"/>
      <c r="F498" s="66"/>
      <c r="G498" s="63"/>
      <c r="H498" s="67"/>
      <c r="I498" s="68"/>
      <c r="J498" s="68"/>
      <c r="K498" s="32"/>
      <c r="L498" s="75">
        <v>498</v>
      </c>
      <c r="M498" s="75"/>
      <c r="N498" s="70"/>
      <c r="O498" s="77" t="s">
        <v>898</v>
      </c>
      <c r="P498" s="79">
        <v>45125.538634259261</v>
      </c>
      <c r="Q498" s="77" t="s">
        <v>1373</v>
      </c>
      <c r="R498" s="77">
        <v>0</v>
      </c>
      <c r="S498" s="77">
        <v>0</v>
      </c>
      <c r="T498" s="77">
        <v>0</v>
      </c>
      <c r="U498" s="77">
        <v>0</v>
      </c>
      <c r="V498" s="77">
        <v>7</v>
      </c>
      <c r="W498" s="82" t="s">
        <v>5066</v>
      </c>
      <c r="X498" s="77"/>
      <c r="Y498" s="77"/>
      <c r="Z498" s="77"/>
      <c r="AA498" s="77"/>
      <c r="AB498" s="77"/>
      <c r="AC498" s="82" t="s">
        <v>7750</v>
      </c>
      <c r="AD498" s="77" t="s">
        <v>7796</v>
      </c>
      <c r="AE498" s="80" t="str">
        <f>HYPERLINK("https://twitter.com/danielg_s6/status/1681286607578583042")</f>
        <v>https://twitter.com/danielg_s6/status/1681286607578583042</v>
      </c>
      <c r="AF498" s="79">
        <v>45125.538634259261</v>
      </c>
      <c r="AG498" s="85">
        <v>45125</v>
      </c>
      <c r="AH498" s="82" t="s">
        <v>8237</v>
      </c>
      <c r="AI498" s="77"/>
      <c r="AJ498" s="77"/>
      <c r="AK498" s="77"/>
      <c r="AL498" s="77"/>
      <c r="AM498" s="77"/>
      <c r="AN498" s="77"/>
      <c r="AO498" s="77"/>
      <c r="AP498" s="77"/>
      <c r="AQ498" s="77"/>
      <c r="AR498" s="77"/>
      <c r="AS498" s="77"/>
      <c r="AT498" s="77"/>
      <c r="AU498" s="77"/>
      <c r="AV498" s="80" t="str">
        <f>HYPERLINK("https://pbs.twimg.com/profile_images/1598423978082705410/jU-vUeHf_normal.jpg")</f>
        <v>https://pbs.twimg.com/profile_images/1598423978082705410/jU-vUeHf_normal.jpg</v>
      </c>
      <c r="AW498" s="82" t="s">
        <v>12199</v>
      </c>
      <c r="AX498" s="82" t="s">
        <v>15758</v>
      </c>
      <c r="AY498" s="82" t="s">
        <v>15928</v>
      </c>
      <c r="AZ498" s="82" t="s">
        <v>15997</v>
      </c>
      <c r="BA498" s="82" t="s">
        <v>15984</v>
      </c>
      <c r="BB498" s="82" t="s">
        <v>15984</v>
      </c>
      <c r="BC498" s="82" t="s">
        <v>15997</v>
      </c>
      <c r="BD498" s="82" t="s">
        <v>15928</v>
      </c>
      <c r="BE498" s="77"/>
      <c r="BF498" s="77"/>
      <c r="BG498" s="77"/>
      <c r="BH498" s="77"/>
      <c r="BI498" s="77"/>
    </row>
    <row r="499" spans="1:61" x14ac:dyDescent="0.25">
      <c r="A499" s="62" t="s">
        <v>374</v>
      </c>
      <c r="B499" s="62" t="s">
        <v>374</v>
      </c>
      <c r="C499" s="63"/>
      <c r="D499" s="64"/>
      <c r="E499" s="65"/>
      <c r="F499" s="66"/>
      <c r="G499" s="63"/>
      <c r="H499" s="67"/>
      <c r="I499" s="68"/>
      <c r="J499" s="68"/>
      <c r="K499" s="32"/>
      <c r="L499" s="75">
        <v>499</v>
      </c>
      <c r="M499" s="75"/>
      <c r="N499" s="70"/>
      <c r="O499" s="77" t="s">
        <v>898</v>
      </c>
      <c r="P499" s="79">
        <v>45131.816006944442</v>
      </c>
      <c r="Q499" s="77" t="s">
        <v>1374</v>
      </c>
      <c r="R499" s="77">
        <v>0</v>
      </c>
      <c r="S499" s="77">
        <v>0</v>
      </c>
      <c r="T499" s="77">
        <v>0</v>
      </c>
      <c r="U499" s="77">
        <v>0</v>
      </c>
      <c r="V499" s="77">
        <v>2</v>
      </c>
      <c r="W499" s="82" t="s">
        <v>5067</v>
      </c>
      <c r="X499" s="77"/>
      <c r="Y499" s="77"/>
      <c r="Z499" s="77"/>
      <c r="AA499" s="77"/>
      <c r="AB499" s="77"/>
      <c r="AC499" s="82" t="s">
        <v>7754</v>
      </c>
      <c r="AD499" s="77" t="s">
        <v>7788</v>
      </c>
      <c r="AE499" s="80" t="str">
        <f>HYPERLINK("https://twitter.com/danielg_s6/status/1683561448729894912")</f>
        <v>https://twitter.com/danielg_s6/status/1683561448729894912</v>
      </c>
      <c r="AF499" s="79">
        <v>45131.816006944442</v>
      </c>
      <c r="AG499" s="85">
        <v>45131</v>
      </c>
      <c r="AH499" s="82" t="s">
        <v>8238</v>
      </c>
      <c r="AI499" s="77"/>
      <c r="AJ499" s="77"/>
      <c r="AK499" s="77"/>
      <c r="AL499" s="77"/>
      <c r="AM499" s="77"/>
      <c r="AN499" s="77"/>
      <c r="AO499" s="77"/>
      <c r="AP499" s="77"/>
      <c r="AQ499" s="77"/>
      <c r="AR499" s="77"/>
      <c r="AS499" s="77"/>
      <c r="AT499" s="77"/>
      <c r="AU499" s="77"/>
      <c r="AV499" s="80" t="str">
        <f>HYPERLINK("https://pbs.twimg.com/profile_images/1598423978082705410/jU-vUeHf_normal.jpg")</f>
        <v>https://pbs.twimg.com/profile_images/1598423978082705410/jU-vUeHf_normal.jpg</v>
      </c>
      <c r="AW499" s="82" t="s">
        <v>12200</v>
      </c>
      <c r="AX499" s="82" t="s">
        <v>15759</v>
      </c>
      <c r="AY499" s="82" t="s">
        <v>15928</v>
      </c>
      <c r="AZ499" s="82" t="s">
        <v>12201</v>
      </c>
      <c r="BA499" s="82" t="s">
        <v>15984</v>
      </c>
      <c r="BB499" s="82" t="s">
        <v>15984</v>
      </c>
      <c r="BC499" s="82" t="s">
        <v>12201</v>
      </c>
      <c r="BD499" s="82" t="s">
        <v>15928</v>
      </c>
      <c r="BE499" s="77"/>
      <c r="BF499" s="77"/>
      <c r="BG499" s="77"/>
      <c r="BH499" s="77"/>
      <c r="BI499" s="77"/>
    </row>
    <row r="500" spans="1:61" x14ac:dyDescent="0.25">
      <c r="A500" s="62" t="s">
        <v>374</v>
      </c>
      <c r="B500" s="62" t="s">
        <v>374</v>
      </c>
      <c r="C500" s="63"/>
      <c r="D500" s="64"/>
      <c r="E500" s="65"/>
      <c r="F500" s="66"/>
      <c r="G500" s="63"/>
      <c r="H500" s="67"/>
      <c r="I500" s="68"/>
      <c r="J500" s="68"/>
      <c r="K500" s="32"/>
      <c r="L500" s="75">
        <v>500</v>
      </c>
      <c r="M500" s="75"/>
      <c r="N500" s="70"/>
      <c r="O500" s="77" t="s">
        <v>898</v>
      </c>
      <c r="P500" s="79">
        <v>45131.815995370373</v>
      </c>
      <c r="Q500" s="77" t="s">
        <v>1375</v>
      </c>
      <c r="R500" s="77">
        <v>0</v>
      </c>
      <c r="S500" s="77">
        <v>0</v>
      </c>
      <c r="T500" s="77">
        <v>1</v>
      </c>
      <c r="U500" s="77">
        <v>0</v>
      </c>
      <c r="V500" s="77">
        <v>1</v>
      </c>
      <c r="W500" s="82" t="s">
        <v>5068</v>
      </c>
      <c r="X500" s="77"/>
      <c r="Y500" s="77"/>
      <c r="Z500" s="77"/>
      <c r="AA500" s="77"/>
      <c r="AB500" s="77"/>
      <c r="AC500" s="82" t="s">
        <v>7754</v>
      </c>
      <c r="AD500" s="77" t="s">
        <v>7788</v>
      </c>
      <c r="AE500" s="80" t="str">
        <f>HYPERLINK("https://twitter.com/danielg_s6/status/1683561445122797569")</f>
        <v>https://twitter.com/danielg_s6/status/1683561445122797569</v>
      </c>
      <c r="AF500" s="79">
        <v>45131.815995370373</v>
      </c>
      <c r="AG500" s="85">
        <v>45131</v>
      </c>
      <c r="AH500" s="82" t="s">
        <v>8239</v>
      </c>
      <c r="AI500" s="77"/>
      <c r="AJ500" s="77"/>
      <c r="AK500" s="77"/>
      <c r="AL500" s="77"/>
      <c r="AM500" s="77"/>
      <c r="AN500" s="77"/>
      <c r="AO500" s="77"/>
      <c r="AP500" s="77"/>
      <c r="AQ500" s="77"/>
      <c r="AR500" s="77"/>
      <c r="AS500" s="77"/>
      <c r="AT500" s="77"/>
      <c r="AU500" s="77"/>
      <c r="AV500" s="80" t="str">
        <f>HYPERLINK("https://pbs.twimg.com/profile_images/1598423978082705410/jU-vUeHf_normal.jpg")</f>
        <v>https://pbs.twimg.com/profile_images/1598423978082705410/jU-vUeHf_normal.jpg</v>
      </c>
      <c r="AW500" s="82" t="s">
        <v>12201</v>
      </c>
      <c r="AX500" s="82" t="s">
        <v>15759</v>
      </c>
      <c r="AY500" s="82" t="s">
        <v>15928</v>
      </c>
      <c r="AZ500" s="82" t="s">
        <v>15998</v>
      </c>
      <c r="BA500" s="82" t="s">
        <v>15984</v>
      </c>
      <c r="BB500" s="82" t="s">
        <v>15984</v>
      </c>
      <c r="BC500" s="82" t="s">
        <v>15998</v>
      </c>
      <c r="BD500" s="82" t="s">
        <v>15928</v>
      </c>
      <c r="BE500" s="77"/>
      <c r="BF500" s="77"/>
      <c r="BG500" s="77"/>
      <c r="BH500" s="77"/>
      <c r="BI500" s="77"/>
    </row>
    <row r="501" spans="1:61" x14ac:dyDescent="0.25">
      <c r="A501" s="62" t="s">
        <v>374</v>
      </c>
      <c r="B501" s="62" t="s">
        <v>374</v>
      </c>
      <c r="C501" s="63"/>
      <c r="D501" s="64"/>
      <c r="E501" s="65"/>
      <c r="F501" s="66"/>
      <c r="G501" s="63"/>
      <c r="H501" s="67"/>
      <c r="I501" s="68"/>
      <c r="J501" s="68"/>
      <c r="K501" s="32"/>
      <c r="L501" s="75">
        <v>501</v>
      </c>
      <c r="M501" s="75"/>
      <c r="N501" s="70"/>
      <c r="O501" s="77" t="s">
        <v>898</v>
      </c>
      <c r="P501" s="79">
        <v>45131.815960648149</v>
      </c>
      <c r="Q501" s="77" t="s">
        <v>1376</v>
      </c>
      <c r="R501" s="77">
        <v>0</v>
      </c>
      <c r="S501" s="77">
        <v>0</v>
      </c>
      <c r="T501" s="77">
        <v>1</v>
      </c>
      <c r="U501" s="77">
        <v>0</v>
      </c>
      <c r="V501" s="77">
        <v>13</v>
      </c>
      <c r="W501" s="82" t="s">
        <v>5069</v>
      </c>
      <c r="X501" s="77"/>
      <c r="Y501" s="77"/>
      <c r="Z501" s="77"/>
      <c r="AA501" s="77"/>
      <c r="AB501" s="77"/>
      <c r="AC501" s="82" t="s">
        <v>7754</v>
      </c>
      <c r="AD501" s="77" t="s">
        <v>7788</v>
      </c>
      <c r="AE501" s="80" t="str">
        <f>HYPERLINK("https://twitter.com/danielg_s6/status/1683561432091164673")</f>
        <v>https://twitter.com/danielg_s6/status/1683561432091164673</v>
      </c>
      <c r="AF501" s="79">
        <v>45131.815960648149</v>
      </c>
      <c r="AG501" s="85">
        <v>45131</v>
      </c>
      <c r="AH501" s="82" t="s">
        <v>8240</v>
      </c>
      <c r="AI501" s="77"/>
      <c r="AJ501" s="77"/>
      <c r="AK501" s="77"/>
      <c r="AL501" s="77"/>
      <c r="AM501" s="77"/>
      <c r="AN501" s="77"/>
      <c r="AO501" s="77"/>
      <c r="AP501" s="77"/>
      <c r="AQ501" s="77"/>
      <c r="AR501" s="77"/>
      <c r="AS501" s="77"/>
      <c r="AT501" s="77"/>
      <c r="AU501" s="77"/>
      <c r="AV501" s="80" t="str">
        <f>HYPERLINK("https://pbs.twimg.com/profile_images/1598423978082705410/jU-vUeHf_normal.jpg")</f>
        <v>https://pbs.twimg.com/profile_images/1598423978082705410/jU-vUeHf_normal.jpg</v>
      </c>
      <c r="AW501" s="82" t="s">
        <v>12202</v>
      </c>
      <c r="AX501" s="82" t="s">
        <v>15759</v>
      </c>
      <c r="AY501" s="82" t="s">
        <v>15928</v>
      </c>
      <c r="AZ501" s="82" t="s">
        <v>15759</v>
      </c>
      <c r="BA501" s="82" t="s">
        <v>15984</v>
      </c>
      <c r="BB501" s="82" t="s">
        <v>15984</v>
      </c>
      <c r="BC501" s="82" t="s">
        <v>15759</v>
      </c>
      <c r="BD501" s="82" t="s">
        <v>15928</v>
      </c>
      <c r="BE501" s="77"/>
      <c r="BF501" s="77"/>
      <c r="BG501" s="77"/>
      <c r="BH501" s="77"/>
      <c r="BI501" s="77"/>
    </row>
    <row r="502" spans="1:61" x14ac:dyDescent="0.25">
      <c r="A502" s="62" t="s">
        <v>374</v>
      </c>
      <c r="B502" s="62" t="s">
        <v>374</v>
      </c>
      <c r="C502" s="63"/>
      <c r="D502" s="64"/>
      <c r="E502" s="65"/>
      <c r="F502" s="66"/>
      <c r="G502" s="63"/>
      <c r="H502" s="67"/>
      <c r="I502" s="68"/>
      <c r="J502" s="68"/>
      <c r="K502" s="32"/>
      <c r="L502" s="75">
        <v>502</v>
      </c>
      <c r="M502" s="75"/>
      <c r="N502" s="70"/>
      <c r="O502" s="77" t="s">
        <v>898</v>
      </c>
      <c r="P502" s="79">
        <v>45120.426226851851</v>
      </c>
      <c r="Q502" s="77" t="s">
        <v>1377</v>
      </c>
      <c r="R502" s="77">
        <v>0</v>
      </c>
      <c r="S502" s="77">
        <v>0</v>
      </c>
      <c r="T502" s="77">
        <v>1</v>
      </c>
      <c r="U502" s="77">
        <v>0</v>
      </c>
      <c r="V502" s="77">
        <v>2</v>
      </c>
      <c r="W502" s="82" t="s">
        <v>5070</v>
      </c>
      <c r="X502" s="77"/>
      <c r="Y502" s="77"/>
      <c r="Z502" s="77"/>
      <c r="AA502" s="77" t="s">
        <v>6949</v>
      </c>
      <c r="AB502" s="77" t="s">
        <v>7742</v>
      </c>
      <c r="AC502" s="82" t="s">
        <v>7750</v>
      </c>
      <c r="AD502" s="77" t="s">
        <v>7788</v>
      </c>
      <c r="AE502" s="80" t="str">
        <f>HYPERLINK("https://twitter.com/danielg_s6/status/1679433930926092288")</f>
        <v>https://twitter.com/danielg_s6/status/1679433930926092288</v>
      </c>
      <c r="AF502" s="79">
        <v>45120.426226851851</v>
      </c>
      <c r="AG502" s="85">
        <v>45120</v>
      </c>
      <c r="AH502" s="82" t="s">
        <v>8241</v>
      </c>
      <c r="AI502" s="77" t="b">
        <v>0</v>
      </c>
      <c r="AJ502" s="77"/>
      <c r="AK502" s="77"/>
      <c r="AL502" s="77"/>
      <c r="AM502" s="77"/>
      <c r="AN502" s="77"/>
      <c r="AO502" s="77"/>
      <c r="AP502" s="77"/>
      <c r="AQ502" s="77" t="s">
        <v>10921</v>
      </c>
      <c r="AR502" s="77"/>
      <c r="AS502" s="77"/>
      <c r="AT502" s="77"/>
      <c r="AU502" s="77"/>
      <c r="AV502" s="80" t="str">
        <f>HYPERLINK("https://pbs.twimg.com/media/F06K1kHX0AAKfdJ.png")</f>
        <v>https://pbs.twimg.com/media/F06K1kHX0AAKfdJ.png</v>
      </c>
      <c r="AW502" s="82" t="s">
        <v>12203</v>
      </c>
      <c r="AX502" s="82" t="s">
        <v>15760</v>
      </c>
      <c r="AY502" s="82" t="s">
        <v>15928</v>
      </c>
      <c r="AZ502" s="82" t="s">
        <v>15999</v>
      </c>
      <c r="BA502" s="82" t="s">
        <v>15984</v>
      </c>
      <c r="BB502" s="82" t="s">
        <v>15984</v>
      </c>
      <c r="BC502" s="82" t="s">
        <v>15999</v>
      </c>
      <c r="BD502" s="82" t="s">
        <v>15928</v>
      </c>
      <c r="BE502" s="77"/>
      <c r="BF502" s="77"/>
      <c r="BG502" s="77"/>
      <c r="BH502" s="77"/>
      <c r="BI502" s="77"/>
    </row>
    <row r="503" spans="1:61" x14ac:dyDescent="0.25">
      <c r="A503" s="62" t="s">
        <v>374</v>
      </c>
      <c r="B503" s="62" t="s">
        <v>374</v>
      </c>
      <c r="C503" s="63"/>
      <c r="D503" s="64"/>
      <c r="E503" s="65"/>
      <c r="F503" s="66"/>
      <c r="G503" s="63"/>
      <c r="H503" s="67"/>
      <c r="I503" s="68"/>
      <c r="J503" s="68"/>
      <c r="K503" s="32"/>
      <c r="L503" s="75">
        <v>503</v>
      </c>
      <c r="M503" s="75"/>
      <c r="N503" s="70"/>
      <c r="O503" s="77" t="s">
        <v>179</v>
      </c>
      <c r="P503" s="79">
        <v>45119.502812500003</v>
      </c>
      <c r="Q503" s="77" t="s">
        <v>1378</v>
      </c>
      <c r="R503" s="77">
        <v>0</v>
      </c>
      <c r="S503" s="77">
        <v>0</v>
      </c>
      <c r="T503" s="77">
        <v>1</v>
      </c>
      <c r="U503" s="77">
        <v>0</v>
      </c>
      <c r="V503" s="77">
        <v>8</v>
      </c>
      <c r="W503" s="82" t="s">
        <v>5071</v>
      </c>
      <c r="X503" s="77"/>
      <c r="Y503" s="77"/>
      <c r="Z503" s="77"/>
      <c r="AA503" s="77"/>
      <c r="AB503" s="77"/>
      <c r="AC503" s="82" t="s">
        <v>7750</v>
      </c>
      <c r="AD503" s="77" t="s">
        <v>7788</v>
      </c>
      <c r="AE503" s="80" t="str">
        <f>HYPERLINK("https://twitter.com/danielg_s6/status/1679099300003848194")</f>
        <v>https://twitter.com/danielg_s6/status/1679099300003848194</v>
      </c>
      <c r="AF503" s="79">
        <v>45119.502812500003</v>
      </c>
      <c r="AG503" s="85">
        <v>45119</v>
      </c>
      <c r="AH503" s="82" t="s">
        <v>8242</v>
      </c>
      <c r="AI503" s="77"/>
      <c r="AJ503" s="77"/>
      <c r="AK503" s="77"/>
      <c r="AL503" s="77"/>
      <c r="AM503" s="77"/>
      <c r="AN503" s="77"/>
      <c r="AO503" s="77"/>
      <c r="AP503" s="77"/>
      <c r="AQ503" s="77"/>
      <c r="AR503" s="77"/>
      <c r="AS503" s="77"/>
      <c r="AT503" s="77"/>
      <c r="AU503" s="77"/>
      <c r="AV503" s="80" t="str">
        <f>HYPERLINK("https://pbs.twimg.com/profile_images/1598423978082705410/jU-vUeHf_normal.jpg")</f>
        <v>https://pbs.twimg.com/profile_images/1598423978082705410/jU-vUeHf_normal.jpg</v>
      </c>
      <c r="AW503" s="82" t="s">
        <v>12204</v>
      </c>
      <c r="AX503" s="82" t="s">
        <v>12204</v>
      </c>
      <c r="AY503" s="77"/>
      <c r="AZ503" s="82" t="s">
        <v>15984</v>
      </c>
      <c r="BA503" s="82" t="s">
        <v>15984</v>
      </c>
      <c r="BB503" s="82" t="s">
        <v>15984</v>
      </c>
      <c r="BC503" s="82" t="s">
        <v>12204</v>
      </c>
      <c r="BD503" s="82" t="s">
        <v>15928</v>
      </c>
      <c r="BE503" s="77"/>
      <c r="BF503" s="77"/>
      <c r="BG503" s="77"/>
      <c r="BH503" s="77"/>
      <c r="BI503" s="77"/>
    </row>
    <row r="504" spans="1:61" x14ac:dyDescent="0.25">
      <c r="A504" s="62" t="s">
        <v>374</v>
      </c>
      <c r="B504" s="62" t="s">
        <v>374</v>
      </c>
      <c r="C504" s="63"/>
      <c r="D504" s="64"/>
      <c r="E504" s="65"/>
      <c r="F504" s="66"/>
      <c r="G504" s="63"/>
      <c r="H504" s="67"/>
      <c r="I504" s="68"/>
      <c r="J504" s="68"/>
      <c r="K504" s="32"/>
      <c r="L504" s="75">
        <v>504</v>
      </c>
      <c r="M504" s="75"/>
      <c r="N504" s="70"/>
      <c r="O504" s="77" t="s">
        <v>898</v>
      </c>
      <c r="P504" s="79">
        <v>45127.52847222222</v>
      </c>
      <c r="Q504" s="77" t="s">
        <v>1379</v>
      </c>
      <c r="R504" s="77">
        <v>0</v>
      </c>
      <c r="S504" s="77">
        <v>0</v>
      </c>
      <c r="T504" s="77">
        <v>1</v>
      </c>
      <c r="U504" s="77">
        <v>0</v>
      </c>
      <c r="V504" s="77">
        <v>8</v>
      </c>
      <c r="W504" s="82" t="s">
        <v>5072</v>
      </c>
      <c r="X504" s="77"/>
      <c r="Y504" s="77"/>
      <c r="Z504" s="77"/>
      <c r="AA504" s="77"/>
      <c r="AB504" s="77"/>
      <c r="AC504" s="82" t="s">
        <v>7754</v>
      </c>
      <c r="AD504" s="77" t="s">
        <v>7788</v>
      </c>
      <c r="AE504" s="80" t="str">
        <f>HYPERLINK("https://twitter.com/danielg_s6/status/1682007700052254720")</f>
        <v>https://twitter.com/danielg_s6/status/1682007700052254720</v>
      </c>
      <c r="AF504" s="79">
        <v>45127.52847222222</v>
      </c>
      <c r="AG504" s="85">
        <v>45127</v>
      </c>
      <c r="AH504" s="82" t="s">
        <v>8243</v>
      </c>
      <c r="AI504" s="77"/>
      <c r="AJ504" s="77"/>
      <c r="AK504" s="77"/>
      <c r="AL504" s="77"/>
      <c r="AM504" s="77"/>
      <c r="AN504" s="77"/>
      <c r="AO504" s="77"/>
      <c r="AP504" s="77"/>
      <c r="AQ504" s="77"/>
      <c r="AR504" s="77"/>
      <c r="AS504" s="77"/>
      <c r="AT504" s="77"/>
      <c r="AU504" s="77"/>
      <c r="AV504" s="80" t="str">
        <f>HYPERLINK("https://pbs.twimg.com/profile_images/1598423978082705410/jU-vUeHf_normal.jpg")</f>
        <v>https://pbs.twimg.com/profile_images/1598423978082705410/jU-vUeHf_normal.jpg</v>
      </c>
      <c r="AW504" s="82" t="s">
        <v>12205</v>
      </c>
      <c r="AX504" s="82" t="s">
        <v>15761</v>
      </c>
      <c r="AY504" s="82" t="s">
        <v>15928</v>
      </c>
      <c r="AZ504" s="82" t="s">
        <v>15761</v>
      </c>
      <c r="BA504" s="82" t="s">
        <v>15984</v>
      </c>
      <c r="BB504" s="82" t="s">
        <v>15984</v>
      </c>
      <c r="BC504" s="82" t="s">
        <v>15761</v>
      </c>
      <c r="BD504" s="82" t="s">
        <v>15928</v>
      </c>
      <c r="BE504" s="77"/>
      <c r="BF504" s="77"/>
      <c r="BG504" s="77"/>
      <c r="BH504" s="77"/>
      <c r="BI504" s="77"/>
    </row>
    <row r="505" spans="1:61" x14ac:dyDescent="0.25">
      <c r="A505" s="62" t="s">
        <v>374</v>
      </c>
      <c r="B505" s="62" t="s">
        <v>374</v>
      </c>
      <c r="C505" s="63"/>
      <c r="D505" s="64"/>
      <c r="E505" s="65"/>
      <c r="F505" s="66"/>
      <c r="G505" s="63"/>
      <c r="H505" s="67"/>
      <c r="I505" s="68"/>
      <c r="J505" s="68"/>
      <c r="K505" s="32"/>
      <c r="L505" s="75">
        <v>505</v>
      </c>
      <c r="M505" s="75"/>
      <c r="N505" s="70"/>
      <c r="O505" s="77" t="s">
        <v>179</v>
      </c>
      <c r="P505" s="79">
        <v>45131.594594907408</v>
      </c>
      <c r="Q505" s="77" t="s">
        <v>1380</v>
      </c>
      <c r="R505" s="77">
        <v>0</v>
      </c>
      <c r="S505" s="77">
        <v>0</v>
      </c>
      <c r="T505" s="77">
        <v>0</v>
      </c>
      <c r="U505" s="77">
        <v>0</v>
      </c>
      <c r="V505" s="77">
        <v>3</v>
      </c>
      <c r="W505" s="82" t="s">
        <v>5073</v>
      </c>
      <c r="X505" s="80" t="str">
        <f>HYPERLINK("https://www1.folha.uol.com.br/mercado/2023/07/empresas-de-trading-operadas-por-computador-temem-que-ia-afete-lucros.shtml?utm_source=twitter&amp;utm_medium=social&amp;utm_campaign=comptw")</f>
        <v>https://www1.folha.uol.com.br/mercado/2023/07/empresas-de-trading-operadas-por-computador-temem-que-ia-afete-lucros.shtml?utm_source=twitter&amp;utm_medium=social&amp;utm_campaign=comptw</v>
      </c>
      <c r="Y505" s="77" t="s">
        <v>6470</v>
      </c>
      <c r="Z505" s="77"/>
      <c r="AA505" s="77"/>
      <c r="AB505" s="77"/>
      <c r="AC505" s="82" t="s">
        <v>7750</v>
      </c>
      <c r="AD505" s="77" t="s">
        <v>7788</v>
      </c>
      <c r="AE505" s="80" t="str">
        <f>HYPERLINK("https://twitter.com/danielg_s6/status/1683481214798245888")</f>
        <v>https://twitter.com/danielg_s6/status/1683481214798245888</v>
      </c>
      <c r="AF505" s="79">
        <v>45131.594594907408</v>
      </c>
      <c r="AG505" s="85">
        <v>45131</v>
      </c>
      <c r="AH505" s="82" t="s">
        <v>8244</v>
      </c>
      <c r="AI505" s="77" t="b">
        <v>0</v>
      </c>
      <c r="AJ505" s="77"/>
      <c r="AK505" s="77"/>
      <c r="AL505" s="77"/>
      <c r="AM505" s="77"/>
      <c r="AN505" s="77"/>
      <c r="AO505" s="77"/>
      <c r="AP505" s="77"/>
      <c r="AQ505" s="77"/>
      <c r="AR505" s="77"/>
      <c r="AS505" s="77"/>
      <c r="AT505" s="77"/>
      <c r="AU505" s="77"/>
      <c r="AV505" s="80" t="str">
        <f>HYPERLINK("https://pbs.twimg.com/profile_images/1598423978082705410/jU-vUeHf_normal.jpg")</f>
        <v>https://pbs.twimg.com/profile_images/1598423978082705410/jU-vUeHf_normal.jpg</v>
      </c>
      <c r="AW505" s="82" t="s">
        <v>12206</v>
      </c>
      <c r="AX505" s="82" t="s">
        <v>12206</v>
      </c>
      <c r="AY505" s="77"/>
      <c r="AZ505" s="82" t="s">
        <v>15984</v>
      </c>
      <c r="BA505" s="82" t="s">
        <v>15984</v>
      </c>
      <c r="BB505" s="82" t="s">
        <v>15984</v>
      </c>
      <c r="BC505" s="82" t="s">
        <v>12206</v>
      </c>
      <c r="BD505" s="82" t="s">
        <v>15928</v>
      </c>
      <c r="BE505" s="77"/>
      <c r="BF505" s="77"/>
      <c r="BG505" s="77"/>
      <c r="BH505" s="77"/>
      <c r="BI505" s="77"/>
    </row>
    <row r="506" spans="1:61" x14ac:dyDescent="0.25">
      <c r="A506" s="62" t="s">
        <v>374</v>
      </c>
      <c r="B506" s="62" t="s">
        <v>374</v>
      </c>
      <c r="C506" s="63"/>
      <c r="D506" s="64"/>
      <c r="E506" s="65"/>
      <c r="F506" s="66"/>
      <c r="G506" s="63"/>
      <c r="H506" s="67"/>
      <c r="I506" s="68"/>
      <c r="J506" s="68"/>
      <c r="K506" s="32"/>
      <c r="L506" s="75">
        <v>506</v>
      </c>
      <c r="M506" s="75"/>
      <c r="N506" s="70"/>
      <c r="O506" s="77" t="s">
        <v>898</v>
      </c>
      <c r="P506" s="79">
        <v>45131.726620370369</v>
      </c>
      <c r="Q506" s="77" t="s">
        <v>1381</v>
      </c>
      <c r="R506" s="77">
        <v>0</v>
      </c>
      <c r="S506" s="77">
        <v>0</v>
      </c>
      <c r="T506" s="77">
        <v>0</v>
      </c>
      <c r="U506" s="77">
        <v>0</v>
      </c>
      <c r="V506" s="77">
        <v>9</v>
      </c>
      <c r="W506" s="82" t="s">
        <v>5074</v>
      </c>
      <c r="X506" s="77"/>
      <c r="Y506" s="77"/>
      <c r="Z506" s="77"/>
      <c r="AA506" s="77"/>
      <c r="AB506" s="77"/>
      <c r="AC506" s="82" t="s">
        <v>7750</v>
      </c>
      <c r="AD506" s="77" t="s">
        <v>7788</v>
      </c>
      <c r="AE506" s="80" t="str">
        <f>HYPERLINK("https://twitter.com/danielg_s6/status/1683529056078163968")</f>
        <v>https://twitter.com/danielg_s6/status/1683529056078163968</v>
      </c>
      <c r="AF506" s="79">
        <v>45131.726620370369</v>
      </c>
      <c r="AG506" s="85">
        <v>45131</v>
      </c>
      <c r="AH506" s="82" t="s">
        <v>8245</v>
      </c>
      <c r="AI506" s="77"/>
      <c r="AJ506" s="77"/>
      <c r="AK506" s="77"/>
      <c r="AL506" s="77"/>
      <c r="AM506" s="77"/>
      <c r="AN506" s="77"/>
      <c r="AO506" s="77"/>
      <c r="AP506" s="77"/>
      <c r="AQ506" s="77"/>
      <c r="AR506" s="77"/>
      <c r="AS506" s="77"/>
      <c r="AT506" s="77"/>
      <c r="AU506" s="77"/>
      <c r="AV506" s="80" t="str">
        <f>HYPERLINK("https://pbs.twimg.com/profile_images/1598423978082705410/jU-vUeHf_normal.jpg")</f>
        <v>https://pbs.twimg.com/profile_images/1598423978082705410/jU-vUeHf_normal.jpg</v>
      </c>
      <c r="AW506" s="82" t="s">
        <v>12207</v>
      </c>
      <c r="AX506" s="82" t="s">
        <v>15762</v>
      </c>
      <c r="AY506" s="82" t="s">
        <v>15928</v>
      </c>
      <c r="AZ506" s="82" t="s">
        <v>16000</v>
      </c>
      <c r="BA506" s="82" t="s">
        <v>15984</v>
      </c>
      <c r="BB506" s="82" t="s">
        <v>15984</v>
      </c>
      <c r="BC506" s="82" t="s">
        <v>16000</v>
      </c>
      <c r="BD506" s="82" t="s">
        <v>15928</v>
      </c>
      <c r="BE506" s="77"/>
      <c r="BF506" s="77"/>
      <c r="BG506" s="77"/>
      <c r="BH506" s="77"/>
      <c r="BI506" s="77"/>
    </row>
    <row r="507" spans="1:61" x14ac:dyDescent="0.25">
      <c r="A507" s="62" t="s">
        <v>374</v>
      </c>
      <c r="B507" s="62" t="s">
        <v>374</v>
      </c>
      <c r="C507" s="63"/>
      <c r="D507" s="64"/>
      <c r="E507" s="65"/>
      <c r="F507" s="66"/>
      <c r="G507" s="63"/>
      <c r="H507" s="67"/>
      <c r="I507" s="68"/>
      <c r="J507" s="68"/>
      <c r="K507" s="32"/>
      <c r="L507" s="75">
        <v>507</v>
      </c>
      <c r="M507" s="75"/>
      <c r="N507" s="70"/>
      <c r="O507" s="77" t="s">
        <v>898</v>
      </c>
      <c r="P507" s="79">
        <v>45139.596724537034</v>
      </c>
      <c r="Q507" s="77" t="s">
        <v>1382</v>
      </c>
      <c r="R507" s="77">
        <v>0</v>
      </c>
      <c r="S507" s="77">
        <v>0</v>
      </c>
      <c r="T507" s="77">
        <v>0</v>
      </c>
      <c r="U507" s="77">
        <v>0</v>
      </c>
      <c r="V507" s="77"/>
      <c r="W507" s="82" t="s">
        <v>5075</v>
      </c>
      <c r="X507" s="77"/>
      <c r="Y507" s="77"/>
      <c r="Z507" s="77"/>
      <c r="AA507" s="77"/>
      <c r="AB507" s="77"/>
      <c r="AC507" s="82" t="s">
        <v>7750</v>
      </c>
      <c r="AD507" s="77" t="s">
        <v>7788</v>
      </c>
      <c r="AE507" s="80" t="str">
        <f>HYPERLINK("https://twitter.com/danielg_s6/status/1686381088913104898")</f>
        <v>https://twitter.com/danielg_s6/status/1686381088913104898</v>
      </c>
      <c r="AF507" s="79">
        <v>45139.596724537034</v>
      </c>
      <c r="AG507" s="85">
        <v>45139</v>
      </c>
      <c r="AH507" s="82" t="s">
        <v>8246</v>
      </c>
      <c r="AI507" s="77"/>
      <c r="AJ507" s="77"/>
      <c r="AK507" s="77"/>
      <c r="AL507" s="77"/>
      <c r="AM507" s="77"/>
      <c r="AN507" s="77"/>
      <c r="AO507" s="77"/>
      <c r="AP507" s="77"/>
      <c r="AQ507" s="77"/>
      <c r="AR507" s="77"/>
      <c r="AS507" s="77"/>
      <c r="AT507" s="77"/>
      <c r="AU507" s="77"/>
      <c r="AV507" s="80" t="str">
        <f>HYPERLINK("https://pbs.twimg.com/profile_images/1598423978082705410/jU-vUeHf_normal.jpg")</f>
        <v>https://pbs.twimg.com/profile_images/1598423978082705410/jU-vUeHf_normal.jpg</v>
      </c>
      <c r="AW507" s="82" t="s">
        <v>12208</v>
      </c>
      <c r="AX507" s="82" t="s">
        <v>15763</v>
      </c>
      <c r="AY507" s="82" t="s">
        <v>15928</v>
      </c>
      <c r="AZ507" s="82" t="s">
        <v>16001</v>
      </c>
      <c r="BA507" s="82" t="s">
        <v>15984</v>
      </c>
      <c r="BB507" s="82" t="s">
        <v>15984</v>
      </c>
      <c r="BC507" s="82" t="s">
        <v>16001</v>
      </c>
      <c r="BD507" s="82" t="s">
        <v>15928</v>
      </c>
      <c r="BE507" s="77"/>
      <c r="BF507" s="77"/>
      <c r="BG507" s="77"/>
      <c r="BH507" s="77"/>
      <c r="BI507" s="77"/>
    </row>
    <row r="508" spans="1:61" x14ac:dyDescent="0.25">
      <c r="A508" s="62" t="s">
        <v>374</v>
      </c>
      <c r="B508" s="62" t="s">
        <v>374</v>
      </c>
      <c r="C508" s="63"/>
      <c r="D508" s="64"/>
      <c r="E508" s="65"/>
      <c r="F508" s="66"/>
      <c r="G508" s="63"/>
      <c r="H508" s="67"/>
      <c r="I508" s="68"/>
      <c r="J508" s="68"/>
      <c r="K508" s="32"/>
      <c r="L508" s="75">
        <v>508</v>
      </c>
      <c r="M508" s="75"/>
      <c r="N508" s="70"/>
      <c r="O508" s="77" t="s">
        <v>179</v>
      </c>
      <c r="P508" s="79">
        <v>45139.524965277778</v>
      </c>
      <c r="Q508" s="77" t="s">
        <v>1383</v>
      </c>
      <c r="R508" s="77">
        <v>0</v>
      </c>
      <c r="S508" s="77">
        <v>0</v>
      </c>
      <c r="T508" s="77">
        <v>1</v>
      </c>
      <c r="U508" s="77">
        <v>0</v>
      </c>
      <c r="V508" s="77">
        <v>15</v>
      </c>
      <c r="W508" s="82" t="s">
        <v>5076</v>
      </c>
      <c r="X508" s="77"/>
      <c r="Y508" s="77"/>
      <c r="Z508" s="77"/>
      <c r="AA508" s="77"/>
      <c r="AB508" s="77"/>
      <c r="AC508" s="82" t="s">
        <v>7750</v>
      </c>
      <c r="AD508" s="77" t="s">
        <v>7788</v>
      </c>
      <c r="AE508" s="80" t="str">
        <f>HYPERLINK("https://twitter.com/danielg_s6/status/1686355084018335745")</f>
        <v>https://twitter.com/danielg_s6/status/1686355084018335745</v>
      </c>
      <c r="AF508" s="79">
        <v>45139.524965277778</v>
      </c>
      <c r="AG508" s="85">
        <v>45139</v>
      </c>
      <c r="AH508" s="82" t="s">
        <v>8247</v>
      </c>
      <c r="AI508" s="77"/>
      <c r="AJ508" s="77"/>
      <c r="AK508" s="77"/>
      <c r="AL508" s="77"/>
      <c r="AM508" s="77"/>
      <c r="AN508" s="77"/>
      <c r="AO508" s="77"/>
      <c r="AP508" s="77"/>
      <c r="AQ508" s="77"/>
      <c r="AR508" s="77"/>
      <c r="AS508" s="77"/>
      <c r="AT508" s="77"/>
      <c r="AU508" s="77"/>
      <c r="AV508" s="80" t="str">
        <f>HYPERLINK("https://pbs.twimg.com/profile_images/1598423978082705410/jU-vUeHf_normal.jpg")</f>
        <v>https://pbs.twimg.com/profile_images/1598423978082705410/jU-vUeHf_normal.jpg</v>
      </c>
      <c r="AW508" s="82" t="s">
        <v>12209</v>
      </c>
      <c r="AX508" s="82" t="s">
        <v>12209</v>
      </c>
      <c r="AY508" s="77"/>
      <c r="AZ508" s="82" t="s">
        <v>15984</v>
      </c>
      <c r="BA508" s="82" t="s">
        <v>15984</v>
      </c>
      <c r="BB508" s="82" t="s">
        <v>15984</v>
      </c>
      <c r="BC508" s="82" t="s">
        <v>12209</v>
      </c>
      <c r="BD508" s="82" t="s">
        <v>15928</v>
      </c>
      <c r="BE508" s="77"/>
      <c r="BF508" s="77"/>
      <c r="BG508" s="77"/>
      <c r="BH508" s="77"/>
      <c r="BI508" s="77"/>
    </row>
    <row r="509" spans="1:61" x14ac:dyDescent="0.25">
      <c r="A509" s="62" t="s">
        <v>374</v>
      </c>
      <c r="B509" s="62" t="s">
        <v>374</v>
      </c>
      <c r="C509" s="63"/>
      <c r="D509" s="64"/>
      <c r="E509" s="65"/>
      <c r="F509" s="66"/>
      <c r="G509" s="63"/>
      <c r="H509" s="67"/>
      <c r="I509" s="68"/>
      <c r="J509" s="68"/>
      <c r="K509" s="32"/>
      <c r="L509" s="75">
        <v>509</v>
      </c>
      <c r="M509" s="75"/>
      <c r="N509" s="70"/>
      <c r="O509" s="77" t="s">
        <v>898</v>
      </c>
      <c r="P509" s="79">
        <v>45133.545381944445</v>
      </c>
      <c r="Q509" s="77" t="s">
        <v>1384</v>
      </c>
      <c r="R509" s="77">
        <v>0</v>
      </c>
      <c r="S509" s="77">
        <v>0</v>
      </c>
      <c r="T509" s="77">
        <v>1</v>
      </c>
      <c r="U509" s="77">
        <v>0</v>
      </c>
      <c r="V509" s="77">
        <v>1</v>
      </c>
      <c r="W509" s="82" t="s">
        <v>5077</v>
      </c>
      <c r="X509" s="77"/>
      <c r="Y509" s="77"/>
      <c r="Z509" s="77"/>
      <c r="AA509" s="77"/>
      <c r="AB509" s="77"/>
      <c r="AC509" s="82" t="s">
        <v>7754</v>
      </c>
      <c r="AD509" s="77" t="s">
        <v>7788</v>
      </c>
      <c r="AE509" s="80" t="str">
        <f>HYPERLINK("https://twitter.com/danielg_s6/status/1684188156478758914")</f>
        <v>https://twitter.com/danielg_s6/status/1684188156478758914</v>
      </c>
      <c r="AF509" s="79">
        <v>45133.545381944445</v>
      </c>
      <c r="AG509" s="85">
        <v>45133</v>
      </c>
      <c r="AH509" s="82" t="s">
        <v>8248</v>
      </c>
      <c r="AI509" s="77"/>
      <c r="AJ509" s="77"/>
      <c r="AK509" s="77"/>
      <c r="AL509" s="77"/>
      <c r="AM509" s="77"/>
      <c r="AN509" s="77"/>
      <c r="AO509" s="77"/>
      <c r="AP509" s="77"/>
      <c r="AQ509" s="77"/>
      <c r="AR509" s="77"/>
      <c r="AS509" s="77"/>
      <c r="AT509" s="77"/>
      <c r="AU509" s="77"/>
      <c r="AV509" s="80" t="str">
        <f>HYPERLINK("https://pbs.twimg.com/profile_images/1598423978082705410/jU-vUeHf_normal.jpg")</f>
        <v>https://pbs.twimg.com/profile_images/1598423978082705410/jU-vUeHf_normal.jpg</v>
      </c>
      <c r="AW509" s="82" t="s">
        <v>12210</v>
      </c>
      <c r="AX509" s="82" t="s">
        <v>15764</v>
      </c>
      <c r="AY509" s="82" t="s">
        <v>15928</v>
      </c>
      <c r="AZ509" s="82" t="s">
        <v>15764</v>
      </c>
      <c r="BA509" s="82" t="s">
        <v>15984</v>
      </c>
      <c r="BB509" s="82" t="s">
        <v>15984</v>
      </c>
      <c r="BC509" s="82" t="s">
        <v>15764</v>
      </c>
      <c r="BD509" s="82" t="s">
        <v>15928</v>
      </c>
      <c r="BE509" s="77"/>
      <c r="BF509" s="77"/>
      <c r="BG509" s="77"/>
      <c r="BH509" s="77"/>
      <c r="BI509" s="77"/>
    </row>
    <row r="510" spans="1:61" x14ac:dyDescent="0.25">
      <c r="A510" s="62" t="s">
        <v>374</v>
      </c>
      <c r="B510" s="62" t="s">
        <v>374</v>
      </c>
      <c r="C510" s="63"/>
      <c r="D510" s="64"/>
      <c r="E510" s="65"/>
      <c r="F510" s="66"/>
      <c r="G510" s="63"/>
      <c r="H510" s="67"/>
      <c r="I510" s="68"/>
      <c r="J510" s="68"/>
      <c r="K510" s="32"/>
      <c r="L510" s="75">
        <v>510</v>
      </c>
      <c r="M510" s="75"/>
      <c r="N510" s="70"/>
      <c r="O510" s="77" t="s">
        <v>898</v>
      </c>
      <c r="P510" s="79">
        <v>45135.513321759259</v>
      </c>
      <c r="Q510" s="77" t="s">
        <v>1385</v>
      </c>
      <c r="R510" s="77">
        <v>0</v>
      </c>
      <c r="S510" s="77">
        <v>0</v>
      </c>
      <c r="T510" s="77">
        <v>0</v>
      </c>
      <c r="U510" s="77">
        <v>0</v>
      </c>
      <c r="V510" s="77">
        <v>2</v>
      </c>
      <c r="W510" s="82" t="s">
        <v>5078</v>
      </c>
      <c r="X510" s="77"/>
      <c r="Y510" s="77"/>
      <c r="Z510" s="77"/>
      <c r="AA510" s="77"/>
      <c r="AB510" s="77"/>
      <c r="AC510" s="82" t="s">
        <v>7750</v>
      </c>
      <c r="AD510" s="77" t="s">
        <v>7791</v>
      </c>
      <c r="AE510" s="80" t="str">
        <f>HYPERLINK("https://twitter.com/danielg_s6/status/1684901312888991744")</f>
        <v>https://twitter.com/danielg_s6/status/1684901312888991744</v>
      </c>
      <c r="AF510" s="79">
        <v>45135.513321759259</v>
      </c>
      <c r="AG510" s="85">
        <v>45135</v>
      </c>
      <c r="AH510" s="82" t="s">
        <v>8249</v>
      </c>
      <c r="AI510" s="77"/>
      <c r="AJ510" s="77"/>
      <c r="AK510" s="77"/>
      <c r="AL510" s="77"/>
      <c r="AM510" s="77"/>
      <c r="AN510" s="77"/>
      <c r="AO510" s="77"/>
      <c r="AP510" s="77"/>
      <c r="AQ510" s="77"/>
      <c r="AR510" s="77"/>
      <c r="AS510" s="77"/>
      <c r="AT510" s="77"/>
      <c r="AU510" s="77"/>
      <c r="AV510" s="80" t="str">
        <f>HYPERLINK("https://pbs.twimg.com/profile_images/1598423978082705410/jU-vUeHf_normal.jpg")</f>
        <v>https://pbs.twimg.com/profile_images/1598423978082705410/jU-vUeHf_normal.jpg</v>
      </c>
      <c r="AW510" s="82" t="s">
        <v>12211</v>
      </c>
      <c r="AX510" s="82" t="s">
        <v>12212</v>
      </c>
      <c r="AY510" s="82" t="s">
        <v>15928</v>
      </c>
      <c r="AZ510" s="82" t="s">
        <v>16002</v>
      </c>
      <c r="BA510" s="82" t="s">
        <v>15984</v>
      </c>
      <c r="BB510" s="82" t="s">
        <v>15984</v>
      </c>
      <c r="BC510" s="82" t="s">
        <v>16002</v>
      </c>
      <c r="BD510" s="82" t="s">
        <v>15928</v>
      </c>
      <c r="BE510" s="77"/>
      <c r="BF510" s="77"/>
      <c r="BG510" s="77"/>
      <c r="BH510" s="77"/>
      <c r="BI510" s="77"/>
    </row>
    <row r="511" spans="1:61" x14ac:dyDescent="0.25">
      <c r="A511" s="62" t="s">
        <v>374</v>
      </c>
      <c r="B511" s="62" t="s">
        <v>374</v>
      </c>
      <c r="C511" s="63"/>
      <c r="D511" s="64"/>
      <c r="E511" s="65"/>
      <c r="F511" s="66"/>
      <c r="G511" s="63"/>
      <c r="H511" s="67"/>
      <c r="I511" s="68"/>
      <c r="J511" s="68"/>
      <c r="K511" s="32"/>
      <c r="L511" s="75">
        <v>511</v>
      </c>
      <c r="M511" s="75"/>
      <c r="N511" s="70"/>
      <c r="O511" s="77" t="s">
        <v>179</v>
      </c>
      <c r="P511" s="79">
        <v>45135.513252314813</v>
      </c>
      <c r="Q511" s="77" t="s">
        <v>1386</v>
      </c>
      <c r="R511" s="77">
        <v>0</v>
      </c>
      <c r="S511" s="77">
        <v>0</v>
      </c>
      <c r="T511" s="77">
        <v>1</v>
      </c>
      <c r="U511" s="77">
        <v>0</v>
      </c>
      <c r="V511" s="77">
        <v>2</v>
      </c>
      <c r="W511" s="82" t="s">
        <v>5078</v>
      </c>
      <c r="X511" s="77"/>
      <c r="Y511" s="77"/>
      <c r="Z511" s="77"/>
      <c r="AA511" s="77"/>
      <c r="AB511" s="77"/>
      <c r="AC511" s="82" t="s">
        <v>7750</v>
      </c>
      <c r="AD511" s="77" t="s">
        <v>7796</v>
      </c>
      <c r="AE511" s="80" t="str">
        <f>HYPERLINK("https://twitter.com/danielg_s6/status/1684901285709910017")</f>
        <v>https://twitter.com/danielg_s6/status/1684901285709910017</v>
      </c>
      <c r="AF511" s="79">
        <v>45135.513252314813</v>
      </c>
      <c r="AG511" s="85">
        <v>45135</v>
      </c>
      <c r="AH511" s="82" t="s">
        <v>8250</v>
      </c>
      <c r="AI511" s="77"/>
      <c r="AJ511" s="77"/>
      <c r="AK511" s="77"/>
      <c r="AL511" s="77"/>
      <c r="AM511" s="77"/>
      <c r="AN511" s="77"/>
      <c r="AO511" s="77"/>
      <c r="AP511" s="77"/>
      <c r="AQ511" s="77"/>
      <c r="AR511" s="77"/>
      <c r="AS511" s="77"/>
      <c r="AT511" s="77"/>
      <c r="AU511" s="77"/>
      <c r="AV511" s="80" t="str">
        <f>HYPERLINK("https://pbs.twimg.com/profile_images/1598423978082705410/jU-vUeHf_normal.jpg")</f>
        <v>https://pbs.twimg.com/profile_images/1598423978082705410/jU-vUeHf_normal.jpg</v>
      </c>
      <c r="AW511" s="82" t="s">
        <v>12212</v>
      </c>
      <c r="AX511" s="82" t="s">
        <v>12212</v>
      </c>
      <c r="AY511" s="77"/>
      <c r="AZ511" s="82" t="s">
        <v>15984</v>
      </c>
      <c r="BA511" s="82" t="s">
        <v>15984</v>
      </c>
      <c r="BB511" s="82" t="s">
        <v>15984</v>
      </c>
      <c r="BC511" s="82" t="s">
        <v>12212</v>
      </c>
      <c r="BD511" s="82" t="s">
        <v>15928</v>
      </c>
      <c r="BE511" s="77"/>
      <c r="BF511" s="77"/>
      <c r="BG511" s="77"/>
      <c r="BH511" s="77"/>
      <c r="BI511" s="77"/>
    </row>
    <row r="512" spans="1:61" x14ac:dyDescent="0.25">
      <c r="A512" s="62" t="s">
        <v>375</v>
      </c>
      <c r="B512" s="62" t="s">
        <v>375</v>
      </c>
      <c r="C512" s="63"/>
      <c r="D512" s="64"/>
      <c r="E512" s="65"/>
      <c r="F512" s="66"/>
      <c r="G512" s="63"/>
      <c r="H512" s="67"/>
      <c r="I512" s="68"/>
      <c r="J512" s="68"/>
      <c r="K512" s="32"/>
      <c r="L512" s="75">
        <v>512</v>
      </c>
      <c r="M512" s="75"/>
      <c r="N512" s="70"/>
      <c r="O512" s="77" t="s">
        <v>179</v>
      </c>
      <c r="P512" s="79">
        <v>45127.558125000003</v>
      </c>
      <c r="Q512" s="77" t="s">
        <v>1387</v>
      </c>
      <c r="R512" s="77">
        <v>0</v>
      </c>
      <c r="S512" s="77">
        <v>0</v>
      </c>
      <c r="T512" s="77">
        <v>0</v>
      </c>
      <c r="U512" s="77">
        <v>0</v>
      </c>
      <c r="V512" s="77">
        <v>3</v>
      </c>
      <c r="W512" s="82" t="s">
        <v>5079</v>
      </c>
      <c r="X512" s="80" t="str">
        <f>HYPERLINK("https://tinyurl.com/2hh8wc9b")</f>
        <v>https://tinyurl.com/2hh8wc9b</v>
      </c>
      <c r="Y512" s="77" t="s">
        <v>6502</v>
      </c>
      <c r="Z512" s="77"/>
      <c r="AA512" s="77"/>
      <c r="AB512" s="77"/>
      <c r="AC512" s="82" t="s">
        <v>7750</v>
      </c>
      <c r="AD512" s="77" t="s">
        <v>7788</v>
      </c>
      <c r="AE512" s="80" t="str">
        <f>HYPERLINK("https://twitter.com/elizave12948781/status/1682018445481889798")</f>
        <v>https://twitter.com/elizave12948781/status/1682018445481889798</v>
      </c>
      <c r="AF512" s="79">
        <v>45127.558125000003</v>
      </c>
      <c r="AG512" s="85">
        <v>45127</v>
      </c>
      <c r="AH512" s="82" t="s">
        <v>8251</v>
      </c>
      <c r="AI512" s="77" t="b">
        <v>0</v>
      </c>
      <c r="AJ512" s="77"/>
      <c r="AK512" s="77"/>
      <c r="AL512" s="77"/>
      <c r="AM512" s="77"/>
      <c r="AN512" s="77"/>
      <c r="AO512" s="77"/>
      <c r="AP512" s="77"/>
      <c r="AQ512" s="77"/>
      <c r="AR512" s="77"/>
      <c r="AS512" s="77"/>
      <c r="AT512" s="77"/>
      <c r="AU512" s="77"/>
      <c r="AV512" s="80" t="str">
        <f>HYPERLINK("https://pbs.twimg.com/profile_images/1579909347127066624/VVou0Hiw_normal.jpg")</f>
        <v>https://pbs.twimg.com/profile_images/1579909347127066624/VVou0Hiw_normal.jpg</v>
      </c>
      <c r="AW512" s="82" t="s">
        <v>12213</v>
      </c>
      <c r="AX512" s="82" t="s">
        <v>12213</v>
      </c>
      <c r="AY512" s="77"/>
      <c r="AZ512" s="82" t="s">
        <v>15984</v>
      </c>
      <c r="BA512" s="82" t="s">
        <v>15984</v>
      </c>
      <c r="BB512" s="82" t="s">
        <v>15984</v>
      </c>
      <c r="BC512" s="82" t="s">
        <v>12213</v>
      </c>
      <c r="BD512" s="82" t="s">
        <v>16193</v>
      </c>
      <c r="BE512" s="77"/>
      <c r="BF512" s="77"/>
      <c r="BG512" s="77"/>
      <c r="BH512" s="77"/>
      <c r="BI512" s="77"/>
    </row>
    <row r="513" spans="1:61" x14ac:dyDescent="0.25">
      <c r="A513" s="62" t="s">
        <v>375</v>
      </c>
      <c r="B513" s="62" t="s">
        <v>375</v>
      </c>
      <c r="C513" s="63"/>
      <c r="D513" s="64"/>
      <c r="E513" s="65"/>
      <c r="F513" s="66"/>
      <c r="G513" s="63"/>
      <c r="H513" s="67"/>
      <c r="I513" s="68"/>
      <c r="J513" s="68"/>
      <c r="K513" s="32"/>
      <c r="L513" s="75">
        <v>513</v>
      </c>
      <c r="M513" s="75"/>
      <c r="N513" s="70"/>
      <c r="O513" s="77" t="s">
        <v>179</v>
      </c>
      <c r="P513" s="79">
        <v>45128.652256944442</v>
      </c>
      <c r="Q513" s="77" t="s">
        <v>1388</v>
      </c>
      <c r="R513" s="77">
        <v>0</v>
      </c>
      <c r="S513" s="77">
        <v>0</v>
      </c>
      <c r="T513" s="77">
        <v>0</v>
      </c>
      <c r="U513" s="77">
        <v>0</v>
      </c>
      <c r="V513" s="77">
        <v>12</v>
      </c>
      <c r="W513" s="82" t="s">
        <v>5080</v>
      </c>
      <c r="X513" s="80" t="str">
        <f>HYPERLINK("https://tinyurl.com/2qn3nhpl")</f>
        <v>https://tinyurl.com/2qn3nhpl</v>
      </c>
      <c r="Y513" s="77" t="s">
        <v>6502</v>
      </c>
      <c r="Z513" s="77"/>
      <c r="AA513" s="77"/>
      <c r="AB513" s="77"/>
      <c r="AC513" s="82" t="s">
        <v>7750</v>
      </c>
      <c r="AD513" s="77" t="s">
        <v>7788</v>
      </c>
      <c r="AE513" s="80" t="str">
        <f>HYPERLINK("https://twitter.com/elizave12948781/status/1682414944988409857")</f>
        <v>https://twitter.com/elizave12948781/status/1682414944988409857</v>
      </c>
      <c r="AF513" s="79">
        <v>45128.652256944442</v>
      </c>
      <c r="AG513" s="85">
        <v>45128</v>
      </c>
      <c r="AH513" s="82" t="s">
        <v>8252</v>
      </c>
      <c r="AI513" s="77" t="b">
        <v>0</v>
      </c>
      <c r="AJ513" s="77"/>
      <c r="AK513" s="77"/>
      <c r="AL513" s="77"/>
      <c r="AM513" s="77"/>
      <c r="AN513" s="77"/>
      <c r="AO513" s="77"/>
      <c r="AP513" s="77"/>
      <c r="AQ513" s="77"/>
      <c r="AR513" s="77"/>
      <c r="AS513" s="77"/>
      <c r="AT513" s="77"/>
      <c r="AU513" s="77"/>
      <c r="AV513" s="80" t="str">
        <f>HYPERLINK("https://pbs.twimg.com/profile_images/1579909347127066624/VVou0Hiw_normal.jpg")</f>
        <v>https://pbs.twimg.com/profile_images/1579909347127066624/VVou0Hiw_normal.jpg</v>
      </c>
      <c r="AW513" s="82" t="s">
        <v>12214</v>
      </c>
      <c r="AX513" s="82" t="s">
        <v>12214</v>
      </c>
      <c r="AY513" s="77"/>
      <c r="AZ513" s="82" t="s">
        <v>15984</v>
      </c>
      <c r="BA513" s="82" t="s">
        <v>15984</v>
      </c>
      <c r="BB513" s="82" t="s">
        <v>15984</v>
      </c>
      <c r="BC513" s="82" t="s">
        <v>12214</v>
      </c>
      <c r="BD513" s="82" t="s">
        <v>16193</v>
      </c>
      <c r="BE513" s="77"/>
      <c r="BF513" s="77"/>
      <c r="BG513" s="77"/>
      <c r="BH513" s="77"/>
      <c r="BI513" s="77"/>
    </row>
    <row r="514" spans="1:61" x14ac:dyDescent="0.25">
      <c r="A514" s="62" t="s">
        <v>375</v>
      </c>
      <c r="B514" s="62" t="s">
        <v>375</v>
      </c>
      <c r="C514" s="63"/>
      <c r="D514" s="64"/>
      <c r="E514" s="65"/>
      <c r="F514" s="66"/>
      <c r="G514" s="63"/>
      <c r="H514" s="67"/>
      <c r="I514" s="68"/>
      <c r="J514" s="68"/>
      <c r="K514" s="32"/>
      <c r="L514" s="75">
        <v>514</v>
      </c>
      <c r="M514" s="75"/>
      <c r="N514" s="70"/>
      <c r="O514" s="77" t="s">
        <v>179</v>
      </c>
      <c r="P514" s="79">
        <v>45138.071712962963</v>
      </c>
      <c r="Q514" s="77" t="s">
        <v>1389</v>
      </c>
      <c r="R514" s="77">
        <v>0</v>
      </c>
      <c r="S514" s="77">
        <v>0</v>
      </c>
      <c r="T514" s="77">
        <v>0</v>
      </c>
      <c r="U514" s="77">
        <v>0</v>
      </c>
      <c r="V514" s="77">
        <v>23</v>
      </c>
      <c r="W514" s="82" t="s">
        <v>5081</v>
      </c>
      <c r="X514" s="80" t="str">
        <f>HYPERLINK("https://tinyurl.com/22pn7nz8")</f>
        <v>https://tinyurl.com/22pn7nz8</v>
      </c>
      <c r="Y514" s="77" t="s">
        <v>6502</v>
      </c>
      <c r="Z514" s="77"/>
      <c r="AA514" s="77"/>
      <c r="AB514" s="77"/>
      <c r="AC514" s="82" t="s">
        <v>7750</v>
      </c>
      <c r="AD514" s="77" t="s">
        <v>7788</v>
      </c>
      <c r="AE514" s="80" t="str">
        <f>HYPERLINK("https://twitter.com/elizave12948781/status/1685828440405028864")</f>
        <v>https://twitter.com/elizave12948781/status/1685828440405028864</v>
      </c>
      <c r="AF514" s="79">
        <v>45138.071712962963</v>
      </c>
      <c r="AG514" s="85">
        <v>45138</v>
      </c>
      <c r="AH514" s="82" t="s">
        <v>8253</v>
      </c>
      <c r="AI514" s="77" t="b">
        <v>0</v>
      </c>
      <c r="AJ514" s="77"/>
      <c r="AK514" s="77"/>
      <c r="AL514" s="77"/>
      <c r="AM514" s="77"/>
      <c r="AN514" s="77"/>
      <c r="AO514" s="77"/>
      <c r="AP514" s="77"/>
      <c r="AQ514" s="77"/>
      <c r="AR514" s="77"/>
      <c r="AS514" s="77"/>
      <c r="AT514" s="77"/>
      <c r="AU514" s="77"/>
      <c r="AV514" s="80" t="str">
        <f>HYPERLINK("https://pbs.twimg.com/profile_images/1579909347127066624/VVou0Hiw_normal.jpg")</f>
        <v>https://pbs.twimg.com/profile_images/1579909347127066624/VVou0Hiw_normal.jpg</v>
      </c>
      <c r="AW514" s="82" t="s">
        <v>12215</v>
      </c>
      <c r="AX514" s="82" t="s">
        <v>12215</v>
      </c>
      <c r="AY514" s="77"/>
      <c r="AZ514" s="82" t="s">
        <v>15984</v>
      </c>
      <c r="BA514" s="82" t="s">
        <v>15984</v>
      </c>
      <c r="BB514" s="82" t="s">
        <v>15984</v>
      </c>
      <c r="BC514" s="82" t="s">
        <v>12215</v>
      </c>
      <c r="BD514" s="82" t="s">
        <v>16193</v>
      </c>
      <c r="BE514" s="77"/>
      <c r="BF514" s="77"/>
      <c r="BG514" s="77"/>
      <c r="BH514" s="77"/>
      <c r="BI514" s="77"/>
    </row>
    <row r="515" spans="1:61" x14ac:dyDescent="0.25">
      <c r="A515" s="62" t="s">
        <v>375</v>
      </c>
      <c r="B515" s="62" t="s">
        <v>375</v>
      </c>
      <c r="C515" s="63"/>
      <c r="D515" s="64"/>
      <c r="E515" s="65"/>
      <c r="F515" s="66"/>
      <c r="G515" s="63"/>
      <c r="H515" s="67"/>
      <c r="I515" s="68"/>
      <c r="J515" s="68"/>
      <c r="K515" s="32"/>
      <c r="L515" s="75">
        <v>515</v>
      </c>
      <c r="M515" s="75"/>
      <c r="N515" s="70"/>
      <c r="O515" s="77" t="s">
        <v>179</v>
      </c>
      <c r="P515" s="79">
        <v>45166.364108796297</v>
      </c>
      <c r="Q515" s="77" t="s">
        <v>1390</v>
      </c>
      <c r="R515" s="77">
        <v>0</v>
      </c>
      <c r="S515" s="77">
        <v>0</v>
      </c>
      <c r="T515" s="77">
        <v>0</v>
      </c>
      <c r="U515" s="77">
        <v>0</v>
      </c>
      <c r="V515" s="77">
        <v>9</v>
      </c>
      <c r="W515" s="82" t="s">
        <v>5082</v>
      </c>
      <c r="X515" s="80" t="str">
        <f>HYPERLINK("https://tinyurl.com/2bowly8p")</f>
        <v>https://tinyurl.com/2bowly8p</v>
      </c>
      <c r="Y515" s="77" t="s">
        <v>6502</v>
      </c>
      <c r="Z515" s="77"/>
      <c r="AA515" s="77"/>
      <c r="AB515" s="77"/>
      <c r="AC515" s="82" t="s">
        <v>7750</v>
      </c>
      <c r="AD515" s="77" t="s">
        <v>7788</v>
      </c>
      <c r="AE515" s="80" t="str">
        <f>HYPERLINK("https://twitter.com/elizave12948781/status/1696081265349288447")</f>
        <v>https://twitter.com/elizave12948781/status/1696081265349288447</v>
      </c>
      <c r="AF515" s="79">
        <v>45166.364108796297</v>
      </c>
      <c r="AG515" s="85">
        <v>45166</v>
      </c>
      <c r="AH515" s="82" t="s">
        <v>8254</v>
      </c>
      <c r="AI515" s="77" t="b">
        <v>0</v>
      </c>
      <c r="AJ515" s="77"/>
      <c r="AK515" s="77"/>
      <c r="AL515" s="77"/>
      <c r="AM515" s="77"/>
      <c r="AN515" s="77"/>
      <c r="AO515" s="77"/>
      <c r="AP515" s="77"/>
      <c r="AQ515" s="77"/>
      <c r="AR515" s="77"/>
      <c r="AS515" s="77"/>
      <c r="AT515" s="77"/>
      <c r="AU515" s="77"/>
      <c r="AV515" s="80" t="str">
        <f>HYPERLINK("https://pbs.twimg.com/profile_images/1579909347127066624/VVou0Hiw_normal.jpg")</f>
        <v>https://pbs.twimg.com/profile_images/1579909347127066624/VVou0Hiw_normal.jpg</v>
      </c>
      <c r="AW515" s="82" t="s">
        <v>12216</v>
      </c>
      <c r="AX515" s="82" t="s">
        <v>12216</v>
      </c>
      <c r="AY515" s="77"/>
      <c r="AZ515" s="82" t="s">
        <v>15984</v>
      </c>
      <c r="BA515" s="82" t="s">
        <v>15984</v>
      </c>
      <c r="BB515" s="82" t="s">
        <v>15984</v>
      </c>
      <c r="BC515" s="82" t="s">
        <v>12216</v>
      </c>
      <c r="BD515" s="82" t="s">
        <v>16193</v>
      </c>
      <c r="BE515" s="77"/>
      <c r="BF515" s="77"/>
      <c r="BG515" s="77"/>
      <c r="BH515" s="77"/>
      <c r="BI515" s="77"/>
    </row>
    <row r="516" spans="1:61" x14ac:dyDescent="0.25">
      <c r="A516" s="62" t="s">
        <v>375</v>
      </c>
      <c r="B516" s="62" t="s">
        <v>375</v>
      </c>
      <c r="C516" s="63"/>
      <c r="D516" s="64"/>
      <c r="E516" s="65"/>
      <c r="F516" s="66"/>
      <c r="G516" s="63"/>
      <c r="H516" s="67"/>
      <c r="I516" s="68"/>
      <c r="J516" s="68"/>
      <c r="K516" s="32"/>
      <c r="L516" s="75">
        <v>516</v>
      </c>
      <c r="M516" s="75"/>
      <c r="N516" s="70"/>
      <c r="O516" s="77" t="s">
        <v>179</v>
      </c>
      <c r="P516" s="79">
        <v>45165.55704861111</v>
      </c>
      <c r="Q516" s="77" t="s">
        <v>1391</v>
      </c>
      <c r="R516" s="77">
        <v>0</v>
      </c>
      <c r="S516" s="77">
        <v>0</v>
      </c>
      <c r="T516" s="77">
        <v>0</v>
      </c>
      <c r="U516" s="77">
        <v>0</v>
      </c>
      <c r="V516" s="77">
        <v>2</v>
      </c>
      <c r="W516" s="82" t="s">
        <v>5083</v>
      </c>
      <c r="X516" s="80" t="str">
        <f>HYPERLINK("https://tinyurl.com/28akfbfb")</f>
        <v>https://tinyurl.com/28akfbfb</v>
      </c>
      <c r="Y516" s="77" t="s">
        <v>6502</v>
      </c>
      <c r="Z516" s="77"/>
      <c r="AA516" s="77"/>
      <c r="AB516" s="77"/>
      <c r="AC516" s="82" t="s">
        <v>7750</v>
      </c>
      <c r="AD516" s="77" t="s">
        <v>7788</v>
      </c>
      <c r="AE516" s="80" t="str">
        <f>HYPERLINK("https://twitter.com/elizave12948781/status/1695788793855422881")</f>
        <v>https://twitter.com/elizave12948781/status/1695788793855422881</v>
      </c>
      <c r="AF516" s="79">
        <v>45165.55704861111</v>
      </c>
      <c r="AG516" s="85">
        <v>45165</v>
      </c>
      <c r="AH516" s="82" t="s">
        <v>8255</v>
      </c>
      <c r="AI516" s="77" t="b">
        <v>0</v>
      </c>
      <c r="AJ516" s="77"/>
      <c r="AK516" s="77"/>
      <c r="AL516" s="77"/>
      <c r="AM516" s="77"/>
      <c r="AN516" s="77"/>
      <c r="AO516" s="77"/>
      <c r="AP516" s="77"/>
      <c r="AQ516" s="77"/>
      <c r="AR516" s="77"/>
      <c r="AS516" s="77"/>
      <c r="AT516" s="77"/>
      <c r="AU516" s="77"/>
      <c r="AV516" s="80" t="str">
        <f>HYPERLINK("https://pbs.twimg.com/profile_images/1579909347127066624/VVou0Hiw_normal.jpg")</f>
        <v>https://pbs.twimg.com/profile_images/1579909347127066624/VVou0Hiw_normal.jpg</v>
      </c>
      <c r="AW516" s="82" t="s">
        <v>12217</v>
      </c>
      <c r="AX516" s="82" t="s">
        <v>12217</v>
      </c>
      <c r="AY516" s="77"/>
      <c r="AZ516" s="82" t="s">
        <v>15984</v>
      </c>
      <c r="BA516" s="82" t="s">
        <v>15984</v>
      </c>
      <c r="BB516" s="82" t="s">
        <v>15984</v>
      </c>
      <c r="BC516" s="82" t="s">
        <v>12217</v>
      </c>
      <c r="BD516" s="82" t="s">
        <v>16193</v>
      </c>
      <c r="BE516" s="77"/>
      <c r="BF516" s="77"/>
      <c r="BG516" s="77"/>
      <c r="BH516" s="77"/>
      <c r="BI516" s="77"/>
    </row>
    <row r="517" spans="1:61" x14ac:dyDescent="0.25">
      <c r="A517" s="62" t="s">
        <v>375</v>
      </c>
      <c r="B517" s="62" t="s">
        <v>375</v>
      </c>
      <c r="C517" s="63"/>
      <c r="D517" s="64"/>
      <c r="E517" s="65"/>
      <c r="F517" s="66"/>
      <c r="G517" s="63"/>
      <c r="H517" s="67"/>
      <c r="I517" s="68"/>
      <c r="J517" s="68"/>
      <c r="K517" s="32"/>
      <c r="L517" s="75">
        <v>517</v>
      </c>
      <c r="M517" s="75"/>
      <c r="N517" s="70"/>
      <c r="O517" s="77" t="s">
        <v>179</v>
      </c>
      <c r="P517" s="79">
        <v>45119.379675925928</v>
      </c>
      <c r="Q517" s="77" t="s">
        <v>1392</v>
      </c>
      <c r="R517" s="77">
        <v>0</v>
      </c>
      <c r="S517" s="77">
        <v>0</v>
      </c>
      <c r="T517" s="77">
        <v>0</v>
      </c>
      <c r="U517" s="77">
        <v>0</v>
      </c>
      <c r="V517" s="77">
        <v>52</v>
      </c>
      <c r="W517" s="82" t="s">
        <v>5084</v>
      </c>
      <c r="X517" s="80" t="str">
        <f>HYPERLINK("https://tinyurl.com/2bp8qeuo")</f>
        <v>https://tinyurl.com/2bp8qeuo</v>
      </c>
      <c r="Y517" s="77" t="s">
        <v>6502</v>
      </c>
      <c r="Z517" s="77"/>
      <c r="AA517" s="77"/>
      <c r="AB517" s="77"/>
      <c r="AC517" s="82" t="s">
        <v>7750</v>
      </c>
      <c r="AD517" s="77" t="s">
        <v>7790</v>
      </c>
      <c r="AE517" s="80" t="str">
        <f>HYPERLINK("https://twitter.com/elizave12948781/status/1679054676304470016")</f>
        <v>https://twitter.com/elizave12948781/status/1679054676304470016</v>
      </c>
      <c r="AF517" s="79">
        <v>45119.379675925928</v>
      </c>
      <c r="AG517" s="85">
        <v>45119</v>
      </c>
      <c r="AH517" s="82" t="s">
        <v>8256</v>
      </c>
      <c r="AI517" s="77" t="b">
        <v>0</v>
      </c>
      <c r="AJ517" s="77"/>
      <c r="AK517" s="77"/>
      <c r="AL517" s="77"/>
      <c r="AM517" s="77"/>
      <c r="AN517" s="77"/>
      <c r="AO517" s="77"/>
      <c r="AP517" s="77"/>
      <c r="AQ517" s="77"/>
      <c r="AR517" s="77"/>
      <c r="AS517" s="77"/>
      <c r="AT517" s="77"/>
      <c r="AU517" s="77"/>
      <c r="AV517" s="80" t="str">
        <f>HYPERLINK("https://pbs.twimg.com/profile_images/1579909347127066624/VVou0Hiw_normal.jpg")</f>
        <v>https://pbs.twimg.com/profile_images/1579909347127066624/VVou0Hiw_normal.jpg</v>
      </c>
      <c r="AW517" s="82" t="s">
        <v>12218</v>
      </c>
      <c r="AX517" s="82" t="s">
        <v>12218</v>
      </c>
      <c r="AY517" s="77"/>
      <c r="AZ517" s="82" t="s">
        <v>15984</v>
      </c>
      <c r="BA517" s="82" t="s">
        <v>15984</v>
      </c>
      <c r="BB517" s="82" t="s">
        <v>15984</v>
      </c>
      <c r="BC517" s="82" t="s">
        <v>12218</v>
      </c>
      <c r="BD517" s="82" t="s">
        <v>16193</v>
      </c>
      <c r="BE517" s="77"/>
      <c r="BF517" s="77"/>
      <c r="BG517" s="77"/>
      <c r="BH517" s="77"/>
      <c r="BI517" s="77"/>
    </row>
    <row r="518" spans="1:61" x14ac:dyDescent="0.25">
      <c r="A518" s="62" t="s">
        <v>375</v>
      </c>
      <c r="B518" s="62" t="s">
        <v>375</v>
      </c>
      <c r="C518" s="63"/>
      <c r="D518" s="64"/>
      <c r="E518" s="65"/>
      <c r="F518" s="66"/>
      <c r="G518" s="63"/>
      <c r="H518" s="67"/>
      <c r="I518" s="68"/>
      <c r="J518" s="68"/>
      <c r="K518" s="32"/>
      <c r="L518" s="75">
        <v>518</v>
      </c>
      <c r="M518" s="75"/>
      <c r="N518" s="70"/>
      <c r="O518" s="77" t="s">
        <v>179</v>
      </c>
      <c r="P518" s="79">
        <v>45170.187442129631</v>
      </c>
      <c r="Q518" s="77" t="s">
        <v>1393</v>
      </c>
      <c r="R518" s="77">
        <v>0</v>
      </c>
      <c r="S518" s="77">
        <v>0</v>
      </c>
      <c r="T518" s="77">
        <v>0</v>
      </c>
      <c r="U518" s="77">
        <v>0</v>
      </c>
      <c r="V518" s="77">
        <v>8</v>
      </c>
      <c r="W518" s="82" t="s">
        <v>5085</v>
      </c>
      <c r="X518" s="80" t="str">
        <f>HYPERLINK("https://tinyurl.com/246sxf8t")</f>
        <v>https://tinyurl.com/246sxf8t</v>
      </c>
      <c r="Y518" s="77" t="s">
        <v>6502</v>
      </c>
      <c r="Z518" s="77"/>
      <c r="AA518" s="77"/>
      <c r="AB518" s="77"/>
      <c r="AC518" s="82" t="s">
        <v>7750</v>
      </c>
      <c r="AD518" s="77" t="s">
        <v>7788</v>
      </c>
      <c r="AE518" s="80" t="str">
        <f>HYPERLINK("https://twitter.com/elizave12948781/status/1697466794250813647")</f>
        <v>https://twitter.com/elizave12948781/status/1697466794250813647</v>
      </c>
      <c r="AF518" s="79">
        <v>45170.187442129631</v>
      </c>
      <c r="AG518" s="85">
        <v>45170</v>
      </c>
      <c r="AH518" s="82" t="s">
        <v>8257</v>
      </c>
      <c r="AI518" s="77" t="b">
        <v>0</v>
      </c>
      <c r="AJ518" s="77"/>
      <c r="AK518" s="77"/>
      <c r="AL518" s="77"/>
      <c r="AM518" s="77"/>
      <c r="AN518" s="77"/>
      <c r="AO518" s="77"/>
      <c r="AP518" s="77"/>
      <c r="AQ518" s="77"/>
      <c r="AR518" s="77"/>
      <c r="AS518" s="77"/>
      <c r="AT518" s="77"/>
      <c r="AU518" s="77"/>
      <c r="AV518" s="80" t="str">
        <f>HYPERLINK("https://pbs.twimg.com/profile_images/1579909347127066624/VVou0Hiw_normal.jpg")</f>
        <v>https://pbs.twimg.com/profile_images/1579909347127066624/VVou0Hiw_normal.jpg</v>
      </c>
      <c r="AW518" s="82" t="s">
        <v>12219</v>
      </c>
      <c r="AX518" s="82" t="s">
        <v>12219</v>
      </c>
      <c r="AY518" s="77"/>
      <c r="AZ518" s="82" t="s">
        <v>15984</v>
      </c>
      <c r="BA518" s="82" t="s">
        <v>15984</v>
      </c>
      <c r="BB518" s="82" t="s">
        <v>15984</v>
      </c>
      <c r="BC518" s="82" t="s">
        <v>12219</v>
      </c>
      <c r="BD518" s="82" t="s">
        <v>16193</v>
      </c>
      <c r="BE518" s="77"/>
      <c r="BF518" s="77"/>
      <c r="BG518" s="77"/>
      <c r="BH518" s="77"/>
      <c r="BI518" s="77"/>
    </row>
    <row r="519" spans="1:61" x14ac:dyDescent="0.25">
      <c r="A519" s="62" t="s">
        <v>375</v>
      </c>
      <c r="B519" s="62" t="s">
        <v>375</v>
      </c>
      <c r="C519" s="63"/>
      <c r="D519" s="64"/>
      <c r="E519" s="65"/>
      <c r="F519" s="66"/>
      <c r="G519" s="63"/>
      <c r="H519" s="67"/>
      <c r="I519" s="68"/>
      <c r="J519" s="68"/>
      <c r="K519" s="32"/>
      <c r="L519" s="75">
        <v>519</v>
      </c>
      <c r="M519" s="75"/>
      <c r="N519" s="70"/>
      <c r="O519" s="77" t="s">
        <v>179</v>
      </c>
      <c r="P519" s="79">
        <v>45184.302094907405</v>
      </c>
      <c r="Q519" s="77" t="s">
        <v>1394</v>
      </c>
      <c r="R519" s="77">
        <v>0</v>
      </c>
      <c r="S519" s="77">
        <v>0</v>
      </c>
      <c r="T519" s="77">
        <v>0</v>
      </c>
      <c r="U519" s="77">
        <v>0</v>
      </c>
      <c r="V519" s="77">
        <v>9</v>
      </c>
      <c r="W519" s="82" t="s">
        <v>5086</v>
      </c>
      <c r="X519" s="80" t="str">
        <f>HYPERLINK("https://tinyurl.com/yndqeub6")</f>
        <v>https://tinyurl.com/yndqeub6</v>
      </c>
      <c r="Y519" s="77" t="s">
        <v>6502</v>
      </c>
      <c r="Z519" s="77"/>
      <c r="AA519" s="77"/>
      <c r="AB519" s="77"/>
      <c r="AC519" s="82" t="s">
        <v>7750</v>
      </c>
      <c r="AD519" s="77" t="s">
        <v>7788</v>
      </c>
      <c r="AE519" s="80" t="str">
        <f>HYPERLINK("https://twitter.com/elizave12948781/status/1702581770930037218")</f>
        <v>https://twitter.com/elizave12948781/status/1702581770930037218</v>
      </c>
      <c r="AF519" s="79">
        <v>45184.302094907405</v>
      </c>
      <c r="AG519" s="85">
        <v>45184</v>
      </c>
      <c r="AH519" s="82" t="s">
        <v>8258</v>
      </c>
      <c r="AI519" s="77" t="b">
        <v>0</v>
      </c>
      <c r="AJ519" s="77"/>
      <c r="AK519" s="77"/>
      <c r="AL519" s="77"/>
      <c r="AM519" s="77"/>
      <c r="AN519" s="77"/>
      <c r="AO519" s="77"/>
      <c r="AP519" s="77"/>
      <c r="AQ519" s="77"/>
      <c r="AR519" s="77"/>
      <c r="AS519" s="77"/>
      <c r="AT519" s="77"/>
      <c r="AU519" s="77"/>
      <c r="AV519" s="80" t="str">
        <f>HYPERLINK("https://pbs.twimg.com/profile_images/1579909347127066624/VVou0Hiw_normal.jpg")</f>
        <v>https://pbs.twimg.com/profile_images/1579909347127066624/VVou0Hiw_normal.jpg</v>
      </c>
      <c r="AW519" s="82" t="s">
        <v>12220</v>
      </c>
      <c r="AX519" s="82" t="s">
        <v>12220</v>
      </c>
      <c r="AY519" s="77"/>
      <c r="AZ519" s="82" t="s">
        <v>15984</v>
      </c>
      <c r="BA519" s="82" t="s">
        <v>15984</v>
      </c>
      <c r="BB519" s="82" t="s">
        <v>15984</v>
      </c>
      <c r="BC519" s="82" t="s">
        <v>12220</v>
      </c>
      <c r="BD519" s="82" t="s">
        <v>16193</v>
      </c>
      <c r="BE519" s="77"/>
      <c r="BF519" s="77"/>
      <c r="BG519" s="77"/>
      <c r="BH519" s="77"/>
      <c r="BI519" s="77"/>
    </row>
    <row r="520" spans="1:61" x14ac:dyDescent="0.25">
      <c r="A520" s="62" t="s">
        <v>375</v>
      </c>
      <c r="B520" s="62" t="s">
        <v>375</v>
      </c>
      <c r="C520" s="63"/>
      <c r="D520" s="64"/>
      <c r="E520" s="65"/>
      <c r="F520" s="66"/>
      <c r="G520" s="63"/>
      <c r="H520" s="67"/>
      <c r="I520" s="68"/>
      <c r="J520" s="68"/>
      <c r="K520" s="32"/>
      <c r="L520" s="75">
        <v>520</v>
      </c>
      <c r="M520" s="75"/>
      <c r="N520" s="70"/>
      <c r="O520" s="77" t="s">
        <v>179</v>
      </c>
      <c r="P520" s="79">
        <v>45188.186574074076</v>
      </c>
      <c r="Q520" s="77" t="s">
        <v>1395</v>
      </c>
      <c r="R520" s="77">
        <v>0</v>
      </c>
      <c r="S520" s="77">
        <v>0</v>
      </c>
      <c r="T520" s="77">
        <v>0</v>
      </c>
      <c r="U520" s="77">
        <v>0</v>
      </c>
      <c r="V520" s="77">
        <v>4</v>
      </c>
      <c r="W520" s="82" t="s">
        <v>5087</v>
      </c>
      <c r="X520" s="80" t="str">
        <f>HYPERLINK("https://tinyurl.com/25skhsbd")</f>
        <v>https://tinyurl.com/25skhsbd</v>
      </c>
      <c r="Y520" s="77" t="s">
        <v>6502</v>
      </c>
      <c r="Z520" s="77"/>
      <c r="AA520" s="77"/>
      <c r="AB520" s="77"/>
      <c r="AC520" s="82" t="s">
        <v>7750</v>
      </c>
      <c r="AD520" s="77" t="s">
        <v>7788</v>
      </c>
      <c r="AE520" s="80" t="str">
        <f>HYPERLINK("https://twitter.com/elizave12948781/status/1703989460315037715")</f>
        <v>https://twitter.com/elizave12948781/status/1703989460315037715</v>
      </c>
      <c r="AF520" s="79">
        <v>45188.186574074076</v>
      </c>
      <c r="AG520" s="85">
        <v>45188</v>
      </c>
      <c r="AH520" s="82" t="s">
        <v>8259</v>
      </c>
      <c r="AI520" s="77" t="b">
        <v>0</v>
      </c>
      <c r="AJ520" s="77"/>
      <c r="AK520" s="77"/>
      <c r="AL520" s="77"/>
      <c r="AM520" s="77"/>
      <c r="AN520" s="77"/>
      <c r="AO520" s="77"/>
      <c r="AP520" s="77"/>
      <c r="AQ520" s="77"/>
      <c r="AR520" s="77"/>
      <c r="AS520" s="77"/>
      <c r="AT520" s="77"/>
      <c r="AU520" s="77"/>
      <c r="AV520" s="80" t="str">
        <f>HYPERLINK("https://pbs.twimg.com/profile_images/1579909347127066624/VVou0Hiw_normal.jpg")</f>
        <v>https://pbs.twimg.com/profile_images/1579909347127066624/VVou0Hiw_normal.jpg</v>
      </c>
      <c r="AW520" s="82" t="s">
        <v>12221</v>
      </c>
      <c r="AX520" s="82" t="s">
        <v>12221</v>
      </c>
      <c r="AY520" s="77"/>
      <c r="AZ520" s="82" t="s">
        <v>15984</v>
      </c>
      <c r="BA520" s="82" t="s">
        <v>15984</v>
      </c>
      <c r="BB520" s="82" t="s">
        <v>15984</v>
      </c>
      <c r="BC520" s="82" t="s">
        <v>12221</v>
      </c>
      <c r="BD520" s="82" t="s">
        <v>16193</v>
      </c>
      <c r="BE520" s="77"/>
      <c r="BF520" s="77"/>
      <c r="BG520" s="77"/>
      <c r="BH520" s="77"/>
      <c r="BI520" s="77"/>
    </row>
    <row r="521" spans="1:61" x14ac:dyDescent="0.25">
      <c r="A521" s="62" t="s">
        <v>375</v>
      </c>
      <c r="B521" s="62" t="s">
        <v>375</v>
      </c>
      <c r="C521" s="63"/>
      <c r="D521" s="64"/>
      <c r="E521" s="65"/>
      <c r="F521" s="66"/>
      <c r="G521" s="63"/>
      <c r="H521" s="67"/>
      <c r="I521" s="68"/>
      <c r="J521" s="68"/>
      <c r="K521" s="32"/>
      <c r="L521" s="75">
        <v>521</v>
      </c>
      <c r="M521" s="75"/>
      <c r="N521" s="70"/>
      <c r="O521" s="77" t="s">
        <v>179</v>
      </c>
      <c r="P521" s="79">
        <v>45188.737951388888</v>
      </c>
      <c r="Q521" s="77" t="s">
        <v>1396</v>
      </c>
      <c r="R521" s="77">
        <v>0</v>
      </c>
      <c r="S521" s="77">
        <v>0</v>
      </c>
      <c r="T521" s="77">
        <v>0</v>
      </c>
      <c r="U521" s="77">
        <v>0</v>
      </c>
      <c r="V521" s="77">
        <v>10</v>
      </c>
      <c r="W521" s="82" t="s">
        <v>5088</v>
      </c>
      <c r="X521" s="80" t="str">
        <f>HYPERLINK("https://tinyurl.com/2b4u6cp2")</f>
        <v>https://tinyurl.com/2b4u6cp2</v>
      </c>
      <c r="Y521" s="77" t="s">
        <v>6502</v>
      </c>
      <c r="Z521" s="77"/>
      <c r="AA521" s="77"/>
      <c r="AB521" s="77"/>
      <c r="AC521" s="82" t="s">
        <v>7750</v>
      </c>
      <c r="AD521" s="77" t="s">
        <v>7788</v>
      </c>
      <c r="AE521" s="80" t="str">
        <f>HYPERLINK("https://twitter.com/elizave12948781/status/1704189273807753465")</f>
        <v>https://twitter.com/elizave12948781/status/1704189273807753465</v>
      </c>
      <c r="AF521" s="79">
        <v>45188.737951388888</v>
      </c>
      <c r="AG521" s="85">
        <v>45188</v>
      </c>
      <c r="AH521" s="82" t="s">
        <v>8260</v>
      </c>
      <c r="AI521" s="77" t="b">
        <v>0</v>
      </c>
      <c r="AJ521" s="77"/>
      <c r="AK521" s="77"/>
      <c r="AL521" s="77"/>
      <c r="AM521" s="77"/>
      <c r="AN521" s="77"/>
      <c r="AO521" s="77"/>
      <c r="AP521" s="77"/>
      <c r="AQ521" s="77"/>
      <c r="AR521" s="77"/>
      <c r="AS521" s="77"/>
      <c r="AT521" s="77"/>
      <c r="AU521" s="77"/>
      <c r="AV521" s="80" t="str">
        <f>HYPERLINK("https://pbs.twimg.com/profile_images/1579909347127066624/VVou0Hiw_normal.jpg")</f>
        <v>https://pbs.twimg.com/profile_images/1579909347127066624/VVou0Hiw_normal.jpg</v>
      </c>
      <c r="AW521" s="82" t="s">
        <v>12222</v>
      </c>
      <c r="AX521" s="82" t="s">
        <v>12222</v>
      </c>
      <c r="AY521" s="77"/>
      <c r="AZ521" s="82" t="s">
        <v>15984</v>
      </c>
      <c r="BA521" s="82" t="s">
        <v>15984</v>
      </c>
      <c r="BB521" s="82" t="s">
        <v>15984</v>
      </c>
      <c r="BC521" s="82" t="s">
        <v>12222</v>
      </c>
      <c r="BD521" s="82" t="s">
        <v>16193</v>
      </c>
      <c r="BE521" s="77"/>
      <c r="BF521" s="77"/>
      <c r="BG521" s="77"/>
      <c r="BH521" s="77"/>
      <c r="BI521" s="77"/>
    </row>
    <row r="522" spans="1:61" x14ac:dyDescent="0.25">
      <c r="A522" s="62" t="s">
        <v>375</v>
      </c>
      <c r="B522" s="62" t="s">
        <v>375</v>
      </c>
      <c r="C522" s="63"/>
      <c r="D522" s="64"/>
      <c r="E522" s="65"/>
      <c r="F522" s="66"/>
      <c r="G522" s="63"/>
      <c r="H522" s="67"/>
      <c r="I522" s="68"/>
      <c r="J522" s="68"/>
      <c r="K522" s="32"/>
      <c r="L522" s="75">
        <v>522</v>
      </c>
      <c r="M522" s="75"/>
      <c r="N522" s="70"/>
      <c r="O522" s="77" t="s">
        <v>179</v>
      </c>
      <c r="P522" s="79">
        <v>45191.379305555558</v>
      </c>
      <c r="Q522" s="77" t="s">
        <v>1397</v>
      </c>
      <c r="R522" s="77">
        <v>0</v>
      </c>
      <c r="S522" s="77">
        <v>0</v>
      </c>
      <c r="T522" s="77">
        <v>0</v>
      </c>
      <c r="U522" s="77">
        <v>0</v>
      </c>
      <c r="V522" s="77">
        <v>2</v>
      </c>
      <c r="W522" s="82" t="s">
        <v>5089</v>
      </c>
      <c r="X522" s="80" t="str">
        <f>HYPERLINK("https://tinyurl.com/2bb9kfae")</f>
        <v>https://tinyurl.com/2bb9kfae</v>
      </c>
      <c r="Y522" s="77" t="s">
        <v>6502</v>
      </c>
      <c r="Z522" s="77"/>
      <c r="AA522" s="77"/>
      <c r="AB522" s="77"/>
      <c r="AC522" s="82" t="s">
        <v>7750</v>
      </c>
      <c r="AD522" s="77" t="s">
        <v>7788</v>
      </c>
      <c r="AE522" s="80" t="str">
        <f>HYPERLINK("https://twitter.com/elizave12948781/status/1705146468917559468")</f>
        <v>https://twitter.com/elizave12948781/status/1705146468917559468</v>
      </c>
      <c r="AF522" s="79">
        <v>45191.379305555558</v>
      </c>
      <c r="AG522" s="85">
        <v>45191</v>
      </c>
      <c r="AH522" s="82" t="s">
        <v>8261</v>
      </c>
      <c r="AI522" s="77" t="b">
        <v>0</v>
      </c>
      <c r="AJ522" s="77"/>
      <c r="AK522" s="77"/>
      <c r="AL522" s="77"/>
      <c r="AM522" s="77"/>
      <c r="AN522" s="77"/>
      <c r="AO522" s="77"/>
      <c r="AP522" s="77"/>
      <c r="AQ522" s="77"/>
      <c r="AR522" s="77"/>
      <c r="AS522" s="77"/>
      <c r="AT522" s="77"/>
      <c r="AU522" s="77"/>
      <c r="AV522" s="80" t="str">
        <f>HYPERLINK("https://pbs.twimg.com/profile_images/1579909347127066624/VVou0Hiw_normal.jpg")</f>
        <v>https://pbs.twimg.com/profile_images/1579909347127066624/VVou0Hiw_normal.jpg</v>
      </c>
      <c r="AW522" s="82" t="s">
        <v>12223</v>
      </c>
      <c r="AX522" s="82" t="s">
        <v>12223</v>
      </c>
      <c r="AY522" s="77"/>
      <c r="AZ522" s="82" t="s">
        <v>15984</v>
      </c>
      <c r="BA522" s="82" t="s">
        <v>15984</v>
      </c>
      <c r="BB522" s="82" t="s">
        <v>15984</v>
      </c>
      <c r="BC522" s="82" t="s">
        <v>12223</v>
      </c>
      <c r="BD522" s="82" t="s">
        <v>16193</v>
      </c>
      <c r="BE522" s="77"/>
      <c r="BF522" s="77"/>
      <c r="BG522" s="77"/>
      <c r="BH522" s="77"/>
      <c r="BI522" s="77"/>
    </row>
    <row r="523" spans="1:61" x14ac:dyDescent="0.25">
      <c r="A523" s="62" t="s">
        <v>375</v>
      </c>
      <c r="B523" s="62" t="s">
        <v>375</v>
      </c>
      <c r="C523" s="63"/>
      <c r="D523" s="64"/>
      <c r="E523" s="65"/>
      <c r="F523" s="66"/>
      <c r="G523" s="63"/>
      <c r="H523" s="67"/>
      <c r="I523" s="68"/>
      <c r="J523" s="68"/>
      <c r="K523" s="32"/>
      <c r="L523" s="75">
        <v>523</v>
      </c>
      <c r="M523" s="75"/>
      <c r="N523" s="70"/>
      <c r="O523" s="77" t="s">
        <v>179</v>
      </c>
      <c r="P523" s="79">
        <v>45184.597638888888</v>
      </c>
      <c r="Q523" s="77" t="s">
        <v>1398</v>
      </c>
      <c r="R523" s="77">
        <v>0</v>
      </c>
      <c r="S523" s="77">
        <v>0</v>
      </c>
      <c r="T523" s="77">
        <v>0</v>
      </c>
      <c r="U523" s="77">
        <v>0</v>
      </c>
      <c r="V523" s="77">
        <v>17</v>
      </c>
      <c r="W523" s="82" t="s">
        <v>5090</v>
      </c>
      <c r="X523" s="80" t="str">
        <f>HYPERLINK("https://tinyurl.com/yw5agflo")</f>
        <v>https://tinyurl.com/yw5agflo</v>
      </c>
      <c r="Y523" s="77" t="s">
        <v>6502</v>
      </c>
      <c r="Z523" s="77"/>
      <c r="AA523" s="77"/>
      <c r="AB523" s="77"/>
      <c r="AC523" s="82" t="s">
        <v>7750</v>
      </c>
      <c r="AD523" s="77" t="s">
        <v>7788</v>
      </c>
      <c r="AE523" s="80" t="str">
        <f>HYPERLINK("https://twitter.com/elizave12948781/status/1702688874181308827")</f>
        <v>https://twitter.com/elizave12948781/status/1702688874181308827</v>
      </c>
      <c r="AF523" s="79">
        <v>45184.597638888888</v>
      </c>
      <c r="AG523" s="85">
        <v>45184</v>
      </c>
      <c r="AH523" s="82" t="s">
        <v>8262</v>
      </c>
      <c r="AI523" s="77" t="b">
        <v>0</v>
      </c>
      <c r="AJ523" s="77"/>
      <c r="AK523" s="77"/>
      <c r="AL523" s="77"/>
      <c r="AM523" s="77"/>
      <c r="AN523" s="77"/>
      <c r="AO523" s="77"/>
      <c r="AP523" s="77"/>
      <c r="AQ523" s="77"/>
      <c r="AR523" s="77"/>
      <c r="AS523" s="77"/>
      <c r="AT523" s="77"/>
      <c r="AU523" s="77"/>
      <c r="AV523" s="80" t="str">
        <f>HYPERLINK("https://pbs.twimg.com/profile_images/1579909347127066624/VVou0Hiw_normal.jpg")</f>
        <v>https://pbs.twimg.com/profile_images/1579909347127066624/VVou0Hiw_normal.jpg</v>
      </c>
      <c r="AW523" s="82" t="s">
        <v>12224</v>
      </c>
      <c r="AX523" s="82" t="s">
        <v>12224</v>
      </c>
      <c r="AY523" s="77"/>
      <c r="AZ523" s="82" t="s">
        <v>15984</v>
      </c>
      <c r="BA523" s="82" t="s">
        <v>15984</v>
      </c>
      <c r="BB523" s="82" t="s">
        <v>15984</v>
      </c>
      <c r="BC523" s="82" t="s">
        <v>12224</v>
      </c>
      <c r="BD523" s="82" t="s">
        <v>16193</v>
      </c>
      <c r="BE523" s="77"/>
      <c r="BF523" s="77"/>
      <c r="BG523" s="77"/>
      <c r="BH523" s="77"/>
      <c r="BI523" s="77"/>
    </row>
    <row r="524" spans="1:61" x14ac:dyDescent="0.25">
      <c r="A524" s="62" t="s">
        <v>375</v>
      </c>
      <c r="B524" s="62" t="s">
        <v>375</v>
      </c>
      <c r="C524" s="63"/>
      <c r="D524" s="64"/>
      <c r="E524" s="65"/>
      <c r="F524" s="66"/>
      <c r="G524" s="63"/>
      <c r="H524" s="67"/>
      <c r="I524" s="68"/>
      <c r="J524" s="68"/>
      <c r="K524" s="32"/>
      <c r="L524" s="75">
        <v>524</v>
      </c>
      <c r="M524" s="75"/>
      <c r="N524" s="70"/>
      <c r="O524" s="77" t="s">
        <v>179</v>
      </c>
      <c r="P524" s="79">
        <v>45193.143599537034</v>
      </c>
      <c r="Q524" s="77" t="s">
        <v>1399</v>
      </c>
      <c r="R524" s="77">
        <v>0</v>
      </c>
      <c r="S524" s="77">
        <v>0</v>
      </c>
      <c r="T524" s="77">
        <v>0</v>
      </c>
      <c r="U524" s="77">
        <v>0</v>
      </c>
      <c r="V524" s="77">
        <v>16</v>
      </c>
      <c r="W524" s="82" t="s">
        <v>5091</v>
      </c>
      <c r="X524" s="80" t="str">
        <f>HYPERLINK("https://tinyurl.com/26nq4rnd")</f>
        <v>https://tinyurl.com/26nq4rnd</v>
      </c>
      <c r="Y524" s="77" t="s">
        <v>6502</v>
      </c>
      <c r="Z524" s="77"/>
      <c r="AA524" s="77"/>
      <c r="AB524" s="77"/>
      <c r="AC524" s="82" t="s">
        <v>7750</v>
      </c>
      <c r="AD524" s="77" t="s">
        <v>7788</v>
      </c>
      <c r="AE524" s="80" t="str">
        <f>HYPERLINK("https://twitter.com/elizave12948781/status/1705785824384540873")</f>
        <v>https://twitter.com/elizave12948781/status/1705785824384540873</v>
      </c>
      <c r="AF524" s="79">
        <v>45193.143599537034</v>
      </c>
      <c r="AG524" s="85">
        <v>45193</v>
      </c>
      <c r="AH524" s="82" t="s">
        <v>8263</v>
      </c>
      <c r="AI524" s="77" t="b">
        <v>0</v>
      </c>
      <c r="AJ524" s="77"/>
      <c r="AK524" s="77"/>
      <c r="AL524" s="77"/>
      <c r="AM524" s="77"/>
      <c r="AN524" s="77"/>
      <c r="AO524" s="77"/>
      <c r="AP524" s="77"/>
      <c r="AQ524" s="77"/>
      <c r="AR524" s="77"/>
      <c r="AS524" s="77"/>
      <c r="AT524" s="77"/>
      <c r="AU524" s="77"/>
      <c r="AV524" s="80" t="str">
        <f>HYPERLINK("https://pbs.twimg.com/profile_images/1579909347127066624/VVou0Hiw_normal.jpg")</f>
        <v>https://pbs.twimg.com/profile_images/1579909347127066624/VVou0Hiw_normal.jpg</v>
      </c>
      <c r="AW524" s="82" t="s">
        <v>12225</v>
      </c>
      <c r="AX524" s="82" t="s">
        <v>12225</v>
      </c>
      <c r="AY524" s="77"/>
      <c r="AZ524" s="82" t="s">
        <v>15984</v>
      </c>
      <c r="BA524" s="82" t="s">
        <v>15984</v>
      </c>
      <c r="BB524" s="82" t="s">
        <v>15984</v>
      </c>
      <c r="BC524" s="82" t="s">
        <v>12225</v>
      </c>
      <c r="BD524" s="82" t="s">
        <v>16193</v>
      </c>
      <c r="BE524" s="77"/>
      <c r="BF524" s="77"/>
      <c r="BG524" s="77"/>
      <c r="BH524" s="77"/>
      <c r="BI524" s="77"/>
    </row>
    <row r="525" spans="1:61" x14ac:dyDescent="0.25">
      <c r="A525" s="62" t="s">
        <v>375</v>
      </c>
      <c r="B525" s="62" t="s">
        <v>375</v>
      </c>
      <c r="C525" s="63"/>
      <c r="D525" s="64"/>
      <c r="E525" s="65"/>
      <c r="F525" s="66"/>
      <c r="G525" s="63"/>
      <c r="H525" s="67"/>
      <c r="I525" s="68"/>
      <c r="J525" s="68"/>
      <c r="K525" s="32"/>
      <c r="L525" s="75">
        <v>525</v>
      </c>
      <c r="M525" s="75"/>
      <c r="N525" s="70"/>
      <c r="O525" s="77" t="s">
        <v>179</v>
      </c>
      <c r="P525" s="79">
        <v>45162.261863425927</v>
      </c>
      <c r="Q525" s="77" t="s">
        <v>1400</v>
      </c>
      <c r="R525" s="77">
        <v>0</v>
      </c>
      <c r="S525" s="77">
        <v>0</v>
      </c>
      <c r="T525" s="77">
        <v>0</v>
      </c>
      <c r="U525" s="77">
        <v>0</v>
      </c>
      <c r="V525" s="77">
        <v>67</v>
      </c>
      <c r="W525" s="82" t="s">
        <v>5092</v>
      </c>
      <c r="X525" s="80" t="str">
        <f>HYPERLINK("https://tinyurl.com/2a84yxu5")</f>
        <v>https://tinyurl.com/2a84yxu5</v>
      </c>
      <c r="Y525" s="77" t="s">
        <v>6502</v>
      </c>
      <c r="Z525" s="77"/>
      <c r="AA525" s="77"/>
      <c r="AB525" s="77"/>
      <c r="AC525" s="82" t="s">
        <v>7750</v>
      </c>
      <c r="AD525" s="77" t="s">
        <v>7788</v>
      </c>
      <c r="AE525" s="80" t="str">
        <f>HYPERLINK("https://twitter.com/elizave12948781/status/1694594658209284466")</f>
        <v>https://twitter.com/elizave12948781/status/1694594658209284466</v>
      </c>
      <c r="AF525" s="79">
        <v>45162.261863425927</v>
      </c>
      <c r="AG525" s="85">
        <v>45162</v>
      </c>
      <c r="AH525" s="82" t="s">
        <v>8264</v>
      </c>
      <c r="AI525" s="77" t="b">
        <v>0</v>
      </c>
      <c r="AJ525" s="77"/>
      <c r="AK525" s="77"/>
      <c r="AL525" s="77"/>
      <c r="AM525" s="77"/>
      <c r="AN525" s="77"/>
      <c r="AO525" s="77"/>
      <c r="AP525" s="77"/>
      <c r="AQ525" s="77"/>
      <c r="AR525" s="77"/>
      <c r="AS525" s="77"/>
      <c r="AT525" s="77"/>
      <c r="AU525" s="77"/>
      <c r="AV525" s="80" t="str">
        <f>HYPERLINK("https://pbs.twimg.com/profile_images/1579909347127066624/VVou0Hiw_normal.jpg")</f>
        <v>https://pbs.twimg.com/profile_images/1579909347127066624/VVou0Hiw_normal.jpg</v>
      </c>
      <c r="AW525" s="82" t="s">
        <v>12226</v>
      </c>
      <c r="AX525" s="82" t="s">
        <v>12226</v>
      </c>
      <c r="AY525" s="77"/>
      <c r="AZ525" s="82" t="s">
        <v>15984</v>
      </c>
      <c r="BA525" s="82" t="s">
        <v>15984</v>
      </c>
      <c r="BB525" s="82" t="s">
        <v>15984</v>
      </c>
      <c r="BC525" s="82" t="s">
        <v>12226</v>
      </c>
      <c r="BD525" s="82" t="s">
        <v>16193</v>
      </c>
      <c r="BE525" s="77"/>
      <c r="BF525" s="77"/>
      <c r="BG525" s="77"/>
      <c r="BH525" s="77"/>
      <c r="BI525" s="77"/>
    </row>
    <row r="526" spans="1:61" x14ac:dyDescent="0.25">
      <c r="A526" s="62" t="s">
        <v>375</v>
      </c>
      <c r="B526" s="62" t="s">
        <v>375</v>
      </c>
      <c r="C526" s="63"/>
      <c r="D526" s="64"/>
      <c r="E526" s="65"/>
      <c r="F526" s="66"/>
      <c r="G526" s="63"/>
      <c r="H526" s="67"/>
      <c r="I526" s="68"/>
      <c r="J526" s="68"/>
      <c r="K526" s="32"/>
      <c r="L526" s="75">
        <v>526</v>
      </c>
      <c r="M526" s="75"/>
      <c r="N526" s="70"/>
      <c r="O526" s="77" t="s">
        <v>179</v>
      </c>
      <c r="P526" s="79">
        <v>45195.861608796295</v>
      </c>
      <c r="Q526" s="77" t="s">
        <v>1401</v>
      </c>
      <c r="R526" s="77">
        <v>0</v>
      </c>
      <c r="S526" s="77">
        <v>0</v>
      </c>
      <c r="T526" s="77">
        <v>0</v>
      </c>
      <c r="U526" s="77">
        <v>0</v>
      </c>
      <c r="V526" s="77">
        <v>9</v>
      </c>
      <c r="W526" s="82" t="s">
        <v>5093</v>
      </c>
      <c r="X526" s="80" t="str">
        <f>HYPERLINK("https://tinyurl.com/2bs8o9y9")</f>
        <v>https://tinyurl.com/2bs8o9y9</v>
      </c>
      <c r="Y526" s="77" t="s">
        <v>6502</v>
      </c>
      <c r="Z526" s="77"/>
      <c r="AA526" s="77"/>
      <c r="AB526" s="77"/>
      <c r="AC526" s="82" t="s">
        <v>7750</v>
      </c>
      <c r="AD526" s="77" t="s">
        <v>7788</v>
      </c>
      <c r="AE526" s="80" t="str">
        <f>HYPERLINK("https://twitter.com/elizave12948781/status/1706770798445314496")</f>
        <v>https://twitter.com/elizave12948781/status/1706770798445314496</v>
      </c>
      <c r="AF526" s="79">
        <v>45195.861608796295</v>
      </c>
      <c r="AG526" s="85">
        <v>45195</v>
      </c>
      <c r="AH526" s="82" t="s">
        <v>8265</v>
      </c>
      <c r="AI526" s="77" t="b">
        <v>0</v>
      </c>
      <c r="AJ526" s="77"/>
      <c r="AK526" s="77"/>
      <c r="AL526" s="77"/>
      <c r="AM526" s="77"/>
      <c r="AN526" s="77"/>
      <c r="AO526" s="77"/>
      <c r="AP526" s="77"/>
      <c r="AQ526" s="77"/>
      <c r="AR526" s="77"/>
      <c r="AS526" s="77"/>
      <c r="AT526" s="77"/>
      <c r="AU526" s="77"/>
      <c r="AV526" s="80" t="str">
        <f>HYPERLINK("https://pbs.twimg.com/profile_images/1579909347127066624/VVou0Hiw_normal.jpg")</f>
        <v>https://pbs.twimg.com/profile_images/1579909347127066624/VVou0Hiw_normal.jpg</v>
      </c>
      <c r="AW526" s="82" t="s">
        <v>12227</v>
      </c>
      <c r="AX526" s="82" t="s">
        <v>12227</v>
      </c>
      <c r="AY526" s="77"/>
      <c r="AZ526" s="82" t="s">
        <v>15984</v>
      </c>
      <c r="BA526" s="82" t="s">
        <v>15984</v>
      </c>
      <c r="BB526" s="82" t="s">
        <v>15984</v>
      </c>
      <c r="BC526" s="82" t="s">
        <v>12227</v>
      </c>
      <c r="BD526" s="82" t="s">
        <v>16193</v>
      </c>
      <c r="BE526" s="77"/>
      <c r="BF526" s="77"/>
      <c r="BG526" s="77"/>
      <c r="BH526" s="77"/>
      <c r="BI526" s="77"/>
    </row>
    <row r="527" spans="1:61" x14ac:dyDescent="0.25">
      <c r="A527" s="62" t="s">
        <v>376</v>
      </c>
      <c r="B527" s="62" t="s">
        <v>376</v>
      </c>
      <c r="C527" s="63"/>
      <c r="D527" s="64"/>
      <c r="E527" s="65"/>
      <c r="F527" s="66"/>
      <c r="G527" s="63"/>
      <c r="H527" s="67"/>
      <c r="I527" s="68"/>
      <c r="J527" s="68"/>
      <c r="K527" s="32"/>
      <c r="L527" s="75">
        <v>527</v>
      </c>
      <c r="M527" s="75"/>
      <c r="N527" s="70"/>
      <c r="O527" s="77" t="s">
        <v>179</v>
      </c>
      <c r="P527" s="79">
        <v>45143.734594907408</v>
      </c>
      <c r="Q527" s="77" t="s">
        <v>1402</v>
      </c>
      <c r="R527" s="77">
        <v>0</v>
      </c>
      <c r="S527" s="77">
        <v>0</v>
      </c>
      <c r="T527" s="77">
        <v>0</v>
      </c>
      <c r="U527" s="77">
        <v>0</v>
      </c>
      <c r="V527" s="77">
        <v>9</v>
      </c>
      <c r="W527" s="82" t="s">
        <v>5094</v>
      </c>
      <c r="X527" s="80" t="str">
        <f>HYPERLINK("https://open.substack.com/pub/rmdgarfias/p/la-crisis-de-peru-nos-afecto-mas?r=251jas&amp;utm_campaign=post&amp;utm_medium=web")</f>
        <v>https://open.substack.com/pub/rmdgarfias/p/la-crisis-de-peru-nos-afecto-mas?r=251jas&amp;utm_campaign=post&amp;utm_medium=web</v>
      </c>
      <c r="Y527" s="77" t="s">
        <v>6503</v>
      </c>
      <c r="Z527" s="77"/>
      <c r="AA527" s="77"/>
      <c r="AB527" s="77"/>
      <c r="AC527" s="82" t="s">
        <v>7750</v>
      </c>
      <c r="AD527" s="77" t="s">
        <v>7790</v>
      </c>
      <c r="AE527" s="80" t="str">
        <f>HYPERLINK("https://twitter.com/rmdgarfias/status/1687880601620066305")</f>
        <v>https://twitter.com/rmdgarfias/status/1687880601620066305</v>
      </c>
      <c r="AF527" s="79">
        <v>45143.734594907408</v>
      </c>
      <c r="AG527" s="85">
        <v>45143</v>
      </c>
      <c r="AH527" s="82" t="s">
        <v>8266</v>
      </c>
      <c r="AI527" s="77" t="b">
        <v>0</v>
      </c>
      <c r="AJ527" s="77"/>
      <c r="AK527" s="77"/>
      <c r="AL527" s="77"/>
      <c r="AM527" s="77"/>
      <c r="AN527" s="77"/>
      <c r="AO527" s="77"/>
      <c r="AP527" s="77"/>
      <c r="AQ527" s="77"/>
      <c r="AR527" s="77"/>
      <c r="AS527" s="77"/>
      <c r="AT527" s="77"/>
      <c r="AU527" s="77"/>
      <c r="AV527" s="80" t="str">
        <f>HYPERLINK("https://pbs.twimg.com/profile_images/1248749027878895621/SnSTkg5w_normal.jpg")</f>
        <v>https://pbs.twimg.com/profile_images/1248749027878895621/SnSTkg5w_normal.jpg</v>
      </c>
      <c r="AW527" s="82" t="s">
        <v>12228</v>
      </c>
      <c r="AX527" s="82" t="s">
        <v>12228</v>
      </c>
      <c r="AY527" s="77"/>
      <c r="AZ527" s="82" t="s">
        <v>15984</v>
      </c>
      <c r="BA527" s="82" t="s">
        <v>15984</v>
      </c>
      <c r="BB527" s="82" t="s">
        <v>15984</v>
      </c>
      <c r="BC527" s="82" t="s">
        <v>12228</v>
      </c>
      <c r="BD527" s="82" t="s">
        <v>16194</v>
      </c>
      <c r="BE527" s="77"/>
      <c r="BF527" s="77"/>
      <c r="BG527" s="77"/>
      <c r="BH527" s="77"/>
      <c r="BI527" s="77"/>
    </row>
    <row r="528" spans="1:61" x14ac:dyDescent="0.25">
      <c r="A528" s="62" t="s">
        <v>376</v>
      </c>
      <c r="B528" s="62" t="s">
        <v>376</v>
      </c>
      <c r="C528" s="63"/>
      <c r="D528" s="64"/>
      <c r="E528" s="65"/>
      <c r="F528" s="66"/>
      <c r="G528" s="63"/>
      <c r="H528" s="67"/>
      <c r="I528" s="68"/>
      <c r="J528" s="68"/>
      <c r="K528" s="32"/>
      <c r="L528" s="75">
        <v>528</v>
      </c>
      <c r="M528" s="75"/>
      <c r="N528" s="70"/>
      <c r="O528" s="77" t="s">
        <v>179</v>
      </c>
      <c r="P528" s="79">
        <v>45166.584849537037</v>
      </c>
      <c r="Q528" s="77" t="s">
        <v>1403</v>
      </c>
      <c r="R528" s="77">
        <v>0</v>
      </c>
      <c r="S528" s="77">
        <v>0</v>
      </c>
      <c r="T528" s="77">
        <v>0</v>
      </c>
      <c r="U528" s="77">
        <v>0</v>
      </c>
      <c r="V528" s="77">
        <v>11</v>
      </c>
      <c r="W528" s="82" t="s">
        <v>5094</v>
      </c>
      <c r="X528" s="80" t="str">
        <f>HYPERLINK("https://open.substack.com/pub/rmdgarfias/p/la-crisis-de-peru-nos-afecto-mas?r=251jas&amp;utm_campaign=post&amp;utm_medium=web")</f>
        <v>https://open.substack.com/pub/rmdgarfias/p/la-crisis-de-peru-nos-afecto-mas?r=251jas&amp;utm_campaign=post&amp;utm_medium=web</v>
      </c>
      <c r="Y528" s="77" t="s">
        <v>6503</v>
      </c>
      <c r="Z528" s="77"/>
      <c r="AA528" s="77"/>
      <c r="AB528" s="77"/>
      <c r="AC528" s="82" t="s">
        <v>7750</v>
      </c>
      <c r="AD528" s="77" t="s">
        <v>7790</v>
      </c>
      <c r="AE528" s="80" t="str">
        <f>HYPERLINK("https://twitter.com/rmdgarfias/status/1696161257353548105")</f>
        <v>https://twitter.com/rmdgarfias/status/1696161257353548105</v>
      </c>
      <c r="AF528" s="79">
        <v>45166.584849537037</v>
      </c>
      <c r="AG528" s="85">
        <v>45166</v>
      </c>
      <c r="AH528" s="82" t="s">
        <v>8267</v>
      </c>
      <c r="AI528" s="77" t="b">
        <v>0</v>
      </c>
      <c r="AJ528" s="77"/>
      <c r="AK528" s="77"/>
      <c r="AL528" s="77"/>
      <c r="AM528" s="77"/>
      <c r="AN528" s="77"/>
      <c r="AO528" s="77"/>
      <c r="AP528" s="77"/>
      <c r="AQ528" s="77"/>
      <c r="AR528" s="77"/>
      <c r="AS528" s="77"/>
      <c r="AT528" s="77"/>
      <c r="AU528" s="77"/>
      <c r="AV528" s="80" t="str">
        <f>HYPERLINK("https://pbs.twimg.com/profile_images/1248749027878895621/SnSTkg5w_normal.jpg")</f>
        <v>https://pbs.twimg.com/profile_images/1248749027878895621/SnSTkg5w_normal.jpg</v>
      </c>
      <c r="AW528" s="82" t="s">
        <v>12229</v>
      </c>
      <c r="AX528" s="82" t="s">
        <v>12229</v>
      </c>
      <c r="AY528" s="77"/>
      <c r="AZ528" s="82" t="s">
        <v>15984</v>
      </c>
      <c r="BA528" s="82" t="s">
        <v>15984</v>
      </c>
      <c r="BB528" s="82" t="s">
        <v>15984</v>
      </c>
      <c r="BC528" s="82" t="s">
        <v>12229</v>
      </c>
      <c r="BD528" s="82" t="s">
        <v>16194</v>
      </c>
      <c r="BE528" s="77"/>
      <c r="BF528" s="77"/>
      <c r="BG528" s="77"/>
      <c r="BH528" s="77"/>
      <c r="BI528" s="77"/>
    </row>
    <row r="529" spans="1:61" x14ac:dyDescent="0.25">
      <c r="A529" s="62" t="s">
        <v>377</v>
      </c>
      <c r="B529" s="62" t="s">
        <v>377</v>
      </c>
      <c r="C529" s="63"/>
      <c r="D529" s="64"/>
      <c r="E529" s="65"/>
      <c r="F529" s="66"/>
      <c r="G529" s="63"/>
      <c r="H529" s="67"/>
      <c r="I529" s="68"/>
      <c r="J529" s="68"/>
      <c r="K529" s="32"/>
      <c r="L529" s="75">
        <v>529</v>
      </c>
      <c r="M529" s="75"/>
      <c r="N529" s="70"/>
      <c r="O529" s="77" t="s">
        <v>898</v>
      </c>
      <c r="P529" s="79">
        <v>45155.550613425927</v>
      </c>
      <c r="Q529" s="77" t="s">
        <v>1404</v>
      </c>
      <c r="R529" s="77">
        <v>0</v>
      </c>
      <c r="S529" s="77">
        <v>0</v>
      </c>
      <c r="T529" s="77">
        <v>0</v>
      </c>
      <c r="U529" s="77">
        <v>0</v>
      </c>
      <c r="V529" s="77">
        <v>10</v>
      </c>
      <c r="W529" s="82" t="s">
        <v>5095</v>
      </c>
      <c r="X529" s="77"/>
      <c r="Y529" s="77"/>
      <c r="Z529" s="77"/>
      <c r="AA529" s="77"/>
      <c r="AB529" s="77"/>
      <c r="AC529" s="82" t="s">
        <v>7750</v>
      </c>
      <c r="AD529" s="77" t="s">
        <v>7788</v>
      </c>
      <c r="AE529" s="80" t="str">
        <f>HYPERLINK("https://twitter.com/barbruno8/status/1692162584894386241")</f>
        <v>https://twitter.com/barbruno8/status/1692162584894386241</v>
      </c>
      <c r="AF529" s="79">
        <v>45155.550613425927</v>
      </c>
      <c r="AG529" s="85">
        <v>45155</v>
      </c>
      <c r="AH529" s="82" t="s">
        <v>8268</v>
      </c>
      <c r="AI529" s="77"/>
      <c r="AJ529" s="77"/>
      <c r="AK529" s="77"/>
      <c r="AL529" s="77"/>
      <c r="AM529" s="77"/>
      <c r="AN529" s="77"/>
      <c r="AO529" s="77"/>
      <c r="AP529" s="77"/>
      <c r="AQ529" s="77"/>
      <c r="AR529" s="77"/>
      <c r="AS529" s="77"/>
      <c r="AT529" s="77"/>
      <c r="AU529" s="77"/>
      <c r="AV529" s="80" t="str">
        <f>HYPERLINK("https://pbs.twimg.com/profile_images/1698832046875918336/WWQGjory_normal.jpg")</f>
        <v>https://pbs.twimg.com/profile_images/1698832046875918336/WWQGjory_normal.jpg</v>
      </c>
      <c r="AW529" s="82" t="s">
        <v>12230</v>
      </c>
      <c r="AX529" s="82" t="s">
        <v>15765</v>
      </c>
      <c r="AY529" s="82" t="s">
        <v>15929</v>
      </c>
      <c r="AZ529" s="82" t="s">
        <v>15765</v>
      </c>
      <c r="BA529" s="82" t="s">
        <v>15984</v>
      </c>
      <c r="BB529" s="82" t="s">
        <v>15984</v>
      </c>
      <c r="BC529" s="82" t="s">
        <v>15765</v>
      </c>
      <c r="BD529" s="77">
        <v>3345800861</v>
      </c>
      <c r="BE529" s="77"/>
      <c r="BF529" s="77"/>
      <c r="BG529" s="77"/>
      <c r="BH529" s="77"/>
      <c r="BI529" s="77"/>
    </row>
    <row r="530" spans="1:61" x14ac:dyDescent="0.25">
      <c r="A530" s="62" t="s">
        <v>378</v>
      </c>
      <c r="B530" s="62" t="s">
        <v>772</v>
      </c>
      <c r="C530" s="63"/>
      <c r="D530" s="64"/>
      <c r="E530" s="65"/>
      <c r="F530" s="66"/>
      <c r="G530" s="63"/>
      <c r="H530" s="67"/>
      <c r="I530" s="68"/>
      <c r="J530" s="68"/>
      <c r="K530" s="32"/>
      <c r="L530" s="75">
        <v>530</v>
      </c>
      <c r="M530" s="75"/>
      <c r="N530" s="70"/>
      <c r="O530" s="77" t="s">
        <v>895</v>
      </c>
      <c r="P530" s="79">
        <v>45121.638425925928</v>
      </c>
      <c r="Q530" s="77" t="s">
        <v>1405</v>
      </c>
      <c r="R530" s="77">
        <v>1</v>
      </c>
      <c r="S530" s="77">
        <v>0</v>
      </c>
      <c r="T530" s="77">
        <v>0</v>
      </c>
      <c r="U530" s="77">
        <v>0</v>
      </c>
      <c r="V530" s="77">
        <v>91</v>
      </c>
      <c r="W530" s="82" t="s">
        <v>4821</v>
      </c>
      <c r="X530" s="80" t="str">
        <f>HYPERLINK("https://foco.lanacion.com.py/2023/07/13/actividad-economica-registro-un-crecimiento-de-70-al-cierre-de-mayo/")</f>
        <v>https://foco.lanacion.com.py/2023/07/13/actividad-economica-registro-un-crecimiento-de-70-al-cierre-de-mayo/</v>
      </c>
      <c r="Y530" s="77" t="s">
        <v>6504</v>
      </c>
      <c r="Z530" s="77" t="s">
        <v>772</v>
      </c>
      <c r="AA530" s="77"/>
      <c r="AB530" s="77"/>
      <c r="AC530" s="82" t="s">
        <v>7751</v>
      </c>
      <c r="AD530" s="77" t="s">
        <v>7790</v>
      </c>
      <c r="AE530" s="80" t="str">
        <f>HYPERLINK("https://twitter.com/revistafocopy/status/1679873218121793538")</f>
        <v>https://twitter.com/revistafocopy/status/1679873218121793538</v>
      </c>
      <c r="AF530" s="79">
        <v>45121.638425925928</v>
      </c>
      <c r="AG530" s="85">
        <v>45121</v>
      </c>
      <c r="AH530" s="82" t="s">
        <v>8269</v>
      </c>
      <c r="AI530" s="77" t="b">
        <v>0</v>
      </c>
      <c r="AJ530" s="77"/>
      <c r="AK530" s="77"/>
      <c r="AL530" s="77"/>
      <c r="AM530" s="77"/>
      <c r="AN530" s="77"/>
      <c r="AO530" s="77"/>
      <c r="AP530" s="77"/>
      <c r="AQ530" s="77"/>
      <c r="AR530" s="77"/>
      <c r="AS530" s="77"/>
      <c r="AT530" s="77"/>
      <c r="AU530" s="77"/>
      <c r="AV530" s="80" t="str">
        <f>HYPERLINK("https://pbs.twimg.com/profile_images/1525227690701344769/3XT8NyCs_normal.jpg")</f>
        <v>https://pbs.twimg.com/profile_images/1525227690701344769/3XT8NyCs_normal.jpg</v>
      </c>
      <c r="AW530" s="82" t="s">
        <v>12231</v>
      </c>
      <c r="AX530" s="82" t="s">
        <v>12231</v>
      </c>
      <c r="AY530" s="77"/>
      <c r="AZ530" s="82" t="s">
        <v>15984</v>
      </c>
      <c r="BA530" s="82" t="s">
        <v>15984</v>
      </c>
      <c r="BB530" s="82" t="s">
        <v>15984</v>
      </c>
      <c r="BC530" s="82" t="s">
        <v>12231</v>
      </c>
      <c r="BD530" s="82" t="s">
        <v>16195</v>
      </c>
      <c r="BE530" s="77"/>
      <c r="BF530" s="77"/>
      <c r="BG530" s="77"/>
      <c r="BH530" s="77"/>
      <c r="BI530" s="77"/>
    </row>
    <row r="531" spans="1:61" x14ac:dyDescent="0.25">
      <c r="A531" s="62" t="s">
        <v>379</v>
      </c>
      <c r="B531" s="62" t="s">
        <v>379</v>
      </c>
      <c r="C531" s="63"/>
      <c r="D531" s="64"/>
      <c r="E531" s="65"/>
      <c r="F531" s="66"/>
      <c r="G531" s="63"/>
      <c r="H531" s="67"/>
      <c r="I531" s="68"/>
      <c r="J531" s="68"/>
      <c r="K531" s="32"/>
      <c r="L531" s="75">
        <v>531</v>
      </c>
      <c r="M531" s="75"/>
      <c r="N531" s="70"/>
      <c r="O531" s="77" t="s">
        <v>179</v>
      </c>
      <c r="P531" s="79">
        <v>45165.574999999997</v>
      </c>
      <c r="Q531" s="77" t="s">
        <v>1406</v>
      </c>
      <c r="R531" s="77">
        <v>0</v>
      </c>
      <c r="S531" s="77">
        <v>6</v>
      </c>
      <c r="T531" s="77">
        <v>0</v>
      </c>
      <c r="U531" s="77">
        <v>0</v>
      </c>
      <c r="V531" s="77">
        <v>668</v>
      </c>
      <c r="W531" s="82" t="s">
        <v>5096</v>
      </c>
      <c r="X531" s="77"/>
      <c r="Y531" s="77"/>
      <c r="Z531" s="77"/>
      <c r="AA531" s="77" t="s">
        <v>6950</v>
      </c>
      <c r="AB531" s="77" t="s">
        <v>7742</v>
      </c>
      <c r="AC531" s="82" t="s">
        <v>7750</v>
      </c>
      <c r="AD531" s="77" t="s">
        <v>7795</v>
      </c>
      <c r="AE531" s="80" t="str">
        <f>HYPERLINK("https://twitter.com/fsaraceno/status/1695795298826866728")</f>
        <v>https://twitter.com/fsaraceno/status/1695795298826866728</v>
      </c>
      <c r="AF531" s="79">
        <v>45165.574999999997</v>
      </c>
      <c r="AG531" s="85">
        <v>45165</v>
      </c>
      <c r="AH531" s="82" t="s">
        <v>8270</v>
      </c>
      <c r="AI531" s="77" t="b">
        <v>0</v>
      </c>
      <c r="AJ531" s="77"/>
      <c r="AK531" s="77"/>
      <c r="AL531" s="77"/>
      <c r="AM531" s="77"/>
      <c r="AN531" s="77"/>
      <c r="AO531" s="77"/>
      <c r="AP531" s="77"/>
      <c r="AQ531" s="77" t="s">
        <v>10922</v>
      </c>
      <c r="AR531" s="77"/>
      <c r="AS531" s="77"/>
      <c r="AT531" s="77"/>
      <c r="AU531" s="77"/>
      <c r="AV531" s="80" t="str">
        <f>HYPERLINK("https://pbs.twimg.com/media/F4hn-jvWgAAki1x.jpg")</f>
        <v>https://pbs.twimg.com/media/F4hn-jvWgAAki1x.jpg</v>
      </c>
      <c r="AW531" s="82" t="s">
        <v>12232</v>
      </c>
      <c r="AX531" s="82" t="s">
        <v>12232</v>
      </c>
      <c r="AY531" s="77"/>
      <c r="AZ531" s="82" t="s">
        <v>15984</v>
      </c>
      <c r="BA531" s="82" t="s">
        <v>15984</v>
      </c>
      <c r="BB531" s="82" t="s">
        <v>15984</v>
      </c>
      <c r="BC531" s="82" t="s">
        <v>12232</v>
      </c>
      <c r="BD531" s="77">
        <v>17230773</v>
      </c>
      <c r="BE531" s="77"/>
      <c r="BF531" s="77"/>
      <c r="BG531" s="77"/>
      <c r="BH531" s="77"/>
      <c r="BI531" s="77"/>
    </row>
    <row r="532" spans="1:61" x14ac:dyDescent="0.25">
      <c r="A532" s="62" t="s">
        <v>380</v>
      </c>
      <c r="B532" s="62" t="s">
        <v>502</v>
      </c>
      <c r="C532" s="63"/>
      <c r="D532" s="64"/>
      <c r="E532" s="65"/>
      <c r="F532" s="66"/>
      <c r="G532" s="63"/>
      <c r="H532" s="67"/>
      <c r="I532" s="68"/>
      <c r="J532" s="68"/>
      <c r="K532" s="32"/>
      <c r="L532" s="75">
        <v>532</v>
      </c>
      <c r="M532" s="75"/>
      <c r="N532" s="70"/>
      <c r="O532" s="77" t="s">
        <v>897</v>
      </c>
      <c r="P532" s="79">
        <v>45189.789837962962</v>
      </c>
      <c r="Q532" s="77" t="s">
        <v>1118</v>
      </c>
      <c r="R532" s="77">
        <v>12</v>
      </c>
      <c r="S532" s="77">
        <v>0</v>
      </c>
      <c r="T532" s="77">
        <v>0</v>
      </c>
      <c r="U532" s="77">
        <v>0</v>
      </c>
      <c r="V532" s="77"/>
      <c r="W532" s="82" t="s">
        <v>4934</v>
      </c>
      <c r="X532" s="77"/>
      <c r="Y532" s="77"/>
      <c r="Z532" s="77" t="s">
        <v>502</v>
      </c>
      <c r="AA532" s="77"/>
      <c r="AB532" s="77"/>
      <c r="AC532" s="82" t="s">
        <v>7751</v>
      </c>
      <c r="AD532" s="77" t="s">
        <v>7790</v>
      </c>
      <c r="AE532" s="80" t="str">
        <f>HYPERLINK("https://twitter.com/always4wards/status/1704570464872345905")</f>
        <v>https://twitter.com/always4wards/status/1704570464872345905</v>
      </c>
      <c r="AF532" s="79">
        <v>45189.789837962962</v>
      </c>
      <c r="AG532" s="85">
        <v>45189</v>
      </c>
      <c r="AH532" s="82" t="s">
        <v>8271</v>
      </c>
      <c r="AI532" s="77"/>
      <c r="AJ532" s="77"/>
      <c r="AK532" s="77"/>
      <c r="AL532" s="77"/>
      <c r="AM532" s="77"/>
      <c r="AN532" s="77"/>
      <c r="AO532" s="77"/>
      <c r="AP532" s="77"/>
      <c r="AQ532" s="77"/>
      <c r="AR532" s="77"/>
      <c r="AS532" s="77"/>
      <c r="AT532" s="77"/>
      <c r="AU532" s="77"/>
      <c r="AV532" s="80" t="str">
        <f>HYPERLINK("https://abs.twimg.com/sticky/default_profile_images/default_profile_normal.png")</f>
        <v>https://abs.twimg.com/sticky/default_profile_images/default_profile_normal.png</v>
      </c>
      <c r="AW532" s="82" t="s">
        <v>12233</v>
      </c>
      <c r="AX532" s="82" t="s">
        <v>12233</v>
      </c>
      <c r="AY532" s="77"/>
      <c r="AZ532" s="82" t="s">
        <v>15984</v>
      </c>
      <c r="BA532" s="82" t="s">
        <v>15984</v>
      </c>
      <c r="BB532" s="82" t="s">
        <v>13287</v>
      </c>
      <c r="BC532" s="82" t="s">
        <v>13287</v>
      </c>
      <c r="BD532" s="82" t="s">
        <v>16196</v>
      </c>
      <c r="BE532" s="77"/>
      <c r="BF532" s="77"/>
      <c r="BG532" s="77"/>
      <c r="BH532" s="77"/>
      <c r="BI532" s="77"/>
    </row>
    <row r="533" spans="1:61" x14ac:dyDescent="0.25">
      <c r="A533" s="62" t="s">
        <v>381</v>
      </c>
      <c r="B533" s="62" t="s">
        <v>381</v>
      </c>
      <c r="C533" s="63"/>
      <c r="D533" s="64"/>
      <c r="E533" s="65"/>
      <c r="F533" s="66"/>
      <c r="G533" s="63"/>
      <c r="H533" s="67"/>
      <c r="I533" s="68"/>
      <c r="J533" s="68"/>
      <c r="K533" s="32"/>
      <c r="L533" s="75">
        <v>533</v>
      </c>
      <c r="M533" s="75"/>
      <c r="N533" s="70"/>
      <c r="O533" s="77" t="s">
        <v>179</v>
      </c>
      <c r="P533" s="79">
        <v>45184.532164351855</v>
      </c>
      <c r="Q533" s="77" t="s">
        <v>1407</v>
      </c>
      <c r="R533" s="77">
        <v>0</v>
      </c>
      <c r="S533" s="77">
        <v>0</v>
      </c>
      <c r="T533" s="77">
        <v>0</v>
      </c>
      <c r="U533" s="77">
        <v>0</v>
      </c>
      <c r="V533" s="77">
        <v>24</v>
      </c>
      <c r="W533" s="82" t="s">
        <v>5097</v>
      </c>
      <c r="X533" s="77"/>
      <c r="Y533" s="77"/>
      <c r="Z533" s="77"/>
      <c r="AA533" s="77" t="s">
        <v>6951</v>
      </c>
      <c r="AB533" s="77" t="s">
        <v>7743</v>
      </c>
      <c r="AC533" s="82" t="s">
        <v>7752</v>
      </c>
      <c r="AD533" s="77" t="s">
        <v>7788</v>
      </c>
      <c r="AE533" s="80" t="str">
        <f>HYPERLINK("https://twitter.com/fidocomvc/status/1702665147750195632")</f>
        <v>https://twitter.com/fidocomvc/status/1702665147750195632</v>
      </c>
      <c r="AF533" s="79">
        <v>45184.532164351855</v>
      </c>
      <c r="AG533" s="85">
        <v>45184</v>
      </c>
      <c r="AH533" s="82" t="s">
        <v>8272</v>
      </c>
      <c r="AI533" s="77" t="b">
        <v>0</v>
      </c>
      <c r="AJ533" s="77"/>
      <c r="AK533" s="77"/>
      <c r="AL533" s="77"/>
      <c r="AM533" s="77"/>
      <c r="AN533" s="77"/>
      <c r="AO533" s="77"/>
      <c r="AP533" s="77"/>
      <c r="AQ533" s="77" t="s">
        <v>10923</v>
      </c>
      <c r="AR533" s="77">
        <v>15600</v>
      </c>
      <c r="AS533" s="77"/>
      <c r="AT533" s="77"/>
      <c r="AU533" s="77"/>
      <c r="AV533" s="80" t="str">
        <f>HYPERLINK("https://pbs.twimg.com/ext_tw_video_thumb/1702665099163398144/pu/img/iuJXYx-9GIJA23Kc.jpg")</f>
        <v>https://pbs.twimg.com/ext_tw_video_thumb/1702665099163398144/pu/img/iuJXYx-9GIJA23Kc.jpg</v>
      </c>
      <c r="AW533" s="82" t="s">
        <v>12234</v>
      </c>
      <c r="AX533" s="82" t="s">
        <v>12234</v>
      </c>
      <c r="AY533" s="77"/>
      <c r="AZ533" s="82" t="s">
        <v>15984</v>
      </c>
      <c r="BA533" s="82" t="s">
        <v>15984</v>
      </c>
      <c r="BB533" s="82" t="s">
        <v>15984</v>
      </c>
      <c r="BC533" s="82" t="s">
        <v>12234</v>
      </c>
      <c r="BD533" s="82" t="s">
        <v>16197</v>
      </c>
      <c r="BE533" s="77"/>
      <c r="BF533" s="77"/>
      <c r="BG533" s="77"/>
      <c r="BH533" s="77"/>
      <c r="BI533" s="77"/>
    </row>
    <row r="534" spans="1:61" x14ac:dyDescent="0.25">
      <c r="A534" s="62" t="s">
        <v>382</v>
      </c>
      <c r="B534" s="62" t="s">
        <v>382</v>
      </c>
      <c r="C534" s="63"/>
      <c r="D534" s="64"/>
      <c r="E534" s="65"/>
      <c r="F534" s="66"/>
      <c r="G534" s="63"/>
      <c r="H534" s="67"/>
      <c r="I534" s="68"/>
      <c r="J534" s="68"/>
      <c r="K534" s="32"/>
      <c r="L534" s="75">
        <v>534</v>
      </c>
      <c r="M534" s="75"/>
      <c r="N534" s="70"/>
      <c r="O534" s="77" t="s">
        <v>179</v>
      </c>
      <c r="P534" s="79">
        <v>45135.680173611108</v>
      </c>
      <c r="Q534" s="77" t="s">
        <v>1408</v>
      </c>
      <c r="R534" s="77">
        <v>0</v>
      </c>
      <c r="S534" s="77">
        <v>0</v>
      </c>
      <c r="T534" s="77">
        <v>0</v>
      </c>
      <c r="U534" s="77">
        <v>0</v>
      </c>
      <c r="V534" s="77">
        <v>30</v>
      </c>
      <c r="W534" s="82" t="s">
        <v>5098</v>
      </c>
      <c r="X534" s="77"/>
      <c r="Y534" s="77"/>
      <c r="Z534" s="77"/>
      <c r="AA534" s="77" t="s">
        <v>6952</v>
      </c>
      <c r="AB534" s="77" t="s">
        <v>7742</v>
      </c>
      <c r="AC534" s="82" t="s">
        <v>7757</v>
      </c>
      <c r="AD534" s="77" t="s">
        <v>7788</v>
      </c>
      <c r="AE534" s="80" t="str">
        <f>HYPERLINK("https://twitter.com/acerqueira_adv/status/1684961778126528525")</f>
        <v>https://twitter.com/acerqueira_adv/status/1684961778126528525</v>
      </c>
      <c r="AF534" s="79">
        <v>45135.680173611108</v>
      </c>
      <c r="AG534" s="85">
        <v>45135</v>
      </c>
      <c r="AH534" s="82" t="s">
        <v>8273</v>
      </c>
      <c r="AI534" s="77" t="b">
        <v>0</v>
      </c>
      <c r="AJ534" s="77"/>
      <c r="AK534" s="77"/>
      <c r="AL534" s="77"/>
      <c r="AM534" s="77"/>
      <c r="AN534" s="77"/>
      <c r="AO534" s="77"/>
      <c r="AP534" s="77"/>
      <c r="AQ534" s="77" t="s">
        <v>10924</v>
      </c>
      <c r="AR534" s="77"/>
      <c r="AS534" s="77"/>
      <c r="AT534" s="77"/>
      <c r="AU534" s="77"/>
      <c r="AV534" s="80" t="str">
        <f>HYPERLINK("https://pbs.twimg.com/media/F2IvztlXoAIhowm.jpg")</f>
        <v>https://pbs.twimg.com/media/F2IvztlXoAIhowm.jpg</v>
      </c>
      <c r="AW534" s="82" t="s">
        <v>12235</v>
      </c>
      <c r="AX534" s="82" t="s">
        <v>12235</v>
      </c>
      <c r="AY534" s="77"/>
      <c r="AZ534" s="82" t="s">
        <v>15984</v>
      </c>
      <c r="BA534" s="82" t="s">
        <v>15984</v>
      </c>
      <c r="BB534" s="82" t="s">
        <v>15984</v>
      </c>
      <c r="BC534" s="82" t="s">
        <v>12235</v>
      </c>
      <c r="BD534" s="77">
        <v>160387669</v>
      </c>
      <c r="BE534" s="77"/>
      <c r="BF534" s="77"/>
      <c r="BG534" s="77"/>
      <c r="BH534" s="77"/>
      <c r="BI534" s="77"/>
    </row>
    <row r="535" spans="1:61" x14ac:dyDescent="0.25">
      <c r="A535" s="62" t="s">
        <v>383</v>
      </c>
      <c r="B535" s="62" t="s">
        <v>383</v>
      </c>
      <c r="C535" s="63"/>
      <c r="D535" s="64"/>
      <c r="E535" s="65"/>
      <c r="F535" s="66"/>
      <c r="G535" s="63"/>
      <c r="H535" s="67"/>
      <c r="I535" s="68"/>
      <c r="J535" s="68"/>
      <c r="K535" s="32"/>
      <c r="L535" s="75">
        <v>535</v>
      </c>
      <c r="M535" s="75"/>
      <c r="N535" s="70"/>
      <c r="O535" s="77" t="s">
        <v>179</v>
      </c>
      <c r="P535" s="79">
        <v>45138.75304398148</v>
      </c>
      <c r="Q535" s="77" t="s">
        <v>1409</v>
      </c>
      <c r="R535" s="77">
        <v>0</v>
      </c>
      <c r="S535" s="77">
        <v>0</v>
      </c>
      <c r="T535" s="77">
        <v>0</v>
      </c>
      <c r="U535" s="77">
        <v>0</v>
      </c>
      <c r="V535" s="77">
        <v>351</v>
      </c>
      <c r="W535" s="82" t="s">
        <v>5099</v>
      </c>
      <c r="X535" s="77"/>
      <c r="Y535" s="77"/>
      <c r="Z535" s="77"/>
      <c r="AA535" s="77"/>
      <c r="AB535" s="77"/>
      <c r="AC535" s="82" t="s">
        <v>7752</v>
      </c>
      <c r="AD535" s="77" t="s">
        <v>7790</v>
      </c>
      <c r="AE535" s="80" t="str">
        <f>HYPERLINK("https://twitter.com/hodorfunds/status/1686075349312978944")</f>
        <v>https://twitter.com/hodorfunds/status/1686075349312978944</v>
      </c>
      <c r="AF535" s="79">
        <v>45138.75304398148</v>
      </c>
      <c r="AG535" s="85">
        <v>45138</v>
      </c>
      <c r="AH535" s="82" t="s">
        <v>8274</v>
      </c>
      <c r="AI535" s="77"/>
      <c r="AJ535" s="77"/>
      <c r="AK535" s="77"/>
      <c r="AL535" s="77"/>
      <c r="AM535" s="77"/>
      <c r="AN535" s="77"/>
      <c r="AO535" s="77"/>
      <c r="AP535" s="77"/>
      <c r="AQ535" s="77"/>
      <c r="AR535" s="77"/>
      <c r="AS535" s="77"/>
      <c r="AT535" s="77"/>
      <c r="AU535" s="77"/>
      <c r="AV535" s="80" t="str">
        <f>HYPERLINK("https://pbs.twimg.com/profile_images/1680216342362718213/pobx3CLw_normal.jpg")</f>
        <v>https://pbs.twimg.com/profile_images/1680216342362718213/pobx3CLw_normal.jpg</v>
      </c>
      <c r="AW535" s="82" t="s">
        <v>12236</v>
      </c>
      <c r="AX535" s="82" t="s">
        <v>12236</v>
      </c>
      <c r="AY535" s="77"/>
      <c r="AZ535" s="82" t="s">
        <v>15984</v>
      </c>
      <c r="BA535" s="82" t="s">
        <v>15984</v>
      </c>
      <c r="BB535" s="82" t="s">
        <v>15984</v>
      </c>
      <c r="BC535" s="82" t="s">
        <v>12236</v>
      </c>
      <c r="BD535" s="82" t="s">
        <v>16198</v>
      </c>
      <c r="BE535" s="77"/>
      <c r="BF535" s="77"/>
      <c r="BG535" s="77"/>
      <c r="BH535" s="77"/>
      <c r="BI535" s="77"/>
    </row>
    <row r="536" spans="1:61" x14ac:dyDescent="0.25">
      <c r="A536" s="62" t="s">
        <v>384</v>
      </c>
      <c r="B536" s="62" t="s">
        <v>384</v>
      </c>
      <c r="C536" s="63"/>
      <c r="D536" s="64"/>
      <c r="E536" s="65"/>
      <c r="F536" s="66"/>
      <c r="G536" s="63"/>
      <c r="H536" s="67"/>
      <c r="I536" s="68"/>
      <c r="J536" s="68"/>
      <c r="K536" s="32"/>
      <c r="L536" s="75">
        <v>536</v>
      </c>
      <c r="M536" s="75"/>
      <c r="N536" s="70"/>
      <c r="O536" s="77" t="s">
        <v>179</v>
      </c>
      <c r="P536" s="79">
        <v>45189.927129629628</v>
      </c>
      <c r="Q536" s="77" t="s">
        <v>1410</v>
      </c>
      <c r="R536" s="77">
        <v>0</v>
      </c>
      <c r="S536" s="77">
        <v>5</v>
      </c>
      <c r="T536" s="77">
        <v>0</v>
      </c>
      <c r="U536" s="77">
        <v>0</v>
      </c>
      <c r="V536" s="77">
        <v>166</v>
      </c>
      <c r="W536" s="82" t="s">
        <v>5100</v>
      </c>
      <c r="X536" s="77"/>
      <c r="Y536" s="77"/>
      <c r="Z536" s="77"/>
      <c r="AA536" s="77" t="s">
        <v>6953</v>
      </c>
      <c r="AB536" s="77" t="s">
        <v>7743</v>
      </c>
      <c r="AC536" s="82" t="s">
        <v>7752</v>
      </c>
      <c r="AD536" s="77" t="s">
        <v>7788</v>
      </c>
      <c r="AE536" s="80" t="str">
        <f>HYPERLINK("https://twitter.com/pedrorenatogc/status/1704620217672876487")</f>
        <v>https://twitter.com/pedrorenatogc/status/1704620217672876487</v>
      </c>
      <c r="AF536" s="79">
        <v>45189.927129629628</v>
      </c>
      <c r="AG536" s="85">
        <v>45189</v>
      </c>
      <c r="AH536" s="82" t="s">
        <v>8275</v>
      </c>
      <c r="AI536" s="77" t="b">
        <v>0</v>
      </c>
      <c r="AJ536" s="77"/>
      <c r="AK536" s="77"/>
      <c r="AL536" s="77"/>
      <c r="AM536" s="77"/>
      <c r="AN536" s="77"/>
      <c r="AO536" s="77"/>
      <c r="AP536" s="77"/>
      <c r="AQ536" s="77" t="s">
        <v>10925</v>
      </c>
      <c r="AR536" s="77">
        <v>26270</v>
      </c>
      <c r="AS536" s="77"/>
      <c r="AT536" s="77"/>
      <c r="AU536" s="77"/>
      <c r="AV536" s="80" t="str">
        <f>HYPERLINK("https://pbs.twimg.com/ext_tw_video_thumb/1704620135175139328/pu/img/EPEqpd36QG17A0ve.jpg")</f>
        <v>https://pbs.twimg.com/ext_tw_video_thumb/1704620135175139328/pu/img/EPEqpd36QG17A0ve.jpg</v>
      </c>
      <c r="AW536" s="82" t="s">
        <v>12237</v>
      </c>
      <c r="AX536" s="82" t="s">
        <v>12237</v>
      </c>
      <c r="AY536" s="77"/>
      <c r="AZ536" s="82" t="s">
        <v>15984</v>
      </c>
      <c r="BA536" s="82" t="s">
        <v>15984</v>
      </c>
      <c r="BB536" s="82" t="s">
        <v>15984</v>
      </c>
      <c r="BC536" s="82" t="s">
        <v>12237</v>
      </c>
      <c r="BD536" s="82" t="s">
        <v>16199</v>
      </c>
      <c r="BE536" s="77"/>
      <c r="BF536" s="77"/>
      <c r="BG536" s="77"/>
      <c r="BH536" s="77"/>
      <c r="BI536" s="77"/>
    </row>
    <row r="537" spans="1:61" x14ac:dyDescent="0.25">
      <c r="A537" s="62" t="s">
        <v>384</v>
      </c>
      <c r="B537" s="62" t="s">
        <v>384</v>
      </c>
      <c r="C537" s="63"/>
      <c r="D537" s="64"/>
      <c r="E537" s="65"/>
      <c r="F537" s="66"/>
      <c r="G537" s="63"/>
      <c r="H537" s="67"/>
      <c r="I537" s="68"/>
      <c r="J537" s="68"/>
      <c r="K537" s="32"/>
      <c r="L537" s="75">
        <v>537</v>
      </c>
      <c r="M537" s="75"/>
      <c r="N537" s="70"/>
      <c r="O537" s="77" t="s">
        <v>179</v>
      </c>
      <c r="P537" s="79">
        <v>45195.928217592591</v>
      </c>
      <c r="Q537" s="77" t="s">
        <v>1411</v>
      </c>
      <c r="R537" s="77">
        <v>1</v>
      </c>
      <c r="S537" s="77">
        <v>1</v>
      </c>
      <c r="T537" s="77">
        <v>0</v>
      </c>
      <c r="U537" s="77">
        <v>0</v>
      </c>
      <c r="V537" s="77">
        <v>125</v>
      </c>
      <c r="W537" s="82" t="s">
        <v>5101</v>
      </c>
      <c r="X537" s="77"/>
      <c r="Y537" s="77"/>
      <c r="Z537" s="77"/>
      <c r="AA537" s="77" t="s">
        <v>6954</v>
      </c>
      <c r="AB537" s="77" t="s">
        <v>7743</v>
      </c>
      <c r="AC537" s="82" t="s">
        <v>7752</v>
      </c>
      <c r="AD537" s="77" t="s">
        <v>7788</v>
      </c>
      <c r="AE537" s="80" t="str">
        <f>HYPERLINK("https://twitter.com/pedrorenatogc/status/1706794937994363323")</f>
        <v>https://twitter.com/pedrorenatogc/status/1706794937994363323</v>
      </c>
      <c r="AF537" s="79">
        <v>45195.928217592591</v>
      </c>
      <c r="AG537" s="85">
        <v>45195</v>
      </c>
      <c r="AH537" s="82" t="s">
        <v>8276</v>
      </c>
      <c r="AI537" s="77" t="b">
        <v>0</v>
      </c>
      <c r="AJ537" s="77"/>
      <c r="AK537" s="77"/>
      <c r="AL537" s="77"/>
      <c r="AM537" s="77"/>
      <c r="AN537" s="77"/>
      <c r="AO537" s="77"/>
      <c r="AP537" s="77"/>
      <c r="AQ537" s="77" t="s">
        <v>10926</v>
      </c>
      <c r="AR537" s="77">
        <v>36400</v>
      </c>
      <c r="AS537" s="77"/>
      <c r="AT537" s="77"/>
      <c r="AU537" s="77"/>
      <c r="AV537" s="80" t="str">
        <f>HYPERLINK("https://pbs.twimg.com/ext_tw_video_thumb/1706794874844983296/pu/img/MT_aaxEl_6xihzBt.jpg")</f>
        <v>https://pbs.twimg.com/ext_tw_video_thumb/1706794874844983296/pu/img/MT_aaxEl_6xihzBt.jpg</v>
      </c>
      <c r="AW537" s="82" t="s">
        <v>12238</v>
      </c>
      <c r="AX537" s="82" t="s">
        <v>12238</v>
      </c>
      <c r="AY537" s="77"/>
      <c r="AZ537" s="82" t="s">
        <v>15984</v>
      </c>
      <c r="BA537" s="82" t="s">
        <v>15984</v>
      </c>
      <c r="BB537" s="82" t="s">
        <v>15984</v>
      </c>
      <c r="BC537" s="82" t="s">
        <v>12238</v>
      </c>
      <c r="BD537" s="82" t="s">
        <v>16199</v>
      </c>
      <c r="BE537" s="77"/>
      <c r="BF537" s="77"/>
      <c r="BG537" s="77"/>
      <c r="BH537" s="77"/>
      <c r="BI537" s="77"/>
    </row>
    <row r="538" spans="1:61" x14ac:dyDescent="0.25">
      <c r="A538" s="62" t="s">
        <v>385</v>
      </c>
      <c r="B538" s="62" t="s">
        <v>384</v>
      </c>
      <c r="C538" s="63"/>
      <c r="D538" s="64"/>
      <c r="E538" s="65"/>
      <c r="F538" s="66"/>
      <c r="G538" s="63"/>
      <c r="H538" s="67"/>
      <c r="I538" s="68"/>
      <c r="J538" s="68"/>
      <c r="K538" s="32"/>
      <c r="L538" s="75">
        <v>538</v>
      </c>
      <c r="M538" s="75"/>
      <c r="N538" s="70"/>
      <c r="O538" s="77" t="s">
        <v>897</v>
      </c>
      <c r="P538" s="79">
        <v>45196.931932870371</v>
      </c>
      <c r="Q538" s="77" t="s">
        <v>1412</v>
      </c>
      <c r="R538" s="77">
        <v>1</v>
      </c>
      <c r="S538" s="77">
        <v>0</v>
      </c>
      <c r="T538" s="77">
        <v>0</v>
      </c>
      <c r="U538" s="77">
        <v>0</v>
      </c>
      <c r="V538" s="77"/>
      <c r="W538" s="82" t="s">
        <v>5101</v>
      </c>
      <c r="X538" s="77"/>
      <c r="Y538" s="77"/>
      <c r="Z538" s="77" t="s">
        <v>384</v>
      </c>
      <c r="AA538" s="77"/>
      <c r="AB538" s="77"/>
      <c r="AC538" s="82" t="s">
        <v>7752</v>
      </c>
      <c r="AD538" s="77" t="s">
        <v>7788</v>
      </c>
      <c r="AE538" s="80" t="str">
        <f>HYPERLINK("https://twitter.com/rodaseca/status/1707158672722289139")</f>
        <v>https://twitter.com/rodaseca/status/1707158672722289139</v>
      </c>
      <c r="AF538" s="79">
        <v>45196.931932870371</v>
      </c>
      <c r="AG538" s="85">
        <v>45196</v>
      </c>
      <c r="AH538" s="82" t="s">
        <v>8277</v>
      </c>
      <c r="AI538" s="77"/>
      <c r="AJ538" s="77"/>
      <c r="AK538" s="77"/>
      <c r="AL538" s="77"/>
      <c r="AM538" s="77"/>
      <c r="AN538" s="77"/>
      <c r="AO538" s="77"/>
      <c r="AP538" s="77"/>
      <c r="AQ538" s="77"/>
      <c r="AR538" s="77"/>
      <c r="AS538" s="77"/>
      <c r="AT538" s="77"/>
      <c r="AU538" s="77"/>
      <c r="AV538" s="80" t="str">
        <f>HYPERLINK("https://pbs.twimg.com/profile_images/1669023262209187841/MIDEJbx7_normal.jpg")</f>
        <v>https://pbs.twimg.com/profile_images/1669023262209187841/MIDEJbx7_normal.jpg</v>
      </c>
      <c r="AW538" s="82" t="s">
        <v>12239</v>
      </c>
      <c r="AX538" s="82" t="s">
        <v>12239</v>
      </c>
      <c r="AY538" s="77"/>
      <c r="AZ538" s="82" t="s">
        <v>15984</v>
      </c>
      <c r="BA538" s="82" t="s">
        <v>15984</v>
      </c>
      <c r="BB538" s="82" t="s">
        <v>12238</v>
      </c>
      <c r="BC538" s="82" t="s">
        <v>12238</v>
      </c>
      <c r="BD538" s="82" t="s">
        <v>16200</v>
      </c>
      <c r="BE538" s="77"/>
      <c r="BF538" s="77"/>
      <c r="BG538" s="77"/>
      <c r="BH538" s="77"/>
      <c r="BI538" s="77"/>
    </row>
    <row r="539" spans="1:61" x14ac:dyDescent="0.25">
      <c r="A539" s="62" t="s">
        <v>386</v>
      </c>
      <c r="B539" s="62" t="s">
        <v>386</v>
      </c>
      <c r="C539" s="63"/>
      <c r="D539" s="64"/>
      <c r="E539" s="65"/>
      <c r="F539" s="66"/>
      <c r="G539" s="63"/>
      <c r="H539" s="67"/>
      <c r="I539" s="68"/>
      <c r="J539" s="68"/>
      <c r="K539" s="32"/>
      <c r="L539" s="75">
        <v>539</v>
      </c>
      <c r="M539" s="75"/>
      <c r="N539" s="70"/>
      <c r="O539" s="77" t="s">
        <v>179</v>
      </c>
      <c r="P539" s="79">
        <v>45149.420208333337</v>
      </c>
      <c r="Q539" s="77" t="s">
        <v>1413</v>
      </c>
      <c r="R539" s="77">
        <v>0</v>
      </c>
      <c r="S539" s="77">
        <v>0</v>
      </c>
      <c r="T539" s="77">
        <v>0</v>
      </c>
      <c r="U539" s="77">
        <v>0</v>
      </c>
      <c r="V539" s="77">
        <v>22</v>
      </c>
      <c r="W539" s="82" t="s">
        <v>5102</v>
      </c>
      <c r="X539" s="80" t="str">
        <f>HYPERLINK("https://gruppekurheinzich.wordpress.com/2023/08/11/cafe-com-o-mercado-dia-11-08-2023/")</f>
        <v>https://gruppekurheinzich.wordpress.com/2023/08/11/cafe-com-o-mercado-dia-11-08-2023/</v>
      </c>
      <c r="Y539" s="77" t="s">
        <v>6505</v>
      </c>
      <c r="Z539" s="77"/>
      <c r="AA539" s="77"/>
      <c r="AB539" s="77"/>
      <c r="AC539" s="82" t="s">
        <v>7751</v>
      </c>
      <c r="AD539" s="77" t="s">
        <v>7788</v>
      </c>
      <c r="AE539" s="80" t="str">
        <f>HYPERLINK("https://twitter.com/herdersonfile/status/1689940998145658881")</f>
        <v>https://twitter.com/herdersonfile/status/1689940998145658881</v>
      </c>
      <c r="AF539" s="79">
        <v>45149.420208333337</v>
      </c>
      <c r="AG539" s="85">
        <v>45149</v>
      </c>
      <c r="AH539" s="82" t="s">
        <v>8278</v>
      </c>
      <c r="AI539" s="77" t="b">
        <v>0</v>
      </c>
      <c r="AJ539" s="77"/>
      <c r="AK539" s="77"/>
      <c r="AL539" s="77"/>
      <c r="AM539" s="77"/>
      <c r="AN539" s="77"/>
      <c r="AO539" s="77"/>
      <c r="AP539" s="77"/>
      <c r="AQ539" s="77"/>
      <c r="AR539" s="77"/>
      <c r="AS539" s="77"/>
      <c r="AT539" s="77"/>
      <c r="AU539" s="77"/>
      <c r="AV539" s="80" t="str">
        <f>HYPERLINK("https://pbs.twimg.com/profile_images/1684688754299023360/qAc2FJ_A_normal.jpg")</f>
        <v>https://pbs.twimg.com/profile_images/1684688754299023360/qAc2FJ_A_normal.jpg</v>
      </c>
      <c r="AW539" s="82" t="s">
        <v>12240</v>
      </c>
      <c r="AX539" s="82" t="s">
        <v>12240</v>
      </c>
      <c r="AY539" s="77"/>
      <c r="AZ539" s="82" t="s">
        <v>15984</v>
      </c>
      <c r="BA539" s="82" t="s">
        <v>15984</v>
      </c>
      <c r="BB539" s="82" t="s">
        <v>15984</v>
      </c>
      <c r="BC539" s="82" t="s">
        <v>12240</v>
      </c>
      <c r="BD539" s="77">
        <v>135761946</v>
      </c>
      <c r="BE539" s="77"/>
      <c r="BF539" s="77"/>
      <c r="BG539" s="77"/>
      <c r="BH539" s="77"/>
      <c r="BI539" s="77"/>
    </row>
    <row r="540" spans="1:61" x14ac:dyDescent="0.25">
      <c r="A540" s="62" t="s">
        <v>387</v>
      </c>
      <c r="B540" s="62" t="s">
        <v>773</v>
      </c>
      <c r="C540" s="63"/>
      <c r="D540" s="64"/>
      <c r="E540" s="65"/>
      <c r="F540" s="66"/>
      <c r="G540" s="63"/>
      <c r="H540" s="67"/>
      <c r="I540" s="68"/>
      <c r="J540" s="68"/>
      <c r="K540" s="32"/>
      <c r="L540" s="75">
        <v>540</v>
      </c>
      <c r="M540" s="75"/>
      <c r="N540" s="70"/>
      <c r="O540" s="77" t="s">
        <v>895</v>
      </c>
      <c r="P540" s="79">
        <v>45137.958333333336</v>
      </c>
      <c r="Q540" s="77" t="s">
        <v>1414</v>
      </c>
      <c r="R540" s="77">
        <v>1</v>
      </c>
      <c r="S540" s="77">
        <v>2</v>
      </c>
      <c r="T540" s="77">
        <v>0</v>
      </c>
      <c r="U540" s="77">
        <v>0</v>
      </c>
      <c r="V540" s="77">
        <v>977</v>
      </c>
      <c r="W540" s="82" t="s">
        <v>4833</v>
      </c>
      <c r="X540" s="80" t="str">
        <f>HYPERLINK("https://einvestidor.estadao.com.br/colunas/vitor-miziara/como-investidor-consegue-protecao-conflitos-de-interesse/?utm_source=twitter&amp;utm_medium=organic&amp;utm_campaign=&amp;utm_content=materia")</f>
        <v>https://einvestidor.estadao.com.br/colunas/vitor-miziara/como-investidor-consegue-protecao-conflitos-de-interesse/?utm_source=twitter&amp;utm_medium=organic&amp;utm_campaign=&amp;utm_content=materia</v>
      </c>
      <c r="Y540" s="77" t="s">
        <v>6470</v>
      </c>
      <c r="Z540" s="77" t="s">
        <v>773</v>
      </c>
      <c r="AA540" s="77"/>
      <c r="AB540" s="77"/>
      <c r="AC540" s="82" t="s">
        <v>7754</v>
      </c>
      <c r="AD540" s="77" t="s">
        <v>7788</v>
      </c>
      <c r="AE540" s="80" t="str">
        <f>HYPERLINK("https://twitter.com/einvestidor/status/1685787356769796096")</f>
        <v>https://twitter.com/einvestidor/status/1685787356769796096</v>
      </c>
      <c r="AF540" s="79">
        <v>45137.958333333336</v>
      </c>
      <c r="AG540" s="85">
        <v>45137</v>
      </c>
      <c r="AH540" s="82" t="s">
        <v>8279</v>
      </c>
      <c r="AI540" s="77" t="b">
        <v>0</v>
      </c>
      <c r="AJ540" s="77"/>
      <c r="AK540" s="77"/>
      <c r="AL540" s="77"/>
      <c r="AM540" s="77"/>
      <c r="AN540" s="77"/>
      <c r="AO540" s="77"/>
      <c r="AP540" s="77"/>
      <c r="AQ540" s="77"/>
      <c r="AR540" s="77"/>
      <c r="AS540" s="77"/>
      <c r="AT540" s="77"/>
      <c r="AU540" s="77"/>
      <c r="AV540" s="80" t="str">
        <f>HYPERLINK("https://pbs.twimg.com/profile_images/1241147984924082183/gZgx_hL-_normal.jpg")</f>
        <v>https://pbs.twimg.com/profile_images/1241147984924082183/gZgx_hL-_normal.jpg</v>
      </c>
      <c r="AW540" s="82" t="s">
        <v>12241</v>
      </c>
      <c r="AX540" s="82" t="s">
        <v>12241</v>
      </c>
      <c r="AY540" s="77"/>
      <c r="AZ540" s="82" t="s">
        <v>15984</v>
      </c>
      <c r="BA540" s="82" t="s">
        <v>15984</v>
      </c>
      <c r="BB540" s="82" t="s">
        <v>15984</v>
      </c>
      <c r="BC540" s="82" t="s">
        <v>12241</v>
      </c>
      <c r="BD540" s="82" t="s">
        <v>15979</v>
      </c>
      <c r="BE540" s="77"/>
      <c r="BF540" s="77"/>
      <c r="BG540" s="77"/>
      <c r="BH540" s="77"/>
      <c r="BI540" s="77"/>
    </row>
    <row r="541" spans="1:61" x14ac:dyDescent="0.25">
      <c r="A541" s="62" t="s">
        <v>387</v>
      </c>
      <c r="B541" s="62" t="s">
        <v>773</v>
      </c>
      <c r="C541" s="63"/>
      <c r="D541" s="64"/>
      <c r="E541" s="65"/>
      <c r="F541" s="66"/>
      <c r="G541" s="63"/>
      <c r="H541" s="67"/>
      <c r="I541" s="68"/>
      <c r="J541" s="68"/>
      <c r="K541" s="32"/>
      <c r="L541" s="75">
        <v>541</v>
      </c>
      <c r="M541" s="75"/>
      <c r="N541" s="70"/>
      <c r="O541" s="77" t="s">
        <v>895</v>
      </c>
      <c r="P541" s="79">
        <v>45118.917164351849</v>
      </c>
      <c r="Q541" s="77" t="s">
        <v>1415</v>
      </c>
      <c r="R541" s="77">
        <v>2</v>
      </c>
      <c r="S541" s="77">
        <v>1</v>
      </c>
      <c r="T541" s="77">
        <v>0</v>
      </c>
      <c r="U541" s="77">
        <v>0</v>
      </c>
      <c r="V541" s="77">
        <v>649</v>
      </c>
      <c r="W541" s="82" t="s">
        <v>4833</v>
      </c>
      <c r="X541" s="80" t="str">
        <f>HYPERLINK("https://mla.bs/05baf390")</f>
        <v>https://mla.bs/05baf390</v>
      </c>
      <c r="Y541" s="77" t="s">
        <v>6506</v>
      </c>
      <c r="Z541" s="77" t="s">
        <v>773</v>
      </c>
      <c r="AA541" s="77"/>
      <c r="AB541" s="77"/>
      <c r="AC541" s="82" t="s">
        <v>7757</v>
      </c>
      <c r="AD541" s="77" t="s">
        <v>7788</v>
      </c>
      <c r="AE541" s="80" t="str">
        <f>HYPERLINK("https://twitter.com/einvestidor/status/1678887067558854664")</f>
        <v>https://twitter.com/einvestidor/status/1678887067558854664</v>
      </c>
      <c r="AF541" s="79">
        <v>45118.917164351849</v>
      </c>
      <c r="AG541" s="85">
        <v>45118</v>
      </c>
      <c r="AH541" s="82" t="s">
        <v>8280</v>
      </c>
      <c r="AI541" s="77" t="b">
        <v>0</v>
      </c>
      <c r="AJ541" s="77"/>
      <c r="AK541" s="77"/>
      <c r="AL541" s="77"/>
      <c r="AM541" s="77"/>
      <c r="AN541" s="77"/>
      <c r="AO541" s="77"/>
      <c r="AP541" s="77"/>
      <c r="AQ541" s="77"/>
      <c r="AR541" s="77"/>
      <c r="AS541" s="77"/>
      <c r="AT541" s="77"/>
      <c r="AU541" s="77"/>
      <c r="AV541" s="80" t="str">
        <f>HYPERLINK("https://pbs.twimg.com/profile_images/1241147984924082183/gZgx_hL-_normal.jpg")</f>
        <v>https://pbs.twimg.com/profile_images/1241147984924082183/gZgx_hL-_normal.jpg</v>
      </c>
      <c r="AW541" s="82" t="s">
        <v>12242</v>
      </c>
      <c r="AX541" s="82" t="s">
        <v>12242</v>
      </c>
      <c r="AY541" s="77"/>
      <c r="AZ541" s="82" t="s">
        <v>15984</v>
      </c>
      <c r="BA541" s="82" t="s">
        <v>15984</v>
      </c>
      <c r="BB541" s="82" t="s">
        <v>15984</v>
      </c>
      <c r="BC541" s="82" t="s">
        <v>12242</v>
      </c>
      <c r="BD541" s="82" t="s">
        <v>15979</v>
      </c>
      <c r="BE541" s="77"/>
      <c r="BF541" s="77"/>
      <c r="BG541" s="77"/>
      <c r="BH541" s="77"/>
      <c r="BI541" s="77"/>
    </row>
    <row r="542" spans="1:61" x14ac:dyDescent="0.25">
      <c r="A542" s="62" t="s">
        <v>387</v>
      </c>
      <c r="B542" s="62" t="s">
        <v>774</v>
      </c>
      <c r="C542" s="63"/>
      <c r="D542" s="64"/>
      <c r="E542" s="65"/>
      <c r="F542" s="66"/>
      <c r="G542" s="63"/>
      <c r="H542" s="67"/>
      <c r="I542" s="68"/>
      <c r="J542" s="68"/>
      <c r="K542" s="32"/>
      <c r="L542" s="75">
        <v>542</v>
      </c>
      <c r="M542" s="75"/>
      <c r="N542" s="70"/>
      <c r="O542" s="77" t="s">
        <v>895</v>
      </c>
      <c r="P542" s="79">
        <v>45138.8125</v>
      </c>
      <c r="Q542" s="77" t="s">
        <v>1416</v>
      </c>
      <c r="R542" s="77">
        <v>0</v>
      </c>
      <c r="S542" s="77">
        <v>2</v>
      </c>
      <c r="T542" s="77">
        <v>0</v>
      </c>
      <c r="U542" s="77">
        <v>0</v>
      </c>
      <c r="V542" s="77">
        <v>580</v>
      </c>
      <c r="W542" s="82" t="s">
        <v>4833</v>
      </c>
      <c r="X542" s="77"/>
      <c r="Y542" s="77"/>
      <c r="Z542" s="77" t="s">
        <v>774</v>
      </c>
      <c r="AA542" s="77"/>
      <c r="AB542" s="77"/>
      <c r="AC542" s="82" t="s">
        <v>7754</v>
      </c>
      <c r="AD542" s="77" t="s">
        <v>7788</v>
      </c>
      <c r="AE542" s="80" t="str">
        <f>HYPERLINK("https://twitter.com/einvestidor/status/1686096894076870657")</f>
        <v>https://twitter.com/einvestidor/status/1686096894076870657</v>
      </c>
      <c r="AF542" s="79">
        <v>45138.8125</v>
      </c>
      <c r="AG542" s="85">
        <v>45138</v>
      </c>
      <c r="AH542" s="82" t="s">
        <v>8281</v>
      </c>
      <c r="AI542" s="77"/>
      <c r="AJ542" s="77"/>
      <c r="AK542" s="77"/>
      <c r="AL542" s="77"/>
      <c r="AM542" s="77"/>
      <c r="AN542" s="77"/>
      <c r="AO542" s="77"/>
      <c r="AP542" s="77"/>
      <c r="AQ542" s="77"/>
      <c r="AR542" s="77"/>
      <c r="AS542" s="77"/>
      <c r="AT542" s="77"/>
      <c r="AU542" s="77"/>
      <c r="AV542" s="80" t="str">
        <f>HYPERLINK("https://pbs.twimg.com/profile_images/1241147984924082183/gZgx_hL-_normal.jpg")</f>
        <v>https://pbs.twimg.com/profile_images/1241147984924082183/gZgx_hL-_normal.jpg</v>
      </c>
      <c r="AW542" s="82" t="s">
        <v>12243</v>
      </c>
      <c r="AX542" s="82" t="s">
        <v>12243</v>
      </c>
      <c r="AY542" s="77"/>
      <c r="AZ542" s="82" t="s">
        <v>15984</v>
      </c>
      <c r="BA542" s="82" t="s">
        <v>15984</v>
      </c>
      <c r="BB542" s="82" t="s">
        <v>15984</v>
      </c>
      <c r="BC542" s="82" t="s">
        <v>12243</v>
      </c>
      <c r="BD542" s="82" t="s">
        <v>15979</v>
      </c>
      <c r="BE542" s="77"/>
      <c r="BF542" s="77"/>
      <c r="BG542" s="77"/>
      <c r="BH542" s="77"/>
      <c r="BI542" s="77"/>
    </row>
    <row r="543" spans="1:61" x14ac:dyDescent="0.25">
      <c r="A543" s="62" t="s">
        <v>387</v>
      </c>
      <c r="B543" s="62" t="s">
        <v>775</v>
      </c>
      <c r="C543" s="63"/>
      <c r="D543" s="64"/>
      <c r="E543" s="65"/>
      <c r="F543" s="66"/>
      <c r="G543" s="63"/>
      <c r="H543" s="67"/>
      <c r="I543" s="68"/>
      <c r="J543" s="68"/>
      <c r="K543" s="32"/>
      <c r="L543" s="75">
        <v>543</v>
      </c>
      <c r="M543" s="75"/>
      <c r="N543" s="70"/>
      <c r="O543" s="77" t="s">
        <v>895</v>
      </c>
      <c r="P543" s="79">
        <v>45154.770833333336</v>
      </c>
      <c r="Q543" s="77" t="s">
        <v>1417</v>
      </c>
      <c r="R543" s="77">
        <v>0</v>
      </c>
      <c r="S543" s="77">
        <v>2</v>
      </c>
      <c r="T543" s="77">
        <v>0</v>
      </c>
      <c r="U543" s="77">
        <v>0</v>
      </c>
      <c r="V543" s="77">
        <v>442</v>
      </c>
      <c r="W543" s="82" t="s">
        <v>4833</v>
      </c>
      <c r="X543" s="80" t="str">
        <f>HYPERLINK("https://mla.bs/e12b3a3e")</f>
        <v>https://mla.bs/e12b3a3e</v>
      </c>
      <c r="Y543" s="77" t="s">
        <v>6506</v>
      </c>
      <c r="Z543" s="77" t="s">
        <v>775</v>
      </c>
      <c r="AA543" s="77"/>
      <c r="AB543" s="77"/>
      <c r="AC543" s="82" t="s">
        <v>7750</v>
      </c>
      <c r="AD543" s="77" t="s">
        <v>7788</v>
      </c>
      <c r="AE543" s="80" t="str">
        <f>HYPERLINK("https://twitter.com/einvestidor/status/1691880000062947836")</f>
        <v>https://twitter.com/einvestidor/status/1691880000062947836</v>
      </c>
      <c r="AF543" s="79">
        <v>45154.770833333336</v>
      </c>
      <c r="AG543" s="85">
        <v>45154</v>
      </c>
      <c r="AH543" s="82" t="s">
        <v>7930</v>
      </c>
      <c r="AI543" s="77" t="b">
        <v>0</v>
      </c>
      <c r="AJ543" s="77"/>
      <c r="AK543" s="77"/>
      <c r="AL543" s="77"/>
      <c r="AM543" s="77"/>
      <c r="AN543" s="77"/>
      <c r="AO543" s="77"/>
      <c r="AP543" s="77"/>
      <c r="AQ543" s="77"/>
      <c r="AR543" s="77"/>
      <c r="AS543" s="77"/>
      <c r="AT543" s="77"/>
      <c r="AU543" s="77"/>
      <c r="AV543" s="80" t="str">
        <f>HYPERLINK("https://pbs.twimg.com/profile_images/1241147984924082183/gZgx_hL-_normal.jpg")</f>
        <v>https://pbs.twimg.com/profile_images/1241147984924082183/gZgx_hL-_normal.jpg</v>
      </c>
      <c r="AW543" s="82" t="s">
        <v>12244</v>
      </c>
      <c r="AX543" s="82" t="s">
        <v>12244</v>
      </c>
      <c r="AY543" s="77"/>
      <c r="AZ543" s="82" t="s">
        <v>15984</v>
      </c>
      <c r="BA543" s="82" t="s">
        <v>15984</v>
      </c>
      <c r="BB543" s="82" t="s">
        <v>15984</v>
      </c>
      <c r="BC543" s="82" t="s">
        <v>12244</v>
      </c>
      <c r="BD543" s="82" t="s">
        <v>15979</v>
      </c>
      <c r="BE543" s="77"/>
      <c r="BF543" s="77"/>
      <c r="BG543" s="77"/>
      <c r="BH543" s="77"/>
      <c r="BI543" s="77"/>
    </row>
    <row r="544" spans="1:61" x14ac:dyDescent="0.25">
      <c r="A544" s="62" t="s">
        <v>387</v>
      </c>
      <c r="B544" s="62" t="s">
        <v>776</v>
      </c>
      <c r="C544" s="63"/>
      <c r="D544" s="64"/>
      <c r="E544" s="65"/>
      <c r="F544" s="66"/>
      <c r="G544" s="63"/>
      <c r="H544" s="67"/>
      <c r="I544" s="68"/>
      <c r="J544" s="68"/>
      <c r="K544" s="32"/>
      <c r="L544" s="75">
        <v>544</v>
      </c>
      <c r="M544" s="75"/>
      <c r="N544" s="70"/>
      <c r="O544" s="77" t="s">
        <v>895</v>
      </c>
      <c r="P544" s="79">
        <v>45124.93068287037</v>
      </c>
      <c r="Q544" s="77" t="s">
        <v>1418</v>
      </c>
      <c r="R544" s="77">
        <v>0</v>
      </c>
      <c r="S544" s="77">
        <v>1</v>
      </c>
      <c r="T544" s="77">
        <v>0</v>
      </c>
      <c r="U544" s="77">
        <v>0</v>
      </c>
      <c r="V544" s="77">
        <v>688</v>
      </c>
      <c r="W544" s="82" t="s">
        <v>4833</v>
      </c>
      <c r="X544" s="80" t="str">
        <f>HYPERLINK("https://mla.bs/504632bb")</f>
        <v>https://mla.bs/504632bb</v>
      </c>
      <c r="Y544" s="77" t="s">
        <v>6506</v>
      </c>
      <c r="Z544" s="77" t="s">
        <v>776</v>
      </c>
      <c r="AA544" s="77"/>
      <c r="AB544" s="77"/>
      <c r="AC544" s="82" t="s">
        <v>7757</v>
      </c>
      <c r="AD544" s="77" t="s">
        <v>7788</v>
      </c>
      <c r="AE544" s="80" t="str">
        <f>HYPERLINK("https://twitter.com/einvestidor/status/1681066294542491651")</f>
        <v>https://twitter.com/einvestidor/status/1681066294542491651</v>
      </c>
      <c r="AF544" s="79">
        <v>45124.93068287037</v>
      </c>
      <c r="AG544" s="85">
        <v>45124</v>
      </c>
      <c r="AH544" s="82" t="s">
        <v>8282</v>
      </c>
      <c r="AI544" s="77" t="b">
        <v>0</v>
      </c>
      <c r="AJ544" s="77"/>
      <c r="AK544" s="77"/>
      <c r="AL544" s="77"/>
      <c r="AM544" s="77"/>
      <c r="AN544" s="77"/>
      <c r="AO544" s="77"/>
      <c r="AP544" s="77"/>
      <c r="AQ544" s="77"/>
      <c r="AR544" s="77"/>
      <c r="AS544" s="77"/>
      <c r="AT544" s="77"/>
      <c r="AU544" s="77"/>
      <c r="AV544" s="80" t="str">
        <f>HYPERLINK("https://pbs.twimg.com/profile_images/1241147984924082183/gZgx_hL-_normal.jpg")</f>
        <v>https://pbs.twimg.com/profile_images/1241147984924082183/gZgx_hL-_normal.jpg</v>
      </c>
      <c r="AW544" s="82" t="s">
        <v>12245</v>
      </c>
      <c r="AX544" s="82" t="s">
        <v>12245</v>
      </c>
      <c r="AY544" s="77"/>
      <c r="AZ544" s="82" t="s">
        <v>15984</v>
      </c>
      <c r="BA544" s="82" t="s">
        <v>15984</v>
      </c>
      <c r="BB544" s="82" t="s">
        <v>15984</v>
      </c>
      <c r="BC544" s="82" t="s">
        <v>12245</v>
      </c>
      <c r="BD544" s="82" t="s">
        <v>15979</v>
      </c>
      <c r="BE544" s="77"/>
      <c r="BF544" s="77"/>
      <c r="BG544" s="77"/>
      <c r="BH544" s="77"/>
      <c r="BI544" s="77"/>
    </row>
    <row r="545" spans="1:61" x14ac:dyDescent="0.25">
      <c r="A545" s="62" t="s">
        <v>387</v>
      </c>
      <c r="B545" s="62" t="s">
        <v>777</v>
      </c>
      <c r="C545" s="63"/>
      <c r="D545" s="64"/>
      <c r="E545" s="65"/>
      <c r="F545" s="66"/>
      <c r="G545" s="63"/>
      <c r="H545" s="67"/>
      <c r="I545" s="68"/>
      <c r="J545" s="68"/>
      <c r="K545" s="32"/>
      <c r="L545" s="75">
        <v>545</v>
      </c>
      <c r="M545" s="75"/>
      <c r="N545" s="70"/>
      <c r="O545" s="77" t="s">
        <v>895</v>
      </c>
      <c r="P545" s="79">
        <v>45141.802083333336</v>
      </c>
      <c r="Q545" s="77" t="s">
        <v>1419</v>
      </c>
      <c r="R545" s="77">
        <v>0</v>
      </c>
      <c r="S545" s="77">
        <v>0</v>
      </c>
      <c r="T545" s="77">
        <v>0</v>
      </c>
      <c r="U545" s="77">
        <v>0</v>
      </c>
      <c r="V545" s="77">
        <v>438</v>
      </c>
      <c r="W545" s="82" t="s">
        <v>4833</v>
      </c>
      <c r="X545" s="80" t="str">
        <f>HYPERLINK("https://mla.bs/c74cfae2")</f>
        <v>https://mla.bs/c74cfae2</v>
      </c>
      <c r="Y545" s="77" t="s">
        <v>6506</v>
      </c>
      <c r="Z545" s="77" t="s">
        <v>777</v>
      </c>
      <c r="AA545" s="77"/>
      <c r="AB545" s="77"/>
      <c r="AC545" s="82" t="s">
        <v>7754</v>
      </c>
      <c r="AD545" s="77" t="s">
        <v>7788</v>
      </c>
      <c r="AE545" s="80" t="str">
        <f>HYPERLINK("https://twitter.com/einvestidor/status/1687180282242420738")</f>
        <v>https://twitter.com/einvestidor/status/1687180282242420738</v>
      </c>
      <c r="AF545" s="79">
        <v>45141.802083333336</v>
      </c>
      <c r="AG545" s="85">
        <v>45141</v>
      </c>
      <c r="AH545" s="82" t="s">
        <v>7868</v>
      </c>
      <c r="AI545" s="77" t="b">
        <v>0</v>
      </c>
      <c r="AJ545" s="77"/>
      <c r="AK545" s="77"/>
      <c r="AL545" s="77"/>
      <c r="AM545" s="77"/>
      <c r="AN545" s="77"/>
      <c r="AO545" s="77"/>
      <c r="AP545" s="77"/>
      <c r="AQ545" s="77"/>
      <c r="AR545" s="77"/>
      <c r="AS545" s="77"/>
      <c r="AT545" s="77"/>
      <c r="AU545" s="77"/>
      <c r="AV545" s="80" t="str">
        <f>HYPERLINK("https://pbs.twimg.com/profile_images/1241147984924082183/gZgx_hL-_normal.jpg")</f>
        <v>https://pbs.twimg.com/profile_images/1241147984924082183/gZgx_hL-_normal.jpg</v>
      </c>
      <c r="AW545" s="82" t="s">
        <v>12246</v>
      </c>
      <c r="AX545" s="82" t="s">
        <v>12246</v>
      </c>
      <c r="AY545" s="77"/>
      <c r="AZ545" s="82" t="s">
        <v>15984</v>
      </c>
      <c r="BA545" s="82" t="s">
        <v>15984</v>
      </c>
      <c r="BB545" s="82" t="s">
        <v>15984</v>
      </c>
      <c r="BC545" s="82" t="s">
        <v>12246</v>
      </c>
      <c r="BD545" s="82" t="s">
        <v>15979</v>
      </c>
      <c r="BE545" s="77"/>
      <c r="BF545" s="77"/>
      <c r="BG545" s="77"/>
      <c r="BH545" s="77"/>
      <c r="BI545" s="77"/>
    </row>
    <row r="546" spans="1:61" x14ac:dyDescent="0.25">
      <c r="A546" s="62" t="s">
        <v>387</v>
      </c>
      <c r="B546" s="62" t="s">
        <v>778</v>
      </c>
      <c r="C546" s="63"/>
      <c r="D546" s="64"/>
      <c r="E546" s="65"/>
      <c r="F546" s="66"/>
      <c r="G546" s="63"/>
      <c r="H546" s="67"/>
      <c r="I546" s="68"/>
      <c r="J546" s="68"/>
      <c r="K546" s="32"/>
      <c r="L546" s="75">
        <v>546</v>
      </c>
      <c r="M546" s="75"/>
      <c r="N546" s="70"/>
      <c r="O546" s="77" t="s">
        <v>895</v>
      </c>
      <c r="P546" s="79">
        <v>45132.041666666664</v>
      </c>
      <c r="Q546" s="77" t="s">
        <v>1420</v>
      </c>
      <c r="R546" s="77">
        <v>1</v>
      </c>
      <c r="S546" s="77">
        <v>2</v>
      </c>
      <c r="T546" s="77">
        <v>0</v>
      </c>
      <c r="U546" s="77">
        <v>0</v>
      </c>
      <c r="V546" s="77">
        <v>793</v>
      </c>
      <c r="W546" s="82" t="s">
        <v>4833</v>
      </c>
      <c r="X546" s="80" t="str">
        <f>HYPERLINK("https://mla.bs/5cb965b0")</f>
        <v>https://mla.bs/5cb965b0</v>
      </c>
      <c r="Y546" s="77" t="s">
        <v>6506</v>
      </c>
      <c r="Z546" s="77" t="s">
        <v>778</v>
      </c>
      <c r="AA546" s="77"/>
      <c r="AB546" s="77"/>
      <c r="AC546" s="82" t="s">
        <v>7754</v>
      </c>
      <c r="AD546" s="77" t="s">
        <v>7788</v>
      </c>
      <c r="AE546" s="80" t="str">
        <f>HYPERLINK("https://twitter.com/einvestidor/status/1683643227075907584")</f>
        <v>https://twitter.com/einvestidor/status/1683643227075907584</v>
      </c>
      <c r="AF546" s="79">
        <v>45132.041666666664</v>
      </c>
      <c r="AG546" s="85">
        <v>45132</v>
      </c>
      <c r="AH546" s="82" t="s">
        <v>8283</v>
      </c>
      <c r="AI546" s="77" t="b">
        <v>0</v>
      </c>
      <c r="AJ546" s="77"/>
      <c r="AK546" s="77"/>
      <c r="AL546" s="77"/>
      <c r="AM546" s="77"/>
      <c r="AN546" s="77"/>
      <c r="AO546" s="77"/>
      <c r="AP546" s="77"/>
      <c r="AQ546" s="77"/>
      <c r="AR546" s="77"/>
      <c r="AS546" s="77"/>
      <c r="AT546" s="77"/>
      <c r="AU546" s="77"/>
      <c r="AV546" s="80" t="str">
        <f>HYPERLINK("https://pbs.twimg.com/profile_images/1241147984924082183/gZgx_hL-_normal.jpg")</f>
        <v>https://pbs.twimg.com/profile_images/1241147984924082183/gZgx_hL-_normal.jpg</v>
      </c>
      <c r="AW546" s="82" t="s">
        <v>12247</v>
      </c>
      <c r="AX546" s="82" t="s">
        <v>12247</v>
      </c>
      <c r="AY546" s="77"/>
      <c r="AZ546" s="82" t="s">
        <v>15984</v>
      </c>
      <c r="BA546" s="82" t="s">
        <v>15984</v>
      </c>
      <c r="BB546" s="82" t="s">
        <v>15984</v>
      </c>
      <c r="BC546" s="82" t="s">
        <v>12247</v>
      </c>
      <c r="BD546" s="82" t="s">
        <v>15979</v>
      </c>
      <c r="BE546" s="77"/>
      <c r="BF546" s="77"/>
      <c r="BG546" s="77"/>
      <c r="BH546" s="77"/>
      <c r="BI546" s="77"/>
    </row>
    <row r="547" spans="1:61" x14ac:dyDescent="0.25">
      <c r="A547" s="62" t="s">
        <v>387</v>
      </c>
      <c r="B547" s="62" t="s">
        <v>778</v>
      </c>
      <c r="C547" s="63"/>
      <c r="D547" s="64"/>
      <c r="E547" s="65"/>
      <c r="F547" s="66"/>
      <c r="G547" s="63"/>
      <c r="H547" s="67"/>
      <c r="I547" s="68"/>
      <c r="J547" s="68"/>
      <c r="K547" s="32"/>
      <c r="L547" s="75">
        <v>547</v>
      </c>
      <c r="M547" s="75"/>
      <c r="N547" s="70"/>
      <c r="O547" s="77" t="s">
        <v>895</v>
      </c>
      <c r="P547" s="79">
        <v>45173.833344907405</v>
      </c>
      <c r="Q547" s="77" t="s">
        <v>1421</v>
      </c>
      <c r="R547" s="77">
        <v>0</v>
      </c>
      <c r="S547" s="77">
        <v>1</v>
      </c>
      <c r="T547" s="77">
        <v>0</v>
      </c>
      <c r="U547" s="77">
        <v>0</v>
      </c>
      <c r="V547" s="77">
        <v>435</v>
      </c>
      <c r="W547" s="82" t="s">
        <v>4833</v>
      </c>
      <c r="X547" s="80" t="str">
        <f>HYPERLINK("https://einvestidor.estadao.com.br/colunas/marco-saravalle/pib-e-incertezas-fiscais-como-fica-mercado/?utm_source=twitter&amp;utm_medium=organic&amp;utm_campaign=&amp;utm_content=materia")</f>
        <v>https://einvestidor.estadao.com.br/colunas/marco-saravalle/pib-e-incertezas-fiscais-como-fica-mercado/?utm_source=twitter&amp;utm_medium=organic&amp;utm_campaign=&amp;utm_content=materia</v>
      </c>
      <c r="Y547" s="77" t="s">
        <v>6470</v>
      </c>
      <c r="Z547" s="77" t="s">
        <v>778</v>
      </c>
      <c r="AA547" s="77"/>
      <c r="AB547" s="77"/>
      <c r="AC547" s="82" t="s">
        <v>7750</v>
      </c>
      <c r="AD547" s="77" t="s">
        <v>7788</v>
      </c>
      <c r="AE547" s="80" t="str">
        <f>HYPERLINK("https://twitter.com/einvestidor/status/1698788024061141105")</f>
        <v>https://twitter.com/einvestidor/status/1698788024061141105</v>
      </c>
      <c r="AF547" s="79">
        <v>45173.833344907405</v>
      </c>
      <c r="AG547" s="85">
        <v>45173</v>
      </c>
      <c r="AH547" s="82" t="s">
        <v>8284</v>
      </c>
      <c r="AI547" s="77" t="b">
        <v>0</v>
      </c>
      <c r="AJ547" s="77"/>
      <c r="AK547" s="77"/>
      <c r="AL547" s="77"/>
      <c r="AM547" s="77"/>
      <c r="AN547" s="77"/>
      <c r="AO547" s="77"/>
      <c r="AP547" s="77"/>
      <c r="AQ547" s="77"/>
      <c r="AR547" s="77"/>
      <c r="AS547" s="77"/>
      <c r="AT547" s="77"/>
      <c r="AU547" s="77"/>
      <c r="AV547" s="80" t="str">
        <f>HYPERLINK("https://pbs.twimg.com/profile_images/1241147984924082183/gZgx_hL-_normal.jpg")</f>
        <v>https://pbs.twimg.com/profile_images/1241147984924082183/gZgx_hL-_normal.jpg</v>
      </c>
      <c r="AW547" s="82" t="s">
        <v>12248</v>
      </c>
      <c r="AX547" s="82" t="s">
        <v>12248</v>
      </c>
      <c r="AY547" s="77"/>
      <c r="AZ547" s="82" t="s">
        <v>15984</v>
      </c>
      <c r="BA547" s="82" t="s">
        <v>15984</v>
      </c>
      <c r="BB547" s="82" t="s">
        <v>15984</v>
      </c>
      <c r="BC547" s="82" t="s">
        <v>12248</v>
      </c>
      <c r="BD547" s="82" t="s">
        <v>15979</v>
      </c>
      <c r="BE547" s="77"/>
      <c r="BF547" s="77"/>
      <c r="BG547" s="77"/>
      <c r="BH547" s="77"/>
      <c r="BI547" s="77"/>
    </row>
    <row r="548" spans="1:61" x14ac:dyDescent="0.25">
      <c r="A548" s="62" t="s">
        <v>387</v>
      </c>
      <c r="B548" s="62" t="s">
        <v>778</v>
      </c>
      <c r="C548" s="63"/>
      <c r="D548" s="64"/>
      <c r="E548" s="65"/>
      <c r="F548" s="66"/>
      <c r="G548" s="63"/>
      <c r="H548" s="67"/>
      <c r="I548" s="68"/>
      <c r="J548" s="68"/>
      <c r="K548" s="32"/>
      <c r="L548" s="75">
        <v>548</v>
      </c>
      <c r="M548" s="75"/>
      <c r="N548" s="70"/>
      <c r="O548" s="77" t="s">
        <v>895</v>
      </c>
      <c r="P548" s="79">
        <v>45137.000011574077</v>
      </c>
      <c r="Q548" s="77" t="s">
        <v>1422</v>
      </c>
      <c r="R548" s="77">
        <v>1</v>
      </c>
      <c r="S548" s="77">
        <v>2</v>
      </c>
      <c r="T548" s="77">
        <v>0</v>
      </c>
      <c r="U548" s="77">
        <v>0</v>
      </c>
      <c r="V548" s="77">
        <v>851</v>
      </c>
      <c r="W548" s="82" t="s">
        <v>4833</v>
      </c>
      <c r="X548" s="80" t="str">
        <f>HYPERLINK("https://einvestidor.estadao.com.br/colunas/marco-saravalle/dicas-investimentos-habitacao-infraestrutura/?utm_source=twitter&amp;utm_medium=organic&amp;utm_campaign=&amp;utm_content=materia")</f>
        <v>https://einvestidor.estadao.com.br/colunas/marco-saravalle/dicas-investimentos-habitacao-infraestrutura/?utm_source=twitter&amp;utm_medium=organic&amp;utm_campaign=&amp;utm_content=materia</v>
      </c>
      <c r="Y548" s="77" t="s">
        <v>6470</v>
      </c>
      <c r="Z548" s="77" t="s">
        <v>778</v>
      </c>
      <c r="AA548" s="77"/>
      <c r="AB548" s="77"/>
      <c r="AC548" s="82" t="s">
        <v>7754</v>
      </c>
      <c r="AD548" s="77" t="s">
        <v>7788</v>
      </c>
      <c r="AE548" s="80" t="str">
        <f>HYPERLINK("https://twitter.com/einvestidor/status/1685440069128400896")</f>
        <v>https://twitter.com/einvestidor/status/1685440069128400896</v>
      </c>
      <c r="AF548" s="79">
        <v>45137.000011574077</v>
      </c>
      <c r="AG548" s="85">
        <v>45137</v>
      </c>
      <c r="AH548" s="82" t="s">
        <v>7883</v>
      </c>
      <c r="AI548" s="77" t="b">
        <v>0</v>
      </c>
      <c r="AJ548" s="77"/>
      <c r="AK548" s="77"/>
      <c r="AL548" s="77"/>
      <c r="AM548" s="77"/>
      <c r="AN548" s="77"/>
      <c r="AO548" s="77"/>
      <c r="AP548" s="77"/>
      <c r="AQ548" s="77"/>
      <c r="AR548" s="77"/>
      <c r="AS548" s="77"/>
      <c r="AT548" s="77"/>
      <c r="AU548" s="77"/>
      <c r="AV548" s="80" t="str">
        <f>HYPERLINK("https://pbs.twimg.com/profile_images/1241147984924082183/gZgx_hL-_normal.jpg")</f>
        <v>https://pbs.twimg.com/profile_images/1241147984924082183/gZgx_hL-_normal.jpg</v>
      </c>
      <c r="AW548" s="82" t="s">
        <v>12249</v>
      </c>
      <c r="AX548" s="82" t="s">
        <v>12249</v>
      </c>
      <c r="AY548" s="77"/>
      <c r="AZ548" s="82" t="s">
        <v>15984</v>
      </c>
      <c r="BA548" s="82" t="s">
        <v>15984</v>
      </c>
      <c r="BB548" s="82" t="s">
        <v>15984</v>
      </c>
      <c r="BC548" s="82" t="s">
        <v>12249</v>
      </c>
      <c r="BD548" s="82" t="s">
        <v>15979</v>
      </c>
      <c r="BE548" s="77"/>
      <c r="BF548" s="77"/>
      <c r="BG548" s="77"/>
      <c r="BH548" s="77"/>
      <c r="BI548" s="77"/>
    </row>
    <row r="549" spans="1:61" x14ac:dyDescent="0.25">
      <c r="A549" s="62" t="s">
        <v>388</v>
      </c>
      <c r="B549" s="62" t="s">
        <v>762</v>
      </c>
      <c r="C549" s="63"/>
      <c r="D549" s="64"/>
      <c r="E549" s="65"/>
      <c r="F549" s="66"/>
      <c r="G549" s="63"/>
      <c r="H549" s="67"/>
      <c r="I549" s="68"/>
      <c r="J549" s="68"/>
      <c r="K549" s="32"/>
      <c r="L549" s="75">
        <v>549</v>
      </c>
      <c r="M549" s="75"/>
      <c r="N549" s="70"/>
      <c r="O549" s="77" t="s">
        <v>899</v>
      </c>
      <c r="P549" s="79">
        <v>45193.879953703705</v>
      </c>
      <c r="Q549" s="77" t="s">
        <v>1173</v>
      </c>
      <c r="R549" s="77">
        <v>4</v>
      </c>
      <c r="S549" s="77">
        <v>0</v>
      </c>
      <c r="T549" s="77">
        <v>0</v>
      </c>
      <c r="U549" s="77">
        <v>0</v>
      </c>
      <c r="V549" s="77"/>
      <c r="W549" s="82" t="s">
        <v>4821</v>
      </c>
      <c r="X549" s="77"/>
      <c r="Y549" s="77"/>
      <c r="Z549" s="77" t="s">
        <v>6567</v>
      </c>
      <c r="AA549" s="77"/>
      <c r="AB549" s="77"/>
      <c r="AC549" s="82" t="s">
        <v>7751</v>
      </c>
      <c r="AD549" s="77" t="s">
        <v>7790</v>
      </c>
      <c r="AE549" s="80" t="str">
        <f>HYPERLINK("https://twitter.com/imlondono/status/1706052669637370223")</f>
        <v>https://twitter.com/imlondono/status/1706052669637370223</v>
      </c>
      <c r="AF549" s="79">
        <v>45193.879953703705</v>
      </c>
      <c r="AG549" s="85">
        <v>45193</v>
      </c>
      <c r="AH549" s="82" t="s">
        <v>8285</v>
      </c>
      <c r="AI549" s="77" t="b">
        <v>0</v>
      </c>
      <c r="AJ549" s="77"/>
      <c r="AK549" s="77"/>
      <c r="AL549" s="77"/>
      <c r="AM549" s="77"/>
      <c r="AN549" s="77"/>
      <c r="AO549" s="77"/>
      <c r="AP549" s="77"/>
      <c r="AQ549" s="77"/>
      <c r="AR549" s="77"/>
      <c r="AS549" s="77"/>
      <c r="AT549" s="77"/>
      <c r="AU549" s="77"/>
      <c r="AV549" s="80" t="str">
        <f>HYPERLINK("https://pbs.twimg.com/profile_images/1188109438189789184/Na1T-Ea0_normal.jpg")</f>
        <v>https://pbs.twimg.com/profile_images/1188109438189789184/Na1T-Ea0_normal.jpg</v>
      </c>
      <c r="AW549" s="82" t="s">
        <v>12250</v>
      </c>
      <c r="AX549" s="82" t="s">
        <v>12250</v>
      </c>
      <c r="AY549" s="77"/>
      <c r="AZ549" s="82" t="s">
        <v>15984</v>
      </c>
      <c r="BA549" s="82" t="s">
        <v>15984</v>
      </c>
      <c r="BB549" s="82" t="s">
        <v>13091</v>
      </c>
      <c r="BC549" s="82" t="s">
        <v>13091</v>
      </c>
      <c r="BD549" s="82" t="s">
        <v>16201</v>
      </c>
      <c r="BE549" s="77"/>
      <c r="BF549" s="77"/>
      <c r="BG549" s="77"/>
      <c r="BH549" s="77"/>
      <c r="BI549" s="77"/>
    </row>
    <row r="550" spans="1:61" x14ac:dyDescent="0.25">
      <c r="A550" s="62" t="s">
        <v>388</v>
      </c>
      <c r="B550" s="62" t="s">
        <v>763</v>
      </c>
      <c r="C550" s="63"/>
      <c r="D550" s="64"/>
      <c r="E550" s="65"/>
      <c r="F550" s="66"/>
      <c r="G550" s="63"/>
      <c r="H550" s="67"/>
      <c r="I550" s="68"/>
      <c r="J550" s="68"/>
      <c r="K550" s="32"/>
      <c r="L550" s="75">
        <v>550</v>
      </c>
      <c r="M550" s="75"/>
      <c r="N550" s="70"/>
      <c r="O550" s="77" t="s">
        <v>899</v>
      </c>
      <c r="P550" s="79">
        <v>45193.879953703705</v>
      </c>
      <c r="Q550" s="77" t="s">
        <v>1173</v>
      </c>
      <c r="R550" s="77">
        <v>4</v>
      </c>
      <c r="S550" s="77">
        <v>0</v>
      </c>
      <c r="T550" s="77">
        <v>0</v>
      </c>
      <c r="U550" s="77">
        <v>0</v>
      </c>
      <c r="V550" s="77"/>
      <c r="W550" s="82" t="s">
        <v>4821</v>
      </c>
      <c r="X550" s="77"/>
      <c r="Y550" s="77"/>
      <c r="Z550" s="77" t="s">
        <v>6567</v>
      </c>
      <c r="AA550" s="77"/>
      <c r="AB550" s="77"/>
      <c r="AC550" s="82" t="s">
        <v>7751</v>
      </c>
      <c r="AD550" s="77" t="s">
        <v>7790</v>
      </c>
      <c r="AE550" s="80" t="str">
        <f>HYPERLINK("https://twitter.com/imlondono/status/1706052669637370223")</f>
        <v>https://twitter.com/imlondono/status/1706052669637370223</v>
      </c>
      <c r="AF550" s="79">
        <v>45193.879953703705</v>
      </c>
      <c r="AG550" s="85">
        <v>45193</v>
      </c>
      <c r="AH550" s="82" t="s">
        <v>8285</v>
      </c>
      <c r="AI550" s="77" t="b">
        <v>0</v>
      </c>
      <c r="AJ550" s="77"/>
      <c r="AK550" s="77"/>
      <c r="AL550" s="77"/>
      <c r="AM550" s="77"/>
      <c r="AN550" s="77"/>
      <c r="AO550" s="77"/>
      <c r="AP550" s="77"/>
      <c r="AQ550" s="77"/>
      <c r="AR550" s="77"/>
      <c r="AS550" s="77"/>
      <c r="AT550" s="77"/>
      <c r="AU550" s="77"/>
      <c r="AV550" s="80" t="str">
        <f>HYPERLINK("https://pbs.twimg.com/profile_images/1188109438189789184/Na1T-Ea0_normal.jpg")</f>
        <v>https://pbs.twimg.com/profile_images/1188109438189789184/Na1T-Ea0_normal.jpg</v>
      </c>
      <c r="AW550" s="82" t="s">
        <v>12250</v>
      </c>
      <c r="AX550" s="82" t="s">
        <v>12250</v>
      </c>
      <c r="AY550" s="77"/>
      <c r="AZ550" s="82" t="s">
        <v>15984</v>
      </c>
      <c r="BA550" s="82" t="s">
        <v>15984</v>
      </c>
      <c r="BB550" s="82" t="s">
        <v>13091</v>
      </c>
      <c r="BC550" s="82" t="s">
        <v>13091</v>
      </c>
      <c r="BD550" s="82" t="s">
        <v>16201</v>
      </c>
      <c r="BE550" s="77"/>
      <c r="BF550" s="77"/>
      <c r="BG550" s="77"/>
      <c r="BH550" s="77"/>
      <c r="BI550" s="77"/>
    </row>
    <row r="551" spans="1:61" x14ac:dyDescent="0.25">
      <c r="A551" s="62" t="s">
        <v>388</v>
      </c>
      <c r="B551" s="62" t="s">
        <v>614</v>
      </c>
      <c r="C551" s="63"/>
      <c r="D551" s="64"/>
      <c r="E551" s="65"/>
      <c r="F551" s="66"/>
      <c r="G551" s="63"/>
      <c r="H551" s="67"/>
      <c r="I551" s="68"/>
      <c r="J551" s="68"/>
      <c r="K551" s="32"/>
      <c r="L551" s="75">
        <v>551</v>
      </c>
      <c r="M551" s="75"/>
      <c r="N551" s="70"/>
      <c r="O551" s="77" t="s">
        <v>897</v>
      </c>
      <c r="P551" s="79">
        <v>45193.879953703705</v>
      </c>
      <c r="Q551" s="77" t="s">
        <v>1173</v>
      </c>
      <c r="R551" s="77">
        <v>4</v>
      </c>
      <c r="S551" s="77">
        <v>0</v>
      </c>
      <c r="T551" s="77">
        <v>0</v>
      </c>
      <c r="U551" s="77">
        <v>0</v>
      </c>
      <c r="V551" s="77"/>
      <c r="W551" s="82" t="s">
        <v>4821</v>
      </c>
      <c r="X551" s="77"/>
      <c r="Y551" s="77"/>
      <c r="Z551" s="77" t="s">
        <v>6567</v>
      </c>
      <c r="AA551" s="77"/>
      <c r="AB551" s="77"/>
      <c r="AC551" s="82" t="s">
        <v>7751</v>
      </c>
      <c r="AD551" s="77" t="s">
        <v>7790</v>
      </c>
      <c r="AE551" s="80" t="str">
        <f>HYPERLINK("https://twitter.com/imlondono/status/1706052669637370223")</f>
        <v>https://twitter.com/imlondono/status/1706052669637370223</v>
      </c>
      <c r="AF551" s="79">
        <v>45193.879953703705</v>
      </c>
      <c r="AG551" s="85">
        <v>45193</v>
      </c>
      <c r="AH551" s="82" t="s">
        <v>8285</v>
      </c>
      <c r="AI551" s="77" t="b">
        <v>0</v>
      </c>
      <c r="AJ551" s="77"/>
      <c r="AK551" s="77"/>
      <c r="AL551" s="77"/>
      <c r="AM551" s="77"/>
      <c r="AN551" s="77"/>
      <c r="AO551" s="77"/>
      <c r="AP551" s="77"/>
      <c r="AQ551" s="77"/>
      <c r="AR551" s="77"/>
      <c r="AS551" s="77"/>
      <c r="AT551" s="77"/>
      <c r="AU551" s="77"/>
      <c r="AV551" s="80" t="str">
        <f>HYPERLINK("https://pbs.twimg.com/profile_images/1188109438189789184/Na1T-Ea0_normal.jpg")</f>
        <v>https://pbs.twimg.com/profile_images/1188109438189789184/Na1T-Ea0_normal.jpg</v>
      </c>
      <c r="AW551" s="82" t="s">
        <v>12250</v>
      </c>
      <c r="AX551" s="82" t="s">
        <v>12250</v>
      </c>
      <c r="AY551" s="77"/>
      <c r="AZ551" s="82" t="s">
        <v>15984</v>
      </c>
      <c r="BA551" s="82" t="s">
        <v>15984</v>
      </c>
      <c r="BB551" s="82" t="s">
        <v>13091</v>
      </c>
      <c r="BC551" s="82" t="s">
        <v>13091</v>
      </c>
      <c r="BD551" s="82" t="s">
        <v>16201</v>
      </c>
      <c r="BE551" s="77"/>
      <c r="BF551" s="77"/>
      <c r="BG551" s="77"/>
      <c r="BH551" s="77"/>
      <c r="BI551" s="77"/>
    </row>
    <row r="552" spans="1:61" x14ac:dyDescent="0.25">
      <c r="A552" s="62" t="s">
        <v>389</v>
      </c>
      <c r="B552" s="62" t="s">
        <v>389</v>
      </c>
      <c r="C552" s="63"/>
      <c r="D552" s="64"/>
      <c r="E552" s="65"/>
      <c r="F552" s="66"/>
      <c r="G552" s="63"/>
      <c r="H552" s="67"/>
      <c r="I552" s="68"/>
      <c r="J552" s="68"/>
      <c r="K552" s="32"/>
      <c r="L552" s="75">
        <v>552</v>
      </c>
      <c r="M552" s="75"/>
      <c r="N552" s="70"/>
      <c r="O552" s="77" t="s">
        <v>179</v>
      </c>
      <c r="P552" s="79">
        <v>45145.759351851855</v>
      </c>
      <c r="Q552" s="77" t="s">
        <v>1423</v>
      </c>
      <c r="R552" s="77">
        <v>0</v>
      </c>
      <c r="S552" s="77">
        <v>0</v>
      </c>
      <c r="T552" s="77">
        <v>0</v>
      </c>
      <c r="U552" s="77">
        <v>0</v>
      </c>
      <c r="V552" s="77">
        <v>8</v>
      </c>
      <c r="W552" s="82" t="s">
        <v>5103</v>
      </c>
      <c r="X552" s="80" t="str">
        <f>HYPERLINK("https://tinyurl.com/2p89smf")</f>
        <v>https://tinyurl.com/2p89smf</v>
      </c>
      <c r="Y552" s="77" t="s">
        <v>6502</v>
      </c>
      <c r="Z552" s="77"/>
      <c r="AA552" s="77" t="s">
        <v>6955</v>
      </c>
      <c r="AB552" s="77" t="s">
        <v>7742</v>
      </c>
      <c r="AC552" s="82" t="s">
        <v>7750</v>
      </c>
      <c r="AD552" s="77" t="s">
        <v>7788</v>
      </c>
      <c r="AE552" s="80" t="str">
        <f>HYPERLINK("https://twitter.com/onjornal1/status/1688614347558252547")</f>
        <v>https://twitter.com/onjornal1/status/1688614347558252547</v>
      </c>
      <c r="AF552" s="79">
        <v>45145.759351851855</v>
      </c>
      <c r="AG552" s="85">
        <v>45145</v>
      </c>
      <c r="AH552" s="82" t="s">
        <v>8286</v>
      </c>
      <c r="AI552" s="77" t="b">
        <v>0</v>
      </c>
      <c r="AJ552" s="77"/>
      <c r="AK552" s="77"/>
      <c r="AL552" s="77"/>
      <c r="AM552" s="77"/>
      <c r="AN552" s="77"/>
      <c r="AO552" s="77"/>
      <c r="AP552" s="77"/>
      <c r="AQ552" s="77" t="s">
        <v>10927</v>
      </c>
      <c r="AR552" s="77"/>
      <c r="AS552" s="77"/>
      <c r="AT552" s="77"/>
      <c r="AU552" s="77"/>
      <c r="AV552" s="80" t="str">
        <f>HYPERLINK("https://pbs.twimg.com/media/F28py8gXwAIEyLZ.jpg")</f>
        <v>https://pbs.twimg.com/media/F28py8gXwAIEyLZ.jpg</v>
      </c>
      <c r="AW552" s="82" t="s">
        <v>12251</v>
      </c>
      <c r="AX552" s="82" t="s">
        <v>12251</v>
      </c>
      <c r="AY552" s="77"/>
      <c r="AZ552" s="82" t="s">
        <v>15984</v>
      </c>
      <c r="BA552" s="82" t="s">
        <v>15984</v>
      </c>
      <c r="BB552" s="82" t="s">
        <v>15984</v>
      </c>
      <c r="BC552" s="82" t="s">
        <v>12251</v>
      </c>
      <c r="BD552" s="82" t="s">
        <v>16202</v>
      </c>
      <c r="BE552" s="77"/>
      <c r="BF552" s="77"/>
      <c r="BG552" s="77"/>
      <c r="BH552" s="77"/>
      <c r="BI552" s="77"/>
    </row>
    <row r="553" spans="1:61" x14ac:dyDescent="0.25">
      <c r="A553" s="62" t="s">
        <v>389</v>
      </c>
      <c r="B553" s="62" t="s">
        <v>389</v>
      </c>
      <c r="C553" s="63"/>
      <c r="D553" s="64"/>
      <c r="E553" s="65"/>
      <c r="F553" s="66"/>
      <c r="G553" s="63"/>
      <c r="H553" s="67"/>
      <c r="I553" s="68"/>
      <c r="J553" s="68"/>
      <c r="K553" s="32"/>
      <c r="L553" s="75">
        <v>553</v>
      </c>
      <c r="M553" s="75"/>
      <c r="N553" s="70"/>
      <c r="O553" s="77" t="s">
        <v>179</v>
      </c>
      <c r="P553" s="79">
        <v>45185.670636574076</v>
      </c>
      <c r="Q553" s="77" t="s">
        <v>1424</v>
      </c>
      <c r="R553" s="77">
        <v>0</v>
      </c>
      <c r="S553" s="77">
        <v>0</v>
      </c>
      <c r="T553" s="77">
        <v>0</v>
      </c>
      <c r="U553" s="77">
        <v>0</v>
      </c>
      <c r="V553" s="77">
        <v>11</v>
      </c>
      <c r="W553" s="82" t="s">
        <v>5104</v>
      </c>
      <c r="X553" s="80" t="str">
        <f>HYPERLINK("https://tinyurl.com/yc55mrh")</f>
        <v>https://tinyurl.com/yc55mrh</v>
      </c>
      <c r="Y553" s="77" t="s">
        <v>6502</v>
      </c>
      <c r="Z553" s="77"/>
      <c r="AA553" s="77" t="s">
        <v>6956</v>
      </c>
      <c r="AB553" s="77" t="s">
        <v>7742</v>
      </c>
      <c r="AC553" s="82" t="s">
        <v>7750</v>
      </c>
      <c r="AD553" s="77" t="s">
        <v>7788</v>
      </c>
      <c r="AE553" s="80" t="str">
        <f>HYPERLINK("https://twitter.com/onjornal1/status/1703077716679909685")</f>
        <v>https://twitter.com/onjornal1/status/1703077716679909685</v>
      </c>
      <c r="AF553" s="79">
        <v>45185.670636574076</v>
      </c>
      <c r="AG553" s="85">
        <v>45185</v>
      </c>
      <c r="AH553" s="82" t="s">
        <v>8287</v>
      </c>
      <c r="AI553" s="77" t="b">
        <v>0</v>
      </c>
      <c r="AJ553" s="77"/>
      <c r="AK553" s="77"/>
      <c r="AL553" s="77"/>
      <c r="AM553" s="77"/>
      <c r="AN553" s="77"/>
      <c r="AO553" s="77"/>
      <c r="AP553" s="77"/>
      <c r="AQ553" s="77" t="s">
        <v>10928</v>
      </c>
      <c r="AR553" s="77"/>
      <c r="AS553" s="77"/>
      <c r="AT553" s="77"/>
      <c r="AU553" s="77"/>
      <c r="AV553" s="80" t="str">
        <f>HYPERLINK("https://pbs.twimg.com/media/F6KMJLhXQAA6DgC.jpg")</f>
        <v>https://pbs.twimg.com/media/F6KMJLhXQAA6DgC.jpg</v>
      </c>
      <c r="AW553" s="82" t="s">
        <v>12252</v>
      </c>
      <c r="AX553" s="82" t="s">
        <v>12252</v>
      </c>
      <c r="AY553" s="77"/>
      <c r="AZ553" s="82" t="s">
        <v>15984</v>
      </c>
      <c r="BA553" s="82" t="s">
        <v>15984</v>
      </c>
      <c r="BB553" s="82" t="s">
        <v>15984</v>
      </c>
      <c r="BC553" s="82" t="s">
        <v>12252</v>
      </c>
      <c r="BD553" s="82" t="s">
        <v>16202</v>
      </c>
      <c r="BE553" s="77"/>
      <c r="BF553" s="77"/>
      <c r="BG553" s="77"/>
      <c r="BH553" s="77"/>
      <c r="BI553" s="77"/>
    </row>
    <row r="554" spans="1:61" x14ac:dyDescent="0.25">
      <c r="A554" s="62" t="s">
        <v>389</v>
      </c>
      <c r="B554" s="62" t="s">
        <v>389</v>
      </c>
      <c r="C554" s="63"/>
      <c r="D554" s="64"/>
      <c r="E554" s="65"/>
      <c r="F554" s="66"/>
      <c r="G554" s="63"/>
      <c r="H554" s="67"/>
      <c r="I554" s="68"/>
      <c r="J554" s="68"/>
      <c r="K554" s="32"/>
      <c r="L554" s="75">
        <v>554</v>
      </c>
      <c r="M554" s="75"/>
      <c r="N554" s="70"/>
      <c r="O554" s="77" t="s">
        <v>179</v>
      </c>
      <c r="P554" s="79">
        <v>45196.879907407405</v>
      </c>
      <c r="Q554" s="77" t="s">
        <v>1425</v>
      </c>
      <c r="R554" s="77">
        <v>0</v>
      </c>
      <c r="S554" s="77">
        <v>1</v>
      </c>
      <c r="T554" s="77">
        <v>0</v>
      </c>
      <c r="U554" s="77">
        <v>0</v>
      </c>
      <c r="V554" s="77">
        <v>4</v>
      </c>
      <c r="W554" s="82" t="s">
        <v>5105</v>
      </c>
      <c r="X554" s="80" t="str">
        <f>HYPERLINK("https://tinyurl.com/56du2mjv")</f>
        <v>https://tinyurl.com/56du2mjv</v>
      </c>
      <c r="Y554" s="77" t="s">
        <v>6502</v>
      </c>
      <c r="Z554" s="77"/>
      <c r="AA554" s="77" t="s">
        <v>6957</v>
      </c>
      <c r="AB554" s="77" t="s">
        <v>7743</v>
      </c>
      <c r="AC554" s="82" t="s">
        <v>7750</v>
      </c>
      <c r="AD554" s="77" t="s">
        <v>7788</v>
      </c>
      <c r="AE554" s="80" t="str">
        <f>HYPERLINK("https://twitter.com/onjornal1/status/1707139817136656845")</f>
        <v>https://twitter.com/onjornal1/status/1707139817136656845</v>
      </c>
      <c r="AF554" s="79">
        <v>45196.879907407405</v>
      </c>
      <c r="AG554" s="85">
        <v>45196</v>
      </c>
      <c r="AH554" s="82" t="s">
        <v>8288</v>
      </c>
      <c r="AI554" s="77" t="b">
        <v>0</v>
      </c>
      <c r="AJ554" s="77"/>
      <c r="AK554" s="77"/>
      <c r="AL554" s="77"/>
      <c r="AM554" s="77"/>
      <c r="AN554" s="77"/>
      <c r="AO554" s="77"/>
      <c r="AP554" s="77"/>
      <c r="AQ554" s="77" t="s">
        <v>10929</v>
      </c>
      <c r="AR554" s="77">
        <v>54891</v>
      </c>
      <c r="AS554" s="77"/>
      <c r="AT554" s="77"/>
      <c r="AU554" s="77"/>
      <c r="AV554" s="80" t="str">
        <f>HYPERLINK("https://pbs.twimg.com/ext_tw_video_thumb/1707139543068016640/pu/img/yn83li-8qppyBQjJ.jpg")</f>
        <v>https://pbs.twimg.com/ext_tw_video_thumb/1707139543068016640/pu/img/yn83li-8qppyBQjJ.jpg</v>
      </c>
      <c r="AW554" s="82" t="s">
        <v>12253</v>
      </c>
      <c r="AX554" s="82" t="s">
        <v>12253</v>
      </c>
      <c r="AY554" s="77"/>
      <c r="AZ554" s="82" t="s">
        <v>15984</v>
      </c>
      <c r="BA554" s="82" t="s">
        <v>15984</v>
      </c>
      <c r="BB554" s="82" t="s">
        <v>15984</v>
      </c>
      <c r="BC554" s="82" t="s">
        <v>12253</v>
      </c>
      <c r="BD554" s="82" t="s">
        <v>16202</v>
      </c>
      <c r="BE554" s="77"/>
      <c r="BF554" s="77"/>
      <c r="BG554" s="77"/>
      <c r="BH554" s="77"/>
      <c r="BI554" s="77"/>
    </row>
    <row r="555" spans="1:61" x14ac:dyDescent="0.25">
      <c r="A555" s="62" t="s">
        <v>390</v>
      </c>
      <c r="B555" s="62" t="s">
        <v>390</v>
      </c>
      <c r="C555" s="63"/>
      <c r="D555" s="64"/>
      <c r="E555" s="65"/>
      <c r="F555" s="66"/>
      <c r="G555" s="63"/>
      <c r="H555" s="67"/>
      <c r="I555" s="68"/>
      <c r="J555" s="68"/>
      <c r="K555" s="32"/>
      <c r="L555" s="75">
        <v>555</v>
      </c>
      <c r="M555" s="75"/>
      <c r="N555" s="70"/>
      <c r="O555" s="77" t="s">
        <v>179</v>
      </c>
      <c r="P555" s="79">
        <v>45187.601863425924</v>
      </c>
      <c r="Q555" s="77" t="s">
        <v>1426</v>
      </c>
      <c r="R555" s="77">
        <v>0</v>
      </c>
      <c r="S555" s="77">
        <v>0</v>
      </c>
      <c r="T555" s="77">
        <v>1</v>
      </c>
      <c r="U555" s="77">
        <v>0</v>
      </c>
      <c r="V555" s="77">
        <v>28</v>
      </c>
      <c r="W555" s="82" t="s">
        <v>5106</v>
      </c>
      <c r="X555" s="77"/>
      <c r="Y555" s="77"/>
      <c r="Z555" s="77"/>
      <c r="AA555" s="77"/>
      <c r="AB555" s="77"/>
      <c r="AC555" s="82" t="s">
        <v>7750</v>
      </c>
      <c r="AD555" s="77" t="s">
        <v>7790</v>
      </c>
      <c r="AE555" s="80" t="str">
        <f>HYPERLINK("https://twitter.com/luisyfinanzas/status/1703777565821812898")</f>
        <v>https://twitter.com/luisyfinanzas/status/1703777565821812898</v>
      </c>
      <c r="AF555" s="79">
        <v>45187.601863425924</v>
      </c>
      <c r="AG555" s="85">
        <v>45187</v>
      </c>
      <c r="AH555" s="82" t="s">
        <v>8289</v>
      </c>
      <c r="AI555" s="77"/>
      <c r="AJ555" s="77"/>
      <c r="AK555" s="77"/>
      <c r="AL555" s="77"/>
      <c r="AM555" s="77"/>
      <c r="AN555" s="77"/>
      <c r="AO555" s="77"/>
      <c r="AP555" s="77"/>
      <c r="AQ555" s="77"/>
      <c r="AR555" s="77"/>
      <c r="AS555" s="77"/>
      <c r="AT555" s="77"/>
      <c r="AU555" s="77"/>
      <c r="AV555" s="80" t="str">
        <f>HYPERLINK("https://pbs.twimg.com/profile_images/1561196862903812096/zw8nf7z8_normal.jpg")</f>
        <v>https://pbs.twimg.com/profile_images/1561196862903812096/zw8nf7z8_normal.jpg</v>
      </c>
      <c r="AW555" s="82" t="s">
        <v>12254</v>
      </c>
      <c r="AX555" s="82" t="s">
        <v>12254</v>
      </c>
      <c r="AY555" s="77"/>
      <c r="AZ555" s="82" t="s">
        <v>15984</v>
      </c>
      <c r="BA555" s="82" t="s">
        <v>15984</v>
      </c>
      <c r="BB555" s="82" t="s">
        <v>15984</v>
      </c>
      <c r="BC555" s="82" t="s">
        <v>12254</v>
      </c>
      <c r="BD555" s="82" t="s">
        <v>16203</v>
      </c>
      <c r="BE555" s="77"/>
      <c r="BF555" s="77"/>
      <c r="BG555" s="77"/>
      <c r="BH555" s="77"/>
      <c r="BI555" s="77"/>
    </row>
    <row r="556" spans="1:61" x14ac:dyDescent="0.25">
      <c r="A556" s="62" t="s">
        <v>391</v>
      </c>
      <c r="B556" s="62" t="s">
        <v>391</v>
      </c>
      <c r="C556" s="63"/>
      <c r="D556" s="64"/>
      <c r="E556" s="65"/>
      <c r="F556" s="66"/>
      <c r="G556" s="63"/>
      <c r="H556" s="67"/>
      <c r="I556" s="68"/>
      <c r="J556" s="68"/>
      <c r="K556" s="32"/>
      <c r="L556" s="75">
        <v>556</v>
      </c>
      <c r="M556" s="75"/>
      <c r="N556" s="70"/>
      <c r="O556" s="77" t="s">
        <v>179</v>
      </c>
      <c r="P556" s="79">
        <v>45159.651504629626</v>
      </c>
      <c r="Q556" s="77" t="s">
        <v>1427</v>
      </c>
      <c r="R556" s="77">
        <v>0</v>
      </c>
      <c r="S556" s="77">
        <v>0</v>
      </c>
      <c r="T556" s="77">
        <v>0</v>
      </c>
      <c r="U556" s="77">
        <v>0</v>
      </c>
      <c r="V556" s="77">
        <v>20</v>
      </c>
      <c r="W556" s="82" t="s">
        <v>5107</v>
      </c>
      <c r="X556" s="77"/>
      <c r="Y556" s="77"/>
      <c r="Z556" s="77"/>
      <c r="AA556" s="77" t="s">
        <v>6958</v>
      </c>
      <c r="AB556" s="77" t="s">
        <v>7742</v>
      </c>
      <c r="AC556" s="82" t="s">
        <v>7751</v>
      </c>
      <c r="AD556" s="77" t="s">
        <v>7788</v>
      </c>
      <c r="AE556" s="80" t="str">
        <f>HYPERLINK("https://twitter.com/thiagobudni/status/1693648698260009113")</f>
        <v>https://twitter.com/thiagobudni/status/1693648698260009113</v>
      </c>
      <c r="AF556" s="79">
        <v>45159.651504629626</v>
      </c>
      <c r="AG556" s="85">
        <v>45159</v>
      </c>
      <c r="AH556" s="82" t="s">
        <v>8290</v>
      </c>
      <c r="AI556" s="77" t="b">
        <v>0</v>
      </c>
      <c r="AJ556" s="77"/>
      <c r="AK556" s="77"/>
      <c r="AL556" s="77"/>
      <c r="AM556" s="77"/>
      <c r="AN556" s="77"/>
      <c r="AO556" s="77"/>
      <c r="AP556" s="77"/>
      <c r="AQ556" s="77" t="s">
        <v>10930</v>
      </c>
      <c r="AR556" s="77"/>
      <c r="AS556" s="77"/>
      <c r="AT556" s="77"/>
      <c r="AU556" s="77"/>
      <c r="AV556" s="80" t="str">
        <f>HYPERLINK("https://pbs.twimg.com/media/F4EMguqXsAAsyQI.jpg")</f>
        <v>https://pbs.twimg.com/media/F4EMguqXsAAsyQI.jpg</v>
      </c>
      <c r="AW556" s="82" t="s">
        <v>12255</v>
      </c>
      <c r="AX556" s="82" t="s">
        <v>12255</v>
      </c>
      <c r="AY556" s="77"/>
      <c r="AZ556" s="82" t="s">
        <v>15984</v>
      </c>
      <c r="BA556" s="82" t="s">
        <v>15984</v>
      </c>
      <c r="BB556" s="82" t="s">
        <v>15984</v>
      </c>
      <c r="BC556" s="82" t="s">
        <v>12255</v>
      </c>
      <c r="BD556" s="77">
        <v>57981116</v>
      </c>
      <c r="BE556" s="77"/>
      <c r="BF556" s="77"/>
      <c r="BG556" s="77"/>
      <c r="BH556" s="77"/>
      <c r="BI556" s="77"/>
    </row>
    <row r="557" spans="1:61" x14ac:dyDescent="0.25">
      <c r="A557" s="62" t="s">
        <v>392</v>
      </c>
      <c r="B557" s="62" t="s">
        <v>779</v>
      </c>
      <c r="C557" s="63"/>
      <c r="D557" s="64"/>
      <c r="E557" s="65"/>
      <c r="F557" s="66"/>
      <c r="G557" s="63"/>
      <c r="H557" s="67"/>
      <c r="I557" s="68"/>
      <c r="J557" s="68"/>
      <c r="K557" s="32"/>
      <c r="L557" s="75">
        <v>557</v>
      </c>
      <c r="M557" s="75"/>
      <c r="N557" s="70"/>
      <c r="O557" s="77" t="s">
        <v>898</v>
      </c>
      <c r="P557" s="79">
        <v>45146.984502314815</v>
      </c>
      <c r="Q557" s="77" t="s">
        <v>1428</v>
      </c>
      <c r="R557" s="77">
        <v>0</v>
      </c>
      <c r="S557" s="77">
        <v>0</v>
      </c>
      <c r="T557" s="77">
        <v>0</v>
      </c>
      <c r="U557" s="77">
        <v>0</v>
      </c>
      <c r="V557" s="77">
        <v>4</v>
      </c>
      <c r="W557" s="82" t="s">
        <v>5108</v>
      </c>
      <c r="X557" s="77"/>
      <c r="Y557" s="77"/>
      <c r="Z557" s="77" t="s">
        <v>779</v>
      </c>
      <c r="AA557" s="77"/>
      <c r="AB557" s="77"/>
      <c r="AC557" s="82" t="s">
        <v>7750</v>
      </c>
      <c r="AD557" s="77" t="s">
        <v>7791</v>
      </c>
      <c r="AE557" s="80" t="str">
        <f>HYPERLINK("https://twitter.com/granattif/status/1689058329971027968")</f>
        <v>https://twitter.com/granattif/status/1689058329971027968</v>
      </c>
      <c r="AF557" s="79">
        <v>45146.984502314815</v>
      </c>
      <c r="AG557" s="85">
        <v>45146</v>
      </c>
      <c r="AH557" s="82" t="s">
        <v>8291</v>
      </c>
      <c r="AI557" s="77"/>
      <c r="AJ557" s="77"/>
      <c r="AK557" s="77"/>
      <c r="AL557" s="77"/>
      <c r="AM557" s="77"/>
      <c r="AN557" s="77"/>
      <c r="AO557" s="77"/>
      <c r="AP557" s="77"/>
      <c r="AQ557" s="77"/>
      <c r="AR557" s="77"/>
      <c r="AS557" s="77"/>
      <c r="AT557" s="77"/>
      <c r="AU557" s="77"/>
      <c r="AV557" s="80" t="str">
        <f>HYPERLINK("https://pbs.twimg.com/profile_images/1652657341303607297/1JCFByj5_normal.jpg")</f>
        <v>https://pbs.twimg.com/profile_images/1652657341303607297/1JCFByj5_normal.jpg</v>
      </c>
      <c r="AW557" s="82" t="s">
        <v>12256</v>
      </c>
      <c r="AX557" s="82" t="s">
        <v>15766</v>
      </c>
      <c r="AY557" s="82" t="s">
        <v>15930</v>
      </c>
      <c r="AZ557" s="82" t="s">
        <v>15766</v>
      </c>
      <c r="BA557" s="82" t="s">
        <v>15984</v>
      </c>
      <c r="BB557" s="82" t="s">
        <v>15984</v>
      </c>
      <c r="BC557" s="82" t="s">
        <v>15766</v>
      </c>
      <c r="BD557" s="82" t="s">
        <v>16204</v>
      </c>
      <c r="BE557" s="77"/>
      <c r="BF557" s="77"/>
      <c r="BG557" s="77"/>
      <c r="BH557" s="77"/>
      <c r="BI557" s="77"/>
    </row>
    <row r="558" spans="1:61" x14ac:dyDescent="0.25">
      <c r="A558" s="62" t="s">
        <v>393</v>
      </c>
      <c r="B558" s="62" t="s">
        <v>393</v>
      </c>
      <c r="C558" s="63"/>
      <c r="D558" s="64"/>
      <c r="E558" s="65"/>
      <c r="F558" s="66"/>
      <c r="G558" s="63"/>
      <c r="H558" s="67"/>
      <c r="I558" s="68"/>
      <c r="J558" s="68"/>
      <c r="K558" s="32"/>
      <c r="L558" s="75">
        <v>558</v>
      </c>
      <c r="M558" s="75"/>
      <c r="N558" s="70"/>
      <c r="O558" s="77" t="s">
        <v>179</v>
      </c>
      <c r="P558" s="79">
        <v>45118.979861111111</v>
      </c>
      <c r="Q558" s="77" t="s">
        <v>1429</v>
      </c>
      <c r="R558" s="77">
        <v>0</v>
      </c>
      <c r="S558" s="77">
        <v>0</v>
      </c>
      <c r="T558" s="77">
        <v>0</v>
      </c>
      <c r="U558" s="77">
        <v>0</v>
      </c>
      <c r="V558" s="77">
        <v>21</v>
      </c>
      <c r="W558" s="82" t="s">
        <v>5109</v>
      </c>
      <c r="X558" s="77"/>
      <c r="Y558" s="77"/>
      <c r="Z558" s="77"/>
      <c r="AA558" s="77" t="s">
        <v>6959</v>
      </c>
      <c r="AB558" s="77" t="s">
        <v>7745</v>
      </c>
      <c r="AC558" s="82" t="s">
        <v>7750</v>
      </c>
      <c r="AD558" s="77" t="s">
        <v>7788</v>
      </c>
      <c r="AE558" s="80" t="str">
        <f>HYPERLINK("https://twitter.com/bruno_gianetti/status/1678909788732768258")</f>
        <v>https://twitter.com/bruno_gianetti/status/1678909788732768258</v>
      </c>
      <c r="AF558" s="79">
        <v>45118.979861111111</v>
      </c>
      <c r="AG558" s="85">
        <v>45118</v>
      </c>
      <c r="AH558" s="82" t="s">
        <v>8292</v>
      </c>
      <c r="AI558" s="77" t="b">
        <v>0</v>
      </c>
      <c r="AJ558" s="77"/>
      <c r="AK558" s="77"/>
      <c r="AL558" s="77"/>
      <c r="AM558" s="77"/>
      <c r="AN558" s="77"/>
      <c r="AO558" s="77"/>
      <c r="AP558" s="77"/>
      <c r="AQ558" s="77" t="s">
        <v>10931</v>
      </c>
      <c r="AR558" s="77"/>
      <c r="AS558" s="77"/>
      <c r="AT558" s="77"/>
      <c r="AU558" s="77"/>
      <c r="AV558" s="80" t="str">
        <f>HYPERLINK("https://pbs.twimg.com/media/F0yvVdDXgAYPqil.png")</f>
        <v>https://pbs.twimg.com/media/F0yvVdDXgAYPqil.png</v>
      </c>
      <c r="AW558" s="82" t="s">
        <v>12257</v>
      </c>
      <c r="AX558" s="82" t="s">
        <v>12257</v>
      </c>
      <c r="AY558" s="77"/>
      <c r="AZ558" s="82" t="s">
        <v>15984</v>
      </c>
      <c r="BA558" s="82" t="s">
        <v>15984</v>
      </c>
      <c r="BB558" s="82" t="s">
        <v>15984</v>
      </c>
      <c r="BC558" s="82" t="s">
        <v>12257</v>
      </c>
      <c r="BD558" s="82" t="s">
        <v>15931</v>
      </c>
      <c r="BE558" s="77"/>
      <c r="BF558" s="77"/>
      <c r="BG558" s="77"/>
      <c r="BH558" s="77"/>
      <c r="BI558" s="77"/>
    </row>
    <row r="559" spans="1:61" x14ac:dyDescent="0.25">
      <c r="A559" s="62" t="s">
        <v>393</v>
      </c>
      <c r="B559" s="62" t="s">
        <v>393</v>
      </c>
      <c r="C559" s="63"/>
      <c r="D559" s="64"/>
      <c r="E559" s="65"/>
      <c r="F559" s="66"/>
      <c r="G559" s="63"/>
      <c r="H559" s="67"/>
      <c r="I559" s="68"/>
      <c r="J559" s="68"/>
      <c r="K559" s="32"/>
      <c r="L559" s="75">
        <v>559</v>
      </c>
      <c r="M559" s="75"/>
      <c r="N559" s="70"/>
      <c r="O559" s="77" t="s">
        <v>898</v>
      </c>
      <c r="P559" s="79">
        <v>45118.450011574074</v>
      </c>
      <c r="Q559" s="77" t="s">
        <v>1430</v>
      </c>
      <c r="R559" s="77">
        <v>0</v>
      </c>
      <c r="S559" s="77">
        <v>0</v>
      </c>
      <c r="T559" s="77">
        <v>0</v>
      </c>
      <c r="U559" s="77">
        <v>0</v>
      </c>
      <c r="V559" s="77">
        <v>66</v>
      </c>
      <c r="W559" s="82" t="s">
        <v>5110</v>
      </c>
      <c r="X559" s="77"/>
      <c r="Y559" s="77"/>
      <c r="Z559" s="77"/>
      <c r="AA559" s="77"/>
      <c r="AB559" s="77"/>
      <c r="AC559" s="82" t="s">
        <v>7750</v>
      </c>
      <c r="AD559" s="77" t="s">
        <v>7796</v>
      </c>
      <c r="AE559" s="80" t="str">
        <f>HYPERLINK("https://twitter.com/bruno_gianetti/status/1678717774107901953")</f>
        <v>https://twitter.com/bruno_gianetti/status/1678717774107901953</v>
      </c>
      <c r="AF559" s="79">
        <v>45118.450011574074</v>
      </c>
      <c r="AG559" s="85">
        <v>45118</v>
      </c>
      <c r="AH559" s="82" t="s">
        <v>8293</v>
      </c>
      <c r="AI559" s="77"/>
      <c r="AJ559" s="77"/>
      <c r="AK559" s="77"/>
      <c r="AL559" s="77"/>
      <c r="AM559" s="77"/>
      <c r="AN559" s="77"/>
      <c r="AO559" s="77"/>
      <c r="AP559" s="77"/>
      <c r="AQ559" s="77"/>
      <c r="AR559" s="77"/>
      <c r="AS559" s="77"/>
      <c r="AT559" s="77"/>
      <c r="AU559" s="77"/>
      <c r="AV559" s="80" t="str">
        <f>HYPERLINK("https://pbs.twimg.com/profile_images/1671327682989096961/RFt9LPMw_normal.jpg")</f>
        <v>https://pbs.twimg.com/profile_images/1671327682989096961/RFt9LPMw_normal.jpg</v>
      </c>
      <c r="AW559" s="82" t="s">
        <v>12258</v>
      </c>
      <c r="AX559" s="82" t="s">
        <v>15767</v>
      </c>
      <c r="AY559" s="82" t="s">
        <v>15931</v>
      </c>
      <c r="AZ559" s="82" t="s">
        <v>16003</v>
      </c>
      <c r="BA559" s="82" t="s">
        <v>15984</v>
      </c>
      <c r="BB559" s="82" t="s">
        <v>15984</v>
      </c>
      <c r="BC559" s="82" t="s">
        <v>16003</v>
      </c>
      <c r="BD559" s="82" t="s">
        <v>15931</v>
      </c>
      <c r="BE559" s="77"/>
      <c r="BF559" s="77"/>
      <c r="BG559" s="77"/>
      <c r="BH559" s="77"/>
      <c r="BI559" s="77"/>
    </row>
    <row r="560" spans="1:61" x14ac:dyDescent="0.25">
      <c r="A560" s="62" t="s">
        <v>394</v>
      </c>
      <c r="B560" s="62" t="s">
        <v>394</v>
      </c>
      <c r="C560" s="63"/>
      <c r="D560" s="64"/>
      <c r="E560" s="65"/>
      <c r="F560" s="66"/>
      <c r="G560" s="63"/>
      <c r="H560" s="67"/>
      <c r="I560" s="68"/>
      <c r="J560" s="68"/>
      <c r="K560" s="32"/>
      <c r="L560" s="75">
        <v>560</v>
      </c>
      <c r="M560" s="75"/>
      <c r="N560" s="70"/>
      <c r="O560" s="77" t="s">
        <v>179</v>
      </c>
      <c r="P560" s="79">
        <v>45167.631111111114</v>
      </c>
      <c r="Q560" s="77" t="s">
        <v>1431</v>
      </c>
      <c r="R560" s="77">
        <v>1</v>
      </c>
      <c r="S560" s="77">
        <v>4</v>
      </c>
      <c r="T560" s="77">
        <v>0</v>
      </c>
      <c r="U560" s="77">
        <v>1</v>
      </c>
      <c r="V560" s="77">
        <v>386</v>
      </c>
      <c r="W560" s="82" t="s">
        <v>5111</v>
      </c>
      <c r="X560" s="80" t="str">
        <f>HYPERLINK("https://bit.ly/blogimpacto412")</f>
        <v>https://bit.ly/blogimpacto412</v>
      </c>
      <c r="Y560" s="77" t="s">
        <v>6468</v>
      </c>
      <c r="Z560" s="77"/>
      <c r="AA560" s="77" t="s">
        <v>6960</v>
      </c>
      <c r="AB560" s="77" t="s">
        <v>7742</v>
      </c>
      <c r="AC560" s="82" t="s">
        <v>7750</v>
      </c>
      <c r="AD560" s="77" t="s">
        <v>7788</v>
      </c>
      <c r="AE560" s="80" t="str">
        <f>HYPERLINK("https://twitter.com/fgv_eaesp/status/1696540410850779392")</f>
        <v>https://twitter.com/fgv_eaesp/status/1696540410850779392</v>
      </c>
      <c r="AF560" s="79">
        <v>45167.631111111114</v>
      </c>
      <c r="AG560" s="85">
        <v>45167</v>
      </c>
      <c r="AH560" s="82" t="s">
        <v>8294</v>
      </c>
      <c r="AI560" s="77" t="b">
        <v>0</v>
      </c>
      <c r="AJ560" s="77"/>
      <c r="AK560" s="77"/>
      <c r="AL560" s="77"/>
      <c r="AM560" s="77"/>
      <c r="AN560" s="77"/>
      <c r="AO560" s="77"/>
      <c r="AP560" s="77"/>
      <c r="AQ560" s="77" t="s">
        <v>10932</v>
      </c>
      <c r="AR560" s="77"/>
      <c r="AS560" s="77"/>
      <c r="AT560" s="77"/>
      <c r="AU560" s="77"/>
      <c r="AV560" s="80" t="str">
        <f>HYPERLINK("https://pbs.twimg.com/media/F4tSU3SbIAAGIzO.jpg")</f>
        <v>https://pbs.twimg.com/media/F4tSU3SbIAAGIzO.jpg</v>
      </c>
      <c r="AW560" s="82" t="s">
        <v>12259</v>
      </c>
      <c r="AX560" s="82" t="s">
        <v>12259</v>
      </c>
      <c r="AY560" s="77"/>
      <c r="AZ560" s="82" t="s">
        <v>15984</v>
      </c>
      <c r="BA560" s="82" t="s">
        <v>15984</v>
      </c>
      <c r="BB560" s="82" t="s">
        <v>15984</v>
      </c>
      <c r="BC560" s="82" t="s">
        <v>12259</v>
      </c>
      <c r="BD560" s="77">
        <v>44449999</v>
      </c>
      <c r="BE560" s="77"/>
      <c r="BF560" s="77"/>
      <c r="BG560" s="77"/>
      <c r="BH560" s="77"/>
      <c r="BI560" s="77"/>
    </row>
    <row r="561" spans="1:61" x14ac:dyDescent="0.25">
      <c r="A561" s="62" t="s">
        <v>395</v>
      </c>
      <c r="B561" s="62" t="s">
        <v>709</v>
      </c>
      <c r="C561" s="63"/>
      <c r="D561" s="64"/>
      <c r="E561" s="65"/>
      <c r="F561" s="66"/>
      <c r="G561" s="63"/>
      <c r="H561" s="67"/>
      <c r="I561" s="68"/>
      <c r="J561" s="68"/>
      <c r="K561" s="32"/>
      <c r="L561" s="75">
        <v>561</v>
      </c>
      <c r="M561" s="75"/>
      <c r="N561" s="70"/>
      <c r="O561" s="77" t="s">
        <v>897</v>
      </c>
      <c r="P561" s="79">
        <v>45188.800219907411</v>
      </c>
      <c r="Q561" s="77" t="s">
        <v>1432</v>
      </c>
      <c r="R561" s="77">
        <v>1</v>
      </c>
      <c r="S561" s="77">
        <v>0</v>
      </c>
      <c r="T561" s="77">
        <v>0</v>
      </c>
      <c r="U561" s="77">
        <v>0</v>
      </c>
      <c r="V561" s="77"/>
      <c r="W561" s="77"/>
      <c r="X561" s="77"/>
      <c r="Y561" s="77"/>
      <c r="Z561" s="77" t="s">
        <v>709</v>
      </c>
      <c r="AA561" s="77"/>
      <c r="AB561" s="77"/>
      <c r="AC561" s="82" t="s">
        <v>7751</v>
      </c>
      <c r="AD561" s="77" t="s">
        <v>7788</v>
      </c>
      <c r="AE561" s="80" t="str">
        <f>HYPERLINK("https://twitter.com/gouveia_fernand/status/1704211836998914498")</f>
        <v>https://twitter.com/gouveia_fernand/status/1704211836998914498</v>
      </c>
      <c r="AF561" s="79">
        <v>45188.800219907411</v>
      </c>
      <c r="AG561" s="85">
        <v>45188</v>
      </c>
      <c r="AH561" s="82" t="s">
        <v>8295</v>
      </c>
      <c r="AI561" s="77"/>
      <c r="AJ561" s="77"/>
      <c r="AK561" s="77"/>
      <c r="AL561" s="77"/>
      <c r="AM561" s="77"/>
      <c r="AN561" s="77"/>
      <c r="AO561" s="77"/>
      <c r="AP561" s="77"/>
      <c r="AQ561" s="77"/>
      <c r="AR561" s="77"/>
      <c r="AS561" s="77"/>
      <c r="AT561" s="77"/>
      <c r="AU561" s="77"/>
      <c r="AV561" s="80" t="str">
        <f>HYPERLINK("https://pbs.twimg.com/profile_images/1646666157322010624/j8NsEotx_normal.jpg")</f>
        <v>https://pbs.twimg.com/profile_images/1646666157322010624/j8NsEotx_normal.jpg</v>
      </c>
      <c r="AW561" s="82" t="s">
        <v>12260</v>
      </c>
      <c r="AX561" s="82" t="s">
        <v>12260</v>
      </c>
      <c r="AY561" s="77"/>
      <c r="AZ561" s="82" t="s">
        <v>15984</v>
      </c>
      <c r="BA561" s="82" t="s">
        <v>15984</v>
      </c>
      <c r="BB561" s="82" t="s">
        <v>13585</v>
      </c>
      <c r="BC561" s="82" t="s">
        <v>13585</v>
      </c>
      <c r="BD561" s="82" t="s">
        <v>16205</v>
      </c>
      <c r="BE561" s="77"/>
      <c r="BF561" s="77"/>
      <c r="BG561" s="77"/>
      <c r="BH561" s="77"/>
      <c r="BI561" s="77"/>
    </row>
    <row r="562" spans="1:61" x14ac:dyDescent="0.25">
      <c r="A562" s="62" t="s">
        <v>396</v>
      </c>
      <c r="B562" s="62" t="s">
        <v>396</v>
      </c>
      <c r="C562" s="63"/>
      <c r="D562" s="64"/>
      <c r="E562" s="65"/>
      <c r="F562" s="66"/>
      <c r="G562" s="63"/>
      <c r="H562" s="67"/>
      <c r="I562" s="68"/>
      <c r="J562" s="68"/>
      <c r="K562" s="32"/>
      <c r="L562" s="75">
        <v>562</v>
      </c>
      <c r="M562" s="75"/>
      <c r="N562" s="70"/>
      <c r="O562" s="77" t="s">
        <v>179</v>
      </c>
      <c r="P562" s="79">
        <v>45142.834699074076</v>
      </c>
      <c r="Q562" s="77" t="s">
        <v>1433</v>
      </c>
      <c r="R562" s="77">
        <v>0</v>
      </c>
      <c r="S562" s="77">
        <v>0</v>
      </c>
      <c r="T562" s="77">
        <v>0</v>
      </c>
      <c r="U562" s="77">
        <v>0</v>
      </c>
      <c r="V562" s="77">
        <v>9</v>
      </c>
      <c r="W562" s="82" t="s">
        <v>5112</v>
      </c>
      <c r="X562" s="80" t="str">
        <f>HYPERLINK("https://ow.ly/M5kI50PtaLi")</f>
        <v>https://ow.ly/M5kI50PtaLi</v>
      </c>
      <c r="Y562" s="77" t="s">
        <v>6501</v>
      </c>
      <c r="Z562" s="77"/>
      <c r="AA562" s="77"/>
      <c r="AB562" s="77"/>
      <c r="AC562" s="82" t="s">
        <v>7761</v>
      </c>
      <c r="AD562" s="77" t="s">
        <v>7790</v>
      </c>
      <c r="AE562" s="80" t="str">
        <f>HYPERLINK("https://twitter.com/noriegagroup/status/1687554490033934336")</f>
        <v>https://twitter.com/noriegagroup/status/1687554490033934336</v>
      </c>
      <c r="AF562" s="79">
        <v>45142.834699074076</v>
      </c>
      <c r="AG562" s="85">
        <v>45142</v>
      </c>
      <c r="AH562" s="82" t="s">
        <v>8296</v>
      </c>
      <c r="AI562" s="77" t="b">
        <v>0</v>
      </c>
      <c r="AJ562" s="77"/>
      <c r="AK562" s="77"/>
      <c r="AL562" s="77"/>
      <c r="AM562" s="77"/>
      <c r="AN562" s="77"/>
      <c r="AO562" s="77"/>
      <c r="AP562" s="77"/>
      <c r="AQ562" s="77"/>
      <c r="AR562" s="77"/>
      <c r="AS562" s="77"/>
      <c r="AT562" s="77"/>
      <c r="AU562" s="77"/>
      <c r="AV562" s="80" t="str">
        <f>HYPERLINK("https://pbs.twimg.com/profile_images/1673699690531913729/T0B-hj8__normal.jpg")</f>
        <v>https://pbs.twimg.com/profile_images/1673699690531913729/T0B-hj8__normal.jpg</v>
      </c>
      <c r="AW562" s="82" t="s">
        <v>12261</v>
      </c>
      <c r="AX562" s="82" t="s">
        <v>12261</v>
      </c>
      <c r="AY562" s="77"/>
      <c r="AZ562" s="82" t="s">
        <v>15984</v>
      </c>
      <c r="BA562" s="82" t="s">
        <v>15984</v>
      </c>
      <c r="BB562" s="82" t="s">
        <v>15984</v>
      </c>
      <c r="BC562" s="82" t="s">
        <v>12261</v>
      </c>
      <c r="BD562" s="77">
        <v>140094070</v>
      </c>
      <c r="BE562" s="77"/>
      <c r="BF562" s="77"/>
      <c r="BG562" s="77"/>
      <c r="BH562" s="77"/>
      <c r="BI562" s="77"/>
    </row>
    <row r="563" spans="1:61" x14ac:dyDescent="0.25">
      <c r="A563" s="62" t="s">
        <v>397</v>
      </c>
      <c r="B563" s="62" t="s">
        <v>397</v>
      </c>
      <c r="C563" s="63"/>
      <c r="D563" s="64"/>
      <c r="E563" s="65"/>
      <c r="F563" s="66"/>
      <c r="G563" s="63"/>
      <c r="H563" s="67"/>
      <c r="I563" s="68"/>
      <c r="J563" s="68"/>
      <c r="K563" s="32"/>
      <c r="L563" s="75">
        <v>563</v>
      </c>
      <c r="M563" s="75"/>
      <c r="N563" s="70"/>
      <c r="O563" s="77" t="s">
        <v>898</v>
      </c>
      <c r="P563" s="79">
        <v>45194.84138888889</v>
      </c>
      <c r="Q563" s="77" t="s">
        <v>1434</v>
      </c>
      <c r="R563" s="77">
        <v>0</v>
      </c>
      <c r="S563" s="77">
        <v>0</v>
      </c>
      <c r="T563" s="77">
        <v>0</v>
      </c>
      <c r="U563" s="77">
        <v>0</v>
      </c>
      <c r="V563" s="77">
        <v>8</v>
      </c>
      <c r="W563" s="82" t="s">
        <v>5113</v>
      </c>
      <c r="X563" s="77"/>
      <c r="Y563" s="77"/>
      <c r="Z563" s="77"/>
      <c r="AA563" s="77"/>
      <c r="AB563" s="77"/>
      <c r="AC563" s="82" t="s">
        <v>7750</v>
      </c>
      <c r="AD563" s="77" t="s">
        <v>7788</v>
      </c>
      <c r="AE563" s="80" t="str">
        <f>HYPERLINK("https://twitter.com/indiabrazilcha1/status/1706401085223588226")</f>
        <v>https://twitter.com/indiabrazilcha1/status/1706401085223588226</v>
      </c>
      <c r="AF563" s="79">
        <v>45194.84138888889</v>
      </c>
      <c r="AG563" s="85">
        <v>45194</v>
      </c>
      <c r="AH563" s="82" t="s">
        <v>8297</v>
      </c>
      <c r="AI563" s="77"/>
      <c r="AJ563" s="77"/>
      <c r="AK563" s="77"/>
      <c r="AL563" s="77"/>
      <c r="AM563" s="77"/>
      <c r="AN563" s="77"/>
      <c r="AO563" s="77"/>
      <c r="AP563" s="77"/>
      <c r="AQ563" s="77"/>
      <c r="AR563" s="77"/>
      <c r="AS563" s="77"/>
      <c r="AT563" s="77"/>
      <c r="AU563" s="77"/>
      <c r="AV563" s="80" t="str">
        <f>HYPERLINK("https://pbs.twimg.com/profile_images/1697581430467895296/gpcNl6Gw_normal.jpg")</f>
        <v>https://pbs.twimg.com/profile_images/1697581430467895296/gpcNl6Gw_normal.jpg</v>
      </c>
      <c r="AW563" s="82" t="s">
        <v>12262</v>
      </c>
      <c r="AX563" s="82" t="s">
        <v>15768</v>
      </c>
      <c r="AY563" s="82" t="s">
        <v>15932</v>
      </c>
      <c r="AZ563" s="82" t="s">
        <v>16004</v>
      </c>
      <c r="BA563" s="82" t="s">
        <v>15984</v>
      </c>
      <c r="BB563" s="82" t="s">
        <v>15984</v>
      </c>
      <c r="BC563" s="82" t="s">
        <v>16004</v>
      </c>
      <c r="BD563" s="82" t="s">
        <v>15932</v>
      </c>
      <c r="BE563" s="77"/>
      <c r="BF563" s="77"/>
      <c r="BG563" s="77"/>
      <c r="BH563" s="77"/>
      <c r="BI563" s="77"/>
    </row>
    <row r="564" spans="1:61" x14ac:dyDescent="0.25">
      <c r="A564" s="62" t="s">
        <v>398</v>
      </c>
      <c r="B564" s="62" t="s">
        <v>398</v>
      </c>
      <c r="C564" s="63"/>
      <c r="D564" s="64"/>
      <c r="E564" s="65"/>
      <c r="F564" s="66"/>
      <c r="G564" s="63"/>
      <c r="H564" s="67"/>
      <c r="I564" s="68"/>
      <c r="J564" s="68"/>
      <c r="K564" s="32"/>
      <c r="L564" s="75">
        <v>564</v>
      </c>
      <c r="M564" s="75"/>
      <c r="N564" s="70"/>
      <c r="O564" s="77" t="s">
        <v>179</v>
      </c>
      <c r="P564" s="79">
        <v>45125.770092592589</v>
      </c>
      <c r="Q564" s="77" t="s">
        <v>1435</v>
      </c>
      <c r="R564" s="77">
        <v>0</v>
      </c>
      <c r="S564" s="77">
        <v>0</v>
      </c>
      <c r="T564" s="77">
        <v>0</v>
      </c>
      <c r="U564" s="77">
        <v>0</v>
      </c>
      <c r="V564" s="77">
        <v>30</v>
      </c>
      <c r="W564" s="82" t="s">
        <v>5114</v>
      </c>
      <c r="X564" s="77"/>
      <c r="Y564" s="77"/>
      <c r="Z564" s="77"/>
      <c r="AA564" s="77" t="s">
        <v>6961</v>
      </c>
      <c r="AB564" s="77" t="s">
        <v>7743</v>
      </c>
      <c r="AC564" s="82" t="s">
        <v>7751</v>
      </c>
      <c r="AD564" s="77" t="s">
        <v>7788</v>
      </c>
      <c r="AE564" s="80" t="str">
        <f>HYPERLINK("https://twitter.com/russelbransil/status/1681370482782633989")</f>
        <v>https://twitter.com/russelbransil/status/1681370482782633989</v>
      </c>
      <c r="AF564" s="79">
        <v>45125.770092592589</v>
      </c>
      <c r="AG564" s="85">
        <v>45125</v>
      </c>
      <c r="AH564" s="82" t="s">
        <v>8298</v>
      </c>
      <c r="AI564" s="77" t="b">
        <v>0</v>
      </c>
      <c r="AJ564" s="77"/>
      <c r="AK564" s="77"/>
      <c r="AL564" s="77"/>
      <c r="AM564" s="77"/>
      <c r="AN564" s="77"/>
      <c r="AO564" s="77"/>
      <c r="AP564" s="77"/>
      <c r="AQ564" s="77" t="s">
        <v>10933</v>
      </c>
      <c r="AR564" s="77">
        <v>25691</v>
      </c>
      <c r="AS564" s="77"/>
      <c r="AT564" s="77"/>
      <c r="AU564" s="77"/>
      <c r="AV564" s="80" t="str">
        <f>HYPERLINK("https://pbs.twimg.com/ext_tw_video_thumb/1681370420404944904/pu/img/tDz0dejSHkjkNlz2.jpg")</f>
        <v>https://pbs.twimg.com/ext_tw_video_thumb/1681370420404944904/pu/img/tDz0dejSHkjkNlz2.jpg</v>
      </c>
      <c r="AW564" s="82" t="s">
        <v>12263</v>
      </c>
      <c r="AX564" s="82" t="s">
        <v>12263</v>
      </c>
      <c r="AY564" s="77"/>
      <c r="AZ564" s="82" t="s">
        <v>15984</v>
      </c>
      <c r="BA564" s="82" t="s">
        <v>15984</v>
      </c>
      <c r="BB564" s="82" t="s">
        <v>15984</v>
      </c>
      <c r="BC564" s="82" t="s">
        <v>12263</v>
      </c>
      <c r="BD564" s="82" t="s">
        <v>16206</v>
      </c>
      <c r="BE564" s="77"/>
      <c r="BF564" s="77"/>
      <c r="BG564" s="77"/>
      <c r="BH564" s="77"/>
      <c r="BI564" s="77"/>
    </row>
    <row r="565" spans="1:61" x14ac:dyDescent="0.25">
      <c r="A565" s="62" t="s">
        <v>399</v>
      </c>
      <c r="B565" s="62" t="s">
        <v>399</v>
      </c>
      <c r="C565" s="63"/>
      <c r="D565" s="64"/>
      <c r="E565" s="65"/>
      <c r="F565" s="66"/>
      <c r="G565" s="63"/>
      <c r="H565" s="67"/>
      <c r="I565" s="68"/>
      <c r="J565" s="68"/>
      <c r="K565" s="32"/>
      <c r="L565" s="75">
        <v>565</v>
      </c>
      <c r="M565" s="75"/>
      <c r="N565" s="70"/>
      <c r="O565" s="77" t="s">
        <v>179</v>
      </c>
      <c r="P565" s="79">
        <v>45126.939247685186</v>
      </c>
      <c r="Q565" s="77" t="s">
        <v>1436</v>
      </c>
      <c r="R565" s="77">
        <v>0</v>
      </c>
      <c r="S565" s="77">
        <v>0</v>
      </c>
      <c r="T565" s="77">
        <v>0</v>
      </c>
      <c r="U565" s="77">
        <v>0</v>
      </c>
      <c r="V565" s="77">
        <v>12</v>
      </c>
      <c r="W565" s="82" t="s">
        <v>5115</v>
      </c>
      <c r="X565" s="77"/>
      <c r="Y565" s="77"/>
      <c r="Z565" s="77"/>
      <c r="AA565" s="77" t="s">
        <v>6962</v>
      </c>
      <c r="AB565" s="77" t="s">
        <v>7742</v>
      </c>
      <c r="AC565" s="82" t="s">
        <v>7752</v>
      </c>
      <c r="AD565" s="77" t="s">
        <v>7790</v>
      </c>
      <c r="AE565" s="80" t="str">
        <f>HYPERLINK("https://twitter.com/yinyangcapi/status/1681794173987348482")</f>
        <v>https://twitter.com/yinyangcapi/status/1681794173987348482</v>
      </c>
      <c r="AF565" s="79">
        <v>45126.939247685186</v>
      </c>
      <c r="AG565" s="85">
        <v>45126</v>
      </c>
      <c r="AH565" s="82" t="s">
        <v>8299</v>
      </c>
      <c r="AI565" s="77" t="b">
        <v>0</v>
      </c>
      <c r="AJ565" s="77"/>
      <c r="AK565" s="77"/>
      <c r="AL565" s="77"/>
      <c r="AM565" s="77"/>
      <c r="AN565" s="77"/>
      <c r="AO565" s="77"/>
      <c r="AP565" s="77"/>
      <c r="AQ565" s="77" t="s">
        <v>10934</v>
      </c>
      <c r="AR565" s="77"/>
      <c r="AS565" s="77"/>
      <c r="AT565" s="77"/>
      <c r="AU565" s="77"/>
      <c r="AV565" s="80" t="str">
        <f>HYPERLINK("https://pbs.twimg.com/media/F1bu4pIWwAAlnuH.jpg")</f>
        <v>https://pbs.twimg.com/media/F1bu4pIWwAAlnuH.jpg</v>
      </c>
      <c r="AW565" s="82" t="s">
        <v>12264</v>
      </c>
      <c r="AX565" s="82" t="s">
        <v>12264</v>
      </c>
      <c r="AY565" s="77"/>
      <c r="AZ565" s="82" t="s">
        <v>15984</v>
      </c>
      <c r="BA565" s="82" t="s">
        <v>15984</v>
      </c>
      <c r="BB565" s="82" t="s">
        <v>15984</v>
      </c>
      <c r="BC565" s="82" t="s">
        <v>12264</v>
      </c>
      <c r="BD565" s="82" t="s">
        <v>16207</v>
      </c>
      <c r="BE565" s="77"/>
      <c r="BF565" s="77"/>
      <c r="BG565" s="77"/>
      <c r="BH565" s="77"/>
      <c r="BI565" s="77"/>
    </row>
    <row r="566" spans="1:61" x14ac:dyDescent="0.25">
      <c r="A566" s="62" t="s">
        <v>400</v>
      </c>
      <c r="B566" s="62" t="s">
        <v>400</v>
      </c>
      <c r="C566" s="63"/>
      <c r="D566" s="64"/>
      <c r="E566" s="65"/>
      <c r="F566" s="66"/>
      <c r="G566" s="63"/>
      <c r="H566" s="67"/>
      <c r="I566" s="68"/>
      <c r="J566" s="68"/>
      <c r="K566" s="32"/>
      <c r="L566" s="75">
        <v>566</v>
      </c>
      <c r="M566" s="75"/>
      <c r="N566" s="70"/>
      <c r="O566" s="77" t="s">
        <v>179</v>
      </c>
      <c r="P566" s="79">
        <v>45133.729895833334</v>
      </c>
      <c r="Q566" s="77" t="s">
        <v>1437</v>
      </c>
      <c r="R566" s="77">
        <v>0</v>
      </c>
      <c r="S566" s="77">
        <v>0</v>
      </c>
      <c r="T566" s="77">
        <v>0</v>
      </c>
      <c r="U566" s="77">
        <v>0</v>
      </c>
      <c r="V566" s="77">
        <v>29</v>
      </c>
      <c r="W566" s="82" t="s">
        <v>5116</v>
      </c>
      <c r="X566" s="77"/>
      <c r="Y566" s="77"/>
      <c r="Z566" s="77"/>
      <c r="AA566" s="77" t="s">
        <v>6963</v>
      </c>
      <c r="AB566" s="77" t="s">
        <v>7742</v>
      </c>
      <c r="AC566" s="82" t="s">
        <v>7752</v>
      </c>
      <c r="AD566" s="77" t="s">
        <v>7788</v>
      </c>
      <c r="AE566" s="80" t="str">
        <f>HYPERLINK("https://twitter.com/danniloramos_/status/1684255022081507336")</f>
        <v>https://twitter.com/danniloramos_/status/1684255022081507336</v>
      </c>
      <c r="AF566" s="79">
        <v>45133.729895833334</v>
      </c>
      <c r="AG566" s="85">
        <v>45133</v>
      </c>
      <c r="AH566" s="82" t="s">
        <v>8300</v>
      </c>
      <c r="AI566" s="77" t="b">
        <v>0</v>
      </c>
      <c r="AJ566" s="77"/>
      <c r="AK566" s="77"/>
      <c r="AL566" s="77"/>
      <c r="AM566" s="77"/>
      <c r="AN566" s="77"/>
      <c r="AO566" s="77"/>
      <c r="AP566" s="77"/>
      <c r="AQ566" s="77" t="s">
        <v>10935</v>
      </c>
      <c r="AR566" s="77"/>
      <c r="AS566" s="77"/>
      <c r="AT566" s="77"/>
      <c r="AU566" s="77"/>
      <c r="AV566" s="80" t="str">
        <f>HYPERLINK("https://pbs.twimg.com/media/F1-tA4rWcAABn83.jpg")</f>
        <v>https://pbs.twimg.com/media/F1-tA4rWcAABn83.jpg</v>
      </c>
      <c r="AW566" s="82" t="s">
        <v>12265</v>
      </c>
      <c r="AX566" s="82" t="s">
        <v>12265</v>
      </c>
      <c r="AY566" s="77"/>
      <c r="AZ566" s="82" t="s">
        <v>15984</v>
      </c>
      <c r="BA566" s="82" t="s">
        <v>15984</v>
      </c>
      <c r="BB566" s="82" t="s">
        <v>15984</v>
      </c>
      <c r="BC566" s="82" t="s">
        <v>12265</v>
      </c>
      <c r="BD566" s="82" t="s">
        <v>16208</v>
      </c>
      <c r="BE566" s="77"/>
      <c r="BF566" s="77"/>
      <c r="BG566" s="77"/>
      <c r="BH566" s="77"/>
      <c r="BI566" s="77"/>
    </row>
    <row r="567" spans="1:61" x14ac:dyDescent="0.25">
      <c r="A567" s="62" t="s">
        <v>401</v>
      </c>
      <c r="B567" s="62" t="s">
        <v>780</v>
      </c>
      <c r="C567" s="63"/>
      <c r="D567" s="64"/>
      <c r="E567" s="65"/>
      <c r="F567" s="66"/>
      <c r="G567" s="63"/>
      <c r="H567" s="67"/>
      <c r="I567" s="68"/>
      <c r="J567" s="68"/>
      <c r="K567" s="32"/>
      <c r="L567" s="75">
        <v>567</v>
      </c>
      <c r="M567" s="75"/>
      <c r="N567" s="70"/>
      <c r="O567" s="77" t="s">
        <v>895</v>
      </c>
      <c r="P567" s="79">
        <v>45121.479479166665</v>
      </c>
      <c r="Q567" s="77" t="s">
        <v>1438</v>
      </c>
      <c r="R567" s="77">
        <v>3</v>
      </c>
      <c r="S567" s="77">
        <v>24</v>
      </c>
      <c r="T567" s="77">
        <v>3</v>
      </c>
      <c r="U567" s="77">
        <v>0</v>
      </c>
      <c r="V567" s="77">
        <v>4953</v>
      </c>
      <c r="W567" s="82" t="s">
        <v>5117</v>
      </c>
      <c r="X567" s="80" t="str">
        <f>HYPERLINK("https://dirigentesdigital.com/funds-markets/bolsas-y-mercados/macroeconomia-y-su-impacto-en-las-criptomonedas")</f>
        <v>https://dirigentesdigital.com/funds-markets/bolsas-y-mercados/macroeconomia-y-su-impacto-en-las-criptomonedas</v>
      </c>
      <c r="Y567" s="77" t="s">
        <v>6507</v>
      </c>
      <c r="Z567" s="77" t="s">
        <v>6569</v>
      </c>
      <c r="AA567" s="77"/>
      <c r="AB567" s="77"/>
      <c r="AC567" s="82" t="s">
        <v>7762</v>
      </c>
      <c r="AD567" s="77" t="s">
        <v>7790</v>
      </c>
      <c r="AE567" s="80" t="str">
        <f>HYPERLINK("https://twitter.com/dirigentesdg/status/1679815617740783624")</f>
        <v>https://twitter.com/dirigentesdg/status/1679815617740783624</v>
      </c>
      <c r="AF567" s="79">
        <v>45121.479479166665</v>
      </c>
      <c r="AG567" s="85">
        <v>45121</v>
      </c>
      <c r="AH567" s="82" t="s">
        <v>8301</v>
      </c>
      <c r="AI567" s="77" t="b">
        <v>0</v>
      </c>
      <c r="AJ567" s="77"/>
      <c r="AK567" s="77"/>
      <c r="AL567" s="77"/>
      <c r="AM567" s="77"/>
      <c r="AN567" s="77"/>
      <c r="AO567" s="77"/>
      <c r="AP567" s="77"/>
      <c r="AQ567" s="77"/>
      <c r="AR567" s="77"/>
      <c r="AS567" s="77"/>
      <c r="AT567" s="77"/>
      <c r="AU567" s="77"/>
      <c r="AV567" s="80" t="str">
        <f>HYPERLINK("https://pbs.twimg.com/profile_images/1271379597041549312/zKnUb_pS_normal.png")</f>
        <v>https://pbs.twimg.com/profile_images/1271379597041549312/zKnUb_pS_normal.png</v>
      </c>
      <c r="AW567" s="82" t="s">
        <v>12266</v>
      </c>
      <c r="AX567" s="82" t="s">
        <v>12266</v>
      </c>
      <c r="AY567" s="77"/>
      <c r="AZ567" s="82" t="s">
        <v>15984</v>
      </c>
      <c r="BA567" s="82" t="s">
        <v>15984</v>
      </c>
      <c r="BB567" s="82" t="s">
        <v>15984</v>
      </c>
      <c r="BC567" s="82" t="s">
        <v>12266</v>
      </c>
      <c r="BD567" s="77">
        <v>208594072</v>
      </c>
      <c r="BE567" s="77"/>
      <c r="BF567" s="77"/>
      <c r="BG567" s="77"/>
      <c r="BH567" s="77"/>
      <c r="BI567" s="77"/>
    </row>
    <row r="568" spans="1:61" x14ac:dyDescent="0.25">
      <c r="A568" s="62" t="s">
        <v>401</v>
      </c>
      <c r="B568" s="62" t="s">
        <v>781</v>
      </c>
      <c r="C568" s="63"/>
      <c r="D568" s="64"/>
      <c r="E568" s="65"/>
      <c r="F568" s="66"/>
      <c r="G568" s="63"/>
      <c r="H568" s="67"/>
      <c r="I568" s="68"/>
      <c r="J568" s="68"/>
      <c r="K568" s="32"/>
      <c r="L568" s="75">
        <v>568</v>
      </c>
      <c r="M568" s="75"/>
      <c r="N568" s="70"/>
      <c r="O568" s="77" t="s">
        <v>895</v>
      </c>
      <c r="P568" s="79">
        <v>45121.479479166665</v>
      </c>
      <c r="Q568" s="77" t="s">
        <v>1438</v>
      </c>
      <c r="R568" s="77">
        <v>3</v>
      </c>
      <c r="S568" s="77">
        <v>24</v>
      </c>
      <c r="T568" s="77">
        <v>3</v>
      </c>
      <c r="U568" s="77">
        <v>0</v>
      </c>
      <c r="V568" s="77">
        <v>4953</v>
      </c>
      <c r="W568" s="82" t="s">
        <v>5117</v>
      </c>
      <c r="X568" s="80" t="str">
        <f>HYPERLINK("https://dirigentesdigital.com/funds-markets/bolsas-y-mercados/macroeconomia-y-su-impacto-en-las-criptomonedas")</f>
        <v>https://dirigentesdigital.com/funds-markets/bolsas-y-mercados/macroeconomia-y-su-impacto-en-las-criptomonedas</v>
      </c>
      <c r="Y568" s="77" t="s">
        <v>6507</v>
      </c>
      <c r="Z568" s="77" t="s">
        <v>6569</v>
      </c>
      <c r="AA568" s="77"/>
      <c r="AB568" s="77"/>
      <c r="AC568" s="82" t="s">
        <v>7762</v>
      </c>
      <c r="AD568" s="77" t="s">
        <v>7790</v>
      </c>
      <c r="AE568" s="80" t="str">
        <f>HYPERLINK("https://twitter.com/dirigentesdg/status/1679815617740783624")</f>
        <v>https://twitter.com/dirigentesdg/status/1679815617740783624</v>
      </c>
      <c r="AF568" s="79">
        <v>45121.479479166665</v>
      </c>
      <c r="AG568" s="85">
        <v>45121</v>
      </c>
      <c r="AH568" s="82" t="s">
        <v>8301</v>
      </c>
      <c r="AI568" s="77" t="b">
        <v>0</v>
      </c>
      <c r="AJ568" s="77"/>
      <c r="AK568" s="77"/>
      <c r="AL568" s="77"/>
      <c r="AM568" s="77"/>
      <c r="AN568" s="77"/>
      <c r="AO568" s="77"/>
      <c r="AP568" s="77"/>
      <c r="AQ568" s="77"/>
      <c r="AR568" s="77"/>
      <c r="AS568" s="77"/>
      <c r="AT568" s="77"/>
      <c r="AU568" s="77"/>
      <c r="AV568" s="80" t="str">
        <f>HYPERLINK("https://pbs.twimg.com/profile_images/1271379597041549312/zKnUb_pS_normal.png")</f>
        <v>https://pbs.twimg.com/profile_images/1271379597041549312/zKnUb_pS_normal.png</v>
      </c>
      <c r="AW568" s="82" t="s">
        <v>12266</v>
      </c>
      <c r="AX568" s="82" t="s">
        <v>12266</v>
      </c>
      <c r="AY568" s="77"/>
      <c r="AZ568" s="82" t="s">
        <v>15984</v>
      </c>
      <c r="BA568" s="82" t="s">
        <v>15984</v>
      </c>
      <c r="BB568" s="82" t="s">
        <v>15984</v>
      </c>
      <c r="BC568" s="82" t="s">
        <v>12266</v>
      </c>
      <c r="BD568" s="77">
        <v>208594072</v>
      </c>
      <c r="BE568" s="77"/>
      <c r="BF568" s="77"/>
      <c r="BG568" s="77"/>
      <c r="BH568" s="77"/>
      <c r="BI568" s="77"/>
    </row>
    <row r="569" spans="1:61" x14ac:dyDescent="0.25">
      <c r="A569" s="62" t="s">
        <v>260</v>
      </c>
      <c r="B569" s="62" t="s">
        <v>260</v>
      </c>
      <c r="C569" s="63"/>
      <c r="D569" s="64"/>
      <c r="E569" s="65"/>
      <c r="F569" s="66"/>
      <c r="G569" s="63"/>
      <c r="H569" s="67"/>
      <c r="I569" s="68"/>
      <c r="J569" s="68"/>
      <c r="K569" s="32"/>
      <c r="L569" s="75">
        <v>569</v>
      </c>
      <c r="M569" s="75"/>
      <c r="N569" s="70"/>
      <c r="O569" s="77" t="s">
        <v>179</v>
      </c>
      <c r="P569" s="79">
        <v>45117.895833333336</v>
      </c>
      <c r="Q569" s="77" t="s">
        <v>1439</v>
      </c>
      <c r="R569" s="77">
        <v>0</v>
      </c>
      <c r="S569" s="77">
        <v>2</v>
      </c>
      <c r="T569" s="77">
        <v>0</v>
      </c>
      <c r="U569" s="77">
        <v>0</v>
      </c>
      <c r="V569" s="77">
        <v>1955</v>
      </c>
      <c r="W569" s="82" t="s">
        <v>5118</v>
      </c>
      <c r="X569" s="77"/>
      <c r="Y569" s="77"/>
      <c r="Z569" s="77"/>
      <c r="AA569" s="77" t="s">
        <v>6964</v>
      </c>
      <c r="AB569" s="77" t="s">
        <v>7743</v>
      </c>
      <c r="AC569" s="82" t="s">
        <v>7750</v>
      </c>
      <c r="AD569" s="77" t="s">
        <v>7788</v>
      </c>
      <c r="AE569" s="80" t="str">
        <f>HYPERLINK("https://twitter.com/tcinvestimentos/status/1678516947455967233")</f>
        <v>https://twitter.com/tcinvestimentos/status/1678516947455967233</v>
      </c>
      <c r="AF569" s="79">
        <v>45117.895833333336</v>
      </c>
      <c r="AG569" s="85">
        <v>45117</v>
      </c>
      <c r="AH569" s="82" t="s">
        <v>8089</v>
      </c>
      <c r="AI569" s="77" t="b">
        <v>0</v>
      </c>
      <c r="AJ569" s="77"/>
      <c r="AK569" s="77"/>
      <c r="AL569" s="77"/>
      <c r="AM569" s="77"/>
      <c r="AN569" s="77"/>
      <c r="AO569" s="77"/>
      <c r="AP569" s="77"/>
      <c r="AQ569" s="77" t="s">
        <v>10936</v>
      </c>
      <c r="AR569" s="77">
        <v>53486</v>
      </c>
      <c r="AS569" s="77"/>
      <c r="AT569" s="77"/>
      <c r="AU569" s="77"/>
      <c r="AV569" s="80" t="str">
        <f>HYPERLINK("https://pbs.twimg.com/ext_tw_video_thumb/1678476767969832978/pu/img/OKbq2xdFt7Ffwuwu.jpg")</f>
        <v>https://pbs.twimg.com/ext_tw_video_thumb/1678476767969832978/pu/img/OKbq2xdFt7Ffwuwu.jpg</v>
      </c>
      <c r="AW569" s="82" t="s">
        <v>12267</v>
      </c>
      <c r="AX569" s="82" t="s">
        <v>12267</v>
      </c>
      <c r="AY569" s="77"/>
      <c r="AZ569" s="82" t="s">
        <v>15984</v>
      </c>
      <c r="BA569" s="82" t="s">
        <v>15984</v>
      </c>
      <c r="BB569" s="82" t="s">
        <v>15984</v>
      </c>
      <c r="BC569" s="82" t="s">
        <v>12267</v>
      </c>
      <c r="BD569" s="82" t="s">
        <v>15933</v>
      </c>
      <c r="BE569" s="77"/>
      <c r="BF569" s="77"/>
      <c r="BG569" s="77"/>
      <c r="BH569" s="77"/>
      <c r="BI569" s="77"/>
    </row>
    <row r="570" spans="1:61" x14ac:dyDescent="0.25">
      <c r="A570" s="62" t="s">
        <v>260</v>
      </c>
      <c r="B570" s="62" t="s">
        <v>260</v>
      </c>
      <c r="C570" s="63"/>
      <c r="D570" s="64"/>
      <c r="E570" s="65"/>
      <c r="F570" s="66"/>
      <c r="G570" s="63"/>
      <c r="H570" s="67"/>
      <c r="I570" s="68"/>
      <c r="J570" s="68"/>
      <c r="K570" s="32"/>
      <c r="L570" s="75">
        <v>570</v>
      </c>
      <c r="M570" s="75"/>
      <c r="N570" s="70"/>
      <c r="O570" s="77" t="s">
        <v>179</v>
      </c>
      <c r="P570" s="79">
        <v>45127.908333333333</v>
      </c>
      <c r="Q570" s="77" t="s">
        <v>1440</v>
      </c>
      <c r="R570" s="77">
        <v>1</v>
      </c>
      <c r="S570" s="77">
        <v>4</v>
      </c>
      <c r="T570" s="77">
        <v>46</v>
      </c>
      <c r="U570" s="77">
        <v>0</v>
      </c>
      <c r="V570" s="77">
        <v>2955</v>
      </c>
      <c r="W570" s="82" t="s">
        <v>5119</v>
      </c>
      <c r="X570" s="77"/>
      <c r="Y570" s="77"/>
      <c r="Z570" s="77"/>
      <c r="AA570" s="77" t="s">
        <v>6965</v>
      </c>
      <c r="AB570" s="77" t="s">
        <v>7743</v>
      </c>
      <c r="AC570" s="82" t="s">
        <v>7750</v>
      </c>
      <c r="AD570" s="77" t="s">
        <v>7788</v>
      </c>
      <c r="AE570" s="80" t="str">
        <f>HYPERLINK("https://twitter.com/tcinvestimentos/status/1682145355683561480")</f>
        <v>https://twitter.com/tcinvestimentos/status/1682145355683561480</v>
      </c>
      <c r="AF570" s="79">
        <v>45127.908333333333</v>
      </c>
      <c r="AG570" s="85">
        <v>45127</v>
      </c>
      <c r="AH570" s="82" t="s">
        <v>8302</v>
      </c>
      <c r="AI570" s="77" t="b">
        <v>0</v>
      </c>
      <c r="AJ570" s="77"/>
      <c r="AK570" s="77"/>
      <c r="AL570" s="77"/>
      <c r="AM570" s="77"/>
      <c r="AN570" s="77"/>
      <c r="AO570" s="77"/>
      <c r="AP570" s="77"/>
      <c r="AQ570" s="77" t="s">
        <v>10937</v>
      </c>
      <c r="AR570" s="77">
        <v>58224</v>
      </c>
      <c r="AS570" s="77"/>
      <c r="AT570" s="77"/>
      <c r="AU570" s="77"/>
      <c r="AV570" s="80" t="str">
        <f>HYPERLINK("https://pbs.twimg.com/ext_tw_video_thumb/1681345085303144457/pu/img/c87q321-zc-NnXku.jpg")</f>
        <v>https://pbs.twimg.com/ext_tw_video_thumb/1681345085303144457/pu/img/c87q321-zc-NnXku.jpg</v>
      </c>
      <c r="AW570" s="82" t="s">
        <v>12268</v>
      </c>
      <c r="AX570" s="82" t="s">
        <v>12268</v>
      </c>
      <c r="AY570" s="77"/>
      <c r="AZ570" s="82" t="s">
        <v>15984</v>
      </c>
      <c r="BA570" s="82" t="s">
        <v>15984</v>
      </c>
      <c r="BB570" s="82" t="s">
        <v>15984</v>
      </c>
      <c r="BC570" s="82" t="s">
        <v>12268</v>
      </c>
      <c r="BD570" s="82" t="s">
        <v>15933</v>
      </c>
      <c r="BE570" s="77"/>
      <c r="BF570" s="77"/>
      <c r="BG570" s="77"/>
      <c r="BH570" s="77"/>
      <c r="BI570" s="77"/>
    </row>
    <row r="571" spans="1:61" x14ac:dyDescent="0.25">
      <c r="A571" s="62" t="s">
        <v>260</v>
      </c>
      <c r="B571" s="62" t="s">
        <v>260</v>
      </c>
      <c r="C571" s="63"/>
      <c r="D571" s="64"/>
      <c r="E571" s="65"/>
      <c r="F571" s="66"/>
      <c r="G571" s="63"/>
      <c r="H571" s="67"/>
      <c r="I571" s="68"/>
      <c r="J571" s="68"/>
      <c r="K571" s="32"/>
      <c r="L571" s="75">
        <v>571</v>
      </c>
      <c r="M571" s="75"/>
      <c r="N571" s="70"/>
      <c r="O571" s="77" t="s">
        <v>898</v>
      </c>
      <c r="P571" s="79">
        <v>45141.749074074076</v>
      </c>
      <c r="Q571" s="77" t="s">
        <v>1441</v>
      </c>
      <c r="R571" s="77">
        <v>0</v>
      </c>
      <c r="S571" s="77">
        <v>0</v>
      </c>
      <c r="T571" s="77">
        <v>0</v>
      </c>
      <c r="U571" s="77">
        <v>0</v>
      </c>
      <c r="V571" s="77">
        <v>989</v>
      </c>
      <c r="W571" s="82" t="s">
        <v>5120</v>
      </c>
      <c r="X571" s="80" t="str">
        <f>HYPERLINK("https://trad3.co/3OjeaKT")</f>
        <v>https://trad3.co/3OjeaKT</v>
      </c>
      <c r="Y571" s="77" t="s">
        <v>6508</v>
      </c>
      <c r="Z571" s="77"/>
      <c r="AA571" s="77"/>
      <c r="AB571" s="77"/>
      <c r="AC571" s="82" t="s">
        <v>7750</v>
      </c>
      <c r="AD571" s="77" t="s">
        <v>7788</v>
      </c>
      <c r="AE571" s="80" t="str">
        <f>HYPERLINK("https://twitter.com/tcinvestimentos/status/1687161072594141186")</f>
        <v>https://twitter.com/tcinvestimentos/status/1687161072594141186</v>
      </c>
      <c r="AF571" s="79">
        <v>45141.749074074076</v>
      </c>
      <c r="AG571" s="85">
        <v>45141</v>
      </c>
      <c r="AH571" s="82" t="s">
        <v>8303</v>
      </c>
      <c r="AI571" s="77" t="b">
        <v>0</v>
      </c>
      <c r="AJ571" s="77"/>
      <c r="AK571" s="77"/>
      <c r="AL571" s="77"/>
      <c r="AM571" s="77"/>
      <c r="AN571" s="77"/>
      <c r="AO571" s="77"/>
      <c r="AP571" s="77"/>
      <c r="AQ571" s="77"/>
      <c r="AR571" s="77"/>
      <c r="AS571" s="77"/>
      <c r="AT571" s="77"/>
      <c r="AU571" s="77"/>
      <c r="AV571" s="80" t="str">
        <f>HYPERLINK("https://pbs.twimg.com/profile_images/1562020566579773441/GIpDu5O0_normal.jpg")</f>
        <v>https://pbs.twimg.com/profile_images/1562020566579773441/GIpDu5O0_normal.jpg</v>
      </c>
      <c r="AW571" s="82" t="s">
        <v>12269</v>
      </c>
      <c r="AX571" s="82" t="s">
        <v>15769</v>
      </c>
      <c r="AY571" s="82" t="s">
        <v>15933</v>
      </c>
      <c r="AZ571" s="82" t="s">
        <v>15769</v>
      </c>
      <c r="BA571" s="82" t="s">
        <v>15984</v>
      </c>
      <c r="BB571" s="82" t="s">
        <v>15984</v>
      </c>
      <c r="BC571" s="82" t="s">
        <v>15769</v>
      </c>
      <c r="BD571" s="82" t="s">
        <v>15933</v>
      </c>
      <c r="BE571" s="77"/>
      <c r="BF571" s="77"/>
      <c r="BG571" s="77"/>
      <c r="BH571" s="77"/>
      <c r="BI571" s="77"/>
    </row>
    <row r="572" spans="1:61" x14ac:dyDescent="0.25">
      <c r="A572" s="62" t="s">
        <v>260</v>
      </c>
      <c r="B572" s="62" t="s">
        <v>260</v>
      </c>
      <c r="C572" s="63"/>
      <c r="D572" s="64"/>
      <c r="E572" s="65"/>
      <c r="F572" s="66"/>
      <c r="G572" s="63"/>
      <c r="H572" s="67"/>
      <c r="I572" s="68"/>
      <c r="J572" s="68"/>
      <c r="K572" s="32"/>
      <c r="L572" s="75">
        <v>572</v>
      </c>
      <c r="M572" s="75"/>
      <c r="N572" s="70"/>
      <c r="O572" s="77" t="s">
        <v>179</v>
      </c>
      <c r="P572" s="79">
        <v>45137.634027777778</v>
      </c>
      <c r="Q572" s="77" t="s">
        <v>1442</v>
      </c>
      <c r="R572" s="77">
        <v>1</v>
      </c>
      <c r="S572" s="77">
        <v>4</v>
      </c>
      <c r="T572" s="77">
        <v>0</v>
      </c>
      <c r="U572" s="77">
        <v>0</v>
      </c>
      <c r="V572" s="77">
        <v>2197</v>
      </c>
      <c r="W572" s="82" t="s">
        <v>5121</v>
      </c>
      <c r="X572" s="80" t="str">
        <f>HYPERLINK("https://acesse.tc.com.br/e/hIlTx0DZ9yb")</f>
        <v>https://acesse.tc.com.br/e/hIlTx0DZ9yb</v>
      </c>
      <c r="Y572" s="77" t="s">
        <v>6470</v>
      </c>
      <c r="Z572" s="77"/>
      <c r="AA572" s="77" t="s">
        <v>6966</v>
      </c>
      <c r="AB572" s="77" t="s">
        <v>7742</v>
      </c>
      <c r="AC572" s="82" t="s">
        <v>7750</v>
      </c>
      <c r="AD572" s="77" t="s">
        <v>7788</v>
      </c>
      <c r="AE572" s="80" t="str">
        <f>HYPERLINK("https://twitter.com/tcinvestimentos/status/1685669829481525248")</f>
        <v>https://twitter.com/tcinvestimentos/status/1685669829481525248</v>
      </c>
      <c r="AF572" s="79">
        <v>45137.634027777778</v>
      </c>
      <c r="AG572" s="85">
        <v>45137</v>
      </c>
      <c r="AH572" s="82" t="s">
        <v>8304</v>
      </c>
      <c r="AI572" s="77" t="b">
        <v>0</v>
      </c>
      <c r="AJ572" s="77"/>
      <c r="AK572" s="77"/>
      <c r="AL572" s="77"/>
      <c r="AM572" s="77"/>
      <c r="AN572" s="77"/>
      <c r="AO572" s="77"/>
      <c r="AP572" s="77"/>
      <c r="AQ572" s="77" t="s">
        <v>10938</v>
      </c>
      <c r="AR572" s="77"/>
      <c r="AS572" s="77"/>
      <c r="AT572" s="77"/>
      <c r="AU572" s="77"/>
      <c r="AV572" s="80" t="str">
        <f>HYPERLINK("https://pbs.twimg.com/media/F2SKvP7WQAAeZ3d.jpg")</f>
        <v>https://pbs.twimg.com/media/F2SKvP7WQAAeZ3d.jpg</v>
      </c>
      <c r="AW572" s="82" t="s">
        <v>12270</v>
      </c>
      <c r="AX572" s="82" t="s">
        <v>12270</v>
      </c>
      <c r="AY572" s="77"/>
      <c r="AZ572" s="82" t="s">
        <v>15984</v>
      </c>
      <c r="BA572" s="82" t="s">
        <v>15984</v>
      </c>
      <c r="BB572" s="82" t="s">
        <v>15984</v>
      </c>
      <c r="BC572" s="82" t="s">
        <v>12270</v>
      </c>
      <c r="BD572" s="82" t="s">
        <v>15933</v>
      </c>
      <c r="BE572" s="77"/>
      <c r="BF572" s="77"/>
      <c r="BG572" s="77"/>
      <c r="BH572" s="77"/>
      <c r="BI572" s="77"/>
    </row>
    <row r="573" spans="1:61" x14ac:dyDescent="0.25">
      <c r="A573" s="62" t="s">
        <v>260</v>
      </c>
      <c r="B573" s="62" t="s">
        <v>260</v>
      </c>
      <c r="C573" s="63"/>
      <c r="D573" s="64"/>
      <c r="E573" s="65"/>
      <c r="F573" s="66"/>
      <c r="G573" s="63"/>
      <c r="H573" s="67"/>
      <c r="I573" s="68"/>
      <c r="J573" s="68"/>
      <c r="K573" s="32"/>
      <c r="L573" s="75">
        <v>573</v>
      </c>
      <c r="M573" s="75"/>
      <c r="N573" s="70"/>
      <c r="O573" s="77" t="s">
        <v>179</v>
      </c>
      <c r="P573" s="79">
        <v>45125.918055555558</v>
      </c>
      <c r="Q573" s="77" t="s">
        <v>1443</v>
      </c>
      <c r="R573" s="77">
        <v>0</v>
      </c>
      <c r="S573" s="77">
        <v>3</v>
      </c>
      <c r="T573" s="77">
        <v>0</v>
      </c>
      <c r="U573" s="77">
        <v>0</v>
      </c>
      <c r="V573" s="77">
        <v>2236</v>
      </c>
      <c r="W573" s="82" t="s">
        <v>5122</v>
      </c>
      <c r="X573" s="77"/>
      <c r="Y573" s="77"/>
      <c r="Z573" s="77"/>
      <c r="AA573" s="77" t="s">
        <v>6967</v>
      </c>
      <c r="AB573" s="77" t="s">
        <v>7743</v>
      </c>
      <c r="AC573" s="82" t="s">
        <v>7750</v>
      </c>
      <c r="AD573" s="77" t="s">
        <v>7788</v>
      </c>
      <c r="AE573" s="80" t="str">
        <f>HYPERLINK("https://twitter.com/tcinvestimentos/status/1681424103406723073")</f>
        <v>https://twitter.com/tcinvestimentos/status/1681424103406723073</v>
      </c>
      <c r="AF573" s="79">
        <v>45125.918055555558</v>
      </c>
      <c r="AG573" s="85">
        <v>45125</v>
      </c>
      <c r="AH573" s="82" t="s">
        <v>8305</v>
      </c>
      <c r="AI573" s="77" t="b">
        <v>0</v>
      </c>
      <c r="AJ573" s="77"/>
      <c r="AK573" s="77"/>
      <c r="AL573" s="77"/>
      <c r="AM573" s="77"/>
      <c r="AN573" s="77"/>
      <c r="AO573" s="77"/>
      <c r="AP573" s="77"/>
      <c r="AQ573" s="77" t="s">
        <v>10939</v>
      </c>
      <c r="AR573" s="77">
        <v>56890</v>
      </c>
      <c r="AS573" s="77"/>
      <c r="AT573" s="77"/>
      <c r="AU573" s="77"/>
      <c r="AV573" s="80" t="str">
        <f>HYPERLINK("https://pbs.twimg.com/ext_tw_video_thumb/1680971037402451968/pu/img/wFaCoXSq8f_e32Ol.jpg")</f>
        <v>https://pbs.twimg.com/ext_tw_video_thumb/1680971037402451968/pu/img/wFaCoXSq8f_e32Ol.jpg</v>
      </c>
      <c r="AW573" s="82" t="s">
        <v>12271</v>
      </c>
      <c r="AX573" s="82" t="s">
        <v>12271</v>
      </c>
      <c r="AY573" s="77"/>
      <c r="AZ573" s="82" t="s">
        <v>15984</v>
      </c>
      <c r="BA573" s="82" t="s">
        <v>15984</v>
      </c>
      <c r="BB573" s="82" t="s">
        <v>15984</v>
      </c>
      <c r="BC573" s="82" t="s">
        <v>12271</v>
      </c>
      <c r="BD573" s="82" t="s">
        <v>15933</v>
      </c>
      <c r="BE573" s="77"/>
      <c r="BF573" s="77"/>
      <c r="BG573" s="77"/>
      <c r="BH573" s="77"/>
      <c r="BI573" s="77"/>
    </row>
    <row r="574" spans="1:61" x14ac:dyDescent="0.25">
      <c r="A574" s="62" t="s">
        <v>260</v>
      </c>
      <c r="B574" s="62" t="s">
        <v>260</v>
      </c>
      <c r="C574" s="63"/>
      <c r="D574" s="64"/>
      <c r="E574" s="65"/>
      <c r="F574" s="66"/>
      <c r="G574" s="63"/>
      <c r="H574" s="67"/>
      <c r="I574" s="68"/>
      <c r="J574" s="68"/>
      <c r="K574" s="32"/>
      <c r="L574" s="75">
        <v>574</v>
      </c>
      <c r="M574" s="75"/>
      <c r="N574" s="70"/>
      <c r="O574" s="77" t="s">
        <v>179</v>
      </c>
      <c r="P574" s="79">
        <v>45145.915277777778</v>
      </c>
      <c r="Q574" s="77" t="s">
        <v>1444</v>
      </c>
      <c r="R574" s="77">
        <v>0</v>
      </c>
      <c r="S574" s="77">
        <v>5</v>
      </c>
      <c r="T574" s="77">
        <v>0</v>
      </c>
      <c r="U574" s="77">
        <v>0</v>
      </c>
      <c r="V574" s="77">
        <v>1569</v>
      </c>
      <c r="W574" s="82" t="s">
        <v>5123</v>
      </c>
      <c r="X574" s="80" t="str">
        <f>HYPERLINK("https://acesse.tc.com.br/e/hIlTx0DZ9yb")</f>
        <v>https://acesse.tc.com.br/e/hIlTx0DZ9yb</v>
      </c>
      <c r="Y574" s="77" t="s">
        <v>6470</v>
      </c>
      <c r="Z574" s="77"/>
      <c r="AA574" s="77" t="s">
        <v>6968</v>
      </c>
      <c r="AB574" s="77" t="s">
        <v>7743</v>
      </c>
      <c r="AC574" s="82" t="s">
        <v>7750</v>
      </c>
      <c r="AD574" s="77" t="s">
        <v>7788</v>
      </c>
      <c r="AE574" s="80" t="str">
        <f>HYPERLINK("https://twitter.com/tcinvestimentos/status/1688670853829935105")</f>
        <v>https://twitter.com/tcinvestimentos/status/1688670853829935105</v>
      </c>
      <c r="AF574" s="79">
        <v>45145.915277777778</v>
      </c>
      <c r="AG574" s="85">
        <v>45145</v>
      </c>
      <c r="AH574" s="82" t="s">
        <v>8306</v>
      </c>
      <c r="AI574" s="77" t="b">
        <v>0</v>
      </c>
      <c r="AJ574" s="77"/>
      <c r="AK574" s="77"/>
      <c r="AL574" s="77"/>
      <c r="AM574" s="77"/>
      <c r="AN574" s="77"/>
      <c r="AO574" s="77"/>
      <c r="AP574" s="77"/>
      <c r="AQ574" s="77" t="s">
        <v>10940</v>
      </c>
      <c r="AR574" s="77">
        <v>59893</v>
      </c>
      <c r="AS574" s="77"/>
      <c r="AT574" s="77"/>
      <c r="AU574" s="77"/>
      <c r="AV574" s="80" t="str">
        <f>HYPERLINK("https://pbs.twimg.com/ext_tw_video_thumb/1688625624133345280/pu/img/813Sx8PnIvoCrlmm.jpg")</f>
        <v>https://pbs.twimg.com/ext_tw_video_thumb/1688625624133345280/pu/img/813Sx8PnIvoCrlmm.jpg</v>
      </c>
      <c r="AW574" s="82" t="s">
        <v>12272</v>
      </c>
      <c r="AX574" s="82" t="s">
        <v>12272</v>
      </c>
      <c r="AY574" s="77"/>
      <c r="AZ574" s="82" t="s">
        <v>15984</v>
      </c>
      <c r="BA574" s="82" t="s">
        <v>15984</v>
      </c>
      <c r="BB574" s="82" t="s">
        <v>15984</v>
      </c>
      <c r="BC574" s="82" t="s">
        <v>12272</v>
      </c>
      <c r="BD574" s="82" t="s">
        <v>15933</v>
      </c>
      <c r="BE574" s="77"/>
      <c r="BF574" s="77"/>
      <c r="BG574" s="77"/>
      <c r="BH574" s="77"/>
      <c r="BI574" s="77"/>
    </row>
    <row r="575" spans="1:61" x14ac:dyDescent="0.25">
      <c r="A575" s="62" t="s">
        <v>260</v>
      </c>
      <c r="B575" s="62" t="s">
        <v>260</v>
      </c>
      <c r="C575" s="63"/>
      <c r="D575" s="64"/>
      <c r="E575" s="65"/>
      <c r="F575" s="66"/>
      <c r="G575" s="63"/>
      <c r="H575" s="67"/>
      <c r="I575" s="68"/>
      <c r="J575" s="68"/>
      <c r="K575" s="32"/>
      <c r="L575" s="75">
        <v>575</v>
      </c>
      <c r="M575" s="75"/>
      <c r="N575" s="70"/>
      <c r="O575" s="77" t="s">
        <v>179</v>
      </c>
      <c r="P575" s="79">
        <v>45153.931944444441</v>
      </c>
      <c r="Q575" s="77" t="s">
        <v>1445</v>
      </c>
      <c r="R575" s="77">
        <v>0</v>
      </c>
      <c r="S575" s="77">
        <v>1</v>
      </c>
      <c r="T575" s="77">
        <v>0</v>
      </c>
      <c r="U575" s="77">
        <v>0</v>
      </c>
      <c r="V575" s="77">
        <v>1927</v>
      </c>
      <c r="W575" s="82" t="s">
        <v>5124</v>
      </c>
      <c r="X575" s="77"/>
      <c r="Y575" s="77"/>
      <c r="Z575" s="77"/>
      <c r="AA575" s="77" t="s">
        <v>6969</v>
      </c>
      <c r="AB575" s="77" t="s">
        <v>7743</v>
      </c>
      <c r="AC575" s="82" t="s">
        <v>7750</v>
      </c>
      <c r="AD575" s="77" t="s">
        <v>7788</v>
      </c>
      <c r="AE575" s="80" t="str">
        <f>HYPERLINK("https://twitter.com/tcinvestimentos/status/1691575996594434193")</f>
        <v>https://twitter.com/tcinvestimentos/status/1691575996594434193</v>
      </c>
      <c r="AF575" s="79">
        <v>45153.931944444441</v>
      </c>
      <c r="AG575" s="85">
        <v>45153</v>
      </c>
      <c r="AH575" s="82" t="s">
        <v>8307</v>
      </c>
      <c r="AI575" s="77" t="b">
        <v>0</v>
      </c>
      <c r="AJ575" s="77"/>
      <c r="AK575" s="77"/>
      <c r="AL575" s="77"/>
      <c r="AM575" s="77"/>
      <c r="AN575" s="77"/>
      <c r="AO575" s="77"/>
      <c r="AP575" s="77"/>
      <c r="AQ575" s="77" t="s">
        <v>10941</v>
      </c>
      <c r="AR575" s="77">
        <v>54921</v>
      </c>
      <c r="AS575" s="77"/>
      <c r="AT575" s="77"/>
      <c r="AU575" s="77"/>
      <c r="AV575" s="80" t="str">
        <f>HYPERLINK("https://pbs.twimg.com/ext_tw_video_thumb/1691198522383831042/pu/img/Q2k3EeK_ZwLUZIyH.jpg")</f>
        <v>https://pbs.twimg.com/ext_tw_video_thumb/1691198522383831042/pu/img/Q2k3EeK_ZwLUZIyH.jpg</v>
      </c>
      <c r="AW575" s="82" t="s">
        <v>12273</v>
      </c>
      <c r="AX575" s="82" t="s">
        <v>12273</v>
      </c>
      <c r="AY575" s="77"/>
      <c r="AZ575" s="82" t="s">
        <v>15984</v>
      </c>
      <c r="BA575" s="82" t="s">
        <v>15984</v>
      </c>
      <c r="BB575" s="82" t="s">
        <v>15984</v>
      </c>
      <c r="BC575" s="82" t="s">
        <v>12273</v>
      </c>
      <c r="BD575" s="82" t="s">
        <v>15933</v>
      </c>
      <c r="BE575" s="77"/>
      <c r="BF575" s="77"/>
      <c r="BG575" s="77"/>
      <c r="BH575" s="77"/>
      <c r="BI575" s="77"/>
    </row>
    <row r="576" spans="1:61" x14ac:dyDescent="0.25">
      <c r="A576" s="62" t="s">
        <v>260</v>
      </c>
      <c r="B576" s="62" t="s">
        <v>260</v>
      </c>
      <c r="C576" s="63"/>
      <c r="D576" s="64"/>
      <c r="E576" s="65"/>
      <c r="F576" s="66"/>
      <c r="G576" s="63"/>
      <c r="H576" s="67"/>
      <c r="I576" s="68"/>
      <c r="J576" s="68"/>
      <c r="K576" s="32"/>
      <c r="L576" s="75">
        <v>576</v>
      </c>
      <c r="M576" s="75"/>
      <c r="N576" s="70"/>
      <c r="O576" s="77" t="s">
        <v>179</v>
      </c>
      <c r="P576" s="79">
        <v>45162.921527777777</v>
      </c>
      <c r="Q576" s="77" t="s">
        <v>1446</v>
      </c>
      <c r="R576" s="77">
        <v>2</v>
      </c>
      <c r="S576" s="77">
        <v>3</v>
      </c>
      <c r="T576" s="77">
        <v>0</v>
      </c>
      <c r="U576" s="77">
        <v>0</v>
      </c>
      <c r="V576" s="77">
        <v>1614</v>
      </c>
      <c r="W576" s="82" t="s">
        <v>5125</v>
      </c>
      <c r="X576" s="77"/>
      <c r="Y576" s="77"/>
      <c r="Z576" s="77"/>
      <c r="AA576" s="77" t="s">
        <v>6970</v>
      </c>
      <c r="AB576" s="77" t="s">
        <v>7743</v>
      </c>
      <c r="AC576" s="82" t="s">
        <v>7750</v>
      </c>
      <c r="AD576" s="77" t="s">
        <v>7788</v>
      </c>
      <c r="AE576" s="80" t="str">
        <f>HYPERLINK("https://twitter.com/tcinvestimentos/status/1694833712486359425")</f>
        <v>https://twitter.com/tcinvestimentos/status/1694833712486359425</v>
      </c>
      <c r="AF576" s="79">
        <v>45162.921527777777</v>
      </c>
      <c r="AG576" s="85">
        <v>45162</v>
      </c>
      <c r="AH576" s="82" t="s">
        <v>8308</v>
      </c>
      <c r="AI576" s="77" t="b">
        <v>0</v>
      </c>
      <c r="AJ576" s="77"/>
      <c r="AK576" s="77"/>
      <c r="AL576" s="77"/>
      <c r="AM576" s="77"/>
      <c r="AN576" s="77"/>
      <c r="AO576" s="77"/>
      <c r="AP576" s="77"/>
      <c r="AQ576" s="77" t="s">
        <v>10942</v>
      </c>
      <c r="AR576" s="77">
        <v>52619</v>
      </c>
      <c r="AS576" s="77"/>
      <c r="AT576" s="77"/>
      <c r="AU576" s="77"/>
      <c r="AV576" s="80" t="str">
        <f>HYPERLINK("https://pbs.twimg.com/ext_tw_video_thumb/1691209904353062913/pu/img/-C4KMqAUvNy_ApqJ.jpg")</f>
        <v>https://pbs.twimg.com/ext_tw_video_thumb/1691209904353062913/pu/img/-C4KMqAUvNy_ApqJ.jpg</v>
      </c>
      <c r="AW576" s="82" t="s">
        <v>12274</v>
      </c>
      <c r="AX576" s="82" t="s">
        <v>12274</v>
      </c>
      <c r="AY576" s="77"/>
      <c r="AZ576" s="82" t="s">
        <v>15984</v>
      </c>
      <c r="BA576" s="82" t="s">
        <v>15984</v>
      </c>
      <c r="BB576" s="82" t="s">
        <v>15984</v>
      </c>
      <c r="BC576" s="82" t="s">
        <v>12274</v>
      </c>
      <c r="BD576" s="82" t="s">
        <v>15933</v>
      </c>
      <c r="BE576" s="77"/>
      <c r="BF576" s="77"/>
      <c r="BG576" s="77"/>
      <c r="BH576" s="77"/>
      <c r="BI576" s="77"/>
    </row>
    <row r="577" spans="1:61" x14ac:dyDescent="0.25">
      <c r="A577" s="62" t="s">
        <v>260</v>
      </c>
      <c r="B577" s="62" t="s">
        <v>260</v>
      </c>
      <c r="C577" s="63"/>
      <c r="D577" s="64"/>
      <c r="E577" s="65"/>
      <c r="F577" s="66"/>
      <c r="G577" s="63"/>
      <c r="H577" s="67"/>
      <c r="I577" s="68"/>
      <c r="J577" s="68"/>
      <c r="K577" s="32"/>
      <c r="L577" s="75">
        <v>577</v>
      </c>
      <c r="M577" s="75"/>
      <c r="N577" s="70"/>
      <c r="O577" s="77" t="s">
        <v>179</v>
      </c>
      <c r="P577" s="79">
        <v>45181.972916666666</v>
      </c>
      <c r="Q577" s="77" t="s">
        <v>1447</v>
      </c>
      <c r="R577" s="77">
        <v>2</v>
      </c>
      <c r="S577" s="77">
        <v>6</v>
      </c>
      <c r="T577" s="77">
        <v>0</v>
      </c>
      <c r="U577" s="77">
        <v>0</v>
      </c>
      <c r="V577" s="77">
        <v>1907</v>
      </c>
      <c r="W577" s="82" t="s">
        <v>5126</v>
      </c>
      <c r="X577" s="77"/>
      <c r="Y577" s="77"/>
      <c r="Z577" s="77"/>
      <c r="AA577" s="77" t="s">
        <v>6971</v>
      </c>
      <c r="AB577" s="77" t="s">
        <v>7743</v>
      </c>
      <c r="AC577" s="82" t="s">
        <v>7750</v>
      </c>
      <c r="AD577" s="77" t="s">
        <v>7788</v>
      </c>
      <c r="AE577" s="80" t="str">
        <f>HYPERLINK("https://twitter.com/tcinvestimentos/status/1701737704843571640")</f>
        <v>https://twitter.com/tcinvestimentos/status/1701737704843571640</v>
      </c>
      <c r="AF577" s="79">
        <v>45181.972916666666</v>
      </c>
      <c r="AG577" s="85">
        <v>45181</v>
      </c>
      <c r="AH577" s="82" t="s">
        <v>8309</v>
      </c>
      <c r="AI577" s="77" t="b">
        <v>0</v>
      </c>
      <c r="AJ577" s="77"/>
      <c r="AK577" s="77"/>
      <c r="AL577" s="77"/>
      <c r="AM577" s="77"/>
      <c r="AN577" s="77"/>
      <c r="AO577" s="77"/>
      <c r="AP577" s="77"/>
      <c r="AQ577" s="77" t="s">
        <v>10943</v>
      </c>
      <c r="AR577" s="77">
        <v>59125</v>
      </c>
      <c r="AS577" s="77"/>
      <c r="AT577" s="77"/>
      <c r="AU577" s="77"/>
      <c r="AV577" s="80" t="str">
        <f>HYPERLINK("https://pbs.twimg.com/ext_tw_video_thumb/1699487995642966016/pu/img/XIj7U7Q5xZeiif17.jpg")</f>
        <v>https://pbs.twimg.com/ext_tw_video_thumb/1699487995642966016/pu/img/XIj7U7Q5xZeiif17.jpg</v>
      </c>
      <c r="AW577" s="82" t="s">
        <v>12275</v>
      </c>
      <c r="AX577" s="82" t="s">
        <v>12275</v>
      </c>
      <c r="AY577" s="77"/>
      <c r="AZ577" s="82" t="s">
        <v>15984</v>
      </c>
      <c r="BA577" s="82" t="s">
        <v>15984</v>
      </c>
      <c r="BB577" s="82" t="s">
        <v>15984</v>
      </c>
      <c r="BC577" s="82" t="s">
        <v>12275</v>
      </c>
      <c r="BD577" s="82" t="s">
        <v>15933</v>
      </c>
      <c r="BE577" s="77"/>
      <c r="BF577" s="77"/>
      <c r="BG577" s="77"/>
      <c r="BH577" s="77"/>
      <c r="BI577" s="77"/>
    </row>
    <row r="578" spans="1:61" x14ac:dyDescent="0.25">
      <c r="A578" s="62" t="s">
        <v>260</v>
      </c>
      <c r="B578" s="62" t="s">
        <v>260</v>
      </c>
      <c r="C578" s="63"/>
      <c r="D578" s="64"/>
      <c r="E578" s="65"/>
      <c r="F578" s="66"/>
      <c r="G578" s="63"/>
      <c r="H578" s="67"/>
      <c r="I578" s="68"/>
      <c r="J578" s="68"/>
      <c r="K578" s="32"/>
      <c r="L578" s="75">
        <v>578</v>
      </c>
      <c r="M578" s="75"/>
      <c r="N578" s="70"/>
      <c r="O578" s="77" t="s">
        <v>179</v>
      </c>
      <c r="P578" s="79">
        <v>45190.972222222219</v>
      </c>
      <c r="Q578" s="77" t="s">
        <v>1448</v>
      </c>
      <c r="R578" s="77">
        <v>1</v>
      </c>
      <c r="S578" s="77">
        <v>8</v>
      </c>
      <c r="T578" s="77">
        <v>0</v>
      </c>
      <c r="U578" s="77">
        <v>0</v>
      </c>
      <c r="V578" s="77">
        <v>2050</v>
      </c>
      <c r="W578" s="82" t="s">
        <v>4889</v>
      </c>
      <c r="X578" s="77"/>
      <c r="Y578" s="77"/>
      <c r="Z578" s="77"/>
      <c r="AA578" s="77" t="s">
        <v>6972</v>
      </c>
      <c r="AB578" s="77" t="s">
        <v>7743</v>
      </c>
      <c r="AC578" s="82" t="s">
        <v>7750</v>
      </c>
      <c r="AD578" s="77" t="s">
        <v>7788</v>
      </c>
      <c r="AE578" s="80" t="str">
        <f>HYPERLINK("https://twitter.com/tcinvestimentos/status/1704998943929635015")</f>
        <v>https://twitter.com/tcinvestimentos/status/1704998943929635015</v>
      </c>
      <c r="AF578" s="79">
        <v>45190.972222222219</v>
      </c>
      <c r="AG578" s="85">
        <v>45190</v>
      </c>
      <c r="AH578" s="82" t="s">
        <v>8310</v>
      </c>
      <c r="AI578" s="77" t="b">
        <v>0</v>
      </c>
      <c r="AJ578" s="77"/>
      <c r="AK578" s="77"/>
      <c r="AL578" s="77"/>
      <c r="AM578" s="77"/>
      <c r="AN578" s="77"/>
      <c r="AO578" s="77"/>
      <c r="AP578" s="77"/>
      <c r="AQ578" s="77" t="s">
        <v>10944</v>
      </c>
      <c r="AR578" s="77">
        <v>58024</v>
      </c>
      <c r="AS578" s="77"/>
      <c r="AT578" s="77"/>
      <c r="AU578" s="77"/>
      <c r="AV578" s="80" t="str">
        <f>HYPERLINK("https://pbs.twimg.com/ext_tw_video_thumb/1704154225125494784/pu/img/v-QK8KQehbWTa6nQ.jpg")</f>
        <v>https://pbs.twimg.com/ext_tw_video_thumb/1704154225125494784/pu/img/v-QK8KQehbWTa6nQ.jpg</v>
      </c>
      <c r="AW578" s="82" t="s">
        <v>12276</v>
      </c>
      <c r="AX578" s="82" t="s">
        <v>12276</v>
      </c>
      <c r="AY578" s="77"/>
      <c r="AZ578" s="82" t="s">
        <v>15984</v>
      </c>
      <c r="BA578" s="82" t="s">
        <v>15984</v>
      </c>
      <c r="BB578" s="82" t="s">
        <v>15984</v>
      </c>
      <c r="BC578" s="82" t="s">
        <v>12276</v>
      </c>
      <c r="BD578" s="82" t="s">
        <v>15933</v>
      </c>
      <c r="BE578" s="77"/>
      <c r="BF578" s="77"/>
      <c r="BG578" s="77"/>
      <c r="BH578" s="77"/>
      <c r="BI578" s="77"/>
    </row>
    <row r="579" spans="1:61" x14ac:dyDescent="0.25">
      <c r="A579" s="62" t="s">
        <v>260</v>
      </c>
      <c r="B579" s="62" t="s">
        <v>260</v>
      </c>
      <c r="C579" s="63"/>
      <c r="D579" s="64"/>
      <c r="E579" s="65"/>
      <c r="F579" s="66"/>
      <c r="G579" s="63"/>
      <c r="H579" s="67"/>
      <c r="I579" s="68"/>
      <c r="J579" s="68"/>
      <c r="K579" s="32"/>
      <c r="L579" s="75">
        <v>579</v>
      </c>
      <c r="M579" s="75"/>
      <c r="N579" s="70"/>
      <c r="O579" s="77" t="s">
        <v>179</v>
      </c>
      <c r="P579" s="79">
        <v>45193.97152777778</v>
      </c>
      <c r="Q579" s="77" t="s">
        <v>1449</v>
      </c>
      <c r="R579" s="77">
        <v>1</v>
      </c>
      <c r="S579" s="77">
        <v>5</v>
      </c>
      <c r="T579" s="77">
        <v>0</v>
      </c>
      <c r="U579" s="77">
        <v>0</v>
      </c>
      <c r="V579" s="77">
        <v>2507</v>
      </c>
      <c r="W579" s="82" t="s">
        <v>5127</v>
      </c>
      <c r="X579" s="77"/>
      <c r="Y579" s="77"/>
      <c r="Z579" s="77"/>
      <c r="AA579" s="77" t="s">
        <v>6973</v>
      </c>
      <c r="AB579" s="77" t="s">
        <v>7743</v>
      </c>
      <c r="AC579" s="82" t="s">
        <v>7750</v>
      </c>
      <c r="AD579" s="77" t="s">
        <v>7788</v>
      </c>
      <c r="AE579" s="80" t="str">
        <f>HYPERLINK("https://twitter.com/tcinvestimentos/status/1706085855775916110")</f>
        <v>https://twitter.com/tcinvestimentos/status/1706085855775916110</v>
      </c>
      <c r="AF579" s="79">
        <v>45193.97152777778</v>
      </c>
      <c r="AG579" s="85">
        <v>45193</v>
      </c>
      <c r="AH579" s="82" t="s">
        <v>8311</v>
      </c>
      <c r="AI579" s="77" t="b">
        <v>0</v>
      </c>
      <c r="AJ579" s="77"/>
      <c r="AK579" s="77"/>
      <c r="AL579" s="77"/>
      <c r="AM579" s="77"/>
      <c r="AN579" s="77"/>
      <c r="AO579" s="77"/>
      <c r="AP579" s="77"/>
      <c r="AQ579" s="77" t="s">
        <v>10945</v>
      </c>
      <c r="AR579" s="77">
        <v>50016</v>
      </c>
      <c r="AS579" s="77"/>
      <c r="AT579" s="77"/>
      <c r="AU579" s="77"/>
      <c r="AV579" s="80" t="str">
        <f>HYPERLINK("https://pbs.twimg.com/ext_tw_video_thumb/1704183317057187840/pu/img/RmQmoZ94qlmqudda.jpg")</f>
        <v>https://pbs.twimg.com/ext_tw_video_thumb/1704183317057187840/pu/img/RmQmoZ94qlmqudda.jpg</v>
      </c>
      <c r="AW579" s="82" t="s">
        <v>12277</v>
      </c>
      <c r="AX579" s="82" t="s">
        <v>12277</v>
      </c>
      <c r="AY579" s="77"/>
      <c r="AZ579" s="82" t="s">
        <v>15984</v>
      </c>
      <c r="BA579" s="82" t="s">
        <v>15984</v>
      </c>
      <c r="BB579" s="82" t="s">
        <v>15984</v>
      </c>
      <c r="BC579" s="82" t="s">
        <v>12277</v>
      </c>
      <c r="BD579" s="82" t="s">
        <v>15933</v>
      </c>
      <c r="BE579" s="77"/>
      <c r="BF579" s="77"/>
      <c r="BG579" s="77"/>
      <c r="BH579" s="77"/>
      <c r="BI579" s="77"/>
    </row>
    <row r="580" spans="1:61" x14ac:dyDescent="0.25">
      <c r="A580" s="62" t="s">
        <v>260</v>
      </c>
      <c r="B580" s="62" t="s">
        <v>260</v>
      </c>
      <c r="C580" s="63"/>
      <c r="D580" s="64"/>
      <c r="E580" s="65"/>
      <c r="F580" s="66"/>
      <c r="G580" s="63"/>
      <c r="H580" s="67"/>
      <c r="I580" s="68"/>
      <c r="J580" s="68"/>
      <c r="K580" s="32"/>
      <c r="L580" s="75">
        <v>580</v>
      </c>
      <c r="M580" s="75"/>
      <c r="N580" s="70"/>
      <c r="O580" s="77" t="s">
        <v>179</v>
      </c>
      <c r="P580" s="79">
        <v>45158.541689814818</v>
      </c>
      <c r="Q580" s="77" t="s">
        <v>1450</v>
      </c>
      <c r="R580" s="77">
        <v>1</v>
      </c>
      <c r="S580" s="77">
        <v>6</v>
      </c>
      <c r="T580" s="77">
        <v>7</v>
      </c>
      <c r="U580" s="77">
        <v>2</v>
      </c>
      <c r="V580" s="77">
        <v>8420</v>
      </c>
      <c r="W580" s="82" t="s">
        <v>5121</v>
      </c>
      <c r="X580" s="77"/>
      <c r="Y580" s="77"/>
      <c r="Z580" s="77"/>
      <c r="AA580" s="77" t="s">
        <v>6974</v>
      </c>
      <c r="AB580" s="77" t="s">
        <v>7742</v>
      </c>
      <c r="AC580" s="82" t="s">
        <v>7750</v>
      </c>
      <c r="AD580" s="77" t="s">
        <v>7788</v>
      </c>
      <c r="AE580" s="80" t="str">
        <f>HYPERLINK("https://twitter.com/tcinvestimentos/status/1693246513538076955")</f>
        <v>https://twitter.com/tcinvestimentos/status/1693246513538076955</v>
      </c>
      <c r="AF580" s="79">
        <v>45158.541689814818</v>
      </c>
      <c r="AG580" s="85">
        <v>45158</v>
      </c>
      <c r="AH580" s="82" t="s">
        <v>8312</v>
      </c>
      <c r="AI580" s="77" t="b">
        <v>0</v>
      </c>
      <c r="AJ580" s="77"/>
      <c r="AK580" s="77"/>
      <c r="AL580" s="77"/>
      <c r="AM580" s="77"/>
      <c r="AN580" s="77"/>
      <c r="AO580" s="77"/>
      <c r="AP580" s="77"/>
      <c r="AQ580" s="77" t="s">
        <v>10946</v>
      </c>
      <c r="AR580" s="77"/>
      <c r="AS580" s="77"/>
      <c r="AT580" s="77"/>
      <c r="AU580" s="77"/>
      <c r="AV580" s="80" t="str">
        <f>HYPERLINK("https://pbs.twimg.com/media/F31SYCnXsAAy_4z.jpg")</f>
        <v>https://pbs.twimg.com/media/F31SYCnXsAAy_4z.jpg</v>
      </c>
      <c r="AW580" s="82" t="s">
        <v>12278</v>
      </c>
      <c r="AX580" s="82" t="s">
        <v>12278</v>
      </c>
      <c r="AY580" s="77"/>
      <c r="AZ580" s="82" t="s">
        <v>15984</v>
      </c>
      <c r="BA580" s="82" t="s">
        <v>15984</v>
      </c>
      <c r="BB580" s="82" t="s">
        <v>15984</v>
      </c>
      <c r="BC580" s="82" t="s">
        <v>12278</v>
      </c>
      <c r="BD580" s="82" t="s">
        <v>15933</v>
      </c>
      <c r="BE580" s="77"/>
      <c r="BF580" s="77"/>
      <c r="BG580" s="77"/>
      <c r="BH580" s="77"/>
      <c r="BI580" s="77"/>
    </row>
    <row r="581" spans="1:61" x14ac:dyDescent="0.25">
      <c r="A581" s="62" t="s">
        <v>260</v>
      </c>
      <c r="B581" s="62" t="s">
        <v>260</v>
      </c>
      <c r="C581" s="63"/>
      <c r="D581" s="64"/>
      <c r="E581" s="65"/>
      <c r="F581" s="66"/>
      <c r="G581" s="63"/>
      <c r="H581" s="67"/>
      <c r="I581" s="68"/>
      <c r="J581" s="68"/>
      <c r="K581" s="32"/>
      <c r="L581" s="75">
        <v>581</v>
      </c>
      <c r="M581" s="75"/>
      <c r="N581" s="70"/>
      <c r="O581" s="77" t="s">
        <v>179</v>
      </c>
      <c r="P581" s="79">
        <v>45140.917361111111</v>
      </c>
      <c r="Q581" s="77" t="s">
        <v>1451</v>
      </c>
      <c r="R581" s="77">
        <v>0</v>
      </c>
      <c r="S581" s="77">
        <v>1</v>
      </c>
      <c r="T581" s="77">
        <v>0</v>
      </c>
      <c r="U581" s="77">
        <v>0</v>
      </c>
      <c r="V581" s="77">
        <v>1669</v>
      </c>
      <c r="W581" s="82" t="s">
        <v>5128</v>
      </c>
      <c r="X581" s="77"/>
      <c r="Y581" s="77"/>
      <c r="Z581" s="77"/>
      <c r="AA581" s="77" t="s">
        <v>6975</v>
      </c>
      <c r="AB581" s="77" t="s">
        <v>7743</v>
      </c>
      <c r="AC581" s="82" t="s">
        <v>7750</v>
      </c>
      <c r="AD581" s="77" t="s">
        <v>7788</v>
      </c>
      <c r="AE581" s="80" t="str">
        <f>HYPERLINK("https://twitter.com/tcinvestimentos/status/1686859670068015105")</f>
        <v>https://twitter.com/tcinvestimentos/status/1686859670068015105</v>
      </c>
      <c r="AF581" s="79">
        <v>45140.917361111111</v>
      </c>
      <c r="AG581" s="85">
        <v>45140</v>
      </c>
      <c r="AH581" s="82" t="s">
        <v>8313</v>
      </c>
      <c r="AI581" s="77" t="b">
        <v>0</v>
      </c>
      <c r="AJ581" s="77"/>
      <c r="AK581" s="77"/>
      <c r="AL581" s="77"/>
      <c r="AM581" s="77"/>
      <c r="AN581" s="77"/>
      <c r="AO581" s="77"/>
      <c r="AP581" s="77"/>
      <c r="AQ581" s="77" t="s">
        <v>10947</v>
      </c>
      <c r="AR581" s="77">
        <v>58124</v>
      </c>
      <c r="AS581" s="77"/>
      <c r="AT581" s="77"/>
      <c r="AU581" s="77"/>
      <c r="AV581" s="80" t="str">
        <f>HYPERLINK("https://pbs.twimg.com/ext_tw_video_thumb/1686074502948536337/pu/img/hja_x7KfZFvu3lcR.jpg")</f>
        <v>https://pbs.twimg.com/ext_tw_video_thumb/1686074502948536337/pu/img/hja_x7KfZFvu3lcR.jpg</v>
      </c>
      <c r="AW581" s="82" t="s">
        <v>12279</v>
      </c>
      <c r="AX581" s="82" t="s">
        <v>12279</v>
      </c>
      <c r="AY581" s="77"/>
      <c r="AZ581" s="82" t="s">
        <v>15984</v>
      </c>
      <c r="BA581" s="82" t="s">
        <v>15984</v>
      </c>
      <c r="BB581" s="82" t="s">
        <v>15984</v>
      </c>
      <c r="BC581" s="82" t="s">
        <v>12279</v>
      </c>
      <c r="BD581" s="82" t="s">
        <v>15933</v>
      </c>
      <c r="BE581" s="77"/>
      <c r="BF581" s="77"/>
      <c r="BG581" s="77"/>
      <c r="BH581" s="77"/>
      <c r="BI581" s="77"/>
    </row>
    <row r="582" spans="1:61" x14ac:dyDescent="0.25">
      <c r="A582" s="62" t="s">
        <v>260</v>
      </c>
      <c r="B582" s="62" t="s">
        <v>260</v>
      </c>
      <c r="C582" s="63"/>
      <c r="D582" s="64"/>
      <c r="E582" s="65"/>
      <c r="F582" s="66"/>
      <c r="G582" s="63"/>
      <c r="H582" s="67"/>
      <c r="I582" s="68"/>
      <c r="J582" s="68"/>
      <c r="K582" s="32"/>
      <c r="L582" s="75">
        <v>582</v>
      </c>
      <c r="M582" s="75"/>
      <c r="N582" s="70"/>
      <c r="O582" s="77" t="s">
        <v>179</v>
      </c>
      <c r="P582" s="79">
        <v>45120.9375</v>
      </c>
      <c r="Q582" s="77" t="s">
        <v>1452</v>
      </c>
      <c r="R582" s="77">
        <v>1</v>
      </c>
      <c r="S582" s="77">
        <v>4</v>
      </c>
      <c r="T582" s="77">
        <v>0</v>
      </c>
      <c r="U582" s="77">
        <v>0</v>
      </c>
      <c r="V582" s="77">
        <v>2168</v>
      </c>
      <c r="W582" s="82" t="s">
        <v>5129</v>
      </c>
      <c r="X582" s="77"/>
      <c r="Y582" s="77"/>
      <c r="Z582" s="77"/>
      <c r="AA582" s="77" t="s">
        <v>6976</v>
      </c>
      <c r="AB582" s="77" t="s">
        <v>7743</v>
      </c>
      <c r="AC582" s="82" t="s">
        <v>7750</v>
      </c>
      <c r="AD582" s="77" t="s">
        <v>7788</v>
      </c>
      <c r="AE582" s="80" t="str">
        <f>HYPERLINK("https://twitter.com/tcinvestimentos/status/1679619211788947457")</f>
        <v>https://twitter.com/tcinvestimentos/status/1679619211788947457</v>
      </c>
      <c r="AF582" s="79">
        <v>45120.9375</v>
      </c>
      <c r="AG582" s="85">
        <v>45120</v>
      </c>
      <c r="AH582" s="82" t="s">
        <v>7926</v>
      </c>
      <c r="AI582" s="77" t="b">
        <v>0</v>
      </c>
      <c r="AJ582" s="77"/>
      <c r="AK582" s="77"/>
      <c r="AL582" s="77"/>
      <c r="AM582" s="77"/>
      <c r="AN582" s="77"/>
      <c r="AO582" s="77"/>
      <c r="AP582" s="77"/>
      <c r="AQ582" s="77" t="s">
        <v>10948</v>
      </c>
      <c r="AR582" s="77">
        <v>57194</v>
      </c>
      <c r="AS582" s="77"/>
      <c r="AT582" s="77"/>
      <c r="AU582" s="77"/>
      <c r="AV582" s="80" t="str">
        <f>HYPERLINK("https://pbs.twimg.com/ext_tw_video_thumb/1678766009162039296/pu/img/0JmZnXWKMEmE5Rr9.jpg")</f>
        <v>https://pbs.twimg.com/ext_tw_video_thumb/1678766009162039296/pu/img/0JmZnXWKMEmE5Rr9.jpg</v>
      </c>
      <c r="AW582" s="82" t="s">
        <v>12280</v>
      </c>
      <c r="AX582" s="82" t="s">
        <v>12280</v>
      </c>
      <c r="AY582" s="77"/>
      <c r="AZ582" s="82" t="s">
        <v>15984</v>
      </c>
      <c r="BA582" s="82" t="s">
        <v>15984</v>
      </c>
      <c r="BB582" s="82" t="s">
        <v>15984</v>
      </c>
      <c r="BC582" s="82" t="s">
        <v>12280</v>
      </c>
      <c r="BD582" s="82" t="s">
        <v>15933</v>
      </c>
      <c r="BE582" s="77"/>
      <c r="BF582" s="77"/>
      <c r="BG582" s="77"/>
      <c r="BH582" s="77"/>
      <c r="BI582" s="77"/>
    </row>
    <row r="583" spans="1:61" x14ac:dyDescent="0.25">
      <c r="A583" s="62" t="s">
        <v>402</v>
      </c>
      <c r="B583" s="62" t="s">
        <v>260</v>
      </c>
      <c r="C583" s="63"/>
      <c r="D583" s="64"/>
      <c r="E583" s="65"/>
      <c r="F583" s="66"/>
      <c r="G583" s="63"/>
      <c r="H583" s="67"/>
      <c r="I583" s="68"/>
      <c r="J583" s="68"/>
      <c r="K583" s="32"/>
      <c r="L583" s="75">
        <v>583</v>
      </c>
      <c r="M583" s="75"/>
      <c r="N583" s="70"/>
      <c r="O583" s="77" t="s">
        <v>897</v>
      </c>
      <c r="P583" s="79">
        <v>45194.050983796296</v>
      </c>
      <c r="Q583" s="77" t="s">
        <v>1453</v>
      </c>
      <c r="R583" s="77">
        <v>1</v>
      </c>
      <c r="S583" s="77">
        <v>0</v>
      </c>
      <c r="T583" s="77">
        <v>0</v>
      </c>
      <c r="U583" s="77">
        <v>0</v>
      </c>
      <c r="V583" s="77"/>
      <c r="W583" s="82" t="s">
        <v>5130</v>
      </c>
      <c r="X583" s="77"/>
      <c r="Y583" s="77"/>
      <c r="Z583" s="77" t="s">
        <v>260</v>
      </c>
      <c r="AA583" s="77"/>
      <c r="AB583" s="77"/>
      <c r="AC583" s="82" t="s">
        <v>7752</v>
      </c>
      <c r="AD583" s="77" t="s">
        <v>7788</v>
      </c>
      <c r="AE583" s="80" t="str">
        <f>HYPERLINK("https://twitter.com/guicunhatc/status/1706114651795136848")</f>
        <v>https://twitter.com/guicunhatc/status/1706114651795136848</v>
      </c>
      <c r="AF583" s="79">
        <v>45194.050983796296</v>
      </c>
      <c r="AG583" s="85">
        <v>45194</v>
      </c>
      <c r="AH583" s="82" t="s">
        <v>8314</v>
      </c>
      <c r="AI583" s="77"/>
      <c r="AJ583" s="77"/>
      <c r="AK583" s="77"/>
      <c r="AL583" s="77"/>
      <c r="AM583" s="77"/>
      <c r="AN583" s="77"/>
      <c r="AO583" s="77"/>
      <c r="AP583" s="77"/>
      <c r="AQ583" s="77"/>
      <c r="AR583" s="77"/>
      <c r="AS583" s="77"/>
      <c r="AT583" s="77"/>
      <c r="AU583" s="77"/>
      <c r="AV583" s="80" t="str">
        <f>HYPERLINK("https://pbs.twimg.com/profile_images/1562089790299856896/CnjH0LVG_normal.jpg")</f>
        <v>https://pbs.twimg.com/profile_images/1562089790299856896/CnjH0LVG_normal.jpg</v>
      </c>
      <c r="AW583" s="82" t="s">
        <v>12281</v>
      </c>
      <c r="AX583" s="82" t="s">
        <v>12281</v>
      </c>
      <c r="AY583" s="77"/>
      <c r="AZ583" s="82" t="s">
        <v>15984</v>
      </c>
      <c r="BA583" s="82" t="s">
        <v>15984</v>
      </c>
      <c r="BB583" s="82" t="s">
        <v>12277</v>
      </c>
      <c r="BC583" s="82" t="s">
        <v>12277</v>
      </c>
      <c r="BD583" s="82" t="s">
        <v>16209</v>
      </c>
      <c r="BE583" s="77"/>
      <c r="BF583" s="77"/>
      <c r="BG583" s="77"/>
      <c r="BH583" s="77"/>
      <c r="BI583" s="77"/>
    </row>
    <row r="584" spans="1:61" x14ac:dyDescent="0.25">
      <c r="A584" s="62" t="s">
        <v>403</v>
      </c>
      <c r="B584" s="62" t="s">
        <v>403</v>
      </c>
      <c r="C584" s="63"/>
      <c r="D584" s="64"/>
      <c r="E584" s="65"/>
      <c r="F584" s="66"/>
      <c r="G584" s="63"/>
      <c r="H584" s="67"/>
      <c r="I584" s="68"/>
      <c r="J584" s="68"/>
      <c r="K584" s="32"/>
      <c r="L584" s="75">
        <v>584</v>
      </c>
      <c r="M584" s="75"/>
      <c r="N584" s="70"/>
      <c r="O584" s="77" t="s">
        <v>179</v>
      </c>
      <c r="P584" s="79">
        <v>45127.78670138889</v>
      </c>
      <c r="Q584" s="77" t="s">
        <v>1454</v>
      </c>
      <c r="R584" s="77">
        <v>0</v>
      </c>
      <c r="S584" s="77">
        <v>0</v>
      </c>
      <c r="T584" s="77">
        <v>0</v>
      </c>
      <c r="U584" s="77">
        <v>0</v>
      </c>
      <c r="V584" s="77">
        <v>3</v>
      </c>
      <c r="W584" s="82" t="s">
        <v>5131</v>
      </c>
      <c r="X584" s="77"/>
      <c r="Y584" s="77"/>
      <c r="Z584" s="77"/>
      <c r="AA584" s="77"/>
      <c r="AB584" s="77"/>
      <c r="AC584" s="82" t="s">
        <v>7752</v>
      </c>
      <c r="AD584" s="77" t="s">
        <v>7788</v>
      </c>
      <c r="AE584" s="80" t="str">
        <f>HYPERLINK("https://twitter.com/m_milionarios/status/1682101278543953925")</f>
        <v>https://twitter.com/m_milionarios/status/1682101278543953925</v>
      </c>
      <c r="AF584" s="79">
        <v>45127.78670138889</v>
      </c>
      <c r="AG584" s="85">
        <v>45127</v>
      </c>
      <c r="AH584" s="82" t="s">
        <v>8315</v>
      </c>
      <c r="AI584" s="77"/>
      <c r="AJ584" s="77"/>
      <c r="AK584" s="77"/>
      <c r="AL584" s="77"/>
      <c r="AM584" s="77"/>
      <c r="AN584" s="77"/>
      <c r="AO584" s="77"/>
      <c r="AP584" s="77"/>
      <c r="AQ584" s="77"/>
      <c r="AR584" s="77"/>
      <c r="AS584" s="77"/>
      <c r="AT584" s="77"/>
      <c r="AU584" s="77"/>
      <c r="AV584" s="80" t="str">
        <f>HYPERLINK("https://pbs.twimg.com/profile_images/1681891735759142913/zi-CLzLc_normal.jpg")</f>
        <v>https://pbs.twimg.com/profile_images/1681891735759142913/zi-CLzLc_normal.jpg</v>
      </c>
      <c r="AW584" s="82" t="s">
        <v>12282</v>
      </c>
      <c r="AX584" s="82" t="s">
        <v>12282</v>
      </c>
      <c r="AY584" s="77"/>
      <c r="AZ584" s="82" t="s">
        <v>15984</v>
      </c>
      <c r="BA584" s="82" t="s">
        <v>15984</v>
      </c>
      <c r="BB584" s="82" t="s">
        <v>15984</v>
      </c>
      <c r="BC584" s="82" t="s">
        <v>12282</v>
      </c>
      <c r="BD584" s="82" t="s">
        <v>16210</v>
      </c>
      <c r="BE584" s="77"/>
      <c r="BF584" s="77"/>
      <c r="BG584" s="77"/>
      <c r="BH584" s="77"/>
      <c r="BI584" s="77"/>
    </row>
    <row r="585" spans="1:61" x14ac:dyDescent="0.25">
      <c r="A585" s="62" t="s">
        <v>404</v>
      </c>
      <c r="B585" s="62" t="s">
        <v>782</v>
      </c>
      <c r="C585" s="63"/>
      <c r="D585" s="64"/>
      <c r="E585" s="65"/>
      <c r="F585" s="66"/>
      <c r="G585" s="63"/>
      <c r="H585" s="67"/>
      <c r="I585" s="68"/>
      <c r="J585" s="68"/>
      <c r="K585" s="32"/>
      <c r="L585" s="75">
        <v>585</v>
      </c>
      <c r="M585" s="75"/>
      <c r="N585" s="70"/>
      <c r="O585" s="77" t="s">
        <v>895</v>
      </c>
      <c r="P585" s="79">
        <v>45153.797719907408</v>
      </c>
      <c r="Q585" s="77" t="s">
        <v>1455</v>
      </c>
      <c r="R585" s="77">
        <v>1</v>
      </c>
      <c r="S585" s="77">
        <v>1</v>
      </c>
      <c r="T585" s="77">
        <v>0</v>
      </c>
      <c r="U585" s="77">
        <v>0</v>
      </c>
      <c r="V585" s="77">
        <v>29</v>
      </c>
      <c r="W585" s="82" t="s">
        <v>4821</v>
      </c>
      <c r="X585" s="80" t="str">
        <f>HYPERLINK("https://norteinforma.com.ar/se-tomaron-medidas-para-dar-previsibilidad/")</f>
        <v>https://norteinforma.com.ar/se-tomaron-medidas-para-dar-previsibilidad/</v>
      </c>
      <c r="Y585" s="77" t="s">
        <v>6509</v>
      </c>
      <c r="Z585" s="77" t="s">
        <v>782</v>
      </c>
      <c r="AA585" s="77" t="s">
        <v>6977</v>
      </c>
      <c r="AB585" s="77" t="s">
        <v>7742</v>
      </c>
      <c r="AC585" s="82" t="s">
        <v>7750</v>
      </c>
      <c r="AD585" s="77" t="s">
        <v>7790</v>
      </c>
      <c r="AE585" s="80" t="str">
        <f>HYPERLINK("https://twitter.com/norte_informa/status/1691527355779428354")</f>
        <v>https://twitter.com/norte_informa/status/1691527355779428354</v>
      </c>
      <c r="AF585" s="79">
        <v>45153.797719907408</v>
      </c>
      <c r="AG585" s="85">
        <v>45153</v>
      </c>
      <c r="AH585" s="82" t="s">
        <v>8316</v>
      </c>
      <c r="AI585" s="77" t="b">
        <v>0</v>
      </c>
      <c r="AJ585" s="77"/>
      <c r="AK585" s="77"/>
      <c r="AL585" s="77"/>
      <c r="AM585" s="77"/>
      <c r="AN585" s="77"/>
      <c r="AO585" s="77"/>
      <c r="AP585" s="77"/>
      <c r="AQ585" s="77" t="s">
        <v>10949</v>
      </c>
      <c r="AR585" s="77"/>
      <c r="AS585" s="77"/>
      <c r="AT585" s="77"/>
      <c r="AU585" s="77"/>
      <c r="AV585" s="80" t="str">
        <f>HYPERLINK("https://pbs.twimg.com/media/F3mDI94XoAIDmhX.jpg")</f>
        <v>https://pbs.twimg.com/media/F3mDI94XoAIDmhX.jpg</v>
      </c>
      <c r="AW585" s="82" t="s">
        <v>12283</v>
      </c>
      <c r="AX585" s="82" t="s">
        <v>12283</v>
      </c>
      <c r="AY585" s="77"/>
      <c r="AZ585" s="82" t="s">
        <v>15984</v>
      </c>
      <c r="BA585" s="82" t="s">
        <v>15984</v>
      </c>
      <c r="BB585" s="82" t="s">
        <v>15984</v>
      </c>
      <c r="BC585" s="82" t="s">
        <v>12283</v>
      </c>
      <c r="BD585" s="82" t="s">
        <v>16211</v>
      </c>
      <c r="BE585" s="77"/>
      <c r="BF585" s="77"/>
      <c r="BG585" s="77"/>
      <c r="BH585" s="77"/>
      <c r="BI585" s="77"/>
    </row>
    <row r="586" spans="1:61" x14ac:dyDescent="0.25">
      <c r="A586" s="62" t="s">
        <v>405</v>
      </c>
      <c r="B586" s="62" t="s">
        <v>405</v>
      </c>
      <c r="C586" s="63"/>
      <c r="D586" s="64"/>
      <c r="E586" s="65"/>
      <c r="F586" s="66"/>
      <c r="G586" s="63"/>
      <c r="H586" s="67"/>
      <c r="I586" s="68"/>
      <c r="J586" s="68"/>
      <c r="K586" s="32"/>
      <c r="L586" s="75">
        <v>586</v>
      </c>
      <c r="M586" s="75"/>
      <c r="N586" s="70"/>
      <c r="O586" s="77" t="s">
        <v>898</v>
      </c>
      <c r="P586" s="79">
        <v>45132.550821759258</v>
      </c>
      <c r="Q586" s="77" t="s">
        <v>1456</v>
      </c>
      <c r="R586" s="77">
        <v>0</v>
      </c>
      <c r="S586" s="77">
        <v>0</v>
      </c>
      <c r="T586" s="77">
        <v>0</v>
      </c>
      <c r="U586" s="77">
        <v>0</v>
      </c>
      <c r="V586" s="77">
        <v>105</v>
      </c>
      <c r="W586" s="82" t="s">
        <v>5132</v>
      </c>
      <c r="X586" s="77"/>
      <c r="Y586" s="77"/>
      <c r="Z586" s="77"/>
      <c r="AA586" s="77"/>
      <c r="AB586" s="77"/>
      <c r="AC586" s="82" t="s">
        <v>7750</v>
      </c>
      <c r="AD586" s="77" t="s">
        <v>7795</v>
      </c>
      <c r="AE586" s="80" t="str">
        <f>HYPERLINK("https://twitter.com/bingx_italy/status/1683827738166132736")</f>
        <v>https://twitter.com/bingx_italy/status/1683827738166132736</v>
      </c>
      <c r="AF586" s="79">
        <v>45132.550821759258</v>
      </c>
      <c r="AG586" s="85">
        <v>45132</v>
      </c>
      <c r="AH586" s="82" t="s">
        <v>8317</v>
      </c>
      <c r="AI586" s="77"/>
      <c r="AJ586" s="77"/>
      <c r="AK586" s="77"/>
      <c r="AL586" s="77"/>
      <c r="AM586" s="77"/>
      <c r="AN586" s="77"/>
      <c r="AO586" s="77"/>
      <c r="AP586" s="77"/>
      <c r="AQ586" s="77"/>
      <c r="AR586" s="77"/>
      <c r="AS586" s="77"/>
      <c r="AT586" s="77"/>
      <c r="AU586" s="77"/>
      <c r="AV586" s="80" t="str">
        <f>HYPERLINK("https://pbs.twimg.com/profile_images/1696491014452625409/CuW1JcbJ_normal.jpg")</f>
        <v>https://pbs.twimg.com/profile_images/1696491014452625409/CuW1JcbJ_normal.jpg</v>
      </c>
      <c r="AW586" s="82" t="s">
        <v>12284</v>
      </c>
      <c r="AX586" s="82" t="s">
        <v>15770</v>
      </c>
      <c r="AY586" s="82" t="s">
        <v>15934</v>
      </c>
      <c r="AZ586" s="82" t="s">
        <v>15770</v>
      </c>
      <c r="BA586" s="82" t="s">
        <v>15984</v>
      </c>
      <c r="BB586" s="82" t="s">
        <v>15984</v>
      </c>
      <c r="BC586" s="82" t="s">
        <v>15770</v>
      </c>
      <c r="BD586" s="82" t="s">
        <v>15934</v>
      </c>
      <c r="BE586" s="77"/>
      <c r="BF586" s="77"/>
      <c r="BG586" s="77"/>
      <c r="BH586" s="77"/>
      <c r="BI586" s="77"/>
    </row>
    <row r="587" spans="1:61" x14ac:dyDescent="0.25">
      <c r="A587" s="62" t="s">
        <v>406</v>
      </c>
      <c r="B587" s="62" t="s">
        <v>406</v>
      </c>
      <c r="C587" s="63"/>
      <c r="D587" s="64"/>
      <c r="E587" s="65"/>
      <c r="F587" s="66"/>
      <c r="G587" s="63"/>
      <c r="H587" s="67"/>
      <c r="I587" s="68"/>
      <c r="J587" s="68"/>
      <c r="K587" s="32"/>
      <c r="L587" s="75">
        <v>587</v>
      </c>
      <c r="M587" s="75"/>
      <c r="N587" s="70"/>
      <c r="O587" s="77" t="s">
        <v>179</v>
      </c>
      <c r="P587" s="79">
        <v>45167.620370370372</v>
      </c>
      <c r="Q587" s="77" t="s">
        <v>1457</v>
      </c>
      <c r="R587" s="77">
        <v>0</v>
      </c>
      <c r="S587" s="77">
        <v>0</v>
      </c>
      <c r="T587" s="77">
        <v>0</v>
      </c>
      <c r="U587" s="77">
        <v>0</v>
      </c>
      <c r="V587" s="77">
        <v>46</v>
      </c>
      <c r="W587" s="82" t="s">
        <v>5133</v>
      </c>
      <c r="X587" s="80" t="str">
        <f>HYPERLINK("https://lnkd.in/dqNsZa4i")</f>
        <v>https://lnkd.in/dqNsZa4i</v>
      </c>
      <c r="Y587" s="77" t="s">
        <v>6510</v>
      </c>
      <c r="Z587" s="77"/>
      <c r="AA587" s="77" t="s">
        <v>6978</v>
      </c>
      <c r="AB587" s="77" t="s">
        <v>7742</v>
      </c>
      <c r="AC587" s="82" t="s">
        <v>7763</v>
      </c>
      <c r="AD587" s="77" t="s">
        <v>7788</v>
      </c>
      <c r="AE587" s="80" t="str">
        <f>HYPERLINK("https://twitter.com/b18editora/status/1696536519337714020")</f>
        <v>https://twitter.com/b18editora/status/1696536519337714020</v>
      </c>
      <c r="AF587" s="79">
        <v>45167.620370370372</v>
      </c>
      <c r="AG587" s="85">
        <v>45167</v>
      </c>
      <c r="AH587" s="82" t="s">
        <v>8318</v>
      </c>
      <c r="AI587" s="77" t="b">
        <v>0</v>
      </c>
      <c r="AJ587" s="77"/>
      <c r="AK587" s="77"/>
      <c r="AL587" s="77"/>
      <c r="AM587" s="77"/>
      <c r="AN587" s="77"/>
      <c r="AO587" s="77"/>
      <c r="AP587" s="77"/>
      <c r="AQ587" s="77" t="s">
        <v>10950</v>
      </c>
      <c r="AR587" s="77"/>
      <c r="AS587" s="77"/>
      <c r="AT587" s="77"/>
      <c r="AU587" s="77"/>
      <c r="AV587" s="80" t="str">
        <f>HYPERLINK("https://pbs.twimg.com/media/F4tO-V8bUAAhyfF.jpg")</f>
        <v>https://pbs.twimg.com/media/F4tO-V8bUAAhyfF.jpg</v>
      </c>
      <c r="AW587" s="82" t="s">
        <v>12285</v>
      </c>
      <c r="AX587" s="82" t="s">
        <v>12285</v>
      </c>
      <c r="AY587" s="77"/>
      <c r="AZ587" s="82" t="s">
        <v>15984</v>
      </c>
      <c r="BA587" s="82" t="s">
        <v>15984</v>
      </c>
      <c r="BB587" s="82" t="s">
        <v>15984</v>
      </c>
      <c r="BC587" s="82" t="s">
        <v>12285</v>
      </c>
      <c r="BD587" s="82" t="s">
        <v>16212</v>
      </c>
      <c r="BE587" s="77"/>
      <c r="BF587" s="77"/>
      <c r="BG587" s="77"/>
      <c r="BH587" s="77"/>
      <c r="BI587" s="77"/>
    </row>
    <row r="588" spans="1:61" x14ac:dyDescent="0.25">
      <c r="A588" s="62" t="s">
        <v>406</v>
      </c>
      <c r="B588" s="62" t="s">
        <v>406</v>
      </c>
      <c r="C588" s="63"/>
      <c r="D588" s="64"/>
      <c r="E588" s="65"/>
      <c r="F588" s="66"/>
      <c r="G588" s="63"/>
      <c r="H588" s="67"/>
      <c r="I588" s="68"/>
      <c r="J588" s="68"/>
      <c r="K588" s="32"/>
      <c r="L588" s="75">
        <v>588</v>
      </c>
      <c r="M588" s="75"/>
      <c r="N588" s="70"/>
      <c r="O588" s="77" t="s">
        <v>179</v>
      </c>
      <c r="P588" s="79">
        <v>45126.596967592595</v>
      </c>
      <c r="Q588" s="77" t="s">
        <v>1458</v>
      </c>
      <c r="R588" s="77">
        <v>0</v>
      </c>
      <c r="S588" s="77">
        <v>0</v>
      </c>
      <c r="T588" s="77">
        <v>0</v>
      </c>
      <c r="U588" s="77">
        <v>0</v>
      </c>
      <c r="V588" s="77">
        <v>9</v>
      </c>
      <c r="W588" s="82" t="s">
        <v>5134</v>
      </c>
      <c r="X588" s="80" t="str">
        <f>HYPERLINK("https://lnkd.in/d3SSJ2y6")</f>
        <v>https://lnkd.in/d3SSJ2y6</v>
      </c>
      <c r="Y588" s="77" t="s">
        <v>6510</v>
      </c>
      <c r="Z588" s="77"/>
      <c r="AA588" s="77" t="s">
        <v>6979</v>
      </c>
      <c r="AB588" s="77" t="s">
        <v>7742</v>
      </c>
      <c r="AC588" s="82" t="s">
        <v>7763</v>
      </c>
      <c r="AD588" s="77" t="s">
        <v>7788</v>
      </c>
      <c r="AE588" s="80" t="str">
        <f>HYPERLINK("https://twitter.com/b18editora/status/1681670134086397952")</f>
        <v>https://twitter.com/b18editora/status/1681670134086397952</v>
      </c>
      <c r="AF588" s="79">
        <v>45126.596967592595</v>
      </c>
      <c r="AG588" s="85">
        <v>45126</v>
      </c>
      <c r="AH588" s="82" t="s">
        <v>8319</v>
      </c>
      <c r="AI588" s="77" t="b">
        <v>0</v>
      </c>
      <c r="AJ588" s="77"/>
      <c r="AK588" s="77"/>
      <c r="AL588" s="77"/>
      <c r="AM588" s="77"/>
      <c r="AN588" s="77"/>
      <c r="AO588" s="77"/>
      <c r="AP588" s="77"/>
      <c r="AQ588" s="77" t="s">
        <v>10951</v>
      </c>
      <c r="AR588" s="77"/>
      <c r="AS588" s="77"/>
      <c r="AT588" s="77"/>
      <c r="AU588" s="77"/>
      <c r="AV588" s="80" t="str">
        <f>HYPERLINK("https://pbs.twimg.com/media/F1Z-Ex3XgAABGk0.jpg")</f>
        <v>https://pbs.twimg.com/media/F1Z-Ex3XgAABGk0.jpg</v>
      </c>
      <c r="AW588" s="82" t="s">
        <v>12286</v>
      </c>
      <c r="AX588" s="82" t="s">
        <v>12286</v>
      </c>
      <c r="AY588" s="77"/>
      <c r="AZ588" s="82" t="s">
        <v>15984</v>
      </c>
      <c r="BA588" s="82" t="s">
        <v>15984</v>
      </c>
      <c r="BB588" s="82" t="s">
        <v>15984</v>
      </c>
      <c r="BC588" s="82" t="s">
        <v>12286</v>
      </c>
      <c r="BD588" s="82" t="s">
        <v>16212</v>
      </c>
      <c r="BE588" s="77"/>
      <c r="BF588" s="77"/>
      <c r="BG588" s="77"/>
      <c r="BH588" s="77"/>
      <c r="BI588" s="77"/>
    </row>
    <row r="589" spans="1:61" x14ac:dyDescent="0.25">
      <c r="A589" s="62" t="s">
        <v>406</v>
      </c>
      <c r="B589" s="62" t="s">
        <v>406</v>
      </c>
      <c r="C589" s="63"/>
      <c r="D589" s="64"/>
      <c r="E589" s="65"/>
      <c r="F589" s="66"/>
      <c r="G589" s="63"/>
      <c r="H589" s="67"/>
      <c r="I589" s="68"/>
      <c r="J589" s="68"/>
      <c r="K589" s="32"/>
      <c r="L589" s="75">
        <v>589</v>
      </c>
      <c r="M589" s="75"/>
      <c r="N589" s="70"/>
      <c r="O589" s="77" t="s">
        <v>179</v>
      </c>
      <c r="P589" s="79">
        <v>45168.498425925929</v>
      </c>
      <c r="Q589" s="77" t="s">
        <v>1459</v>
      </c>
      <c r="R589" s="77">
        <v>0</v>
      </c>
      <c r="S589" s="77">
        <v>0</v>
      </c>
      <c r="T589" s="77">
        <v>0</v>
      </c>
      <c r="U589" s="77">
        <v>0</v>
      </c>
      <c r="V589" s="77">
        <v>19</v>
      </c>
      <c r="W589" s="82" t="s">
        <v>5135</v>
      </c>
      <c r="X589" s="80" t="str">
        <f>HYPERLINK("https://lnkd.in/dqNsZa4i")</f>
        <v>https://lnkd.in/dqNsZa4i</v>
      </c>
      <c r="Y589" s="77" t="s">
        <v>6510</v>
      </c>
      <c r="Z589" s="77"/>
      <c r="AA589" s="77" t="s">
        <v>6980</v>
      </c>
      <c r="AB589" s="77" t="s">
        <v>7742</v>
      </c>
      <c r="AC589" s="82" t="s">
        <v>7763</v>
      </c>
      <c r="AD589" s="77" t="s">
        <v>7788</v>
      </c>
      <c r="AE589" s="80" t="str">
        <f>HYPERLINK("https://twitter.com/b18editora/status/1696854713008877619")</f>
        <v>https://twitter.com/b18editora/status/1696854713008877619</v>
      </c>
      <c r="AF589" s="79">
        <v>45168.498425925929</v>
      </c>
      <c r="AG589" s="85">
        <v>45168</v>
      </c>
      <c r="AH589" s="82" t="s">
        <v>8320</v>
      </c>
      <c r="AI589" s="77" t="b">
        <v>0</v>
      </c>
      <c r="AJ589" s="77"/>
      <c r="AK589" s="77"/>
      <c r="AL589" s="77"/>
      <c r="AM589" s="77"/>
      <c r="AN589" s="77"/>
      <c r="AO589" s="77"/>
      <c r="AP589" s="77"/>
      <c r="AQ589" s="77" t="s">
        <v>10952</v>
      </c>
      <c r="AR589" s="77"/>
      <c r="AS589" s="77"/>
      <c r="AT589" s="77"/>
      <c r="AU589" s="77"/>
      <c r="AV589" s="80" t="str">
        <f>HYPERLINK("https://pbs.twimg.com/media/F4xwXrcXsAAIYpH.jpg")</f>
        <v>https://pbs.twimg.com/media/F4xwXrcXsAAIYpH.jpg</v>
      </c>
      <c r="AW589" s="82" t="s">
        <v>12287</v>
      </c>
      <c r="AX589" s="82" t="s">
        <v>12287</v>
      </c>
      <c r="AY589" s="77"/>
      <c r="AZ589" s="82" t="s">
        <v>15984</v>
      </c>
      <c r="BA589" s="82" t="s">
        <v>15984</v>
      </c>
      <c r="BB589" s="82" t="s">
        <v>15984</v>
      </c>
      <c r="BC589" s="82" t="s">
        <v>12287</v>
      </c>
      <c r="BD589" s="82" t="s">
        <v>16212</v>
      </c>
      <c r="BE589" s="77"/>
      <c r="BF589" s="77"/>
      <c r="BG589" s="77"/>
      <c r="BH589" s="77"/>
      <c r="BI589" s="77"/>
    </row>
    <row r="590" spans="1:61" x14ac:dyDescent="0.25">
      <c r="A590" s="62" t="s">
        <v>406</v>
      </c>
      <c r="B590" s="62" t="s">
        <v>406</v>
      </c>
      <c r="C590" s="63"/>
      <c r="D590" s="64"/>
      <c r="E590" s="65"/>
      <c r="F590" s="66"/>
      <c r="G590" s="63"/>
      <c r="H590" s="67"/>
      <c r="I590" s="68"/>
      <c r="J590" s="68"/>
      <c r="K590" s="32"/>
      <c r="L590" s="75">
        <v>590</v>
      </c>
      <c r="M590" s="75"/>
      <c r="N590" s="70"/>
      <c r="O590" s="77" t="s">
        <v>179</v>
      </c>
      <c r="P590" s="79">
        <v>45131.722210648149</v>
      </c>
      <c r="Q590" s="77" t="s">
        <v>1460</v>
      </c>
      <c r="R590" s="77">
        <v>0</v>
      </c>
      <c r="S590" s="77">
        <v>0</v>
      </c>
      <c r="T590" s="77">
        <v>0</v>
      </c>
      <c r="U590" s="77">
        <v>0</v>
      </c>
      <c r="V590" s="77">
        <v>55</v>
      </c>
      <c r="W590" s="82" t="s">
        <v>5136</v>
      </c>
      <c r="X590" s="80" t="str">
        <f>HYPERLINK("https://lnkd.in/dA6rHsUp")</f>
        <v>https://lnkd.in/dA6rHsUp</v>
      </c>
      <c r="Y590" s="77" t="s">
        <v>6510</v>
      </c>
      <c r="Z590" s="77"/>
      <c r="AA590" s="77" t="s">
        <v>6981</v>
      </c>
      <c r="AB590" s="77" t="s">
        <v>7742</v>
      </c>
      <c r="AC590" s="82" t="s">
        <v>7763</v>
      </c>
      <c r="AD590" s="77" t="s">
        <v>7788</v>
      </c>
      <c r="AE590" s="80" t="str">
        <f>HYPERLINK("https://twitter.com/b18editora/status/1683527458639757317")</f>
        <v>https://twitter.com/b18editora/status/1683527458639757317</v>
      </c>
      <c r="AF590" s="79">
        <v>45131.722210648149</v>
      </c>
      <c r="AG590" s="85">
        <v>45131</v>
      </c>
      <c r="AH590" s="82" t="s">
        <v>8321</v>
      </c>
      <c r="AI590" s="77" t="b">
        <v>0</v>
      </c>
      <c r="AJ590" s="77"/>
      <c r="AK590" s="77"/>
      <c r="AL590" s="77"/>
      <c r="AM590" s="77"/>
      <c r="AN590" s="77"/>
      <c r="AO590" s="77"/>
      <c r="AP590" s="77"/>
      <c r="AQ590" s="77" t="s">
        <v>10953</v>
      </c>
      <c r="AR590" s="77"/>
      <c r="AS590" s="77"/>
      <c r="AT590" s="77"/>
      <c r="AU590" s="77"/>
      <c r="AV590" s="80" t="str">
        <f>HYPERLINK("https://pbs.twimg.com/media/F10XTTFWwAorpE8.jpg")</f>
        <v>https://pbs.twimg.com/media/F10XTTFWwAorpE8.jpg</v>
      </c>
      <c r="AW590" s="82" t="s">
        <v>12288</v>
      </c>
      <c r="AX590" s="82" t="s">
        <v>12288</v>
      </c>
      <c r="AY590" s="77"/>
      <c r="AZ590" s="82" t="s">
        <v>15984</v>
      </c>
      <c r="BA590" s="82" t="s">
        <v>15984</v>
      </c>
      <c r="BB590" s="82" t="s">
        <v>15984</v>
      </c>
      <c r="BC590" s="82" t="s">
        <v>12288</v>
      </c>
      <c r="BD590" s="82" t="s">
        <v>16212</v>
      </c>
      <c r="BE590" s="77"/>
      <c r="BF590" s="77"/>
      <c r="BG590" s="77"/>
      <c r="BH590" s="77"/>
      <c r="BI590" s="77"/>
    </row>
    <row r="591" spans="1:61" x14ac:dyDescent="0.25">
      <c r="A591" s="62" t="s">
        <v>407</v>
      </c>
      <c r="B591" s="62" t="s">
        <v>783</v>
      </c>
      <c r="C591" s="63"/>
      <c r="D591" s="64"/>
      <c r="E591" s="65"/>
      <c r="F591" s="66"/>
      <c r="G591" s="63"/>
      <c r="H591" s="67"/>
      <c r="I591" s="68"/>
      <c r="J591" s="68"/>
      <c r="K591" s="32"/>
      <c r="L591" s="75">
        <v>591</v>
      </c>
      <c r="M591" s="75"/>
      <c r="N591" s="70"/>
      <c r="O591" s="77" t="s">
        <v>895</v>
      </c>
      <c r="P591" s="79">
        <v>45161.332638888889</v>
      </c>
      <c r="Q591" s="77" t="s">
        <v>1461</v>
      </c>
      <c r="R591" s="77">
        <v>3</v>
      </c>
      <c r="S591" s="77">
        <v>5</v>
      </c>
      <c r="T591" s="77">
        <v>0</v>
      </c>
      <c r="U591" s="77">
        <v>1</v>
      </c>
      <c r="V591" s="77">
        <v>2022</v>
      </c>
      <c r="W591" s="82" t="s">
        <v>5137</v>
      </c>
      <c r="X591" s="80" t="str">
        <f>HYPERLINK("https://www.realinstitutoelcano.org/en/analyses/reindustrialising-europe-synergies-of-the-single-market/")</f>
        <v>https://www.realinstitutoelcano.org/en/analyses/reindustrialising-europe-synergies-of-the-single-market/</v>
      </c>
      <c r="Y591" s="77" t="s">
        <v>6511</v>
      </c>
      <c r="Z591" s="77" t="s">
        <v>783</v>
      </c>
      <c r="AA591" s="77"/>
      <c r="AB591" s="77"/>
      <c r="AC591" s="82" t="s">
        <v>7750</v>
      </c>
      <c r="AD591" s="77" t="s">
        <v>7789</v>
      </c>
      <c r="AE591" s="80" t="str">
        <f>HYPERLINK("https://twitter.com/rielcano/status/1694257918345097353")</f>
        <v>https://twitter.com/rielcano/status/1694257918345097353</v>
      </c>
      <c r="AF591" s="79">
        <v>45161.332638888889</v>
      </c>
      <c r="AG591" s="85">
        <v>45161</v>
      </c>
      <c r="AH591" s="82" t="s">
        <v>8322</v>
      </c>
      <c r="AI591" s="77" t="b">
        <v>0</v>
      </c>
      <c r="AJ591" s="77"/>
      <c r="AK591" s="77"/>
      <c r="AL591" s="77"/>
      <c r="AM591" s="77"/>
      <c r="AN591" s="77"/>
      <c r="AO591" s="77"/>
      <c r="AP591" s="77"/>
      <c r="AQ591" s="77"/>
      <c r="AR591" s="77"/>
      <c r="AS591" s="77"/>
      <c r="AT591" s="77"/>
      <c r="AU591" s="77"/>
      <c r="AV591" s="80" t="str">
        <f>HYPERLINK("https://pbs.twimg.com/profile_images/1570701361905377282/RAMkVNel_normal.jpg")</f>
        <v>https://pbs.twimg.com/profile_images/1570701361905377282/RAMkVNel_normal.jpg</v>
      </c>
      <c r="AW591" s="82" t="s">
        <v>12289</v>
      </c>
      <c r="AX591" s="82" t="s">
        <v>12289</v>
      </c>
      <c r="AY591" s="77"/>
      <c r="AZ591" s="82" t="s">
        <v>15984</v>
      </c>
      <c r="BA591" s="82" t="s">
        <v>15984</v>
      </c>
      <c r="BB591" s="82" t="s">
        <v>15984</v>
      </c>
      <c r="BC591" s="82" t="s">
        <v>12289</v>
      </c>
      <c r="BD591" s="77">
        <v>301336546</v>
      </c>
      <c r="BE591" s="77"/>
      <c r="BF591" s="77"/>
      <c r="BG591" s="77"/>
      <c r="BH591" s="77"/>
      <c r="BI591" s="77"/>
    </row>
    <row r="592" spans="1:61" x14ac:dyDescent="0.25">
      <c r="A592" s="62" t="s">
        <v>408</v>
      </c>
      <c r="B592" s="62" t="s">
        <v>408</v>
      </c>
      <c r="C592" s="63"/>
      <c r="D592" s="64"/>
      <c r="E592" s="65"/>
      <c r="F592" s="66"/>
      <c r="G592" s="63"/>
      <c r="H592" s="67"/>
      <c r="I592" s="68"/>
      <c r="J592" s="68"/>
      <c r="K592" s="32"/>
      <c r="L592" s="75">
        <v>592</v>
      </c>
      <c r="M592" s="75"/>
      <c r="N592" s="70"/>
      <c r="O592" s="77" t="s">
        <v>179</v>
      </c>
      <c r="P592" s="79">
        <v>45131.565057870372</v>
      </c>
      <c r="Q592" s="77" t="s">
        <v>1462</v>
      </c>
      <c r="R592" s="77">
        <v>0</v>
      </c>
      <c r="S592" s="77">
        <v>1</v>
      </c>
      <c r="T592" s="77">
        <v>1</v>
      </c>
      <c r="U592" s="77">
        <v>0</v>
      </c>
      <c r="V592" s="77">
        <v>713</v>
      </c>
      <c r="W592" s="82" t="s">
        <v>5138</v>
      </c>
      <c r="X592" s="80" t="str">
        <f>HYPERLINK("https://eldia.com.do/pais-busca-alternativas-bajar-dependencia-trigo")</f>
        <v>https://eldia.com.do/pais-busca-alternativas-bajar-dependencia-trigo</v>
      </c>
      <c r="Y592" s="77" t="s">
        <v>6512</v>
      </c>
      <c r="Z592" s="77"/>
      <c r="AA592" s="77"/>
      <c r="AB592" s="77"/>
      <c r="AC592" s="82" t="s">
        <v>7750</v>
      </c>
      <c r="AD592" s="77" t="s">
        <v>7790</v>
      </c>
      <c r="AE592" s="80" t="str">
        <f>HYPERLINK("https://twitter.com/eldia_do/status/1683470510959603713")</f>
        <v>https://twitter.com/eldia_do/status/1683470510959603713</v>
      </c>
      <c r="AF592" s="79">
        <v>45131.565057870372</v>
      </c>
      <c r="AG592" s="85">
        <v>45131</v>
      </c>
      <c r="AH592" s="82" t="s">
        <v>8323</v>
      </c>
      <c r="AI592" s="77" t="b">
        <v>0</v>
      </c>
      <c r="AJ592" s="77"/>
      <c r="AK592" s="77"/>
      <c r="AL592" s="77"/>
      <c r="AM592" s="77"/>
      <c r="AN592" s="77"/>
      <c r="AO592" s="77"/>
      <c r="AP592" s="77"/>
      <c r="AQ592" s="77"/>
      <c r="AR592" s="77"/>
      <c r="AS592" s="77"/>
      <c r="AT592" s="77"/>
      <c r="AU592" s="77"/>
      <c r="AV592" s="80" t="str">
        <f>HYPERLINK("https://pbs.twimg.com/profile_images/1612423167682682880/PDI49old_normal.jpg")</f>
        <v>https://pbs.twimg.com/profile_images/1612423167682682880/PDI49old_normal.jpg</v>
      </c>
      <c r="AW592" s="82" t="s">
        <v>12290</v>
      </c>
      <c r="AX592" s="82" t="s">
        <v>12290</v>
      </c>
      <c r="AY592" s="77"/>
      <c r="AZ592" s="82" t="s">
        <v>15984</v>
      </c>
      <c r="BA592" s="82" t="s">
        <v>15984</v>
      </c>
      <c r="BB592" s="82" t="s">
        <v>15984</v>
      </c>
      <c r="BC592" s="82" t="s">
        <v>12290</v>
      </c>
      <c r="BD592" s="77">
        <v>143173757</v>
      </c>
      <c r="BE592" s="77"/>
      <c r="BF592" s="77"/>
      <c r="BG592" s="77"/>
      <c r="BH592" s="77"/>
      <c r="BI592" s="77"/>
    </row>
    <row r="593" spans="1:61" x14ac:dyDescent="0.25">
      <c r="A593" s="62" t="s">
        <v>408</v>
      </c>
      <c r="B593" s="62" t="s">
        <v>408</v>
      </c>
      <c r="C593" s="63"/>
      <c r="D593" s="64"/>
      <c r="E593" s="65"/>
      <c r="F593" s="66"/>
      <c r="G593" s="63"/>
      <c r="H593" s="67"/>
      <c r="I593" s="68"/>
      <c r="J593" s="68"/>
      <c r="K593" s="32"/>
      <c r="L593" s="75">
        <v>593</v>
      </c>
      <c r="M593" s="75"/>
      <c r="N593" s="70"/>
      <c r="O593" s="77" t="s">
        <v>179</v>
      </c>
      <c r="P593" s="79">
        <v>45131.488668981481</v>
      </c>
      <c r="Q593" s="77" t="s">
        <v>1463</v>
      </c>
      <c r="R593" s="77">
        <v>0</v>
      </c>
      <c r="S593" s="77">
        <v>2</v>
      </c>
      <c r="T593" s="77">
        <v>0</v>
      </c>
      <c r="U593" s="77">
        <v>0</v>
      </c>
      <c r="V593" s="77">
        <v>793</v>
      </c>
      <c r="W593" s="82" t="s">
        <v>5139</v>
      </c>
      <c r="X593" s="80" t="str">
        <f>HYPERLINK("https://eldia.com.do/pais-busca-alternativas-bajar-dependencia-trigo")</f>
        <v>https://eldia.com.do/pais-busca-alternativas-bajar-dependencia-trigo</v>
      </c>
      <c r="Y593" s="77" t="s">
        <v>6512</v>
      </c>
      <c r="Z593" s="77"/>
      <c r="AA593" s="77"/>
      <c r="AB593" s="77"/>
      <c r="AC593" s="82" t="s">
        <v>7750</v>
      </c>
      <c r="AD593" s="77" t="s">
        <v>7790</v>
      </c>
      <c r="AE593" s="80" t="str">
        <f>HYPERLINK("https://twitter.com/eldia_do/status/1683442829178052609")</f>
        <v>https://twitter.com/eldia_do/status/1683442829178052609</v>
      </c>
      <c r="AF593" s="79">
        <v>45131.488668981481</v>
      </c>
      <c r="AG593" s="85">
        <v>45131</v>
      </c>
      <c r="AH593" s="82" t="s">
        <v>8324</v>
      </c>
      <c r="AI593" s="77" t="b">
        <v>0</v>
      </c>
      <c r="AJ593" s="77"/>
      <c r="AK593" s="77"/>
      <c r="AL593" s="77"/>
      <c r="AM593" s="77"/>
      <c r="AN593" s="77"/>
      <c r="AO593" s="77"/>
      <c r="AP593" s="77"/>
      <c r="AQ593" s="77"/>
      <c r="AR593" s="77"/>
      <c r="AS593" s="77"/>
      <c r="AT593" s="77"/>
      <c r="AU593" s="77"/>
      <c r="AV593" s="80" t="str">
        <f>HYPERLINK("https://pbs.twimg.com/profile_images/1612423167682682880/PDI49old_normal.jpg")</f>
        <v>https://pbs.twimg.com/profile_images/1612423167682682880/PDI49old_normal.jpg</v>
      </c>
      <c r="AW593" s="82" t="s">
        <v>12291</v>
      </c>
      <c r="AX593" s="82" t="s">
        <v>12291</v>
      </c>
      <c r="AY593" s="77"/>
      <c r="AZ593" s="82" t="s">
        <v>15984</v>
      </c>
      <c r="BA593" s="82" t="s">
        <v>15984</v>
      </c>
      <c r="BB593" s="82" t="s">
        <v>15984</v>
      </c>
      <c r="BC593" s="82" t="s">
        <v>12291</v>
      </c>
      <c r="BD593" s="77">
        <v>143173757</v>
      </c>
      <c r="BE593" s="77"/>
      <c r="BF593" s="77"/>
      <c r="BG593" s="77"/>
      <c r="BH593" s="77"/>
      <c r="BI593" s="77"/>
    </row>
    <row r="594" spans="1:61" x14ac:dyDescent="0.25">
      <c r="A594" s="62" t="s">
        <v>409</v>
      </c>
      <c r="B594" s="62" t="s">
        <v>409</v>
      </c>
      <c r="C594" s="63"/>
      <c r="D594" s="64"/>
      <c r="E594" s="65"/>
      <c r="F594" s="66"/>
      <c r="G594" s="63"/>
      <c r="H594" s="67"/>
      <c r="I594" s="68"/>
      <c r="J594" s="68"/>
      <c r="K594" s="32"/>
      <c r="L594" s="75">
        <v>594</v>
      </c>
      <c r="M594" s="75"/>
      <c r="N594" s="70"/>
      <c r="O594" s="77" t="s">
        <v>898</v>
      </c>
      <c r="P594" s="79">
        <v>45127.445775462962</v>
      </c>
      <c r="Q594" s="77" t="s">
        <v>1464</v>
      </c>
      <c r="R594" s="77">
        <v>0</v>
      </c>
      <c r="S594" s="77">
        <v>0</v>
      </c>
      <c r="T594" s="77">
        <v>0</v>
      </c>
      <c r="U594" s="77">
        <v>0</v>
      </c>
      <c r="V594" s="77">
        <v>55</v>
      </c>
      <c r="W594" s="82" t="s">
        <v>5140</v>
      </c>
      <c r="X594" s="77"/>
      <c r="Y594" s="77"/>
      <c r="Z594" s="77"/>
      <c r="AA594" s="77"/>
      <c r="AB594" s="77"/>
      <c r="AC594" s="82" t="s">
        <v>7752</v>
      </c>
      <c r="AD594" s="77" t="s">
        <v>7796</v>
      </c>
      <c r="AE594" s="80" t="str">
        <f>HYPERLINK("https://twitter.com/rafael__costa__/status/1681977730710089728")</f>
        <v>https://twitter.com/rafael__costa__/status/1681977730710089728</v>
      </c>
      <c r="AF594" s="79">
        <v>45127.445775462962</v>
      </c>
      <c r="AG594" s="85">
        <v>45127</v>
      </c>
      <c r="AH594" s="82" t="s">
        <v>8325</v>
      </c>
      <c r="AI594" s="77"/>
      <c r="AJ594" s="77"/>
      <c r="AK594" s="77"/>
      <c r="AL594" s="77"/>
      <c r="AM594" s="77"/>
      <c r="AN594" s="77"/>
      <c r="AO594" s="77"/>
      <c r="AP594" s="77"/>
      <c r="AQ594" s="77"/>
      <c r="AR594" s="77"/>
      <c r="AS594" s="77"/>
      <c r="AT594" s="77"/>
      <c r="AU594" s="77"/>
      <c r="AV594" s="80" t="str">
        <f>HYPERLINK("https://pbs.twimg.com/profile_images/1460727419829116929/1hfB_OTD_normal.jpg")</f>
        <v>https://pbs.twimg.com/profile_images/1460727419829116929/1hfB_OTD_normal.jpg</v>
      </c>
      <c r="AW594" s="82" t="s">
        <v>12292</v>
      </c>
      <c r="AX594" s="82" t="s">
        <v>15771</v>
      </c>
      <c r="AY594" s="82" t="s">
        <v>15935</v>
      </c>
      <c r="AZ594" s="82" t="s">
        <v>16005</v>
      </c>
      <c r="BA594" s="82" t="s">
        <v>15984</v>
      </c>
      <c r="BB594" s="82" t="s">
        <v>15984</v>
      </c>
      <c r="BC594" s="82" t="s">
        <v>16005</v>
      </c>
      <c r="BD594" s="82" t="s">
        <v>15935</v>
      </c>
      <c r="BE594" s="77"/>
      <c r="BF594" s="77"/>
      <c r="BG594" s="77"/>
      <c r="BH594" s="77"/>
      <c r="BI594" s="77"/>
    </row>
    <row r="595" spans="1:61" x14ac:dyDescent="0.25">
      <c r="A595" s="62" t="s">
        <v>410</v>
      </c>
      <c r="B595" s="62" t="s">
        <v>784</v>
      </c>
      <c r="C595" s="63"/>
      <c r="D595" s="64"/>
      <c r="E595" s="65"/>
      <c r="F595" s="66"/>
      <c r="G595" s="63"/>
      <c r="H595" s="67"/>
      <c r="I595" s="68"/>
      <c r="J595" s="68"/>
      <c r="K595" s="32"/>
      <c r="L595" s="75">
        <v>595</v>
      </c>
      <c r="M595" s="75"/>
      <c r="N595" s="70"/>
      <c r="O595" s="77" t="s">
        <v>895</v>
      </c>
      <c r="P595" s="79">
        <v>45190.799421296295</v>
      </c>
      <c r="Q595" s="77" t="s">
        <v>1465</v>
      </c>
      <c r="R595" s="77">
        <v>0</v>
      </c>
      <c r="S595" s="77">
        <v>0</v>
      </c>
      <c r="T595" s="77">
        <v>0</v>
      </c>
      <c r="U595" s="77">
        <v>0</v>
      </c>
      <c r="V595" s="77">
        <v>22</v>
      </c>
      <c r="W595" s="82" t="s">
        <v>5141</v>
      </c>
      <c r="X595" s="80" t="str">
        <f>HYPERLINK("https://n9.cl/p0d3b")</f>
        <v>https://n9.cl/p0d3b</v>
      </c>
      <c r="Y595" s="77" t="s">
        <v>6513</v>
      </c>
      <c r="Z595" s="77" t="s">
        <v>784</v>
      </c>
      <c r="AA595" s="77" t="s">
        <v>6982</v>
      </c>
      <c r="AB595" s="77" t="s">
        <v>7742</v>
      </c>
      <c r="AC595" s="82" t="s">
        <v>7750</v>
      </c>
      <c r="AD595" s="77" t="s">
        <v>7790</v>
      </c>
      <c r="AE595" s="80" t="str">
        <f>HYPERLINK("https://twitter.com/asomifecuador/status/1704936324971508112")</f>
        <v>https://twitter.com/asomifecuador/status/1704936324971508112</v>
      </c>
      <c r="AF595" s="79">
        <v>45190.799421296295</v>
      </c>
      <c r="AG595" s="85">
        <v>45190</v>
      </c>
      <c r="AH595" s="82" t="s">
        <v>8068</v>
      </c>
      <c r="AI595" s="77" t="b">
        <v>0</v>
      </c>
      <c r="AJ595" s="77"/>
      <c r="AK595" s="77"/>
      <c r="AL595" s="77"/>
      <c r="AM595" s="77"/>
      <c r="AN595" s="77"/>
      <c r="AO595" s="77"/>
      <c r="AP595" s="77"/>
      <c r="AQ595" s="77" t="s">
        <v>10954</v>
      </c>
      <c r="AR595" s="77"/>
      <c r="AS595" s="77"/>
      <c r="AT595" s="77"/>
      <c r="AU595" s="77"/>
      <c r="AV595" s="80" t="str">
        <f>HYPERLINK("https://pbs.twimg.com/media/F6kmiqMWwAAii_J.jpg")</f>
        <v>https://pbs.twimg.com/media/F6kmiqMWwAAii_J.jpg</v>
      </c>
      <c r="AW595" s="82" t="s">
        <v>12293</v>
      </c>
      <c r="AX595" s="82" t="s">
        <v>12293</v>
      </c>
      <c r="AY595" s="77"/>
      <c r="AZ595" s="82" t="s">
        <v>15984</v>
      </c>
      <c r="BA595" s="82" t="s">
        <v>15984</v>
      </c>
      <c r="BB595" s="82" t="s">
        <v>15984</v>
      </c>
      <c r="BC595" s="82" t="s">
        <v>12293</v>
      </c>
      <c r="BD595" s="82" t="s">
        <v>16213</v>
      </c>
      <c r="BE595" s="77"/>
      <c r="BF595" s="77"/>
      <c r="BG595" s="77"/>
      <c r="BH595" s="77"/>
      <c r="BI595" s="77"/>
    </row>
    <row r="596" spans="1:61" x14ac:dyDescent="0.25">
      <c r="A596" s="62" t="s">
        <v>411</v>
      </c>
      <c r="B596" s="62" t="s">
        <v>411</v>
      </c>
      <c r="C596" s="63"/>
      <c r="D596" s="64"/>
      <c r="E596" s="65"/>
      <c r="F596" s="66"/>
      <c r="G596" s="63"/>
      <c r="H596" s="67"/>
      <c r="I596" s="68"/>
      <c r="J596" s="68"/>
      <c r="K596" s="32"/>
      <c r="L596" s="75">
        <v>596</v>
      </c>
      <c r="M596" s="75"/>
      <c r="N596" s="70"/>
      <c r="O596" s="77" t="s">
        <v>179</v>
      </c>
      <c r="P596" s="79">
        <v>45133.089641203704</v>
      </c>
      <c r="Q596" s="77" t="s">
        <v>1466</v>
      </c>
      <c r="R596" s="77">
        <v>0</v>
      </c>
      <c r="S596" s="77">
        <v>1</v>
      </c>
      <c r="T596" s="77">
        <v>0</v>
      </c>
      <c r="U596" s="77">
        <v>0</v>
      </c>
      <c r="V596" s="77">
        <v>389</v>
      </c>
      <c r="W596" s="82" t="s">
        <v>5142</v>
      </c>
      <c r="X596" s="80" t="str">
        <f>HYPERLINK("https://www.bbc.com/mundo/articles/cmj4z3y8142o")</f>
        <v>https://www.bbc.com/mundo/articles/cmj4z3y8142o</v>
      </c>
      <c r="Y596" s="77" t="s">
        <v>6514</v>
      </c>
      <c r="Z596" s="77"/>
      <c r="AA596" s="77"/>
      <c r="AB596" s="77"/>
      <c r="AC596" s="82" t="s">
        <v>7750</v>
      </c>
      <c r="AD596" s="77" t="s">
        <v>7790</v>
      </c>
      <c r="AE596" s="80" t="str">
        <f>HYPERLINK("https://twitter.com/danielsuchar/status/1684022998469169152")</f>
        <v>https://twitter.com/danielsuchar/status/1684022998469169152</v>
      </c>
      <c r="AF596" s="79">
        <v>45133.089641203704</v>
      </c>
      <c r="AG596" s="85">
        <v>45133</v>
      </c>
      <c r="AH596" s="82" t="s">
        <v>8326</v>
      </c>
      <c r="AI596" s="77" t="b">
        <v>0</v>
      </c>
      <c r="AJ596" s="77"/>
      <c r="AK596" s="77"/>
      <c r="AL596" s="77"/>
      <c r="AM596" s="77"/>
      <c r="AN596" s="77"/>
      <c r="AO596" s="77"/>
      <c r="AP596" s="77"/>
      <c r="AQ596" s="77"/>
      <c r="AR596" s="77"/>
      <c r="AS596" s="77"/>
      <c r="AT596" s="77"/>
      <c r="AU596" s="77"/>
      <c r="AV596" s="80" t="str">
        <f>HYPERLINK("https://pbs.twimg.com/profile_images/1686923153878966272/6FMLng-v_normal.jpg")</f>
        <v>https://pbs.twimg.com/profile_images/1686923153878966272/6FMLng-v_normal.jpg</v>
      </c>
      <c r="AW596" s="82" t="s">
        <v>12294</v>
      </c>
      <c r="AX596" s="82" t="s">
        <v>12294</v>
      </c>
      <c r="AY596" s="77"/>
      <c r="AZ596" s="82" t="s">
        <v>15984</v>
      </c>
      <c r="BA596" s="82" t="s">
        <v>15984</v>
      </c>
      <c r="BB596" s="82" t="s">
        <v>15984</v>
      </c>
      <c r="BC596" s="82" t="s">
        <v>12294</v>
      </c>
      <c r="BD596" s="77">
        <v>72079608</v>
      </c>
      <c r="BE596" s="77"/>
      <c r="BF596" s="77"/>
      <c r="BG596" s="77"/>
      <c r="BH596" s="77"/>
      <c r="BI596" s="77"/>
    </row>
    <row r="597" spans="1:61" x14ac:dyDescent="0.25">
      <c r="A597" s="62" t="s">
        <v>411</v>
      </c>
      <c r="B597" s="62" t="s">
        <v>411</v>
      </c>
      <c r="C597" s="63"/>
      <c r="D597" s="64"/>
      <c r="E597" s="65"/>
      <c r="F597" s="66"/>
      <c r="G597" s="63"/>
      <c r="H597" s="67"/>
      <c r="I597" s="68"/>
      <c r="J597" s="68"/>
      <c r="K597" s="32"/>
      <c r="L597" s="75">
        <v>597</v>
      </c>
      <c r="M597" s="75"/>
      <c r="N597" s="70"/>
      <c r="O597" s="77" t="s">
        <v>179</v>
      </c>
      <c r="P597" s="79">
        <v>45133.08871527778</v>
      </c>
      <c r="Q597" s="77" t="s">
        <v>1467</v>
      </c>
      <c r="R597" s="77">
        <v>0</v>
      </c>
      <c r="S597" s="77">
        <v>2</v>
      </c>
      <c r="T597" s="77">
        <v>0</v>
      </c>
      <c r="U597" s="77">
        <v>0</v>
      </c>
      <c r="V597" s="77">
        <v>395</v>
      </c>
      <c r="W597" s="82" t="s">
        <v>5143</v>
      </c>
      <c r="X597" s="80" t="str">
        <f>HYPERLINK("https://www.estrategiaynegocios.net/centroamericaymundo/fmi-mejora-a-19-la-prevision-de-crecimiento-de-america-latina-para-este-ano-FF14556560")</f>
        <v>https://www.estrategiaynegocios.net/centroamericaymundo/fmi-mejora-a-19-la-prevision-de-crecimiento-de-america-latina-para-este-ano-FF14556560</v>
      </c>
      <c r="Y597" s="77" t="s">
        <v>6515</v>
      </c>
      <c r="Z597" s="77"/>
      <c r="AA597" s="77"/>
      <c r="AB597" s="77"/>
      <c r="AC597" s="82" t="s">
        <v>7750</v>
      </c>
      <c r="AD597" s="77" t="s">
        <v>7790</v>
      </c>
      <c r="AE597" s="80" t="str">
        <f>HYPERLINK("https://twitter.com/danielsuchar/status/1684022662874402817")</f>
        <v>https://twitter.com/danielsuchar/status/1684022662874402817</v>
      </c>
      <c r="AF597" s="79">
        <v>45133.08871527778</v>
      </c>
      <c r="AG597" s="85">
        <v>45133</v>
      </c>
      <c r="AH597" s="82" t="s">
        <v>8327</v>
      </c>
      <c r="AI597" s="77" t="b">
        <v>0</v>
      </c>
      <c r="AJ597" s="77"/>
      <c r="AK597" s="77"/>
      <c r="AL597" s="77"/>
      <c r="AM597" s="77"/>
      <c r="AN597" s="77"/>
      <c r="AO597" s="77"/>
      <c r="AP597" s="77"/>
      <c r="AQ597" s="77"/>
      <c r="AR597" s="77"/>
      <c r="AS597" s="77"/>
      <c r="AT597" s="77"/>
      <c r="AU597" s="77"/>
      <c r="AV597" s="80" t="str">
        <f>HYPERLINK("https://pbs.twimg.com/profile_images/1686923153878966272/6FMLng-v_normal.jpg")</f>
        <v>https://pbs.twimg.com/profile_images/1686923153878966272/6FMLng-v_normal.jpg</v>
      </c>
      <c r="AW597" s="82" t="s">
        <v>12295</v>
      </c>
      <c r="AX597" s="82" t="s">
        <v>12295</v>
      </c>
      <c r="AY597" s="77"/>
      <c r="AZ597" s="82" t="s">
        <v>15984</v>
      </c>
      <c r="BA597" s="82" t="s">
        <v>15984</v>
      </c>
      <c r="BB597" s="82" t="s">
        <v>15984</v>
      </c>
      <c r="BC597" s="82" t="s">
        <v>12295</v>
      </c>
      <c r="BD597" s="77">
        <v>72079608</v>
      </c>
      <c r="BE597" s="77"/>
      <c r="BF597" s="77"/>
      <c r="BG597" s="77"/>
      <c r="BH597" s="77"/>
      <c r="BI597" s="77"/>
    </row>
    <row r="598" spans="1:61" x14ac:dyDescent="0.25">
      <c r="A598" s="62" t="s">
        <v>411</v>
      </c>
      <c r="B598" s="62" t="s">
        <v>411</v>
      </c>
      <c r="C598" s="63"/>
      <c r="D598" s="64"/>
      <c r="E598" s="65"/>
      <c r="F598" s="66"/>
      <c r="G598" s="63"/>
      <c r="H598" s="67"/>
      <c r="I598" s="68"/>
      <c r="J598" s="68"/>
      <c r="K598" s="32"/>
      <c r="L598" s="75">
        <v>598</v>
      </c>
      <c r="M598" s="75"/>
      <c r="N598" s="70"/>
      <c r="O598" s="77" t="s">
        <v>179</v>
      </c>
      <c r="P598" s="79">
        <v>45132.874201388891</v>
      </c>
      <c r="Q598" s="77" t="s">
        <v>1468</v>
      </c>
      <c r="R598" s="77">
        <v>0</v>
      </c>
      <c r="S598" s="77">
        <v>3</v>
      </c>
      <c r="T598" s="77">
        <v>1</v>
      </c>
      <c r="U598" s="77">
        <v>0</v>
      </c>
      <c r="V598" s="77">
        <v>970</v>
      </c>
      <c r="W598" s="82" t="s">
        <v>5144</v>
      </c>
      <c r="X598" s="77"/>
      <c r="Y598" s="77"/>
      <c r="Z598" s="77"/>
      <c r="AA598" s="77" t="s">
        <v>6983</v>
      </c>
      <c r="AB598" s="77" t="s">
        <v>7742</v>
      </c>
      <c r="AC598" s="82" t="s">
        <v>7751</v>
      </c>
      <c r="AD598" s="77" t="s">
        <v>7790</v>
      </c>
      <c r="AE598" s="80" t="str">
        <f>HYPERLINK("https://twitter.com/danielsuchar/status/1683944927510536192")</f>
        <v>https://twitter.com/danielsuchar/status/1683944927510536192</v>
      </c>
      <c r="AF598" s="79">
        <v>45132.874201388891</v>
      </c>
      <c r="AG598" s="85">
        <v>45132</v>
      </c>
      <c r="AH598" s="82" t="s">
        <v>8328</v>
      </c>
      <c r="AI598" s="77" t="b">
        <v>0</v>
      </c>
      <c r="AJ598" s="77" t="s">
        <v>10566</v>
      </c>
      <c r="AK598" s="77" t="s">
        <v>10573</v>
      </c>
      <c r="AL598" s="77" t="s">
        <v>10577</v>
      </c>
      <c r="AM598" s="77" t="s">
        <v>10584</v>
      </c>
      <c r="AN598" s="77" t="s">
        <v>10595</v>
      </c>
      <c r="AO598" s="77" t="s">
        <v>10605</v>
      </c>
      <c r="AP598" s="77" t="s">
        <v>10610</v>
      </c>
      <c r="AQ598" s="77" t="s">
        <v>10955</v>
      </c>
      <c r="AR598" s="77"/>
      <c r="AS598" s="77"/>
      <c r="AT598" s="77"/>
      <c r="AU598" s="77"/>
      <c r="AV598" s="80" t="str">
        <f>HYPERLINK("https://pbs.twimg.com/media/F16S_OeWEAAO6-S.jpg")</f>
        <v>https://pbs.twimg.com/media/F16S_OeWEAAO6-S.jpg</v>
      </c>
      <c r="AW598" s="82" t="s">
        <v>12296</v>
      </c>
      <c r="AX598" s="82" t="s">
        <v>12296</v>
      </c>
      <c r="AY598" s="77"/>
      <c r="AZ598" s="82" t="s">
        <v>15984</v>
      </c>
      <c r="BA598" s="82" t="s">
        <v>15984</v>
      </c>
      <c r="BB598" s="82" t="s">
        <v>15984</v>
      </c>
      <c r="BC598" s="82" t="s">
        <v>12296</v>
      </c>
      <c r="BD598" s="77">
        <v>72079608</v>
      </c>
      <c r="BE598" s="77"/>
      <c r="BF598" s="77"/>
      <c r="BG598" s="77"/>
      <c r="BH598" s="77"/>
      <c r="BI598" s="77"/>
    </row>
    <row r="599" spans="1:61" x14ac:dyDescent="0.25">
      <c r="A599" s="62" t="s">
        <v>411</v>
      </c>
      <c r="B599" s="62" t="s">
        <v>411</v>
      </c>
      <c r="C599" s="63"/>
      <c r="D599" s="64"/>
      <c r="E599" s="65"/>
      <c r="F599" s="66"/>
      <c r="G599" s="63"/>
      <c r="H599" s="67"/>
      <c r="I599" s="68"/>
      <c r="J599" s="68"/>
      <c r="K599" s="32"/>
      <c r="L599" s="75">
        <v>599</v>
      </c>
      <c r="M599" s="75"/>
      <c r="N599" s="70"/>
      <c r="O599" s="77" t="s">
        <v>179</v>
      </c>
      <c r="P599" s="79">
        <v>45132.872199074074</v>
      </c>
      <c r="Q599" s="77" t="s">
        <v>1469</v>
      </c>
      <c r="R599" s="77">
        <v>0</v>
      </c>
      <c r="S599" s="77">
        <v>3</v>
      </c>
      <c r="T599" s="77">
        <v>0</v>
      </c>
      <c r="U599" s="77">
        <v>0</v>
      </c>
      <c r="V599" s="77">
        <v>508</v>
      </c>
      <c r="W599" s="82" t="s">
        <v>5144</v>
      </c>
      <c r="X599" s="77"/>
      <c r="Y599" s="77"/>
      <c r="Z599" s="77"/>
      <c r="AA599" s="77" t="s">
        <v>6984</v>
      </c>
      <c r="AB599" s="77" t="s">
        <v>7742</v>
      </c>
      <c r="AC599" s="82" t="s">
        <v>7751</v>
      </c>
      <c r="AD599" s="77" t="s">
        <v>7790</v>
      </c>
      <c r="AE599" s="80" t="str">
        <f>HYPERLINK("https://twitter.com/danielsuchar/status/1683944201904332800")</f>
        <v>https://twitter.com/danielsuchar/status/1683944201904332800</v>
      </c>
      <c r="AF599" s="79">
        <v>45132.872199074074</v>
      </c>
      <c r="AG599" s="85">
        <v>45132</v>
      </c>
      <c r="AH599" s="82" t="s">
        <v>8329</v>
      </c>
      <c r="AI599" s="77" t="b">
        <v>0</v>
      </c>
      <c r="AJ599" s="77" t="s">
        <v>10566</v>
      </c>
      <c r="AK599" s="77" t="s">
        <v>10573</v>
      </c>
      <c r="AL599" s="77" t="s">
        <v>10577</v>
      </c>
      <c r="AM599" s="77" t="s">
        <v>10584</v>
      </c>
      <c r="AN599" s="77" t="s">
        <v>10595</v>
      </c>
      <c r="AO599" s="77" t="s">
        <v>10605</v>
      </c>
      <c r="AP599" s="77" t="s">
        <v>10610</v>
      </c>
      <c r="AQ599" s="77" t="s">
        <v>10956</v>
      </c>
      <c r="AR599" s="77"/>
      <c r="AS599" s="77"/>
      <c r="AT599" s="77"/>
      <c r="AU599" s="77"/>
      <c r="AV599" s="80" t="str">
        <f>HYPERLINK("https://pbs.twimg.com/media/F16SU-3XsAE_IiE.jpg")</f>
        <v>https://pbs.twimg.com/media/F16SU-3XsAE_IiE.jpg</v>
      </c>
      <c r="AW599" s="82" t="s">
        <v>12297</v>
      </c>
      <c r="AX599" s="82" t="s">
        <v>12297</v>
      </c>
      <c r="AY599" s="77"/>
      <c r="AZ599" s="82" t="s">
        <v>15984</v>
      </c>
      <c r="BA599" s="82" t="s">
        <v>15984</v>
      </c>
      <c r="BB599" s="82" t="s">
        <v>15984</v>
      </c>
      <c r="BC599" s="82" t="s">
        <v>12297</v>
      </c>
      <c r="BD599" s="77">
        <v>72079608</v>
      </c>
      <c r="BE599" s="77"/>
      <c r="BF599" s="77"/>
      <c r="BG599" s="77"/>
      <c r="BH599" s="77"/>
      <c r="BI599" s="77"/>
    </row>
    <row r="600" spans="1:61" x14ac:dyDescent="0.25">
      <c r="A600" s="62" t="s">
        <v>412</v>
      </c>
      <c r="B600" s="62" t="s">
        <v>614</v>
      </c>
      <c r="C600" s="63"/>
      <c r="D600" s="64"/>
      <c r="E600" s="65"/>
      <c r="F600" s="66"/>
      <c r="G600" s="63"/>
      <c r="H600" s="67"/>
      <c r="I600" s="68"/>
      <c r="J600" s="68"/>
      <c r="K600" s="32"/>
      <c r="L600" s="75">
        <v>600</v>
      </c>
      <c r="M600" s="75"/>
      <c r="N600" s="70"/>
      <c r="O600" s="77" t="s">
        <v>897</v>
      </c>
      <c r="P600" s="79">
        <v>45194.970231481479</v>
      </c>
      <c r="Q600" s="77" t="s">
        <v>1114</v>
      </c>
      <c r="R600" s="77">
        <v>5</v>
      </c>
      <c r="S600" s="77">
        <v>0</v>
      </c>
      <c r="T600" s="77">
        <v>0</v>
      </c>
      <c r="U600" s="77">
        <v>0</v>
      </c>
      <c r="V600" s="77"/>
      <c r="W600" s="82" t="s">
        <v>4821</v>
      </c>
      <c r="X600" s="77"/>
      <c r="Y600" s="77"/>
      <c r="Z600" s="77" t="s">
        <v>614</v>
      </c>
      <c r="AA600" s="77"/>
      <c r="AB600" s="77"/>
      <c r="AC600" s="82" t="s">
        <v>7751</v>
      </c>
      <c r="AD600" s="77" t="s">
        <v>7790</v>
      </c>
      <c r="AE600" s="80" t="str">
        <f>HYPERLINK("https://twitter.com/gabrielpelaeza/status/1706447776152756249")</f>
        <v>https://twitter.com/gabrielpelaeza/status/1706447776152756249</v>
      </c>
      <c r="AF600" s="79">
        <v>45194.970231481479</v>
      </c>
      <c r="AG600" s="85">
        <v>45194</v>
      </c>
      <c r="AH600" s="82" t="s">
        <v>8330</v>
      </c>
      <c r="AI600" s="77" t="b">
        <v>0</v>
      </c>
      <c r="AJ600" s="77"/>
      <c r="AK600" s="77"/>
      <c r="AL600" s="77"/>
      <c r="AM600" s="77"/>
      <c r="AN600" s="77"/>
      <c r="AO600" s="77"/>
      <c r="AP600" s="77"/>
      <c r="AQ600" s="77"/>
      <c r="AR600" s="77"/>
      <c r="AS600" s="77"/>
      <c r="AT600" s="77"/>
      <c r="AU600" s="77"/>
      <c r="AV600" s="80" t="str">
        <f>HYPERLINK("https://pbs.twimg.com/profile_images/429762181006364672/2WjNE8zA_normal.jpeg")</f>
        <v>https://pbs.twimg.com/profile_images/429762181006364672/2WjNE8zA_normal.jpeg</v>
      </c>
      <c r="AW600" s="82" t="s">
        <v>12298</v>
      </c>
      <c r="AX600" s="82" t="s">
        <v>12298</v>
      </c>
      <c r="AY600" s="77"/>
      <c r="AZ600" s="82" t="s">
        <v>15984</v>
      </c>
      <c r="BA600" s="82" t="s">
        <v>15984</v>
      </c>
      <c r="BB600" s="82" t="s">
        <v>13072</v>
      </c>
      <c r="BC600" s="82" t="s">
        <v>13072</v>
      </c>
      <c r="BD600" s="77">
        <v>742769480</v>
      </c>
      <c r="BE600" s="77"/>
      <c r="BF600" s="77"/>
      <c r="BG600" s="77"/>
      <c r="BH600" s="77"/>
      <c r="BI600" s="77"/>
    </row>
    <row r="601" spans="1:61" x14ac:dyDescent="0.25">
      <c r="A601" s="62" t="s">
        <v>412</v>
      </c>
      <c r="B601" s="62" t="s">
        <v>614</v>
      </c>
      <c r="C601" s="63"/>
      <c r="D601" s="64"/>
      <c r="E601" s="65"/>
      <c r="F601" s="66"/>
      <c r="G601" s="63"/>
      <c r="H601" s="67"/>
      <c r="I601" s="68"/>
      <c r="J601" s="68"/>
      <c r="K601" s="32"/>
      <c r="L601" s="75">
        <v>601</v>
      </c>
      <c r="M601" s="75"/>
      <c r="N601" s="70"/>
      <c r="O601" s="77" t="s">
        <v>897</v>
      </c>
      <c r="P601" s="79">
        <v>45194.496192129627</v>
      </c>
      <c r="Q601" s="77" t="s">
        <v>1175</v>
      </c>
      <c r="R601" s="77">
        <v>3</v>
      </c>
      <c r="S601" s="77">
        <v>0</v>
      </c>
      <c r="T601" s="77">
        <v>0</v>
      </c>
      <c r="U601" s="77">
        <v>0</v>
      </c>
      <c r="V601" s="77"/>
      <c r="W601" s="82" t="s">
        <v>4821</v>
      </c>
      <c r="X601" s="77"/>
      <c r="Y601" s="77"/>
      <c r="Z601" s="77" t="s">
        <v>614</v>
      </c>
      <c r="AA601" s="77"/>
      <c r="AB601" s="77"/>
      <c r="AC601" s="82" t="s">
        <v>7751</v>
      </c>
      <c r="AD601" s="77" t="s">
        <v>7790</v>
      </c>
      <c r="AE601" s="80" t="str">
        <f>HYPERLINK("https://twitter.com/gabrielpelaeza/status/1706275988378886530")</f>
        <v>https://twitter.com/gabrielpelaeza/status/1706275988378886530</v>
      </c>
      <c r="AF601" s="79">
        <v>45194.496192129627</v>
      </c>
      <c r="AG601" s="85">
        <v>45194</v>
      </c>
      <c r="AH601" s="82" t="s">
        <v>8331</v>
      </c>
      <c r="AI601" s="77" t="b">
        <v>0</v>
      </c>
      <c r="AJ601" s="77"/>
      <c r="AK601" s="77"/>
      <c r="AL601" s="77"/>
      <c r="AM601" s="77"/>
      <c r="AN601" s="77"/>
      <c r="AO601" s="77"/>
      <c r="AP601" s="77"/>
      <c r="AQ601" s="77"/>
      <c r="AR601" s="77"/>
      <c r="AS601" s="77"/>
      <c r="AT601" s="77"/>
      <c r="AU601" s="77"/>
      <c r="AV601" s="80" t="str">
        <f>HYPERLINK("https://pbs.twimg.com/profile_images/429762181006364672/2WjNE8zA_normal.jpeg")</f>
        <v>https://pbs.twimg.com/profile_images/429762181006364672/2WjNE8zA_normal.jpeg</v>
      </c>
      <c r="AW601" s="82" t="s">
        <v>12299</v>
      </c>
      <c r="AX601" s="82" t="s">
        <v>12299</v>
      </c>
      <c r="AY601" s="77"/>
      <c r="AZ601" s="82" t="s">
        <v>15984</v>
      </c>
      <c r="BA601" s="82" t="s">
        <v>15984</v>
      </c>
      <c r="BB601" s="82" t="s">
        <v>13241</v>
      </c>
      <c r="BC601" s="82" t="s">
        <v>13241</v>
      </c>
      <c r="BD601" s="77">
        <v>742769480</v>
      </c>
      <c r="BE601" s="77"/>
      <c r="BF601" s="77"/>
      <c r="BG601" s="77"/>
      <c r="BH601" s="77"/>
      <c r="BI601" s="77"/>
    </row>
    <row r="602" spans="1:61" x14ac:dyDescent="0.25">
      <c r="A602" s="62" t="s">
        <v>413</v>
      </c>
      <c r="B602" s="62" t="s">
        <v>413</v>
      </c>
      <c r="C602" s="63"/>
      <c r="D602" s="64"/>
      <c r="E602" s="65"/>
      <c r="F602" s="66"/>
      <c r="G602" s="63"/>
      <c r="H602" s="67"/>
      <c r="I602" s="68"/>
      <c r="J602" s="68"/>
      <c r="K602" s="32"/>
      <c r="L602" s="75">
        <v>602</v>
      </c>
      <c r="M602" s="75"/>
      <c r="N602" s="70"/>
      <c r="O602" s="77" t="s">
        <v>179</v>
      </c>
      <c r="P602" s="79">
        <v>45119.541226851848</v>
      </c>
      <c r="Q602" s="77" t="s">
        <v>1470</v>
      </c>
      <c r="R602" s="77">
        <v>0</v>
      </c>
      <c r="S602" s="77">
        <v>0</v>
      </c>
      <c r="T602" s="77">
        <v>0</v>
      </c>
      <c r="U602" s="77">
        <v>0</v>
      </c>
      <c r="V602" s="77">
        <v>59</v>
      </c>
      <c r="W602" s="82" t="s">
        <v>5145</v>
      </c>
      <c r="X602" s="77"/>
      <c r="Y602" s="77"/>
      <c r="Z602" s="77"/>
      <c r="AA602" s="77" t="s">
        <v>6985</v>
      </c>
      <c r="AB602" s="77" t="s">
        <v>7744</v>
      </c>
      <c r="AC602" s="82" t="s">
        <v>7750</v>
      </c>
      <c r="AD602" s="77" t="s">
        <v>7788</v>
      </c>
      <c r="AE602" s="80" t="str">
        <f>HYPERLINK("https://twitter.com/glaucojarzinski/status/1679113219628060673")</f>
        <v>https://twitter.com/glaucojarzinski/status/1679113219628060673</v>
      </c>
      <c r="AF602" s="79">
        <v>45119.541226851848</v>
      </c>
      <c r="AG602" s="85">
        <v>45119</v>
      </c>
      <c r="AH602" s="82" t="s">
        <v>8332</v>
      </c>
      <c r="AI602" s="77" t="b">
        <v>0</v>
      </c>
      <c r="AJ602" s="77"/>
      <c r="AK602" s="77"/>
      <c r="AL602" s="77"/>
      <c r="AM602" s="77"/>
      <c r="AN602" s="77"/>
      <c r="AO602" s="77"/>
      <c r="AP602" s="77"/>
      <c r="AQ602" s="77" t="s">
        <v>10957</v>
      </c>
      <c r="AR602" s="77"/>
      <c r="AS602" s="77"/>
      <c r="AT602" s="77"/>
      <c r="AU602" s="77"/>
      <c r="AV602" s="80" t="str">
        <f>HYPERLINK("https://pbs.twimg.com/media/F01ojfIXwAAvFbU.jpg")</f>
        <v>https://pbs.twimg.com/media/F01ojfIXwAAvFbU.jpg</v>
      </c>
      <c r="AW602" s="82" t="s">
        <v>12300</v>
      </c>
      <c r="AX602" s="82" t="s">
        <v>12300</v>
      </c>
      <c r="AY602" s="77"/>
      <c r="AZ602" s="82" t="s">
        <v>15984</v>
      </c>
      <c r="BA602" s="82" t="s">
        <v>15984</v>
      </c>
      <c r="BB602" s="82" t="s">
        <v>15984</v>
      </c>
      <c r="BC602" s="82" t="s">
        <v>12300</v>
      </c>
      <c r="BD602" s="77">
        <v>93754487</v>
      </c>
      <c r="BE602" s="77"/>
      <c r="BF602" s="77"/>
      <c r="BG602" s="77"/>
      <c r="BH602" s="77"/>
      <c r="BI602" s="77"/>
    </row>
    <row r="603" spans="1:61" x14ac:dyDescent="0.25">
      <c r="A603" s="62" t="s">
        <v>413</v>
      </c>
      <c r="B603" s="62" t="s">
        <v>413</v>
      </c>
      <c r="C603" s="63"/>
      <c r="D603" s="64"/>
      <c r="E603" s="65"/>
      <c r="F603" s="66"/>
      <c r="G603" s="63"/>
      <c r="H603" s="67"/>
      <c r="I603" s="68"/>
      <c r="J603" s="68"/>
      <c r="K603" s="32"/>
      <c r="L603" s="75">
        <v>603</v>
      </c>
      <c r="M603" s="75"/>
      <c r="N603" s="70"/>
      <c r="O603" s="77" t="s">
        <v>179</v>
      </c>
      <c r="P603" s="79">
        <v>45127.543240740742</v>
      </c>
      <c r="Q603" s="77" t="s">
        <v>1471</v>
      </c>
      <c r="R603" s="77">
        <v>0</v>
      </c>
      <c r="S603" s="77">
        <v>0</v>
      </c>
      <c r="T603" s="77">
        <v>1</v>
      </c>
      <c r="U603" s="77">
        <v>0</v>
      </c>
      <c r="V603" s="77">
        <v>94</v>
      </c>
      <c r="W603" s="82" t="s">
        <v>5145</v>
      </c>
      <c r="X603" s="77"/>
      <c r="Y603" s="77"/>
      <c r="Z603" s="77"/>
      <c r="AA603" s="77" t="s">
        <v>6986</v>
      </c>
      <c r="AB603" s="77" t="s">
        <v>7744</v>
      </c>
      <c r="AC603" s="82" t="s">
        <v>7750</v>
      </c>
      <c r="AD603" s="77" t="s">
        <v>7788</v>
      </c>
      <c r="AE603" s="80" t="str">
        <f>HYPERLINK("https://twitter.com/glaucojarzinski/status/1682013053565521921")</f>
        <v>https://twitter.com/glaucojarzinski/status/1682013053565521921</v>
      </c>
      <c r="AF603" s="79">
        <v>45127.543240740742</v>
      </c>
      <c r="AG603" s="85">
        <v>45127</v>
      </c>
      <c r="AH603" s="82" t="s">
        <v>8333</v>
      </c>
      <c r="AI603" s="77" t="b">
        <v>0</v>
      </c>
      <c r="AJ603" s="77"/>
      <c r="AK603" s="77"/>
      <c r="AL603" s="77"/>
      <c r="AM603" s="77"/>
      <c r="AN603" s="77"/>
      <c r="AO603" s="77"/>
      <c r="AP603" s="77"/>
      <c r="AQ603" s="77" t="s">
        <v>10958</v>
      </c>
      <c r="AR603" s="77"/>
      <c r="AS603" s="77"/>
      <c r="AT603" s="77"/>
      <c r="AU603" s="77"/>
      <c r="AV603" s="80" t="str">
        <f>HYPERLINK("https://pbs.twimg.com/media/F1e19LdXsAE_l5g.jpg")</f>
        <v>https://pbs.twimg.com/media/F1e19LdXsAE_l5g.jpg</v>
      </c>
      <c r="AW603" s="82" t="s">
        <v>12301</v>
      </c>
      <c r="AX603" s="82" t="s">
        <v>12301</v>
      </c>
      <c r="AY603" s="77"/>
      <c r="AZ603" s="82" t="s">
        <v>15984</v>
      </c>
      <c r="BA603" s="82" t="s">
        <v>15984</v>
      </c>
      <c r="BB603" s="82" t="s">
        <v>15984</v>
      </c>
      <c r="BC603" s="82" t="s">
        <v>12301</v>
      </c>
      <c r="BD603" s="77">
        <v>93754487</v>
      </c>
      <c r="BE603" s="77"/>
      <c r="BF603" s="77"/>
      <c r="BG603" s="77"/>
      <c r="BH603" s="77"/>
      <c r="BI603" s="77"/>
    </row>
    <row r="604" spans="1:61" x14ac:dyDescent="0.25">
      <c r="A604" s="62" t="s">
        <v>413</v>
      </c>
      <c r="B604" s="62" t="s">
        <v>413</v>
      </c>
      <c r="C604" s="63"/>
      <c r="D604" s="64"/>
      <c r="E604" s="65"/>
      <c r="F604" s="66"/>
      <c r="G604" s="63"/>
      <c r="H604" s="67"/>
      <c r="I604" s="68"/>
      <c r="J604" s="68"/>
      <c r="K604" s="32"/>
      <c r="L604" s="75">
        <v>604</v>
      </c>
      <c r="M604" s="75"/>
      <c r="N604" s="70"/>
      <c r="O604" s="77" t="s">
        <v>179</v>
      </c>
      <c r="P604" s="79">
        <v>45145.578206018516</v>
      </c>
      <c r="Q604" s="77" t="s">
        <v>1472</v>
      </c>
      <c r="R604" s="77">
        <v>0</v>
      </c>
      <c r="S604" s="77">
        <v>0</v>
      </c>
      <c r="T604" s="77">
        <v>1</v>
      </c>
      <c r="U604" s="77">
        <v>0</v>
      </c>
      <c r="V604" s="77">
        <v>100</v>
      </c>
      <c r="W604" s="82" t="s">
        <v>5145</v>
      </c>
      <c r="X604" s="77"/>
      <c r="Y604" s="77"/>
      <c r="Z604" s="77"/>
      <c r="AA604" s="77" t="s">
        <v>6987</v>
      </c>
      <c r="AB604" s="77" t="s">
        <v>7744</v>
      </c>
      <c r="AC604" s="82" t="s">
        <v>7750</v>
      </c>
      <c r="AD604" s="77" t="s">
        <v>7788</v>
      </c>
      <c r="AE604" s="80" t="str">
        <f>HYPERLINK("https://twitter.com/glaucojarzinski/status/1688548706138681344")</f>
        <v>https://twitter.com/glaucojarzinski/status/1688548706138681344</v>
      </c>
      <c r="AF604" s="79">
        <v>45145.578206018516</v>
      </c>
      <c r="AG604" s="85">
        <v>45145</v>
      </c>
      <c r="AH604" s="82" t="s">
        <v>8334</v>
      </c>
      <c r="AI604" s="77" t="b">
        <v>0</v>
      </c>
      <c r="AJ604" s="77"/>
      <c r="AK604" s="77"/>
      <c r="AL604" s="77"/>
      <c r="AM604" s="77"/>
      <c r="AN604" s="77"/>
      <c r="AO604" s="77"/>
      <c r="AP604" s="77"/>
      <c r="AQ604" s="77" t="s">
        <v>10959</v>
      </c>
      <c r="AR604" s="77"/>
      <c r="AS604" s="77"/>
      <c r="AT604" s="77"/>
      <c r="AU604" s="77"/>
      <c r="AV604" s="80" t="str">
        <f>HYPERLINK("https://pbs.twimg.com/media/F27uGQRWEAAzuXV.jpg")</f>
        <v>https://pbs.twimg.com/media/F27uGQRWEAAzuXV.jpg</v>
      </c>
      <c r="AW604" s="82" t="s">
        <v>12302</v>
      </c>
      <c r="AX604" s="82" t="s">
        <v>12302</v>
      </c>
      <c r="AY604" s="77"/>
      <c r="AZ604" s="82" t="s">
        <v>15984</v>
      </c>
      <c r="BA604" s="82" t="s">
        <v>15984</v>
      </c>
      <c r="BB604" s="82" t="s">
        <v>15984</v>
      </c>
      <c r="BC604" s="82" t="s">
        <v>12302</v>
      </c>
      <c r="BD604" s="77">
        <v>93754487</v>
      </c>
      <c r="BE604" s="77"/>
      <c r="BF604" s="77"/>
      <c r="BG604" s="77"/>
      <c r="BH604" s="77"/>
      <c r="BI604" s="77"/>
    </row>
    <row r="605" spans="1:61" x14ac:dyDescent="0.25">
      <c r="A605" s="62" t="s">
        <v>413</v>
      </c>
      <c r="B605" s="62" t="s">
        <v>413</v>
      </c>
      <c r="C605" s="63"/>
      <c r="D605" s="64"/>
      <c r="E605" s="65"/>
      <c r="F605" s="66"/>
      <c r="G605" s="63"/>
      <c r="H605" s="67"/>
      <c r="I605" s="68"/>
      <c r="J605" s="68"/>
      <c r="K605" s="32"/>
      <c r="L605" s="75">
        <v>605</v>
      </c>
      <c r="M605" s="75"/>
      <c r="N605" s="70"/>
      <c r="O605" s="77" t="s">
        <v>179</v>
      </c>
      <c r="P605" s="79">
        <v>45145.576967592591</v>
      </c>
      <c r="Q605" s="77" t="s">
        <v>1473</v>
      </c>
      <c r="R605" s="77">
        <v>0</v>
      </c>
      <c r="S605" s="77">
        <v>0</v>
      </c>
      <c r="T605" s="77">
        <v>0</v>
      </c>
      <c r="U605" s="77">
        <v>0</v>
      </c>
      <c r="V605" s="77">
        <v>133</v>
      </c>
      <c r="W605" s="82" t="s">
        <v>5146</v>
      </c>
      <c r="X605" s="77"/>
      <c r="Y605" s="77"/>
      <c r="Z605" s="77"/>
      <c r="AA605" s="77" t="s">
        <v>6988</v>
      </c>
      <c r="AB605" s="77" t="s">
        <v>7742</v>
      </c>
      <c r="AC605" s="82" t="s">
        <v>7750</v>
      </c>
      <c r="AD605" s="77" t="s">
        <v>7788</v>
      </c>
      <c r="AE605" s="80" t="str">
        <f>HYPERLINK("https://twitter.com/glaucojarzinski/status/1688548255045451776")</f>
        <v>https://twitter.com/glaucojarzinski/status/1688548255045451776</v>
      </c>
      <c r="AF605" s="79">
        <v>45145.576967592591</v>
      </c>
      <c r="AG605" s="85">
        <v>45145</v>
      </c>
      <c r="AH605" s="82" t="s">
        <v>8335</v>
      </c>
      <c r="AI605" s="77" t="b">
        <v>0</v>
      </c>
      <c r="AJ605" s="77"/>
      <c r="AK605" s="77"/>
      <c r="AL605" s="77"/>
      <c r="AM605" s="77"/>
      <c r="AN605" s="77"/>
      <c r="AO605" s="77"/>
      <c r="AP605" s="77"/>
      <c r="AQ605" s="77" t="s">
        <v>10960</v>
      </c>
      <c r="AR605" s="77"/>
      <c r="AS605" s="77"/>
      <c r="AT605" s="77"/>
      <c r="AU605" s="77"/>
      <c r="AV605" s="80" t="str">
        <f>HYPERLINK("https://pbs.twimg.com/media/F27tr47XMAAn0Lz.jpg")</f>
        <v>https://pbs.twimg.com/media/F27tr47XMAAn0Lz.jpg</v>
      </c>
      <c r="AW605" s="82" t="s">
        <v>12303</v>
      </c>
      <c r="AX605" s="82" t="s">
        <v>12303</v>
      </c>
      <c r="AY605" s="77"/>
      <c r="AZ605" s="82" t="s">
        <v>15984</v>
      </c>
      <c r="BA605" s="82" t="s">
        <v>15984</v>
      </c>
      <c r="BB605" s="82" t="s">
        <v>15984</v>
      </c>
      <c r="BC605" s="82" t="s">
        <v>12303</v>
      </c>
      <c r="BD605" s="77">
        <v>93754487</v>
      </c>
      <c r="BE605" s="77"/>
      <c r="BF605" s="77"/>
      <c r="BG605" s="77"/>
      <c r="BH605" s="77"/>
      <c r="BI605" s="77"/>
    </row>
    <row r="606" spans="1:61" x14ac:dyDescent="0.25">
      <c r="A606" s="62" t="s">
        <v>413</v>
      </c>
      <c r="B606" s="62" t="s">
        <v>413</v>
      </c>
      <c r="C606" s="63"/>
      <c r="D606" s="64"/>
      <c r="E606" s="65"/>
      <c r="F606" s="66"/>
      <c r="G606" s="63"/>
      <c r="H606" s="67"/>
      <c r="I606" s="68"/>
      <c r="J606" s="68"/>
      <c r="K606" s="32"/>
      <c r="L606" s="75">
        <v>606</v>
      </c>
      <c r="M606" s="75"/>
      <c r="N606" s="70"/>
      <c r="O606" s="77" t="s">
        <v>179</v>
      </c>
      <c r="P606" s="79">
        <v>45138.552800925929</v>
      </c>
      <c r="Q606" s="77" t="s">
        <v>1474</v>
      </c>
      <c r="R606" s="77">
        <v>0</v>
      </c>
      <c r="S606" s="77">
        <v>0</v>
      </c>
      <c r="T606" s="77">
        <v>0</v>
      </c>
      <c r="U606" s="77">
        <v>0</v>
      </c>
      <c r="V606" s="77">
        <v>86</v>
      </c>
      <c r="W606" s="82" t="s">
        <v>5145</v>
      </c>
      <c r="X606" s="77"/>
      <c r="Y606" s="77"/>
      <c r="Z606" s="77"/>
      <c r="AA606" s="77" t="s">
        <v>6989</v>
      </c>
      <c r="AB606" s="77" t="s">
        <v>7744</v>
      </c>
      <c r="AC606" s="82" t="s">
        <v>7750</v>
      </c>
      <c r="AD606" s="77" t="s">
        <v>7788</v>
      </c>
      <c r="AE606" s="80" t="str">
        <f>HYPERLINK("https://twitter.com/glaucojarzinski/status/1686002784246624257")</f>
        <v>https://twitter.com/glaucojarzinski/status/1686002784246624257</v>
      </c>
      <c r="AF606" s="79">
        <v>45138.552800925929</v>
      </c>
      <c r="AG606" s="85">
        <v>45138</v>
      </c>
      <c r="AH606" s="82" t="s">
        <v>8336</v>
      </c>
      <c r="AI606" s="77" t="b">
        <v>0</v>
      </c>
      <c r="AJ606" s="77"/>
      <c r="AK606" s="77"/>
      <c r="AL606" s="77"/>
      <c r="AM606" s="77"/>
      <c r="AN606" s="77"/>
      <c r="AO606" s="77"/>
      <c r="AP606" s="77"/>
      <c r="AQ606" s="77" t="s">
        <v>10961</v>
      </c>
      <c r="AR606" s="77"/>
      <c r="AS606" s="77"/>
      <c r="AT606" s="77"/>
      <c r="AU606" s="77"/>
      <c r="AV606" s="80" t="str">
        <f>HYPERLINK("https://pbs.twimg.com/media/F2XimEAXQAAGneu.jpg")</f>
        <v>https://pbs.twimg.com/media/F2XimEAXQAAGneu.jpg</v>
      </c>
      <c r="AW606" s="82" t="s">
        <v>12304</v>
      </c>
      <c r="AX606" s="82" t="s">
        <v>12304</v>
      </c>
      <c r="AY606" s="77"/>
      <c r="AZ606" s="82" t="s">
        <v>15984</v>
      </c>
      <c r="BA606" s="82" t="s">
        <v>15984</v>
      </c>
      <c r="BB606" s="82" t="s">
        <v>15984</v>
      </c>
      <c r="BC606" s="82" t="s">
        <v>12304</v>
      </c>
      <c r="BD606" s="77">
        <v>93754487</v>
      </c>
      <c r="BE606" s="77"/>
      <c r="BF606" s="77"/>
      <c r="BG606" s="77"/>
      <c r="BH606" s="77"/>
      <c r="BI606" s="77"/>
    </row>
    <row r="607" spans="1:61" x14ac:dyDescent="0.25">
      <c r="A607" s="62" t="s">
        <v>413</v>
      </c>
      <c r="B607" s="62" t="s">
        <v>413</v>
      </c>
      <c r="C607" s="63"/>
      <c r="D607" s="64"/>
      <c r="E607" s="65"/>
      <c r="F607" s="66"/>
      <c r="G607" s="63"/>
      <c r="H607" s="67"/>
      <c r="I607" s="68"/>
      <c r="J607" s="68"/>
      <c r="K607" s="32"/>
      <c r="L607" s="75">
        <v>607</v>
      </c>
      <c r="M607" s="75"/>
      <c r="N607" s="70"/>
      <c r="O607" s="77" t="s">
        <v>179</v>
      </c>
      <c r="P607" s="79">
        <v>45138.549722222226</v>
      </c>
      <c r="Q607" s="77" t="s">
        <v>1475</v>
      </c>
      <c r="R607" s="77">
        <v>0</v>
      </c>
      <c r="S607" s="77">
        <v>0</v>
      </c>
      <c r="T607" s="77">
        <v>0</v>
      </c>
      <c r="U607" s="77">
        <v>0</v>
      </c>
      <c r="V607" s="77">
        <v>147</v>
      </c>
      <c r="W607" s="82" t="s">
        <v>5146</v>
      </c>
      <c r="X607" s="77"/>
      <c r="Y607" s="77"/>
      <c r="Z607" s="77"/>
      <c r="AA607" s="77" t="s">
        <v>6990</v>
      </c>
      <c r="AB607" s="77" t="s">
        <v>7742</v>
      </c>
      <c r="AC607" s="82" t="s">
        <v>7750</v>
      </c>
      <c r="AD607" s="77" t="s">
        <v>7788</v>
      </c>
      <c r="AE607" s="80" t="str">
        <f>HYPERLINK("https://twitter.com/glaucojarzinski/status/1686001667295117312")</f>
        <v>https://twitter.com/glaucojarzinski/status/1686001667295117312</v>
      </c>
      <c r="AF607" s="79">
        <v>45138.549722222226</v>
      </c>
      <c r="AG607" s="85">
        <v>45138</v>
      </c>
      <c r="AH607" s="82" t="s">
        <v>8337</v>
      </c>
      <c r="AI607" s="77" t="b">
        <v>0</v>
      </c>
      <c r="AJ607" s="77"/>
      <c r="AK607" s="77"/>
      <c r="AL607" s="77"/>
      <c r="AM607" s="77"/>
      <c r="AN607" s="77"/>
      <c r="AO607" s="77"/>
      <c r="AP607" s="77"/>
      <c r="AQ607" s="77" t="s">
        <v>10962</v>
      </c>
      <c r="AR607" s="77"/>
      <c r="AS607" s="77"/>
      <c r="AT607" s="77"/>
      <c r="AU607" s="77"/>
      <c r="AV607" s="80" t="str">
        <f>HYPERLINK("https://pbs.twimg.com/media/F2XhlDzXkAANloY.jpg")</f>
        <v>https://pbs.twimg.com/media/F2XhlDzXkAANloY.jpg</v>
      </c>
      <c r="AW607" s="82" t="s">
        <v>12305</v>
      </c>
      <c r="AX607" s="82" t="s">
        <v>12305</v>
      </c>
      <c r="AY607" s="77"/>
      <c r="AZ607" s="82" t="s">
        <v>15984</v>
      </c>
      <c r="BA607" s="82" t="s">
        <v>15984</v>
      </c>
      <c r="BB607" s="82" t="s">
        <v>15984</v>
      </c>
      <c r="BC607" s="82" t="s">
        <v>12305</v>
      </c>
      <c r="BD607" s="77">
        <v>93754487</v>
      </c>
      <c r="BE607" s="77"/>
      <c r="BF607" s="77"/>
      <c r="BG607" s="77"/>
      <c r="BH607" s="77"/>
      <c r="BI607" s="77"/>
    </row>
    <row r="608" spans="1:61" x14ac:dyDescent="0.25">
      <c r="A608" s="62" t="s">
        <v>413</v>
      </c>
      <c r="B608" s="62" t="s">
        <v>413</v>
      </c>
      <c r="C608" s="63"/>
      <c r="D608" s="64"/>
      <c r="E608" s="65"/>
      <c r="F608" s="66"/>
      <c r="G608" s="63"/>
      <c r="H608" s="67"/>
      <c r="I608" s="68"/>
      <c r="J608" s="68"/>
      <c r="K608" s="32"/>
      <c r="L608" s="75">
        <v>608</v>
      </c>
      <c r="M608" s="75"/>
      <c r="N608" s="70"/>
      <c r="O608" s="77" t="s">
        <v>179</v>
      </c>
      <c r="P608" s="79">
        <v>45149.541203703702</v>
      </c>
      <c r="Q608" s="77" t="s">
        <v>1476</v>
      </c>
      <c r="R608" s="77">
        <v>0</v>
      </c>
      <c r="S608" s="77">
        <v>0</v>
      </c>
      <c r="T608" s="77">
        <v>0</v>
      </c>
      <c r="U608" s="77">
        <v>0</v>
      </c>
      <c r="V608" s="77">
        <v>93</v>
      </c>
      <c r="W608" s="82" t="s">
        <v>5145</v>
      </c>
      <c r="X608" s="77"/>
      <c r="Y608" s="77"/>
      <c r="Z608" s="77"/>
      <c r="AA608" s="77" t="s">
        <v>6991</v>
      </c>
      <c r="AB608" s="77" t="s">
        <v>7744</v>
      </c>
      <c r="AC608" s="82" t="s">
        <v>7750</v>
      </c>
      <c r="AD608" s="77" t="s">
        <v>7788</v>
      </c>
      <c r="AE608" s="80" t="str">
        <f>HYPERLINK("https://twitter.com/glaucojarzinski/status/1689984846595022850")</f>
        <v>https://twitter.com/glaucojarzinski/status/1689984846595022850</v>
      </c>
      <c r="AF608" s="79">
        <v>45149.541203703702</v>
      </c>
      <c r="AG608" s="85">
        <v>45149</v>
      </c>
      <c r="AH608" s="82" t="s">
        <v>8338</v>
      </c>
      <c r="AI608" s="77" t="b">
        <v>0</v>
      </c>
      <c r="AJ608" s="77"/>
      <c r="AK608" s="77"/>
      <c r="AL608" s="77"/>
      <c r="AM608" s="77"/>
      <c r="AN608" s="77"/>
      <c r="AO608" s="77"/>
      <c r="AP608" s="77"/>
      <c r="AQ608" s="77" t="s">
        <v>10963</v>
      </c>
      <c r="AR608" s="77"/>
      <c r="AS608" s="77"/>
      <c r="AT608" s="77"/>
      <c r="AU608" s="77"/>
      <c r="AV608" s="80" t="str">
        <f>HYPERLINK("https://pbs.twimg.com/media/F3QIQoAWwAM5YYF.jpg")</f>
        <v>https://pbs.twimg.com/media/F3QIQoAWwAM5YYF.jpg</v>
      </c>
      <c r="AW608" s="82" t="s">
        <v>12306</v>
      </c>
      <c r="AX608" s="82" t="s">
        <v>12306</v>
      </c>
      <c r="AY608" s="77"/>
      <c r="AZ608" s="82" t="s">
        <v>15984</v>
      </c>
      <c r="BA608" s="82" t="s">
        <v>15984</v>
      </c>
      <c r="BB608" s="82" t="s">
        <v>15984</v>
      </c>
      <c r="BC608" s="82" t="s">
        <v>12306</v>
      </c>
      <c r="BD608" s="77">
        <v>93754487</v>
      </c>
      <c r="BE608" s="77"/>
      <c r="BF608" s="77"/>
      <c r="BG608" s="77"/>
      <c r="BH608" s="77"/>
      <c r="BI608" s="77"/>
    </row>
    <row r="609" spans="1:61" x14ac:dyDescent="0.25">
      <c r="A609" s="62" t="s">
        <v>413</v>
      </c>
      <c r="B609" s="62" t="s">
        <v>413</v>
      </c>
      <c r="C609" s="63"/>
      <c r="D609" s="64"/>
      <c r="E609" s="65"/>
      <c r="F609" s="66"/>
      <c r="G609" s="63"/>
      <c r="H609" s="67"/>
      <c r="I609" s="68"/>
      <c r="J609" s="68"/>
      <c r="K609" s="32"/>
      <c r="L609" s="75">
        <v>609</v>
      </c>
      <c r="M609" s="75"/>
      <c r="N609" s="70"/>
      <c r="O609" s="77" t="s">
        <v>179</v>
      </c>
      <c r="P609" s="79">
        <v>45160.537037037036</v>
      </c>
      <c r="Q609" s="77" t="s">
        <v>1477</v>
      </c>
      <c r="R609" s="77">
        <v>0</v>
      </c>
      <c r="S609" s="77">
        <v>0</v>
      </c>
      <c r="T609" s="77">
        <v>1</v>
      </c>
      <c r="U609" s="77">
        <v>0</v>
      </c>
      <c r="V609" s="77">
        <v>107</v>
      </c>
      <c r="W609" s="82" t="s">
        <v>5145</v>
      </c>
      <c r="X609" s="77"/>
      <c r="Y609" s="77"/>
      <c r="Z609" s="77"/>
      <c r="AA609" s="77" t="s">
        <v>6992</v>
      </c>
      <c r="AB609" s="77" t="s">
        <v>7744</v>
      </c>
      <c r="AC609" s="82" t="s">
        <v>7750</v>
      </c>
      <c r="AD609" s="77" t="s">
        <v>7788</v>
      </c>
      <c r="AE609" s="80" t="str">
        <f>HYPERLINK("https://twitter.com/glaucojarzinski/status/1693969604614279589")</f>
        <v>https://twitter.com/glaucojarzinski/status/1693969604614279589</v>
      </c>
      <c r="AF609" s="79">
        <v>45160.537037037036</v>
      </c>
      <c r="AG609" s="85">
        <v>45160</v>
      </c>
      <c r="AH609" s="82" t="s">
        <v>8339</v>
      </c>
      <c r="AI609" s="77" t="b">
        <v>0</v>
      </c>
      <c r="AJ609" s="77"/>
      <c r="AK609" s="77"/>
      <c r="AL609" s="77"/>
      <c r="AM609" s="77"/>
      <c r="AN609" s="77"/>
      <c r="AO609" s="77"/>
      <c r="AP609" s="77"/>
      <c r="AQ609" s="77" t="s">
        <v>10964</v>
      </c>
      <c r="AR609" s="77"/>
      <c r="AS609" s="77"/>
      <c r="AT609" s="77"/>
      <c r="AU609" s="77"/>
      <c r="AV609" s="80" t="str">
        <f>HYPERLINK("https://pbs.twimg.com/media/F4IwYAAXoAEFM-z.jpg")</f>
        <v>https://pbs.twimg.com/media/F4IwYAAXoAEFM-z.jpg</v>
      </c>
      <c r="AW609" s="82" t="s">
        <v>12307</v>
      </c>
      <c r="AX609" s="82" t="s">
        <v>12307</v>
      </c>
      <c r="AY609" s="77"/>
      <c r="AZ609" s="82" t="s">
        <v>15984</v>
      </c>
      <c r="BA609" s="82" t="s">
        <v>15984</v>
      </c>
      <c r="BB609" s="82" t="s">
        <v>15984</v>
      </c>
      <c r="BC609" s="82" t="s">
        <v>12307</v>
      </c>
      <c r="BD609" s="77">
        <v>93754487</v>
      </c>
      <c r="BE609" s="77"/>
      <c r="BF609" s="77"/>
      <c r="BG609" s="77"/>
      <c r="BH609" s="77"/>
      <c r="BI609" s="77"/>
    </row>
    <row r="610" spans="1:61" x14ac:dyDescent="0.25">
      <c r="A610" s="62" t="s">
        <v>413</v>
      </c>
      <c r="B610" s="62" t="s">
        <v>413</v>
      </c>
      <c r="C610" s="63"/>
      <c r="D610" s="64"/>
      <c r="E610" s="65"/>
      <c r="F610" s="66"/>
      <c r="G610" s="63"/>
      <c r="H610" s="67"/>
      <c r="I610" s="68"/>
      <c r="J610" s="68"/>
      <c r="K610" s="32"/>
      <c r="L610" s="75">
        <v>610</v>
      </c>
      <c r="M610" s="75"/>
      <c r="N610" s="70"/>
      <c r="O610" s="77" t="s">
        <v>179</v>
      </c>
      <c r="P610" s="79">
        <v>45126.562013888892</v>
      </c>
      <c r="Q610" s="77" t="s">
        <v>1478</v>
      </c>
      <c r="R610" s="77">
        <v>0</v>
      </c>
      <c r="S610" s="77">
        <v>0</v>
      </c>
      <c r="T610" s="77">
        <v>1</v>
      </c>
      <c r="U610" s="77">
        <v>0</v>
      </c>
      <c r="V610" s="77">
        <v>85</v>
      </c>
      <c r="W610" s="82" t="s">
        <v>5145</v>
      </c>
      <c r="X610" s="77"/>
      <c r="Y610" s="77"/>
      <c r="Z610" s="77"/>
      <c r="AA610" s="77" t="s">
        <v>6993</v>
      </c>
      <c r="AB610" s="77" t="s">
        <v>7744</v>
      </c>
      <c r="AC610" s="82" t="s">
        <v>7750</v>
      </c>
      <c r="AD610" s="77" t="s">
        <v>7788</v>
      </c>
      <c r="AE610" s="80" t="str">
        <f>HYPERLINK("https://twitter.com/glaucojarzinski/status/1681657467086815238")</f>
        <v>https://twitter.com/glaucojarzinski/status/1681657467086815238</v>
      </c>
      <c r="AF610" s="79">
        <v>45126.562013888892</v>
      </c>
      <c r="AG610" s="85">
        <v>45126</v>
      </c>
      <c r="AH610" s="82" t="s">
        <v>8340</v>
      </c>
      <c r="AI610" s="77" t="b">
        <v>0</v>
      </c>
      <c r="AJ610" s="77"/>
      <c r="AK610" s="77"/>
      <c r="AL610" s="77"/>
      <c r="AM610" s="77"/>
      <c r="AN610" s="77"/>
      <c r="AO610" s="77"/>
      <c r="AP610" s="77"/>
      <c r="AQ610" s="77" t="s">
        <v>10965</v>
      </c>
      <c r="AR610" s="77"/>
      <c r="AS610" s="77"/>
      <c r="AT610" s="77"/>
      <c r="AU610" s="77"/>
      <c r="AV610" s="80" t="str">
        <f>HYPERLINK("https://pbs.twimg.com/media/F1ZyjNlX0AAgy67.jpg")</f>
        <v>https://pbs.twimg.com/media/F1ZyjNlX0AAgy67.jpg</v>
      </c>
      <c r="AW610" s="82" t="s">
        <v>12308</v>
      </c>
      <c r="AX610" s="82" t="s">
        <v>12308</v>
      </c>
      <c r="AY610" s="77"/>
      <c r="AZ610" s="82" t="s">
        <v>15984</v>
      </c>
      <c r="BA610" s="82" t="s">
        <v>15984</v>
      </c>
      <c r="BB610" s="82" t="s">
        <v>15984</v>
      </c>
      <c r="BC610" s="82" t="s">
        <v>12308</v>
      </c>
      <c r="BD610" s="77">
        <v>93754487</v>
      </c>
      <c r="BE610" s="77"/>
      <c r="BF610" s="77"/>
      <c r="BG610" s="77"/>
      <c r="BH610" s="77"/>
      <c r="BI610" s="77"/>
    </row>
    <row r="611" spans="1:61" x14ac:dyDescent="0.25">
      <c r="A611" s="62" t="s">
        <v>413</v>
      </c>
      <c r="B611" s="62" t="s">
        <v>413</v>
      </c>
      <c r="C611" s="63"/>
      <c r="D611" s="64"/>
      <c r="E611" s="65"/>
      <c r="F611" s="66"/>
      <c r="G611" s="63"/>
      <c r="H611" s="67"/>
      <c r="I611" s="68"/>
      <c r="J611" s="68"/>
      <c r="K611" s="32"/>
      <c r="L611" s="75">
        <v>611</v>
      </c>
      <c r="M611" s="75"/>
      <c r="N611" s="70"/>
      <c r="O611" s="77" t="s">
        <v>179</v>
      </c>
      <c r="P611" s="79">
        <v>45161.549039351848</v>
      </c>
      <c r="Q611" s="77" t="s">
        <v>1479</v>
      </c>
      <c r="R611" s="77">
        <v>0</v>
      </c>
      <c r="S611" s="77">
        <v>0</v>
      </c>
      <c r="T611" s="77">
        <v>0</v>
      </c>
      <c r="U611" s="77">
        <v>0</v>
      </c>
      <c r="V611" s="77">
        <v>116</v>
      </c>
      <c r="W611" s="82" t="s">
        <v>5145</v>
      </c>
      <c r="X611" s="77"/>
      <c r="Y611" s="77"/>
      <c r="Z611" s="77"/>
      <c r="AA611" s="77" t="s">
        <v>6994</v>
      </c>
      <c r="AB611" s="77" t="s">
        <v>7744</v>
      </c>
      <c r="AC611" s="82" t="s">
        <v>7750</v>
      </c>
      <c r="AD611" s="77" t="s">
        <v>7788</v>
      </c>
      <c r="AE611" s="80" t="str">
        <f>HYPERLINK("https://twitter.com/glaucojarzinski/status/1694336341679423901")</f>
        <v>https://twitter.com/glaucojarzinski/status/1694336341679423901</v>
      </c>
      <c r="AF611" s="79">
        <v>45161.549039351848</v>
      </c>
      <c r="AG611" s="85">
        <v>45161</v>
      </c>
      <c r="AH611" s="82" t="s">
        <v>8341</v>
      </c>
      <c r="AI611" s="77" t="b">
        <v>0</v>
      </c>
      <c r="AJ611" s="77"/>
      <c r="AK611" s="77"/>
      <c r="AL611" s="77"/>
      <c r="AM611" s="77"/>
      <c r="AN611" s="77"/>
      <c r="AO611" s="77"/>
      <c r="AP611" s="77"/>
      <c r="AQ611" s="77" t="s">
        <v>10966</v>
      </c>
      <c r="AR611" s="77"/>
      <c r="AS611" s="77"/>
      <c r="AT611" s="77"/>
      <c r="AU611" s="77"/>
      <c r="AV611" s="80" t="str">
        <f>HYPERLINK("https://pbs.twimg.com/media/F4N96OjWgAEgFQq.jpg")</f>
        <v>https://pbs.twimg.com/media/F4N96OjWgAEgFQq.jpg</v>
      </c>
      <c r="AW611" s="82" t="s">
        <v>12309</v>
      </c>
      <c r="AX611" s="82" t="s">
        <v>12309</v>
      </c>
      <c r="AY611" s="77"/>
      <c r="AZ611" s="82" t="s">
        <v>15984</v>
      </c>
      <c r="BA611" s="82" t="s">
        <v>15984</v>
      </c>
      <c r="BB611" s="82" t="s">
        <v>15984</v>
      </c>
      <c r="BC611" s="82" t="s">
        <v>12309</v>
      </c>
      <c r="BD611" s="77">
        <v>93754487</v>
      </c>
      <c r="BE611" s="77"/>
      <c r="BF611" s="77"/>
      <c r="BG611" s="77"/>
      <c r="BH611" s="77"/>
      <c r="BI611" s="77"/>
    </row>
    <row r="612" spans="1:61" x14ac:dyDescent="0.25">
      <c r="A612" s="62" t="s">
        <v>413</v>
      </c>
      <c r="B612" s="62" t="s">
        <v>413</v>
      </c>
      <c r="C612" s="63"/>
      <c r="D612" s="64"/>
      <c r="E612" s="65"/>
      <c r="F612" s="66"/>
      <c r="G612" s="63"/>
      <c r="H612" s="67"/>
      <c r="I612" s="68"/>
      <c r="J612" s="68"/>
      <c r="K612" s="32"/>
      <c r="L612" s="75">
        <v>612</v>
      </c>
      <c r="M612" s="75"/>
      <c r="N612" s="70"/>
      <c r="O612" s="77" t="s">
        <v>179</v>
      </c>
      <c r="P612" s="79">
        <v>45167.538587962961</v>
      </c>
      <c r="Q612" s="77" t="s">
        <v>1480</v>
      </c>
      <c r="R612" s="77">
        <v>0</v>
      </c>
      <c r="S612" s="77">
        <v>0</v>
      </c>
      <c r="T612" s="77">
        <v>1</v>
      </c>
      <c r="U612" s="77">
        <v>0</v>
      </c>
      <c r="V612" s="77">
        <v>73</v>
      </c>
      <c r="W612" s="82" t="s">
        <v>5145</v>
      </c>
      <c r="X612" s="77"/>
      <c r="Y612" s="77"/>
      <c r="Z612" s="77"/>
      <c r="AA612" s="77" t="s">
        <v>6995</v>
      </c>
      <c r="AB612" s="77" t="s">
        <v>7744</v>
      </c>
      <c r="AC612" s="82" t="s">
        <v>7750</v>
      </c>
      <c r="AD612" s="77" t="s">
        <v>7788</v>
      </c>
      <c r="AE612" s="80" t="str">
        <f>HYPERLINK("https://twitter.com/glaucojarzinski/status/1696506880716058870")</f>
        <v>https://twitter.com/glaucojarzinski/status/1696506880716058870</v>
      </c>
      <c r="AF612" s="79">
        <v>45167.538587962961</v>
      </c>
      <c r="AG612" s="85">
        <v>45167</v>
      </c>
      <c r="AH612" s="82" t="s">
        <v>8342</v>
      </c>
      <c r="AI612" s="77" t="b">
        <v>0</v>
      </c>
      <c r="AJ612" s="77"/>
      <c r="AK612" s="77"/>
      <c r="AL612" s="77"/>
      <c r="AM612" s="77"/>
      <c r="AN612" s="77"/>
      <c r="AO612" s="77"/>
      <c r="AP612" s="77"/>
      <c r="AQ612" s="77" t="s">
        <v>10967</v>
      </c>
      <c r="AR612" s="77"/>
      <c r="AS612" s="77"/>
      <c r="AT612" s="77"/>
      <c r="AU612" s="77"/>
      <c r="AV612" s="80" t="str">
        <f>HYPERLINK("https://pbs.twimg.com/media/F4s0A-GWEAEPOzZ.jpg")</f>
        <v>https://pbs.twimg.com/media/F4s0A-GWEAEPOzZ.jpg</v>
      </c>
      <c r="AW612" s="82" t="s">
        <v>12310</v>
      </c>
      <c r="AX612" s="82" t="s">
        <v>12310</v>
      </c>
      <c r="AY612" s="77"/>
      <c r="AZ612" s="82" t="s">
        <v>15984</v>
      </c>
      <c r="BA612" s="82" t="s">
        <v>15984</v>
      </c>
      <c r="BB612" s="82" t="s">
        <v>15984</v>
      </c>
      <c r="BC612" s="82" t="s">
        <v>12310</v>
      </c>
      <c r="BD612" s="77">
        <v>93754487</v>
      </c>
      <c r="BE612" s="77"/>
      <c r="BF612" s="77"/>
      <c r="BG612" s="77"/>
      <c r="BH612" s="77"/>
      <c r="BI612" s="77"/>
    </row>
    <row r="613" spans="1:61" x14ac:dyDescent="0.25">
      <c r="A613" s="62" t="s">
        <v>413</v>
      </c>
      <c r="B613" s="62" t="s">
        <v>413</v>
      </c>
      <c r="C613" s="63"/>
      <c r="D613" s="64"/>
      <c r="E613" s="65"/>
      <c r="F613" s="66"/>
      <c r="G613" s="63"/>
      <c r="H613" s="67"/>
      <c r="I613" s="68"/>
      <c r="J613" s="68"/>
      <c r="K613" s="32"/>
      <c r="L613" s="75">
        <v>613</v>
      </c>
      <c r="M613" s="75"/>
      <c r="N613" s="70"/>
      <c r="O613" s="77" t="s">
        <v>179</v>
      </c>
      <c r="P613" s="79">
        <v>45131.547233796293</v>
      </c>
      <c r="Q613" s="77" t="s">
        <v>1481</v>
      </c>
      <c r="R613" s="77">
        <v>0</v>
      </c>
      <c r="S613" s="77">
        <v>1</v>
      </c>
      <c r="T613" s="77">
        <v>1</v>
      </c>
      <c r="U613" s="77">
        <v>0</v>
      </c>
      <c r="V613" s="77">
        <v>141</v>
      </c>
      <c r="W613" s="82" t="s">
        <v>5145</v>
      </c>
      <c r="X613" s="77"/>
      <c r="Y613" s="77"/>
      <c r="Z613" s="77"/>
      <c r="AA613" s="77" t="s">
        <v>6996</v>
      </c>
      <c r="AB613" s="77" t="s">
        <v>7744</v>
      </c>
      <c r="AC613" s="82" t="s">
        <v>7750</v>
      </c>
      <c r="AD613" s="77" t="s">
        <v>7788</v>
      </c>
      <c r="AE613" s="80" t="str">
        <f>HYPERLINK("https://twitter.com/glaucojarzinski/status/1683464048338169860")</f>
        <v>https://twitter.com/glaucojarzinski/status/1683464048338169860</v>
      </c>
      <c r="AF613" s="79">
        <v>45131.547233796293</v>
      </c>
      <c r="AG613" s="85">
        <v>45131</v>
      </c>
      <c r="AH613" s="82" t="s">
        <v>8343</v>
      </c>
      <c r="AI613" s="77" t="b">
        <v>0</v>
      </c>
      <c r="AJ613" s="77"/>
      <c r="AK613" s="77"/>
      <c r="AL613" s="77"/>
      <c r="AM613" s="77"/>
      <c r="AN613" s="77"/>
      <c r="AO613" s="77"/>
      <c r="AP613" s="77"/>
      <c r="AQ613" s="77" t="s">
        <v>10968</v>
      </c>
      <c r="AR613" s="77"/>
      <c r="AS613" s="77"/>
      <c r="AT613" s="77"/>
      <c r="AU613" s="77"/>
      <c r="AV613" s="80" t="str">
        <f>HYPERLINK("https://pbs.twimg.com/media/F1zdoJjXsAERauq.jpg")</f>
        <v>https://pbs.twimg.com/media/F1zdoJjXsAERauq.jpg</v>
      </c>
      <c r="AW613" s="82" t="s">
        <v>12311</v>
      </c>
      <c r="AX613" s="82" t="s">
        <v>12311</v>
      </c>
      <c r="AY613" s="77"/>
      <c r="AZ613" s="82" t="s">
        <v>15984</v>
      </c>
      <c r="BA613" s="82" t="s">
        <v>15984</v>
      </c>
      <c r="BB613" s="82" t="s">
        <v>15984</v>
      </c>
      <c r="BC613" s="82" t="s">
        <v>12311</v>
      </c>
      <c r="BD613" s="77">
        <v>93754487</v>
      </c>
      <c r="BE613" s="77"/>
      <c r="BF613" s="77"/>
      <c r="BG613" s="77"/>
      <c r="BH613" s="77"/>
      <c r="BI613" s="77"/>
    </row>
    <row r="614" spans="1:61" x14ac:dyDescent="0.25">
      <c r="A614" s="62" t="s">
        <v>413</v>
      </c>
      <c r="B614" s="62" t="s">
        <v>413</v>
      </c>
      <c r="C614" s="63"/>
      <c r="D614" s="64"/>
      <c r="E614" s="65"/>
      <c r="F614" s="66"/>
      <c r="G614" s="63"/>
      <c r="H614" s="67"/>
      <c r="I614" s="68"/>
      <c r="J614" s="68"/>
      <c r="K614" s="32"/>
      <c r="L614" s="75">
        <v>614</v>
      </c>
      <c r="M614" s="75"/>
      <c r="N614" s="70"/>
      <c r="O614" s="77" t="s">
        <v>179</v>
      </c>
      <c r="P614" s="79">
        <v>45166.55777777778</v>
      </c>
      <c r="Q614" s="77" t="s">
        <v>1482</v>
      </c>
      <c r="R614" s="77">
        <v>0</v>
      </c>
      <c r="S614" s="77">
        <v>0</v>
      </c>
      <c r="T614" s="77">
        <v>1</v>
      </c>
      <c r="U614" s="77">
        <v>0</v>
      </c>
      <c r="V614" s="77">
        <v>71</v>
      </c>
      <c r="W614" s="82" t="s">
        <v>5145</v>
      </c>
      <c r="X614" s="77"/>
      <c r="Y614" s="77"/>
      <c r="Z614" s="77"/>
      <c r="AA614" s="77" t="s">
        <v>6997</v>
      </c>
      <c r="AB614" s="77" t="s">
        <v>7744</v>
      </c>
      <c r="AC614" s="82" t="s">
        <v>7750</v>
      </c>
      <c r="AD614" s="77" t="s">
        <v>7788</v>
      </c>
      <c r="AE614" s="80" t="str">
        <f>HYPERLINK("https://twitter.com/glaucojarzinski/status/1696151444825485612")</f>
        <v>https://twitter.com/glaucojarzinski/status/1696151444825485612</v>
      </c>
      <c r="AF614" s="79">
        <v>45166.55777777778</v>
      </c>
      <c r="AG614" s="85">
        <v>45166</v>
      </c>
      <c r="AH614" s="82" t="s">
        <v>8344</v>
      </c>
      <c r="AI614" s="77" t="b">
        <v>0</v>
      </c>
      <c r="AJ614" s="77"/>
      <c r="AK614" s="77"/>
      <c r="AL614" s="77"/>
      <c r="AM614" s="77"/>
      <c r="AN614" s="77"/>
      <c r="AO614" s="77"/>
      <c r="AP614" s="77"/>
      <c r="AQ614" s="77" t="s">
        <v>10969</v>
      </c>
      <c r="AR614" s="77"/>
      <c r="AS614" s="77"/>
      <c r="AT614" s="77"/>
      <c r="AU614" s="77"/>
      <c r="AV614" s="80" t="str">
        <f>HYPERLINK("https://pbs.twimg.com/media/F4nwvepXEAAZXI2.jpg")</f>
        <v>https://pbs.twimg.com/media/F4nwvepXEAAZXI2.jpg</v>
      </c>
      <c r="AW614" s="82" t="s">
        <v>12312</v>
      </c>
      <c r="AX614" s="82" t="s">
        <v>12312</v>
      </c>
      <c r="AY614" s="77"/>
      <c r="AZ614" s="82" t="s">
        <v>15984</v>
      </c>
      <c r="BA614" s="82" t="s">
        <v>15984</v>
      </c>
      <c r="BB614" s="82" t="s">
        <v>15984</v>
      </c>
      <c r="BC614" s="82" t="s">
        <v>12312</v>
      </c>
      <c r="BD614" s="77">
        <v>93754487</v>
      </c>
      <c r="BE614" s="77"/>
      <c r="BF614" s="77"/>
      <c r="BG614" s="77"/>
      <c r="BH614" s="77"/>
      <c r="BI614" s="77"/>
    </row>
    <row r="615" spans="1:61" x14ac:dyDescent="0.25">
      <c r="A615" s="62" t="s">
        <v>413</v>
      </c>
      <c r="B615" s="62" t="s">
        <v>413</v>
      </c>
      <c r="C615" s="63"/>
      <c r="D615" s="64"/>
      <c r="E615" s="65"/>
      <c r="F615" s="66"/>
      <c r="G615" s="63"/>
      <c r="H615" s="67"/>
      <c r="I615" s="68"/>
      <c r="J615" s="68"/>
      <c r="K615" s="32"/>
      <c r="L615" s="75">
        <v>615</v>
      </c>
      <c r="M615" s="75"/>
      <c r="N615" s="70"/>
      <c r="O615" s="77" t="s">
        <v>179</v>
      </c>
      <c r="P615" s="79">
        <v>45168.559108796297</v>
      </c>
      <c r="Q615" s="77" t="s">
        <v>1483</v>
      </c>
      <c r="R615" s="77">
        <v>0</v>
      </c>
      <c r="S615" s="77">
        <v>0</v>
      </c>
      <c r="T615" s="77">
        <v>0</v>
      </c>
      <c r="U615" s="77">
        <v>0</v>
      </c>
      <c r="V615" s="77">
        <v>59</v>
      </c>
      <c r="W615" s="82" t="s">
        <v>5145</v>
      </c>
      <c r="X615" s="77"/>
      <c r="Y615" s="77"/>
      <c r="Z615" s="77"/>
      <c r="AA615" s="77" t="s">
        <v>6998</v>
      </c>
      <c r="AB615" s="77" t="s">
        <v>7744</v>
      </c>
      <c r="AC615" s="82" t="s">
        <v>7750</v>
      </c>
      <c r="AD615" s="77" t="s">
        <v>7788</v>
      </c>
      <c r="AE615" s="80" t="str">
        <f>HYPERLINK("https://twitter.com/glaucojarzinski/status/1696876702767395265")</f>
        <v>https://twitter.com/glaucojarzinski/status/1696876702767395265</v>
      </c>
      <c r="AF615" s="79">
        <v>45168.559108796297</v>
      </c>
      <c r="AG615" s="85">
        <v>45168</v>
      </c>
      <c r="AH615" s="82" t="s">
        <v>8345</v>
      </c>
      <c r="AI615" s="77" t="b">
        <v>0</v>
      </c>
      <c r="AJ615" s="77"/>
      <c r="AK615" s="77"/>
      <c r="AL615" s="77"/>
      <c r="AM615" s="77"/>
      <c r="AN615" s="77"/>
      <c r="AO615" s="77"/>
      <c r="AP615" s="77"/>
      <c r="AQ615" s="77" t="s">
        <v>10970</v>
      </c>
      <c r="AR615" s="77"/>
      <c r="AS615" s="77"/>
      <c r="AT615" s="77"/>
      <c r="AU615" s="77"/>
      <c r="AV615" s="80" t="str">
        <f>HYPERLINK("https://pbs.twimg.com/media/F4yEWLoXsAA7Uen.jpg")</f>
        <v>https://pbs.twimg.com/media/F4yEWLoXsAA7Uen.jpg</v>
      </c>
      <c r="AW615" s="82" t="s">
        <v>12313</v>
      </c>
      <c r="AX615" s="82" t="s">
        <v>12313</v>
      </c>
      <c r="AY615" s="77"/>
      <c r="AZ615" s="82" t="s">
        <v>15984</v>
      </c>
      <c r="BA615" s="82" t="s">
        <v>15984</v>
      </c>
      <c r="BB615" s="82" t="s">
        <v>15984</v>
      </c>
      <c r="BC615" s="82" t="s">
        <v>12313</v>
      </c>
      <c r="BD615" s="77">
        <v>93754487</v>
      </c>
      <c r="BE615" s="77"/>
      <c r="BF615" s="77"/>
      <c r="BG615" s="77"/>
      <c r="BH615" s="77"/>
      <c r="BI615" s="77"/>
    </row>
    <row r="616" spans="1:61" x14ac:dyDescent="0.25">
      <c r="A616" s="62" t="s">
        <v>413</v>
      </c>
      <c r="B616" s="62" t="s">
        <v>413</v>
      </c>
      <c r="C616" s="63"/>
      <c r="D616" s="64"/>
      <c r="E616" s="65"/>
      <c r="F616" s="66"/>
      <c r="G616" s="63"/>
      <c r="H616" s="67"/>
      <c r="I616" s="68"/>
      <c r="J616" s="68"/>
      <c r="K616" s="32"/>
      <c r="L616" s="75">
        <v>616</v>
      </c>
      <c r="M616" s="75"/>
      <c r="N616" s="70"/>
      <c r="O616" s="77" t="s">
        <v>179</v>
      </c>
      <c r="P616" s="79">
        <v>45166.557314814818</v>
      </c>
      <c r="Q616" s="77" t="s">
        <v>1484</v>
      </c>
      <c r="R616" s="77">
        <v>0</v>
      </c>
      <c r="S616" s="77">
        <v>0</v>
      </c>
      <c r="T616" s="77">
        <v>0</v>
      </c>
      <c r="U616" s="77">
        <v>0</v>
      </c>
      <c r="V616" s="77">
        <v>98</v>
      </c>
      <c r="W616" s="82" t="s">
        <v>5146</v>
      </c>
      <c r="X616" s="77"/>
      <c r="Y616" s="77"/>
      <c r="Z616" s="77"/>
      <c r="AA616" s="77" t="s">
        <v>6999</v>
      </c>
      <c r="AB616" s="77" t="s">
        <v>7742</v>
      </c>
      <c r="AC616" s="82" t="s">
        <v>7750</v>
      </c>
      <c r="AD616" s="77" t="s">
        <v>7788</v>
      </c>
      <c r="AE616" s="80" t="str">
        <f>HYPERLINK("https://twitter.com/glaucojarzinski/status/1696151278127088082")</f>
        <v>https://twitter.com/glaucojarzinski/status/1696151278127088082</v>
      </c>
      <c r="AF616" s="79">
        <v>45166.557314814818</v>
      </c>
      <c r="AG616" s="85">
        <v>45166</v>
      </c>
      <c r="AH616" s="82" t="s">
        <v>8346</v>
      </c>
      <c r="AI616" s="77" t="b">
        <v>0</v>
      </c>
      <c r="AJ616" s="77"/>
      <c r="AK616" s="77"/>
      <c r="AL616" s="77"/>
      <c r="AM616" s="77"/>
      <c r="AN616" s="77"/>
      <c r="AO616" s="77"/>
      <c r="AP616" s="77"/>
      <c r="AQ616" s="77" t="s">
        <v>10971</v>
      </c>
      <c r="AR616" s="77"/>
      <c r="AS616" s="77"/>
      <c r="AT616" s="77"/>
      <c r="AU616" s="77"/>
      <c r="AV616" s="80" t="str">
        <f>HYPERLINK("https://pbs.twimg.com/media/F4nwfxnWoAAQLeW.jpg")</f>
        <v>https://pbs.twimg.com/media/F4nwfxnWoAAQLeW.jpg</v>
      </c>
      <c r="AW616" s="82" t="s">
        <v>12314</v>
      </c>
      <c r="AX616" s="82" t="s">
        <v>12314</v>
      </c>
      <c r="AY616" s="77"/>
      <c r="AZ616" s="82" t="s">
        <v>15984</v>
      </c>
      <c r="BA616" s="82" t="s">
        <v>15984</v>
      </c>
      <c r="BB616" s="82" t="s">
        <v>15984</v>
      </c>
      <c r="BC616" s="82" t="s">
        <v>12314</v>
      </c>
      <c r="BD616" s="77">
        <v>93754487</v>
      </c>
      <c r="BE616" s="77"/>
      <c r="BF616" s="77"/>
      <c r="BG616" s="77"/>
      <c r="BH616" s="77"/>
      <c r="BI616" s="77"/>
    </row>
    <row r="617" spans="1:61" x14ac:dyDescent="0.25">
      <c r="A617" s="62" t="s">
        <v>413</v>
      </c>
      <c r="B617" s="62" t="s">
        <v>413</v>
      </c>
      <c r="C617" s="63"/>
      <c r="D617" s="64"/>
      <c r="E617" s="65"/>
      <c r="F617" s="66"/>
      <c r="G617" s="63"/>
      <c r="H617" s="67"/>
      <c r="I617" s="68"/>
      <c r="J617" s="68"/>
      <c r="K617" s="32"/>
      <c r="L617" s="75">
        <v>617</v>
      </c>
      <c r="M617" s="75"/>
      <c r="N617" s="70"/>
      <c r="O617" s="77" t="s">
        <v>179</v>
      </c>
      <c r="P617" s="79">
        <v>45173.514537037037</v>
      </c>
      <c r="Q617" s="77" t="s">
        <v>1485</v>
      </c>
      <c r="R617" s="77">
        <v>0</v>
      </c>
      <c r="S617" s="77">
        <v>0</v>
      </c>
      <c r="T617" s="77">
        <v>0</v>
      </c>
      <c r="U617" s="77">
        <v>0</v>
      </c>
      <c r="V617" s="77">
        <v>85</v>
      </c>
      <c r="W617" s="82" t="s">
        <v>5146</v>
      </c>
      <c r="X617" s="77"/>
      <c r="Y617" s="77"/>
      <c r="Z617" s="77"/>
      <c r="AA617" s="77" t="s">
        <v>7000</v>
      </c>
      <c r="AB617" s="77" t="s">
        <v>7742</v>
      </c>
      <c r="AC617" s="82" t="s">
        <v>7750</v>
      </c>
      <c r="AD617" s="77" t="s">
        <v>7788</v>
      </c>
      <c r="AE617" s="80" t="str">
        <f>HYPERLINK("https://twitter.com/glaucojarzinski/status/1698672492393431144")</f>
        <v>https://twitter.com/glaucojarzinski/status/1698672492393431144</v>
      </c>
      <c r="AF617" s="79">
        <v>45173.514537037037</v>
      </c>
      <c r="AG617" s="85">
        <v>45173</v>
      </c>
      <c r="AH617" s="82" t="s">
        <v>8347</v>
      </c>
      <c r="AI617" s="77" t="b">
        <v>0</v>
      </c>
      <c r="AJ617" s="77"/>
      <c r="AK617" s="77"/>
      <c r="AL617" s="77"/>
      <c r="AM617" s="77"/>
      <c r="AN617" s="77"/>
      <c r="AO617" s="77"/>
      <c r="AP617" s="77"/>
      <c r="AQ617" s="77" t="s">
        <v>10972</v>
      </c>
      <c r="AR617" s="77"/>
      <c r="AS617" s="77"/>
      <c r="AT617" s="77"/>
      <c r="AU617" s="77"/>
      <c r="AV617" s="80" t="str">
        <f>HYPERLINK("https://pbs.twimg.com/media/F5Lln7iWYAA91IC.jpg")</f>
        <v>https://pbs.twimg.com/media/F5Lln7iWYAA91IC.jpg</v>
      </c>
      <c r="AW617" s="82" t="s">
        <v>12315</v>
      </c>
      <c r="AX617" s="82" t="s">
        <v>12315</v>
      </c>
      <c r="AY617" s="77"/>
      <c r="AZ617" s="82" t="s">
        <v>15984</v>
      </c>
      <c r="BA617" s="82" t="s">
        <v>15984</v>
      </c>
      <c r="BB617" s="82" t="s">
        <v>15984</v>
      </c>
      <c r="BC617" s="82" t="s">
        <v>12315</v>
      </c>
      <c r="BD617" s="77">
        <v>93754487</v>
      </c>
      <c r="BE617" s="77"/>
      <c r="BF617" s="77"/>
      <c r="BG617" s="77"/>
      <c r="BH617" s="77"/>
      <c r="BI617" s="77"/>
    </row>
    <row r="618" spans="1:61" x14ac:dyDescent="0.25">
      <c r="A618" s="62" t="s">
        <v>413</v>
      </c>
      <c r="B618" s="62" t="s">
        <v>413</v>
      </c>
      <c r="C618" s="63"/>
      <c r="D618" s="64"/>
      <c r="E618" s="65"/>
      <c r="F618" s="66"/>
      <c r="G618" s="63"/>
      <c r="H618" s="67"/>
      <c r="I618" s="68"/>
      <c r="J618" s="68"/>
      <c r="K618" s="32"/>
      <c r="L618" s="75">
        <v>618</v>
      </c>
      <c r="M618" s="75"/>
      <c r="N618" s="70"/>
      <c r="O618" s="77" t="s">
        <v>179</v>
      </c>
      <c r="P618" s="79">
        <v>45173.508657407408</v>
      </c>
      <c r="Q618" s="77" t="s">
        <v>1486</v>
      </c>
      <c r="R618" s="77">
        <v>0</v>
      </c>
      <c r="S618" s="77">
        <v>0</v>
      </c>
      <c r="T618" s="77">
        <v>1</v>
      </c>
      <c r="U618" s="77">
        <v>0</v>
      </c>
      <c r="V618" s="77">
        <v>47</v>
      </c>
      <c r="W618" s="82" t="s">
        <v>5145</v>
      </c>
      <c r="X618" s="77"/>
      <c r="Y618" s="77"/>
      <c r="Z618" s="77"/>
      <c r="AA618" s="77" t="s">
        <v>7001</v>
      </c>
      <c r="AB618" s="77" t="s">
        <v>7744</v>
      </c>
      <c r="AC618" s="82" t="s">
        <v>7750</v>
      </c>
      <c r="AD618" s="77" t="s">
        <v>7788</v>
      </c>
      <c r="AE618" s="80" t="str">
        <f>HYPERLINK("https://twitter.com/glaucojarzinski/status/1698670362022535569")</f>
        <v>https://twitter.com/glaucojarzinski/status/1698670362022535569</v>
      </c>
      <c r="AF618" s="79">
        <v>45173.508657407408</v>
      </c>
      <c r="AG618" s="85">
        <v>45173</v>
      </c>
      <c r="AH618" s="82" t="s">
        <v>8348</v>
      </c>
      <c r="AI618" s="77" t="b">
        <v>0</v>
      </c>
      <c r="AJ618" s="77"/>
      <c r="AK618" s="77"/>
      <c r="AL618" s="77"/>
      <c r="AM618" s="77"/>
      <c r="AN618" s="77"/>
      <c r="AO618" s="77"/>
      <c r="AP618" s="77"/>
      <c r="AQ618" s="77" t="s">
        <v>10973</v>
      </c>
      <c r="AR618" s="77"/>
      <c r="AS618" s="77"/>
      <c r="AT618" s="77"/>
      <c r="AU618" s="77"/>
      <c r="AV618" s="80" t="str">
        <f>HYPERLINK("https://pbs.twimg.com/media/F5LjsBUXQAA_jb7.jpg")</f>
        <v>https://pbs.twimg.com/media/F5LjsBUXQAA_jb7.jpg</v>
      </c>
      <c r="AW618" s="82" t="s">
        <v>12316</v>
      </c>
      <c r="AX618" s="82" t="s">
        <v>12316</v>
      </c>
      <c r="AY618" s="77"/>
      <c r="AZ618" s="82" t="s">
        <v>15984</v>
      </c>
      <c r="BA618" s="82" t="s">
        <v>15984</v>
      </c>
      <c r="BB618" s="82" t="s">
        <v>15984</v>
      </c>
      <c r="BC618" s="82" t="s">
        <v>12316</v>
      </c>
      <c r="BD618" s="77">
        <v>93754487</v>
      </c>
      <c r="BE618" s="77"/>
      <c r="BF618" s="77"/>
      <c r="BG618" s="77"/>
      <c r="BH618" s="77"/>
      <c r="BI618" s="77"/>
    </row>
    <row r="619" spans="1:61" x14ac:dyDescent="0.25">
      <c r="A619" s="62" t="s">
        <v>413</v>
      </c>
      <c r="B619" s="62" t="s">
        <v>413</v>
      </c>
      <c r="C619" s="63"/>
      <c r="D619" s="64"/>
      <c r="E619" s="65"/>
      <c r="F619" s="66"/>
      <c r="G619" s="63"/>
      <c r="H619" s="67"/>
      <c r="I619" s="68"/>
      <c r="J619" s="68"/>
      <c r="K619" s="32"/>
      <c r="L619" s="75">
        <v>619</v>
      </c>
      <c r="M619" s="75"/>
      <c r="N619" s="70"/>
      <c r="O619" s="77" t="s">
        <v>179</v>
      </c>
      <c r="P619" s="79">
        <v>45162.539641203701</v>
      </c>
      <c r="Q619" s="77" t="s">
        <v>1487</v>
      </c>
      <c r="R619" s="77">
        <v>0</v>
      </c>
      <c r="S619" s="77">
        <v>0</v>
      </c>
      <c r="T619" s="77">
        <v>0</v>
      </c>
      <c r="U619" s="77">
        <v>0</v>
      </c>
      <c r="V619" s="77">
        <v>568</v>
      </c>
      <c r="W619" s="82" t="s">
        <v>5145</v>
      </c>
      <c r="X619" s="77"/>
      <c r="Y619" s="77"/>
      <c r="Z619" s="77"/>
      <c r="AA619" s="77" t="s">
        <v>7002</v>
      </c>
      <c r="AB619" s="77" t="s">
        <v>7744</v>
      </c>
      <c r="AC619" s="82" t="s">
        <v>7750</v>
      </c>
      <c r="AD619" s="77" t="s">
        <v>7788</v>
      </c>
      <c r="AE619" s="80" t="str">
        <f>HYPERLINK("https://twitter.com/glaucojarzinski/status/1694695322834878484")</f>
        <v>https://twitter.com/glaucojarzinski/status/1694695322834878484</v>
      </c>
      <c r="AF619" s="79">
        <v>45162.539641203701</v>
      </c>
      <c r="AG619" s="85">
        <v>45162</v>
      </c>
      <c r="AH619" s="82" t="s">
        <v>8349</v>
      </c>
      <c r="AI619" s="77" t="b">
        <v>0</v>
      </c>
      <c r="AJ619" s="77"/>
      <c r="AK619" s="77"/>
      <c r="AL619" s="77"/>
      <c r="AM619" s="77"/>
      <c r="AN619" s="77"/>
      <c r="AO619" s="77"/>
      <c r="AP619" s="77"/>
      <c r="AQ619" s="77" t="s">
        <v>10974</v>
      </c>
      <c r="AR619" s="77"/>
      <c r="AS619" s="77"/>
      <c r="AT619" s="77"/>
      <c r="AU619" s="77"/>
      <c r="AV619" s="80" t="str">
        <f>HYPERLINK("https://pbs.twimg.com/media/F4TEabzWEAA8JoU.jpg")</f>
        <v>https://pbs.twimg.com/media/F4TEabzWEAA8JoU.jpg</v>
      </c>
      <c r="AW619" s="82" t="s">
        <v>12317</v>
      </c>
      <c r="AX619" s="82" t="s">
        <v>12317</v>
      </c>
      <c r="AY619" s="77"/>
      <c r="AZ619" s="82" t="s">
        <v>15984</v>
      </c>
      <c r="BA619" s="82" t="s">
        <v>15984</v>
      </c>
      <c r="BB619" s="82" t="s">
        <v>15984</v>
      </c>
      <c r="BC619" s="82" t="s">
        <v>12317</v>
      </c>
      <c r="BD619" s="77">
        <v>93754487</v>
      </c>
      <c r="BE619" s="77"/>
      <c r="BF619" s="77"/>
      <c r="BG619" s="77"/>
      <c r="BH619" s="77"/>
      <c r="BI619" s="77"/>
    </row>
    <row r="620" spans="1:61" x14ac:dyDescent="0.25">
      <c r="A620" s="62" t="s">
        <v>413</v>
      </c>
      <c r="B620" s="62" t="s">
        <v>413</v>
      </c>
      <c r="C620" s="63"/>
      <c r="D620" s="64"/>
      <c r="E620" s="65"/>
      <c r="F620" s="66"/>
      <c r="G620" s="63"/>
      <c r="H620" s="67"/>
      <c r="I620" s="68"/>
      <c r="J620" s="68"/>
      <c r="K620" s="32"/>
      <c r="L620" s="75">
        <v>620</v>
      </c>
      <c r="M620" s="75"/>
      <c r="N620" s="70"/>
      <c r="O620" s="77" t="s">
        <v>179</v>
      </c>
      <c r="P620" s="79">
        <v>45174.538148148145</v>
      </c>
      <c r="Q620" s="77" t="s">
        <v>1488</v>
      </c>
      <c r="R620" s="77">
        <v>0</v>
      </c>
      <c r="S620" s="77">
        <v>0</v>
      </c>
      <c r="T620" s="77">
        <v>1</v>
      </c>
      <c r="U620" s="77">
        <v>0</v>
      </c>
      <c r="V620" s="77">
        <v>74</v>
      </c>
      <c r="W620" s="82" t="s">
        <v>5145</v>
      </c>
      <c r="X620" s="77"/>
      <c r="Y620" s="77"/>
      <c r="Z620" s="77"/>
      <c r="AA620" s="77" t="s">
        <v>7003</v>
      </c>
      <c r="AB620" s="77" t="s">
        <v>7744</v>
      </c>
      <c r="AC620" s="82" t="s">
        <v>7750</v>
      </c>
      <c r="AD620" s="77" t="s">
        <v>7788</v>
      </c>
      <c r="AE620" s="80" t="str">
        <f>HYPERLINK("https://twitter.com/glaucojarzinski/status/1699043434156228877")</f>
        <v>https://twitter.com/glaucojarzinski/status/1699043434156228877</v>
      </c>
      <c r="AF620" s="79">
        <v>45174.538148148145</v>
      </c>
      <c r="AG620" s="85">
        <v>45174</v>
      </c>
      <c r="AH620" s="82" t="s">
        <v>8350</v>
      </c>
      <c r="AI620" s="77" t="b">
        <v>0</v>
      </c>
      <c r="AJ620" s="77"/>
      <c r="AK620" s="77"/>
      <c r="AL620" s="77"/>
      <c r="AM620" s="77"/>
      <c r="AN620" s="77"/>
      <c r="AO620" s="77"/>
      <c r="AP620" s="77"/>
      <c r="AQ620" s="77" t="s">
        <v>10975</v>
      </c>
      <c r="AR620" s="77"/>
      <c r="AS620" s="77"/>
      <c r="AT620" s="77"/>
      <c r="AU620" s="77"/>
      <c r="AV620" s="80" t="str">
        <f>HYPERLINK("https://pbs.twimg.com/media/F5Q2_zxWAAAjzfO.jpg")</f>
        <v>https://pbs.twimg.com/media/F5Q2_zxWAAAjzfO.jpg</v>
      </c>
      <c r="AW620" s="82" t="s">
        <v>12318</v>
      </c>
      <c r="AX620" s="82" t="s">
        <v>12318</v>
      </c>
      <c r="AY620" s="77"/>
      <c r="AZ620" s="82" t="s">
        <v>15984</v>
      </c>
      <c r="BA620" s="82" t="s">
        <v>15984</v>
      </c>
      <c r="BB620" s="82" t="s">
        <v>15984</v>
      </c>
      <c r="BC620" s="82" t="s">
        <v>12318</v>
      </c>
      <c r="BD620" s="77">
        <v>93754487</v>
      </c>
      <c r="BE620" s="77"/>
      <c r="BF620" s="77"/>
      <c r="BG620" s="77"/>
      <c r="BH620" s="77"/>
      <c r="BI620" s="77"/>
    </row>
    <row r="621" spans="1:61" x14ac:dyDescent="0.25">
      <c r="A621" s="62" t="s">
        <v>413</v>
      </c>
      <c r="B621" s="62" t="s">
        <v>413</v>
      </c>
      <c r="C621" s="63"/>
      <c r="D621" s="64"/>
      <c r="E621" s="65"/>
      <c r="F621" s="66"/>
      <c r="G621" s="63"/>
      <c r="H621" s="67"/>
      <c r="I621" s="68"/>
      <c r="J621" s="68"/>
      <c r="K621" s="32"/>
      <c r="L621" s="75">
        <v>621</v>
      </c>
      <c r="M621" s="75"/>
      <c r="N621" s="70"/>
      <c r="O621" s="77" t="s">
        <v>179</v>
      </c>
      <c r="P621" s="79">
        <v>45142.570844907408</v>
      </c>
      <c r="Q621" s="77" t="s">
        <v>1489</v>
      </c>
      <c r="R621" s="77">
        <v>0</v>
      </c>
      <c r="S621" s="77">
        <v>0</v>
      </c>
      <c r="T621" s="77">
        <v>1</v>
      </c>
      <c r="U621" s="77">
        <v>0</v>
      </c>
      <c r="V621" s="77">
        <v>88</v>
      </c>
      <c r="W621" s="82" t="s">
        <v>5145</v>
      </c>
      <c r="X621" s="77"/>
      <c r="Y621" s="77"/>
      <c r="Z621" s="77"/>
      <c r="AA621" s="77" t="s">
        <v>7004</v>
      </c>
      <c r="AB621" s="77" t="s">
        <v>7744</v>
      </c>
      <c r="AC621" s="82" t="s">
        <v>7750</v>
      </c>
      <c r="AD621" s="77" t="s">
        <v>7788</v>
      </c>
      <c r="AE621" s="80" t="str">
        <f>HYPERLINK("https://twitter.com/glaucojarzinski/status/1687458871277764608")</f>
        <v>https://twitter.com/glaucojarzinski/status/1687458871277764608</v>
      </c>
      <c r="AF621" s="79">
        <v>45142.570844907408</v>
      </c>
      <c r="AG621" s="85">
        <v>45142</v>
      </c>
      <c r="AH621" s="82" t="s">
        <v>8351</v>
      </c>
      <c r="AI621" s="77" t="b">
        <v>0</v>
      </c>
      <c r="AJ621" s="77"/>
      <c r="AK621" s="77"/>
      <c r="AL621" s="77"/>
      <c r="AM621" s="77"/>
      <c r="AN621" s="77"/>
      <c r="AO621" s="77"/>
      <c r="AP621" s="77"/>
      <c r="AQ621" s="77" t="s">
        <v>10976</v>
      </c>
      <c r="AR621" s="77"/>
      <c r="AS621" s="77"/>
      <c r="AT621" s="77"/>
      <c r="AU621" s="77"/>
      <c r="AV621" s="80" t="str">
        <f>HYPERLINK("https://pbs.twimg.com/media/F2sO5Q8XMAAPrRY.jpg")</f>
        <v>https://pbs.twimg.com/media/F2sO5Q8XMAAPrRY.jpg</v>
      </c>
      <c r="AW621" s="82" t="s">
        <v>12319</v>
      </c>
      <c r="AX621" s="82" t="s">
        <v>12319</v>
      </c>
      <c r="AY621" s="77"/>
      <c r="AZ621" s="82" t="s">
        <v>15984</v>
      </c>
      <c r="BA621" s="82" t="s">
        <v>15984</v>
      </c>
      <c r="BB621" s="82" t="s">
        <v>15984</v>
      </c>
      <c r="BC621" s="82" t="s">
        <v>12319</v>
      </c>
      <c r="BD621" s="77">
        <v>93754487</v>
      </c>
      <c r="BE621" s="77"/>
      <c r="BF621" s="77"/>
      <c r="BG621" s="77"/>
      <c r="BH621" s="77"/>
      <c r="BI621" s="77"/>
    </row>
    <row r="622" spans="1:61" x14ac:dyDescent="0.25">
      <c r="A622" s="62" t="s">
        <v>413</v>
      </c>
      <c r="B622" s="62" t="s">
        <v>413</v>
      </c>
      <c r="C622" s="63"/>
      <c r="D622" s="64"/>
      <c r="E622" s="65"/>
      <c r="F622" s="66"/>
      <c r="G622" s="63"/>
      <c r="H622" s="67"/>
      <c r="I622" s="68"/>
      <c r="J622" s="68"/>
      <c r="K622" s="32"/>
      <c r="L622" s="75">
        <v>622</v>
      </c>
      <c r="M622" s="75"/>
      <c r="N622" s="70"/>
      <c r="O622" s="77" t="s">
        <v>179</v>
      </c>
      <c r="P622" s="79">
        <v>45169.523854166669</v>
      </c>
      <c r="Q622" s="77" t="s">
        <v>1490</v>
      </c>
      <c r="R622" s="77">
        <v>0</v>
      </c>
      <c r="S622" s="77">
        <v>0</v>
      </c>
      <c r="T622" s="77">
        <v>1</v>
      </c>
      <c r="U622" s="77">
        <v>0</v>
      </c>
      <c r="V622" s="77">
        <v>63</v>
      </c>
      <c r="W622" s="82" t="s">
        <v>5145</v>
      </c>
      <c r="X622" s="77"/>
      <c r="Y622" s="77"/>
      <c r="Z622" s="77"/>
      <c r="AA622" s="77" t="s">
        <v>7005</v>
      </c>
      <c r="AB622" s="77" t="s">
        <v>7744</v>
      </c>
      <c r="AC622" s="82" t="s">
        <v>7750</v>
      </c>
      <c r="AD622" s="77" t="s">
        <v>7788</v>
      </c>
      <c r="AE622" s="80" t="str">
        <f>HYPERLINK("https://twitter.com/glaucojarzinski/status/1697226317215805808")</f>
        <v>https://twitter.com/glaucojarzinski/status/1697226317215805808</v>
      </c>
      <c r="AF622" s="79">
        <v>45169.523854166669</v>
      </c>
      <c r="AG622" s="85">
        <v>45169</v>
      </c>
      <c r="AH622" s="82" t="s">
        <v>8352</v>
      </c>
      <c r="AI622" s="77" t="b">
        <v>0</v>
      </c>
      <c r="AJ622" s="77"/>
      <c r="AK622" s="77"/>
      <c r="AL622" s="77"/>
      <c r="AM622" s="77"/>
      <c r="AN622" s="77"/>
      <c r="AO622" s="77"/>
      <c r="AP622" s="77"/>
      <c r="AQ622" s="77" t="s">
        <v>10977</v>
      </c>
      <c r="AR622" s="77"/>
      <c r="AS622" s="77"/>
      <c r="AT622" s="77"/>
      <c r="AU622" s="77"/>
      <c r="AV622" s="80" t="str">
        <f>HYPERLINK("https://pbs.twimg.com/media/F43CVBoWQAA84Gy.jpg")</f>
        <v>https://pbs.twimg.com/media/F43CVBoWQAA84Gy.jpg</v>
      </c>
      <c r="AW622" s="82" t="s">
        <v>12320</v>
      </c>
      <c r="AX622" s="82" t="s">
        <v>12320</v>
      </c>
      <c r="AY622" s="77"/>
      <c r="AZ622" s="82" t="s">
        <v>15984</v>
      </c>
      <c r="BA622" s="82" t="s">
        <v>15984</v>
      </c>
      <c r="BB622" s="82" t="s">
        <v>15984</v>
      </c>
      <c r="BC622" s="82" t="s">
        <v>12320</v>
      </c>
      <c r="BD622" s="77">
        <v>93754487</v>
      </c>
      <c r="BE622" s="77"/>
      <c r="BF622" s="77"/>
      <c r="BG622" s="77"/>
      <c r="BH622" s="77"/>
      <c r="BI622" s="77"/>
    </row>
    <row r="623" spans="1:61" x14ac:dyDescent="0.25">
      <c r="A623" s="62" t="s">
        <v>413</v>
      </c>
      <c r="B623" s="62" t="s">
        <v>413</v>
      </c>
      <c r="C623" s="63"/>
      <c r="D623" s="64"/>
      <c r="E623" s="65"/>
      <c r="F623" s="66"/>
      <c r="G623" s="63"/>
      <c r="H623" s="67"/>
      <c r="I623" s="68"/>
      <c r="J623" s="68"/>
      <c r="K623" s="32"/>
      <c r="L623" s="75">
        <v>623</v>
      </c>
      <c r="M623" s="75"/>
      <c r="N623" s="70"/>
      <c r="O623" s="77" t="s">
        <v>179</v>
      </c>
      <c r="P623" s="79">
        <v>45152.576365740744</v>
      </c>
      <c r="Q623" s="77" t="s">
        <v>1491</v>
      </c>
      <c r="R623" s="77">
        <v>0</v>
      </c>
      <c r="S623" s="77">
        <v>1</v>
      </c>
      <c r="T623" s="77">
        <v>0</v>
      </c>
      <c r="U623" s="77">
        <v>0</v>
      </c>
      <c r="V623" s="77">
        <v>378</v>
      </c>
      <c r="W623" s="82" t="s">
        <v>5145</v>
      </c>
      <c r="X623" s="77"/>
      <c r="Y623" s="77"/>
      <c r="Z623" s="77"/>
      <c r="AA623" s="77" t="s">
        <v>7006</v>
      </c>
      <c r="AB623" s="77" t="s">
        <v>7744</v>
      </c>
      <c r="AC623" s="82" t="s">
        <v>7750</v>
      </c>
      <c r="AD623" s="77" t="s">
        <v>7788</v>
      </c>
      <c r="AE623" s="80" t="str">
        <f>HYPERLINK("https://twitter.com/glaucojarzinski/status/1691084750839033857")</f>
        <v>https://twitter.com/glaucojarzinski/status/1691084750839033857</v>
      </c>
      <c r="AF623" s="79">
        <v>45152.576365740744</v>
      </c>
      <c r="AG623" s="85">
        <v>45152</v>
      </c>
      <c r="AH623" s="82" t="s">
        <v>8353</v>
      </c>
      <c r="AI623" s="77" t="b">
        <v>0</v>
      </c>
      <c r="AJ623" s="77"/>
      <c r="AK623" s="77"/>
      <c r="AL623" s="77"/>
      <c r="AM623" s="77"/>
      <c r="AN623" s="77"/>
      <c r="AO623" s="77"/>
      <c r="AP623" s="77"/>
      <c r="AQ623" s="77" t="s">
        <v>10978</v>
      </c>
      <c r="AR623" s="77"/>
      <c r="AS623" s="77"/>
      <c r="AT623" s="77"/>
      <c r="AU623" s="77"/>
      <c r="AV623" s="80" t="str">
        <f>HYPERLINK("https://pbs.twimg.com/media/F3fwmAhWsAAAG6A.jpg")</f>
        <v>https://pbs.twimg.com/media/F3fwmAhWsAAAG6A.jpg</v>
      </c>
      <c r="AW623" s="82" t="s">
        <v>12321</v>
      </c>
      <c r="AX623" s="82" t="s">
        <v>12321</v>
      </c>
      <c r="AY623" s="77"/>
      <c r="AZ623" s="82" t="s">
        <v>15984</v>
      </c>
      <c r="BA623" s="82" t="s">
        <v>15984</v>
      </c>
      <c r="BB623" s="82" t="s">
        <v>15984</v>
      </c>
      <c r="BC623" s="82" t="s">
        <v>12321</v>
      </c>
      <c r="BD623" s="77">
        <v>93754487</v>
      </c>
      <c r="BE623" s="77"/>
      <c r="BF623" s="77"/>
      <c r="BG623" s="77"/>
      <c r="BH623" s="77"/>
      <c r="BI623" s="77"/>
    </row>
    <row r="624" spans="1:61" x14ac:dyDescent="0.25">
      <c r="A624" s="62" t="s">
        <v>413</v>
      </c>
      <c r="B624" s="62" t="s">
        <v>413</v>
      </c>
      <c r="C624" s="63"/>
      <c r="D624" s="64"/>
      <c r="E624" s="65"/>
      <c r="F624" s="66"/>
      <c r="G624" s="63"/>
      <c r="H624" s="67"/>
      <c r="I624" s="68"/>
      <c r="J624" s="68"/>
      <c r="K624" s="32"/>
      <c r="L624" s="75">
        <v>624</v>
      </c>
      <c r="M624" s="75"/>
      <c r="N624" s="70"/>
      <c r="O624" s="77" t="s">
        <v>179</v>
      </c>
      <c r="P624" s="79">
        <v>45152.57366898148</v>
      </c>
      <c r="Q624" s="77" t="s">
        <v>1492</v>
      </c>
      <c r="R624" s="77">
        <v>0</v>
      </c>
      <c r="S624" s="77">
        <v>0</v>
      </c>
      <c r="T624" s="77">
        <v>0</v>
      </c>
      <c r="U624" s="77">
        <v>0</v>
      </c>
      <c r="V624" s="77">
        <v>201</v>
      </c>
      <c r="W624" s="82" t="s">
        <v>5146</v>
      </c>
      <c r="X624" s="77"/>
      <c r="Y624" s="77"/>
      <c r="Z624" s="77"/>
      <c r="AA624" s="77" t="s">
        <v>7007</v>
      </c>
      <c r="AB624" s="77" t="s">
        <v>7742</v>
      </c>
      <c r="AC624" s="82" t="s">
        <v>7750</v>
      </c>
      <c r="AD624" s="77" t="s">
        <v>7788</v>
      </c>
      <c r="AE624" s="80" t="str">
        <f>HYPERLINK("https://twitter.com/glaucojarzinski/status/1691083775881424896")</f>
        <v>https://twitter.com/glaucojarzinski/status/1691083775881424896</v>
      </c>
      <c r="AF624" s="79">
        <v>45152.57366898148</v>
      </c>
      <c r="AG624" s="85">
        <v>45152</v>
      </c>
      <c r="AH624" s="82" t="s">
        <v>8354</v>
      </c>
      <c r="AI624" s="77" t="b">
        <v>0</v>
      </c>
      <c r="AJ624" s="77"/>
      <c r="AK624" s="77"/>
      <c r="AL624" s="77"/>
      <c r="AM624" s="77"/>
      <c r="AN624" s="77"/>
      <c r="AO624" s="77"/>
      <c r="AP624" s="77"/>
      <c r="AQ624" s="77" t="s">
        <v>10979</v>
      </c>
      <c r="AR624" s="77"/>
      <c r="AS624" s="77"/>
      <c r="AT624" s="77"/>
      <c r="AU624" s="77"/>
      <c r="AV624" s="80" t="str">
        <f>HYPERLINK("https://pbs.twimg.com/media/F3fvt8zWgAExuAp.jpg")</f>
        <v>https://pbs.twimg.com/media/F3fvt8zWgAExuAp.jpg</v>
      </c>
      <c r="AW624" s="82" t="s">
        <v>12322</v>
      </c>
      <c r="AX624" s="82" t="s">
        <v>12322</v>
      </c>
      <c r="AY624" s="77"/>
      <c r="AZ624" s="82" t="s">
        <v>15984</v>
      </c>
      <c r="BA624" s="82" t="s">
        <v>15984</v>
      </c>
      <c r="BB624" s="82" t="s">
        <v>15984</v>
      </c>
      <c r="BC624" s="82" t="s">
        <v>12322</v>
      </c>
      <c r="BD624" s="77">
        <v>93754487</v>
      </c>
      <c r="BE624" s="77"/>
      <c r="BF624" s="77"/>
      <c r="BG624" s="77"/>
      <c r="BH624" s="77"/>
      <c r="BI624" s="77"/>
    </row>
    <row r="625" spans="1:61" x14ac:dyDescent="0.25">
      <c r="A625" s="62" t="s">
        <v>413</v>
      </c>
      <c r="B625" s="62" t="s">
        <v>413</v>
      </c>
      <c r="C625" s="63"/>
      <c r="D625" s="64"/>
      <c r="E625" s="65"/>
      <c r="F625" s="66"/>
      <c r="G625" s="63"/>
      <c r="H625" s="67"/>
      <c r="I625" s="68"/>
      <c r="J625" s="68"/>
      <c r="K625" s="32"/>
      <c r="L625" s="75">
        <v>625</v>
      </c>
      <c r="M625" s="75"/>
      <c r="N625" s="70"/>
      <c r="O625" s="77" t="s">
        <v>179</v>
      </c>
      <c r="P625" s="79">
        <v>45125.528773148151</v>
      </c>
      <c r="Q625" s="77" t="s">
        <v>1493</v>
      </c>
      <c r="R625" s="77">
        <v>0</v>
      </c>
      <c r="S625" s="77">
        <v>0</v>
      </c>
      <c r="T625" s="77">
        <v>1</v>
      </c>
      <c r="U625" s="77">
        <v>0</v>
      </c>
      <c r="V625" s="77">
        <v>111</v>
      </c>
      <c r="W625" s="82" t="s">
        <v>5145</v>
      </c>
      <c r="X625" s="77"/>
      <c r="Y625" s="77"/>
      <c r="Z625" s="77"/>
      <c r="AA625" s="77" t="s">
        <v>7008</v>
      </c>
      <c r="AB625" s="77" t="s">
        <v>7744</v>
      </c>
      <c r="AC625" s="82" t="s">
        <v>7750</v>
      </c>
      <c r="AD625" s="77" t="s">
        <v>7788</v>
      </c>
      <c r="AE625" s="80" t="str">
        <f>HYPERLINK("https://twitter.com/glaucojarzinski/status/1681283034731905026")</f>
        <v>https://twitter.com/glaucojarzinski/status/1681283034731905026</v>
      </c>
      <c r="AF625" s="79">
        <v>45125.528773148151</v>
      </c>
      <c r="AG625" s="85">
        <v>45125</v>
      </c>
      <c r="AH625" s="82" t="s">
        <v>8355</v>
      </c>
      <c r="AI625" s="77" t="b">
        <v>0</v>
      </c>
      <c r="AJ625" s="77"/>
      <c r="AK625" s="77"/>
      <c r="AL625" s="77"/>
      <c r="AM625" s="77"/>
      <c r="AN625" s="77"/>
      <c r="AO625" s="77"/>
      <c r="AP625" s="77"/>
      <c r="AQ625" s="77" t="s">
        <v>10980</v>
      </c>
      <c r="AR625" s="77"/>
      <c r="AS625" s="77"/>
      <c r="AT625" s="77"/>
      <c r="AU625" s="77"/>
      <c r="AV625" s="80" t="str">
        <f>HYPERLINK("https://pbs.twimg.com/media/F1UeAhKWAAEcjBl.jpg")</f>
        <v>https://pbs.twimg.com/media/F1UeAhKWAAEcjBl.jpg</v>
      </c>
      <c r="AW625" s="82" t="s">
        <v>12323</v>
      </c>
      <c r="AX625" s="82" t="s">
        <v>12323</v>
      </c>
      <c r="AY625" s="77"/>
      <c r="AZ625" s="82" t="s">
        <v>15984</v>
      </c>
      <c r="BA625" s="82" t="s">
        <v>15984</v>
      </c>
      <c r="BB625" s="82" t="s">
        <v>15984</v>
      </c>
      <c r="BC625" s="82" t="s">
        <v>12323</v>
      </c>
      <c r="BD625" s="77">
        <v>93754487</v>
      </c>
      <c r="BE625" s="77"/>
      <c r="BF625" s="77"/>
      <c r="BG625" s="77"/>
      <c r="BH625" s="77"/>
      <c r="BI625" s="77"/>
    </row>
    <row r="626" spans="1:61" x14ac:dyDescent="0.25">
      <c r="A626" s="62" t="s">
        <v>413</v>
      </c>
      <c r="B626" s="62" t="s">
        <v>413</v>
      </c>
      <c r="C626" s="63"/>
      <c r="D626" s="64"/>
      <c r="E626" s="65"/>
      <c r="F626" s="66"/>
      <c r="G626" s="63"/>
      <c r="H626" s="67"/>
      <c r="I626" s="68"/>
      <c r="J626" s="68"/>
      <c r="K626" s="32"/>
      <c r="L626" s="75">
        <v>626</v>
      </c>
      <c r="M626" s="75"/>
      <c r="N626" s="70"/>
      <c r="O626" s="77" t="s">
        <v>179</v>
      </c>
      <c r="P626" s="79">
        <v>45177.588078703702</v>
      </c>
      <c r="Q626" s="77" t="s">
        <v>1494</v>
      </c>
      <c r="R626" s="77">
        <v>0</v>
      </c>
      <c r="S626" s="77">
        <v>0</v>
      </c>
      <c r="T626" s="77">
        <v>1</v>
      </c>
      <c r="U626" s="77">
        <v>0</v>
      </c>
      <c r="V626" s="77">
        <v>56</v>
      </c>
      <c r="W626" s="82" t="s">
        <v>5145</v>
      </c>
      <c r="X626" s="77"/>
      <c r="Y626" s="77"/>
      <c r="Z626" s="77"/>
      <c r="AA626" s="77" t="s">
        <v>7009</v>
      </c>
      <c r="AB626" s="77" t="s">
        <v>7744</v>
      </c>
      <c r="AC626" s="82" t="s">
        <v>7750</v>
      </c>
      <c r="AD626" s="77" t="s">
        <v>7788</v>
      </c>
      <c r="AE626" s="80" t="str">
        <f>HYPERLINK("https://twitter.com/glaucojarzinski/status/1700148693746213097")</f>
        <v>https://twitter.com/glaucojarzinski/status/1700148693746213097</v>
      </c>
      <c r="AF626" s="79">
        <v>45177.588078703702</v>
      </c>
      <c r="AG626" s="85">
        <v>45177</v>
      </c>
      <c r="AH626" s="82" t="s">
        <v>8356</v>
      </c>
      <c r="AI626" s="77" t="b">
        <v>0</v>
      </c>
      <c r="AJ626" s="77"/>
      <c r="AK626" s="77"/>
      <c r="AL626" s="77"/>
      <c r="AM626" s="77"/>
      <c r="AN626" s="77"/>
      <c r="AO626" s="77"/>
      <c r="AP626" s="77"/>
      <c r="AQ626" s="77" t="s">
        <v>10981</v>
      </c>
      <c r="AR626" s="77"/>
      <c r="AS626" s="77"/>
      <c r="AT626" s="77"/>
      <c r="AU626" s="77"/>
      <c r="AV626" s="80" t="str">
        <f>HYPERLINK("https://pbs.twimg.com/media/F5gkN3GX0AEoB-h.jpg")</f>
        <v>https://pbs.twimg.com/media/F5gkN3GX0AEoB-h.jpg</v>
      </c>
      <c r="AW626" s="82" t="s">
        <v>12324</v>
      </c>
      <c r="AX626" s="82" t="s">
        <v>12324</v>
      </c>
      <c r="AY626" s="77"/>
      <c r="AZ626" s="82" t="s">
        <v>15984</v>
      </c>
      <c r="BA626" s="82" t="s">
        <v>15984</v>
      </c>
      <c r="BB626" s="82" t="s">
        <v>15984</v>
      </c>
      <c r="BC626" s="82" t="s">
        <v>12324</v>
      </c>
      <c r="BD626" s="77">
        <v>93754487</v>
      </c>
      <c r="BE626" s="77"/>
      <c r="BF626" s="77"/>
      <c r="BG626" s="77"/>
      <c r="BH626" s="77"/>
      <c r="BI626" s="77"/>
    </row>
    <row r="627" spans="1:61" x14ac:dyDescent="0.25">
      <c r="A627" s="62" t="s">
        <v>413</v>
      </c>
      <c r="B627" s="62" t="s">
        <v>413</v>
      </c>
      <c r="C627" s="63"/>
      <c r="D627" s="64"/>
      <c r="E627" s="65"/>
      <c r="F627" s="66"/>
      <c r="G627" s="63"/>
      <c r="H627" s="67"/>
      <c r="I627" s="68"/>
      <c r="J627" s="68"/>
      <c r="K627" s="32"/>
      <c r="L627" s="75">
        <v>627</v>
      </c>
      <c r="M627" s="75"/>
      <c r="N627" s="70"/>
      <c r="O627" s="77" t="s">
        <v>179</v>
      </c>
      <c r="P627" s="79">
        <v>45128.547546296293</v>
      </c>
      <c r="Q627" s="77" t="s">
        <v>1495</v>
      </c>
      <c r="R627" s="77">
        <v>0</v>
      </c>
      <c r="S627" s="77">
        <v>0</v>
      </c>
      <c r="T627" s="77">
        <v>1</v>
      </c>
      <c r="U627" s="77">
        <v>0</v>
      </c>
      <c r="V627" s="77">
        <v>74</v>
      </c>
      <c r="W627" s="82" t="s">
        <v>5145</v>
      </c>
      <c r="X627" s="77"/>
      <c r="Y627" s="77"/>
      <c r="Z627" s="77"/>
      <c r="AA627" s="77" t="s">
        <v>7010</v>
      </c>
      <c r="AB627" s="77" t="s">
        <v>7744</v>
      </c>
      <c r="AC627" s="82" t="s">
        <v>7750</v>
      </c>
      <c r="AD627" s="77" t="s">
        <v>7788</v>
      </c>
      <c r="AE627" s="80" t="str">
        <f>HYPERLINK("https://twitter.com/glaucojarzinski/status/1682377001645101056")</f>
        <v>https://twitter.com/glaucojarzinski/status/1682377001645101056</v>
      </c>
      <c r="AF627" s="79">
        <v>45128.547546296293</v>
      </c>
      <c r="AG627" s="85">
        <v>45128</v>
      </c>
      <c r="AH627" s="82" t="s">
        <v>8357</v>
      </c>
      <c r="AI627" s="77" t="b">
        <v>0</v>
      </c>
      <c r="AJ627" s="77"/>
      <c r="AK627" s="77"/>
      <c r="AL627" s="77"/>
      <c r="AM627" s="77"/>
      <c r="AN627" s="77"/>
      <c r="AO627" s="77"/>
      <c r="AP627" s="77"/>
      <c r="AQ627" s="77" t="s">
        <v>10982</v>
      </c>
      <c r="AR627" s="77"/>
      <c r="AS627" s="77"/>
      <c r="AT627" s="77"/>
      <c r="AU627" s="77"/>
      <c r="AV627" s="80" t="str">
        <f>HYPERLINK("https://pbs.twimg.com/media/F1kA7wFWAAIdz5S.jpg")</f>
        <v>https://pbs.twimg.com/media/F1kA7wFWAAIdz5S.jpg</v>
      </c>
      <c r="AW627" s="82" t="s">
        <v>12325</v>
      </c>
      <c r="AX627" s="82" t="s">
        <v>12325</v>
      </c>
      <c r="AY627" s="77"/>
      <c r="AZ627" s="82" t="s">
        <v>15984</v>
      </c>
      <c r="BA627" s="82" t="s">
        <v>15984</v>
      </c>
      <c r="BB627" s="82" t="s">
        <v>15984</v>
      </c>
      <c r="BC627" s="82" t="s">
        <v>12325</v>
      </c>
      <c r="BD627" s="77">
        <v>93754487</v>
      </c>
      <c r="BE627" s="77"/>
      <c r="BF627" s="77"/>
      <c r="BG627" s="77"/>
      <c r="BH627" s="77"/>
      <c r="BI627" s="77"/>
    </row>
    <row r="628" spans="1:61" x14ac:dyDescent="0.25">
      <c r="A628" s="62" t="s">
        <v>413</v>
      </c>
      <c r="B628" s="62" t="s">
        <v>413</v>
      </c>
      <c r="C628" s="63"/>
      <c r="D628" s="64"/>
      <c r="E628" s="65"/>
      <c r="F628" s="66"/>
      <c r="G628" s="63"/>
      <c r="H628" s="67"/>
      <c r="I628" s="68"/>
      <c r="J628" s="68"/>
      <c r="K628" s="32"/>
      <c r="L628" s="75">
        <v>628</v>
      </c>
      <c r="M628" s="75"/>
      <c r="N628" s="70"/>
      <c r="O628" s="77" t="s">
        <v>179</v>
      </c>
      <c r="P628" s="79">
        <v>45187.529374999998</v>
      </c>
      <c r="Q628" s="77" t="s">
        <v>1496</v>
      </c>
      <c r="R628" s="77">
        <v>0</v>
      </c>
      <c r="S628" s="77">
        <v>0</v>
      </c>
      <c r="T628" s="77">
        <v>0</v>
      </c>
      <c r="U628" s="77">
        <v>0</v>
      </c>
      <c r="V628" s="77">
        <v>39</v>
      </c>
      <c r="W628" s="82" t="s">
        <v>5145</v>
      </c>
      <c r="X628" s="77"/>
      <c r="Y628" s="77"/>
      <c r="Z628" s="77"/>
      <c r="AA628" s="77" t="s">
        <v>7011</v>
      </c>
      <c r="AB628" s="77" t="s">
        <v>7744</v>
      </c>
      <c r="AC628" s="82" t="s">
        <v>7750</v>
      </c>
      <c r="AD628" s="77" t="s">
        <v>7788</v>
      </c>
      <c r="AE628" s="80" t="str">
        <f>HYPERLINK("https://twitter.com/glaucojarzinski/status/1703751296950362582")</f>
        <v>https://twitter.com/glaucojarzinski/status/1703751296950362582</v>
      </c>
      <c r="AF628" s="79">
        <v>45187.529374999998</v>
      </c>
      <c r="AG628" s="85">
        <v>45187</v>
      </c>
      <c r="AH628" s="82" t="s">
        <v>8358</v>
      </c>
      <c r="AI628" s="77" t="b">
        <v>0</v>
      </c>
      <c r="AJ628" s="77"/>
      <c r="AK628" s="77"/>
      <c r="AL628" s="77"/>
      <c r="AM628" s="77"/>
      <c r="AN628" s="77"/>
      <c r="AO628" s="77"/>
      <c r="AP628" s="77"/>
      <c r="AQ628" s="77" t="s">
        <v>10983</v>
      </c>
      <c r="AR628" s="77"/>
      <c r="AS628" s="77"/>
      <c r="AT628" s="77"/>
      <c r="AU628" s="77"/>
      <c r="AV628" s="80" t="str">
        <f>HYPERLINK("https://pbs.twimg.com/media/F6TwxcyXQAA2MpP.jpg")</f>
        <v>https://pbs.twimg.com/media/F6TwxcyXQAA2MpP.jpg</v>
      </c>
      <c r="AW628" s="82" t="s">
        <v>12326</v>
      </c>
      <c r="AX628" s="82" t="s">
        <v>12326</v>
      </c>
      <c r="AY628" s="77"/>
      <c r="AZ628" s="82" t="s">
        <v>15984</v>
      </c>
      <c r="BA628" s="82" t="s">
        <v>15984</v>
      </c>
      <c r="BB628" s="82" t="s">
        <v>15984</v>
      </c>
      <c r="BC628" s="82" t="s">
        <v>12326</v>
      </c>
      <c r="BD628" s="77">
        <v>93754487</v>
      </c>
      <c r="BE628" s="77"/>
      <c r="BF628" s="77"/>
      <c r="BG628" s="77"/>
      <c r="BH628" s="77"/>
      <c r="BI628" s="77"/>
    </row>
    <row r="629" spans="1:61" x14ac:dyDescent="0.25">
      <c r="A629" s="62" t="s">
        <v>413</v>
      </c>
      <c r="B629" s="62" t="s">
        <v>413</v>
      </c>
      <c r="C629" s="63"/>
      <c r="D629" s="64"/>
      <c r="E629" s="65"/>
      <c r="F629" s="66"/>
      <c r="G629" s="63"/>
      <c r="H629" s="67"/>
      <c r="I629" s="68"/>
      <c r="J629" s="68"/>
      <c r="K629" s="32"/>
      <c r="L629" s="75">
        <v>629</v>
      </c>
      <c r="M629" s="75"/>
      <c r="N629" s="70"/>
      <c r="O629" s="77" t="s">
        <v>179</v>
      </c>
      <c r="P629" s="79">
        <v>45187.528506944444</v>
      </c>
      <c r="Q629" s="77" t="s">
        <v>1497</v>
      </c>
      <c r="R629" s="77">
        <v>0</v>
      </c>
      <c r="S629" s="77">
        <v>0</v>
      </c>
      <c r="T629" s="77">
        <v>0</v>
      </c>
      <c r="U629" s="77">
        <v>0</v>
      </c>
      <c r="V629" s="77">
        <v>163</v>
      </c>
      <c r="W629" s="82" t="s">
        <v>5146</v>
      </c>
      <c r="X629" s="77"/>
      <c r="Y629" s="77"/>
      <c r="Z629" s="77"/>
      <c r="AA629" s="77" t="s">
        <v>7012</v>
      </c>
      <c r="AB629" s="77" t="s">
        <v>7742</v>
      </c>
      <c r="AC629" s="82" t="s">
        <v>7750</v>
      </c>
      <c r="AD629" s="77" t="s">
        <v>7788</v>
      </c>
      <c r="AE629" s="80" t="str">
        <f>HYPERLINK("https://twitter.com/glaucojarzinski/status/1703750984084623626")</f>
        <v>https://twitter.com/glaucojarzinski/status/1703750984084623626</v>
      </c>
      <c r="AF629" s="79">
        <v>45187.528506944444</v>
      </c>
      <c r="AG629" s="85">
        <v>45187</v>
      </c>
      <c r="AH629" s="82" t="s">
        <v>8359</v>
      </c>
      <c r="AI629" s="77" t="b">
        <v>0</v>
      </c>
      <c r="AJ629" s="77"/>
      <c r="AK629" s="77"/>
      <c r="AL629" s="77"/>
      <c r="AM629" s="77"/>
      <c r="AN629" s="77"/>
      <c r="AO629" s="77"/>
      <c r="AP629" s="77"/>
      <c r="AQ629" s="77" t="s">
        <v>10984</v>
      </c>
      <c r="AR629" s="77"/>
      <c r="AS629" s="77"/>
      <c r="AT629" s="77"/>
      <c r="AU629" s="77"/>
      <c r="AV629" s="80" t="str">
        <f>HYPERLINK("https://pbs.twimg.com/media/F6TwfOjXkAA5kae.jpg")</f>
        <v>https://pbs.twimg.com/media/F6TwfOjXkAA5kae.jpg</v>
      </c>
      <c r="AW629" s="82" t="s">
        <v>12327</v>
      </c>
      <c r="AX629" s="82" t="s">
        <v>12327</v>
      </c>
      <c r="AY629" s="77"/>
      <c r="AZ629" s="82" t="s">
        <v>15984</v>
      </c>
      <c r="BA629" s="82" t="s">
        <v>15984</v>
      </c>
      <c r="BB629" s="82" t="s">
        <v>15984</v>
      </c>
      <c r="BC629" s="82" t="s">
        <v>12327</v>
      </c>
      <c r="BD629" s="77">
        <v>93754487</v>
      </c>
      <c r="BE629" s="77"/>
      <c r="BF629" s="77"/>
      <c r="BG629" s="77"/>
      <c r="BH629" s="77"/>
      <c r="BI629" s="77"/>
    </row>
    <row r="630" spans="1:61" x14ac:dyDescent="0.25">
      <c r="A630" s="62" t="s">
        <v>413</v>
      </c>
      <c r="B630" s="62" t="s">
        <v>413</v>
      </c>
      <c r="C630" s="63"/>
      <c r="D630" s="64"/>
      <c r="E630" s="65"/>
      <c r="F630" s="66"/>
      <c r="G630" s="63"/>
      <c r="H630" s="67"/>
      <c r="I630" s="68"/>
      <c r="J630" s="68"/>
      <c r="K630" s="32"/>
      <c r="L630" s="75">
        <v>630</v>
      </c>
      <c r="M630" s="75"/>
      <c r="N630" s="70"/>
      <c r="O630" s="77" t="s">
        <v>179</v>
      </c>
      <c r="P630" s="79">
        <v>45159.525358796294</v>
      </c>
      <c r="Q630" s="77" t="s">
        <v>1498</v>
      </c>
      <c r="R630" s="77">
        <v>0</v>
      </c>
      <c r="S630" s="77">
        <v>0</v>
      </c>
      <c r="T630" s="77">
        <v>0</v>
      </c>
      <c r="U630" s="77">
        <v>0</v>
      </c>
      <c r="V630" s="77">
        <v>153</v>
      </c>
      <c r="W630" s="82" t="s">
        <v>5146</v>
      </c>
      <c r="X630" s="77"/>
      <c r="Y630" s="77"/>
      <c r="Z630" s="77"/>
      <c r="AA630" s="77" t="s">
        <v>7013</v>
      </c>
      <c r="AB630" s="77" t="s">
        <v>7742</v>
      </c>
      <c r="AC630" s="82" t="s">
        <v>7750</v>
      </c>
      <c r="AD630" s="77" t="s">
        <v>7788</v>
      </c>
      <c r="AE630" s="80" t="str">
        <f>HYPERLINK("https://twitter.com/glaucojarzinski/status/1693602983387213848")</f>
        <v>https://twitter.com/glaucojarzinski/status/1693602983387213848</v>
      </c>
      <c r="AF630" s="79">
        <v>45159.525358796294</v>
      </c>
      <c r="AG630" s="85">
        <v>45159</v>
      </c>
      <c r="AH630" s="82" t="s">
        <v>8360</v>
      </c>
      <c r="AI630" s="77" t="b">
        <v>0</v>
      </c>
      <c r="AJ630" s="77"/>
      <c r="AK630" s="77"/>
      <c r="AL630" s="77"/>
      <c r="AM630" s="77"/>
      <c r="AN630" s="77"/>
      <c r="AO630" s="77"/>
      <c r="AP630" s="77"/>
      <c r="AQ630" s="77" t="s">
        <v>10985</v>
      </c>
      <c r="AR630" s="77"/>
      <c r="AS630" s="77"/>
      <c r="AT630" s="77"/>
      <c r="AU630" s="77"/>
      <c r="AV630" s="80" t="str">
        <f>HYPERLINK("https://pbs.twimg.com/media/F4Di73PWkAADDQZ.jpg")</f>
        <v>https://pbs.twimg.com/media/F4Di73PWkAADDQZ.jpg</v>
      </c>
      <c r="AW630" s="82" t="s">
        <v>12328</v>
      </c>
      <c r="AX630" s="82" t="s">
        <v>12328</v>
      </c>
      <c r="AY630" s="77"/>
      <c r="AZ630" s="82" t="s">
        <v>15984</v>
      </c>
      <c r="BA630" s="82" t="s">
        <v>15984</v>
      </c>
      <c r="BB630" s="82" t="s">
        <v>15984</v>
      </c>
      <c r="BC630" s="82" t="s">
        <v>12328</v>
      </c>
      <c r="BD630" s="77">
        <v>93754487</v>
      </c>
      <c r="BE630" s="77"/>
      <c r="BF630" s="77"/>
      <c r="BG630" s="77"/>
      <c r="BH630" s="77"/>
      <c r="BI630" s="77"/>
    </row>
    <row r="631" spans="1:61" x14ac:dyDescent="0.25">
      <c r="A631" s="62" t="s">
        <v>413</v>
      </c>
      <c r="B631" s="62" t="s">
        <v>413</v>
      </c>
      <c r="C631" s="63"/>
      <c r="D631" s="64"/>
      <c r="E631" s="65"/>
      <c r="F631" s="66"/>
      <c r="G631" s="63"/>
      <c r="H631" s="67"/>
      <c r="I631" s="68"/>
      <c r="J631" s="68"/>
      <c r="K631" s="32"/>
      <c r="L631" s="75">
        <v>631</v>
      </c>
      <c r="M631" s="75"/>
      <c r="N631" s="70"/>
      <c r="O631" s="77" t="s">
        <v>179</v>
      </c>
      <c r="P631" s="79">
        <v>45159.524895833332</v>
      </c>
      <c r="Q631" s="77" t="s">
        <v>1499</v>
      </c>
      <c r="R631" s="77">
        <v>0</v>
      </c>
      <c r="S631" s="77">
        <v>0</v>
      </c>
      <c r="T631" s="77">
        <v>1</v>
      </c>
      <c r="U631" s="77">
        <v>0</v>
      </c>
      <c r="V631" s="77">
        <v>84</v>
      </c>
      <c r="W631" s="82" t="s">
        <v>5145</v>
      </c>
      <c r="X631" s="77"/>
      <c r="Y631" s="77"/>
      <c r="Z631" s="77"/>
      <c r="AA631" s="77" t="s">
        <v>7014</v>
      </c>
      <c r="AB631" s="77" t="s">
        <v>7744</v>
      </c>
      <c r="AC631" s="82" t="s">
        <v>7750</v>
      </c>
      <c r="AD631" s="77" t="s">
        <v>7788</v>
      </c>
      <c r="AE631" s="80" t="str">
        <f>HYPERLINK("https://twitter.com/glaucojarzinski/status/1693602816571408763")</f>
        <v>https://twitter.com/glaucojarzinski/status/1693602816571408763</v>
      </c>
      <c r="AF631" s="79">
        <v>45159.524895833332</v>
      </c>
      <c r="AG631" s="85">
        <v>45159</v>
      </c>
      <c r="AH631" s="82" t="s">
        <v>8361</v>
      </c>
      <c r="AI631" s="77" t="b">
        <v>0</v>
      </c>
      <c r="AJ631" s="77"/>
      <c r="AK631" s="77"/>
      <c r="AL631" s="77"/>
      <c r="AM631" s="77"/>
      <c r="AN631" s="77"/>
      <c r="AO631" s="77"/>
      <c r="AP631" s="77"/>
      <c r="AQ631" s="77" t="s">
        <v>10986</v>
      </c>
      <c r="AR631" s="77"/>
      <c r="AS631" s="77"/>
      <c r="AT631" s="77"/>
      <c r="AU631" s="77"/>
      <c r="AV631" s="80" t="str">
        <f>HYPERLINK("https://pbs.twimg.com/media/F4DiyJhWMAE7z08.jpg")</f>
        <v>https://pbs.twimg.com/media/F4DiyJhWMAE7z08.jpg</v>
      </c>
      <c r="AW631" s="82" t="s">
        <v>12329</v>
      </c>
      <c r="AX631" s="82" t="s">
        <v>12329</v>
      </c>
      <c r="AY631" s="77"/>
      <c r="AZ631" s="82" t="s">
        <v>15984</v>
      </c>
      <c r="BA631" s="82" t="s">
        <v>15984</v>
      </c>
      <c r="BB631" s="82" t="s">
        <v>15984</v>
      </c>
      <c r="BC631" s="82" t="s">
        <v>12329</v>
      </c>
      <c r="BD631" s="77">
        <v>93754487</v>
      </c>
      <c r="BE631" s="77"/>
      <c r="BF631" s="77"/>
      <c r="BG631" s="77"/>
      <c r="BH631" s="77"/>
      <c r="BI631" s="77"/>
    </row>
    <row r="632" spans="1:61" x14ac:dyDescent="0.25">
      <c r="A632" s="62" t="s">
        <v>413</v>
      </c>
      <c r="B632" s="62" t="s">
        <v>413</v>
      </c>
      <c r="C632" s="63"/>
      <c r="D632" s="64"/>
      <c r="E632" s="65"/>
      <c r="F632" s="66"/>
      <c r="G632" s="63"/>
      <c r="H632" s="67"/>
      <c r="I632" s="68"/>
      <c r="J632" s="68"/>
      <c r="K632" s="32"/>
      <c r="L632" s="75">
        <v>632</v>
      </c>
      <c r="M632" s="75"/>
      <c r="N632" s="70"/>
      <c r="O632" s="77" t="s">
        <v>179</v>
      </c>
      <c r="P632" s="79">
        <v>45189.508587962962</v>
      </c>
      <c r="Q632" s="77" t="s">
        <v>1500</v>
      </c>
      <c r="R632" s="77">
        <v>0</v>
      </c>
      <c r="S632" s="77">
        <v>0</v>
      </c>
      <c r="T632" s="77">
        <v>0</v>
      </c>
      <c r="U632" s="77">
        <v>0</v>
      </c>
      <c r="V632" s="77">
        <v>36</v>
      </c>
      <c r="W632" s="82" t="s">
        <v>5145</v>
      </c>
      <c r="X632" s="77"/>
      <c r="Y632" s="77"/>
      <c r="Z632" s="77"/>
      <c r="AA632" s="77" t="s">
        <v>7015</v>
      </c>
      <c r="AB632" s="77" t="s">
        <v>7744</v>
      </c>
      <c r="AC632" s="82" t="s">
        <v>7750</v>
      </c>
      <c r="AD632" s="77" t="s">
        <v>7788</v>
      </c>
      <c r="AE632" s="80" t="str">
        <f>HYPERLINK("https://twitter.com/glaucojarzinski/status/1704468543796904283")</f>
        <v>https://twitter.com/glaucojarzinski/status/1704468543796904283</v>
      </c>
      <c r="AF632" s="79">
        <v>45189.508587962962</v>
      </c>
      <c r="AG632" s="85">
        <v>45189</v>
      </c>
      <c r="AH632" s="82" t="s">
        <v>8362</v>
      </c>
      <c r="AI632" s="77" t="b">
        <v>0</v>
      </c>
      <c r="AJ632" s="77"/>
      <c r="AK632" s="77"/>
      <c r="AL632" s="77"/>
      <c r="AM632" s="77"/>
      <c r="AN632" s="77"/>
      <c r="AO632" s="77"/>
      <c r="AP632" s="77"/>
      <c r="AQ632" s="77" t="s">
        <v>10987</v>
      </c>
      <c r="AR632" s="77"/>
      <c r="AS632" s="77"/>
      <c r="AT632" s="77"/>
      <c r="AU632" s="77"/>
      <c r="AV632" s="80" t="str">
        <f>HYPERLINK("https://pbs.twimg.com/media/F6d9Gg2XgAAbjg0.jpg")</f>
        <v>https://pbs.twimg.com/media/F6d9Gg2XgAAbjg0.jpg</v>
      </c>
      <c r="AW632" s="82" t="s">
        <v>12330</v>
      </c>
      <c r="AX632" s="82" t="s">
        <v>12330</v>
      </c>
      <c r="AY632" s="77"/>
      <c r="AZ632" s="82" t="s">
        <v>15984</v>
      </c>
      <c r="BA632" s="82" t="s">
        <v>15984</v>
      </c>
      <c r="BB632" s="82" t="s">
        <v>15984</v>
      </c>
      <c r="BC632" s="82" t="s">
        <v>12330</v>
      </c>
      <c r="BD632" s="77">
        <v>93754487</v>
      </c>
      <c r="BE632" s="77"/>
      <c r="BF632" s="77"/>
      <c r="BG632" s="77"/>
      <c r="BH632" s="77"/>
      <c r="BI632" s="77"/>
    </row>
    <row r="633" spans="1:61" x14ac:dyDescent="0.25">
      <c r="A633" s="62" t="s">
        <v>413</v>
      </c>
      <c r="B633" s="62" t="s">
        <v>413</v>
      </c>
      <c r="C633" s="63"/>
      <c r="D633" s="64"/>
      <c r="E633" s="65"/>
      <c r="F633" s="66"/>
      <c r="G633" s="63"/>
      <c r="H633" s="67"/>
      <c r="I633" s="68"/>
      <c r="J633" s="68"/>
      <c r="K633" s="32"/>
      <c r="L633" s="75">
        <v>633</v>
      </c>
      <c r="M633" s="75"/>
      <c r="N633" s="70"/>
      <c r="O633" s="77" t="s">
        <v>179</v>
      </c>
      <c r="P633" s="79">
        <v>45163.52138888889</v>
      </c>
      <c r="Q633" s="77" t="s">
        <v>1501</v>
      </c>
      <c r="R633" s="77">
        <v>0</v>
      </c>
      <c r="S633" s="77">
        <v>0</v>
      </c>
      <c r="T633" s="77">
        <v>0</v>
      </c>
      <c r="U633" s="77">
        <v>0</v>
      </c>
      <c r="V633" s="77">
        <v>148</v>
      </c>
      <c r="W633" s="82" t="s">
        <v>5145</v>
      </c>
      <c r="X633" s="77"/>
      <c r="Y633" s="77"/>
      <c r="Z633" s="77"/>
      <c r="AA633" s="77" t="s">
        <v>7016</v>
      </c>
      <c r="AB633" s="77" t="s">
        <v>7744</v>
      </c>
      <c r="AC633" s="82" t="s">
        <v>7750</v>
      </c>
      <c r="AD633" s="77" t="s">
        <v>7788</v>
      </c>
      <c r="AE633" s="80" t="str">
        <f>HYPERLINK("https://twitter.com/glaucojarzinski/status/1695051094647349499")</f>
        <v>https://twitter.com/glaucojarzinski/status/1695051094647349499</v>
      </c>
      <c r="AF633" s="79">
        <v>45163.52138888889</v>
      </c>
      <c r="AG633" s="85">
        <v>45163</v>
      </c>
      <c r="AH633" s="82" t="s">
        <v>8363</v>
      </c>
      <c r="AI633" s="77" t="b">
        <v>0</v>
      </c>
      <c r="AJ633" s="77"/>
      <c r="AK633" s="77"/>
      <c r="AL633" s="77"/>
      <c r="AM633" s="77"/>
      <c r="AN633" s="77"/>
      <c r="AO633" s="77"/>
      <c r="AP633" s="77"/>
      <c r="AQ633" s="77" t="s">
        <v>10988</v>
      </c>
      <c r="AR633" s="77"/>
      <c r="AS633" s="77"/>
      <c r="AT633" s="77"/>
      <c r="AU633" s="77"/>
      <c r="AV633" s="80" t="str">
        <f>HYPERLINK("https://pbs.twimg.com/media/F4YH-_AXkAAXWDy.jpg")</f>
        <v>https://pbs.twimg.com/media/F4YH-_AXkAAXWDy.jpg</v>
      </c>
      <c r="AW633" s="82" t="s">
        <v>12331</v>
      </c>
      <c r="AX633" s="82" t="s">
        <v>12331</v>
      </c>
      <c r="AY633" s="77"/>
      <c r="AZ633" s="82" t="s">
        <v>15984</v>
      </c>
      <c r="BA633" s="82" t="s">
        <v>15984</v>
      </c>
      <c r="BB633" s="82" t="s">
        <v>15984</v>
      </c>
      <c r="BC633" s="82" t="s">
        <v>12331</v>
      </c>
      <c r="BD633" s="77">
        <v>93754487</v>
      </c>
      <c r="BE633" s="77"/>
      <c r="BF633" s="77"/>
      <c r="BG633" s="77"/>
      <c r="BH633" s="77"/>
      <c r="BI633" s="77"/>
    </row>
    <row r="634" spans="1:61" x14ac:dyDescent="0.25">
      <c r="A634" s="62" t="s">
        <v>413</v>
      </c>
      <c r="B634" s="62" t="s">
        <v>413</v>
      </c>
      <c r="C634" s="63"/>
      <c r="D634" s="64"/>
      <c r="E634" s="65"/>
      <c r="F634" s="66"/>
      <c r="G634" s="63"/>
      <c r="H634" s="67"/>
      <c r="I634" s="68"/>
      <c r="J634" s="68"/>
      <c r="K634" s="32"/>
      <c r="L634" s="75">
        <v>634</v>
      </c>
      <c r="M634" s="75"/>
      <c r="N634" s="70"/>
      <c r="O634" s="77" t="s">
        <v>179</v>
      </c>
      <c r="P634" s="79">
        <v>45118.524976851855</v>
      </c>
      <c r="Q634" s="77" t="s">
        <v>1502</v>
      </c>
      <c r="R634" s="77">
        <v>0</v>
      </c>
      <c r="S634" s="77">
        <v>0</v>
      </c>
      <c r="T634" s="77">
        <v>0</v>
      </c>
      <c r="U634" s="77">
        <v>0</v>
      </c>
      <c r="V634" s="77">
        <v>74</v>
      </c>
      <c r="W634" s="82" t="s">
        <v>5145</v>
      </c>
      <c r="X634" s="77"/>
      <c r="Y634" s="77"/>
      <c r="Z634" s="77"/>
      <c r="AA634" s="77" t="s">
        <v>7017</v>
      </c>
      <c r="AB634" s="77" t="s">
        <v>7744</v>
      </c>
      <c r="AC634" s="82" t="s">
        <v>7750</v>
      </c>
      <c r="AD634" s="77" t="s">
        <v>7788</v>
      </c>
      <c r="AE634" s="80" t="str">
        <f>HYPERLINK("https://twitter.com/glaucojarzinski/status/1678744942871556098")</f>
        <v>https://twitter.com/glaucojarzinski/status/1678744942871556098</v>
      </c>
      <c r="AF634" s="79">
        <v>45118.524976851855</v>
      </c>
      <c r="AG634" s="85">
        <v>45118</v>
      </c>
      <c r="AH634" s="82" t="s">
        <v>8364</v>
      </c>
      <c r="AI634" s="77" t="b">
        <v>0</v>
      </c>
      <c r="AJ634" s="77"/>
      <c r="AK634" s="77"/>
      <c r="AL634" s="77"/>
      <c r="AM634" s="77"/>
      <c r="AN634" s="77"/>
      <c r="AO634" s="77"/>
      <c r="AP634" s="77"/>
      <c r="AQ634" s="77" t="s">
        <v>10989</v>
      </c>
      <c r="AR634" s="77"/>
      <c r="AS634" s="77"/>
      <c r="AT634" s="77"/>
      <c r="AU634" s="77"/>
      <c r="AV634" s="80" t="str">
        <f>HYPERLINK("https://pbs.twimg.com/media/F0wZoGkX0AQe7zM.jpg")</f>
        <v>https://pbs.twimg.com/media/F0wZoGkX0AQe7zM.jpg</v>
      </c>
      <c r="AW634" s="82" t="s">
        <v>12332</v>
      </c>
      <c r="AX634" s="82" t="s">
        <v>12332</v>
      </c>
      <c r="AY634" s="77"/>
      <c r="AZ634" s="82" t="s">
        <v>15984</v>
      </c>
      <c r="BA634" s="82" t="s">
        <v>15984</v>
      </c>
      <c r="BB634" s="82" t="s">
        <v>15984</v>
      </c>
      <c r="BC634" s="82" t="s">
        <v>12332</v>
      </c>
      <c r="BD634" s="77">
        <v>93754487</v>
      </c>
      <c r="BE634" s="77"/>
      <c r="BF634" s="77"/>
      <c r="BG634" s="77"/>
      <c r="BH634" s="77"/>
      <c r="BI634" s="77"/>
    </row>
    <row r="635" spans="1:61" x14ac:dyDescent="0.25">
      <c r="A635" s="62" t="s">
        <v>413</v>
      </c>
      <c r="B635" s="62" t="s">
        <v>413</v>
      </c>
      <c r="C635" s="63"/>
      <c r="D635" s="64"/>
      <c r="E635" s="65"/>
      <c r="F635" s="66"/>
      <c r="G635" s="63"/>
      <c r="H635" s="67"/>
      <c r="I635" s="68"/>
      <c r="J635" s="68"/>
      <c r="K635" s="32"/>
      <c r="L635" s="75">
        <v>635</v>
      </c>
      <c r="M635" s="75"/>
      <c r="N635" s="70"/>
      <c r="O635" s="77" t="s">
        <v>179</v>
      </c>
      <c r="P635" s="79">
        <v>45188.49459490741</v>
      </c>
      <c r="Q635" s="77" t="s">
        <v>1503</v>
      </c>
      <c r="R635" s="77">
        <v>0</v>
      </c>
      <c r="S635" s="77">
        <v>0</v>
      </c>
      <c r="T635" s="77">
        <v>0</v>
      </c>
      <c r="U635" s="77">
        <v>0</v>
      </c>
      <c r="V635" s="77">
        <v>33</v>
      </c>
      <c r="W635" s="82" t="s">
        <v>5145</v>
      </c>
      <c r="X635" s="77"/>
      <c r="Y635" s="77"/>
      <c r="Z635" s="77"/>
      <c r="AA635" s="77" t="s">
        <v>7018</v>
      </c>
      <c r="AB635" s="77" t="s">
        <v>7744</v>
      </c>
      <c r="AC635" s="82" t="s">
        <v>7750</v>
      </c>
      <c r="AD635" s="77" t="s">
        <v>7788</v>
      </c>
      <c r="AE635" s="80" t="str">
        <f>HYPERLINK("https://twitter.com/glaucojarzinski/status/1704101083168043164")</f>
        <v>https://twitter.com/glaucojarzinski/status/1704101083168043164</v>
      </c>
      <c r="AF635" s="79">
        <v>45188.49459490741</v>
      </c>
      <c r="AG635" s="85">
        <v>45188</v>
      </c>
      <c r="AH635" s="82" t="s">
        <v>8365</v>
      </c>
      <c r="AI635" s="77" t="b">
        <v>0</v>
      </c>
      <c r="AJ635" s="77"/>
      <c r="AK635" s="77"/>
      <c r="AL635" s="77"/>
      <c r="AM635" s="77"/>
      <c r="AN635" s="77"/>
      <c r="AO635" s="77"/>
      <c r="AP635" s="77"/>
      <c r="AQ635" s="77" t="s">
        <v>10990</v>
      </c>
      <c r="AR635" s="77"/>
      <c r="AS635" s="77"/>
      <c r="AT635" s="77"/>
      <c r="AU635" s="77"/>
      <c r="AV635" s="80" t="str">
        <f>HYPERLINK("https://pbs.twimg.com/media/F6Yu5fnWAAAknJm.jpg")</f>
        <v>https://pbs.twimg.com/media/F6Yu5fnWAAAknJm.jpg</v>
      </c>
      <c r="AW635" s="82" t="s">
        <v>12333</v>
      </c>
      <c r="AX635" s="82" t="s">
        <v>12333</v>
      </c>
      <c r="AY635" s="77"/>
      <c r="AZ635" s="82" t="s">
        <v>15984</v>
      </c>
      <c r="BA635" s="82" t="s">
        <v>15984</v>
      </c>
      <c r="BB635" s="82" t="s">
        <v>15984</v>
      </c>
      <c r="BC635" s="82" t="s">
        <v>12333</v>
      </c>
      <c r="BD635" s="77">
        <v>93754487</v>
      </c>
      <c r="BE635" s="77"/>
      <c r="BF635" s="77"/>
      <c r="BG635" s="77"/>
      <c r="BH635" s="77"/>
      <c r="BI635" s="77"/>
    </row>
    <row r="636" spans="1:61" x14ac:dyDescent="0.25">
      <c r="A636" s="62" t="s">
        <v>413</v>
      </c>
      <c r="B636" s="62" t="s">
        <v>413</v>
      </c>
      <c r="C636" s="63"/>
      <c r="D636" s="64"/>
      <c r="E636" s="65"/>
      <c r="F636" s="66"/>
      <c r="G636" s="63"/>
      <c r="H636" s="67"/>
      <c r="I636" s="68"/>
      <c r="J636" s="68"/>
      <c r="K636" s="32"/>
      <c r="L636" s="75">
        <v>636</v>
      </c>
      <c r="M636" s="75"/>
      <c r="N636" s="70"/>
      <c r="O636" s="77" t="s">
        <v>179</v>
      </c>
      <c r="P636" s="79">
        <v>45139.567106481481</v>
      </c>
      <c r="Q636" s="77" t="s">
        <v>1504</v>
      </c>
      <c r="R636" s="77">
        <v>0</v>
      </c>
      <c r="S636" s="77">
        <v>0</v>
      </c>
      <c r="T636" s="77">
        <v>0</v>
      </c>
      <c r="U636" s="77">
        <v>0</v>
      </c>
      <c r="V636" s="77">
        <v>95</v>
      </c>
      <c r="W636" s="82" t="s">
        <v>5145</v>
      </c>
      <c r="X636" s="77"/>
      <c r="Y636" s="77"/>
      <c r="Z636" s="77"/>
      <c r="AA636" s="77" t="s">
        <v>7019</v>
      </c>
      <c r="AB636" s="77" t="s">
        <v>7744</v>
      </c>
      <c r="AC636" s="82" t="s">
        <v>7750</v>
      </c>
      <c r="AD636" s="77" t="s">
        <v>7788</v>
      </c>
      <c r="AE636" s="80" t="str">
        <f>HYPERLINK("https://twitter.com/glaucojarzinski/status/1686370354468675585")</f>
        <v>https://twitter.com/glaucojarzinski/status/1686370354468675585</v>
      </c>
      <c r="AF636" s="79">
        <v>45139.567106481481</v>
      </c>
      <c r="AG636" s="85">
        <v>45139</v>
      </c>
      <c r="AH636" s="82" t="s">
        <v>8366</v>
      </c>
      <c r="AI636" s="77" t="b">
        <v>0</v>
      </c>
      <c r="AJ636" s="77"/>
      <c r="AK636" s="77"/>
      <c r="AL636" s="77"/>
      <c r="AM636" s="77"/>
      <c r="AN636" s="77"/>
      <c r="AO636" s="77"/>
      <c r="AP636" s="77"/>
      <c r="AQ636" s="77" t="s">
        <v>10991</v>
      </c>
      <c r="AR636" s="77"/>
      <c r="AS636" s="77"/>
      <c r="AT636" s="77"/>
      <c r="AU636" s="77"/>
      <c r="AV636" s="80" t="str">
        <f>HYPERLINK("https://pbs.twimg.com/media/F2cw5WnbcAA2f3C.jpg")</f>
        <v>https://pbs.twimg.com/media/F2cw5WnbcAA2f3C.jpg</v>
      </c>
      <c r="AW636" s="82" t="s">
        <v>12334</v>
      </c>
      <c r="AX636" s="82" t="s">
        <v>12334</v>
      </c>
      <c r="AY636" s="77"/>
      <c r="AZ636" s="82" t="s">
        <v>15984</v>
      </c>
      <c r="BA636" s="82" t="s">
        <v>15984</v>
      </c>
      <c r="BB636" s="82" t="s">
        <v>15984</v>
      </c>
      <c r="BC636" s="82" t="s">
        <v>12334</v>
      </c>
      <c r="BD636" s="77">
        <v>93754487</v>
      </c>
      <c r="BE636" s="77"/>
      <c r="BF636" s="77"/>
      <c r="BG636" s="77"/>
      <c r="BH636" s="77"/>
      <c r="BI636" s="77"/>
    </row>
    <row r="637" spans="1:61" x14ac:dyDescent="0.25">
      <c r="A637" s="62" t="s">
        <v>413</v>
      </c>
      <c r="B637" s="62" t="s">
        <v>413</v>
      </c>
      <c r="C637" s="63"/>
      <c r="D637" s="64"/>
      <c r="E637" s="65"/>
      <c r="F637" s="66"/>
      <c r="G637" s="63"/>
      <c r="H637" s="67"/>
      <c r="I637" s="68"/>
      <c r="J637" s="68"/>
      <c r="K637" s="32"/>
      <c r="L637" s="75">
        <v>637</v>
      </c>
      <c r="M637" s="75"/>
      <c r="N637" s="70"/>
      <c r="O637" s="77" t="s">
        <v>179</v>
      </c>
      <c r="P637" s="79">
        <v>45194.530532407407</v>
      </c>
      <c r="Q637" s="77" t="s">
        <v>1505</v>
      </c>
      <c r="R637" s="77">
        <v>0</v>
      </c>
      <c r="S637" s="77">
        <v>0</v>
      </c>
      <c r="T637" s="77">
        <v>0</v>
      </c>
      <c r="U637" s="77">
        <v>0</v>
      </c>
      <c r="V637" s="77">
        <v>57</v>
      </c>
      <c r="W637" s="82" t="s">
        <v>5146</v>
      </c>
      <c r="X637" s="77"/>
      <c r="Y637" s="77"/>
      <c r="Z637" s="77"/>
      <c r="AA637" s="77" t="s">
        <v>7020</v>
      </c>
      <c r="AB637" s="77" t="s">
        <v>7742</v>
      </c>
      <c r="AC637" s="82" t="s">
        <v>7750</v>
      </c>
      <c r="AD637" s="77" t="s">
        <v>7788</v>
      </c>
      <c r="AE637" s="80" t="str">
        <f>HYPERLINK("https://twitter.com/glaucojarzinski/status/1706288434841567392")</f>
        <v>https://twitter.com/glaucojarzinski/status/1706288434841567392</v>
      </c>
      <c r="AF637" s="79">
        <v>45194.530532407407</v>
      </c>
      <c r="AG637" s="85">
        <v>45194</v>
      </c>
      <c r="AH637" s="82" t="s">
        <v>8367</v>
      </c>
      <c r="AI637" s="77" t="b">
        <v>0</v>
      </c>
      <c r="AJ637" s="77"/>
      <c r="AK637" s="77"/>
      <c r="AL637" s="77"/>
      <c r="AM637" s="77"/>
      <c r="AN637" s="77"/>
      <c r="AO637" s="77"/>
      <c r="AP637" s="77"/>
      <c r="AQ637" s="77" t="s">
        <v>10992</v>
      </c>
      <c r="AR637" s="77"/>
      <c r="AS637" s="77"/>
      <c r="AT637" s="77"/>
      <c r="AU637" s="77"/>
      <c r="AV637" s="80" t="str">
        <f>HYPERLINK("https://pbs.twimg.com/media/F63z-TFXsAATFCp.jpg")</f>
        <v>https://pbs.twimg.com/media/F63z-TFXsAATFCp.jpg</v>
      </c>
      <c r="AW637" s="82" t="s">
        <v>12335</v>
      </c>
      <c r="AX637" s="82" t="s">
        <v>12335</v>
      </c>
      <c r="AY637" s="77"/>
      <c r="AZ637" s="82" t="s">
        <v>15984</v>
      </c>
      <c r="BA637" s="82" t="s">
        <v>15984</v>
      </c>
      <c r="BB637" s="82" t="s">
        <v>15984</v>
      </c>
      <c r="BC637" s="82" t="s">
        <v>12335</v>
      </c>
      <c r="BD637" s="77">
        <v>93754487</v>
      </c>
      <c r="BE637" s="77"/>
      <c r="BF637" s="77"/>
      <c r="BG637" s="77"/>
      <c r="BH637" s="77"/>
      <c r="BI637" s="77"/>
    </row>
    <row r="638" spans="1:61" x14ac:dyDescent="0.25">
      <c r="A638" s="62" t="s">
        <v>413</v>
      </c>
      <c r="B638" s="62" t="s">
        <v>413</v>
      </c>
      <c r="C638" s="63"/>
      <c r="D638" s="64"/>
      <c r="E638" s="65"/>
      <c r="F638" s="66"/>
      <c r="G638" s="63"/>
      <c r="H638" s="67"/>
      <c r="I638" s="68"/>
      <c r="J638" s="68"/>
      <c r="K638" s="32"/>
      <c r="L638" s="75">
        <v>638</v>
      </c>
      <c r="M638" s="75"/>
      <c r="N638" s="70"/>
      <c r="O638" s="77" t="s">
        <v>179</v>
      </c>
      <c r="P638" s="79">
        <v>45194.513784722221</v>
      </c>
      <c r="Q638" s="77" t="s">
        <v>1506</v>
      </c>
      <c r="R638" s="77">
        <v>0</v>
      </c>
      <c r="S638" s="77">
        <v>0</v>
      </c>
      <c r="T638" s="77">
        <v>0</v>
      </c>
      <c r="U638" s="77">
        <v>0</v>
      </c>
      <c r="V638" s="77">
        <v>37</v>
      </c>
      <c r="W638" s="82" t="s">
        <v>5145</v>
      </c>
      <c r="X638" s="77"/>
      <c r="Y638" s="77"/>
      <c r="Z638" s="77"/>
      <c r="AA638" s="77" t="s">
        <v>7021</v>
      </c>
      <c r="AB638" s="77" t="s">
        <v>7744</v>
      </c>
      <c r="AC638" s="82" t="s">
        <v>7750</v>
      </c>
      <c r="AD638" s="77" t="s">
        <v>7788</v>
      </c>
      <c r="AE638" s="80" t="str">
        <f>HYPERLINK("https://twitter.com/glaucojarzinski/status/1706282362345001189")</f>
        <v>https://twitter.com/glaucojarzinski/status/1706282362345001189</v>
      </c>
      <c r="AF638" s="79">
        <v>45194.513784722221</v>
      </c>
      <c r="AG638" s="85">
        <v>45194</v>
      </c>
      <c r="AH638" s="82" t="s">
        <v>8368</v>
      </c>
      <c r="AI638" s="77" t="b">
        <v>0</v>
      </c>
      <c r="AJ638" s="77"/>
      <c r="AK638" s="77"/>
      <c r="AL638" s="77"/>
      <c r="AM638" s="77"/>
      <c r="AN638" s="77"/>
      <c r="AO638" s="77"/>
      <c r="AP638" s="77"/>
      <c r="AQ638" s="77" t="s">
        <v>10993</v>
      </c>
      <c r="AR638" s="77"/>
      <c r="AS638" s="77"/>
      <c r="AT638" s="77"/>
      <c r="AU638" s="77"/>
      <c r="AV638" s="80" t="str">
        <f>HYPERLINK("https://pbs.twimg.com/media/F63uw2pWEAAH-mX.jpg")</f>
        <v>https://pbs.twimg.com/media/F63uw2pWEAAH-mX.jpg</v>
      </c>
      <c r="AW638" s="82" t="s">
        <v>12336</v>
      </c>
      <c r="AX638" s="82" t="s">
        <v>12336</v>
      </c>
      <c r="AY638" s="77"/>
      <c r="AZ638" s="82" t="s">
        <v>15984</v>
      </c>
      <c r="BA638" s="82" t="s">
        <v>15984</v>
      </c>
      <c r="BB638" s="82" t="s">
        <v>15984</v>
      </c>
      <c r="BC638" s="82" t="s">
        <v>12336</v>
      </c>
      <c r="BD638" s="77">
        <v>93754487</v>
      </c>
      <c r="BE638" s="77"/>
      <c r="BF638" s="77"/>
      <c r="BG638" s="77"/>
      <c r="BH638" s="77"/>
      <c r="BI638" s="77"/>
    </row>
    <row r="639" spans="1:61" x14ac:dyDescent="0.25">
      <c r="A639" s="62" t="s">
        <v>413</v>
      </c>
      <c r="B639" s="62" t="s">
        <v>413</v>
      </c>
      <c r="C639" s="63"/>
      <c r="D639" s="64"/>
      <c r="E639" s="65"/>
      <c r="F639" s="66"/>
      <c r="G639" s="63"/>
      <c r="H639" s="67"/>
      <c r="I639" s="68"/>
      <c r="J639" s="68"/>
      <c r="K639" s="32"/>
      <c r="L639" s="75">
        <v>639</v>
      </c>
      <c r="M639" s="75"/>
      <c r="N639" s="70"/>
      <c r="O639" s="77" t="s">
        <v>179</v>
      </c>
      <c r="P639" s="79">
        <v>45180.501736111109</v>
      </c>
      <c r="Q639" s="77" t="s">
        <v>1507</v>
      </c>
      <c r="R639" s="77">
        <v>0</v>
      </c>
      <c r="S639" s="77">
        <v>0</v>
      </c>
      <c r="T639" s="77">
        <v>0</v>
      </c>
      <c r="U639" s="77">
        <v>0</v>
      </c>
      <c r="V639" s="77">
        <v>70</v>
      </c>
      <c r="W639" s="82" t="s">
        <v>5145</v>
      </c>
      <c r="X639" s="77"/>
      <c r="Y639" s="77"/>
      <c r="Z639" s="77"/>
      <c r="AA639" s="77" t="s">
        <v>7022</v>
      </c>
      <c r="AB639" s="77" t="s">
        <v>7744</v>
      </c>
      <c r="AC639" s="82" t="s">
        <v>7750</v>
      </c>
      <c r="AD639" s="77" t="s">
        <v>7788</v>
      </c>
      <c r="AE639" s="80" t="str">
        <f>HYPERLINK("https://twitter.com/glaucojarzinski/status/1701204568560820380")</f>
        <v>https://twitter.com/glaucojarzinski/status/1701204568560820380</v>
      </c>
      <c r="AF639" s="79">
        <v>45180.501736111109</v>
      </c>
      <c r="AG639" s="85">
        <v>45180</v>
      </c>
      <c r="AH639" s="82" t="s">
        <v>8369</v>
      </c>
      <c r="AI639" s="77" t="b">
        <v>0</v>
      </c>
      <c r="AJ639" s="77"/>
      <c r="AK639" s="77"/>
      <c r="AL639" s="77"/>
      <c r="AM639" s="77"/>
      <c r="AN639" s="77"/>
      <c r="AO639" s="77"/>
      <c r="AP639" s="77"/>
      <c r="AQ639" s="77" t="s">
        <v>10994</v>
      </c>
      <c r="AR639" s="77"/>
      <c r="AS639" s="77"/>
      <c r="AT639" s="77"/>
      <c r="AU639" s="77"/>
      <c r="AV639" s="80" t="str">
        <f>HYPERLINK("https://pbs.twimg.com/media/F5vkh75XYAArs1F.jpg")</f>
        <v>https://pbs.twimg.com/media/F5vkh75XYAArs1F.jpg</v>
      </c>
      <c r="AW639" s="82" t="s">
        <v>12337</v>
      </c>
      <c r="AX639" s="82" t="s">
        <v>12337</v>
      </c>
      <c r="AY639" s="77"/>
      <c r="AZ639" s="82" t="s">
        <v>15984</v>
      </c>
      <c r="BA639" s="82" t="s">
        <v>15984</v>
      </c>
      <c r="BB639" s="82" t="s">
        <v>15984</v>
      </c>
      <c r="BC639" s="82" t="s">
        <v>12337</v>
      </c>
      <c r="BD639" s="77">
        <v>93754487</v>
      </c>
      <c r="BE639" s="77"/>
      <c r="BF639" s="77"/>
      <c r="BG639" s="77"/>
      <c r="BH639" s="77"/>
      <c r="BI639" s="77"/>
    </row>
    <row r="640" spans="1:61" x14ac:dyDescent="0.25">
      <c r="A640" s="62" t="s">
        <v>413</v>
      </c>
      <c r="B640" s="62" t="s">
        <v>413</v>
      </c>
      <c r="C640" s="63"/>
      <c r="D640" s="64"/>
      <c r="E640" s="65"/>
      <c r="F640" s="66"/>
      <c r="G640" s="63"/>
      <c r="H640" s="67"/>
      <c r="I640" s="68"/>
      <c r="J640" s="68"/>
      <c r="K640" s="32"/>
      <c r="L640" s="75">
        <v>640</v>
      </c>
      <c r="M640" s="75"/>
      <c r="N640" s="70"/>
      <c r="O640" s="77" t="s">
        <v>179</v>
      </c>
      <c r="P640" s="79">
        <v>45180.501168981478</v>
      </c>
      <c r="Q640" s="77" t="s">
        <v>1508</v>
      </c>
      <c r="R640" s="77">
        <v>0</v>
      </c>
      <c r="S640" s="77">
        <v>0</v>
      </c>
      <c r="T640" s="77">
        <v>0</v>
      </c>
      <c r="U640" s="77">
        <v>0</v>
      </c>
      <c r="V640" s="77">
        <v>63</v>
      </c>
      <c r="W640" s="82" t="s">
        <v>5147</v>
      </c>
      <c r="X640" s="77"/>
      <c r="Y640" s="77"/>
      <c r="Z640" s="77"/>
      <c r="AA640" s="77" t="s">
        <v>7023</v>
      </c>
      <c r="AB640" s="77" t="s">
        <v>7742</v>
      </c>
      <c r="AC640" s="82" t="s">
        <v>7750</v>
      </c>
      <c r="AD640" s="77" t="s">
        <v>7788</v>
      </c>
      <c r="AE640" s="80" t="str">
        <f>HYPERLINK("https://twitter.com/glaucojarzinski/status/1701204363165786272")</f>
        <v>https://twitter.com/glaucojarzinski/status/1701204363165786272</v>
      </c>
      <c r="AF640" s="79">
        <v>45180.501168981478</v>
      </c>
      <c r="AG640" s="85">
        <v>45180</v>
      </c>
      <c r="AH640" s="82" t="s">
        <v>8370</v>
      </c>
      <c r="AI640" s="77" t="b">
        <v>0</v>
      </c>
      <c r="AJ640" s="77"/>
      <c r="AK640" s="77"/>
      <c r="AL640" s="77"/>
      <c r="AM640" s="77"/>
      <c r="AN640" s="77"/>
      <c r="AO640" s="77"/>
      <c r="AP640" s="77"/>
      <c r="AQ640" s="77" t="s">
        <v>10995</v>
      </c>
      <c r="AR640" s="77"/>
      <c r="AS640" s="77"/>
      <c r="AT640" s="77"/>
      <c r="AU640" s="77"/>
      <c r="AV640" s="80" t="str">
        <f>HYPERLINK("https://pbs.twimg.com/media/F5vkWYqWwAAKukA.jpg")</f>
        <v>https://pbs.twimg.com/media/F5vkWYqWwAAKukA.jpg</v>
      </c>
      <c r="AW640" s="82" t="s">
        <v>12338</v>
      </c>
      <c r="AX640" s="82" t="s">
        <v>12338</v>
      </c>
      <c r="AY640" s="77"/>
      <c r="AZ640" s="82" t="s">
        <v>15984</v>
      </c>
      <c r="BA640" s="82" t="s">
        <v>15984</v>
      </c>
      <c r="BB640" s="82" t="s">
        <v>15984</v>
      </c>
      <c r="BC640" s="82" t="s">
        <v>12338</v>
      </c>
      <c r="BD640" s="77">
        <v>93754487</v>
      </c>
      <c r="BE640" s="77"/>
      <c r="BF640" s="77"/>
      <c r="BG640" s="77"/>
      <c r="BH640" s="77"/>
      <c r="BI640" s="77"/>
    </row>
    <row r="641" spans="1:61" x14ac:dyDescent="0.25">
      <c r="A641" s="62" t="s">
        <v>413</v>
      </c>
      <c r="B641" s="62" t="s">
        <v>413</v>
      </c>
      <c r="C641" s="63"/>
      <c r="D641" s="64"/>
      <c r="E641" s="65"/>
      <c r="F641" s="66"/>
      <c r="G641" s="63"/>
      <c r="H641" s="67"/>
      <c r="I641" s="68"/>
      <c r="J641" s="68"/>
      <c r="K641" s="32"/>
      <c r="L641" s="75">
        <v>641</v>
      </c>
      <c r="M641" s="75"/>
      <c r="N641" s="70"/>
      <c r="O641" s="77" t="s">
        <v>179</v>
      </c>
      <c r="P641" s="79">
        <v>45140.553217592591</v>
      </c>
      <c r="Q641" s="77" t="s">
        <v>1509</v>
      </c>
      <c r="R641" s="77">
        <v>0</v>
      </c>
      <c r="S641" s="77">
        <v>0</v>
      </c>
      <c r="T641" s="77">
        <v>1</v>
      </c>
      <c r="U641" s="77">
        <v>0</v>
      </c>
      <c r="V641" s="77">
        <v>104</v>
      </c>
      <c r="W641" s="82" t="s">
        <v>5145</v>
      </c>
      <c r="X641" s="77"/>
      <c r="Y641" s="77"/>
      <c r="Z641" s="77"/>
      <c r="AA641" s="77" t="s">
        <v>7024</v>
      </c>
      <c r="AB641" s="77" t="s">
        <v>7744</v>
      </c>
      <c r="AC641" s="82" t="s">
        <v>7750</v>
      </c>
      <c r="AD641" s="77" t="s">
        <v>7788</v>
      </c>
      <c r="AE641" s="80" t="str">
        <f>HYPERLINK("https://twitter.com/glaucojarzinski/status/1686727708246450176")</f>
        <v>https://twitter.com/glaucojarzinski/status/1686727708246450176</v>
      </c>
      <c r="AF641" s="79">
        <v>45140.553217592591</v>
      </c>
      <c r="AG641" s="85">
        <v>45140</v>
      </c>
      <c r="AH641" s="82" t="s">
        <v>8371</v>
      </c>
      <c r="AI641" s="77" t="b">
        <v>0</v>
      </c>
      <c r="AJ641" s="77"/>
      <c r="AK641" s="77"/>
      <c r="AL641" s="77"/>
      <c r="AM641" s="77"/>
      <c r="AN641" s="77"/>
      <c r="AO641" s="77"/>
      <c r="AP641" s="77"/>
      <c r="AQ641" s="77" t="s">
        <v>10996</v>
      </c>
      <c r="AR641" s="77"/>
      <c r="AS641" s="77"/>
      <c r="AT641" s="77"/>
      <c r="AU641" s="77"/>
      <c r="AV641" s="80" t="str">
        <f>HYPERLINK("https://pbs.twimg.com/media/F2h16HcXAAEGLBp.jpg")</f>
        <v>https://pbs.twimg.com/media/F2h16HcXAAEGLBp.jpg</v>
      </c>
      <c r="AW641" s="82" t="s">
        <v>12339</v>
      </c>
      <c r="AX641" s="82" t="s">
        <v>12339</v>
      </c>
      <c r="AY641" s="77"/>
      <c r="AZ641" s="82" t="s">
        <v>15984</v>
      </c>
      <c r="BA641" s="82" t="s">
        <v>15984</v>
      </c>
      <c r="BB641" s="82" t="s">
        <v>15984</v>
      </c>
      <c r="BC641" s="82" t="s">
        <v>12339</v>
      </c>
      <c r="BD641" s="77">
        <v>93754487</v>
      </c>
      <c r="BE641" s="77"/>
      <c r="BF641" s="77"/>
      <c r="BG641" s="77"/>
      <c r="BH641" s="77"/>
      <c r="BI641" s="77"/>
    </row>
    <row r="642" spans="1:61" x14ac:dyDescent="0.25">
      <c r="A642" s="62" t="s">
        <v>414</v>
      </c>
      <c r="B642" s="62" t="s">
        <v>414</v>
      </c>
      <c r="C642" s="63"/>
      <c r="D642" s="64"/>
      <c r="E642" s="65"/>
      <c r="F642" s="66"/>
      <c r="G642" s="63"/>
      <c r="H642" s="67"/>
      <c r="I642" s="68"/>
      <c r="J642" s="68"/>
      <c r="K642" s="32"/>
      <c r="L642" s="75">
        <v>642</v>
      </c>
      <c r="M642" s="75"/>
      <c r="N642" s="70"/>
      <c r="O642" s="77" t="s">
        <v>179</v>
      </c>
      <c r="P642" s="79">
        <v>45119.655555555553</v>
      </c>
      <c r="Q642" s="77" t="s">
        <v>1510</v>
      </c>
      <c r="R642" s="77">
        <v>0</v>
      </c>
      <c r="S642" s="77">
        <v>15</v>
      </c>
      <c r="T642" s="77">
        <v>0</v>
      </c>
      <c r="U642" s="77">
        <v>1</v>
      </c>
      <c r="V642" s="77">
        <v>1187</v>
      </c>
      <c r="W642" s="82" t="s">
        <v>5148</v>
      </c>
      <c r="X642" s="80" t="str">
        <f>HYPERLINK("https://cultura.uol.com.br/noticias/60084_pesquisa-genialquaest-aponta-mudanca-de-opiniao-do-mercado-financeiro-sobre-haddad.html")</f>
        <v>https://cultura.uol.com.br/noticias/60084_pesquisa-genialquaest-aponta-mudanca-de-opiniao-do-mercado-financeiro-sobre-haddad.html</v>
      </c>
      <c r="Y642" s="77" t="s">
        <v>6470</v>
      </c>
      <c r="Z642" s="77"/>
      <c r="AA642" s="77"/>
      <c r="AB642" s="77"/>
      <c r="AC642" s="82" t="s">
        <v>7754</v>
      </c>
      <c r="AD642" s="77" t="s">
        <v>7788</v>
      </c>
      <c r="AE642" s="80" t="str">
        <f>HYPERLINK("https://twitter.com/tvcultura/status/1679154651760070656")</f>
        <v>https://twitter.com/tvcultura/status/1679154651760070656</v>
      </c>
      <c r="AF642" s="79">
        <v>45119.655555555553</v>
      </c>
      <c r="AG642" s="85">
        <v>45119</v>
      </c>
      <c r="AH642" s="82" t="s">
        <v>8372</v>
      </c>
      <c r="AI642" s="77" t="b">
        <v>0</v>
      </c>
      <c r="AJ642" s="77"/>
      <c r="AK642" s="77"/>
      <c r="AL642" s="77"/>
      <c r="AM642" s="77"/>
      <c r="AN642" s="77"/>
      <c r="AO642" s="77"/>
      <c r="AP642" s="77"/>
      <c r="AQ642" s="77"/>
      <c r="AR642" s="77"/>
      <c r="AS642" s="77"/>
      <c r="AT642" s="77"/>
      <c r="AU642" s="77"/>
      <c r="AV642" s="80" t="str">
        <f>HYPERLINK("https://pbs.twimg.com/profile_images/1649150439605039104/ws2NLiGq_normal.jpg")</f>
        <v>https://pbs.twimg.com/profile_images/1649150439605039104/ws2NLiGq_normal.jpg</v>
      </c>
      <c r="AW642" s="82" t="s">
        <v>12340</v>
      </c>
      <c r="AX642" s="82" t="s">
        <v>12340</v>
      </c>
      <c r="AY642" s="77"/>
      <c r="AZ642" s="82" t="s">
        <v>15984</v>
      </c>
      <c r="BA642" s="82" t="s">
        <v>15984</v>
      </c>
      <c r="BB642" s="82" t="s">
        <v>15984</v>
      </c>
      <c r="BC642" s="82" t="s">
        <v>12340</v>
      </c>
      <c r="BD642" s="77">
        <v>14306125</v>
      </c>
      <c r="BE642" s="77"/>
      <c r="BF642" s="77"/>
      <c r="BG642" s="77"/>
      <c r="BH642" s="77"/>
      <c r="BI642" s="77"/>
    </row>
    <row r="643" spans="1:61" x14ac:dyDescent="0.25">
      <c r="A643" s="62" t="s">
        <v>415</v>
      </c>
      <c r="B643" s="62" t="s">
        <v>614</v>
      </c>
      <c r="C643" s="63"/>
      <c r="D643" s="64"/>
      <c r="E643" s="65"/>
      <c r="F643" s="66"/>
      <c r="G643" s="63"/>
      <c r="H643" s="67"/>
      <c r="I643" s="68"/>
      <c r="J643" s="68"/>
      <c r="K643" s="32"/>
      <c r="L643" s="75">
        <v>643</v>
      </c>
      <c r="M643" s="75"/>
      <c r="N643" s="70"/>
      <c r="O643" s="77" t="s">
        <v>897</v>
      </c>
      <c r="P643" s="79">
        <v>45193.181446759256</v>
      </c>
      <c r="Q643" s="77" t="s">
        <v>1511</v>
      </c>
      <c r="R643" s="77">
        <v>3</v>
      </c>
      <c r="S643" s="77">
        <v>0</v>
      </c>
      <c r="T643" s="77">
        <v>0</v>
      </c>
      <c r="U643" s="77">
        <v>0</v>
      </c>
      <c r="V643" s="77"/>
      <c r="W643" s="82" t="s">
        <v>4821</v>
      </c>
      <c r="X643" s="80" t="str">
        <f>HYPERLINK("https://www.valoraanalitik.com/2023/09/23/cuando-se-considera-que-una-persona-es-pobre-en-colombia/")</f>
        <v>https://www.valoraanalitik.com/2023/09/23/cuando-se-considera-que-una-persona-es-pobre-en-colombia/</v>
      </c>
      <c r="Y643" s="77" t="s">
        <v>6471</v>
      </c>
      <c r="Z643" s="77" t="s">
        <v>614</v>
      </c>
      <c r="AA643" s="77"/>
      <c r="AB643" s="77"/>
      <c r="AC643" s="82" t="s">
        <v>7752</v>
      </c>
      <c r="AD643" s="77" t="s">
        <v>7790</v>
      </c>
      <c r="AE643" s="80" t="str">
        <f>HYPERLINK("https://twitter.com/fabioasalamanca/status/1705799540597539113")</f>
        <v>https://twitter.com/fabioasalamanca/status/1705799540597539113</v>
      </c>
      <c r="AF643" s="79">
        <v>45193.181446759256</v>
      </c>
      <c r="AG643" s="85">
        <v>45193</v>
      </c>
      <c r="AH643" s="82" t="s">
        <v>8373</v>
      </c>
      <c r="AI643" s="77" t="b">
        <v>0</v>
      </c>
      <c r="AJ643" s="77"/>
      <c r="AK643" s="77"/>
      <c r="AL643" s="77"/>
      <c r="AM643" s="77"/>
      <c r="AN643" s="77"/>
      <c r="AO643" s="77"/>
      <c r="AP643" s="77"/>
      <c r="AQ643" s="77"/>
      <c r="AR643" s="77"/>
      <c r="AS643" s="77"/>
      <c r="AT643" s="77"/>
      <c r="AU643" s="77"/>
      <c r="AV643" s="80" t="str">
        <f>HYPERLINK("https://pbs.twimg.com/profile_images/692344881868574720/Z84J1SP7_normal.jpg")</f>
        <v>https://pbs.twimg.com/profile_images/692344881868574720/Z84J1SP7_normal.jpg</v>
      </c>
      <c r="AW643" s="82" t="s">
        <v>12341</v>
      </c>
      <c r="AX643" s="82" t="s">
        <v>12341</v>
      </c>
      <c r="AY643" s="77"/>
      <c r="AZ643" s="82" t="s">
        <v>15984</v>
      </c>
      <c r="BA643" s="82" t="s">
        <v>15984</v>
      </c>
      <c r="BB643" s="82" t="s">
        <v>13019</v>
      </c>
      <c r="BC643" s="82" t="s">
        <v>13019</v>
      </c>
      <c r="BD643" s="77">
        <v>1631895871</v>
      </c>
      <c r="BE643" s="77"/>
      <c r="BF643" s="77"/>
      <c r="BG643" s="77"/>
      <c r="BH643" s="77"/>
      <c r="BI643" s="77"/>
    </row>
    <row r="644" spans="1:61" x14ac:dyDescent="0.25">
      <c r="A644" s="62" t="s">
        <v>416</v>
      </c>
      <c r="B644" s="62" t="s">
        <v>416</v>
      </c>
      <c r="C644" s="63"/>
      <c r="D644" s="64"/>
      <c r="E644" s="65"/>
      <c r="F644" s="66"/>
      <c r="G644" s="63"/>
      <c r="H644" s="67"/>
      <c r="I644" s="68"/>
      <c r="J644" s="68"/>
      <c r="K644" s="32"/>
      <c r="L644" s="75">
        <v>644</v>
      </c>
      <c r="M644" s="75"/>
      <c r="N644" s="70"/>
      <c r="O644" s="77" t="s">
        <v>179</v>
      </c>
      <c r="P644" s="79">
        <v>45130.482615740744</v>
      </c>
      <c r="Q644" s="77" t="s">
        <v>1512</v>
      </c>
      <c r="R644" s="77">
        <v>0</v>
      </c>
      <c r="S644" s="77">
        <v>1</v>
      </c>
      <c r="T644" s="77">
        <v>0</v>
      </c>
      <c r="U644" s="77">
        <v>0</v>
      </c>
      <c r="V644" s="77">
        <v>54</v>
      </c>
      <c r="W644" s="82" t="s">
        <v>5149</v>
      </c>
      <c r="X644" s="80" t="str">
        <f>HYPERLINK("https://blogs.iadb.org/ideas-que-cuentan/es/fatiga-fiscal-en-america-latina-y-el-caribe-una-amenaza-creciente/")</f>
        <v>https://blogs.iadb.org/ideas-que-cuentan/es/fatiga-fiscal-en-america-latina-y-el-caribe-una-amenaza-creciente/</v>
      </c>
      <c r="Y644" s="77" t="s">
        <v>6516</v>
      </c>
      <c r="Z644" s="77"/>
      <c r="AA644" s="77"/>
      <c r="AB644" s="77"/>
      <c r="AC644" s="82" t="s">
        <v>7750</v>
      </c>
      <c r="AD644" s="77" t="s">
        <v>7790</v>
      </c>
      <c r="AE644" s="80" t="str">
        <f>HYPERLINK("https://twitter.com/jp_economics/status/1683078246793871365")</f>
        <v>https://twitter.com/jp_economics/status/1683078246793871365</v>
      </c>
      <c r="AF644" s="79">
        <v>45130.482615740744</v>
      </c>
      <c r="AG644" s="85">
        <v>45130</v>
      </c>
      <c r="AH644" s="82" t="s">
        <v>8374</v>
      </c>
      <c r="AI644" s="77" t="b">
        <v>0</v>
      </c>
      <c r="AJ644" s="77"/>
      <c r="AK644" s="77"/>
      <c r="AL644" s="77"/>
      <c r="AM644" s="77"/>
      <c r="AN644" s="77"/>
      <c r="AO644" s="77"/>
      <c r="AP644" s="77"/>
      <c r="AQ644" s="77"/>
      <c r="AR644" s="77"/>
      <c r="AS644" s="77"/>
      <c r="AT644" s="77"/>
      <c r="AU644" s="77"/>
      <c r="AV644" s="80" t="str">
        <f>HYPERLINK("https://pbs.twimg.com/profile_images/1671530633275817984/gJbeBeZ4_normal.jpg")</f>
        <v>https://pbs.twimg.com/profile_images/1671530633275817984/gJbeBeZ4_normal.jpg</v>
      </c>
      <c r="AW644" s="82" t="s">
        <v>12342</v>
      </c>
      <c r="AX644" s="82" t="s">
        <v>12342</v>
      </c>
      <c r="AY644" s="77"/>
      <c r="AZ644" s="82" t="s">
        <v>15984</v>
      </c>
      <c r="BA644" s="82" t="s">
        <v>15984</v>
      </c>
      <c r="BB644" s="82" t="s">
        <v>15984</v>
      </c>
      <c r="BC644" s="82" t="s">
        <v>12342</v>
      </c>
      <c r="BD644" s="82" t="s">
        <v>16214</v>
      </c>
      <c r="BE644" s="77"/>
      <c r="BF644" s="77"/>
      <c r="BG644" s="77"/>
      <c r="BH644" s="77"/>
      <c r="BI644" s="77"/>
    </row>
    <row r="645" spans="1:61" x14ac:dyDescent="0.25">
      <c r="A645" s="62" t="s">
        <v>416</v>
      </c>
      <c r="B645" s="62" t="s">
        <v>785</v>
      </c>
      <c r="C645" s="63"/>
      <c r="D645" s="64"/>
      <c r="E645" s="65"/>
      <c r="F645" s="66"/>
      <c r="G645" s="63"/>
      <c r="H645" s="67"/>
      <c r="I645" s="68"/>
      <c r="J645" s="68"/>
      <c r="K645" s="32"/>
      <c r="L645" s="75">
        <v>645</v>
      </c>
      <c r="M645" s="75"/>
      <c r="N645" s="70"/>
      <c r="O645" s="77" t="s">
        <v>895</v>
      </c>
      <c r="P645" s="79">
        <v>45145.445208333331</v>
      </c>
      <c r="Q645" s="77" t="s">
        <v>1513</v>
      </c>
      <c r="R645" s="77">
        <v>0</v>
      </c>
      <c r="S645" s="77">
        <v>1</v>
      </c>
      <c r="T645" s="77">
        <v>0</v>
      </c>
      <c r="U645" s="77">
        <v>0</v>
      </c>
      <c r="V645" s="77">
        <v>40</v>
      </c>
      <c r="W645" s="82" t="s">
        <v>5150</v>
      </c>
      <c r="X645" s="80" t="str">
        <f>HYPERLINK("https://blog.funcas.es/la-globalizacion-y-los-bloques-geopoliticos/")</f>
        <v>https://blog.funcas.es/la-globalizacion-y-los-bloques-geopoliticos/</v>
      </c>
      <c r="Y645" s="77" t="s">
        <v>6517</v>
      </c>
      <c r="Z645" s="77" t="s">
        <v>785</v>
      </c>
      <c r="AA645" s="77"/>
      <c r="AB645" s="77"/>
      <c r="AC645" s="82" t="s">
        <v>7750</v>
      </c>
      <c r="AD645" s="77" t="s">
        <v>7790</v>
      </c>
      <c r="AE645" s="80" t="str">
        <f>HYPERLINK("https://twitter.com/jp_economics/status/1688500509286490112")</f>
        <v>https://twitter.com/jp_economics/status/1688500509286490112</v>
      </c>
      <c r="AF645" s="79">
        <v>45145.445208333331</v>
      </c>
      <c r="AG645" s="85">
        <v>45145</v>
      </c>
      <c r="AH645" s="82" t="s">
        <v>8375</v>
      </c>
      <c r="AI645" s="77" t="b">
        <v>0</v>
      </c>
      <c r="AJ645" s="77"/>
      <c r="AK645" s="77"/>
      <c r="AL645" s="77"/>
      <c r="AM645" s="77"/>
      <c r="AN645" s="77"/>
      <c r="AO645" s="77"/>
      <c r="AP645" s="77"/>
      <c r="AQ645" s="77"/>
      <c r="AR645" s="77"/>
      <c r="AS645" s="77"/>
      <c r="AT645" s="77"/>
      <c r="AU645" s="77"/>
      <c r="AV645" s="80" t="str">
        <f>HYPERLINK("https://pbs.twimg.com/profile_images/1671530633275817984/gJbeBeZ4_normal.jpg")</f>
        <v>https://pbs.twimg.com/profile_images/1671530633275817984/gJbeBeZ4_normal.jpg</v>
      </c>
      <c r="AW645" s="82" t="s">
        <v>12343</v>
      </c>
      <c r="AX645" s="82" t="s">
        <v>12343</v>
      </c>
      <c r="AY645" s="77"/>
      <c r="AZ645" s="82" t="s">
        <v>15984</v>
      </c>
      <c r="BA645" s="82" t="s">
        <v>15984</v>
      </c>
      <c r="BB645" s="82" t="s">
        <v>15984</v>
      </c>
      <c r="BC645" s="82" t="s">
        <v>12343</v>
      </c>
      <c r="BD645" s="82" t="s">
        <v>16214</v>
      </c>
      <c r="BE645" s="77"/>
      <c r="BF645" s="77"/>
      <c r="BG645" s="77"/>
      <c r="BH645" s="77"/>
      <c r="BI645" s="77"/>
    </row>
    <row r="646" spans="1:61" x14ac:dyDescent="0.25">
      <c r="A646" s="62" t="s">
        <v>417</v>
      </c>
      <c r="B646" s="62" t="s">
        <v>502</v>
      </c>
      <c r="C646" s="63"/>
      <c r="D646" s="64"/>
      <c r="E646" s="65"/>
      <c r="F646" s="66"/>
      <c r="G646" s="63"/>
      <c r="H646" s="67"/>
      <c r="I646" s="68"/>
      <c r="J646" s="68"/>
      <c r="K646" s="32"/>
      <c r="L646" s="75">
        <v>646</v>
      </c>
      <c r="M646" s="75"/>
      <c r="N646" s="70"/>
      <c r="O646" s="77" t="s">
        <v>897</v>
      </c>
      <c r="P646" s="79">
        <v>45189.765648148146</v>
      </c>
      <c r="Q646" s="77" t="s">
        <v>1118</v>
      </c>
      <c r="R646" s="77">
        <v>12</v>
      </c>
      <c r="S646" s="77">
        <v>0</v>
      </c>
      <c r="T646" s="77">
        <v>0</v>
      </c>
      <c r="U646" s="77">
        <v>0</v>
      </c>
      <c r="V646" s="77"/>
      <c r="W646" s="82" t="s">
        <v>4934</v>
      </c>
      <c r="X646" s="77"/>
      <c r="Y646" s="77"/>
      <c r="Z646" s="77" t="s">
        <v>502</v>
      </c>
      <c r="AA646" s="77"/>
      <c r="AB646" s="77"/>
      <c r="AC646" s="82" t="s">
        <v>7750</v>
      </c>
      <c r="AD646" s="77" t="s">
        <v>7790</v>
      </c>
      <c r="AE646" s="80" t="str">
        <f>HYPERLINK("https://twitter.com/feanor_noldorin/status/1704561695555784705")</f>
        <v>https://twitter.com/feanor_noldorin/status/1704561695555784705</v>
      </c>
      <c r="AF646" s="79">
        <v>45189.765648148146</v>
      </c>
      <c r="AG646" s="85">
        <v>45189</v>
      </c>
      <c r="AH646" s="82" t="s">
        <v>8376</v>
      </c>
      <c r="AI646" s="77"/>
      <c r="AJ646" s="77"/>
      <c r="AK646" s="77"/>
      <c r="AL646" s="77"/>
      <c r="AM646" s="77"/>
      <c r="AN646" s="77"/>
      <c r="AO646" s="77"/>
      <c r="AP646" s="77"/>
      <c r="AQ646" s="77"/>
      <c r="AR646" s="77"/>
      <c r="AS646" s="77"/>
      <c r="AT646" s="77"/>
      <c r="AU646" s="77"/>
      <c r="AV646" s="80" t="str">
        <f>HYPERLINK("https://pbs.twimg.com/profile_images/1588624432028913664/VBN19ZTP_normal.jpg")</f>
        <v>https://pbs.twimg.com/profile_images/1588624432028913664/VBN19ZTP_normal.jpg</v>
      </c>
      <c r="AW646" s="82" t="s">
        <v>12344</v>
      </c>
      <c r="AX646" s="82" t="s">
        <v>12344</v>
      </c>
      <c r="AY646" s="77"/>
      <c r="AZ646" s="82" t="s">
        <v>15984</v>
      </c>
      <c r="BA646" s="82" t="s">
        <v>15984</v>
      </c>
      <c r="BB646" s="82" t="s">
        <v>13287</v>
      </c>
      <c r="BC646" s="82" t="s">
        <v>13287</v>
      </c>
      <c r="BD646" s="82" t="s">
        <v>16215</v>
      </c>
      <c r="BE646" s="77"/>
      <c r="BF646" s="77"/>
      <c r="BG646" s="77"/>
      <c r="BH646" s="77"/>
      <c r="BI646" s="77"/>
    </row>
    <row r="647" spans="1:61" x14ac:dyDescent="0.25">
      <c r="A647" s="62" t="s">
        <v>418</v>
      </c>
      <c r="B647" s="62" t="s">
        <v>418</v>
      </c>
      <c r="C647" s="63"/>
      <c r="D647" s="64"/>
      <c r="E647" s="65"/>
      <c r="F647" s="66"/>
      <c r="G647" s="63"/>
      <c r="H647" s="67"/>
      <c r="I647" s="68"/>
      <c r="J647" s="68"/>
      <c r="K647" s="32"/>
      <c r="L647" s="75">
        <v>647</v>
      </c>
      <c r="M647" s="75"/>
      <c r="N647" s="70"/>
      <c r="O647" s="77" t="s">
        <v>179</v>
      </c>
      <c r="P647" s="79">
        <v>45118.636782407404</v>
      </c>
      <c r="Q647" s="77" t="s">
        <v>1514</v>
      </c>
      <c r="R647" s="77">
        <v>8</v>
      </c>
      <c r="S647" s="77">
        <v>6</v>
      </c>
      <c r="T647" s="77">
        <v>1</v>
      </c>
      <c r="U647" s="77">
        <v>0</v>
      </c>
      <c r="V647" s="77">
        <v>36</v>
      </c>
      <c r="W647" s="82" t="s">
        <v>5151</v>
      </c>
      <c r="X647" s="77"/>
      <c r="Y647" s="77"/>
      <c r="Z647" s="77"/>
      <c r="AA647" s="77"/>
      <c r="AB647" s="77"/>
      <c r="AC647" s="82" t="s">
        <v>7750</v>
      </c>
      <c r="AD647" s="77" t="s">
        <v>7789</v>
      </c>
      <c r="AE647" s="80" t="str">
        <f>HYPERLINK("https://twitter.com/kimyellestuart/status/1678785459382624258")</f>
        <v>https://twitter.com/kimyellestuart/status/1678785459382624258</v>
      </c>
      <c r="AF647" s="79">
        <v>45118.636782407404</v>
      </c>
      <c r="AG647" s="85">
        <v>45118</v>
      </c>
      <c r="AH647" s="82" t="s">
        <v>8377</v>
      </c>
      <c r="AI647" s="77"/>
      <c r="AJ647" s="77"/>
      <c r="AK647" s="77"/>
      <c r="AL647" s="77"/>
      <c r="AM647" s="77"/>
      <c r="AN647" s="77"/>
      <c r="AO647" s="77"/>
      <c r="AP647" s="77"/>
      <c r="AQ647" s="77"/>
      <c r="AR647" s="77"/>
      <c r="AS647" s="77"/>
      <c r="AT647" s="77"/>
      <c r="AU647" s="77"/>
      <c r="AV647" s="80" t="str">
        <f>HYPERLINK("https://pbs.twimg.com/profile_images/1524452992715530244/68mak4M__normal.jpg")</f>
        <v>https://pbs.twimg.com/profile_images/1524452992715530244/68mak4M__normal.jpg</v>
      </c>
      <c r="AW647" s="82" t="s">
        <v>12345</v>
      </c>
      <c r="AX647" s="82" t="s">
        <v>12345</v>
      </c>
      <c r="AY647" s="77"/>
      <c r="AZ647" s="82" t="s">
        <v>15984</v>
      </c>
      <c r="BA647" s="82" t="s">
        <v>15984</v>
      </c>
      <c r="BB647" s="82" t="s">
        <v>15984</v>
      </c>
      <c r="BC647" s="82" t="s">
        <v>12345</v>
      </c>
      <c r="BD647" s="82" t="s">
        <v>16216</v>
      </c>
      <c r="BE647" s="77"/>
      <c r="BF647" s="77"/>
      <c r="BG647" s="77"/>
      <c r="BH647" s="77"/>
      <c r="BI647" s="77"/>
    </row>
    <row r="648" spans="1:61" x14ac:dyDescent="0.25">
      <c r="A648" s="62" t="s">
        <v>419</v>
      </c>
      <c r="B648" s="62" t="s">
        <v>419</v>
      </c>
      <c r="C648" s="63"/>
      <c r="D648" s="64"/>
      <c r="E648" s="65"/>
      <c r="F648" s="66"/>
      <c r="G648" s="63"/>
      <c r="H648" s="67"/>
      <c r="I648" s="68"/>
      <c r="J648" s="68"/>
      <c r="K648" s="32"/>
      <c r="L648" s="75">
        <v>648</v>
      </c>
      <c r="M648" s="75"/>
      <c r="N648" s="70"/>
      <c r="O648" s="77" t="s">
        <v>179</v>
      </c>
      <c r="P648" s="79">
        <v>45187.552581018521</v>
      </c>
      <c r="Q648" s="77" t="s">
        <v>918</v>
      </c>
      <c r="R648" s="77">
        <v>0</v>
      </c>
      <c r="S648" s="77">
        <v>0</v>
      </c>
      <c r="T648" s="77">
        <v>0</v>
      </c>
      <c r="U648" s="77">
        <v>0</v>
      </c>
      <c r="V648" s="77">
        <v>7</v>
      </c>
      <c r="W648" s="82" t="s">
        <v>4815</v>
      </c>
      <c r="X648" s="77"/>
      <c r="Y648" s="77"/>
      <c r="Z648" s="77"/>
      <c r="AA648" s="77"/>
      <c r="AB648" s="77"/>
      <c r="AC648" s="82" t="s">
        <v>7750</v>
      </c>
      <c r="AD648" s="77" t="s">
        <v>7789</v>
      </c>
      <c r="AE648" s="80" t="str">
        <f>HYPERLINK("https://twitter.com/heromindfulx/status/1703759707305906261")</f>
        <v>https://twitter.com/heromindfulx/status/1703759707305906261</v>
      </c>
      <c r="AF648" s="79">
        <v>45187.552581018521</v>
      </c>
      <c r="AG648" s="85">
        <v>45187</v>
      </c>
      <c r="AH648" s="82" t="s">
        <v>8378</v>
      </c>
      <c r="AI648" s="77"/>
      <c r="AJ648" s="77"/>
      <c r="AK648" s="77"/>
      <c r="AL648" s="77"/>
      <c r="AM648" s="77"/>
      <c r="AN648" s="77"/>
      <c r="AO648" s="77"/>
      <c r="AP648" s="77"/>
      <c r="AQ648" s="77"/>
      <c r="AR648" s="77"/>
      <c r="AS648" s="77"/>
      <c r="AT648" s="77"/>
      <c r="AU648" s="77"/>
      <c r="AV648" s="80" t="str">
        <f>HYPERLINK("https://pbs.twimg.com/profile_images/1699368100712394752/AEUs7IO2_normal.jpg")</f>
        <v>https://pbs.twimg.com/profile_images/1699368100712394752/AEUs7IO2_normal.jpg</v>
      </c>
      <c r="AW648" s="82" t="s">
        <v>12346</v>
      </c>
      <c r="AX648" s="82" t="s">
        <v>12346</v>
      </c>
      <c r="AY648" s="77"/>
      <c r="AZ648" s="82" t="s">
        <v>15984</v>
      </c>
      <c r="BA648" s="82" t="s">
        <v>15984</v>
      </c>
      <c r="BB648" s="82" t="s">
        <v>15984</v>
      </c>
      <c r="BC648" s="82" t="s">
        <v>12346</v>
      </c>
      <c r="BD648" s="82" t="s">
        <v>16217</v>
      </c>
      <c r="BE648" s="77"/>
      <c r="BF648" s="77"/>
      <c r="BG648" s="77"/>
      <c r="BH648" s="77"/>
      <c r="BI648" s="77"/>
    </row>
    <row r="649" spans="1:61" x14ac:dyDescent="0.25">
      <c r="A649" s="62" t="s">
        <v>420</v>
      </c>
      <c r="B649" s="62" t="s">
        <v>614</v>
      </c>
      <c r="C649" s="63"/>
      <c r="D649" s="64"/>
      <c r="E649" s="65"/>
      <c r="F649" s="66"/>
      <c r="G649" s="63"/>
      <c r="H649" s="67"/>
      <c r="I649" s="68"/>
      <c r="J649" s="68"/>
      <c r="K649" s="32"/>
      <c r="L649" s="75">
        <v>649</v>
      </c>
      <c r="M649" s="75"/>
      <c r="N649" s="70"/>
      <c r="O649" s="77" t="s">
        <v>897</v>
      </c>
      <c r="P649" s="79">
        <v>45193.027349537035</v>
      </c>
      <c r="Q649" s="77" t="s">
        <v>1515</v>
      </c>
      <c r="R649" s="77">
        <v>3</v>
      </c>
      <c r="S649" s="77">
        <v>0</v>
      </c>
      <c r="T649" s="77">
        <v>0</v>
      </c>
      <c r="U649" s="77">
        <v>0</v>
      </c>
      <c r="V649" s="77"/>
      <c r="W649" s="82" t="s">
        <v>4821</v>
      </c>
      <c r="X649" s="80" t="str">
        <f>HYPERLINK("https://www.valoraanalitik.com/2023/09/23/subir-precio-peajes-colombia-la-peticion-del-exministro-ocampo/")</f>
        <v>https://www.valoraanalitik.com/2023/09/23/subir-precio-peajes-colombia-la-peticion-del-exministro-ocampo/</v>
      </c>
      <c r="Y649" s="77" t="s">
        <v>6471</v>
      </c>
      <c r="Z649" s="77" t="s">
        <v>614</v>
      </c>
      <c r="AA649" s="77"/>
      <c r="AB649" s="77"/>
      <c r="AC649" s="82" t="s">
        <v>7751</v>
      </c>
      <c r="AD649" s="77" t="s">
        <v>7790</v>
      </c>
      <c r="AE649" s="80" t="str">
        <f>HYPERLINK("https://twitter.com/chatico79168/status/1705743696170213426")</f>
        <v>https://twitter.com/chatico79168/status/1705743696170213426</v>
      </c>
      <c r="AF649" s="79">
        <v>45193.027349537035</v>
      </c>
      <c r="AG649" s="85">
        <v>45193</v>
      </c>
      <c r="AH649" s="82" t="s">
        <v>8379</v>
      </c>
      <c r="AI649" s="77" t="b">
        <v>0</v>
      </c>
      <c r="AJ649" s="77"/>
      <c r="AK649" s="77"/>
      <c r="AL649" s="77"/>
      <c r="AM649" s="77"/>
      <c r="AN649" s="77"/>
      <c r="AO649" s="77"/>
      <c r="AP649" s="77"/>
      <c r="AQ649" s="77"/>
      <c r="AR649" s="77"/>
      <c r="AS649" s="77"/>
      <c r="AT649" s="77"/>
      <c r="AU649" s="77"/>
      <c r="AV649" s="80" t="str">
        <f>HYPERLINK("https://pbs.twimg.com/profile_images/1699086207039201280/VxmFCAZm_normal.png")</f>
        <v>https://pbs.twimg.com/profile_images/1699086207039201280/VxmFCAZm_normal.png</v>
      </c>
      <c r="AW649" s="82" t="s">
        <v>12347</v>
      </c>
      <c r="AX649" s="82" t="s">
        <v>12347</v>
      </c>
      <c r="AY649" s="77"/>
      <c r="AZ649" s="82" t="s">
        <v>15984</v>
      </c>
      <c r="BA649" s="82" t="s">
        <v>15984</v>
      </c>
      <c r="BB649" s="82" t="s">
        <v>13018</v>
      </c>
      <c r="BC649" s="82" t="s">
        <v>13018</v>
      </c>
      <c r="BD649" s="82" t="s">
        <v>16218</v>
      </c>
      <c r="BE649" s="77"/>
      <c r="BF649" s="77"/>
      <c r="BG649" s="77"/>
      <c r="BH649" s="77"/>
      <c r="BI649" s="77"/>
    </row>
    <row r="650" spans="1:61" x14ac:dyDescent="0.25">
      <c r="A650" s="62" t="s">
        <v>421</v>
      </c>
      <c r="B650" s="62" t="s">
        <v>421</v>
      </c>
      <c r="C650" s="63"/>
      <c r="D650" s="64"/>
      <c r="E650" s="65"/>
      <c r="F650" s="66"/>
      <c r="G650" s="63"/>
      <c r="H650" s="67"/>
      <c r="I650" s="68"/>
      <c r="J650" s="68"/>
      <c r="K650" s="32"/>
      <c r="L650" s="75">
        <v>650</v>
      </c>
      <c r="M650" s="75"/>
      <c r="N650" s="70"/>
      <c r="O650" s="77" t="s">
        <v>179</v>
      </c>
      <c r="P650" s="79">
        <v>45166.742048611108</v>
      </c>
      <c r="Q650" s="77" t="s">
        <v>1516</v>
      </c>
      <c r="R650" s="77">
        <v>0</v>
      </c>
      <c r="S650" s="77">
        <v>0</v>
      </c>
      <c r="T650" s="77">
        <v>0</v>
      </c>
      <c r="U650" s="77">
        <v>0</v>
      </c>
      <c r="V650" s="77">
        <v>62</v>
      </c>
      <c r="W650" s="82" t="s">
        <v>5152</v>
      </c>
      <c r="X650" s="80" t="str">
        <f>HYPERLINK("http://forumservicopublicoceara.org.br")</f>
        <v>http://forumservicopublicoceara.org.br</v>
      </c>
      <c r="Y650" s="77" t="s">
        <v>6518</v>
      </c>
      <c r="Z650" s="77"/>
      <c r="AA650" s="77" t="s">
        <v>7025</v>
      </c>
      <c r="AB650" s="77" t="s">
        <v>7742</v>
      </c>
      <c r="AC650" s="82" t="s">
        <v>7750</v>
      </c>
      <c r="AD650" s="77" t="s">
        <v>7788</v>
      </c>
      <c r="AE650" s="80" t="str">
        <f>HYPERLINK("https://twitter.com/forumdefesa/status/1696218223530627556")</f>
        <v>https://twitter.com/forumdefesa/status/1696218223530627556</v>
      </c>
      <c r="AF650" s="79">
        <v>45166.742048611108</v>
      </c>
      <c r="AG650" s="85">
        <v>45166</v>
      </c>
      <c r="AH650" s="82" t="s">
        <v>8380</v>
      </c>
      <c r="AI650" s="77" t="b">
        <v>0</v>
      </c>
      <c r="AJ650" s="77"/>
      <c r="AK650" s="77"/>
      <c r="AL650" s="77"/>
      <c r="AM650" s="77"/>
      <c r="AN650" s="77"/>
      <c r="AO650" s="77"/>
      <c r="AP650" s="77"/>
      <c r="AQ650" s="77" t="s">
        <v>10997</v>
      </c>
      <c r="AR650" s="77"/>
      <c r="AS650" s="77"/>
      <c r="AT650" s="77"/>
      <c r="AU650" s="77"/>
      <c r="AV650" s="80" t="str">
        <f>HYPERLINK("https://pbs.twimg.com/media/F4otegYXUAEOHVg.jpg")</f>
        <v>https://pbs.twimg.com/media/F4otegYXUAEOHVg.jpg</v>
      </c>
      <c r="AW650" s="82" t="s">
        <v>12348</v>
      </c>
      <c r="AX650" s="82" t="s">
        <v>12348</v>
      </c>
      <c r="AY650" s="77"/>
      <c r="AZ650" s="82" t="s">
        <v>15984</v>
      </c>
      <c r="BA650" s="82" t="s">
        <v>15984</v>
      </c>
      <c r="BB650" s="82" t="s">
        <v>15984</v>
      </c>
      <c r="BC650" s="82" t="s">
        <v>12348</v>
      </c>
      <c r="BD650" s="82" t="s">
        <v>16219</v>
      </c>
      <c r="BE650" s="77"/>
      <c r="BF650" s="77"/>
      <c r="BG650" s="77"/>
      <c r="BH650" s="77"/>
      <c r="BI650" s="77"/>
    </row>
    <row r="651" spans="1:61" x14ac:dyDescent="0.25">
      <c r="A651" s="62" t="s">
        <v>421</v>
      </c>
      <c r="B651" s="62" t="s">
        <v>421</v>
      </c>
      <c r="C651" s="63"/>
      <c r="D651" s="64"/>
      <c r="E651" s="65"/>
      <c r="F651" s="66"/>
      <c r="G651" s="63"/>
      <c r="H651" s="67"/>
      <c r="I651" s="68"/>
      <c r="J651" s="68"/>
      <c r="K651" s="32"/>
      <c r="L651" s="75">
        <v>651</v>
      </c>
      <c r="M651" s="75"/>
      <c r="N651" s="70"/>
      <c r="O651" s="77" t="s">
        <v>179</v>
      </c>
      <c r="P651" s="79">
        <v>45194.833333333336</v>
      </c>
      <c r="Q651" s="77" t="s">
        <v>1517</v>
      </c>
      <c r="R651" s="77">
        <v>0</v>
      </c>
      <c r="S651" s="77">
        <v>0</v>
      </c>
      <c r="T651" s="77">
        <v>0</v>
      </c>
      <c r="U651" s="77">
        <v>0</v>
      </c>
      <c r="V651" s="77">
        <v>31</v>
      </c>
      <c r="W651" s="82" t="s">
        <v>5153</v>
      </c>
      <c r="X651" s="80" t="str">
        <f>HYPERLINK("http://forumservicopublicoceara.org.br")</f>
        <v>http://forumservicopublicoceara.org.br</v>
      </c>
      <c r="Y651" s="77" t="s">
        <v>6518</v>
      </c>
      <c r="Z651" s="77"/>
      <c r="AA651" s="77" t="s">
        <v>7026</v>
      </c>
      <c r="AB651" s="77" t="s">
        <v>7742</v>
      </c>
      <c r="AC651" s="82" t="s">
        <v>7750</v>
      </c>
      <c r="AD651" s="77" t="s">
        <v>7788</v>
      </c>
      <c r="AE651" s="80" t="str">
        <f>HYPERLINK("https://twitter.com/forumdefesa/status/1706398166831243428")</f>
        <v>https://twitter.com/forumdefesa/status/1706398166831243428</v>
      </c>
      <c r="AF651" s="79">
        <v>45194.833333333336</v>
      </c>
      <c r="AG651" s="85">
        <v>45194</v>
      </c>
      <c r="AH651" s="82" t="s">
        <v>8381</v>
      </c>
      <c r="AI651" s="77" t="b">
        <v>0</v>
      </c>
      <c r="AJ651" s="77"/>
      <c r="AK651" s="77"/>
      <c r="AL651" s="77"/>
      <c r="AM651" s="77"/>
      <c r="AN651" s="77"/>
      <c r="AO651" s="77"/>
      <c r="AP651" s="77"/>
      <c r="AQ651" s="77" t="s">
        <v>10998</v>
      </c>
      <c r="AR651" s="77"/>
      <c r="AS651" s="77"/>
      <c r="AT651" s="77"/>
      <c r="AU651" s="77"/>
      <c r="AV651" s="80" t="str">
        <f>HYPERLINK("https://pbs.twimg.com/media/F64tZyiXoAAMAcn.jpg")</f>
        <v>https://pbs.twimg.com/media/F64tZyiXoAAMAcn.jpg</v>
      </c>
      <c r="AW651" s="82" t="s">
        <v>12349</v>
      </c>
      <c r="AX651" s="82" t="s">
        <v>12349</v>
      </c>
      <c r="AY651" s="77"/>
      <c r="AZ651" s="82" t="s">
        <v>15984</v>
      </c>
      <c r="BA651" s="82" t="s">
        <v>15984</v>
      </c>
      <c r="BB651" s="82" t="s">
        <v>15984</v>
      </c>
      <c r="BC651" s="82" t="s">
        <v>12349</v>
      </c>
      <c r="BD651" s="82" t="s">
        <v>16219</v>
      </c>
      <c r="BE651" s="77"/>
      <c r="BF651" s="77"/>
      <c r="BG651" s="77"/>
      <c r="BH651" s="77"/>
      <c r="BI651" s="77"/>
    </row>
    <row r="652" spans="1:61" x14ac:dyDescent="0.25">
      <c r="A652" s="62" t="s">
        <v>422</v>
      </c>
      <c r="B652" s="62" t="s">
        <v>422</v>
      </c>
      <c r="C652" s="63"/>
      <c r="D652" s="64"/>
      <c r="E652" s="65"/>
      <c r="F652" s="66"/>
      <c r="G652" s="63"/>
      <c r="H652" s="67"/>
      <c r="I652" s="68"/>
      <c r="J652" s="68"/>
      <c r="K652" s="32"/>
      <c r="L652" s="75">
        <v>652</v>
      </c>
      <c r="M652" s="75"/>
      <c r="N652" s="70"/>
      <c r="O652" s="77" t="s">
        <v>179</v>
      </c>
      <c r="P652" s="79">
        <v>45154.815844907411</v>
      </c>
      <c r="Q652" s="77" t="s">
        <v>1518</v>
      </c>
      <c r="R652" s="77">
        <v>0</v>
      </c>
      <c r="S652" s="77">
        <v>1</v>
      </c>
      <c r="T652" s="77">
        <v>0</v>
      </c>
      <c r="U652" s="77">
        <v>0</v>
      </c>
      <c r="V652" s="77">
        <v>65</v>
      </c>
      <c r="W652" s="82" t="s">
        <v>5154</v>
      </c>
      <c r="X652" s="77"/>
      <c r="Y652" s="77"/>
      <c r="Z652" s="77"/>
      <c r="AA652" s="77" t="s">
        <v>7027</v>
      </c>
      <c r="AB652" s="77" t="s">
        <v>7742</v>
      </c>
      <c r="AC652" s="82" t="s">
        <v>7750</v>
      </c>
      <c r="AD652" s="77" t="s">
        <v>7788</v>
      </c>
      <c r="AE652" s="80" t="str">
        <f>HYPERLINK("https://twitter.com/trescon/status/1691896314517188938")</f>
        <v>https://twitter.com/trescon/status/1691896314517188938</v>
      </c>
      <c r="AF652" s="79">
        <v>45154.815844907411</v>
      </c>
      <c r="AG652" s="85">
        <v>45154</v>
      </c>
      <c r="AH652" s="82" t="s">
        <v>8382</v>
      </c>
      <c r="AI652" s="77" t="b">
        <v>0</v>
      </c>
      <c r="AJ652" s="77"/>
      <c r="AK652" s="77"/>
      <c r="AL652" s="77"/>
      <c r="AM652" s="77"/>
      <c r="AN652" s="77"/>
      <c r="AO652" s="77"/>
      <c r="AP652" s="77"/>
      <c r="AQ652" s="77" t="s">
        <v>10999</v>
      </c>
      <c r="AR652" s="77"/>
      <c r="AS652" s="77"/>
      <c r="AT652" s="77"/>
      <c r="AU652" s="77"/>
      <c r="AV652" s="80" t="str">
        <f>HYPERLINK("https://pbs.twimg.com/media/F3rSuhLXYAA4heI.jpg")</f>
        <v>https://pbs.twimg.com/media/F3rSuhLXYAA4heI.jpg</v>
      </c>
      <c r="AW652" s="82" t="s">
        <v>12350</v>
      </c>
      <c r="AX652" s="82" t="s">
        <v>12350</v>
      </c>
      <c r="AY652" s="77"/>
      <c r="AZ652" s="82" t="s">
        <v>15984</v>
      </c>
      <c r="BA652" s="82" t="s">
        <v>15984</v>
      </c>
      <c r="BB652" s="82" t="s">
        <v>15984</v>
      </c>
      <c r="BC652" s="82" t="s">
        <v>12350</v>
      </c>
      <c r="BD652" s="77">
        <v>61239040</v>
      </c>
      <c r="BE652" s="77"/>
      <c r="BF652" s="77"/>
      <c r="BG652" s="77"/>
      <c r="BH652" s="77"/>
      <c r="BI652" s="77"/>
    </row>
    <row r="653" spans="1:61" x14ac:dyDescent="0.25">
      <c r="A653" s="62" t="s">
        <v>423</v>
      </c>
      <c r="B653" s="62" t="s">
        <v>423</v>
      </c>
      <c r="C653" s="63"/>
      <c r="D653" s="64"/>
      <c r="E653" s="65"/>
      <c r="F653" s="66"/>
      <c r="G653" s="63"/>
      <c r="H653" s="67"/>
      <c r="I653" s="68"/>
      <c r="J653" s="68"/>
      <c r="K653" s="32"/>
      <c r="L653" s="75">
        <v>653</v>
      </c>
      <c r="M653" s="75"/>
      <c r="N653" s="70"/>
      <c r="O653" s="77" t="s">
        <v>179</v>
      </c>
      <c r="P653" s="79">
        <v>45156.934236111112</v>
      </c>
      <c r="Q653" s="77" t="s">
        <v>1519</v>
      </c>
      <c r="R653" s="77">
        <v>0</v>
      </c>
      <c r="S653" s="77">
        <v>0</v>
      </c>
      <c r="T653" s="77">
        <v>0</v>
      </c>
      <c r="U653" s="77">
        <v>0</v>
      </c>
      <c r="V653" s="77">
        <v>7</v>
      </c>
      <c r="W653" s="82" t="s">
        <v>5155</v>
      </c>
      <c r="X653" s="77"/>
      <c r="Y653" s="77"/>
      <c r="Z653" s="77"/>
      <c r="AA653" s="77" t="s">
        <v>7028</v>
      </c>
      <c r="AB653" s="77" t="s">
        <v>7742</v>
      </c>
      <c r="AC653" s="82" t="s">
        <v>7750</v>
      </c>
      <c r="AD653" s="77" t="s">
        <v>7790</v>
      </c>
      <c r="AE653" s="80" t="str">
        <f>HYPERLINK("https://twitter.com/curiosaintelig1/status/1692663992609657128")</f>
        <v>https://twitter.com/curiosaintelig1/status/1692663992609657128</v>
      </c>
      <c r="AF653" s="79">
        <v>45156.934236111112</v>
      </c>
      <c r="AG653" s="85">
        <v>45156</v>
      </c>
      <c r="AH653" s="82" t="s">
        <v>8383</v>
      </c>
      <c r="AI653" s="77" t="b">
        <v>0</v>
      </c>
      <c r="AJ653" s="77"/>
      <c r="AK653" s="77"/>
      <c r="AL653" s="77"/>
      <c r="AM653" s="77"/>
      <c r="AN653" s="77"/>
      <c r="AO653" s="77"/>
      <c r="AP653" s="77"/>
      <c r="AQ653" s="77" t="s">
        <v>11000</v>
      </c>
      <c r="AR653" s="77"/>
      <c r="AS653" s="77"/>
      <c r="AT653" s="77"/>
      <c r="AU653" s="77"/>
      <c r="AV653" s="80" t="str">
        <f>HYPERLINK("https://pbs.twimg.com/media/F32Mik1WkAA8AlG.jpg")</f>
        <v>https://pbs.twimg.com/media/F32Mik1WkAA8AlG.jpg</v>
      </c>
      <c r="AW653" s="82" t="s">
        <v>12351</v>
      </c>
      <c r="AX653" s="82" t="s">
        <v>12351</v>
      </c>
      <c r="AY653" s="77"/>
      <c r="AZ653" s="82" t="s">
        <v>15984</v>
      </c>
      <c r="BA653" s="82" t="s">
        <v>15984</v>
      </c>
      <c r="BB653" s="82" t="s">
        <v>15984</v>
      </c>
      <c r="BC653" s="82" t="s">
        <v>12351</v>
      </c>
      <c r="BD653" s="82" t="s">
        <v>16220</v>
      </c>
      <c r="BE653" s="77"/>
      <c r="BF653" s="77"/>
      <c r="BG653" s="77"/>
      <c r="BH653" s="77"/>
      <c r="BI653" s="77"/>
    </row>
    <row r="654" spans="1:61" x14ac:dyDescent="0.25">
      <c r="A654" s="62" t="s">
        <v>423</v>
      </c>
      <c r="B654" s="62" t="s">
        <v>423</v>
      </c>
      <c r="C654" s="63"/>
      <c r="D654" s="64"/>
      <c r="E654" s="65"/>
      <c r="F654" s="66"/>
      <c r="G654" s="63"/>
      <c r="H654" s="67"/>
      <c r="I654" s="68"/>
      <c r="J654" s="68"/>
      <c r="K654" s="32"/>
      <c r="L654" s="75">
        <v>654</v>
      </c>
      <c r="M654" s="75"/>
      <c r="N654" s="70"/>
      <c r="O654" s="77" t="s">
        <v>179</v>
      </c>
      <c r="P654" s="79">
        <v>45172.745937500003</v>
      </c>
      <c r="Q654" s="77" t="s">
        <v>1520</v>
      </c>
      <c r="R654" s="77">
        <v>0</v>
      </c>
      <c r="S654" s="77">
        <v>0</v>
      </c>
      <c r="T654" s="77">
        <v>1</v>
      </c>
      <c r="U654" s="77">
        <v>0</v>
      </c>
      <c r="V654" s="77">
        <v>18</v>
      </c>
      <c r="W654" s="82" t="s">
        <v>5156</v>
      </c>
      <c r="X654" s="77"/>
      <c r="Y654" s="77"/>
      <c r="Z654" s="77"/>
      <c r="AA654" s="77" t="s">
        <v>7029</v>
      </c>
      <c r="AB654" s="77" t="s">
        <v>7742</v>
      </c>
      <c r="AC654" s="82" t="s">
        <v>7750</v>
      </c>
      <c r="AD654" s="77" t="s">
        <v>7790</v>
      </c>
      <c r="AE654" s="80" t="str">
        <f>HYPERLINK("https://twitter.com/curiosaintelig1/status/1698393961700679932")</f>
        <v>https://twitter.com/curiosaintelig1/status/1698393961700679932</v>
      </c>
      <c r="AF654" s="79">
        <v>45172.745937500003</v>
      </c>
      <c r="AG654" s="85">
        <v>45172</v>
      </c>
      <c r="AH654" s="82" t="s">
        <v>8384</v>
      </c>
      <c r="AI654" s="77" t="b">
        <v>0</v>
      </c>
      <c r="AJ654" s="77"/>
      <c r="AK654" s="77"/>
      <c r="AL654" s="77"/>
      <c r="AM654" s="77"/>
      <c r="AN654" s="77"/>
      <c r="AO654" s="77"/>
      <c r="AP654" s="77"/>
      <c r="AQ654" s="77" t="s">
        <v>11001</v>
      </c>
      <c r="AR654" s="77"/>
      <c r="AS654" s="77"/>
      <c r="AT654" s="77"/>
      <c r="AU654" s="77"/>
      <c r="AV654" s="80" t="str">
        <f>HYPERLINK("https://pbs.twimg.com/media/F5HoMdTWQAA1rJA.jpg")</f>
        <v>https://pbs.twimg.com/media/F5HoMdTWQAA1rJA.jpg</v>
      </c>
      <c r="AW654" s="82" t="s">
        <v>12352</v>
      </c>
      <c r="AX654" s="82" t="s">
        <v>12352</v>
      </c>
      <c r="AY654" s="77"/>
      <c r="AZ654" s="82" t="s">
        <v>15984</v>
      </c>
      <c r="BA654" s="82" t="s">
        <v>15984</v>
      </c>
      <c r="BB654" s="82" t="s">
        <v>15984</v>
      </c>
      <c r="BC654" s="82" t="s">
        <v>12352</v>
      </c>
      <c r="BD654" s="82" t="s">
        <v>16220</v>
      </c>
      <c r="BE654" s="77"/>
      <c r="BF654" s="77"/>
      <c r="BG654" s="77"/>
      <c r="BH654" s="77"/>
      <c r="BI654" s="77"/>
    </row>
    <row r="655" spans="1:61" x14ac:dyDescent="0.25">
      <c r="A655" s="62" t="s">
        <v>423</v>
      </c>
      <c r="B655" s="62" t="s">
        <v>423</v>
      </c>
      <c r="C655" s="63"/>
      <c r="D655" s="64"/>
      <c r="E655" s="65"/>
      <c r="F655" s="66"/>
      <c r="G655" s="63"/>
      <c r="H655" s="67"/>
      <c r="I655" s="68"/>
      <c r="J655" s="68"/>
      <c r="K655" s="32"/>
      <c r="L655" s="75">
        <v>655</v>
      </c>
      <c r="M655" s="75"/>
      <c r="N655" s="70"/>
      <c r="O655" s="77" t="s">
        <v>179</v>
      </c>
      <c r="P655" s="79">
        <v>45191.841782407406</v>
      </c>
      <c r="Q655" s="77" t="s">
        <v>1521</v>
      </c>
      <c r="R655" s="77">
        <v>0</v>
      </c>
      <c r="S655" s="77">
        <v>0</v>
      </c>
      <c r="T655" s="77">
        <v>0</v>
      </c>
      <c r="U655" s="77">
        <v>0</v>
      </c>
      <c r="V655" s="77">
        <v>6</v>
      </c>
      <c r="W655" s="82" t="s">
        <v>4861</v>
      </c>
      <c r="X655" s="77"/>
      <c r="Y655" s="77"/>
      <c r="Z655" s="77"/>
      <c r="AA655" s="77" t="s">
        <v>7030</v>
      </c>
      <c r="AB655" s="77" t="s">
        <v>7742</v>
      </c>
      <c r="AC655" s="82" t="s">
        <v>7750</v>
      </c>
      <c r="AD655" s="77" t="s">
        <v>7790</v>
      </c>
      <c r="AE655" s="80" t="str">
        <f>HYPERLINK("https://twitter.com/curiosaintelig1/status/1705314064442732594")</f>
        <v>https://twitter.com/curiosaintelig1/status/1705314064442732594</v>
      </c>
      <c r="AF655" s="79">
        <v>45191.841782407406</v>
      </c>
      <c r="AG655" s="85">
        <v>45191</v>
      </c>
      <c r="AH655" s="82" t="s">
        <v>8385</v>
      </c>
      <c r="AI655" s="77" t="b">
        <v>0</v>
      </c>
      <c r="AJ655" s="77"/>
      <c r="AK655" s="77"/>
      <c r="AL655" s="77"/>
      <c r="AM655" s="77"/>
      <c r="AN655" s="77"/>
      <c r="AO655" s="77"/>
      <c r="AP655" s="77"/>
      <c r="AQ655" s="77" t="s">
        <v>11002</v>
      </c>
      <c r="AR655" s="77"/>
      <c r="AS655" s="77"/>
      <c r="AT655" s="77"/>
      <c r="AU655" s="77"/>
      <c r="AV655" s="80" t="str">
        <f>HYPERLINK("https://pbs.twimg.com/media/F6p-GI8XoAApo3s.jpg")</f>
        <v>https://pbs.twimg.com/media/F6p-GI8XoAApo3s.jpg</v>
      </c>
      <c r="AW655" s="82" t="s">
        <v>12353</v>
      </c>
      <c r="AX655" s="82" t="s">
        <v>12353</v>
      </c>
      <c r="AY655" s="77"/>
      <c r="AZ655" s="82" t="s">
        <v>15984</v>
      </c>
      <c r="BA655" s="82" t="s">
        <v>15984</v>
      </c>
      <c r="BB655" s="82" t="s">
        <v>15984</v>
      </c>
      <c r="BC655" s="82" t="s">
        <v>12353</v>
      </c>
      <c r="BD655" s="82" t="s">
        <v>16220</v>
      </c>
      <c r="BE655" s="77"/>
      <c r="BF655" s="77"/>
      <c r="BG655" s="77"/>
      <c r="BH655" s="77"/>
      <c r="BI655" s="77"/>
    </row>
    <row r="656" spans="1:61" x14ac:dyDescent="0.25">
      <c r="A656" s="62" t="s">
        <v>424</v>
      </c>
      <c r="B656" s="62" t="s">
        <v>424</v>
      </c>
      <c r="C656" s="63"/>
      <c r="D656" s="64"/>
      <c r="E656" s="65"/>
      <c r="F656" s="66"/>
      <c r="G656" s="63"/>
      <c r="H656" s="67"/>
      <c r="I656" s="68"/>
      <c r="J656" s="68"/>
      <c r="K656" s="32"/>
      <c r="L656" s="75">
        <v>656</v>
      </c>
      <c r="M656" s="75"/>
      <c r="N656" s="70"/>
      <c r="O656" s="77" t="s">
        <v>179</v>
      </c>
      <c r="P656" s="79">
        <v>45187.354641203703</v>
      </c>
      <c r="Q656" s="77" t="s">
        <v>918</v>
      </c>
      <c r="R656" s="77">
        <v>0</v>
      </c>
      <c r="S656" s="77">
        <v>0</v>
      </c>
      <c r="T656" s="77">
        <v>0</v>
      </c>
      <c r="U656" s="77">
        <v>0</v>
      </c>
      <c r="V656" s="77">
        <v>10</v>
      </c>
      <c r="W656" s="82" t="s">
        <v>4815</v>
      </c>
      <c r="X656" s="77"/>
      <c r="Y656" s="77"/>
      <c r="Z656" s="77"/>
      <c r="AA656" s="77"/>
      <c r="AB656" s="77"/>
      <c r="AC656" s="82" t="s">
        <v>7750</v>
      </c>
      <c r="AD656" s="77" t="s">
        <v>7789</v>
      </c>
      <c r="AE656" s="80" t="str">
        <f>HYPERLINK("https://twitter.com/investwithheart/status/1703687978361475542")</f>
        <v>https://twitter.com/investwithheart/status/1703687978361475542</v>
      </c>
      <c r="AF656" s="79">
        <v>45187.354641203703</v>
      </c>
      <c r="AG656" s="85">
        <v>45187</v>
      </c>
      <c r="AH656" s="82" t="s">
        <v>8386</v>
      </c>
      <c r="AI656" s="77"/>
      <c r="AJ656" s="77"/>
      <c r="AK656" s="77"/>
      <c r="AL656" s="77"/>
      <c r="AM656" s="77"/>
      <c r="AN656" s="77"/>
      <c r="AO656" s="77"/>
      <c r="AP656" s="77"/>
      <c r="AQ656" s="77"/>
      <c r="AR656" s="77"/>
      <c r="AS656" s="77"/>
      <c r="AT656" s="77"/>
      <c r="AU656" s="77"/>
      <c r="AV656" s="80" t="str">
        <f>HYPERLINK("https://pbs.twimg.com/profile_images/1699367789826396160/f4IKVJYm_normal.jpg")</f>
        <v>https://pbs.twimg.com/profile_images/1699367789826396160/f4IKVJYm_normal.jpg</v>
      </c>
      <c r="AW656" s="82" t="s">
        <v>12354</v>
      </c>
      <c r="AX656" s="82" t="s">
        <v>12354</v>
      </c>
      <c r="AY656" s="77"/>
      <c r="AZ656" s="82" t="s">
        <v>15984</v>
      </c>
      <c r="BA656" s="82" t="s">
        <v>15984</v>
      </c>
      <c r="BB656" s="82" t="s">
        <v>15984</v>
      </c>
      <c r="BC656" s="82" t="s">
        <v>12354</v>
      </c>
      <c r="BD656" s="82" t="s">
        <v>16221</v>
      </c>
      <c r="BE656" s="77"/>
      <c r="BF656" s="77"/>
      <c r="BG656" s="77"/>
      <c r="BH656" s="77"/>
      <c r="BI656" s="77"/>
    </row>
    <row r="657" spans="1:61" x14ac:dyDescent="0.25">
      <c r="A657" s="62" t="s">
        <v>425</v>
      </c>
      <c r="B657" s="62" t="s">
        <v>425</v>
      </c>
      <c r="C657" s="63"/>
      <c r="D657" s="64"/>
      <c r="E657" s="65"/>
      <c r="F657" s="66"/>
      <c r="G657" s="63"/>
      <c r="H657" s="67"/>
      <c r="I657" s="68"/>
      <c r="J657" s="68"/>
      <c r="K657" s="32"/>
      <c r="L657" s="75">
        <v>657</v>
      </c>
      <c r="M657" s="75"/>
      <c r="N657" s="70"/>
      <c r="O657" s="77" t="s">
        <v>179</v>
      </c>
      <c r="P657" s="79">
        <v>45171.388888888891</v>
      </c>
      <c r="Q657" s="77" t="s">
        <v>1522</v>
      </c>
      <c r="R657" s="77">
        <v>0</v>
      </c>
      <c r="S657" s="77">
        <v>1</v>
      </c>
      <c r="T657" s="77">
        <v>0</v>
      </c>
      <c r="U657" s="77">
        <v>0</v>
      </c>
      <c r="V657" s="77">
        <v>44</v>
      </c>
      <c r="W657" s="82" t="s">
        <v>5157</v>
      </c>
      <c r="X657" s="77"/>
      <c r="Y657" s="77"/>
      <c r="Z657" s="77"/>
      <c r="AA657" s="77" t="s">
        <v>7031</v>
      </c>
      <c r="AB657" s="77" t="s">
        <v>7742</v>
      </c>
      <c r="AC657" s="82" t="s">
        <v>7750</v>
      </c>
      <c r="AD657" s="77" t="s">
        <v>7788</v>
      </c>
      <c r="AE657" s="80" t="str">
        <f>HYPERLINK("https://twitter.com/grupoayonel/status/1697902181415047484")</f>
        <v>https://twitter.com/grupoayonel/status/1697902181415047484</v>
      </c>
      <c r="AF657" s="79">
        <v>45171.388888888891</v>
      </c>
      <c r="AG657" s="85">
        <v>45171</v>
      </c>
      <c r="AH657" s="82" t="s">
        <v>8387</v>
      </c>
      <c r="AI657" s="77" t="b">
        <v>0</v>
      </c>
      <c r="AJ657" s="77"/>
      <c r="AK657" s="77"/>
      <c r="AL657" s="77"/>
      <c r="AM657" s="77"/>
      <c r="AN657" s="77"/>
      <c r="AO657" s="77"/>
      <c r="AP657" s="77"/>
      <c r="AQ657" s="77" t="s">
        <v>11003</v>
      </c>
      <c r="AR657" s="77"/>
      <c r="AS657" s="77"/>
      <c r="AT657" s="77"/>
      <c r="AU657" s="77"/>
      <c r="AV657" s="80" t="str">
        <f>HYPERLINK("https://pbs.twimg.com/media/F48S0AFW8AALKQM.jpg")</f>
        <v>https://pbs.twimg.com/media/F48S0AFW8AALKQM.jpg</v>
      </c>
      <c r="AW657" s="82" t="s">
        <v>12355</v>
      </c>
      <c r="AX657" s="82" t="s">
        <v>12355</v>
      </c>
      <c r="AY657" s="77"/>
      <c r="AZ657" s="82" t="s">
        <v>15984</v>
      </c>
      <c r="BA657" s="82" t="s">
        <v>15984</v>
      </c>
      <c r="BB657" s="82" t="s">
        <v>15984</v>
      </c>
      <c r="BC657" s="82" t="s">
        <v>12355</v>
      </c>
      <c r="BD657" s="82" t="s">
        <v>16222</v>
      </c>
      <c r="BE657" s="77"/>
      <c r="BF657" s="77"/>
      <c r="BG657" s="77"/>
      <c r="BH657" s="77"/>
      <c r="BI657" s="77"/>
    </row>
    <row r="658" spans="1:61" x14ac:dyDescent="0.25">
      <c r="A658" s="62" t="s">
        <v>425</v>
      </c>
      <c r="B658" s="62" t="s">
        <v>425</v>
      </c>
      <c r="C658" s="63"/>
      <c r="D658" s="64"/>
      <c r="E658" s="65"/>
      <c r="F658" s="66"/>
      <c r="G658" s="63"/>
      <c r="H658" s="67"/>
      <c r="I658" s="68"/>
      <c r="J658" s="68"/>
      <c r="K658" s="32"/>
      <c r="L658" s="75">
        <v>658</v>
      </c>
      <c r="M658" s="75"/>
      <c r="N658" s="70"/>
      <c r="O658" s="77" t="s">
        <v>179</v>
      </c>
      <c r="P658" s="79">
        <v>45170.09443287037</v>
      </c>
      <c r="Q658" s="77" t="s">
        <v>1523</v>
      </c>
      <c r="R658" s="77">
        <v>1</v>
      </c>
      <c r="S658" s="77">
        <v>2</v>
      </c>
      <c r="T658" s="77">
        <v>1</v>
      </c>
      <c r="U658" s="77">
        <v>0</v>
      </c>
      <c r="V658" s="77">
        <v>102</v>
      </c>
      <c r="W658" s="82" t="s">
        <v>5158</v>
      </c>
      <c r="X658" s="77"/>
      <c r="Y658" s="77"/>
      <c r="Z658" s="77"/>
      <c r="AA658" s="77" t="s">
        <v>7032</v>
      </c>
      <c r="AB658" s="77" t="s">
        <v>7744</v>
      </c>
      <c r="AC658" s="82" t="s">
        <v>7750</v>
      </c>
      <c r="AD658" s="77" t="s">
        <v>7788</v>
      </c>
      <c r="AE658" s="80" t="str">
        <f>HYPERLINK("https://twitter.com/grupoayonel/status/1697433087041303018")</f>
        <v>https://twitter.com/grupoayonel/status/1697433087041303018</v>
      </c>
      <c r="AF658" s="79">
        <v>45170.09443287037</v>
      </c>
      <c r="AG658" s="85">
        <v>45170</v>
      </c>
      <c r="AH658" s="82" t="s">
        <v>8388</v>
      </c>
      <c r="AI658" s="77" t="b">
        <v>0</v>
      </c>
      <c r="AJ658" s="77"/>
      <c r="AK658" s="77"/>
      <c r="AL658" s="77"/>
      <c r="AM658" s="77"/>
      <c r="AN658" s="77"/>
      <c r="AO658" s="77"/>
      <c r="AP658" s="77"/>
      <c r="AQ658" s="77" t="s">
        <v>11004</v>
      </c>
      <c r="AR658" s="77"/>
      <c r="AS658" s="77"/>
      <c r="AT658" s="77"/>
      <c r="AU658" s="77"/>
      <c r="AV658" s="80" t="str">
        <f>HYPERLINK("https://pbs.twimg.com/media/F458kx_WkAEyjAq.png")</f>
        <v>https://pbs.twimg.com/media/F458kx_WkAEyjAq.png</v>
      </c>
      <c r="AW658" s="82" t="s">
        <v>12356</v>
      </c>
      <c r="AX658" s="82" t="s">
        <v>12356</v>
      </c>
      <c r="AY658" s="77"/>
      <c r="AZ658" s="82" t="s">
        <v>15984</v>
      </c>
      <c r="BA658" s="82" t="s">
        <v>15984</v>
      </c>
      <c r="BB658" s="82" t="s">
        <v>15984</v>
      </c>
      <c r="BC658" s="82" t="s">
        <v>12356</v>
      </c>
      <c r="BD658" s="82" t="s">
        <v>16222</v>
      </c>
      <c r="BE658" s="77"/>
      <c r="BF658" s="77"/>
      <c r="BG658" s="77"/>
      <c r="BH658" s="77"/>
      <c r="BI658" s="77"/>
    </row>
    <row r="659" spans="1:61" x14ac:dyDescent="0.25">
      <c r="A659" s="62" t="s">
        <v>426</v>
      </c>
      <c r="B659" s="62" t="s">
        <v>426</v>
      </c>
      <c r="C659" s="63"/>
      <c r="D659" s="64"/>
      <c r="E659" s="65"/>
      <c r="F659" s="66"/>
      <c r="G659" s="63"/>
      <c r="H659" s="67"/>
      <c r="I659" s="68"/>
      <c r="J659" s="68"/>
      <c r="K659" s="32"/>
      <c r="L659" s="75">
        <v>659</v>
      </c>
      <c r="M659" s="75"/>
      <c r="N659" s="70"/>
      <c r="O659" s="77" t="s">
        <v>179</v>
      </c>
      <c r="P659" s="79">
        <v>45131.345150462963</v>
      </c>
      <c r="Q659" s="77" t="s">
        <v>1524</v>
      </c>
      <c r="R659" s="77">
        <v>0</v>
      </c>
      <c r="S659" s="77">
        <v>0</v>
      </c>
      <c r="T659" s="77">
        <v>0</v>
      </c>
      <c r="U659" s="77">
        <v>0</v>
      </c>
      <c r="V659" s="77">
        <v>1</v>
      </c>
      <c r="W659" s="82" t="s">
        <v>5159</v>
      </c>
      <c r="X659" s="80" t="str">
        <f>HYPERLINK("https://buff.ly/43AplnX")</f>
        <v>https://buff.ly/43AplnX</v>
      </c>
      <c r="Y659" s="77" t="s">
        <v>6519</v>
      </c>
      <c r="Z659" s="77"/>
      <c r="AA659" s="77"/>
      <c r="AB659" s="77"/>
      <c r="AC659" s="82" t="s">
        <v>7764</v>
      </c>
      <c r="AD659" s="77" t="s">
        <v>7790</v>
      </c>
      <c r="AE659" s="80" t="str">
        <f>HYPERLINK("https://twitter.com/diariodia_es/status/1683390816293666816")</f>
        <v>https://twitter.com/diariodia_es/status/1683390816293666816</v>
      </c>
      <c r="AF659" s="79">
        <v>45131.345150462963</v>
      </c>
      <c r="AG659" s="85">
        <v>45131</v>
      </c>
      <c r="AH659" s="82" t="s">
        <v>8389</v>
      </c>
      <c r="AI659" s="77" t="b">
        <v>0</v>
      </c>
      <c r="AJ659" s="77"/>
      <c r="AK659" s="77"/>
      <c r="AL659" s="77"/>
      <c r="AM659" s="77"/>
      <c r="AN659" s="77"/>
      <c r="AO659" s="77"/>
      <c r="AP659" s="77"/>
      <c r="AQ659" s="77"/>
      <c r="AR659" s="77"/>
      <c r="AS659" s="77"/>
      <c r="AT659" s="77"/>
      <c r="AU659" s="77"/>
      <c r="AV659" s="80" t="str">
        <f>HYPERLINK("https://pbs.twimg.com/profile_images/1262344028374421504/3oz7uYtk_normal.jpg")</f>
        <v>https://pbs.twimg.com/profile_images/1262344028374421504/3oz7uYtk_normal.jpg</v>
      </c>
      <c r="AW659" s="82" t="s">
        <v>12357</v>
      </c>
      <c r="AX659" s="82" t="s">
        <v>12357</v>
      </c>
      <c r="AY659" s="77"/>
      <c r="AZ659" s="82" t="s">
        <v>15984</v>
      </c>
      <c r="BA659" s="82" t="s">
        <v>15984</v>
      </c>
      <c r="BB659" s="82" t="s">
        <v>15984</v>
      </c>
      <c r="BC659" s="82" t="s">
        <v>12357</v>
      </c>
      <c r="BD659" s="82" t="s">
        <v>16223</v>
      </c>
      <c r="BE659" s="77"/>
      <c r="BF659" s="77"/>
      <c r="BG659" s="77"/>
      <c r="BH659" s="77"/>
      <c r="BI659" s="77"/>
    </row>
    <row r="660" spans="1:61" x14ac:dyDescent="0.25">
      <c r="A660" s="62" t="s">
        <v>427</v>
      </c>
      <c r="B660" s="62" t="s">
        <v>427</v>
      </c>
      <c r="C660" s="63"/>
      <c r="D660" s="64"/>
      <c r="E660" s="65"/>
      <c r="F660" s="66"/>
      <c r="G660" s="63"/>
      <c r="H660" s="67"/>
      <c r="I660" s="68"/>
      <c r="J660" s="68"/>
      <c r="K660" s="32"/>
      <c r="L660" s="75">
        <v>660</v>
      </c>
      <c r="M660" s="75"/>
      <c r="N660" s="70"/>
      <c r="O660" s="77" t="s">
        <v>898</v>
      </c>
      <c r="P660" s="79">
        <v>45127.895613425928</v>
      </c>
      <c r="Q660" s="77" t="s">
        <v>1525</v>
      </c>
      <c r="R660" s="77">
        <v>0</v>
      </c>
      <c r="S660" s="77">
        <v>0</v>
      </c>
      <c r="T660" s="77">
        <v>0</v>
      </c>
      <c r="U660" s="77">
        <v>0</v>
      </c>
      <c r="V660" s="77">
        <v>2</v>
      </c>
      <c r="W660" s="82" t="s">
        <v>4839</v>
      </c>
      <c r="X660" s="77"/>
      <c r="Y660" s="77"/>
      <c r="Z660" s="77"/>
      <c r="AA660" s="77"/>
      <c r="AB660" s="77"/>
      <c r="AC660" s="82" t="s">
        <v>7750</v>
      </c>
      <c r="AD660" s="77" t="s">
        <v>7788</v>
      </c>
      <c r="AE660" s="80" t="str">
        <f>HYPERLINK("https://twitter.com/blockbr_/status/1682140749234675715")</f>
        <v>https://twitter.com/blockbr_/status/1682140749234675715</v>
      </c>
      <c r="AF660" s="79">
        <v>45127.895613425928</v>
      </c>
      <c r="AG660" s="85">
        <v>45127</v>
      </c>
      <c r="AH660" s="82" t="s">
        <v>8390</v>
      </c>
      <c r="AI660" s="77"/>
      <c r="AJ660" s="77"/>
      <c r="AK660" s="77"/>
      <c r="AL660" s="77"/>
      <c r="AM660" s="77"/>
      <c r="AN660" s="77"/>
      <c r="AO660" s="77"/>
      <c r="AP660" s="77"/>
      <c r="AQ660" s="77"/>
      <c r="AR660" s="77"/>
      <c r="AS660" s="77"/>
      <c r="AT660" s="77"/>
      <c r="AU660" s="77"/>
      <c r="AV660" s="80" t="str">
        <f>HYPERLINK("https://pbs.twimg.com/profile_images/1682018590713851906/yH_kvRW9_normal.jpg")</f>
        <v>https://pbs.twimg.com/profile_images/1682018590713851906/yH_kvRW9_normal.jpg</v>
      </c>
      <c r="AW660" s="82" t="s">
        <v>12358</v>
      </c>
      <c r="AX660" s="82" t="s">
        <v>15772</v>
      </c>
      <c r="AY660" s="82" t="s">
        <v>15936</v>
      </c>
      <c r="AZ660" s="82" t="s">
        <v>16006</v>
      </c>
      <c r="BA660" s="82" t="s">
        <v>15984</v>
      </c>
      <c r="BB660" s="82" t="s">
        <v>15984</v>
      </c>
      <c r="BC660" s="82" t="s">
        <v>16006</v>
      </c>
      <c r="BD660" s="82" t="s">
        <v>15936</v>
      </c>
      <c r="BE660" s="77"/>
      <c r="BF660" s="77"/>
      <c r="BG660" s="77"/>
      <c r="BH660" s="77"/>
      <c r="BI660" s="77"/>
    </row>
    <row r="661" spans="1:61" x14ac:dyDescent="0.25">
      <c r="A661" s="62" t="s">
        <v>427</v>
      </c>
      <c r="B661" s="62" t="s">
        <v>427</v>
      </c>
      <c r="C661" s="63"/>
      <c r="D661" s="64"/>
      <c r="E661" s="65"/>
      <c r="F661" s="66"/>
      <c r="G661" s="63"/>
      <c r="H661" s="67"/>
      <c r="I661" s="68"/>
      <c r="J661" s="68"/>
      <c r="K661" s="32"/>
      <c r="L661" s="75">
        <v>661</v>
      </c>
      <c r="M661" s="75"/>
      <c r="N661" s="70"/>
      <c r="O661" s="77" t="s">
        <v>898</v>
      </c>
      <c r="P661" s="79">
        <v>45154.643263888887</v>
      </c>
      <c r="Q661" s="77" t="s">
        <v>1526</v>
      </c>
      <c r="R661" s="77">
        <v>0</v>
      </c>
      <c r="S661" s="77">
        <v>0</v>
      </c>
      <c r="T661" s="77">
        <v>0</v>
      </c>
      <c r="U661" s="77">
        <v>0</v>
      </c>
      <c r="V661" s="77">
        <v>34</v>
      </c>
      <c r="W661" s="82" t="s">
        <v>5160</v>
      </c>
      <c r="X661" s="77"/>
      <c r="Y661" s="77"/>
      <c r="Z661" s="77"/>
      <c r="AA661" s="77"/>
      <c r="AB661" s="77"/>
      <c r="AC661" s="82" t="s">
        <v>7750</v>
      </c>
      <c r="AD661" s="77" t="s">
        <v>7788</v>
      </c>
      <c r="AE661" s="80" t="str">
        <f>HYPERLINK("https://twitter.com/blockbr_/status/1691833770037350870")</f>
        <v>https://twitter.com/blockbr_/status/1691833770037350870</v>
      </c>
      <c r="AF661" s="79">
        <v>45154.643263888887</v>
      </c>
      <c r="AG661" s="85">
        <v>45154</v>
      </c>
      <c r="AH661" s="82" t="s">
        <v>8391</v>
      </c>
      <c r="AI661" s="77"/>
      <c r="AJ661" s="77"/>
      <c r="AK661" s="77"/>
      <c r="AL661" s="77"/>
      <c r="AM661" s="77"/>
      <c r="AN661" s="77"/>
      <c r="AO661" s="77"/>
      <c r="AP661" s="77"/>
      <c r="AQ661" s="77"/>
      <c r="AR661" s="77"/>
      <c r="AS661" s="77"/>
      <c r="AT661" s="77"/>
      <c r="AU661" s="77"/>
      <c r="AV661" s="80" t="str">
        <f>HYPERLINK("https://pbs.twimg.com/profile_images/1682018590713851906/yH_kvRW9_normal.jpg")</f>
        <v>https://pbs.twimg.com/profile_images/1682018590713851906/yH_kvRW9_normal.jpg</v>
      </c>
      <c r="AW661" s="82" t="s">
        <v>12359</v>
      </c>
      <c r="AX661" s="82" t="s">
        <v>15773</v>
      </c>
      <c r="AY661" s="82" t="s">
        <v>15936</v>
      </c>
      <c r="AZ661" s="82" t="s">
        <v>15773</v>
      </c>
      <c r="BA661" s="82" t="s">
        <v>15984</v>
      </c>
      <c r="BB661" s="82" t="s">
        <v>15984</v>
      </c>
      <c r="BC661" s="82" t="s">
        <v>15773</v>
      </c>
      <c r="BD661" s="82" t="s">
        <v>15936</v>
      </c>
      <c r="BE661" s="77"/>
      <c r="BF661" s="77"/>
      <c r="BG661" s="77"/>
      <c r="BH661" s="77"/>
      <c r="BI661" s="77"/>
    </row>
    <row r="662" spans="1:61" x14ac:dyDescent="0.25">
      <c r="A662" s="62" t="s">
        <v>428</v>
      </c>
      <c r="B662" s="62" t="s">
        <v>428</v>
      </c>
      <c r="C662" s="63"/>
      <c r="D662" s="64"/>
      <c r="E662" s="65"/>
      <c r="F662" s="66"/>
      <c r="G662" s="63"/>
      <c r="H662" s="67"/>
      <c r="I662" s="68"/>
      <c r="J662" s="68"/>
      <c r="K662" s="32"/>
      <c r="L662" s="75">
        <v>662</v>
      </c>
      <c r="M662" s="75"/>
      <c r="N662" s="70"/>
      <c r="O662" s="77" t="s">
        <v>179</v>
      </c>
      <c r="P662" s="79">
        <v>45159.596620370372</v>
      </c>
      <c r="Q662" s="77" t="s">
        <v>1527</v>
      </c>
      <c r="R662" s="77">
        <v>6</v>
      </c>
      <c r="S662" s="77">
        <v>10</v>
      </c>
      <c r="T662" s="77">
        <v>0</v>
      </c>
      <c r="U662" s="77">
        <v>0</v>
      </c>
      <c r="V662" s="77">
        <v>476</v>
      </c>
      <c r="W662" s="82" t="s">
        <v>5161</v>
      </c>
      <c r="X662" s="80" t="str">
        <f>HYPERLINK("https://www.meetup.com/python-ecuador/events/295077580")</f>
        <v>https://www.meetup.com/python-ecuador/events/295077580</v>
      </c>
      <c r="Y662" s="77" t="s">
        <v>6520</v>
      </c>
      <c r="Z662" s="77"/>
      <c r="AA662" s="77" t="s">
        <v>7033</v>
      </c>
      <c r="AB662" s="77" t="s">
        <v>7742</v>
      </c>
      <c r="AC662" s="82" t="s">
        <v>7750</v>
      </c>
      <c r="AD662" s="77" t="s">
        <v>7790</v>
      </c>
      <c r="AE662" s="80" t="str">
        <f>HYPERLINK("https://twitter.com/pyecuador/status/1693628807385632781")</f>
        <v>https://twitter.com/pyecuador/status/1693628807385632781</v>
      </c>
      <c r="AF662" s="79">
        <v>45159.596620370372</v>
      </c>
      <c r="AG662" s="85">
        <v>45159</v>
      </c>
      <c r="AH662" s="82" t="s">
        <v>8392</v>
      </c>
      <c r="AI662" s="77" t="b">
        <v>0</v>
      </c>
      <c r="AJ662" s="77"/>
      <c r="AK662" s="77"/>
      <c r="AL662" s="77"/>
      <c r="AM662" s="77"/>
      <c r="AN662" s="77"/>
      <c r="AO662" s="77"/>
      <c r="AP662" s="77"/>
      <c r="AQ662" s="77" t="s">
        <v>11005</v>
      </c>
      <c r="AR662" s="77"/>
      <c r="AS662" s="77"/>
      <c r="AT662" s="77"/>
      <c r="AU662" s="77"/>
      <c r="AV662" s="80" t="str">
        <f>HYPERLINK("https://pbs.twimg.com/media/F4D5ERLXIAAyViG.jpg")</f>
        <v>https://pbs.twimg.com/media/F4D5ERLXIAAyViG.jpg</v>
      </c>
      <c r="AW662" s="82" t="s">
        <v>12360</v>
      </c>
      <c r="AX662" s="82" t="s">
        <v>12360</v>
      </c>
      <c r="AY662" s="77"/>
      <c r="AZ662" s="82" t="s">
        <v>15984</v>
      </c>
      <c r="BA662" s="82" t="s">
        <v>15984</v>
      </c>
      <c r="BB662" s="82" t="s">
        <v>15984</v>
      </c>
      <c r="BC662" s="82" t="s">
        <v>12360</v>
      </c>
      <c r="BD662" s="82" t="s">
        <v>16224</v>
      </c>
      <c r="BE662" s="77"/>
      <c r="BF662" s="77"/>
      <c r="BG662" s="77"/>
      <c r="BH662" s="77"/>
      <c r="BI662" s="77"/>
    </row>
    <row r="663" spans="1:61" x14ac:dyDescent="0.25">
      <c r="A663" s="62" t="s">
        <v>429</v>
      </c>
      <c r="B663" s="62" t="s">
        <v>429</v>
      </c>
      <c r="C663" s="63"/>
      <c r="D663" s="64"/>
      <c r="E663" s="65"/>
      <c r="F663" s="66"/>
      <c r="G663" s="63"/>
      <c r="H663" s="67"/>
      <c r="I663" s="68"/>
      <c r="J663" s="68"/>
      <c r="K663" s="32"/>
      <c r="L663" s="75">
        <v>663</v>
      </c>
      <c r="M663" s="75"/>
      <c r="N663" s="70"/>
      <c r="O663" s="77" t="s">
        <v>179</v>
      </c>
      <c r="P663" s="79">
        <v>45193.476817129631</v>
      </c>
      <c r="Q663" s="77" t="s">
        <v>1014</v>
      </c>
      <c r="R663" s="77">
        <v>0</v>
      </c>
      <c r="S663" s="77">
        <v>0</v>
      </c>
      <c r="T663" s="77">
        <v>0</v>
      </c>
      <c r="U663" s="77">
        <v>0</v>
      </c>
      <c r="V663" s="77">
        <v>21</v>
      </c>
      <c r="W663" s="82" t="s">
        <v>4849</v>
      </c>
      <c r="X663" s="77"/>
      <c r="Y663" s="77"/>
      <c r="Z663" s="77"/>
      <c r="AA663" s="77"/>
      <c r="AB663" s="77"/>
      <c r="AC663" s="82" t="s">
        <v>7750</v>
      </c>
      <c r="AD663" s="77" t="s">
        <v>7789</v>
      </c>
      <c r="AE663" s="80" t="str">
        <f>HYPERLINK("https://twitter.com/zentraderjourn1/status/1705906578270884250")</f>
        <v>https://twitter.com/zentraderjourn1/status/1705906578270884250</v>
      </c>
      <c r="AF663" s="79">
        <v>45193.476817129631</v>
      </c>
      <c r="AG663" s="85">
        <v>45193</v>
      </c>
      <c r="AH663" s="82" t="s">
        <v>8393</v>
      </c>
      <c r="AI663" s="77"/>
      <c r="AJ663" s="77"/>
      <c r="AK663" s="77"/>
      <c r="AL663" s="77"/>
      <c r="AM663" s="77"/>
      <c r="AN663" s="77"/>
      <c r="AO663" s="77"/>
      <c r="AP663" s="77"/>
      <c r="AQ663" s="77"/>
      <c r="AR663" s="77"/>
      <c r="AS663" s="77"/>
      <c r="AT663" s="77"/>
      <c r="AU663" s="77"/>
      <c r="AV663" s="80" t="str">
        <f>HYPERLINK("https://pbs.twimg.com/profile_images/1699367766006857728/fH-1gLVS_normal.jpg")</f>
        <v>https://pbs.twimg.com/profile_images/1699367766006857728/fH-1gLVS_normal.jpg</v>
      </c>
      <c r="AW663" s="82" t="s">
        <v>12361</v>
      </c>
      <c r="AX663" s="82" t="s">
        <v>12361</v>
      </c>
      <c r="AY663" s="77"/>
      <c r="AZ663" s="82" t="s">
        <v>15984</v>
      </c>
      <c r="BA663" s="82" t="s">
        <v>15984</v>
      </c>
      <c r="BB663" s="82" t="s">
        <v>15984</v>
      </c>
      <c r="BC663" s="82" t="s">
        <v>12361</v>
      </c>
      <c r="BD663" s="82" t="s">
        <v>16225</v>
      </c>
      <c r="BE663" s="77"/>
      <c r="BF663" s="77"/>
      <c r="BG663" s="77"/>
      <c r="BH663" s="77"/>
      <c r="BI663" s="77"/>
    </row>
    <row r="664" spans="1:61" x14ac:dyDescent="0.25">
      <c r="A664" s="62" t="s">
        <v>430</v>
      </c>
      <c r="B664" s="62" t="s">
        <v>430</v>
      </c>
      <c r="C664" s="63"/>
      <c r="D664" s="64"/>
      <c r="E664" s="65"/>
      <c r="F664" s="66"/>
      <c r="G664" s="63"/>
      <c r="H664" s="67"/>
      <c r="I664" s="68"/>
      <c r="J664" s="68"/>
      <c r="K664" s="32"/>
      <c r="L664" s="75">
        <v>664</v>
      </c>
      <c r="M664" s="75"/>
      <c r="N664" s="70"/>
      <c r="O664" s="77" t="s">
        <v>179</v>
      </c>
      <c r="P664" s="79">
        <v>45194.761018518519</v>
      </c>
      <c r="Q664" s="77" t="s">
        <v>1528</v>
      </c>
      <c r="R664" s="77">
        <v>0</v>
      </c>
      <c r="S664" s="77">
        <v>0</v>
      </c>
      <c r="T664" s="77">
        <v>0</v>
      </c>
      <c r="U664" s="77">
        <v>0</v>
      </c>
      <c r="V664" s="77">
        <v>3</v>
      </c>
      <c r="W664" s="82" t="s">
        <v>5162</v>
      </c>
      <c r="X664" s="77"/>
      <c r="Y664" s="77"/>
      <c r="Z664" s="77"/>
      <c r="AA664" s="77" t="s">
        <v>7034</v>
      </c>
      <c r="AB664" s="77" t="s">
        <v>7742</v>
      </c>
      <c r="AC664" s="82" t="s">
        <v>7750</v>
      </c>
      <c r="AD664" s="77" t="s">
        <v>7788</v>
      </c>
      <c r="AE664" s="80" t="str">
        <f>HYPERLINK("https://twitter.com/filipebarrosoo/status/1706371959888433284")</f>
        <v>https://twitter.com/filipebarrosoo/status/1706371959888433284</v>
      </c>
      <c r="AF664" s="79">
        <v>45194.761018518519</v>
      </c>
      <c r="AG664" s="85">
        <v>45194</v>
      </c>
      <c r="AH664" s="82" t="s">
        <v>8394</v>
      </c>
      <c r="AI664" s="77" t="b">
        <v>0</v>
      </c>
      <c r="AJ664" s="77"/>
      <c r="AK664" s="77"/>
      <c r="AL664" s="77"/>
      <c r="AM664" s="77"/>
      <c r="AN664" s="77"/>
      <c r="AO664" s="77"/>
      <c r="AP664" s="77"/>
      <c r="AQ664" s="77" t="s">
        <v>11006</v>
      </c>
      <c r="AR664" s="77"/>
      <c r="AS664" s="77"/>
      <c r="AT664" s="77"/>
      <c r="AU664" s="77"/>
      <c r="AV664" s="80" t="str">
        <f>HYPERLINK("https://pbs.twimg.com/media/F65ANf2XsAAjug4.jpg")</f>
        <v>https://pbs.twimg.com/media/F65ANf2XsAAjug4.jpg</v>
      </c>
      <c r="AW664" s="82" t="s">
        <v>12362</v>
      </c>
      <c r="AX664" s="82" t="s">
        <v>12362</v>
      </c>
      <c r="AY664" s="77"/>
      <c r="AZ664" s="82" t="s">
        <v>15984</v>
      </c>
      <c r="BA664" s="82" t="s">
        <v>15984</v>
      </c>
      <c r="BB664" s="82" t="s">
        <v>15984</v>
      </c>
      <c r="BC664" s="82" t="s">
        <v>12362</v>
      </c>
      <c r="BD664" s="82" t="s">
        <v>16226</v>
      </c>
      <c r="BE664" s="77"/>
      <c r="BF664" s="77"/>
      <c r="BG664" s="77"/>
      <c r="BH664" s="77"/>
      <c r="BI664" s="77"/>
    </row>
    <row r="665" spans="1:61" x14ac:dyDescent="0.25">
      <c r="A665" s="62" t="s">
        <v>431</v>
      </c>
      <c r="B665" s="62" t="s">
        <v>614</v>
      </c>
      <c r="C665" s="63"/>
      <c r="D665" s="64"/>
      <c r="E665" s="65"/>
      <c r="F665" s="66"/>
      <c r="G665" s="63"/>
      <c r="H665" s="67"/>
      <c r="I665" s="68"/>
      <c r="J665" s="68"/>
      <c r="K665" s="32"/>
      <c r="L665" s="75">
        <v>665</v>
      </c>
      <c r="M665" s="75"/>
      <c r="N665" s="70"/>
      <c r="O665" s="77" t="s">
        <v>897</v>
      </c>
      <c r="P665" s="79">
        <v>45192.837372685186</v>
      </c>
      <c r="Q665" s="77" t="s">
        <v>1511</v>
      </c>
      <c r="R665" s="77">
        <v>3</v>
      </c>
      <c r="S665" s="77">
        <v>0</v>
      </c>
      <c r="T665" s="77">
        <v>0</v>
      </c>
      <c r="U665" s="77">
        <v>0</v>
      </c>
      <c r="V665" s="77"/>
      <c r="W665" s="82" t="s">
        <v>4821</v>
      </c>
      <c r="X665" s="80" t="str">
        <f>HYPERLINK("https://www.valoraanalitik.com/2023/09/23/cuando-se-considera-que-una-persona-es-pobre-en-colombia/")</f>
        <v>https://www.valoraanalitik.com/2023/09/23/cuando-se-considera-que-una-persona-es-pobre-en-colombia/</v>
      </c>
      <c r="Y665" s="77" t="s">
        <v>6471</v>
      </c>
      <c r="Z665" s="77" t="s">
        <v>614</v>
      </c>
      <c r="AA665" s="77"/>
      <c r="AB665" s="77"/>
      <c r="AC665" s="82" t="s">
        <v>7751</v>
      </c>
      <c r="AD665" s="77" t="s">
        <v>7790</v>
      </c>
      <c r="AE665" s="80" t="str">
        <f>HYPERLINK("https://twitter.com/terraecolombia/status/1705674851409596791")</f>
        <v>https://twitter.com/terraecolombia/status/1705674851409596791</v>
      </c>
      <c r="AF665" s="79">
        <v>45192.837372685186</v>
      </c>
      <c r="AG665" s="85">
        <v>45192</v>
      </c>
      <c r="AH665" s="82" t="s">
        <v>8395</v>
      </c>
      <c r="AI665" s="77" t="b">
        <v>0</v>
      </c>
      <c r="AJ665" s="77"/>
      <c r="AK665" s="77"/>
      <c r="AL665" s="77"/>
      <c r="AM665" s="77"/>
      <c r="AN665" s="77"/>
      <c r="AO665" s="77"/>
      <c r="AP665" s="77"/>
      <c r="AQ665" s="77"/>
      <c r="AR665" s="77"/>
      <c r="AS665" s="77"/>
      <c r="AT665" s="77"/>
      <c r="AU665" s="77"/>
      <c r="AV665" s="80" t="str">
        <f>HYPERLINK("https://pbs.twimg.com/profile_images/1087543830784688133/RFonejwn_normal.jpg")</f>
        <v>https://pbs.twimg.com/profile_images/1087543830784688133/RFonejwn_normal.jpg</v>
      </c>
      <c r="AW665" s="82" t="s">
        <v>12363</v>
      </c>
      <c r="AX665" s="82" t="s">
        <v>12363</v>
      </c>
      <c r="AY665" s="77"/>
      <c r="AZ665" s="82" t="s">
        <v>15984</v>
      </c>
      <c r="BA665" s="82" t="s">
        <v>15984</v>
      </c>
      <c r="BB665" s="82" t="s">
        <v>13019</v>
      </c>
      <c r="BC665" s="82" t="s">
        <v>13019</v>
      </c>
      <c r="BD665" s="77">
        <v>3434642859</v>
      </c>
      <c r="BE665" s="77"/>
      <c r="BF665" s="77"/>
      <c r="BG665" s="77"/>
      <c r="BH665" s="77"/>
      <c r="BI665" s="77"/>
    </row>
    <row r="666" spans="1:61" x14ac:dyDescent="0.25">
      <c r="A666" s="62" t="s">
        <v>432</v>
      </c>
      <c r="B666" s="62" t="s">
        <v>432</v>
      </c>
      <c r="C666" s="63"/>
      <c r="D666" s="64"/>
      <c r="E666" s="65"/>
      <c r="F666" s="66"/>
      <c r="G666" s="63"/>
      <c r="H666" s="67"/>
      <c r="I666" s="68"/>
      <c r="J666" s="68"/>
      <c r="K666" s="32"/>
      <c r="L666" s="75">
        <v>666</v>
      </c>
      <c r="M666" s="75"/>
      <c r="N666" s="70"/>
      <c r="O666" s="77" t="s">
        <v>179</v>
      </c>
      <c r="P666" s="79">
        <v>45121.51761574074</v>
      </c>
      <c r="Q666" s="77" t="s">
        <v>1529</v>
      </c>
      <c r="R666" s="77">
        <v>2</v>
      </c>
      <c r="S666" s="77">
        <v>8</v>
      </c>
      <c r="T666" s="77">
        <v>0</v>
      </c>
      <c r="U666" s="77">
        <v>0</v>
      </c>
      <c r="V666" s="77">
        <v>1569</v>
      </c>
      <c r="W666" s="82" t="s">
        <v>4839</v>
      </c>
      <c r="X666" s="77"/>
      <c r="Y666" s="77"/>
      <c r="Z666" s="77"/>
      <c r="AA666" s="77"/>
      <c r="AB666" s="77"/>
      <c r="AC666" s="82" t="s">
        <v>7750</v>
      </c>
      <c r="AD666" s="77" t="s">
        <v>7788</v>
      </c>
      <c r="AE666" s="80" t="str">
        <f>HYPERLINK("https://twitter.com/somasinvest/status/1679829436609228800")</f>
        <v>https://twitter.com/somasinvest/status/1679829436609228800</v>
      </c>
      <c r="AF666" s="79">
        <v>45121.51761574074</v>
      </c>
      <c r="AG666" s="85">
        <v>45121</v>
      </c>
      <c r="AH666" s="82" t="s">
        <v>8396</v>
      </c>
      <c r="AI666" s="77"/>
      <c r="AJ666" s="77"/>
      <c r="AK666" s="77"/>
      <c r="AL666" s="77"/>
      <c r="AM666" s="77"/>
      <c r="AN666" s="77"/>
      <c r="AO666" s="77"/>
      <c r="AP666" s="77"/>
      <c r="AQ666" s="77"/>
      <c r="AR666" s="77"/>
      <c r="AS666" s="77"/>
      <c r="AT666" s="77"/>
      <c r="AU666" s="77"/>
      <c r="AV666" s="80" t="str">
        <f>HYPERLINK("https://pbs.twimg.com/profile_images/1484559776780587016/UBF0lFg4_normal.jpg")</f>
        <v>https://pbs.twimg.com/profile_images/1484559776780587016/UBF0lFg4_normal.jpg</v>
      </c>
      <c r="AW666" s="82" t="s">
        <v>12364</v>
      </c>
      <c r="AX666" s="82" t="s">
        <v>12364</v>
      </c>
      <c r="AY666" s="77"/>
      <c r="AZ666" s="82" t="s">
        <v>15984</v>
      </c>
      <c r="BA666" s="82" t="s">
        <v>15984</v>
      </c>
      <c r="BB666" s="82" t="s">
        <v>15984</v>
      </c>
      <c r="BC666" s="82" t="s">
        <v>12364</v>
      </c>
      <c r="BD666" s="82" t="s">
        <v>16227</v>
      </c>
      <c r="BE666" s="77"/>
      <c r="BF666" s="77"/>
      <c r="BG666" s="77"/>
      <c r="BH666" s="77"/>
      <c r="BI666" s="77"/>
    </row>
    <row r="667" spans="1:61" x14ac:dyDescent="0.25">
      <c r="A667" s="62" t="s">
        <v>433</v>
      </c>
      <c r="B667" s="62" t="s">
        <v>433</v>
      </c>
      <c r="C667" s="63"/>
      <c r="D667" s="64"/>
      <c r="E667" s="65"/>
      <c r="F667" s="66"/>
      <c r="G667" s="63"/>
      <c r="H667" s="67"/>
      <c r="I667" s="68"/>
      <c r="J667" s="68"/>
      <c r="K667" s="32"/>
      <c r="L667" s="75">
        <v>667</v>
      </c>
      <c r="M667" s="75"/>
      <c r="N667" s="70"/>
      <c r="O667" s="77" t="s">
        <v>179</v>
      </c>
      <c r="P667" s="79">
        <v>45154.278425925928</v>
      </c>
      <c r="Q667" s="77" t="s">
        <v>1530</v>
      </c>
      <c r="R667" s="77">
        <v>0</v>
      </c>
      <c r="S667" s="77">
        <v>0</v>
      </c>
      <c r="T667" s="77">
        <v>3</v>
      </c>
      <c r="U667" s="77">
        <v>0</v>
      </c>
      <c r="V667" s="77">
        <v>28</v>
      </c>
      <c r="W667" s="82" t="s">
        <v>5163</v>
      </c>
      <c r="X667" s="77"/>
      <c r="Y667" s="77"/>
      <c r="Z667" s="77"/>
      <c r="AA667" s="77"/>
      <c r="AB667" s="77"/>
      <c r="AC667" s="82" t="s">
        <v>7751</v>
      </c>
      <c r="AD667" s="77" t="s">
        <v>7789</v>
      </c>
      <c r="AE667" s="80" t="str">
        <f>HYPERLINK("https://twitter.com/cryptoclarity5/status/1691701557702865089")</f>
        <v>https://twitter.com/cryptoclarity5/status/1691701557702865089</v>
      </c>
      <c r="AF667" s="79">
        <v>45154.278425925928</v>
      </c>
      <c r="AG667" s="85">
        <v>45154</v>
      </c>
      <c r="AH667" s="82" t="s">
        <v>8397</v>
      </c>
      <c r="AI667" s="77"/>
      <c r="AJ667" s="77"/>
      <c r="AK667" s="77"/>
      <c r="AL667" s="77"/>
      <c r="AM667" s="77"/>
      <c r="AN667" s="77"/>
      <c r="AO667" s="77"/>
      <c r="AP667" s="77"/>
      <c r="AQ667" s="77"/>
      <c r="AR667" s="77"/>
      <c r="AS667" s="77"/>
      <c r="AT667" s="77"/>
      <c r="AU667" s="77"/>
      <c r="AV667" s="80" t="str">
        <f>HYPERLINK("https://pbs.twimg.com/profile_images/1521650115001602048/jyvaSFfT_normal.jpg")</f>
        <v>https://pbs.twimg.com/profile_images/1521650115001602048/jyvaSFfT_normal.jpg</v>
      </c>
      <c r="AW667" s="82" t="s">
        <v>12365</v>
      </c>
      <c r="AX667" s="82" t="s">
        <v>12365</v>
      </c>
      <c r="AY667" s="77"/>
      <c r="AZ667" s="82" t="s">
        <v>15984</v>
      </c>
      <c r="BA667" s="82" t="s">
        <v>15984</v>
      </c>
      <c r="BB667" s="82" t="s">
        <v>15984</v>
      </c>
      <c r="BC667" s="82" t="s">
        <v>12365</v>
      </c>
      <c r="BD667" s="82" t="s">
        <v>16228</v>
      </c>
      <c r="BE667" s="77"/>
      <c r="BF667" s="77"/>
      <c r="BG667" s="77"/>
      <c r="BH667" s="77"/>
      <c r="BI667" s="77"/>
    </row>
    <row r="668" spans="1:61" x14ac:dyDescent="0.25">
      <c r="A668" s="62" t="s">
        <v>434</v>
      </c>
      <c r="B668" s="62" t="s">
        <v>434</v>
      </c>
      <c r="C668" s="63"/>
      <c r="D668" s="64"/>
      <c r="E668" s="65"/>
      <c r="F668" s="66"/>
      <c r="G668" s="63"/>
      <c r="H668" s="67"/>
      <c r="I668" s="68"/>
      <c r="J668" s="68"/>
      <c r="K668" s="32"/>
      <c r="L668" s="75">
        <v>668</v>
      </c>
      <c r="M668" s="75"/>
      <c r="N668" s="70"/>
      <c r="O668" s="77" t="s">
        <v>179</v>
      </c>
      <c r="P668" s="79">
        <v>45177.511967592596</v>
      </c>
      <c r="Q668" s="77" t="s">
        <v>1531</v>
      </c>
      <c r="R668" s="77">
        <v>0</v>
      </c>
      <c r="S668" s="77">
        <v>0</v>
      </c>
      <c r="T668" s="77">
        <v>0</v>
      </c>
      <c r="U668" s="77">
        <v>0</v>
      </c>
      <c r="V668" s="77">
        <v>7</v>
      </c>
      <c r="W668" s="82" t="s">
        <v>5164</v>
      </c>
      <c r="X668" s="80" t="str">
        <f>HYPERLINK("https://dx.doi.org/10.47402/ed.ep.b23350355")</f>
        <v>https://dx.doi.org/10.47402/ed.ep.b23350355</v>
      </c>
      <c r="Y668" s="77" t="s">
        <v>6521</v>
      </c>
      <c r="Z668" s="77"/>
      <c r="AA668" s="77" t="s">
        <v>7035</v>
      </c>
      <c r="AB668" s="77" t="s">
        <v>7742</v>
      </c>
      <c r="AC668" s="82" t="s">
        <v>7750</v>
      </c>
      <c r="AD668" s="77" t="s">
        <v>7788</v>
      </c>
      <c r="AE668" s="80" t="str">
        <f>HYPERLINK("https://twitter.com/e_publicar/status/1700121111340458363")</f>
        <v>https://twitter.com/e_publicar/status/1700121111340458363</v>
      </c>
      <c r="AF668" s="79">
        <v>45177.511967592596</v>
      </c>
      <c r="AG668" s="85">
        <v>45177</v>
      </c>
      <c r="AH668" s="82" t="s">
        <v>8398</v>
      </c>
      <c r="AI668" s="77" t="b">
        <v>0</v>
      </c>
      <c r="AJ668" s="77"/>
      <c r="AK668" s="77"/>
      <c r="AL668" s="77"/>
      <c r="AM668" s="77"/>
      <c r="AN668" s="77"/>
      <c r="AO668" s="77"/>
      <c r="AP668" s="77"/>
      <c r="AQ668" s="77" t="s">
        <v>11007</v>
      </c>
      <c r="AR668" s="77"/>
      <c r="AS668" s="77"/>
      <c r="AT668" s="77"/>
      <c r="AU668" s="77"/>
      <c r="AV668" s="80" t="str">
        <f>HYPERLINK("https://pbs.twimg.com/media/F5gK7nMWYAAG9X5.jpg")</f>
        <v>https://pbs.twimg.com/media/F5gK7nMWYAAG9X5.jpg</v>
      </c>
      <c r="AW668" s="82" t="s">
        <v>12366</v>
      </c>
      <c r="AX668" s="82" t="s">
        <v>12366</v>
      </c>
      <c r="AY668" s="77"/>
      <c r="AZ668" s="82" t="s">
        <v>15984</v>
      </c>
      <c r="BA668" s="82" t="s">
        <v>15984</v>
      </c>
      <c r="BB668" s="82" t="s">
        <v>15984</v>
      </c>
      <c r="BC668" s="82" t="s">
        <v>12366</v>
      </c>
      <c r="BD668" s="82" t="s">
        <v>16229</v>
      </c>
      <c r="BE668" s="77"/>
      <c r="BF668" s="77"/>
      <c r="BG668" s="77"/>
      <c r="BH668" s="77"/>
      <c r="BI668" s="77"/>
    </row>
    <row r="669" spans="1:61" x14ac:dyDescent="0.25">
      <c r="A669" s="62" t="s">
        <v>435</v>
      </c>
      <c r="B669" s="62" t="s">
        <v>435</v>
      </c>
      <c r="C669" s="63"/>
      <c r="D669" s="64"/>
      <c r="E669" s="65"/>
      <c r="F669" s="66"/>
      <c r="G669" s="63"/>
      <c r="H669" s="67"/>
      <c r="I669" s="68"/>
      <c r="J669" s="68"/>
      <c r="K669" s="32"/>
      <c r="L669" s="75">
        <v>669</v>
      </c>
      <c r="M669" s="75"/>
      <c r="N669" s="70"/>
      <c r="O669" s="77" t="s">
        <v>179</v>
      </c>
      <c r="P669" s="79">
        <v>45159.959108796298</v>
      </c>
      <c r="Q669" s="77" t="s">
        <v>1532</v>
      </c>
      <c r="R669" s="77">
        <v>0</v>
      </c>
      <c r="S669" s="77">
        <v>0</v>
      </c>
      <c r="T669" s="77">
        <v>0</v>
      </c>
      <c r="U669" s="77">
        <v>0</v>
      </c>
      <c r="V669" s="77">
        <v>2</v>
      </c>
      <c r="W669" s="82" t="s">
        <v>4833</v>
      </c>
      <c r="X669" s="77"/>
      <c r="Y669" s="77"/>
      <c r="Z669" s="77"/>
      <c r="AA669" s="77"/>
      <c r="AB669" s="77"/>
      <c r="AC669" s="82" t="s">
        <v>7752</v>
      </c>
      <c r="AD669" s="77" t="s">
        <v>7788</v>
      </c>
      <c r="AE669" s="80" t="str">
        <f>HYPERLINK("https://twitter.com/renandiel/status/1693760168843001951")</f>
        <v>https://twitter.com/renandiel/status/1693760168843001951</v>
      </c>
      <c r="AF669" s="79">
        <v>45159.959108796298</v>
      </c>
      <c r="AG669" s="85">
        <v>45159</v>
      </c>
      <c r="AH669" s="82" t="s">
        <v>8399</v>
      </c>
      <c r="AI669" s="77"/>
      <c r="AJ669" s="77"/>
      <c r="AK669" s="77"/>
      <c r="AL669" s="77"/>
      <c r="AM669" s="77"/>
      <c r="AN669" s="77"/>
      <c r="AO669" s="77"/>
      <c r="AP669" s="77"/>
      <c r="AQ669" s="77"/>
      <c r="AR669" s="77"/>
      <c r="AS669" s="77"/>
      <c r="AT669" s="77"/>
      <c r="AU669" s="77"/>
      <c r="AV669" s="80" t="str">
        <f>HYPERLINK("https://pbs.twimg.com/profile_images/1560090503491764227/y6Z4cSkY_normal.jpg")</f>
        <v>https://pbs.twimg.com/profile_images/1560090503491764227/y6Z4cSkY_normal.jpg</v>
      </c>
      <c r="AW669" s="82" t="s">
        <v>12367</v>
      </c>
      <c r="AX669" s="82" t="s">
        <v>12367</v>
      </c>
      <c r="AY669" s="77"/>
      <c r="AZ669" s="82" t="s">
        <v>15984</v>
      </c>
      <c r="BA669" s="82" t="s">
        <v>15984</v>
      </c>
      <c r="BB669" s="82" t="s">
        <v>15984</v>
      </c>
      <c r="BC669" s="82" t="s">
        <v>12367</v>
      </c>
      <c r="BD669" s="82" t="s">
        <v>16230</v>
      </c>
      <c r="BE669" s="77"/>
      <c r="BF669" s="77"/>
      <c r="BG669" s="77"/>
      <c r="BH669" s="77"/>
      <c r="BI669" s="77"/>
    </row>
    <row r="670" spans="1:61" x14ac:dyDescent="0.25">
      <c r="A670" s="62" t="s">
        <v>435</v>
      </c>
      <c r="B670" s="62" t="s">
        <v>435</v>
      </c>
      <c r="C670" s="63"/>
      <c r="D670" s="64"/>
      <c r="E670" s="65"/>
      <c r="F670" s="66"/>
      <c r="G670" s="63"/>
      <c r="H670" s="67"/>
      <c r="I670" s="68"/>
      <c r="J670" s="68"/>
      <c r="K670" s="32"/>
      <c r="L670" s="75">
        <v>670</v>
      </c>
      <c r="M670" s="75"/>
      <c r="N670" s="70"/>
      <c r="O670" s="77" t="s">
        <v>179</v>
      </c>
      <c r="P670" s="79">
        <v>45160.991168981483</v>
      </c>
      <c r="Q670" s="77" t="s">
        <v>1533</v>
      </c>
      <c r="R670" s="77">
        <v>0</v>
      </c>
      <c r="S670" s="77">
        <v>0</v>
      </c>
      <c r="T670" s="77">
        <v>0</v>
      </c>
      <c r="U670" s="77">
        <v>0</v>
      </c>
      <c r="V670" s="77">
        <v>3</v>
      </c>
      <c r="W670" s="82" t="s">
        <v>5165</v>
      </c>
      <c r="X670" s="77"/>
      <c r="Y670" s="77"/>
      <c r="Z670" s="77"/>
      <c r="AA670" s="77"/>
      <c r="AB670" s="77"/>
      <c r="AC670" s="82" t="s">
        <v>7752</v>
      </c>
      <c r="AD670" s="77" t="s">
        <v>7788</v>
      </c>
      <c r="AE670" s="80" t="str">
        <f>HYPERLINK("https://twitter.com/renandiel/status/1694134176432189805")</f>
        <v>https://twitter.com/renandiel/status/1694134176432189805</v>
      </c>
      <c r="AF670" s="79">
        <v>45160.991168981483</v>
      </c>
      <c r="AG670" s="85">
        <v>45160</v>
      </c>
      <c r="AH670" s="82" t="s">
        <v>8400</v>
      </c>
      <c r="AI670" s="77"/>
      <c r="AJ670" s="77"/>
      <c r="AK670" s="77"/>
      <c r="AL670" s="77"/>
      <c r="AM670" s="77"/>
      <c r="AN670" s="77"/>
      <c r="AO670" s="77"/>
      <c r="AP670" s="77"/>
      <c r="AQ670" s="77"/>
      <c r="AR670" s="77"/>
      <c r="AS670" s="77"/>
      <c r="AT670" s="77"/>
      <c r="AU670" s="77"/>
      <c r="AV670" s="80" t="str">
        <f>HYPERLINK("https://pbs.twimg.com/profile_images/1560090503491764227/y6Z4cSkY_normal.jpg")</f>
        <v>https://pbs.twimg.com/profile_images/1560090503491764227/y6Z4cSkY_normal.jpg</v>
      </c>
      <c r="AW670" s="82" t="s">
        <v>12368</v>
      </c>
      <c r="AX670" s="82" t="s">
        <v>12368</v>
      </c>
      <c r="AY670" s="77"/>
      <c r="AZ670" s="82" t="s">
        <v>15984</v>
      </c>
      <c r="BA670" s="82" t="s">
        <v>15984</v>
      </c>
      <c r="BB670" s="82" t="s">
        <v>15984</v>
      </c>
      <c r="BC670" s="82" t="s">
        <v>12368</v>
      </c>
      <c r="BD670" s="82" t="s">
        <v>16230</v>
      </c>
      <c r="BE670" s="77"/>
      <c r="BF670" s="77"/>
      <c r="BG670" s="77"/>
      <c r="BH670" s="77"/>
      <c r="BI670" s="77"/>
    </row>
    <row r="671" spans="1:61" x14ac:dyDescent="0.25">
      <c r="A671" s="62" t="s">
        <v>436</v>
      </c>
      <c r="B671" s="62" t="s">
        <v>436</v>
      </c>
      <c r="C671" s="63"/>
      <c r="D671" s="64"/>
      <c r="E671" s="65"/>
      <c r="F671" s="66"/>
      <c r="G671" s="63"/>
      <c r="H671" s="67"/>
      <c r="I671" s="68"/>
      <c r="J671" s="68"/>
      <c r="K671" s="32"/>
      <c r="L671" s="75">
        <v>671</v>
      </c>
      <c r="M671" s="75"/>
      <c r="N671" s="70"/>
      <c r="O671" s="77" t="s">
        <v>179</v>
      </c>
      <c r="P671" s="79">
        <v>45132.837557870371</v>
      </c>
      <c r="Q671" s="77" t="s">
        <v>1534</v>
      </c>
      <c r="R671" s="77">
        <v>0</v>
      </c>
      <c r="S671" s="77">
        <v>1</v>
      </c>
      <c r="T671" s="77">
        <v>0</v>
      </c>
      <c r="U671" s="77">
        <v>0</v>
      </c>
      <c r="V671" s="77">
        <v>63</v>
      </c>
      <c r="W671" s="82" t="s">
        <v>5166</v>
      </c>
      <c r="X671" s="77"/>
      <c r="Y671" s="77"/>
      <c r="Z671" s="77"/>
      <c r="AA671" s="77" t="s">
        <v>7036</v>
      </c>
      <c r="AB671" s="77" t="s">
        <v>7742</v>
      </c>
      <c r="AC671" s="82" t="s">
        <v>7750</v>
      </c>
      <c r="AD671" s="77" t="s">
        <v>7788</v>
      </c>
      <c r="AE671" s="80" t="str">
        <f>HYPERLINK("https://twitter.com/assettitanium/status/1683931650114166785")</f>
        <v>https://twitter.com/assettitanium/status/1683931650114166785</v>
      </c>
      <c r="AF671" s="79">
        <v>45132.837557870371</v>
      </c>
      <c r="AG671" s="85">
        <v>45132</v>
      </c>
      <c r="AH671" s="82" t="s">
        <v>8401</v>
      </c>
      <c r="AI671" s="77" t="b">
        <v>0</v>
      </c>
      <c r="AJ671" s="77"/>
      <c r="AK671" s="77"/>
      <c r="AL671" s="77"/>
      <c r="AM671" s="77"/>
      <c r="AN671" s="77"/>
      <c r="AO671" s="77"/>
      <c r="AP671" s="77"/>
      <c r="AQ671" s="77" t="s">
        <v>11008</v>
      </c>
      <c r="AR671" s="77"/>
      <c r="AS671" s="77"/>
      <c r="AT671" s="77"/>
      <c r="AU671" s="77"/>
      <c r="AV671" s="80" t="str">
        <f>HYPERLINK("https://pbs.twimg.com/media/F16GpRNXsAMvxmI.jpg")</f>
        <v>https://pbs.twimg.com/media/F16GpRNXsAMvxmI.jpg</v>
      </c>
      <c r="AW671" s="82" t="s">
        <v>12369</v>
      </c>
      <c r="AX671" s="82" t="s">
        <v>12369</v>
      </c>
      <c r="AY671" s="77"/>
      <c r="AZ671" s="82" t="s">
        <v>15984</v>
      </c>
      <c r="BA671" s="82" t="s">
        <v>15984</v>
      </c>
      <c r="BB671" s="82" t="s">
        <v>15984</v>
      </c>
      <c r="BC671" s="82" t="s">
        <v>12369</v>
      </c>
      <c r="BD671" s="82" t="s">
        <v>16231</v>
      </c>
      <c r="BE671" s="77"/>
      <c r="BF671" s="77"/>
      <c r="BG671" s="77"/>
      <c r="BH671" s="77"/>
      <c r="BI671" s="77"/>
    </row>
    <row r="672" spans="1:61" x14ac:dyDescent="0.25">
      <c r="A672" s="62" t="s">
        <v>436</v>
      </c>
      <c r="B672" s="62" t="s">
        <v>436</v>
      </c>
      <c r="C672" s="63"/>
      <c r="D672" s="64"/>
      <c r="E672" s="65"/>
      <c r="F672" s="66"/>
      <c r="G672" s="63"/>
      <c r="H672" s="67"/>
      <c r="I672" s="68"/>
      <c r="J672" s="68"/>
      <c r="K672" s="32"/>
      <c r="L672" s="75">
        <v>672</v>
      </c>
      <c r="M672" s="75"/>
      <c r="N672" s="70"/>
      <c r="O672" s="77" t="s">
        <v>179</v>
      </c>
      <c r="P672" s="79">
        <v>45138.860069444447</v>
      </c>
      <c r="Q672" s="77" t="s">
        <v>1535</v>
      </c>
      <c r="R672" s="77">
        <v>0</v>
      </c>
      <c r="S672" s="77">
        <v>1</v>
      </c>
      <c r="T672" s="77">
        <v>0</v>
      </c>
      <c r="U672" s="77">
        <v>0</v>
      </c>
      <c r="V672" s="77">
        <v>58</v>
      </c>
      <c r="W672" s="82" t="s">
        <v>5166</v>
      </c>
      <c r="X672" s="77"/>
      <c r="Y672" s="77"/>
      <c r="Z672" s="77"/>
      <c r="AA672" s="77" t="s">
        <v>7037</v>
      </c>
      <c r="AB672" s="77" t="s">
        <v>7744</v>
      </c>
      <c r="AC672" s="82" t="s">
        <v>7750</v>
      </c>
      <c r="AD672" s="77" t="s">
        <v>7788</v>
      </c>
      <c r="AE672" s="80" t="str">
        <f>HYPERLINK("https://twitter.com/assettitanium/status/1686114132708253696")</f>
        <v>https://twitter.com/assettitanium/status/1686114132708253696</v>
      </c>
      <c r="AF672" s="79">
        <v>45138.860069444447</v>
      </c>
      <c r="AG672" s="85">
        <v>45138</v>
      </c>
      <c r="AH672" s="82" t="s">
        <v>8402</v>
      </c>
      <c r="AI672" s="77" t="b">
        <v>0</v>
      </c>
      <c r="AJ672" s="77"/>
      <c r="AK672" s="77"/>
      <c r="AL672" s="77"/>
      <c r="AM672" s="77"/>
      <c r="AN672" s="77"/>
      <c r="AO672" s="77"/>
      <c r="AP672" s="77"/>
      <c r="AQ672" s="77" t="s">
        <v>11009</v>
      </c>
      <c r="AR672" s="77"/>
      <c r="AS672" s="77"/>
      <c r="AT672" s="77"/>
      <c r="AU672" s="77"/>
      <c r="AV672" s="80" t="str">
        <f>HYPERLINK("https://pbs.twimg.com/media/F2ZHyHrWkAAUVhL.jpg")</f>
        <v>https://pbs.twimg.com/media/F2ZHyHrWkAAUVhL.jpg</v>
      </c>
      <c r="AW672" s="82" t="s">
        <v>12370</v>
      </c>
      <c r="AX672" s="82" t="s">
        <v>12370</v>
      </c>
      <c r="AY672" s="77"/>
      <c r="AZ672" s="82" t="s">
        <v>15984</v>
      </c>
      <c r="BA672" s="82" t="s">
        <v>15984</v>
      </c>
      <c r="BB672" s="82" t="s">
        <v>15984</v>
      </c>
      <c r="BC672" s="82" t="s">
        <v>12370</v>
      </c>
      <c r="BD672" s="82" t="s">
        <v>16231</v>
      </c>
      <c r="BE672" s="77"/>
      <c r="BF672" s="77"/>
      <c r="BG672" s="77"/>
      <c r="BH672" s="77"/>
      <c r="BI672" s="77"/>
    </row>
    <row r="673" spans="1:61" x14ac:dyDescent="0.25">
      <c r="A673" s="62" t="s">
        <v>436</v>
      </c>
      <c r="B673" s="62" t="s">
        <v>436</v>
      </c>
      <c r="C673" s="63"/>
      <c r="D673" s="64"/>
      <c r="E673" s="65"/>
      <c r="F673" s="66"/>
      <c r="G673" s="63"/>
      <c r="H673" s="67"/>
      <c r="I673" s="68"/>
      <c r="J673" s="68"/>
      <c r="K673" s="32"/>
      <c r="L673" s="75">
        <v>673</v>
      </c>
      <c r="M673" s="75"/>
      <c r="N673" s="70"/>
      <c r="O673" s="77" t="s">
        <v>179</v>
      </c>
      <c r="P673" s="79">
        <v>45140.826840277776</v>
      </c>
      <c r="Q673" s="77" t="s">
        <v>1536</v>
      </c>
      <c r="R673" s="77">
        <v>0</v>
      </c>
      <c r="S673" s="77">
        <v>0</v>
      </c>
      <c r="T673" s="77">
        <v>0</v>
      </c>
      <c r="U673" s="77">
        <v>0</v>
      </c>
      <c r="V673" s="77">
        <v>85</v>
      </c>
      <c r="W673" s="82" t="s">
        <v>5166</v>
      </c>
      <c r="X673" s="77"/>
      <c r="Y673" s="77"/>
      <c r="Z673" s="77"/>
      <c r="AA673" s="77" t="s">
        <v>7038</v>
      </c>
      <c r="AB673" s="77" t="s">
        <v>7743</v>
      </c>
      <c r="AC673" s="82" t="s">
        <v>7750</v>
      </c>
      <c r="AD673" s="77" t="s">
        <v>7788</v>
      </c>
      <c r="AE673" s="80" t="str">
        <f>HYPERLINK("https://twitter.com/assettitanium/status/1686826867217575937")</f>
        <v>https://twitter.com/assettitanium/status/1686826867217575937</v>
      </c>
      <c r="AF673" s="79">
        <v>45140.826840277776</v>
      </c>
      <c r="AG673" s="85">
        <v>45140</v>
      </c>
      <c r="AH673" s="82" t="s">
        <v>8403</v>
      </c>
      <c r="AI673" s="77" t="b">
        <v>0</v>
      </c>
      <c r="AJ673" s="77"/>
      <c r="AK673" s="77"/>
      <c r="AL673" s="77"/>
      <c r="AM673" s="77"/>
      <c r="AN673" s="77"/>
      <c r="AO673" s="77"/>
      <c r="AP673" s="77"/>
      <c r="AQ673" s="77" t="s">
        <v>11010</v>
      </c>
      <c r="AR673" s="77">
        <v>36933</v>
      </c>
      <c r="AS673" s="77"/>
      <c r="AT673" s="77"/>
      <c r="AU673" s="77"/>
      <c r="AV673" s="80" t="str">
        <f>HYPERLINK("https://pbs.twimg.com/ext_tw_video_thumb/1686826572722954240/pu/img/Nwb8w6GkAE0tci4h.jpg")</f>
        <v>https://pbs.twimg.com/ext_tw_video_thumb/1686826572722954240/pu/img/Nwb8w6GkAE0tci4h.jpg</v>
      </c>
      <c r="AW673" s="82" t="s">
        <v>12371</v>
      </c>
      <c r="AX673" s="82" t="s">
        <v>12371</v>
      </c>
      <c r="AY673" s="77"/>
      <c r="AZ673" s="82" t="s">
        <v>15984</v>
      </c>
      <c r="BA673" s="82" t="s">
        <v>15984</v>
      </c>
      <c r="BB673" s="82" t="s">
        <v>15984</v>
      </c>
      <c r="BC673" s="82" t="s">
        <v>12371</v>
      </c>
      <c r="BD673" s="82" t="s">
        <v>16231</v>
      </c>
      <c r="BE673" s="77"/>
      <c r="BF673" s="77"/>
      <c r="BG673" s="77"/>
      <c r="BH673" s="77"/>
      <c r="BI673" s="77"/>
    </row>
    <row r="674" spans="1:61" x14ac:dyDescent="0.25">
      <c r="A674" s="62" t="s">
        <v>436</v>
      </c>
      <c r="B674" s="62" t="s">
        <v>436</v>
      </c>
      <c r="C674" s="63"/>
      <c r="D674" s="64"/>
      <c r="E674" s="65"/>
      <c r="F674" s="66"/>
      <c r="G674" s="63"/>
      <c r="H674" s="67"/>
      <c r="I674" s="68"/>
      <c r="J674" s="68"/>
      <c r="K674" s="32"/>
      <c r="L674" s="75">
        <v>674</v>
      </c>
      <c r="M674" s="75"/>
      <c r="N674" s="70"/>
      <c r="O674" s="77" t="s">
        <v>179</v>
      </c>
      <c r="P674" s="79">
        <v>45188.877789351849</v>
      </c>
      <c r="Q674" s="77" t="s">
        <v>1537</v>
      </c>
      <c r="R674" s="77">
        <v>0</v>
      </c>
      <c r="S674" s="77">
        <v>0</v>
      </c>
      <c r="T674" s="77">
        <v>0</v>
      </c>
      <c r="U674" s="77">
        <v>0</v>
      </c>
      <c r="V674" s="77">
        <v>17</v>
      </c>
      <c r="W674" s="82" t="s">
        <v>5167</v>
      </c>
      <c r="X674" s="77"/>
      <c r="Y674" s="77"/>
      <c r="Z674" s="77"/>
      <c r="AA674" s="77" t="s">
        <v>7039</v>
      </c>
      <c r="AB674" s="77" t="s">
        <v>7742</v>
      </c>
      <c r="AC674" s="82" t="s">
        <v>7750</v>
      </c>
      <c r="AD674" s="77" t="s">
        <v>7788</v>
      </c>
      <c r="AE674" s="80" t="str">
        <f>HYPERLINK("https://twitter.com/assettitanium/status/1704239947585056975")</f>
        <v>https://twitter.com/assettitanium/status/1704239947585056975</v>
      </c>
      <c r="AF674" s="79">
        <v>45188.877789351849</v>
      </c>
      <c r="AG674" s="85">
        <v>45188</v>
      </c>
      <c r="AH674" s="82" t="s">
        <v>8404</v>
      </c>
      <c r="AI674" s="77" t="b">
        <v>0</v>
      </c>
      <c r="AJ674" s="77"/>
      <c r="AK674" s="77"/>
      <c r="AL674" s="77"/>
      <c r="AM674" s="77"/>
      <c r="AN674" s="77"/>
      <c r="AO674" s="77"/>
      <c r="AP674" s="77"/>
      <c r="AQ674" s="77" t="s">
        <v>11011</v>
      </c>
      <c r="AR674" s="77"/>
      <c r="AS674" s="77"/>
      <c r="AT674" s="77"/>
      <c r="AU674" s="77"/>
      <c r="AV674" s="80" t="str">
        <f>HYPERLINK("https://pbs.twimg.com/media/F6as8MKWIAAgJkZ.jpg")</f>
        <v>https://pbs.twimg.com/media/F6as8MKWIAAgJkZ.jpg</v>
      </c>
      <c r="AW674" s="82" t="s">
        <v>12372</v>
      </c>
      <c r="AX674" s="82" t="s">
        <v>12372</v>
      </c>
      <c r="AY674" s="77"/>
      <c r="AZ674" s="82" t="s">
        <v>15984</v>
      </c>
      <c r="BA674" s="82" t="s">
        <v>15984</v>
      </c>
      <c r="BB674" s="82" t="s">
        <v>15984</v>
      </c>
      <c r="BC674" s="82" t="s">
        <v>12372</v>
      </c>
      <c r="BD674" s="82" t="s">
        <v>16231</v>
      </c>
      <c r="BE674" s="77"/>
      <c r="BF674" s="77"/>
      <c r="BG674" s="77"/>
      <c r="BH674" s="77"/>
      <c r="BI674" s="77"/>
    </row>
    <row r="675" spans="1:61" x14ac:dyDescent="0.25">
      <c r="A675" s="62" t="s">
        <v>437</v>
      </c>
      <c r="B675" s="62" t="s">
        <v>437</v>
      </c>
      <c r="C675" s="63"/>
      <c r="D675" s="64"/>
      <c r="E675" s="65"/>
      <c r="F675" s="66"/>
      <c r="G675" s="63"/>
      <c r="H675" s="67"/>
      <c r="I675" s="68"/>
      <c r="J675" s="68"/>
      <c r="K675" s="32"/>
      <c r="L675" s="75">
        <v>675</v>
      </c>
      <c r="M675" s="75"/>
      <c r="N675" s="70"/>
      <c r="O675" s="77" t="s">
        <v>179</v>
      </c>
      <c r="P675" s="79">
        <v>45135.806180555555</v>
      </c>
      <c r="Q675" s="77" t="s">
        <v>1538</v>
      </c>
      <c r="R675" s="77">
        <v>2</v>
      </c>
      <c r="S675" s="77">
        <v>0</v>
      </c>
      <c r="T675" s="77">
        <v>0</v>
      </c>
      <c r="U675" s="77">
        <v>0</v>
      </c>
      <c r="V675" s="77">
        <v>44</v>
      </c>
      <c r="W675" s="82" t="s">
        <v>5168</v>
      </c>
      <c r="X675" s="77"/>
      <c r="Y675" s="77"/>
      <c r="Z675" s="77"/>
      <c r="AA675" s="77" t="s">
        <v>7040</v>
      </c>
      <c r="AB675" s="77" t="s">
        <v>7742</v>
      </c>
      <c r="AC675" s="82" t="s">
        <v>7752</v>
      </c>
      <c r="AD675" s="77" t="s">
        <v>7788</v>
      </c>
      <c r="AE675" s="80" t="str">
        <f>HYPERLINK("https://twitter.com/ras_brl/status/1685007442130702337")</f>
        <v>https://twitter.com/ras_brl/status/1685007442130702337</v>
      </c>
      <c r="AF675" s="79">
        <v>45135.806180555555</v>
      </c>
      <c r="AG675" s="85">
        <v>45135</v>
      </c>
      <c r="AH675" s="82" t="s">
        <v>8405</v>
      </c>
      <c r="AI675" s="77" t="b">
        <v>0</v>
      </c>
      <c r="AJ675" s="77"/>
      <c r="AK675" s="77"/>
      <c r="AL675" s="77"/>
      <c r="AM675" s="77"/>
      <c r="AN675" s="77"/>
      <c r="AO675" s="77"/>
      <c r="AP675" s="77"/>
      <c r="AQ675" s="77" t="s">
        <v>11012</v>
      </c>
      <c r="AR675" s="77"/>
      <c r="AS675" s="77"/>
      <c r="AT675" s="77"/>
      <c r="AU675" s="77"/>
      <c r="AV675" s="80" t="str">
        <f>HYPERLINK("https://pbs.twimg.com/media/F2JZVoMWkAALoBV.jpg")</f>
        <v>https://pbs.twimg.com/media/F2JZVoMWkAALoBV.jpg</v>
      </c>
      <c r="AW675" s="82" t="s">
        <v>12373</v>
      </c>
      <c r="AX675" s="82" t="s">
        <v>12373</v>
      </c>
      <c r="AY675" s="77"/>
      <c r="AZ675" s="82" t="s">
        <v>15984</v>
      </c>
      <c r="BA675" s="82" t="s">
        <v>15984</v>
      </c>
      <c r="BB675" s="82" t="s">
        <v>15984</v>
      </c>
      <c r="BC675" s="82" t="s">
        <v>12373</v>
      </c>
      <c r="BD675" s="82" t="s">
        <v>16232</v>
      </c>
      <c r="BE675" s="77"/>
      <c r="BF675" s="77"/>
      <c r="BG675" s="77"/>
      <c r="BH675" s="77"/>
      <c r="BI675" s="77"/>
    </row>
    <row r="676" spans="1:61" x14ac:dyDescent="0.25">
      <c r="A676" s="62" t="s">
        <v>438</v>
      </c>
      <c r="B676" s="62" t="s">
        <v>438</v>
      </c>
      <c r="C676" s="63"/>
      <c r="D676" s="64"/>
      <c r="E676" s="65"/>
      <c r="F676" s="66"/>
      <c r="G676" s="63"/>
      <c r="H676" s="67"/>
      <c r="I676" s="68"/>
      <c r="J676" s="68"/>
      <c r="K676" s="32"/>
      <c r="L676" s="75">
        <v>676</v>
      </c>
      <c r="M676" s="75"/>
      <c r="N676" s="70"/>
      <c r="O676" s="77" t="s">
        <v>898</v>
      </c>
      <c r="P676" s="79">
        <v>45140.903333333335</v>
      </c>
      <c r="Q676" s="77" t="s">
        <v>1539</v>
      </c>
      <c r="R676" s="77">
        <v>0</v>
      </c>
      <c r="S676" s="77">
        <v>0</v>
      </c>
      <c r="T676" s="77">
        <v>0</v>
      </c>
      <c r="U676" s="77">
        <v>0</v>
      </c>
      <c r="V676" s="77">
        <v>63</v>
      </c>
      <c r="W676" s="82" t="s">
        <v>5169</v>
      </c>
      <c r="X676" s="77"/>
      <c r="Y676" s="77"/>
      <c r="Z676" s="77"/>
      <c r="AA676" s="77"/>
      <c r="AB676" s="77"/>
      <c r="AC676" s="82" t="s">
        <v>7752</v>
      </c>
      <c r="AD676" s="77" t="s">
        <v>7796</v>
      </c>
      <c r="AE676" s="80" t="str">
        <f>HYPERLINK("https://twitter.com/rio_bravo/status/1686854587188146176")</f>
        <v>https://twitter.com/rio_bravo/status/1686854587188146176</v>
      </c>
      <c r="AF676" s="79">
        <v>45140.903333333335</v>
      </c>
      <c r="AG676" s="85">
        <v>45140</v>
      </c>
      <c r="AH676" s="82" t="s">
        <v>8406</v>
      </c>
      <c r="AI676" s="77"/>
      <c r="AJ676" s="77"/>
      <c r="AK676" s="77"/>
      <c r="AL676" s="77"/>
      <c r="AM676" s="77"/>
      <c r="AN676" s="77"/>
      <c r="AO676" s="77"/>
      <c r="AP676" s="77"/>
      <c r="AQ676" s="77"/>
      <c r="AR676" s="77"/>
      <c r="AS676" s="77"/>
      <c r="AT676" s="77"/>
      <c r="AU676" s="77"/>
      <c r="AV676" s="80" t="str">
        <f>HYPERLINK("https://pbs.twimg.com/profile_images/1674890323326128128/SJXVp4hL_normal.jpg")</f>
        <v>https://pbs.twimg.com/profile_images/1674890323326128128/SJXVp4hL_normal.jpg</v>
      </c>
      <c r="AW676" s="82" t="s">
        <v>12374</v>
      </c>
      <c r="AX676" s="82" t="s">
        <v>15774</v>
      </c>
      <c r="AY676" s="82" t="s">
        <v>15937</v>
      </c>
      <c r="AZ676" s="82" t="s">
        <v>16007</v>
      </c>
      <c r="BA676" s="82" t="s">
        <v>15984</v>
      </c>
      <c r="BB676" s="82" t="s">
        <v>15984</v>
      </c>
      <c r="BC676" s="82" t="s">
        <v>16007</v>
      </c>
      <c r="BD676" s="77">
        <v>3687841756</v>
      </c>
      <c r="BE676" s="77"/>
      <c r="BF676" s="77"/>
      <c r="BG676" s="77"/>
      <c r="BH676" s="77"/>
      <c r="BI676" s="77"/>
    </row>
    <row r="677" spans="1:61" x14ac:dyDescent="0.25">
      <c r="A677" s="62" t="s">
        <v>438</v>
      </c>
      <c r="B677" s="62" t="s">
        <v>438</v>
      </c>
      <c r="C677" s="63"/>
      <c r="D677" s="64"/>
      <c r="E677" s="65"/>
      <c r="F677" s="66"/>
      <c r="G677" s="63"/>
      <c r="H677" s="67"/>
      <c r="I677" s="68"/>
      <c r="J677" s="68"/>
      <c r="K677" s="32"/>
      <c r="L677" s="75">
        <v>677</v>
      </c>
      <c r="M677" s="75"/>
      <c r="N677" s="70"/>
      <c r="O677" s="77" t="s">
        <v>898</v>
      </c>
      <c r="P677" s="79">
        <v>45141.820428240739</v>
      </c>
      <c r="Q677" s="77" t="s">
        <v>1540</v>
      </c>
      <c r="R677" s="77">
        <v>0</v>
      </c>
      <c r="S677" s="77">
        <v>0</v>
      </c>
      <c r="T677" s="77">
        <v>0</v>
      </c>
      <c r="U677" s="77">
        <v>0</v>
      </c>
      <c r="V677" s="77">
        <v>57</v>
      </c>
      <c r="W677" s="82" t="s">
        <v>5170</v>
      </c>
      <c r="X677" s="77"/>
      <c r="Y677" s="77"/>
      <c r="Z677" s="77"/>
      <c r="AA677" s="77"/>
      <c r="AB677" s="77"/>
      <c r="AC677" s="82" t="s">
        <v>7752</v>
      </c>
      <c r="AD677" s="77" t="s">
        <v>7796</v>
      </c>
      <c r="AE677" s="80" t="str">
        <f>HYPERLINK("https://twitter.com/rio_bravo/status/1687186930213986304")</f>
        <v>https://twitter.com/rio_bravo/status/1687186930213986304</v>
      </c>
      <c r="AF677" s="79">
        <v>45141.820428240739</v>
      </c>
      <c r="AG677" s="85">
        <v>45141</v>
      </c>
      <c r="AH677" s="82" t="s">
        <v>8407</v>
      </c>
      <c r="AI677" s="77"/>
      <c r="AJ677" s="77"/>
      <c r="AK677" s="77"/>
      <c r="AL677" s="77"/>
      <c r="AM677" s="77"/>
      <c r="AN677" s="77"/>
      <c r="AO677" s="77"/>
      <c r="AP677" s="77"/>
      <c r="AQ677" s="77"/>
      <c r="AR677" s="77"/>
      <c r="AS677" s="77"/>
      <c r="AT677" s="77"/>
      <c r="AU677" s="77"/>
      <c r="AV677" s="80" t="str">
        <f>HYPERLINK("https://pbs.twimg.com/profile_images/1674890323326128128/SJXVp4hL_normal.jpg")</f>
        <v>https://pbs.twimg.com/profile_images/1674890323326128128/SJXVp4hL_normal.jpg</v>
      </c>
      <c r="AW677" s="82" t="s">
        <v>12375</v>
      </c>
      <c r="AX677" s="82" t="s">
        <v>15775</v>
      </c>
      <c r="AY677" s="82" t="s">
        <v>15937</v>
      </c>
      <c r="AZ677" s="82" t="s">
        <v>16008</v>
      </c>
      <c r="BA677" s="82" t="s">
        <v>15984</v>
      </c>
      <c r="BB677" s="82" t="s">
        <v>15984</v>
      </c>
      <c r="BC677" s="82" t="s">
        <v>16008</v>
      </c>
      <c r="BD677" s="77">
        <v>3687841756</v>
      </c>
      <c r="BE677" s="77"/>
      <c r="BF677" s="77"/>
      <c r="BG677" s="77"/>
      <c r="BH677" s="77"/>
      <c r="BI677" s="77"/>
    </row>
    <row r="678" spans="1:61" x14ac:dyDescent="0.25">
      <c r="A678" s="62" t="s">
        <v>438</v>
      </c>
      <c r="B678" s="62" t="s">
        <v>438</v>
      </c>
      <c r="C678" s="63"/>
      <c r="D678" s="64"/>
      <c r="E678" s="65"/>
      <c r="F678" s="66"/>
      <c r="G678" s="63"/>
      <c r="H678" s="67"/>
      <c r="I678" s="68"/>
      <c r="J678" s="68"/>
      <c r="K678" s="32"/>
      <c r="L678" s="75">
        <v>678</v>
      </c>
      <c r="M678" s="75"/>
      <c r="N678" s="70"/>
      <c r="O678" s="77" t="s">
        <v>898</v>
      </c>
      <c r="P678" s="79">
        <v>45134.850428240738</v>
      </c>
      <c r="Q678" s="77" t="s">
        <v>1540</v>
      </c>
      <c r="R678" s="77">
        <v>0</v>
      </c>
      <c r="S678" s="77">
        <v>0</v>
      </c>
      <c r="T678" s="77">
        <v>0</v>
      </c>
      <c r="U678" s="77">
        <v>0</v>
      </c>
      <c r="V678" s="77">
        <v>73</v>
      </c>
      <c r="W678" s="82" t="s">
        <v>5170</v>
      </c>
      <c r="X678" s="77"/>
      <c r="Y678" s="77"/>
      <c r="Z678" s="77"/>
      <c r="AA678" s="77"/>
      <c r="AB678" s="77"/>
      <c r="AC678" s="82" t="s">
        <v>7752</v>
      </c>
      <c r="AD678" s="77" t="s">
        <v>7796</v>
      </c>
      <c r="AE678" s="80" t="str">
        <f>HYPERLINK("https://twitter.com/rio_bravo/status/1684661089756184577")</f>
        <v>https://twitter.com/rio_bravo/status/1684661089756184577</v>
      </c>
      <c r="AF678" s="79">
        <v>45134.850428240738</v>
      </c>
      <c r="AG678" s="85">
        <v>45134</v>
      </c>
      <c r="AH678" s="82" t="s">
        <v>8408</v>
      </c>
      <c r="AI678" s="77"/>
      <c r="AJ678" s="77"/>
      <c r="AK678" s="77"/>
      <c r="AL678" s="77"/>
      <c r="AM678" s="77"/>
      <c r="AN678" s="77"/>
      <c r="AO678" s="77"/>
      <c r="AP678" s="77"/>
      <c r="AQ678" s="77"/>
      <c r="AR678" s="77"/>
      <c r="AS678" s="77"/>
      <c r="AT678" s="77"/>
      <c r="AU678" s="77"/>
      <c r="AV678" s="80" t="str">
        <f>HYPERLINK("https://pbs.twimg.com/profile_images/1674890323326128128/SJXVp4hL_normal.jpg")</f>
        <v>https://pbs.twimg.com/profile_images/1674890323326128128/SJXVp4hL_normal.jpg</v>
      </c>
      <c r="AW678" s="82" t="s">
        <v>12376</v>
      </c>
      <c r="AX678" s="82" t="s">
        <v>15776</v>
      </c>
      <c r="AY678" s="82" t="s">
        <v>15937</v>
      </c>
      <c r="AZ678" s="82" t="s">
        <v>16009</v>
      </c>
      <c r="BA678" s="82" t="s">
        <v>15984</v>
      </c>
      <c r="BB678" s="82" t="s">
        <v>15984</v>
      </c>
      <c r="BC678" s="82" t="s">
        <v>16009</v>
      </c>
      <c r="BD678" s="77">
        <v>3687841756</v>
      </c>
      <c r="BE678" s="77"/>
      <c r="BF678" s="77"/>
      <c r="BG678" s="77"/>
      <c r="BH678" s="77"/>
      <c r="BI678" s="77"/>
    </row>
    <row r="679" spans="1:61" x14ac:dyDescent="0.25">
      <c r="A679" s="62" t="s">
        <v>438</v>
      </c>
      <c r="B679" s="62" t="s">
        <v>438</v>
      </c>
      <c r="C679" s="63"/>
      <c r="D679" s="64"/>
      <c r="E679" s="65"/>
      <c r="F679" s="66"/>
      <c r="G679" s="63"/>
      <c r="H679" s="67"/>
      <c r="I679" s="68"/>
      <c r="J679" s="68"/>
      <c r="K679" s="32"/>
      <c r="L679" s="75">
        <v>679</v>
      </c>
      <c r="M679" s="75"/>
      <c r="N679" s="70"/>
      <c r="O679" s="77" t="s">
        <v>898</v>
      </c>
      <c r="P679" s="79">
        <v>45152.832141203704</v>
      </c>
      <c r="Q679" s="77" t="s">
        <v>1539</v>
      </c>
      <c r="R679" s="77">
        <v>0</v>
      </c>
      <c r="S679" s="77">
        <v>0</v>
      </c>
      <c r="T679" s="77">
        <v>0</v>
      </c>
      <c r="U679" s="77">
        <v>0</v>
      </c>
      <c r="V679" s="77">
        <v>45</v>
      </c>
      <c r="W679" s="82" t="s">
        <v>5169</v>
      </c>
      <c r="X679" s="77"/>
      <c r="Y679" s="77"/>
      <c r="Z679" s="77"/>
      <c r="AA679" s="77"/>
      <c r="AB679" s="77"/>
      <c r="AC679" s="82" t="s">
        <v>7752</v>
      </c>
      <c r="AD679" s="77" t="s">
        <v>7796</v>
      </c>
      <c r="AE679" s="80" t="str">
        <f>HYPERLINK("https://twitter.com/rio_bravo/status/1691177442201776130")</f>
        <v>https://twitter.com/rio_bravo/status/1691177442201776130</v>
      </c>
      <c r="AF679" s="79">
        <v>45152.832141203704</v>
      </c>
      <c r="AG679" s="85">
        <v>45152</v>
      </c>
      <c r="AH679" s="82" t="s">
        <v>8409</v>
      </c>
      <c r="AI679" s="77"/>
      <c r="AJ679" s="77"/>
      <c r="AK679" s="77"/>
      <c r="AL679" s="77"/>
      <c r="AM679" s="77"/>
      <c r="AN679" s="77"/>
      <c r="AO679" s="77"/>
      <c r="AP679" s="77"/>
      <c r="AQ679" s="77"/>
      <c r="AR679" s="77"/>
      <c r="AS679" s="77"/>
      <c r="AT679" s="77"/>
      <c r="AU679" s="77"/>
      <c r="AV679" s="80" t="str">
        <f>HYPERLINK("https://pbs.twimg.com/profile_images/1674890323326128128/SJXVp4hL_normal.jpg")</f>
        <v>https://pbs.twimg.com/profile_images/1674890323326128128/SJXVp4hL_normal.jpg</v>
      </c>
      <c r="AW679" s="82" t="s">
        <v>12377</v>
      </c>
      <c r="AX679" s="82" t="s">
        <v>15777</v>
      </c>
      <c r="AY679" s="82" t="s">
        <v>15937</v>
      </c>
      <c r="AZ679" s="82" t="s">
        <v>16010</v>
      </c>
      <c r="BA679" s="82" t="s">
        <v>15984</v>
      </c>
      <c r="BB679" s="82" t="s">
        <v>15984</v>
      </c>
      <c r="BC679" s="82" t="s">
        <v>16010</v>
      </c>
      <c r="BD679" s="77">
        <v>3687841756</v>
      </c>
      <c r="BE679" s="77"/>
      <c r="BF679" s="77"/>
      <c r="BG679" s="77"/>
      <c r="BH679" s="77"/>
      <c r="BI679" s="77"/>
    </row>
    <row r="680" spans="1:61" x14ac:dyDescent="0.25">
      <c r="A680" s="62" t="s">
        <v>438</v>
      </c>
      <c r="B680" s="62" t="s">
        <v>438</v>
      </c>
      <c r="C680" s="63"/>
      <c r="D680" s="64"/>
      <c r="E680" s="65"/>
      <c r="F680" s="66"/>
      <c r="G680" s="63"/>
      <c r="H680" s="67"/>
      <c r="I680" s="68"/>
      <c r="J680" s="68"/>
      <c r="K680" s="32"/>
      <c r="L680" s="75">
        <v>680</v>
      </c>
      <c r="M680" s="75"/>
      <c r="N680" s="70"/>
      <c r="O680" s="77" t="s">
        <v>898</v>
      </c>
      <c r="P680" s="79">
        <v>45159.798495370371</v>
      </c>
      <c r="Q680" s="77" t="s">
        <v>1539</v>
      </c>
      <c r="R680" s="77">
        <v>0</v>
      </c>
      <c r="S680" s="77">
        <v>0</v>
      </c>
      <c r="T680" s="77">
        <v>0</v>
      </c>
      <c r="U680" s="77">
        <v>0</v>
      </c>
      <c r="V680" s="77">
        <v>61</v>
      </c>
      <c r="W680" s="82" t="s">
        <v>5169</v>
      </c>
      <c r="X680" s="77"/>
      <c r="Y680" s="77"/>
      <c r="Z680" s="77"/>
      <c r="AA680" s="77"/>
      <c r="AB680" s="77"/>
      <c r="AC680" s="82" t="s">
        <v>7752</v>
      </c>
      <c r="AD680" s="77" t="s">
        <v>7796</v>
      </c>
      <c r="AE680" s="80" t="str">
        <f>HYPERLINK("https://twitter.com/rio_bravo/status/1693701965010661873")</f>
        <v>https://twitter.com/rio_bravo/status/1693701965010661873</v>
      </c>
      <c r="AF680" s="79">
        <v>45159.798495370371</v>
      </c>
      <c r="AG680" s="85">
        <v>45159</v>
      </c>
      <c r="AH680" s="82" t="s">
        <v>8410</v>
      </c>
      <c r="AI680" s="77"/>
      <c r="AJ680" s="77"/>
      <c r="AK680" s="77"/>
      <c r="AL680" s="77"/>
      <c r="AM680" s="77"/>
      <c r="AN680" s="77"/>
      <c r="AO680" s="77"/>
      <c r="AP680" s="77"/>
      <c r="AQ680" s="77"/>
      <c r="AR680" s="77"/>
      <c r="AS680" s="77"/>
      <c r="AT680" s="77"/>
      <c r="AU680" s="77"/>
      <c r="AV680" s="80" t="str">
        <f>HYPERLINK("https://pbs.twimg.com/profile_images/1674890323326128128/SJXVp4hL_normal.jpg")</f>
        <v>https://pbs.twimg.com/profile_images/1674890323326128128/SJXVp4hL_normal.jpg</v>
      </c>
      <c r="AW680" s="82" t="s">
        <v>12378</v>
      </c>
      <c r="AX680" s="82" t="s">
        <v>15778</v>
      </c>
      <c r="AY680" s="82" t="s">
        <v>15937</v>
      </c>
      <c r="AZ680" s="82" t="s">
        <v>16011</v>
      </c>
      <c r="BA680" s="82" t="s">
        <v>15984</v>
      </c>
      <c r="BB680" s="82" t="s">
        <v>15984</v>
      </c>
      <c r="BC680" s="82" t="s">
        <v>16011</v>
      </c>
      <c r="BD680" s="77">
        <v>3687841756</v>
      </c>
      <c r="BE680" s="77"/>
      <c r="BF680" s="77"/>
      <c r="BG680" s="77"/>
      <c r="BH680" s="77"/>
      <c r="BI680" s="77"/>
    </row>
    <row r="681" spans="1:61" x14ac:dyDescent="0.25">
      <c r="A681" s="62" t="s">
        <v>438</v>
      </c>
      <c r="B681" s="62" t="s">
        <v>438</v>
      </c>
      <c r="C681" s="63"/>
      <c r="D681" s="64"/>
      <c r="E681" s="65"/>
      <c r="F681" s="66"/>
      <c r="G681" s="63"/>
      <c r="H681" s="67"/>
      <c r="I681" s="68"/>
      <c r="J681" s="68"/>
      <c r="K681" s="32"/>
      <c r="L681" s="75">
        <v>681</v>
      </c>
      <c r="M681" s="75"/>
      <c r="N681" s="70"/>
      <c r="O681" s="77" t="s">
        <v>898</v>
      </c>
      <c r="P681" s="79">
        <v>45161.848263888889</v>
      </c>
      <c r="Q681" s="77" t="s">
        <v>1541</v>
      </c>
      <c r="R681" s="77">
        <v>0</v>
      </c>
      <c r="S681" s="77">
        <v>0</v>
      </c>
      <c r="T681" s="77">
        <v>0</v>
      </c>
      <c r="U681" s="77">
        <v>0</v>
      </c>
      <c r="V681" s="77">
        <v>61</v>
      </c>
      <c r="W681" s="82" t="s">
        <v>5171</v>
      </c>
      <c r="X681" s="77"/>
      <c r="Y681" s="77"/>
      <c r="Z681" s="77"/>
      <c r="AA681" s="77"/>
      <c r="AB681" s="77"/>
      <c r="AC681" s="82" t="s">
        <v>7752</v>
      </c>
      <c r="AD681" s="77" t="s">
        <v>7796</v>
      </c>
      <c r="AE681" s="80" t="str">
        <f>HYPERLINK("https://twitter.com/rio_bravo/status/1694444774441267630")</f>
        <v>https://twitter.com/rio_bravo/status/1694444774441267630</v>
      </c>
      <c r="AF681" s="79">
        <v>45161.848263888889</v>
      </c>
      <c r="AG681" s="85">
        <v>45161</v>
      </c>
      <c r="AH681" s="82" t="s">
        <v>8411</v>
      </c>
      <c r="AI681" s="77"/>
      <c r="AJ681" s="77"/>
      <c r="AK681" s="77"/>
      <c r="AL681" s="77"/>
      <c r="AM681" s="77"/>
      <c r="AN681" s="77"/>
      <c r="AO681" s="77"/>
      <c r="AP681" s="77"/>
      <c r="AQ681" s="77"/>
      <c r="AR681" s="77"/>
      <c r="AS681" s="77"/>
      <c r="AT681" s="77"/>
      <c r="AU681" s="77"/>
      <c r="AV681" s="80" t="str">
        <f>HYPERLINK("https://pbs.twimg.com/profile_images/1674890323326128128/SJXVp4hL_normal.jpg")</f>
        <v>https://pbs.twimg.com/profile_images/1674890323326128128/SJXVp4hL_normal.jpg</v>
      </c>
      <c r="AW681" s="82" t="s">
        <v>12379</v>
      </c>
      <c r="AX681" s="82" t="s">
        <v>15779</v>
      </c>
      <c r="AY681" s="82" t="s">
        <v>15937</v>
      </c>
      <c r="AZ681" s="82" t="s">
        <v>16012</v>
      </c>
      <c r="BA681" s="82" t="s">
        <v>15984</v>
      </c>
      <c r="BB681" s="82" t="s">
        <v>15984</v>
      </c>
      <c r="BC681" s="82" t="s">
        <v>16012</v>
      </c>
      <c r="BD681" s="77">
        <v>3687841756</v>
      </c>
      <c r="BE681" s="77"/>
      <c r="BF681" s="77"/>
      <c r="BG681" s="77"/>
      <c r="BH681" s="77"/>
      <c r="BI681" s="77"/>
    </row>
    <row r="682" spans="1:61" x14ac:dyDescent="0.25">
      <c r="A682" s="62" t="s">
        <v>438</v>
      </c>
      <c r="B682" s="62" t="s">
        <v>438</v>
      </c>
      <c r="C682" s="63"/>
      <c r="D682" s="64"/>
      <c r="E682" s="65"/>
      <c r="F682" s="66"/>
      <c r="G682" s="63"/>
      <c r="H682" s="67"/>
      <c r="I682" s="68"/>
      <c r="J682" s="68"/>
      <c r="K682" s="32"/>
      <c r="L682" s="75">
        <v>682</v>
      </c>
      <c r="M682" s="75"/>
      <c r="N682" s="70"/>
      <c r="O682" s="77" t="s">
        <v>898</v>
      </c>
      <c r="P682" s="79">
        <v>45166.90047453704</v>
      </c>
      <c r="Q682" s="77" t="s">
        <v>1541</v>
      </c>
      <c r="R682" s="77">
        <v>0</v>
      </c>
      <c r="S682" s="77">
        <v>0</v>
      </c>
      <c r="T682" s="77">
        <v>0</v>
      </c>
      <c r="U682" s="77">
        <v>0</v>
      </c>
      <c r="V682" s="77">
        <v>53</v>
      </c>
      <c r="W682" s="82" t="s">
        <v>5171</v>
      </c>
      <c r="X682" s="77"/>
      <c r="Y682" s="77"/>
      <c r="Z682" s="77"/>
      <c r="AA682" s="77"/>
      <c r="AB682" s="77"/>
      <c r="AC682" s="82" t="s">
        <v>7752</v>
      </c>
      <c r="AD682" s="77" t="s">
        <v>7796</v>
      </c>
      <c r="AE682" s="80" t="str">
        <f>HYPERLINK("https://twitter.com/rio_bravo/status/1696275635352588786")</f>
        <v>https://twitter.com/rio_bravo/status/1696275635352588786</v>
      </c>
      <c r="AF682" s="79">
        <v>45166.90047453704</v>
      </c>
      <c r="AG682" s="85">
        <v>45166</v>
      </c>
      <c r="AH682" s="82" t="s">
        <v>8412</v>
      </c>
      <c r="AI682" s="77"/>
      <c r="AJ682" s="77"/>
      <c r="AK682" s="77"/>
      <c r="AL682" s="77"/>
      <c r="AM682" s="77"/>
      <c r="AN682" s="77"/>
      <c r="AO682" s="77"/>
      <c r="AP682" s="77"/>
      <c r="AQ682" s="77"/>
      <c r="AR682" s="77"/>
      <c r="AS682" s="77"/>
      <c r="AT682" s="77"/>
      <c r="AU682" s="77"/>
      <c r="AV682" s="80" t="str">
        <f>HYPERLINK("https://pbs.twimg.com/profile_images/1674890323326128128/SJXVp4hL_normal.jpg")</f>
        <v>https://pbs.twimg.com/profile_images/1674890323326128128/SJXVp4hL_normal.jpg</v>
      </c>
      <c r="AW682" s="82" t="s">
        <v>12380</v>
      </c>
      <c r="AX682" s="82" t="s">
        <v>15780</v>
      </c>
      <c r="AY682" s="82" t="s">
        <v>15937</v>
      </c>
      <c r="AZ682" s="82" t="s">
        <v>16013</v>
      </c>
      <c r="BA682" s="82" t="s">
        <v>15984</v>
      </c>
      <c r="BB682" s="82" t="s">
        <v>15984</v>
      </c>
      <c r="BC682" s="82" t="s">
        <v>16013</v>
      </c>
      <c r="BD682" s="77">
        <v>3687841756</v>
      </c>
      <c r="BE682" s="77"/>
      <c r="BF682" s="77"/>
      <c r="BG682" s="77"/>
      <c r="BH682" s="77"/>
      <c r="BI682" s="77"/>
    </row>
    <row r="683" spans="1:61" x14ac:dyDescent="0.25">
      <c r="A683" s="62" t="s">
        <v>438</v>
      </c>
      <c r="B683" s="62" t="s">
        <v>438</v>
      </c>
      <c r="C683" s="63"/>
      <c r="D683" s="64"/>
      <c r="E683" s="65"/>
      <c r="F683" s="66"/>
      <c r="G683" s="63"/>
      <c r="H683" s="67"/>
      <c r="I683" s="68"/>
      <c r="J683" s="68"/>
      <c r="K683" s="32"/>
      <c r="L683" s="75">
        <v>683</v>
      </c>
      <c r="M683" s="75"/>
      <c r="N683" s="70"/>
      <c r="O683" s="77" t="s">
        <v>898</v>
      </c>
      <c r="P683" s="79">
        <v>45180.89739583333</v>
      </c>
      <c r="Q683" s="77" t="s">
        <v>1542</v>
      </c>
      <c r="R683" s="77">
        <v>0</v>
      </c>
      <c r="S683" s="77">
        <v>0</v>
      </c>
      <c r="T683" s="77">
        <v>0</v>
      </c>
      <c r="U683" s="77">
        <v>0</v>
      </c>
      <c r="V683" s="77">
        <v>70</v>
      </c>
      <c r="W683" s="82" t="s">
        <v>5172</v>
      </c>
      <c r="X683" s="77"/>
      <c r="Y683" s="77"/>
      <c r="Z683" s="77"/>
      <c r="AA683" s="77"/>
      <c r="AB683" s="77"/>
      <c r="AC683" s="82" t="s">
        <v>7752</v>
      </c>
      <c r="AD683" s="77" t="s">
        <v>7796</v>
      </c>
      <c r="AE683" s="80" t="str">
        <f>HYPERLINK("https://twitter.com/rio_bravo/status/1701347950503284896")</f>
        <v>https://twitter.com/rio_bravo/status/1701347950503284896</v>
      </c>
      <c r="AF683" s="79">
        <v>45180.89739583333</v>
      </c>
      <c r="AG683" s="85">
        <v>45180</v>
      </c>
      <c r="AH683" s="82" t="s">
        <v>8413</v>
      </c>
      <c r="AI683" s="77"/>
      <c r="AJ683" s="77"/>
      <c r="AK683" s="77"/>
      <c r="AL683" s="77"/>
      <c r="AM683" s="77"/>
      <c r="AN683" s="77"/>
      <c r="AO683" s="77"/>
      <c r="AP683" s="77"/>
      <c r="AQ683" s="77"/>
      <c r="AR683" s="77"/>
      <c r="AS683" s="77"/>
      <c r="AT683" s="77"/>
      <c r="AU683" s="77"/>
      <c r="AV683" s="80" t="str">
        <f>HYPERLINK("https://pbs.twimg.com/profile_images/1674890323326128128/SJXVp4hL_normal.jpg")</f>
        <v>https://pbs.twimg.com/profile_images/1674890323326128128/SJXVp4hL_normal.jpg</v>
      </c>
      <c r="AW683" s="82" t="s">
        <v>12381</v>
      </c>
      <c r="AX683" s="82" t="s">
        <v>15781</v>
      </c>
      <c r="AY683" s="82" t="s">
        <v>15937</v>
      </c>
      <c r="AZ683" s="82" t="s">
        <v>16014</v>
      </c>
      <c r="BA683" s="82" t="s">
        <v>15984</v>
      </c>
      <c r="BB683" s="82" t="s">
        <v>15984</v>
      </c>
      <c r="BC683" s="82" t="s">
        <v>16014</v>
      </c>
      <c r="BD683" s="77">
        <v>3687841756</v>
      </c>
      <c r="BE683" s="77"/>
      <c r="BF683" s="77"/>
      <c r="BG683" s="77"/>
      <c r="BH683" s="77"/>
      <c r="BI683" s="77"/>
    </row>
    <row r="684" spans="1:61" x14ac:dyDescent="0.25">
      <c r="A684" s="62" t="s">
        <v>438</v>
      </c>
      <c r="B684" s="62" t="s">
        <v>438</v>
      </c>
      <c r="C684" s="63"/>
      <c r="D684" s="64"/>
      <c r="E684" s="65"/>
      <c r="F684" s="66"/>
      <c r="G684" s="63"/>
      <c r="H684" s="67"/>
      <c r="I684" s="68"/>
      <c r="J684" s="68"/>
      <c r="K684" s="32"/>
      <c r="L684" s="75">
        <v>684</v>
      </c>
      <c r="M684" s="75"/>
      <c r="N684" s="70"/>
      <c r="O684" s="77" t="s">
        <v>898</v>
      </c>
      <c r="P684" s="79">
        <v>45154.866712962961</v>
      </c>
      <c r="Q684" s="77" t="s">
        <v>1539</v>
      </c>
      <c r="R684" s="77">
        <v>0</v>
      </c>
      <c r="S684" s="77">
        <v>0</v>
      </c>
      <c r="T684" s="77">
        <v>0</v>
      </c>
      <c r="U684" s="77">
        <v>0</v>
      </c>
      <c r="V684" s="77">
        <v>51</v>
      </c>
      <c r="W684" s="82" t="s">
        <v>5169</v>
      </c>
      <c r="X684" s="77"/>
      <c r="Y684" s="77"/>
      <c r="Z684" s="77"/>
      <c r="AA684" s="77"/>
      <c r="AB684" s="77"/>
      <c r="AC684" s="82" t="s">
        <v>7752</v>
      </c>
      <c r="AD684" s="77" t="s">
        <v>7796</v>
      </c>
      <c r="AE684" s="80" t="str">
        <f>HYPERLINK("https://twitter.com/rio_bravo/status/1691914747124551709")</f>
        <v>https://twitter.com/rio_bravo/status/1691914747124551709</v>
      </c>
      <c r="AF684" s="79">
        <v>45154.866712962961</v>
      </c>
      <c r="AG684" s="85">
        <v>45154</v>
      </c>
      <c r="AH684" s="82" t="s">
        <v>8414</v>
      </c>
      <c r="AI684" s="77"/>
      <c r="AJ684" s="77"/>
      <c r="AK684" s="77"/>
      <c r="AL684" s="77"/>
      <c r="AM684" s="77"/>
      <c r="AN684" s="77"/>
      <c r="AO684" s="77"/>
      <c r="AP684" s="77"/>
      <c r="AQ684" s="77"/>
      <c r="AR684" s="77"/>
      <c r="AS684" s="77"/>
      <c r="AT684" s="77"/>
      <c r="AU684" s="77"/>
      <c r="AV684" s="80" t="str">
        <f>HYPERLINK("https://pbs.twimg.com/profile_images/1674890323326128128/SJXVp4hL_normal.jpg")</f>
        <v>https://pbs.twimg.com/profile_images/1674890323326128128/SJXVp4hL_normal.jpg</v>
      </c>
      <c r="AW684" s="82" t="s">
        <v>12382</v>
      </c>
      <c r="AX684" s="82" t="s">
        <v>15782</v>
      </c>
      <c r="AY684" s="82" t="s">
        <v>15937</v>
      </c>
      <c r="AZ684" s="82" t="s">
        <v>16015</v>
      </c>
      <c r="BA684" s="82" t="s">
        <v>15984</v>
      </c>
      <c r="BB684" s="82" t="s">
        <v>15984</v>
      </c>
      <c r="BC684" s="82" t="s">
        <v>16015</v>
      </c>
      <c r="BD684" s="77">
        <v>3687841756</v>
      </c>
      <c r="BE684" s="77"/>
      <c r="BF684" s="77"/>
      <c r="BG684" s="77"/>
      <c r="BH684" s="77"/>
      <c r="BI684" s="77"/>
    </row>
    <row r="685" spans="1:61" x14ac:dyDescent="0.25">
      <c r="A685" s="62" t="s">
        <v>438</v>
      </c>
      <c r="B685" s="62" t="s">
        <v>438</v>
      </c>
      <c r="C685" s="63"/>
      <c r="D685" s="64"/>
      <c r="E685" s="65"/>
      <c r="F685" s="66"/>
      <c r="G685" s="63"/>
      <c r="H685" s="67"/>
      <c r="I685" s="68"/>
      <c r="J685" s="68"/>
      <c r="K685" s="32"/>
      <c r="L685" s="75">
        <v>685</v>
      </c>
      <c r="M685" s="75"/>
      <c r="N685" s="70"/>
      <c r="O685" s="77" t="s">
        <v>898</v>
      </c>
      <c r="P685" s="79">
        <v>45175.876909722225</v>
      </c>
      <c r="Q685" s="77" t="s">
        <v>1542</v>
      </c>
      <c r="R685" s="77">
        <v>0</v>
      </c>
      <c r="S685" s="77">
        <v>0</v>
      </c>
      <c r="T685" s="77">
        <v>0</v>
      </c>
      <c r="U685" s="77">
        <v>0</v>
      </c>
      <c r="V685" s="77">
        <v>55</v>
      </c>
      <c r="W685" s="82" t="s">
        <v>5172</v>
      </c>
      <c r="X685" s="77"/>
      <c r="Y685" s="77"/>
      <c r="Z685" s="77"/>
      <c r="AA685" s="77"/>
      <c r="AB685" s="77"/>
      <c r="AC685" s="82" t="s">
        <v>7752</v>
      </c>
      <c r="AD685" s="77" t="s">
        <v>7796</v>
      </c>
      <c r="AE685" s="80" t="str">
        <f>HYPERLINK("https://twitter.com/rio_bravo/status/1699528587655672048")</f>
        <v>https://twitter.com/rio_bravo/status/1699528587655672048</v>
      </c>
      <c r="AF685" s="79">
        <v>45175.876909722225</v>
      </c>
      <c r="AG685" s="85">
        <v>45175</v>
      </c>
      <c r="AH685" s="82" t="s">
        <v>8415</v>
      </c>
      <c r="AI685" s="77"/>
      <c r="AJ685" s="77"/>
      <c r="AK685" s="77"/>
      <c r="AL685" s="77"/>
      <c r="AM685" s="77"/>
      <c r="AN685" s="77"/>
      <c r="AO685" s="77"/>
      <c r="AP685" s="77"/>
      <c r="AQ685" s="77"/>
      <c r="AR685" s="77"/>
      <c r="AS685" s="77"/>
      <c r="AT685" s="77"/>
      <c r="AU685" s="77"/>
      <c r="AV685" s="80" t="str">
        <f>HYPERLINK("https://pbs.twimg.com/profile_images/1674890323326128128/SJXVp4hL_normal.jpg")</f>
        <v>https://pbs.twimg.com/profile_images/1674890323326128128/SJXVp4hL_normal.jpg</v>
      </c>
      <c r="AW685" s="82" t="s">
        <v>12383</v>
      </c>
      <c r="AX685" s="82" t="s">
        <v>15783</v>
      </c>
      <c r="AY685" s="82" t="s">
        <v>15937</v>
      </c>
      <c r="AZ685" s="82" t="s">
        <v>16016</v>
      </c>
      <c r="BA685" s="82" t="s">
        <v>15984</v>
      </c>
      <c r="BB685" s="82" t="s">
        <v>15984</v>
      </c>
      <c r="BC685" s="82" t="s">
        <v>16016</v>
      </c>
      <c r="BD685" s="77">
        <v>3687841756</v>
      </c>
      <c r="BE685" s="77"/>
      <c r="BF685" s="77"/>
      <c r="BG685" s="77"/>
      <c r="BH685" s="77"/>
      <c r="BI685" s="77"/>
    </row>
    <row r="686" spans="1:61" x14ac:dyDescent="0.25">
      <c r="A686" s="62" t="s">
        <v>438</v>
      </c>
      <c r="B686" s="62" t="s">
        <v>438</v>
      </c>
      <c r="C686" s="63"/>
      <c r="D686" s="64"/>
      <c r="E686" s="65"/>
      <c r="F686" s="66"/>
      <c r="G686" s="63"/>
      <c r="H686" s="67"/>
      <c r="I686" s="68"/>
      <c r="J686" s="68"/>
      <c r="K686" s="32"/>
      <c r="L686" s="75">
        <v>686</v>
      </c>
      <c r="M686" s="75"/>
      <c r="N686" s="70"/>
      <c r="O686" s="77" t="s">
        <v>898</v>
      </c>
      <c r="P686" s="79">
        <v>45173.851574074077</v>
      </c>
      <c r="Q686" s="77" t="s">
        <v>1542</v>
      </c>
      <c r="R686" s="77">
        <v>0</v>
      </c>
      <c r="S686" s="77">
        <v>0</v>
      </c>
      <c r="T686" s="77">
        <v>0</v>
      </c>
      <c r="U686" s="77">
        <v>0</v>
      </c>
      <c r="V686" s="77">
        <v>68</v>
      </c>
      <c r="W686" s="82" t="s">
        <v>5172</v>
      </c>
      <c r="X686" s="77"/>
      <c r="Y686" s="77"/>
      <c r="Z686" s="77"/>
      <c r="AA686" s="77"/>
      <c r="AB686" s="77"/>
      <c r="AC686" s="82" t="s">
        <v>7752</v>
      </c>
      <c r="AD686" s="77" t="s">
        <v>7796</v>
      </c>
      <c r="AE686" s="80" t="str">
        <f>HYPERLINK("https://twitter.com/rio_bravo/status/1698794630966391208")</f>
        <v>https://twitter.com/rio_bravo/status/1698794630966391208</v>
      </c>
      <c r="AF686" s="79">
        <v>45173.851574074077</v>
      </c>
      <c r="AG686" s="85">
        <v>45173</v>
      </c>
      <c r="AH686" s="82" t="s">
        <v>8416</v>
      </c>
      <c r="AI686" s="77"/>
      <c r="AJ686" s="77"/>
      <c r="AK686" s="77"/>
      <c r="AL686" s="77"/>
      <c r="AM686" s="77"/>
      <c r="AN686" s="77"/>
      <c r="AO686" s="77"/>
      <c r="AP686" s="77"/>
      <c r="AQ686" s="77"/>
      <c r="AR686" s="77"/>
      <c r="AS686" s="77"/>
      <c r="AT686" s="77"/>
      <c r="AU686" s="77"/>
      <c r="AV686" s="80" t="str">
        <f>HYPERLINK("https://pbs.twimg.com/profile_images/1674890323326128128/SJXVp4hL_normal.jpg")</f>
        <v>https://pbs.twimg.com/profile_images/1674890323326128128/SJXVp4hL_normal.jpg</v>
      </c>
      <c r="AW686" s="82" t="s">
        <v>12384</v>
      </c>
      <c r="AX686" s="82" t="s">
        <v>15784</v>
      </c>
      <c r="AY686" s="82" t="s">
        <v>15937</v>
      </c>
      <c r="AZ686" s="82" t="s">
        <v>16017</v>
      </c>
      <c r="BA686" s="82" t="s">
        <v>15984</v>
      </c>
      <c r="BB686" s="82" t="s">
        <v>15984</v>
      </c>
      <c r="BC686" s="82" t="s">
        <v>16017</v>
      </c>
      <c r="BD686" s="77">
        <v>3687841756</v>
      </c>
      <c r="BE686" s="77"/>
      <c r="BF686" s="77"/>
      <c r="BG686" s="77"/>
      <c r="BH686" s="77"/>
      <c r="BI686" s="77"/>
    </row>
    <row r="687" spans="1:61" x14ac:dyDescent="0.25">
      <c r="A687" s="62" t="s">
        <v>439</v>
      </c>
      <c r="B687" s="62" t="s">
        <v>447</v>
      </c>
      <c r="C687" s="63"/>
      <c r="D687" s="64"/>
      <c r="E687" s="65"/>
      <c r="F687" s="66"/>
      <c r="G687" s="63"/>
      <c r="H687" s="67"/>
      <c r="I687" s="68"/>
      <c r="J687" s="68"/>
      <c r="K687" s="32"/>
      <c r="L687" s="75">
        <v>687</v>
      </c>
      <c r="M687" s="75"/>
      <c r="N687" s="70"/>
      <c r="O687" s="77" t="s">
        <v>896</v>
      </c>
      <c r="P687" s="79">
        <v>45119.738113425927</v>
      </c>
      <c r="Q687" s="77" t="s">
        <v>1543</v>
      </c>
      <c r="R687" s="77">
        <v>0</v>
      </c>
      <c r="S687" s="77">
        <v>1</v>
      </c>
      <c r="T687" s="77">
        <v>1</v>
      </c>
      <c r="U687" s="77">
        <v>0</v>
      </c>
      <c r="V687" s="77">
        <v>132</v>
      </c>
      <c r="W687" s="82" t="s">
        <v>5173</v>
      </c>
      <c r="X687" s="77"/>
      <c r="Y687" s="77"/>
      <c r="Z687" s="77"/>
      <c r="AA687" s="77" t="s">
        <v>7041</v>
      </c>
      <c r="AB687" s="77" t="s">
        <v>7747</v>
      </c>
      <c r="AC687" s="82" t="s">
        <v>7751</v>
      </c>
      <c r="AD687" s="77" t="s">
        <v>7790</v>
      </c>
      <c r="AE687" s="80" t="str">
        <f>HYPERLINK("https://twitter.com/zro_zone/status/1679184569394941952")</f>
        <v>https://twitter.com/zro_zone/status/1679184569394941952</v>
      </c>
      <c r="AF687" s="79">
        <v>45119.738113425927</v>
      </c>
      <c r="AG687" s="85">
        <v>45119</v>
      </c>
      <c r="AH687" s="82" t="s">
        <v>7821</v>
      </c>
      <c r="AI687" s="77" t="b">
        <v>0</v>
      </c>
      <c r="AJ687" s="77"/>
      <c r="AK687" s="77"/>
      <c r="AL687" s="77"/>
      <c r="AM687" s="77"/>
      <c r="AN687" s="77"/>
      <c r="AO687" s="77"/>
      <c r="AP687" s="77"/>
      <c r="AQ687" s="77" t="s">
        <v>11013</v>
      </c>
      <c r="AR687" s="77"/>
      <c r="AS687" s="77"/>
      <c r="AT687" s="77"/>
      <c r="AU687" s="77"/>
      <c r="AV687" s="80" t="str">
        <f>HYPERLINK("https://pbs.twimg.com/media/F02pdlcacAA-s1_.jpg")</f>
        <v>https://pbs.twimg.com/media/F02pdlcacAA-s1_.jpg</v>
      </c>
      <c r="AW687" s="82" t="s">
        <v>12385</v>
      </c>
      <c r="AX687" s="82" t="s">
        <v>12385</v>
      </c>
      <c r="AY687" s="77"/>
      <c r="AZ687" s="82" t="s">
        <v>15984</v>
      </c>
      <c r="BA687" s="82" t="s">
        <v>12402</v>
      </c>
      <c r="BB687" s="82" t="s">
        <v>15984</v>
      </c>
      <c r="BC687" s="82" t="s">
        <v>12402</v>
      </c>
      <c r="BD687" s="82" t="s">
        <v>16233</v>
      </c>
      <c r="BE687" s="77"/>
      <c r="BF687" s="77"/>
      <c r="BG687" s="77"/>
      <c r="BH687" s="77"/>
      <c r="BI687" s="77"/>
    </row>
    <row r="688" spans="1:61" x14ac:dyDescent="0.25">
      <c r="A688" s="62" t="s">
        <v>440</v>
      </c>
      <c r="B688" s="62" t="s">
        <v>786</v>
      </c>
      <c r="C688" s="63"/>
      <c r="D688" s="64"/>
      <c r="E688" s="65"/>
      <c r="F688" s="66"/>
      <c r="G688" s="63"/>
      <c r="H688" s="67"/>
      <c r="I688" s="68"/>
      <c r="J688" s="68"/>
      <c r="K688" s="32"/>
      <c r="L688" s="75">
        <v>688</v>
      </c>
      <c r="M688" s="75"/>
      <c r="N688" s="70"/>
      <c r="O688" s="77" t="s">
        <v>895</v>
      </c>
      <c r="P688" s="79">
        <v>45118.786840277775</v>
      </c>
      <c r="Q688" s="77" t="s">
        <v>1544</v>
      </c>
      <c r="R688" s="77">
        <v>0</v>
      </c>
      <c r="S688" s="77">
        <v>2</v>
      </c>
      <c r="T688" s="77">
        <v>0</v>
      </c>
      <c r="U688" s="77">
        <v>0</v>
      </c>
      <c r="V688" s="77">
        <v>39</v>
      </c>
      <c r="W688" s="82" t="s">
        <v>5174</v>
      </c>
      <c r="X688" s="80" t="str">
        <f>HYPERLINK("https://bit.ly/3PSWxE3")</f>
        <v>https://bit.ly/3PSWxE3</v>
      </c>
      <c r="Y688" s="77" t="s">
        <v>6468</v>
      </c>
      <c r="Z688" s="77" t="s">
        <v>786</v>
      </c>
      <c r="AA688" s="77"/>
      <c r="AB688" s="77"/>
      <c r="AC688" s="82" t="s">
        <v>7750</v>
      </c>
      <c r="AD688" s="77" t="s">
        <v>7788</v>
      </c>
      <c r="AE688" s="80" t="str">
        <f>HYPERLINK("https://twitter.com/klaadvogados/status/1678839838009704448")</f>
        <v>https://twitter.com/klaadvogados/status/1678839838009704448</v>
      </c>
      <c r="AF688" s="79">
        <v>45118.786840277775</v>
      </c>
      <c r="AG688" s="85">
        <v>45118</v>
      </c>
      <c r="AH688" s="82" t="s">
        <v>8417</v>
      </c>
      <c r="AI688" s="77" t="b">
        <v>0</v>
      </c>
      <c r="AJ688" s="77"/>
      <c r="AK688" s="77"/>
      <c r="AL688" s="77"/>
      <c r="AM688" s="77"/>
      <c r="AN688" s="77"/>
      <c r="AO688" s="77"/>
      <c r="AP688" s="77"/>
      <c r="AQ688" s="77"/>
      <c r="AR688" s="77"/>
      <c r="AS688" s="77"/>
      <c r="AT688" s="77"/>
      <c r="AU688" s="77"/>
      <c r="AV688" s="80" t="str">
        <f>HYPERLINK("https://pbs.twimg.com/profile_images/1646283062597099520/0qKoMtic_normal.jpg")</f>
        <v>https://pbs.twimg.com/profile_images/1646283062597099520/0qKoMtic_normal.jpg</v>
      </c>
      <c r="AW688" s="82" t="s">
        <v>12386</v>
      </c>
      <c r="AX688" s="82" t="s">
        <v>12386</v>
      </c>
      <c r="AY688" s="77"/>
      <c r="AZ688" s="82" t="s">
        <v>15984</v>
      </c>
      <c r="BA688" s="82" t="s">
        <v>15984</v>
      </c>
      <c r="BB688" s="82" t="s">
        <v>15984</v>
      </c>
      <c r="BC688" s="82" t="s">
        <v>12386</v>
      </c>
      <c r="BD688" s="82" t="s">
        <v>16234</v>
      </c>
      <c r="BE688" s="77"/>
      <c r="BF688" s="77"/>
      <c r="BG688" s="77"/>
      <c r="BH688" s="77"/>
      <c r="BI688" s="77"/>
    </row>
    <row r="689" spans="1:61" x14ac:dyDescent="0.25">
      <c r="A689" s="62" t="s">
        <v>440</v>
      </c>
      <c r="B689" s="62" t="s">
        <v>787</v>
      </c>
      <c r="C689" s="63"/>
      <c r="D689" s="64"/>
      <c r="E689" s="65"/>
      <c r="F689" s="66"/>
      <c r="G689" s="63"/>
      <c r="H689" s="67"/>
      <c r="I689" s="68"/>
      <c r="J689" s="68"/>
      <c r="K689" s="32"/>
      <c r="L689" s="75">
        <v>689</v>
      </c>
      <c r="M689" s="75"/>
      <c r="N689" s="70"/>
      <c r="O689" s="77" t="s">
        <v>895</v>
      </c>
      <c r="P689" s="79">
        <v>45163.581712962965</v>
      </c>
      <c r="Q689" s="77" t="s">
        <v>1545</v>
      </c>
      <c r="R689" s="77">
        <v>0</v>
      </c>
      <c r="S689" s="77">
        <v>2</v>
      </c>
      <c r="T689" s="77">
        <v>0</v>
      </c>
      <c r="U689" s="77">
        <v>0</v>
      </c>
      <c r="V689" s="77">
        <v>159</v>
      </c>
      <c r="W689" s="82" t="s">
        <v>5175</v>
      </c>
      <c r="X689" s="80" t="str">
        <f>HYPERLINK("https://bit.ly/45K1h3C")</f>
        <v>https://bit.ly/45K1h3C</v>
      </c>
      <c r="Y689" s="77" t="s">
        <v>6468</v>
      </c>
      <c r="Z689" s="77" t="s">
        <v>787</v>
      </c>
      <c r="AA689" s="77"/>
      <c r="AB689" s="77"/>
      <c r="AC689" s="82" t="s">
        <v>7750</v>
      </c>
      <c r="AD689" s="77" t="s">
        <v>7788</v>
      </c>
      <c r="AE689" s="80" t="str">
        <f>HYPERLINK("https://twitter.com/klaadvogados/status/1695072956198551634")</f>
        <v>https://twitter.com/klaadvogados/status/1695072956198551634</v>
      </c>
      <c r="AF689" s="79">
        <v>45163.581712962965</v>
      </c>
      <c r="AG689" s="85">
        <v>45163</v>
      </c>
      <c r="AH689" s="82" t="s">
        <v>8418</v>
      </c>
      <c r="AI689" s="77" t="b">
        <v>0</v>
      </c>
      <c r="AJ689" s="77"/>
      <c r="AK689" s="77"/>
      <c r="AL689" s="77"/>
      <c r="AM689" s="77"/>
      <c r="AN689" s="77"/>
      <c r="AO689" s="77"/>
      <c r="AP689" s="77"/>
      <c r="AQ689" s="77"/>
      <c r="AR689" s="77"/>
      <c r="AS689" s="77"/>
      <c r="AT689" s="77"/>
      <c r="AU689" s="77"/>
      <c r="AV689" s="80" t="str">
        <f>HYPERLINK("https://pbs.twimg.com/profile_images/1646283062597099520/0qKoMtic_normal.jpg")</f>
        <v>https://pbs.twimg.com/profile_images/1646283062597099520/0qKoMtic_normal.jpg</v>
      </c>
      <c r="AW689" s="82" t="s">
        <v>12387</v>
      </c>
      <c r="AX689" s="82" t="s">
        <v>12387</v>
      </c>
      <c r="AY689" s="77"/>
      <c r="AZ689" s="82" t="s">
        <v>15984</v>
      </c>
      <c r="BA689" s="82" t="s">
        <v>15984</v>
      </c>
      <c r="BB689" s="82" t="s">
        <v>15984</v>
      </c>
      <c r="BC689" s="82" t="s">
        <v>12387</v>
      </c>
      <c r="BD689" s="82" t="s">
        <v>16234</v>
      </c>
      <c r="BE689" s="77"/>
      <c r="BF689" s="77"/>
      <c r="BG689" s="77"/>
      <c r="BH689" s="77"/>
      <c r="BI689" s="77"/>
    </row>
    <row r="690" spans="1:61" x14ac:dyDescent="0.25">
      <c r="A690" s="62" t="s">
        <v>441</v>
      </c>
      <c r="B690" s="62" t="s">
        <v>441</v>
      </c>
      <c r="C690" s="63"/>
      <c r="D690" s="64"/>
      <c r="E690" s="65"/>
      <c r="F690" s="66"/>
      <c r="G690" s="63"/>
      <c r="H690" s="67"/>
      <c r="I690" s="68"/>
      <c r="J690" s="68"/>
      <c r="K690" s="32"/>
      <c r="L690" s="75">
        <v>690</v>
      </c>
      <c r="M690" s="75"/>
      <c r="N690" s="70"/>
      <c r="O690" s="77" t="s">
        <v>179</v>
      </c>
      <c r="P690" s="79">
        <v>45118.625601851854</v>
      </c>
      <c r="Q690" s="77" t="s">
        <v>1546</v>
      </c>
      <c r="R690" s="77">
        <v>8</v>
      </c>
      <c r="S690" s="77">
        <v>7</v>
      </c>
      <c r="T690" s="77">
        <v>0</v>
      </c>
      <c r="U690" s="77">
        <v>0</v>
      </c>
      <c r="V690" s="77">
        <v>66</v>
      </c>
      <c r="W690" s="82" t="s">
        <v>5176</v>
      </c>
      <c r="X690" s="77"/>
      <c r="Y690" s="77"/>
      <c r="Z690" s="77"/>
      <c r="AA690" s="77"/>
      <c r="AB690" s="77"/>
      <c r="AC690" s="82" t="s">
        <v>7750</v>
      </c>
      <c r="AD690" s="77" t="s">
        <v>7789</v>
      </c>
      <c r="AE690" s="80" t="str">
        <f>HYPERLINK("https://twitter.com/jaym_willy/status/1678781406535913481")</f>
        <v>https://twitter.com/jaym_willy/status/1678781406535913481</v>
      </c>
      <c r="AF690" s="79">
        <v>45118.625601851854</v>
      </c>
      <c r="AG690" s="85">
        <v>45118</v>
      </c>
      <c r="AH690" s="82" t="s">
        <v>8419</v>
      </c>
      <c r="AI690" s="77"/>
      <c r="AJ690" s="77"/>
      <c r="AK690" s="77"/>
      <c r="AL690" s="77"/>
      <c r="AM690" s="77"/>
      <c r="AN690" s="77"/>
      <c r="AO690" s="77"/>
      <c r="AP690" s="77"/>
      <c r="AQ690" s="77"/>
      <c r="AR690" s="77"/>
      <c r="AS690" s="77"/>
      <c r="AT690" s="77"/>
      <c r="AU690" s="77"/>
      <c r="AV690" s="80" t="str">
        <f>HYPERLINK("https://pbs.twimg.com/profile_images/1571831398645768197/5rnW9JoS_normal.jpg")</f>
        <v>https://pbs.twimg.com/profile_images/1571831398645768197/5rnW9JoS_normal.jpg</v>
      </c>
      <c r="AW690" s="82" t="s">
        <v>12388</v>
      </c>
      <c r="AX690" s="82" t="s">
        <v>12388</v>
      </c>
      <c r="AY690" s="77"/>
      <c r="AZ690" s="82" t="s">
        <v>15984</v>
      </c>
      <c r="BA690" s="82" t="s">
        <v>15984</v>
      </c>
      <c r="BB690" s="82" t="s">
        <v>15984</v>
      </c>
      <c r="BC690" s="82" t="s">
        <v>12388</v>
      </c>
      <c r="BD690" s="82" t="s">
        <v>16235</v>
      </c>
      <c r="BE690" s="77"/>
      <c r="BF690" s="77"/>
      <c r="BG690" s="77"/>
      <c r="BH690" s="77"/>
      <c r="BI690" s="77"/>
    </row>
    <row r="691" spans="1:61" x14ac:dyDescent="0.25">
      <c r="A691" s="62" t="s">
        <v>442</v>
      </c>
      <c r="B691" s="62" t="s">
        <v>441</v>
      </c>
      <c r="C691" s="63"/>
      <c r="D691" s="64"/>
      <c r="E691" s="65"/>
      <c r="F691" s="66"/>
      <c r="G691" s="63"/>
      <c r="H691" s="67"/>
      <c r="I691" s="68"/>
      <c r="J691" s="68"/>
      <c r="K691" s="32"/>
      <c r="L691" s="75">
        <v>691</v>
      </c>
      <c r="M691" s="75"/>
      <c r="N691" s="70"/>
      <c r="O691" s="77" t="s">
        <v>901</v>
      </c>
      <c r="P691" s="79">
        <v>45118.755347222221</v>
      </c>
      <c r="Q691" s="77" t="s">
        <v>1547</v>
      </c>
      <c r="R691" s="77">
        <v>9</v>
      </c>
      <c r="S691" s="77">
        <v>7</v>
      </c>
      <c r="T691" s="77">
        <v>0</v>
      </c>
      <c r="U691" s="77">
        <v>2</v>
      </c>
      <c r="V691" s="77">
        <v>87</v>
      </c>
      <c r="W691" s="82" t="s">
        <v>5177</v>
      </c>
      <c r="X691" s="77"/>
      <c r="Y691" s="77"/>
      <c r="Z691" s="77" t="s">
        <v>6570</v>
      </c>
      <c r="AA691" s="77" t="s">
        <v>7042</v>
      </c>
      <c r="AB691" s="77" t="s">
        <v>7742</v>
      </c>
      <c r="AC691" s="82" t="s">
        <v>7750</v>
      </c>
      <c r="AD691" s="77" t="s">
        <v>7789</v>
      </c>
      <c r="AE691" s="80" t="str">
        <f>HYPERLINK("https://twitter.com/dawanhutt/status/1678828423936917505")</f>
        <v>https://twitter.com/dawanhutt/status/1678828423936917505</v>
      </c>
      <c r="AF691" s="79">
        <v>45118.755347222221</v>
      </c>
      <c r="AG691" s="85">
        <v>45118</v>
      </c>
      <c r="AH691" s="82" t="s">
        <v>8420</v>
      </c>
      <c r="AI691" s="77" t="b">
        <v>0</v>
      </c>
      <c r="AJ691" s="77"/>
      <c r="AK691" s="77"/>
      <c r="AL691" s="77"/>
      <c r="AM691" s="77"/>
      <c r="AN691" s="77"/>
      <c r="AO691" s="77"/>
      <c r="AP691" s="77"/>
      <c r="AQ691" s="77" t="s">
        <v>11014</v>
      </c>
      <c r="AR691" s="77"/>
      <c r="AS691" s="77"/>
      <c r="AT691" s="77"/>
      <c r="AU691" s="77"/>
      <c r="AV691" s="80" t="str">
        <f>HYPERLINK("https://pbs.twimg.com/media/F0xliqWWcCEM8Nt.jpg")</f>
        <v>https://pbs.twimg.com/media/F0xliqWWcCEM8Nt.jpg</v>
      </c>
      <c r="AW691" s="82" t="s">
        <v>12389</v>
      </c>
      <c r="AX691" s="82" t="s">
        <v>15785</v>
      </c>
      <c r="AY691" s="82" t="s">
        <v>15938</v>
      </c>
      <c r="AZ691" s="82" t="s">
        <v>16018</v>
      </c>
      <c r="BA691" s="82" t="s">
        <v>15984</v>
      </c>
      <c r="BB691" s="82" t="s">
        <v>15984</v>
      </c>
      <c r="BC691" s="82" t="s">
        <v>16018</v>
      </c>
      <c r="BD691" s="82" t="s">
        <v>15955</v>
      </c>
      <c r="BE691" s="77"/>
      <c r="BF691" s="77"/>
      <c r="BG691" s="77"/>
      <c r="BH691" s="77"/>
      <c r="BI691" s="77"/>
    </row>
    <row r="692" spans="1:61" x14ac:dyDescent="0.25">
      <c r="A692" s="62" t="s">
        <v>442</v>
      </c>
      <c r="B692" s="62" t="s">
        <v>788</v>
      </c>
      <c r="C692" s="63"/>
      <c r="D692" s="64"/>
      <c r="E692" s="65"/>
      <c r="F692" s="66"/>
      <c r="G692" s="63"/>
      <c r="H692" s="67"/>
      <c r="I692" s="68"/>
      <c r="J692" s="68"/>
      <c r="K692" s="32"/>
      <c r="L692" s="75">
        <v>692</v>
      </c>
      <c r="M692" s="75"/>
      <c r="N692" s="70"/>
      <c r="O692" s="77" t="s">
        <v>898</v>
      </c>
      <c r="P692" s="79">
        <v>45118.626435185186</v>
      </c>
      <c r="Q692" s="77" t="s">
        <v>1548</v>
      </c>
      <c r="R692" s="77">
        <v>9</v>
      </c>
      <c r="S692" s="77">
        <v>8</v>
      </c>
      <c r="T692" s="77">
        <v>2</v>
      </c>
      <c r="U692" s="77">
        <v>1</v>
      </c>
      <c r="V692" s="77">
        <v>112</v>
      </c>
      <c r="W692" s="82" t="s">
        <v>5178</v>
      </c>
      <c r="X692" s="77"/>
      <c r="Y692" s="77"/>
      <c r="Z692" s="77" t="s">
        <v>788</v>
      </c>
      <c r="AA692" s="77" t="s">
        <v>7043</v>
      </c>
      <c r="AB692" s="77" t="s">
        <v>7742</v>
      </c>
      <c r="AC692" s="82" t="s">
        <v>7750</v>
      </c>
      <c r="AD692" s="77" t="s">
        <v>7789</v>
      </c>
      <c r="AE692" s="80" t="str">
        <f>HYPERLINK("https://twitter.com/dawanhutt/status/1678781711537311745")</f>
        <v>https://twitter.com/dawanhutt/status/1678781711537311745</v>
      </c>
      <c r="AF692" s="79">
        <v>45118.626435185186</v>
      </c>
      <c r="AG692" s="85">
        <v>45118</v>
      </c>
      <c r="AH692" s="82" t="s">
        <v>8421</v>
      </c>
      <c r="AI692" s="77" t="b">
        <v>0</v>
      </c>
      <c r="AJ692" s="77"/>
      <c r="AK692" s="77"/>
      <c r="AL692" s="77"/>
      <c r="AM692" s="77"/>
      <c r="AN692" s="77"/>
      <c r="AO692" s="77"/>
      <c r="AP692" s="77"/>
      <c r="AQ692" s="77" t="s">
        <v>11015</v>
      </c>
      <c r="AR692" s="77"/>
      <c r="AS692" s="77"/>
      <c r="AT692" s="77"/>
      <c r="AU692" s="77"/>
      <c r="AV692" s="80" t="str">
        <f>HYPERLINK("https://pbs.twimg.com/media/F0w7D9JaAAMn9XJ.jpg")</f>
        <v>https://pbs.twimg.com/media/F0w7D9JaAAMn9XJ.jpg</v>
      </c>
      <c r="AW692" s="82" t="s">
        <v>12390</v>
      </c>
      <c r="AX692" s="82" t="s">
        <v>15786</v>
      </c>
      <c r="AY692" s="82" t="s">
        <v>15939</v>
      </c>
      <c r="AZ692" s="82" t="s">
        <v>15786</v>
      </c>
      <c r="BA692" s="82" t="s">
        <v>15984</v>
      </c>
      <c r="BB692" s="82" t="s">
        <v>15984</v>
      </c>
      <c r="BC692" s="82" t="s">
        <v>15786</v>
      </c>
      <c r="BD692" s="82" t="s">
        <v>15955</v>
      </c>
      <c r="BE692" s="77"/>
      <c r="BF692" s="77"/>
      <c r="BG692" s="77"/>
      <c r="BH692" s="77"/>
      <c r="BI692" s="77"/>
    </row>
    <row r="693" spans="1:61" x14ac:dyDescent="0.25">
      <c r="A693" s="62" t="s">
        <v>442</v>
      </c>
      <c r="B693" s="62" t="s">
        <v>789</v>
      </c>
      <c r="C693" s="63"/>
      <c r="D693" s="64"/>
      <c r="E693" s="65"/>
      <c r="F693" s="66"/>
      <c r="G693" s="63"/>
      <c r="H693" s="67"/>
      <c r="I693" s="68"/>
      <c r="J693" s="68"/>
      <c r="K693" s="32"/>
      <c r="L693" s="75">
        <v>693</v>
      </c>
      <c r="M693" s="75"/>
      <c r="N693" s="70"/>
      <c r="O693" s="77" t="s">
        <v>898</v>
      </c>
      <c r="P693" s="79">
        <v>45118.623368055552</v>
      </c>
      <c r="Q693" s="77" t="s">
        <v>1549</v>
      </c>
      <c r="R693" s="77">
        <v>8</v>
      </c>
      <c r="S693" s="77">
        <v>3</v>
      </c>
      <c r="T693" s="77">
        <v>0</v>
      </c>
      <c r="U693" s="77">
        <v>0</v>
      </c>
      <c r="V693" s="77">
        <v>18</v>
      </c>
      <c r="W693" s="82" t="s">
        <v>5179</v>
      </c>
      <c r="X693" s="77"/>
      <c r="Y693" s="77"/>
      <c r="Z693" s="77" t="s">
        <v>789</v>
      </c>
      <c r="AA693" s="77"/>
      <c r="AB693" s="77"/>
      <c r="AC693" s="82" t="s">
        <v>7750</v>
      </c>
      <c r="AD693" s="77" t="s">
        <v>7789</v>
      </c>
      <c r="AE693" s="80" t="str">
        <f>HYPERLINK("https://twitter.com/dawanhutt/status/1678780600176742400")</f>
        <v>https://twitter.com/dawanhutt/status/1678780600176742400</v>
      </c>
      <c r="AF693" s="79">
        <v>45118.623368055552</v>
      </c>
      <c r="AG693" s="85">
        <v>45118</v>
      </c>
      <c r="AH693" s="82" t="s">
        <v>8422</v>
      </c>
      <c r="AI693" s="77"/>
      <c r="AJ693" s="77"/>
      <c r="AK693" s="77"/>
      <c r="AL693" s="77"/>
      <c r="AM693" s="77"/>
      <c r="AN693" s="77"/>
      <c r="AO693" s="77"/>
      <c r="AP693" s="77"/>
      <c r="AQ693" s="77"/>
      <c r="AR693" s="77"/>
      <c r="AS693" s="77"/>
      <c r="AT693" s="77"/>
      <c r="AU693" s="77"/>
      <c r="AV693" s="80" t="str">
        <f>HYPERLINK("https://pbs.twimg.com/profile_images/1645435045803376641/gLm3LDyK_normal.jpg")</f>
        <v>https://pbs.twimg.com/profile_images/1645435045803376641/gLm3LDyK_normal.jpg</v>
      </c>
      <c r="AW693" s="82" t="s">
        <v>12391</v>
      </c>
      <c r="AX693" s="82" t="s">
        <v>15787</v>
      </c>
      <c r="AY693" s="82" t="s">
        <v>15940</v>
      </c>
      <c r="AZ693" s="82" t="s">
        <v>15787</v>
      </c>
      <c r="BA693" s="82" t="s">
        <v>15984</v>
      </c>
      <c r="BB693" s="82" t="s">
        <v>15984</v>
      </c>
      <c r="BC693" s="82" t="s">
        <v>15787</v>
      </c>
      <c r="BD693" s="82" t="s">
        <v>15955</v>
      </c>
      <c r="BE693" s="77"/>
      <c r="BF693" s="77"/>
      <c r="BG693" s="77"/>
      <c r="BH693" s="77"/>
      <c r="BI693" s="77"/>
    </row>
    <row r="694" spans="1:61" x14ac:dyDescent="0.25">
      <c r="A694" s="62" t="s">
        <v>442</v>
      </c>
      <c r="B694" s="62" t="s">
        <v>790</v>
      </c>
      <c r="C694" s="63"/>
      <c r="D694" s="64"/>
      <c r="E694" s="65"/>
      <c r="F694" s="66"/>
      <c r="G694" s="63"/>
      <c r="H694" s="67"/>
      <c r="I694" s="68"/>
      <c r="J694" s="68"/>
      <c r="K694" s="32"/>
      <c r="L694" s="75">
        <v>694</v>
      </c>
      <c r="M694" s="75"/>
      <c r="N694" s="70"/>
      <c r="O694" s="77" t="s">
        <v>901</v>
      </c>
      <c r="P694" s="79">
        <v>45118.606458333335</v>
      </c>
      <c r="Q694" s="77" t="s">
        <v>1550</v>
      </c>
      <c r="R694" s="77">
        <v>14</v>
      </c>
      <c r="S694" s="77">
        <v>11</v>
      </c>
      <c r="T694" s="77">
        <v>3</v>
      </c>
      <c r="U694" s="77">
        <v>1</v>
      </c>
      <c r="V694" s="77">
        <v>132</v>
      </c>
      <c r="W694" s="82" t="s">
        <v>5180</v>
      </c>
      <c r="X694" s="77"/>
      <c r="Y694" s="77"/>
      <c r="Z694" s="77" t="s">
        <v>6571</v>
      </c>
      <c r="AA694" s="77" t="s">
        <v>7044</v>
      </c>
      <c r="AB694" s="77" t="s">
        <v>7742</v>
      </c>
      <c r="AC694" s="82" t="s">
        <v>7750</v>
      </c>
      <c r="AD694" s="77" t="s">
        <v>7789</v>
      </c>
      <c r="AE694" s="80" t="str">
        <f>HYPERLINK("https://twitter.com/dawanhutt/status/1678774471728177152")</f>
        <v>https://twitter.com/dawanhutt/status/1678774471728177152</v>
      </c>
      <c r="AF694" s="79">
        <v>45118.606458333335</v>
      </c>
      <c r="AG694" s="85">
        <v>45118</v>
      </c>
      <c r="AH694" s="82" t="s">
        <v>8423</v>
      </c>
      <c r="AI694" s="77" t="b">
        <v>0</v>
      </c>
      <c r="AJ694" s="77"/>
      <c r="AK694" s="77"/>
      <c r="AL694" s="77"/>
      <c r="AM694" s="77"/>
      <c r="AN694" s="77"/>
      <c r="AO694" s="77"/>
      <c r="AP694" s="77"/>
      <c r="AQ694" s="77" t="s">
        <v>11016</v>
      </c>
      <c r="AR694" s="77"/>
      <c r="AS694" s="77"/>
      <c r="AT694" s="77"/>
      <c r="AU694" s="77"/>
      <c r="AV694" s="80" t="str">
        <f>HYPERLINK("https://pbs.twimg.com/media/F0w0eQzaIAgLbwb.jpg")</f>
        <v>https://pbs.twimg.com/media/F0w0eQzaIAgLbwb.jpg</v>
      </c>
      <c r="AW694" s="82" t="s">
        <v>12392</v>
      </c>
      <c r="AX694" s="82" t="s">
        <v>15788</v>
      </c>
      <c r="AY694" s="82" t="s">
        <v>15941</v>
      </c>
      <c r="AZ694" s="82" t="s">
        <v>16019</v>
      </c>
      <c r="BA694" s="82" t="s">
        <v>15984</v>
      </c>
      <c r="BB694" s="82" t="s">
        <v>15984</v>
      </c>
      <c r="BC694" s="82" t="s">
        <v>16019</v>
      </c>
      <c r="BD694" s="82" t="s">
        <v>15955</v>
      </c>
      <c r="BE694" s="77"/>
      <c r="BF694" s="77"/>
      <c r="BG694" s="77"/>
      <c r="BH694" s="77"/>
      <c r="BI694" s="77"/>
    </row>
    <row r="695" spans="1:61" x14ac:dyDescent="0.25">
      <c r="A695" s="62" t="s">
        <v>443</v>
      </c>
      <c r="B695" s="62" t="s">
        <v>443</v>
      </c>
      <c r="C695" s="63"/>
      <c r="D695" s="64"/>
      <c r="E695" s="65"/>
      <c r="F695" s="66"/>
      <c r="G695" s="63"/>
      <c r="H695" s="67"/>
      <c r="I695" s="68"/>
      <c r="J695" s="68"/>
      <c r="K695" s="32"/>
      <c r="L695" s="75">
        <v>695</v>
      </c>
      <c r="M695" s="75"/>
      <c r="N695" s="70"/>
      <c r="O695" s="77" t="s">
        <v>179</v>
      </c>
      <c r="P695" s="79">
        <v>45124.661585648151</v>
      </c>
      <c r="Q695" s="77" t="s">
        <v>1551</v>
      </c>
      <c r="R695" s="77">
        <v>1</v>
      </c>
      <c r="S695" s="77">
        <v>0</v>
      </c>
      <c r="T695" s="77">
        <v>0</v>
      </c>
      <c r="U695" s="77">
        <v>0</v>
      </c>
      <c r="V695" s="77">
        <v>172</v>
      </c>
      <c r="W695" s="82" t="s">
        <v>5181</v>
      </c>
      <c r="X695" s="80" t="str">
        <f>HYPERLINK("http://cuts2.com/TymqY")</f>
        <v>http://cuts2.com/TymqY</v>
      </c>
      <c r="Y695" s="77" t="s">
        <v>6522</v>
      </c>
      <c r="Z695" s="77"/>
      <c r="AA695" s="77" t="s">
        <v>7045</v>
      </c>
      <c r="AB695" s="77" t="s">
        <v>7742</v>
      </c>
      <c r="AC695" s="82" t="s">
        <v>7750</v>
      </c>
      <c r="AD695" s="77" t="s">
        <v>7788</v>
      </c>
      <c r="AE695" s="80" t="str">
        <f>HYPERLINK("https://twitter.com/uchoinfo/status/1680968775078739970")</f>
        <v>https://twitter.com/uchoinfo/status/1680968775078739970</v>
      </c>
      <c r="AF695" s="79">
        <v>45124.661585648151</v>
      </c>
      <c r="AG695" s="85">
        <v>45124</v>
      </c>
      <c r="AH695" s="82" t="s">
        <v>8424</v>
      </c>
      <c r="AI695" s="77" t="b">
        <v>0</v>
      </c>
      <c r="AJ695" s="77"/>
      <c r="AK695" s="77"/>
      <c r="AL695" s="77"/>
      <c r="AM695" s="77"/>
      <c r="AN695" s="77"/>
      <c r="AO695" s="77"/>
      <c r="AP695" s="77"/>
      <c r="AQ695" s="77" t="s">
        <v>11017</v>
      </c>
      <c r="AR695" s="77"/>
      <c r="AS695" s="77"/>
      <c r="AT695" s="77"/>
      <c r="AU695" s="77"/>
      <c r="AV695" s="80" t="str">
        <f>HYPERLINK("https://pbs.twimg.com/media/F1QAMIbXsAEAJlr.jpg")</f>
        <v>https://pbs.twimg.com/media/F1QAMIbXsAEAJlr.jpg</v>
      </c>
      <c r="AW695" s="82" t="s">
        <v>12393</v>
      </c>
      <c r="AX695" s="82" t="s">
        <v>12393</v>
      </c>
      <c r="AY695" s="77"/>
      <c r="AZ695" s="82" t="s">
        <v>15984</v>
      </c>
      <c r="BA695" s="82" t="s">
        <v>15984</v>
      </c>
      <c r="BB695" s="82" t="s">
        <v>15984</v>
      </c>
      <c r="BC695" s="82" t="s">
        <v>12393</v>
      </c>
      <c r="BD695" s="77">
        <v>39525281</v>
      </c>
      <c r="BE695" s="77"/>
      <c r="BF695" s="77"/>
      <c r="BG695" s="77"/>
      <c r="BH695" s="77"/>
      <c r="BI695" s="77"/>
    </row>
    <row r="696" spans="1:61" x14ac:dyDescent="0.25">
      <c r="A696" s="62" t="s">
        <v>443</v>
      </c>
      <c r="B696" s="62" t="s">
        <v>443</v>
      </c>
      <c r="C696" s="63"/>
      <c r="D696" s="64"/>
      <c r="E696" s="65"/>
      <c r="F696" s="66"/>
      <c r="G696" s="63"/>
      <c r="H696" s="67"/>
      <c r="I696" s="68"/>
      <c r="J696" s="68"/>
      <c r="K696" s="32"/>
      <c r="L696" s="75">
        <v>696</v>
      </c>
      <c r="M696" s="75"/>
      <c r="N696" s="70"/>
      <c r="O696" s="77" t="s">
        <v>179</v>
      </c>
      <c r="P696" s="79">
        <v>45138.840289351851</v>
      </c>
      <c r="Q696" s="77" t="s">
        <v>1552</v>
      </c>
      <c r="R696" s="77">
        <v>0</v>
      </c>
      <c r="S696" s="77">
        <v>0</v>
      </c>
      <c r="T696" s="77">
        <v>0</v>
      </c>
      <c r="U696" s="77">
        <v>0</v>
      </c>
      <c r="V696" s="77">
        <v>62</v>
      </c>
      <c r="W696" s="82" t="s">
        <v>5182</v>
      </c>
      <c r="X696" s="80" t="str">
        <f>HYPERLINK("http://cuts2.com/DueGH")</f>
        <v>http://cuts2.com/DueGH</v>
      </c>
      <c r="Y696" s="77" t="s">
        <v>6522</v>
      </c>
      <c r="Z696" s="77"/>
      <c r="AA696" s="77" t="s">
        <v>7046</v>
      </c>
      <c r="AB696" s="77" t="s">
        <v>7742</v>
      </c>
      <c r="AC696" s="82" t="s">
        <v>7750</v>
      </c>
      <c r="AD696" s="77" t="s">
        <v>7788</v>
      </c>
      <c r="AE696" s="80" t="str">
        <f>HYPERLINK("https://twitter.com/uchoinfo/status/1686106964881801217")</f>
        <v>https://twitter.com/uchoinfo/status/1686106964881801217</v>
      </c>
      <c r="AF696" s="79">
        <v>45138.840289351851</v>
      </c>
      <c r="AG696" s="85">
        <v>45138</v>
      </c>
      <c r="AH696" s="82" t="s">
        <v>8425</v>
      </c>
      <c r="AI696" s="77" t="b">
        <v>0</v>
      </c>
      <c r="AJ696" s="77"/>
      <c r="AK696" s="77"/>
      <c r="AL696" s="77"/>
      <c r="AM696" s="77"/>
      <c r="AN696" s="77"/>
      <c r="AO696" s="77"/>
      <c r="AP696" s="77"/>
      <c r="AQ696" s="77" t="s">
        <v>11018</v>
      </c>
      <c r="AR696" s="77"/>
      <c r="AS696" s="77"/>
      <c r="AT696" s="77"/>
      <c r="AU696" s="77"/>
      <c r="AV696" s="80" t="str">
        <f>HYPERLINK("https://pbs.twimg.com/media/F2ZBTcmXYAAyTjQ.jpg")</f>
        <v>https://pbs.twimg.com/media/F2ZBTcmXYAAyTjQ.jpg</v>
      </c>
      <c r="AW696" s="82" t="s">
        <v>12394</v>
      </c>
      <c r="AX696" s="82" t="s">
        <v>12394</v>
      </c>
      <c r="AY696" s="77"/>
      <c r="AZ696" s="82" t="s">
        <v>15984</v>
      </c>
      <c r="BA696" s="82" t="s">
        <v>15984</v>
      </c>
      <c r="BB696" s="82" t="s">
        <v>15984</v>
      </c>
      <c r="BC696" s="82" t="s">
        <v>12394</v>
      </c>
      <c r="BD696" s="77">
        <v>39525281</v>
      </c>
      <c r="BE696" s="77"/>
      <c r="BF696" s="77"/>
      <c r="BG696" s="77"/>
      <c r="BH696" s="77"/>
      <c r="BI696" s="77"/>
    </row>
    <row r="697" spans="1:61" x14ac:dyDescent="0.25">
      <c r="A697" s="62" t="s">
        <v>443</v>
      </c>
      <c r="B697" s="62" t="s">
        <v>443</v>
      </c>
      <c r="C697" s="63"/>
      <c r="D697" s="64"/>
      <c r="E697" s="65"/>
      <c r="F697" s="66"/>
      <c r="G697" s="63"/>
      <c r="H697" s="67"/>
      <c r="I697" s="68"/>
      <c r="J697" s="68"/>
      <c r="K697" s="32"/>
      <c r="L697" s="75">
        <v>697</v>
      </c>
      <c r="M697" s="75"/>
      <c r="N697" s="70"/>
      <c r="O697" s="77" t="s">
        <v>179</v>
      </c>
      <c r="P697" s="79">
        <v>45159.854537037034</v>
      </c>
      <c r="Q697" s="77" t="s">
        <v>1553</v>
      </c>
      <c r="R697" s="77">
        <v>0</v>
      </c>
      <c r="S697" s="77">
        <v>0</v>
      </c>
      <c r="T697" s="77">
        <v>0</v>
      </c>
      <c r="U697" s="77">
        <v>0</v>
      </c>
      <c r="V697" s="77">
        <v>43</v>
      </c>
      <c r="W697" s="82" t="s">
        <v>5183</v>
      </c>
      <c r="X697" s="80" t="str">
        <f>HYPERLINK("http://cuts2.com/BdzQH")</f>
        <v>http://cuts2.com/BdzQH</v>
      </c>
      <c r="Y697" s="77" t="s">
        <v>6522</v>
      </c>
      <c r="Z697" s="77"/>
      <c r="AA697" s="77" t="s">
        <v>7047</v>
      </c>
      <c r="AB697" s="77" t="s">
        <v>7742</v>
      </c>
      <c r="AC697" s="82" t="s">
        <v>7750</v>
      </c>
      <c r="AD697" s="77" t="s">
        <v>7788</v>
      </c>
      <c r="AE697" s="80" t="str">
        <f>HYPERLINK("https://twitter.com/uchoinfo/status/1693722272777781729")</f>
        <v>https://twitter.com/uchoinfo/status/1693722272777781729</v>
      </c>
      <c r="AF697" s="79">
        <v>45159.854537037034</v>
      </c>
      <c r="AG697" s="85">
        <v>45159</v>
      </c>
      <c r="AH697" s="82" t="s">
        <v>8426</v>
      </c>
      <c r="AI697" s="77" t="b">
        <v>0</v>
      </c>
      <c r="AJ697" s="77"/>
      <c r="AK697" s="77"/>
      <c r="AL697" s="77"/>
      <c r="AM697" s="77"/>
      <c r="AN697" s="77"/>
      <c r="AO697" s="77"/>
      <c r="AP697" s="77"/>
      <c r="AQ697" s="77" t="s">
        <v>11019</v>
      </c>
      <c r="AR697" s="77"/>
      <c r="AS697" s="77"/>
      <c r="AT697" s="77"/>
      <c r="AU697" s="77"/>
      <c r="AV697" s="80" t="str">
        <f>HYPERLINK("https://pbs.twimg.com/media/F4FPbQmW0AARbPc.jpg")</f>
        <v>https://pbs.twimg.com/media/F4FPbQmW0AARbPc.jpg</v>
      </c>
      <c r="AW697" s="82" t="s">
        <v>12395</v>
      </c>
      <c r="AX697" s="82" t="s">
        <v>12395</v>
      </c>
      <c r="AY697" s="77"/>
      <c r="AZ697" s="82" t="s">
        <v>15984</v>
      </c>
      <c r="BA697" s="82" t="s">
        <v>15984</v>
      </c>
      <c r="BB697" s="82" t="s">
        <v>15984</v>
      </c>
      <c r="BC697" s="82" t="s">
        <v>12395</v>
      </c>
      <c r="BD697" s="77">
        <v>39525281</v>
      </c>
      <c r="BE697" s="77"/>
      <c r="BF697" s="77"/>
      <c r="BG697" s="77"/>
      <c r="BH697" s="77"/>
      <c r="BI697" s="77"/>
    </row>
    <row r="698" spans="1:61" x14ac:dyDescent="0.25">
      <c r="A698" s="62" t="s">
        <v>443</v>
      </c>
      <c r="B698" s="62" t="s">
        <v>443</v>
      </c>
      <c r="C698" s="63"/>
      <c r="D698" s="64"/>
      <c r="E698" s="65"/>
      <c r="F698" s="66"/>
      <c r="G698" s="63"/>
      <c r="H698" s="67"/>
      <c r="I698" s="68"/>
      <c r="J698" s="68"/>
      <c r="K698" s="32"/>
      <c r="L698" s="75">
        <v>698</v>
      </c>
      <c r="M698" s="75"/>
      <c r="N698" s="70"/>
      <c r="O698" s="77" t="s">
        <v>179</v>
      </c>
      <c r="P698" s="79">
        <v>45152.700092592589</v>
      </c>
      <c r="Q698" s="77" t="s">
        <v>1554</v>
      </c>
      <c r="R698" s="77">
        <v>0</v>
      </c>
      <c r="S698" s="77">
        <v>0</v>
      </c>
      <c r="T698" s="77">
        <v>0</v>
      </c>
      <c r="U698" s="77">
        <v>0</v>
      </c>
      <c r="V698" s="77">
        <v>236</v>
      </c>
      <c r="W698" s="82" t="s">
        <v>5181</v>
      </c>
      <c r="X698" s="80" t="str">
        <f>HYPERLINK("http://cuts2.com/MWKgr")</f>
        <v>http://cuts2.com/MWKgr</v>
      </c>
      <c r="Y698" s="77" t="s">
        <v>6522</v>
      </c>
      <c r="Z698" s="77"/>
      <c r="AA698" s="77" t="s">
        <v>7048</v>
      </c>
      <c r="AB698" s="77" t="s">
        <v>7742</v>
      </c>
      <c r="AC698" s="82" t="s">
        <v>7750</v>
      </c>
      <c r="AD698" s="77" t="s">
        <v>7788</v>
      </c>
      <c r="AE698" s="80" t="str">
        <f>HYPERLINK("https://twitter.com/uchoinfo/status/1691129589538676737")</f>
        <v>https://twitter.com/uchoinfo/status/1691129589538676737</v>
      </c>
      <c r="AF698" s="79">
        <v>45152.700092592589</v>
      </c>
      <c r="AG698" s="85">
        <v>45152</v>
      </c>
      <c r="AH698" s="82" t="s">
        <v>8427</v>
      </c>
      <c r="AI698" s="77" t="b">
        <v>0</v>
      </c>
      <c r="AJ698" s="77"/>
      <c r="AK698" s="77"/>
      <c r="AL698" s="77"/>
      <c r="AM698" s="77"/>
      <c r="AN698" s="77"/>
      <c r="AO698" s="77"/>
      <c r="AP698" s="77"/>
      <c r="AQ698" s="77" t="s">
        <v>11020</v>
      </c>
      <c r="AR698" s="77"/>
      <c r="AS698" s="77"/>
      <c r="AT698" s="77"/>
      <c r="AU698" s="77"/>
      <c r="AV698" s="80" t="str">
        <f>HYPERLINK("https://pbs.twimg.com/media/F3gZZYBX0AkEOwR.jpg")</f>
        <v>https://pbs.twimg.com/media/F3gZZYBX0AkEOwR.jpg</v>
      </c>
      <c r="AW698" s="82" t="s">
        <v>12396</v>
      </c>
      <c r="AX698" s="82" t="s">
        <v>12396</v>
      </c>
      <c r="AY698" s="77"/>
      <c r="AZ698" s="82" t="s">
        <v>15984</v>
      </c>
      <c r="BA698" s="82" t="s">
        <v>15984</v>
      </c>
      <c r="BB698" s="82" t="s">
        <v>15984</v>
      </c>
      <c r="BC698" s="82" t="s">
        <v>12396</v>
      </c>
      <c r="BD698" s="77">
        <v>39525281</v>
      </c>
      <c r="BE698" s="77"/>
      <c r="BF698" s="77"/>
      <c r="BG698" s="77"/>
      <c r="BH698" s="77"/>
      <c r="BI698" s="77"/>
    </row>
    <row r="699" spans="1:61" x14ac:dyDescent="0.25">
      <c r="A699" s="62" t="s">
        <v>443</v>
      </c>
      <c r="B699" s="62" t="s">
        <v>443</v>
      </c>
      <c r="C699" s="63"/>
      <c r="D699" s="64"/>
      <c r="E699" s="65"/>
      <c r="F699" s="66"/>
      <c r="G699" s="63"/>
      <c r="H699" s="67"/>
      <c r="I699" s="68"/>
      <c r="J699" s="68"/>
      <c r="K699" s="32"/>
      <c r="L699" s="75">
        <v>699</v>
      </c>
      <c r="M699" s="75"/>
      <c r="N699" s="70"/>
      <c r="O699" s="77" t="s">
        <v>179</v>
      </c>
      <c r="P699" s="79">
        <v>45187.787442129629</v>
      </c>
      <c r="Q699" s="77" t="s">
        <v>1555</v>
      </c>
      <c r="R699" s="77">
        <v>0</v>
      </c>
      <c r="S699" s="77">
        <v>0</v>
      </c>
      <c r="T699" s="77">
        <v>0</v>
      </c>
      <c r="U699" s="77">
        <v>0</v>
      </c>
      <c r="V699" s="77">
        <v>107</v>
      </c>
      <c r="W699" s="82" t="s">
        <v>5181</v>
      </c>
      <c r="X699" s="80" t="str">
        <f>HYPERLINK("https://bit.ly/3sWiMj8")</f>
        <v>https://bit.ly/3sWiMj8</v>
      </c>
      <c r="Y699" s="77" t="s">
        <v>6468</v>
      </c>
      <c r="Z699" s="77"/>
      <c r="AA699" s="77" t="s">
        <v>7049</v>
      </c>
      <c r="AB699" s="77" t="s">
        <v>7742</v>
      </c>
      <c r="AC699" s="82" t="s">
        <v>7750</v>
      </c>
      <c r="AD699" s="77" t="s">
        <v>7788</v>
      </c>
      <c r="AE699" s="80" t="str">
        <f>HYPERLINK("https://twitter.com/uchoinfo/status/1703844820869902581")</f>
        <v>https://twitter.com/uchoinfo/status/1703844820869902581</v>
      </c>
      <c r="AF699" s="79">
        <v>45187.787442129629</v>
      </c>
      <c r="AG699" s="85">
        <v>45187</v>
      </c>
      <c r="AH699" s="82" t="s">
        <v>8428</v>
      </c>
      <c r="AI699" s="77" t="b">
        <v>0</v>
      </c>
      <c r="AJ699" s="77"/>
      <c r="AK699" s="77"/>
      <c r="AL699" s="77"/>
      <c r="AM699" s="77"/>
      <c r="AN699" s="77"/>
      <c r="AO699" s="77"/>
      <c r="AP699" s="77"/>
      <c r="AQ699" s="77" t="s">
        <v>11021</v>
      </c>
      <c r="AR699" s="77"/>
      <c r="AS699" s="77"/>
      <c r="AT699" s="77"/>
      <c r="AU699" s="77"/>
      <c r="AV699" s="80" t="str">
        <f>HYPERLINK("https://pbs.twimg.com/media/F6VF1MRWsAAQdyB.jpg")</f>
        <v>https://pbs.twimg.com/media/F6VF1MRWsAAQdyB.jpg</v>
      </c>
      <c r="AW699" s="82" t="s">
        <v>12397</v>
      </c>
      <c r="AX699" s="82" t="s">
        <v>12397</v>
      </c>
      <c r="AY699" s="77"/>
      <c r="AZ699" s="82" t="s">
        <v>15984</v>
      </c>
      <c r="BA699" s="82" t="s">
        <v>15984</v>
      </c>
      <c r="BB699" s="82" t="s">
        <v>15984</v>
      </c>
      <c r="BC699" s="82" t="s">
        <v>12397</v>
      </c>
      <c r="BD699" s="77">
        <v>39525281</v>
      </c>
      <c r="BE699" s="77"/>
      <c r="BF699" s="77"/>
      <c r="BG699" s="77"/>
      <c r="BH699" s="77"/>
      <c r="BI699" s="77"/>
    </row>
    <row r="700" spans="1:61" x14ac:dyDescent="0.25">
      <c r="A700" s="62" t="s">
        <v>444</v>
      </c>
      <c r="B700" s="62" t="s">
        <v>444</v>
      </c>
      <c r="C700" s="63"/>
      <c r="D700" s="64"/>
      <c r="E700" s="65"/>
      <c r="F700" s="66"/>
      <c r="G700" s="63"/>
      <c r="H700" s="67"/>
      <c r="I700" s="68"/>
      <c r="J700" s="68"/>
      <c r="K700" s="32"/>
      <c r="L700" s="75">
        <v>700</v>
      </c>
      <c r="M700" s="75"/>
      <c r="N700" s="70"/>
      <c r="O700" s="77" t="s">
        <v>179</v>
      </c>
      <c r="P700" s="79">
        <v>45185.032812500001</v>
      </c>
      <c r="Q700" s="77" t="s">
        <v>1556</v>
      </c>
      <c r="R700" s="77">
        <v>0</v>
      </c>
      <c r="S700" s="77">
        <v>1</v>
      </c>
      <c r="T700" s="77">
        <v>1</v>
      </c>
      <c r="U700" s="77">
        <v>0</v>
      </c>
      <c r="V700" s="77">
        <v>160</v>
      </c>
      <c r="W700" s="82" t="s">
        <v>5184</v>
      </c>
      <c r="X700" s="77"/>
      <c r="Y700" s="77"/>
      <c r="Z700" s="77"/>
      <c r="AA700" s="77" t="s">
        <v>7050</v>
      </c>
      <c r="AB700" s="77" t="s">
        <v>7742</v>
      </c>
      <c r="AC700" s="82" t="s">
        <v>7751</v>
      </c>
      <c r="AD700" s="77" t="s">
        <v>7788</v>
      </c>
      <c r="AE700" s="80" t="str">
        <f>HYPERLINK("https://twitter.com/elielnaves/status/1702846575507013802")</f>
        <v>https://twitter.com/elielnaves/status/1702846575507013802</v>
      </c>
      <c r="AF700" s="79">
        <v>45185.032812500001</v>
      </c>
      <c r="AG700" s="85">
        <v>45185</v>
      </c>
      <c r="AH700" s="82" t="s">
        <v>8429</v>
      </c>
      <c r="AI700" s="77" t="b">
        <v>0</v>
      </c>
      <c r="AJ700" s="77"/>
      <c r="AK700" s="77"/>
      <c r="AL700" s="77"/>
      <c r="AM700" s="77"/>
      <c r="AN700" s="77"/>
      <c r="AO700" s="77"/>
      <c r="AP700" s="77"/>
      <c r="AQ700" s="77" t="s">
        <v>11022</v>
      </c>
      <c r="AR700" s="77"/>
      <c r="AS700" s="77"/>
      <c r="AT700" s="77"/>
      <c r="AU700" s="77"/>
      <c r="AV700" s="80" t="str">
        <f>HYPERLINK("https://pbs.twimg.com/media/F6G5788XIAAGoR3.jpg")</f>
        <v>https://pbs.twimg.com/media/F6G5788XIAAGoR3.jpg</v>
      </c>
      <c r="AW700" s="82" t="s">
        <v>12398</v>
      </c>
      <c r="AX700" s="82" t="s">
        <v>12398</v>
      </c>
      <c r="AY700" s="77"/>
      <c r="AZ700" s="82" t="s">
        <v>15984</v>
      </c>
      <c r="BA700" s="82" t="s">
        <v>15984</v>
      </c>
      <c r="BB700" s="82" t="s">
        <v>15984</v>
      </c>
      <c r="BC700" s="82" t="s">
        <v>12398</v>
      </c>
      <c r="BD700" s="77">
        <v>72692030</v>
      </c>
      <c r="BE700" s="77"/>
      <c r="BF700" s="77"/>
      <c r="BG700" s="77"/>
      <c r="BH700" s="77"/>
      <c r="BI700" s="77"/>
    </row>
    <row r="701" spans="1:61" x14ac:dyDescent="0.25">
      <c r="A701" s="62" t="s">
        <v>445</v>
      </c>
      <c r="B701" s="62" t="s">
        <v>445</v>
      </c>
      <c r="C701" s="63"/>
      <c r="D701" s="64"/>
      <c r="E701" s="65"/>
      <c r="F701" s="66"/>
      <c r="G701" s="63"/>
      <c r="H701" s="67"/>
      <c r="I701" s="68"/>
      <c r="J701" s="68"/>
      <c r="K701" s="32"/>
      <c r="L701" s="75">
        <v>701</v>
      </c>
      <c r="M701" s="75"/>
      <c r="N701" s="70"/>
      <c r="O701" s="77" t="s">
        <v>179</v>
      </c>
      <c r="P701" s="79">
        <v>45138.235636574071</v>
      </c>
      <c r="Q701" s="77" t="s">
        <v>1557</v>
      </c>
      <c r="R701" s="77">
        <v>0</v>
      </c>
      <c r="S701" s="77">
        <v>1</v>
      </c>
      <c r="T701" s="77">
        <v>0</v>
      </c>
      <c r="U701" s="77">
        <v>0</v>
      </c>
      <c r="V701" s="77">
        <v>185</v>
      </c>
      <c r="W701" s="82" t="s">
        <v>5185</v>
      </c>
      <c r="X701" s="80" t="str">
        <f>HYPERLINK("https://youtube.com/shorts/eeh5fIbQjxs?feature=share")</f>
        <v>https://youtube.com/shorts/eeh5fIbQjxs?feature=share</v>
      </c>
      <c r="Y701" s="77" t="s">
        <v>6480</v>
      </c>
      <c r="Z701" s="77"/>
      <c r="AA701" s="77"/>
      <c r="AB701" s="77"/>
      <c r="AC701" s="82" t="s">
        <v>7751</v>
      </c>
      <c r="AD701" s="77" t="s">
        <v>7790</v>
      </c>
      <c r="AE701" s="80" t="str">
        <f>HYPERLINK("https://twitter.com/mundo_asmr/status/1685887845951844352")</f>
        <v>https://twitter.com/mundo_asmr/status/1685887845951844352</v>
      </c>
      <c r="AF701" s="79">
        <v>45138.235636574071</v>
      </c>
      <c r="AG701" s="85">
        <v>45138</v>
      </c>
      <c r="AH701" s="82" t="s">
        <v>8430</v>
      </c>
      <c r="AI701" s="77" t="b">
        <v>0</v>
      </c>
      <c r="AJ701" s="77"/>
      <c r="AK701" s="77"/>
      <c r="AL701" s="77"/>
      <c r="AM701" s="77"/>
      <c r="AN701" s="77"/>
      <c r="AO701" s="77"/>
      <c r="AP701" s="77"/>
      <c r="AQ701" s="77"/>
      <c r="AR701" s="77"/>
      <c r="AS701" s="77"/>
      <c r="AT701" s="77"/>
      <c r="AU701" s="77"/>
      <c r="AV701" s="80" t="str">
        <f>HYPERLINK("https://pbs.twimg.com/profile_images/1561223677521252352/SgC_Dtag_normal.jpg")</f>
        <v>https://pbs.twimg.com/profile_images/1561223677521252352/SgC_Dtag_normal.jpg</v>
      </c>
      <c r="AW701" s="82" t="s">
        <v>12399</v>
      </c>
      <c r="AX701" s="82" t="s">
        <v>12399</v>
      </c>
      <c r="AY701" s="77"/>
      <c r="AZ701" s="82" t="s">
        <v>15984</v>
      </c>
      <c r="BA701" s="82" t="s">
        <v>15984</v>
      </c>
      <c r="BB701" s="82" t="s">
        <v>15984</v>
      </c>
      <c r="BC701" s="82" t="s">
        <v>12399</v>
      </c>
      <c r="BD701" s="82" t="s">
        <v>15942</v>
      </c>
      <c r="BE701" s="77"/>
      <c r="BF701" s="77"/>
      <c r="BG701" s="77"/>
      <c r="BH701" s="77"/>
      <c r="BI701" s="77"/>
    </row>
    <row r="702" spans="1:61" x14ac:dyDescent="0.25">
      <c r="A702" s="62" t="s">
        <v>445</v>
      </c>
      <c r="B702" s="62" t="s">
        <v>445</v>
      </c>
      <c r="C702" s="63"/>
      <c r="D702" s="64"/>
      <c r="E702" s="65"/>
      <c r="F702" s="66"/>
      <c r="G702" s="63"/>
      <c r="H702" s="67"/>
      <c r="I702" s="68"/>
      <c r="J702" s="68"/>
      <c r="K702" s="32"/>
      <c r="L702" s="75">
        <v>702</v>
      </c>
      <c r="M702" s="75"/>
      <c r="N702" s="70"/>
      <c r="O702" s="77" t="s">
        <v>898</v>
      </c>
      <c r="P702" s="79">
        <v>45189.180763888886</v>
      </c>
      <c r="Q702" s="77" t="s">
        <v>1558</v>
      </c>
      <c r="R702" s="77">
        <v>0</v>
      </c>
      <c r="S702" s="77">
        <v>1</v>
      </c>
      <c r="T702" s="77">
        <v>0</v>
      </c>
      <c r="U702" s="77">
        <v>0</v>
      </c>
      <c r="V702" s="77">
        <v>115</v>
      </c>
      <c r="W702" s="82" t="s">
        <v>5186</v>
      </c>
      <c r="X702" s="80" t="str">
        <f>HYPERLINK("https://youtube.com/shorts/eeh5fIbQjxs?feature=share")</f>
        <v>https://youtube.com/shorts/eeh5fIbQjxs?feature=share</v>
      </c>
      <c r="Y702" s="77" t="s">
        <v>6480</v>
      </c>
      <c r="Z702" s="77"/>
      <c r="AA702" s="77"/>
      <c r="AB702" s="77"/>
      <c r="AC702" s="82" t="s">
        <v>7751</v>
      </c>
      <c r="AD702" s="77" t="s">
        <v>7790</v>
      </c>
      <c r="AE702" s="80" t="str">
        <f>HYPERLINK("https://twitter.com/mundo_asmr/status/1704349744246710388")</f>
        <v>https://twitter.com/mundo_asmr/status/1704349744246710388</v>
      </c>
      <c r="AF702" s="79">
        <v>45189.180763888886</v>
      </c>
      <c r="AG702" s="85">
        <v>45189</v>
      </c>
      <c r="AH702" s="82" t="s">
        <v>8431</v>
      </c>
      <c r="AI702" s="77" t="b">
        <v>0</v>
      </c>
      <c r="AJ702" s="77"/>
      <c r="AK702" s="77"/>
      <c r="AL702" s="77"/>
      <c r="AM702" s="77"/>
      <c r="AN702" s="77"/>
      <c r="AO702" s="77"/>
      <c r="AP702" s="77"/>
      <c r="AQ702" s="77"/>
      <c r="AR702" s="77"/>
      <c r="AS702" s="77"/>
      <c r="AT702" s="77"/>
      <c r="AU702" s="77"/>
      <c r="AV702" s="80" t="str">
        <f>HYPERLINK("https://pbs.twimg.com/profile_images/1561223677521252352/SgC_Dtag_normal.jpg")</f>
        <v>https://pbs.twimg.com/profile_images/1561223677521252352/SgC_Dtag_normal.jpg</v>
      </c>
      <c r="AW702" s="82" t="s">
        <v>12400</v>
      </c>
      <c r="AX702" s="82" t="s">
        <v>15789</v>
      </c>
      <c r="AY702" s="82" t="s">
        <v>15942</v>
      </c>
      <c r="AZ702" s="82" t="s">
        <v>16020</v>
      </c>
      <c r="BA702" s="82" t="s">
        <v>15984</v>
      </c>
      <c r="BB702" s="82" t="s">
        <v>15984</v>
      </c>
      <c r="BC702" s="82" t="s">
        <v>16020</v>
      </c>
      <c r="BD702" s="82" t="s">
        <v>15942</v>
      </c>
      <c r="BE702" s="77"/>
      <c r="BF702" s="77"/>
      <c r="BG702" s="77"/>
      <c r="BH702" s="77"/>
      <c r="BI702" s="77"/>
    </row>
    <row r="703" spans="1:61" x14ac:dyDescent="0.25">
      <c r="A703" s="62" t="s">
        <v>446</v>
      </c>
      <c r="B703" s="62" t="s">
        <v>446</v>
      </c>
      <c r="C703" s="63"/>
      <c r="D703" s="64"/>
      <c r="E703" s="65"/>
      <c r="F703" s="66"/>
      <c r="G703" s="63"/>
      <c r="H703" s="67"/>
      <c r="I703" s="68"/>
      <c r="J703" s="68"/>
      <c r="K703" s="32"/>
      <c r="L703" s="75">
        <v>703</v>
      </c>
      <c r="M703" s="75"/>
      <c r="N703" s="70"/>
      <c r="O703" s="77" t="s">
        <v>179</v>
      </c>
      <c r="P703" s="79">
        <v>45187.769791666666</v>
      </c>
      <c r="Q703" s="77" t="s">
        <v>1559</v>
      </c>
      <c r="R703" s="77">
        <v>0</v>
      </c>
      <c r="S703" s="77">
        <v>0</v>
      </c>
      <c r="T703" s="77">
        <v>0</v>
      </c>
      <c r="U703" s="77">
        <v>0</v>
      </c>
      <c r="V703" s="77">
        <v>18</v>
      </c>
      <c r="W703" s="82" t="s">
        <v>5187</v>
      </c>
      <c r="X703" s="77"/>
      <c r="Y703" s="77"/>
      <c r="Z703" s="77"/>
      <c r="AA703" s="77" t="s">
        <v>7051</v>
      </c>
      <c r="AB703" s="77" t="s">
        <v>7742</v>
      </c>
      <c r="AC703" s="82" t="s">
        <v>7751</v>
      </c>
      <c r="AD703" s="77" t="s">
        <v>7791</v>
      </c>
      <c r="AE703" s="80" t="str">
        <f>HYPERLINK("https://twitter.com/forestausale/status/1703838423667102131")</f>
        <v>https://twitter.com/forestausale/status/1703838423667102131</v>
      </c>
      <c r="AF703" s="79">
        <v>45187.769791666666</v>
      </c>
      <c r="AG703" s="85">
        <v>45187</v>
      </c>
      <c r="AH703" s="82" t="s">
        <v>8432</v>
      </c>
      <c r="AI703" s="77" t="b">
        <v>0</v>
      </c>
      <c r="AJ703" s="77"/>
      <c r="AK703" s="77"/>
      <c r="AL703" s="77"/>
      <c r="AM703" s="77"/>
      <c r="AN703" s="77"/>
      <c r="AO703" s="77"/>
      <c r="AP703" s="77"/>
      <c r="AQ703" s="77" t="s">
        <v>11023</v>
      </c>
      <c r="AR703" s="77"/>
      <c r="AS703" s="77"/>
      <c r="AT703" s="77"/>
      <c r="AU703" s="77"/>
      <c r="AV703" s="80" t="str">
        <f>HYPERLINK("https://pbs.twimg.com/media/F6VABGhWkAACXjL.jpg")</f>
        <v>https://pbs.twimg.com/media/F6VABGhWkAACXjL.jpg</v>
      </c>
      <c r="AW703" s="82" t="s">
        <v>12401</v>
      </c>
      <c r="AX703" s="82" t="s">
        <v>12401</v>
      </c>
      <c r="AY703" s="77"/>
      <c r="AZ703" s="82" t="s">
        <v>15984</v>
      </c>
      <c r="BA703" s="82" t="s">
        <v>15984</v>
      </c>
      <c r="BB703" s="82" t="s">
        <v>15984</v>
      </c>
      <c r="BC703" s="82" t="s">
        <v>12401</v>
      </c>
      <c r="BD703" s="82" t="s">
        <v>16236</v>
      </c>
      <c r="BE703" s="77"/>
      <c r="BF703" s="77"/>
      <c r="BG703" s="77"/>
      <c r="BH703" s="77"/>
      <c r="BI703" s="77"/>
    </row>
    <row r="704" spans="1:61" x14ac:dyDescent="0.25">
      <c r="A704" s="62" t="s">
        <v>447</v>
      </c>
      <c r="B704" s="62" t="s">
        <v>447</v>
      </c>
      <c r="C704" s="63"/>
      <c r="D704" s="64"/>
      <c r="E704" s="65"/>
      <c r="F704" s="66"/>
      <c r="G704" s="63"/>
      <c r="H704" s="67"/>
      <c r="I704" s="68"/>
      <c r="J704" s="68"/>
      <c r="K704" s="32"/>
      <c r="L704" s="75">
        <v>704</v>
      </c>
      <c r="M704" s="75"/>
      <c r="N704" s="70"/>
      <c r="O704" s="77" t="s">
        <v>179</v>
      </c>
      <c r="P704" s="79">
        <v>45119.714490740742</v>
      </c>
      <c r="Q704" s="77" t="s">
        <v>1560</v>
      </c>
      <c r="R704" s="77">
        <v>7</v>
      </c>
      <c r="S704" s="77">
        <v>10</v>
      </c>
      <c r="T704" s="77">
        <v>1</v>
      </c>
      <c r="U704" s="77">
        <v>2</v>
      </c>
      <c r="V704" s="77">
        <v>893</v>
      </c>
      <c r="W704" s="82" t="s">
        <v>5188</v>
      </c>
      <c r="X704" s="77"/>
      <c r="Y704" s="77"/>
      <c r="Z704" s="77"/>
      <c r="AA704" s="77" t="s">
        <v>7052</v>
      </c>
      <c r="AB704" s="77" t="s">
        <v>7742</v>
      </c>
      <c r="AC704" s="82" t="s">
        <v>7752</v>
      </c>
      <c r="AD704" s="77" t="s">
        <v>7790</v>
      </c>
      <c r="AE704" s="80" t="str">
        <f>HYPERLINK("https://twitter.com/lourdespaz24/status/1679176008098889754")</f>
        <v>https://twitter.com/lourdespaz24/status/1679176008098889754</v>
      </c>
      <c r="AF704" s="79">
        <v>45119.714490740742</v>
      </c>
      <c r="AG704" s="85">
        <v>45119</v>
      </c>
      <c r="AH704" s="82" t="s">
        <v>8433</v>
      </c>
      <c r="AI704" s="77" t="b">
        <v>0</v>
      </c>
      <c r="AJ704" s="77"/>
      <c r="AK704" s="77"/>
      <c r="AL704" s="77"/>
      <c r="AM704" s="77"/>
      <c r="AN704" s="77"/>
      <c r="AO704" s="77"/>
      <c r="AP704" s="77"/>
      <c r="AQ704" s="77" t="s">
        <v>11024</v>
      </c>
      <c r="AR704" s="77"/>
      <c r="AS704" s="77"/>
      <c r="AT704" s="77"/>
      <c r="AU704" s="77"/>
      <c r="AV704" s="80" t="str">
        <f>HYPERLINK("https://pbs.twimg.com/media/F02hrO-agAEGYiN.jpg")</f>
        <v>https://pbs.twimg.com/media/F02hrO-agAEGYiN.jpg</v>
      </c>
      <c r="AW704" s="82" t="s">
        <v>12402</v>
      </c>
      <c r="AX704" s="82" t="s">
        <v>12402</v>
      </c>
      <c r="AY704" s="77"/>
      <c r="AZ704" s="82" t="s">
        <v>15984</v>
      </c>
      <c r="BA704" s="82" t="s">
        <v>15984</v>
      </c>
      <c r="BB704" s="82" t="s">
        <v>15984</v>
      </c>
      <c r="BC704" s="82" t="s">
        <v>12402</v>
      </c>
      <c r="BD704" s="82" t="s">
        <v>16237</v>
      </c>
      <c r="BE704" s="77"/>
      <c r="BF704" s="77"/>
      <c r="BG704" s="77"/>
      <c r="BH704" s="77"/>
      <c r="BI704" s="77"/>
    </row>
    <row r="705" spans="1:61" x14ac:dyDescent="0.25">
      <c r="A705" s="62" t="s">
        <v>448</v>
      </c>
      <c r="B705" s="62" t="s">
        <v>448</v>
      </c>
      <c r="C705" s="63"/>
      <c r="D705" s="64"/>
      <c r="E705" s="65"/>
      <c r="F705" s="66"/>
      <c r="G705" s="63"/>
      <c r="H705" s="67"/>
      <c r="I705" s="68"/>
      <c r="J705" s="68"/>
      <c r="K705" s="32"/>
      <c r="L705" s="75">
        <v>705</v>
      </c>
      <c r="M705" s="75"/>
      <c r="N705" s="70"/>
      <c r="O705" s="77" t="s">
        <v>179</v>
      </c>
      <c r="P705" s="79">
        <v>45118.525381944448</v>
      </c>
      <c r="Q705" s="77" t="s">
        <v>1561</v>
      </c>
      <c r="R705" s="77">
        <v>4</v>
      </c>
      <c r="S705" s="77">
        <v>5</v>
      </c>
      <c r="T705" s="77">
        <v>2</v>
      </c>
      <c r="U705" s="77">
        <v>0</v>
      </c>
      <c r="V705" s="77">
        <v>413</v>
      </c>
      <c r="W705" s="82" t="s">
        <v>4821</v>
      </c>
      <c r="X705" s="77"/>
      <c r="Y705" s="77"/>
      <c r="Z705" s="77"/>
      <c r="AA705" s="77"/>
      <c r="AB705" s="77"/>
      <c r="AC705" s="82" t="s">
        <v>7750</v>
      </c>
      <c r="AD705" s="77" t="s">
        <v>7790</v>
      </c>
      <c r="AE705" s="80" t="str">
        <f>HYPERLINK("https://twitter.com/edconesa/status/1678745090850713600")</f>
        <v>https://twitter.com/edconesa/status/1678745090850713600</v>
      </c>
      <c r="AF705" s="79">
        <v>45118.525381944448</v>
      </c>
      <c r="AG705" s="85">
        <v>45118</v>
      </c>
      <c r="AH705" s="82" t="s">
        <v>8434</v>
      </c>
      <c r="AI705" s="77"/>
      <c r="AJ705" s="77"/>
      <c r="AK705" s="77"/>
      <c r="AL705" s="77"/>
      <c r="AM705" s="77"/>
      <c r="AN705" s="77"/>
      <c r="AO705" s="77"/>
      <c r="AP705" s="77"/>
      <c r="AQ705" s="77"/>
      <c r="AR705" s="77"/>
      <c r="AS705" s="77"/>
      <c r="AT705" s="77"/>
      <c r="AU705" s="77"/>
      <c r="AV705" s="80" t="str">
        <f>HYPERLINK("https://pbs.twimg.com/profile_images/1678503827635425283/1xfVBbdn_normal.jpg")</f>
        <v>https://pbs.twimg.com/profile_images/1678503827635425283/1xfVBbdn_normal.jpg</v>
      </c>
      <c r="AW705" s="82" t="s">
        <v>12403</v>
      </c>
      <c r="AX705" s="82" t="s">
        <v>12403</v>
      </c>
      <c r="AY705" s="77"/>
      <c r="AZ705" s="82" t="s">
        <v>15984</v>
      </c>
      <c r="BA705" s="82" t="s">
        <v>15984</v>
      </c>
      <c r="BB705" s="82" t="s">
        <v>15984</v>
      </c>
      <c r="BC705" s="82" t="s">
        <v>12403</v>
      </c>
      <c r="BD705" s="77">
        <v>3145323581</v>
      </c>
      <c r="BE705" s="77"/>
      <c r="BF705" s="77"/>
      <c r="BG705" s="77"/>
      <c r="BH705" s="77"/>
      <c r="BI705" s="77"/>
    </row>
    <row r="706" spans="1:61" x14ac:dyDescent="0.25">
      <c r="A706" s="62" t="s">
        <v>387</v>
      </c>
      <c r="B706" s="62" t="s">
        <v>449</v>
      </c>
      <c r="C706" s="63"/>
      <c r="D706" s="64"/>
      <c r="E706" s="65"/>
      <c r="F706" s="66"/>
      <c r="G706" s="63"/>
      <c r="H706" s="67"/>
      <c r="I706" s="68"/>
      <c r="J706" s="68"/>
      <c r="K706" s="32"/>
      <c r="L706" s="75">
        <v>706</v>
      </c>
      <c r="M706" s="75"/>
      <c r="N706" s="70"/>
      <c r="O706" s="77" t="s">
        <v>895</v>
      </c>
      <c r="P706" s="79">
        <v>45119.81958333333</v>
      </c>
      <c r="Q706" s="77" t="s">
        <v>1562</v>
      </c>
      <c r="R706" s="77">
        <v>1</v>
      </c>
      <c r="S706" s="77">
        <v>1</v>
      </c>
      <c r="T706" s="77">
        <v>0</v>
      </c>
      <c r="U706" s="77">
        <v>0</v>
      </c>
      <c r="V706" s="77">
        <v>474</v>
      </c>
      <c r="W706" s="82" t="s">
        <v>4833</v>
      </c>
      <c r="X706" s="80" t="str">
        <f>HYPERLINK("https://mla.bs/b90b1143")</f>
        <v>https://mla.bs/b90b1143</v>
      </c>
      <c r="Y706" s="77" t="s">
        <v>6506</v>
      </c>
      <c r="Z706" s="77" t="s">
        <v>449</v>
      </c>
      <c r="AA706" s="77"/>
      <c r="AB706" s="77"/>
      <c r="AC706" s="82" t="s">
        <v>7757</v>
      </c>
      <c r="AD706" s="77" t="s">
        <v>7788</v>
      </c>
      <c r="AE706" s="80" t="str">
        <f>HYPERLINK("https://twitter.com/einvestidor/status/1679214092228128797")</f>
        <v>https://twitter.com/einvestidor/status/1679214092228128797</v>
      </c>
      <c r="AF706" s="79">
        <v>45119.81958333333</v>
      </c>
      <c r="AG706" s="85">
        <v>45119</v>
      </c>
      <c r="AH706" s="82" t="s">
        <v>8435</v>
      </c>
      <c r="AI706" s="77" t="b">
        <v>0</v>
      </c>
      <c r="AJ706" s="77"/>
      <c r="AK706" s="77"/>
      <c r="AL706" s="77"/>
      <c r="AM706" s="77"/>
      <c r="AN706" s="77"/>
      <c r="AO706" s="77"/>
      <c r="AP706" s="77"/>
      <c r="AQ706" s="77"/>
      <c r="AR706" s="77"/>
      <c r="AS706" s="77"/>
      <c r="AT706" s="77"/>
      <c r="AU706" s="77"/>
      <c r="AV706" s="80" t="str">
        <f>HYPERLINK("https://pbs.twimg.com/profile_images/1241147984924082183/gZgx_hL-_normal.jpg")</f>
        <v>https://pbs.twimg.com/profile_images/1241147984924082183/gZgx_hL-_normal.jpg</v>
      </c>
      <c r="AW706" s="82" t="s">
        <v>12404</v>
      </c>
      <c r="AX706" s="82" t="s">
        <v>12404</v>
      </c>
      <c r="AY706" s="77"/>
      <c r="AZ706" s="82" t="s">
        <v>15984</v>
      </c>
      <c r="BA706" s="82" t="s">
        <v>15984</v>
      </c>
      <c r="BB706" s="82" t="s">
        <v>15984</v>
      </c>
      <c r="BC706" s="82" t="s">
        <v>12404</v>
      </c>
      <c r="BD706" s="82" t="s">
        <v>15979</v>
      </c>
      <c r="BE706" s="77"/>
      <c r="BF706" s="77"/>
      <c r="BG706" s="77"/>
      <c r="BH706" s="77"/>
      <c r="BI706" s="77"/>
    </row>
    <row r="707" spans="1:61" x14ac:dyDescent="0.25">
      <c r="A707" s="62" t="s">
        <v>387</v>
      </c>
      <c r="B707" s="62" t="s">
        <v>449</v>
      </c>
      <c r="C707" s="63"/>
      <c r="D707" s="64"/>
      <c r="E707" s="65"/>
      <c r="F707" s="66"/>
      <c r="G707" s="63"/>
      <c r="H707" s="67"/>
      <c r="I707" s="68"/>
      <c r="J707" s="68"/>
      <c r="K707" s="32"/>
      <c r="L707" s="75">
        <v>707</v>
      </c>
      <c r="M707" s="75"/>
      <c r="N707" s="70"/>
      <c r="O707" s="77" t="s">
        <v>895</v>
      </c>
      <c r="P707" s="79">
        <v>45177.854166666664</v>
      </c>
      <c r="Q707" s="77" t="s">
        <v>1563</v>
      </c>
      <c r="R707" s="77">
        <v>1</v>
      </c>
      <c r="S707" s="77">
        <v>2</v>
      </c>
      <c r="T707" s="77">
        <v>0</v>
      </c>
      <c r="U707" s="77">
        <v>0</v>
      </c>
      <c r="V707" s="77">
        <v>807</v>
      </c>
      <c r="W707" s="82" t="s">
        <v>5189</v>
      </c>
      <c r="X707" s="80" t="str">
        <f>HYPERLINK("https://einvestidor.estadao.com.br/educacao-financeira/leitores-e-investidor-curso-gratuito-comecar-investir/?utm_source=twitter&amp;utm_medium=organic&amp;utm_campaign=&amp;utm_content=materia")</f>
        <v>https://einvestidor.estadao.com.br/educacao-financeira/leitores-e-investidor-curso-gratuito-comecar-investir/?utm_source=twitter&amp;utm_medium=organic&amp;utm_campaign=&amp;utm_content=materia</v>
      </c>
      <c r="Y707" s="77" t="s">
        <v>6470</v>
      </c>
      <c r="Z707" s="77" t="s">
        <v>449</v>
      </c>
      <c r="AA707" s="77"/>
      <c r="AB707" s="77"/>
      <c r="AC707" s="82" t="s">
        <v>7750</v>
      </c>
      <c r="AD707" s="77" t="s">
        <v>7788</v>
      </c>
      <c r="AE707" s="80" t="str">
        <f>HYPERLINK("https://twitter.com/einvestidor/status/1700245120191226065")</f>
        <v>https://twitter.com/einvestidor/status/1700245120191226065</v>
      </c>
      <c r="AF707" s="79">
        <v>45177.854166666664</v>
      </c>
      <c r="AG707" s="85">
        <v>45177</v>
      </c>
      <c r="AH707" s="82" t="s">
        <v>8090</v>
      </c>
      <c r="AI707" s="77" t="b">
        <v>0</v>
      </c>
      <c r="AJ707" s="77"/>
      <c r="AK707" s="77"/>
      <c r="AL707" s="77"/>
      <c r="AM707" s="77"/>
      <c r="AN707" s="77"/>
      <c r="AO707" s="77"/>
      <c r="AP707" s="77"/>
      <c r="AQ707" s="77"/>
      <c r="AR707" s="77"/>
      <c r="AS707" s="77"/>
      <c r="AT707" s="77"/>
      <c r="AU707" s="77"/>
      <c r="AV707" s="80" t="str">
        <f>HYPERLINK("https://pbs.twimg.com/profile_images/1241147984924082183/gZgx_hL-_normal.jpg")</f>
        <v>https://pbs.twimg.com/profile_images/1241147984924082183/gZgx_hL-_normal.jpg</v>
      </c>
      <c r="AW707" s="82" t="s">
        <v>12405</v>
      </c>
      <c r="AX707" s="82" t="s">
        <v>12405</v>
      </c>
      <c r="AY707" s="77"/>
      <c r="AZ707" s="82" t="s">
        <v>15984</v>
      </c>
      <c r="BA707" s="82" t="s">
        <v>15984</v>
      </c>
      <c r="BB707" s="82" t="s">
        <v>15984</v>
      </c>
      <c r="BC707" s="82" t="s">
        <v>12405</v>
      </c>
      <c r="BD707" s="82" t="s">
        <v>15979</v>
      </c>
      <c r="BE707" s="77"/>
      <c r="BF707" s="77"/>
      <c r="BG707" s="77"/>
      <c r="BH707" s="77"/>
      <c r="BI707" s="77"/>
    </row>
    <row r="708" spans="1:61" x14ac:dyDescent="0.25">
      <c r="A708" s="62" t="s">
        <v>449</v>
      </c>
      <c r="B708" s="62" t="s">
        <v>387</v>
      </c>
      <c r="C708" s="63"/>
      <c r="D708" s="64"/>
      <c r="E708" s="65"/>
      <c r="F708" s="66"/>
      <c r="G708" s="63"/>
      <c r="H708" s="67"/>
      <c r="I708" s="68"/>
      <c r="J708" s="68"/>
      <c r="K708" s="32"/>
      <c r="L708" s="75">
        <v>708</v>
      </c>
      <c r="M708" s="75"/>
      <c r="N708" s="70"/>
      <c r="O708" s="77" t="s">
        <v>897</v>
      </c>
      <c r="P708" s="79">
        <v>45189.754074074073</v>
      </c>
      <c r="Q708" s="77" t="s">
        <v>1564</v>
      </c>
      <c r="R708" s="77">
        <v>1</v>
      </c>
      <c r="S708" s="77">
        <v>0</v>
      </c>
      <c r="T708" s="77">
        <v>0</v>
      </c>
      <c r="U708" s="77">
        <v>0</v>
      </c>
      <c r="V708" s="77"/>
      <c r="W708" s="82" t="s">
        <v>4833</v>
      </c>
      <c r="X708" s="80" t="str">
        <f>HYPERLINK("https://einvestidor.estadao.com.br/mercado/mercado-intraday-20-09-2023/?utm_source=twitter&amp;utm_medium=organic&amp;utm_campaign=&amp;utm_content=materia")</f>
        <v>https://einvestidor.estadao.com.br/mercado/mercado-intraday-20-09-2023/?utm_source=twitter&amp;utm_medium=organic&amp;utm_campaign=&amp;utm_content=materia</v>
      </c>
      <c r="Y708" s="77" t="s">
        <v>6470</v>
      </c>
      <c r="Z708" s="77" t="s">
        <v>387</v>
      </c>
      <c r="AA708" s="77"/>
      <c r="AB708" s="77"/>
      <c r="AC708" s="82" t="s">
        <v>7751</v>
      </c>
      <c r="AD708" s="77" t="s">
        <v>7790</v>
      </c>
      <c r="AE708" s="80" t="str">
        <f>HYPERLINK("https://twitter.com/agoracorretora/status/1704557501662810262")</f>
        <v>https://twitter.com/agoracorretora/status/1704557501662810262</v>
      </c>
      <c r="AF708" s="79">
        <v>45189.754074074073</v>
      </c>
      <c r="AG708" s="85">
        <v>45189</v>
      </c>
      <c r="AH708" s="82" t="s">
        <v>8436</v>
      </c>
      <c r="AI708" s="77" t="b">
        <v>0</v>
      </c>
      <c r="AJ708" s="77"/>
      <c r="AK708" s="77"/>
      <c r="AL708" s="77"/>
      <c r="AM708" s="77"/>
      <c r="AN708" s="77"/>
      <c r="AO708" s="77"/>
      <c r="AP708" s="77"/>
      <c r="AQ708" s="77"/>
      <c r="AR708" s="77"/>
      <c r="AS708" s="77"/>
      <c r="AT708" s="77"/>
      <c r="AU708" s="77"/>
      <c r="AV708" s="80" t="str">
        <f>HYPERLINK("https://pbs.twimg.com/profile_images/1181220544785584128/YUICrsyV_normal.jpg")</f>
        <v>https://pbs.twimg.com/profile_images/1181220544785584128/YUICrsyV_normal.jpg</v>
      </c>
      <c r="AW708" s="82" t="s">
        <v>12406</v>
      </c>
      <c r="AX708" s="82" t="s">
        <v>12406</v>
      </c>
      <c r="AY708" s="77"/>
      <c r="AZ708" s="82" t="s">
        <v>15984</v>
      </c>
      <c r="BA708" s="82" t="s">
        <v>15984</v>
      </c>
      <c r="BB708" s="82" t="s">
        <v>14739</v>
      </c>
      <c r="BC708" s="82" t="s">
        <v>14739</v>
      </c>
      <c r="BD708" s="77">
        <v>22611794</v>
      </c>
      <c r="BE708" s="77"/>
      <c r="BF708" s="77"/>
      <c r="BG708" s="77"/>
      <c r="BH708" s="77"/>
      <c r="BI708" s="77"/>
    </row>
    <row r="709" spans="1:61" x14ac:dyDescent="0.25">
      <c r="A709" s="62" t="s">
        <v>449</v>
      </c>
      <c r="B709" s="62" t="s">
        <v>387</v>
      </c>
      <c r="C709" s="63"/>
      <c r="D709" s="64"/>
      <c r="E709" s="65"/>
      <c r="F709" s="66"/>
      <c r="G709" s="63"/>
      <c r="H709" s="67"/>
      <c r="I709" s="68"/>
      <c r="J709" s="68"/>
      <c r="K709" s="32"/>
      <c r="L709" s="75">
        <v>709</v>
      </c>
      <c r="M709" s="75"/>
      <c r="N709" s="70"/>
      <c r="O709" s="77" t="s">
        <v>897</v>
      </c>
      <c r="P709" s="79">
        <v>45190.75886574074</v>
      </c>
      <c r="Q709" s="77" t="s">
        <v>1565</v>
      </c>
      <c r="R709" s="77">
        <v>1</v>
      </c>
      <c r="S709" s="77">
        <v>0</v>
      </c>
      <c r="T709" s="77">
        <v>0</v>
      </c>
      <c r="U709" s="77">
        <v>0</v>
      </c>
      <c r="V709" s="77"/>
      <c r="W709" s="82" t="s">
        <v>4833</v>
      </c>
      <c r="X709" s="77"/>
      <c r="Y709" s="77"/>
      <c r="Z709" s="77" t="s">
        <v>387</v>
      </c>
      <c r="AA709" s="77"/>
      <c r="AB709" s="77"/>
      <c r="AC709" s="82" t="s">
        <v>7750</v>
      </c>
      <c r="AD709" s="77" t="s">
        <v>7788</v>
      </c>
      <c r="AE709" s="80" t="str">
        <f>HYPERLINK("https://twitter.com/agoracorretora/status/1704921628595912938")</f>
        <v>https://twitter.com/agoracorretora/status/1704921628595912938</v>
      </c>
      <c r="AF709" s="79">
        <v>45190.75886574074</v>
      </c>
      <c r="AG709" s="85">
        <v>45190</v>
      </c>
      <c r="AH709" s="82" t="s">
        <v>7979</v>
      </c>
      <c r="AI709" s="77" t="b">
        <v>0</v>
      </c>
      <c r="AJ709" s="77"/>
      <c r="AK709" s="77"/>
      <c r="AL709" s="77"/>
      <c r="AM709" s="77"/>
      <c r="AN709" s="77"/>
      <c r="AO709" s="77"/>
      <c r="AP709" s="77"/>
      <c r="AQ709" s="77"/>
      <c r="AR709" s="77"/>
      <c r="AS709" s="77"/>
      <c r="AT709" s="77"/>
      <c r="AU709" s="77"/>
      <c r="AV709" s="80" t="str">
        <f>HYPERLINK("https://pbs.twimg.com/profile_images/1181220544785584128/YUICrsyV_normal.jpg")</f>
        <v>https://pbs.twimg.com/profile_images/1181220544785584128/YUICrsyV_normal.jpg</v>
      </c>
      <c r="AW709" s="82" t="s">
        <v>12407</v>
      </c>
      <c r="AX709" s="82" t="s">
        <v>12407</v>
      </c>
      <c r="AY709" s="77"/>
      <c r="AZ709" s="82" t="s">
        <v>15984</v>
      </c>
      <c r="BA709" s="82" t="s">
        <v>15984</v>
      </c>
      <c r="BB709" s="82" t="s">
        <v>15038</v>
      </c>
      <c r="BC709" s="82" t="s">
        <v>15038</v>
      </c>
      <c r="BD709" s="77">
        <v>22611794</v>
      </c>
      <c r="BE709" s="77"/>
      <c r="BF709" s="77"/>
      <c r="BG709" s="77"/>
      <c r="BH709" s="77"/>
      <c r="BI709" s="77"/>
    </row>
    <row r="710" spans="1:61" x14ac:dyDescent="0.25">
      <c r="A710" s="62" t="s">
        <v>449</v>
      </c>
      <c r="B710" s="62" t="s">
        <v>387</v>
      </c>
      <c r="C710" s="63"/>
      <c r="D710" s="64"/>
      <c r="E710" s="65"/>
      <c r="F710" s="66"/>
      <c r="G710" s="63"/>
      <c r="H710" s="67"/>
      <c r="I710" s="68"/>
      <c r="J710" s="68"/>
      <c r="K710" s="32"/>
      <c r="L710" s="75">
        <v>710</v>
      </c>
      <c r="M710" s="75"/>
      <c r="N710" s="70"/>
      <c r="O710" s="77" t="s">
        <v>897</v>
      </c>
      <c r="P710" s="79">
        <v>45191.777592592596</v>
      </c>
      <c r="Q710" s="77" t="s">
        <v>1566</v>
      </c>
      <c r="R710" s="77">
        <v>1</v>
      </c>
      <c r="S710" s="77">
        <v>0</v>
      </c>
      <c r="T710" s="77">
        <v>0</v>
      </c>
      <c r="U710" s="77">
        <v>0</v>
      </c>
      <c r="V710" s="77"/>
      <c r="W710" s="82" t="s">
        <v>4833</v>
      </c>
      <c r="X710" s="77"/>
      <c r="Y710" s="77"/>
      <c r="Z710" s="77" t="s">
        <v>387</v>
      </c>
      <c r="AA710" s="77"/>
      <c r="AB710" s="77"/>
      <c r="AC710" s="82" t="s">
        <v>7750</v>
      </c>
      <c r="AD710" s="77" t="s">
        <v>7788</v>
      </c>
      <c r="AE710" s="80" t="str">
        <f>HYPERLINK("https://twitter.com/agoracorretora/status/1705290800610017714")</f>
        <v>https://twitter.com/agoracorretora/status/1705290800610017714</v>
      </c>
      <c r="AF710" s="79">
        <v>45191.777592592596</v>
      </c>
      <c r="AG710" s="85">
        <v>45191</v>
      </c>
      <c r="AH710" s="82" t="s">
        <v>8437</v>
      </c>
      <c r="AI710" s="77" t="b">
        <v>0</v>
      </c>
      <c r="AJ710" s="77"/>
      <c r="AK710" s="77"/>
      <c r="AL710" s="77"/>
      <c r="AM710" s="77"/>
      <c r="AN710" s="77"/>
      <c r="AO710" s="77"/>
      <c r="AP710" s="77"/>
      <c r="AQ710" s="77"/>
      <c r="AR710" s="77"/>
      <c r="AS710" s="77"/>
      <c r="AT710" s="77"/>
      <c r="AU710" s="77"/>
      <c r="AV710" s="80" t="str">
        <f>HYPERLINK("https://pbs.twimg.com/profile_images/1181220544785584128/YUICrsyV_normal.jpg")</f>
        <v>https://pbs.twimg.com/profile_images/1181220544785584128/YUICrsyV_normal.jpg</v>
      </c>
      <c r="AW710" s="82" t="s">
        <v>12408</v>
      </c>
      <c r="AX710" s="82" t="s">
        <v>12408</v>
      </c>
      <c r="AY710" s="77"/>
      <c r="AZ710" s="82" t="s">
        <v>15984</v>
      </c>
      <c r="BA710" s="82" t="s">
        <v>15984</v>
      </c>
      <c r="BB710" s="82" t="s">
        <v>14954</v>
      </c>
      <c r="BC710" s="82" t="s">
        <v>14954</v>
      </c>
      <c r="BD710" s="77">
        <v>22611794</v>
      </c>
      <c r="BE710" s="77"/>
      <c r="BF710" s="77"/>
      <c r="BG710" s="77"/>
      <c r="BH710" s="77"/>
      <c r="BI710" s="77"/>
    </row>
    <row r="711" spans="1:61" x14ac:dyDescent="0.25">
      <c r="A711" s="62" t="s">
        <v>449</v>
      </c>
      <c r="B711" s="62" t="s">
        <v>387</v>
      </c>
      <c r="C711" s="63"/>
      <c r="D711" s="64"/>
      <c r="E711" s="65"/>
      <c r="F711" s="66"/>
      <c r="G711" s="63"/>
      <c r="H711" s="67"/>
      <c r="I711" s="68"/>
      <c r="J711" s="68"/>
      <c r="K711" s="32"/>
      <c r="L711" s="75">
        <v>711</v>
      </c>
      <c r="M711" s="75"/>
      <c r="N711" s="70"/>
      <c r="O711" s="77" t="s">
        <v>897</v>
      </c>
      <c r="P711" s="79">
        <v>45188.724120370367</v>
      </c>
      <c r="Q711" s="77" t="s">
        <v>1567</v>
      </c>
      <c r="R711" s="77">
        <v>1</v>
      </c>
      <c r="S711" s="77">
        <v>0</v>
      </c>
      <c r="T711" s="77">
        <v>0</v>
      </c>
      <c r="U711" s="77">
        <v>0</v>
      </c>
      <c r="V711" s="77"/>
      <c r="W711" s="82" t="s">
        <v>4833</v>
      </c>
      <c r="X711" s="77"/>
      <c r="Y711" s="77"/>
      <c r="Z711" s="77" t="s">
        <v>387</v>
      </c>
      <c r="AA711" s="77"/>
      <c r="AB711" s="77"/>
      <c r="AC711" s="82" t="s">
        <v>7751</v>
      </c>
      <c r="AD711" s="77" t="s">
        <v>7788</v>
      </c>
      <c r="AE711" s="80" t="str">
        <f>HYPERLINK("https://twitter.com/agoracorretora/status/1704184260955898003")</f>
        <v>https://twitter.com/agoracorretora/status/1704184260955898003</v>
      </c>
      <c r="AF711" s="79">
        <v>45188.724120370367</v>
      </c>
      <c r="AG711" s="85">
        <v>45188</v>
      </c>
      <c r="AH711" s="82" t="s">
        <v>8438</v>
      </c>
      <c r="AI711" s="77" t="b">
        <v>0</v>
      </c>
      <c r="AJ711" s="77"/>
      <c r="AK711" s="77"/>
      <c r="AL711" s="77"/>
      <c r="AM711" s="77"/>
      <c r="AN711" s="77"/>
      <c r="AO711" s="77"/>
      <c r="AP711" s="77"/>
      <c r="AQ711" s="77"/>
      <c r="AR711" s="77"/>
      <c r="AS711" s="77"/>
      <c r="AT711" s="77"/>
      <c r="AU711" s="77"/>
      <c r="AV711" s="80" t="str">
        <f>HYPERLINK("https://pbs.twimg.com/profile_images/1181220544785584128/YUICrsyV_normal.jpg")</f>
        <v>https://pbs.twimg.com/profile_images/1181220544785584128/YUICrsyV_normal.jpg</v>
      </c>
      <c r="AW711" s="82" t="s">
        <v>12409</v>
      </c>
      <c r="AX711" s="82" t="s">
        <v>12409</v>
      </c>
      <c r="AY711" s="77"/>
      <c r="AZ711" s="82" t="s">
        <v>15984</v>
      </c>
      <c r="BA711" s="82" t="s">
        <v>15984</v>
      </c>
      <c r="BB711" s="82" t="s">
        <v>14882</v>
      </c>
      <c r="BC711" s="82" t="s">
        <v>14882</v>
      </c>
      <c r="BD711" s="77">
        <v>22611794</v>
      </c>
      <c r="BE711" s="77"/>
      <c r="BF711" s="77"/>
      <c r="BG711" s="77"/>
      <c r="BH711" s="77"/>
      <c r="BI711" s="77"/>
    </row>
    <row r="712" spans="1:61" x14ac:dyDescent="0.25">
      <c r="A712" s="62" t="s">
        <v>449</v>
      </c>
      <c r="B712" s="62" t="s">
        <v>387</v>
      </c>
      <c r="C712" s="63"/>
      <c r="D712" s="64"/>
      <c r="E712" s="65"/>
      <c r="F712" s="66"/>
      <c r="G712" s="63"/>
      <c r="H712" s="67"/>
      <c r="I712" s="68"/>
      <c r="J712" s="68"/>
      <c r="K712" s="32"/>
      <c r="L712" s="75">
        <v>712</v>
      </c>
      <c r="M712" s="75"/>
      <c r="N712" s="70"/>
      <c r="O712" s="77" t="s">
        <v>897</v>
      </c>
      <c r="P712" s="79">
        <v>45194.762164351851</v>
      </c>
      <c r="Q712" s="77" t="s">
        <v>1568</v>
      </c>
      <c r="R712" s="77">
        <v>1</v>
      </c>
      <c r="S712" s="77">
        <v>0</v>
      </c>
      <c r="T712" s="77">
        <v>0</v>
      </c>
      <c r="U712" s="77">
        <v>0</v>
      </c>
      <c r="V712" s="77"/>
      <c r="W712" s="82" t="s">
        <v>4833</v>
      </c>
      <c r="X712" s="77"/>
      <c r="Y712" s="77"/>
      <c r="Z712" s="77" t="s">
        <v>387</v>
      </c>
      <c r="AA712" s="77"/>
      <c r="AB712" s="77"/>
      <c r="AC712" s="82" t="s">
        <v>7750</v>
      </c>
      <c r="AD712" s="77" t="s">
        <v>7788</v>
      </c>
      <c r="AE712" s="80" t="str">
        <f>HYPERLINK("https://twitter.com/agoracorretora/status/1706372374281572598")</f>
        <v>https://twitter.com/agoracorretora/status/1706372374281572598</v>
      </c>
      <c r="AF712" s="79">
        <v>45194.762164351851</v>
      </c>
      <c r="AG712" s="85">
        <v>45194</v>
      </c>
      <c r="AH712" s="82" t="s">
        <v>8439</v>
      </c>
      <c r="AI712" s="77" t="b">
        <v>0</v>
      </c>
      <c r="AJ712" s="77"/>
      <c r="AK712" s="77"/>
      <c r="AL712" s="77"/>
      <c r="AM712" s="77"/>
      <c r="AN712" s="77"/>
      <c r="AO712" s="77"/>
      <c r="AP712" s="77"/>
      <c r="AQ712" s="77"/>
      <c r="AR712" s="77"/>
      <c r="AS712" s="77"/>
      <c r="AT712" s="77"/>
      <c r="AU712" s="77"/>
      <c r="AV712" s="80" t="str">
        <f>HYPERLINK("https://pbs.twimg.com/profile_images/1181220544785584128/YUICrsyV_normal.jpg")</f>
        <v>https://pbs.twimg.com/profile_images/1181220544785584128/YUICrsyV_normal.jpg</v>
      </c>
      <c r="AW712" s="82" t="s">
        <v>12410</v>
      </c>
      <c r="AX712" s="82" t="s">
        <v>12410</v>
      </c>
      <c r="AY712" s="77"/>
      <c r="AZ712" s="82" t="s">
        <v>15984</v>
      </c>
      <c r="BA712" s="82" t="s">
        <v>15984</v>
      </c>
      <c r="BB712" s="82" t="s">
        <v>15212</v>
      </c>
      <c r="BC712" s="82" t="s">
        <v>15212</v>
      </c>
      <c r="BD712" s="77">
        <v>22611794</v>
      </c>
      <c r="BE712" s="77"/>
      <c r="BF712" s="77"/>
      <c r="BG712" s="77"/>
      <c r="BH712" s="77"/>
      <c r="BI712" s="77"/>
    </row>
    <row r="713" spans="1:61" x14ac:dyDescent="0.25">
      <c r="A713" s="62" t="s">
        <v>450</v>
      </c>
      <c r="B713" s="62" t="s">
        <v>614</v>
      </c>
      <c r="C713" s="63"/>
      <c r="D713" s="64"/>
      <c r="E713" s="65"/>
      <c r="F713" s="66"/>
      <c r="G713" s="63"/>
      <c r="H713" s="67"/>
      <c r="I713" s="68"/>
      <c r="J713" s="68"/>
      <c r="K713" s="32"/>
      <c r="L713" s="75">
        <v>713</v>
      </c>
      <c r="M713" s="75"/>
      <c r="N713" s="70"/>
      <c r="O713" s="77" t="s">
        <v>897</v>
      </c>
      <c r="P713" s="79">
        <v>45191.679097222222</v>
      </c>
      <c r="Q713" s="77" t="s">
        <v>1569</v>
      </c>
      <c r="R713" s="77">
        <v>4</v>
      </c>
      <c r="S713" s="77">
        <v>0</v>
      </c>
      <c r="T713" s="77">
        <v>0</v>
      </c>
      <c r="U713" s="77">
        <v>0</v>
      </c>
      <c r="V713" s="77"/>
      <c r="W713" s="82" t="s">
        <v>4821</v>
      </c>
      <c r="X713" s="77"/>
      <c r="Y713" s="77"/>
      <c r="Z713" s="77" t="s">
        <v>614</v>
      </c>
      <c r="AA713" s="77"/>
      <c r="AB713" s="77"/>
      <c r="AC713" s="82" t="s">
        <v>7752</v>
      </c>
      <c r="AD713" s="77" t="s">
        <v>7790</v>
      </c>
      <c r="AE713" s="80" t="str">
        <f>HYPERLINK("https://twitter.com/nicolslpezm2/status/1705255106898284691")</f>
        <v>https://twitter.com/nicolslpezm2/status/1705255106898284691</v>
      </c>
      <c r="AF713" s="79">
        <v>45191.679097222222</v>
      </c>
      <c r="AG713" s="85">
        <v>45191</v>
      </c>
      <c r="AH713" s="82" t="s">
        <v>8440</v>
      </c>
      <c r="AI713" s="77"/>
      <c r="AJ713" s="77"/>
      <c r="AK713" s="77"/>
      <c r="AL713" s="77"/>
      <c r="AM713" s="77"/>
      <c r="AN713" s="77"/>
      <c r="AO713" s="77"/>
      <c r="AP713" s="77"/>
      <c r="AQ713" s="77"/>
      <c r="AR713" s="77"/>
      <c r="AS713" s="77"/>
      <c r="AT713" s="77"/>
      <c r="AU713" s="77"/>
      <c r="AV713" s="80" t="str">
        <f>HYPERLINK("https://abs.twimg.com/sticky/default_profile_images/default_profile_normal.png")</f>
        <v>https://abs.twimg.com/sticky/default_profile_images/default_profile_normal.png</v>
      </c>
      <c r="AW713" s="82" t="s">
        <v>12411</v>
      </c>
      <c r="AX713" s="82" t="s">
        <v>12411</v>
      </c>
      <c r="AY713" s="77"/>
      <c r="AZ713" s="82" t="s">
        <v>15984</v>
      </c>
      <c r="BA713" s="82" t="s">
        <v>15984</v>
      </c>
      <c r="BB713" s="82" t="s">
        <v>15301</v>
      </c>
      <c r="BC713" s="82" t="s">
        <v>15301</v>
      </c>
      <c r="BD713" s="82" t="s">
        <v>16238</v>
      </c>
      <c r="BE713" s="77"/>
      <c r="BF713" s="77"/>
      <c r="BG713" s="77"/>
      <c r="BH713" s="77"/>
      <c r="BI713" s="77"/>
    </row>
    <row r="714" spans="1:61" x14ac:dyDescent="0.25">
      <c r="A714" s="62" t="s">
        <v>451</v>
      </c>
      <c r="B714" s="62" t="s">
        <v>387</v>
      </c>
      <c r="C714" s="63"/>
      <c r="D714" s="64"/>
      <c r="E714" s="65"/>
      <c r="F714" s="66"/>
      <c r="G714" s="63"/>
      <c r="H714" s="67"/>
      <c r="I714" s="68"/>
      <c r="J714" s="68"/>
      <c r="K714" s="32"/>
      <c r="L714" s="75">
        <v>714</v>
      </c>
      <c r="M714" s="75"/>
      <c r="N714" s="70"/>
      <c r="O714" s="77" t="s">
        <v>897</v>
      </c>
      <c r="P714" s="79">
        <v>45188.465069444443</v>
      </c>
      <c r="Q714" s="77" t="s">
        <v>1570</v>
      </c>
      <c r="R714" s="77">
        <v>1</v>
      </c>
      <c r="S714" s="77">
        <v>0</v>
      </c>
      <c r="T714" s="77">
        <v>0</v>
      </c>
      <c r="U714" s="77">
        <v>0</v>
      </c>
      <c r="V714" s="77"/>
      <c r="W714" s="82" t="s">
        <v>5190</v>
      </c>
      <c r="X714" s="77"/>
      <c r="Y714" s="77"/>
      <c r="Z714" s="77" t="s">
        <v>387</v>
      </c>
      <c r="AA714" s="77"/>
      <c r="AB714" s="77"/>
      <c r="AC714" s="82" t="s">
        <v>7751</v>
      </c>
      <c r="AD714" s="77" t="s">
        <v>7788</v>
      </c>
      <c r="AE714" s="80" t="str">
        <f>HYPERLINK("https://twitter.com/lilianeferrari/status/1704090381703340069")</f>
        <v>https://twitter.com/lilianeferrari/status/1704090381703340069</v>
      </c>
      <c r="AF714" s="79">
        <v>45188.465069444443</v>
      </c>
      <c r="AG714" s="85">
        <v>45188</v>
      </c>
      <c r="AH714" s="82" t="s">
        <v>8441</v>
      </c>
      <c r="AI714" s="77"/>
      <c r="AJ714" s="77"/>
      <c r="AK714" s="77"/>
      <c r="AL714" s="77"/>
      <c r="AM714" s="77"/>
      <c r="AN714" s="77"/>
      <c r="AO714" s="77"/>
      <c r="AP714" s="77"/>
      <c r="AQ714" s="77"/>
      <c r="AR714" s="77"/>
      <c r="AS714" s="77"/>
      <c r="AT714" s="77"/>
      <c r="AU714" s="77"/>
      <c r="AV714" s="80" t="str">
        <f>HYPERLINK("https://pbs.twimg.com/profile_images/1577416916137783296/cSzvAevD_normal.jpg")</f>
        <v>https://pbs.twimg.com/profile_images/1577416916137783296/cSzvAevD_normal.jpg</v>
      </c>
      <c r="AW714" s="82" t="s">
        <v>12412</v>
      </c>
      <c r="AX714" s="82" t="s">
        <v>12412</v>
      </c>
      <c r="AY714" s="77"/>
      <c r="AZ714" s="82" t="s">
        <v>15984</v>
      </c>
      <c r="BA714" s="82" t="s">
        <v>15984</v>
      </c>
      <c r="BB714" s="82" t="s">
        <v>15066</v>
      </c>
      <c r="BC714" s="82" t="s">
        <v>15066</v>
      </c>
      <c r="BD714" s="77">
        <v>13113932</v>
      </c>
      <c r="BE714" s="77"/>
      <c r="BF714" s="77"/>
      <c r="BG714" s="77"/>
      <c r="BH714" s="77"/>
      <c r="BI714" s="77"/>
    </row>
    <row r="715" spans="1:61" x14ac:dyDescent="0.25">
      <c r="A715" s="62" t="s">
        <v>452</v>
      </c>
      <c r="B715" s="62" t="s">
        <v>452</v>
      </c>
      <c r="C715" s="63"/>
      <c r="D715" s="64"/>
      <c r="E715" s="65"/>
      <c r="F715" s="66"/>
      <c r="G715" s="63"/>
      <c r="H715" s="67"/>
      <c r="I715" s="68"/>
      <c r="J715" s="68"/>
      <c r="K715" s="32"/>
      <c r="L715" s="75">
        <v>715</v>
      </c>
      <c r="M715" s="75"/>
      <c r="N715" s="70"/>
      <c r="O715" s="77" t="s">
        <v>898</v>
      </c>
      <c r="P715" s="79">
        <v>45184.762476851851</v>
      </c>
      <c r="Q715" s="77" t="s">
        <v>1571</v>
      </c>
      <c r="R715" s="77">
        <v>0</v>
      </c>
      <c r="S715" s="77">
        <v>0</v>
      </c>
      <c r="T715" s="77">
        <v>1</v>
      </c>
      <c r="U715" s="77">
        <v>0</v>
      </c>
      <c r="V715" s="77">
        <v>16</v>
      </c>
      <c r="W715" s="82" t="s">
        <v>5191</v>
      </c>
      <c r="X715" s="77"/>
      <c r="Y715" s="77"/>
      <c r="Z715" s="77"/>
      <c r="AA715" s="77" t="s">
        <v>7053</v>
      </c>
      <c r="AB715" s="77" t="s">
        <v>7742</v>
      </c>
      <c r="AC715" s="82" t="s">
        <v>7751</v>
      </c>
      <c r="AD715" s="77" t="s">
        <v>7791</v>
      </c>
      <c r="AE715" s="80" t="str">
        <f>HYPERLINK("https://twitter.com/careca4p/status/1702748607797944469")</f>
        <v>https://twitter.com/careca4p/status/1702748607797944469</v>
      </c>
      <c r="AF715" s="79">
        <v>45184.762476851851</v>
      </c>
      <c r="AG715" s="85">
        <v>45184</v>
      </c>
      <c r="AH715" s="82" t="s">
        <v>8442</v>
      </c>
      <c r="AI715" s="77" t="b">
        <v>0</v>
      </c>
      <c r="AJ715" s="77"/>
      <c r="AK715" s="77"/>
      <c r="AL715" s="77"/>
      <c r="AM715" s="77"/>
      <c r="AN715" s="77"/>
      <c r="AO715" s="77"/>
      <c r="AP715" s="77"/>
      <c r="AQ715" s="77" t="s">
        <v>11025</v>
      </c>
      <c r="AR715" s="77"/>
      <c r="AS715" s="77"/>
      <c r="AT715" s="77"/>
      <c r="AU715" s="77"/>
      <c r="AV715" s="80" t="str">
        <f>HYPERLINK("https://pbs.twimg.com/media/F6Fg1c-XEAA7qrP.jpg")</f>
        <v>https://pbs.twimg.com/media/F6Fg1c-XEAA7qrP.jpg</v>
      </c>
      <c r="AW715" s="82" t="s">
        <v>12413</v>
      </c>
      <c r="AX715" s="82" t="s">
        <v>15790</v>
      </c>
      <c r="AY715" s="82" t="s">
        <v>15943</v>
      </c>
      <c r="AZ715" s="82" t="s">
        <v>12414</v>
      </c>
      <c r="BA715" s="82" t="s">
        <v>15984</v>
      </c>
      <c r="BB715" s="82" t="s">
        <v>15984</v>
      </c>
      <c r="BC715" s="82" t="s">
        <v>12414</v>
      </c>
      <c r="BD715" s="77">
        <v>276983166</v>
      </c>
      <c r="BE715" s="77"/>
      <c r="BF715" s="77"/>
      <c r="BG715" s="77"/>
      <c r="BH715" s="77"/>
      <c r="BI715" s="77"/>
    </row>
    <row r="716" spans="1:61" x14ac:dyDescent="0.25">
      <c r="A716" s="62" t="s">
        <v>452</v>
      </c>
      <c r="B716" s="62" t="s">
        <v>452</v>
      </c>
      <c r="C716" s="63"/>
      <c r="D716" s="64"/>
      <c r="E716" s="65"/>
      <c r="F716" s="66"/>
      <c r="G716" s="63"/>
      <c r="H716" s="67"/>
      <c r="I716" s="68"/>
      <c r="J716" s="68"/>
      <c r="K716" s="32"/>
      <c r="L716" s="75">
        <v>716</v>
      </c>
      <c r="M716" s="75"/>
      <c r="N716" s="70"/>
      <c r="O716" s="77" t="s">
        <v>898</v>
      </c>
      <c r="P716" s="79">
        <v>45184.750532407408</v>
      </c>
      <c r="Q716" s="77" t="s">
        <v>1572</v>
      </c>
      <c r="R716" s="77">
        <v>0</v>
      </c>
      <c r="S716" s="77">
        <v>0</v>
      </c>
      <c r="T716" s="77">
        <v>1</v>
      </c>
      <c r="U716" s="77">
        <v>0</v>
      </c>
      <c r="V716" s="77">
        <v>25</v>
      </c>
      <c r="W716" s="82" t="s">
        <v>5192</v>
      </c>
      <c r="X716" s="77"/>
      <c r="Y716" s="77"/>
      <c r="Z716" s="77"/>
      <c r="AA716" s="77" t="s">
        <v>7054</v>
      </c>
      <c r="AB716" s="77" t="s">
        <v>7742</v>
      </c>
      <c r="AC716" s="82" t="s">
        <v>7751</v>
      </c>
      <c r="AD716" s="77" t="s">
        <v>7791</v>
      </c>
      <c r="AE716" s="80" t="str">
        <f>HYPERLINK("https://twitter.com/careca4p/status/1702744280349995335")</f>
        <v>https://twitter.com/careca4p/status/1702744280349995335</v>
      </c>
      <c r="AF716" s="79">
        <v>45184.750532407408</v>
      </c>
      <c r="AG716" s="85">
        <v>45184</v>
      </c>
      <c r="AH716" s="82" t="s">
        <v>8443</v>
      </c>
      <c r="AI716" s="77" t="b">
        <v>0</v>
      </c>
      <c r="AJ716" s="77"/>
      <c r="AK716" s="77"/>
      <c r="AL716" s="77"/>
      <c r="AM716" s="77"/>
      <c r="AN716" s="77"/>
      <c r="AO716" s="77"/>
      <c r="AP716" s="77"/>
      <c r="AQ716" s="77" t="s">
        <v>11026</v>
      </c>
      <c r="AR716" s="77"/>
      <c r="AS716" s="77"/>
      <c r="AT716" s="77"/>
      <c r="AU716" s="77"/>
      <c r="AV716" s="80" t="str">
        <f>HYPERLINK("https://pbs.twimg.com/media/F6Fc5lzXEAE5Iqh.jpg")</f>
        <v>https://pbs.twimg.com/media/F6Fc5lzXEAE5Iqh.jpg</v>
      </c>
      <c r="AW716" s="82" t="s">
        <v>12414</v>
      </c>
      <c r="AX716" s="82" t="s">
        <v>15790</v>
      </c>
      <c r="AY716" s="82" t="s">
        <v>15943</v>
      </c>
      <c r="AZ716" s="82" t="s">
        <v>15790</v>
      </c>
      <c r="BA716" s="82" t="s">
        <v>15984</v>
      </c>
      <c r="BB716" s="82" t="s">
        <v>15984</v>
      </c>
      <c r="BC716" s="82" t="s">
        <v>15790</v>
      </c>
      <c r="BD716" s="77">
        <v>276983166</v>
      </c>
      <c r="BE716" s="77"/>
      <c r="BF716" s="77"/>
      <c r="BG716" s="77"/>
      <c r="BH716" s="77"/>
      <c r="BI716" s="77"/>
    </row>
    <row r="717" spans="1:61" x14ac:dyDescent="0.25">
      <c r="A717" s="62" t="s">
        <v>453</v>
      </c>
      <c r="B717" s="62" t="s">
        <v>453</v>
      </c>
      <c r="C717" s="63"/>
      <c r="D717" s="64"/>
      <c r="E717" s="65"/>
      <c r="F717" s="66"/>
      <c r="G717" s="63"/>
      <c r="H717" s="67"/>
      <c r="I717" s="68"/>
      <c r="J717" s="68"/>
      <c r="K717" s="32"/>
      <c r="L717" s="75">
        <v>717</v>
      </c>
      <c r="M717" s="75"/>
      <c r="N717" s="70"/>
      <c r="O717" s="77" t="s">
        <v>898</v>
      </c>
      <c r="P717" s="79">
        <v>45136.902604166666</v>
      </c>
      <c r="Q717" s="77" t="s">
        <v>1573</v>
      </c>
      <c r="R717" s="77">
        <v>0</v>
      </c>
      <c r="S717" s="77">
        <v>0</v>
      </c>
      <c r="T717" s="77">
        <v>0</v>
      </c>
      <c r="U717" s="77">
        <v>0</v>
      </c>
      <c r="V717" s="77">
        <v>11</v>
      </c>
      <c r="W717" s="82" t="s">
        <v>5193</v>
      </c>
      <c r="X717" s="77"/>
      <c r="Y717" s="77"/>
      <c r="Z717" s="77"/>
      <c r="AA717" s="77"/>
      <c r="AB717" s="77"/>
      <c r="AC717" s="82" t="s">
        <v>7751</v>
      </c>
      <c r="AD717" s="77" t="s">
        <v>7788</v>
      </c>
      <c r="AE717" s="80" t="str">
        <f>HYPERLINK("https://twitter.com/sousadavi/status/1685404773598535680")</f>
        <v>https://twitter.com/sousadavi/status/1685404773598535680</v>
      </c>
      <c r="AF717" s="79">
        <v>45136.902604166666</v>
      </c>
      <c r="AG717" s="85">
        <v>45136</v>
      </c>
      <c r="AH717" s="82" t="s">
        <v>8444</v>
      </c>
      <c r="AI717" s="77"/>
      <c r="AJ717" s="77"/>
      <c r="AK717" s="77"/>
      <c r="AL717" s="77"/>
      <c r="AM717" s="77"/>
      <c r="AN717" s="77"/>
      <c r="AO717" s="77"/>
      <c r="AP717" s="77"/>
      <c r="AQ717" s="77"/>
      <c r="AR717" s="77"/>
      <c r="AS717" s="77"/>
      <c r="AT717" s="77"/>
      <c r="AU717" s="77"/>
      <c r="AV717" s="80" t="str">
        <f>HYPERLINK("https://pbs.twimg.com/profile_images/1630048707226763265/beny6FI2_normal.jpg")</f>
        <v>https://pbs.twimg.com/profile_images/1630048707226763265/beny6FI2_normal.jpg</v>
      </c>
      <c r="AW717" s="82" t="s">
        <v>12415</v>
      </c>
      <c r="AX717" s="82" t="s">
        <v>15791</v>
      </c>
      <c r="AY717" s="82" t="s">
        <v>15944</v>
      </c>
      <c r="AZ717" s="82" t="s">
        <v>16021</v>
      </c>
      <c r="BA717" s="82" t="s">
        <v>15984</v>
      </c>
      <c r="BB717" s="82" t="s">
        <v>15984</v>
      </c>
      <c r="BC717" s="82" t="s">
        <v>16021</v>
      </c>
      <c r="BD717" s="77">
        <v>59811558</v>
      </c>
      <c r="BE717" s="77"/>
      <c r="BF717" s="77"/>
      <c r="BG717" s="77"/>
      <c r="BH717" s="77"/>
      <c r="BI717" s="77"/>
    </row>
    <row r="718" spans="1:61" x14ac:dyDescent="0.25">
      <c r="A718" s="62" t="s">
        <v>454</v>
      </c>
      <c r="B718" s="62" t="s">
        <v>791</v>
      </c>
      <c r="C718" s="63"/>
      <c r="D718" s="64"/>
      <c r="E718" s="65"/>
      <c r="F718" s="66"/>
      <c r="G718" s="63"/>
      <c r="H718" s="67"/>
      <c r="I718" s="68"/>
      <c r="J718" s="68"/>
      <c r="K718" s="32"/>
      <c r="L718" s="75">
        <v>718</v>
      </c>
      <c r="M718" s="75"/>
      <c r="N718" s="70"/>
      <c r="O718" s="77" t="s">
        <v>895</v>
      </c>
      <c r="P718" s="79">
        <v>45122.372928240744</v>
      </c>
      <c r="Q718" s="77" t="s">
        <v>1574</v>
      </c>
      <c r="R718" s="77">
        <v>1</v>
      </c>
      <c r="S718" s="77">
        <v>9</v>
      </c>
      <c r="T718" s="77">
        <v>1</v>
      </c>
      <c r="U718" s="77">
        <v>1</v>
      </c>
      <c r="V718" s="77">
        <v>720</v>
      </c>
      <c r="W718" s="82" t="s">
        <v>5194</v>
      </c>
      <c r="X718" s="77"/>
      <c r="Y718" s="77"/>
      <c r="Z718" s="77" t="s">
        <v>6572</v>
      </c>
      <c r="AA718" s="77" t="s">
        <v>7055</v>
      </c>
      <c r="AB718" s="77" t="s">
        <v>7742</v>
      </c>
      <c r="AC718" s="82" t="s">
        <v>7751</v>
      </c>
      <c r="AD718" s="77" t="s">
        <v>7790</v>
      </c>
      <c r="AE718" s="80" t="str">
        <f>HYPERLINK("https://twitter.com/egonzalez314/status/1680139393670021120")</f>
        <v>https://twitter.com/egonzalez314/status/1680139393670021120</v>
      </c>
      <c r="AF718" s="79">
        <v>45122.372928240744</v>
      </c>
      <c r="AG718" s="85">
        <v>45122</v>
      </c>
      <c r="AH718" s="82" t="s">
        <v>8445</v>
      </c>
      <c r="AI718" s="77" t="b">
        <v>0</v>
      </c>
      <c r="AJ718" s="77"/>
      <c r="AK718" s="77"/>
      <c r="AL718" s="77"/>
      <c r="AM718" s="77"/>
      <c r="AN718" s="77"/>
      <c r="AO718" s="77"/>
      <c r="AP718" s="77"/>
      <c r="AQ718" s="77" t="s">
        <v>11027</v>
      </c>
      <c r="AR718" s="77"/>
      <c r="AS718" s="77"/>
      <c r="AT718" s="77"/>
      <c r="AU718" s="77"/>
      <c r="AV718" s="80" t="str">
        <f>HYPERLINK("https://pbs.twimg.com/media/F1EN386XwAAUX-M.jpg")</f>
        <v>https://pbs.twimg.com/media/F1EN386XwAAUX-M.jpg</v>
      </c>
      <c r="AW718" s="82" t="s">
        <v>12416</v>
      </c>
      <c r="AX718" s="82" t="s">
        <v>12416</v>
      </c>
      <c r="AY718" s="77"/>
      <c r="AZ718" s="82" t="s">
        <v>15984</v>
      </c>
      <c r="BA718" s="82" t="s">
        <v>15984</v>
      </c>
      <c r="BB718" s="82" t="s">
        <v>15984</v>
      </c>
      <c r="BC718" s="82" t="s">
        <v>12416</v>
      </c>
      <c r="BD718" s="77">
        <v>721959078</v>
      </c>
      <c r="BE718" s="77"/>
      <c r="BF718" s="77"/>
      <c r="BG718" s="77"/>
      <c r="BH718" s="77"/>
      <c r="BI718" s="77"/>
    </row>
    <row r="719" spans="1:61" x14ac:dyDescent="0.25">
      <c r="A719" s="62" t="s">
        <v>454</v>
      </c>
      <c r="B719" s="62" t="s">
        <v>792</v>
      </c>
      <c r="C719" s="63"/>
      <c r="D719" s="64"/>
      <c r="E719" s="65"/>
      <c r="F719" s="66"/>
      <c r="G719" s="63"/>
      <c r="H719" s="67"/>
      <c r="I719" s="68"/>
      <c r="J719" s="68"/>
      <c r="K719" s="32"/>
      <c r="L719" s="75">
        <v>719</v>
      </c>
      <c r="M719" s="75"/>
      <c r="N719" s="70"/>
      <c r="O719" s="77" t="s">
        <v>895</v>
      </c>
      <c r="P719" s="79">
        <v>45122.372928240744</v>
      </c>
      <c r="Q719" s="77" t="s">
        <v>1574</v>
      </c>
      <c r="R719" s="77">
        <v>1</v>
      </c>
      <c r="S719" s="77">
        <v>9</v>
      </c>
      <c r="T719" s="77">
        <v>1</v>
      </c>
      <c r="U719" s="77">
        <v>1</v>
      </c>
      <c r="V719" s="77">
        <v>720</v>
      </c>
      <c r="W719" s="82" t="s">
        <v>5194</v>
      </c>
      <c r="X719" s="77"/>
      <c r="Y719" s="77"/>
      <c r="Z719" s="77" t="s">
        <v>6572</v>
      </c>
      <c r="AA719" s="77" t="s">
        <v>7055</v>
      </c>
      <c r="AB719" s="77" t="s">
        <v>7742</v>
      </c>
      <c r="AC719" s="82" t="s">
        <v>7751</v>
      </c>
      <c r="AD719" s="77" t="s">
        <v>7790</v>
      </c>
      <c r="AE719" s="80" t="str">
        <f>HYPERLINK("https://twitter.com/egonzalez314/status/1680139393670021120")</f>
        <v>https://twitter.com/egonzalez314/status/1680139393670021120</v>
      </c>
      <c r="AF719" s="79">
        <v>45122.372928240744</v>
      </c>
      <c r="AG719" s="85">
        <v>45122</v>
      </c>
      <c r="AH719" s="82" t="s">
        <v>8445</v>
      </c>
      <c r="AI719" s="77" t="b">
        <v>0</v>
      </c>
      <c r="AJ719" s="77"/>
      <c r="AK719" s="77"/>
      <c r="AL719" s="77"/>
      <c r="AM719" s="77"/>
      <c r="AN719" s="77"/>
      <c r="AO719" s="77"/>
      <c r="AP719" s="77"/>
      <c r="AQ719" s="77" t="s">
        <v>11027</v>
      </c>
      <c r="AR719" s="77"/>
      <c r="AS719" s="77"/>
      <c r="AT719" s="77"/>
      <c r="AU719" s="77"/>
      <c r="AV719" s="80" t="str">
        <f>HYPERLINK("https://pbs.twimg.com/media/F1EN386XwAAUX-M.jpg")</f>
        <v>https://pbs.twimg.com/media/F1EN386XwAAUX-M.jpg</v>
      </c>
      <c r="AW719" s="82" t="s">
        <v>12416</v>
      </c>
      <c r="AX719" s="82" t="s">
        <v>12416</v>
      </c>
      <c r="AY719" s="77"/>
      <c r="AZ719" s="82" t="s">
        <v>15984</v>
      </c>
      <c r="BA719" s="82" t="s">
        <v>15984</v>
      </c>
      <c r="BB719" s="82" t="s">
        <v>15984</v>
      </c>
      <c r="BC719" s="82" t="s">
        <v>12416</v>
      </c>
      <c r="BD719" s="77">
        <v>721959078</v>
      </c>
      <c r="BE719" s="77"/>
      <c r="BF719" s="77"/>
      <c r="BG719" s="77"/>
      <c r="BH719" s="77"/>
      <c r="BI719" s="77"/>
    </row>
    <row r="720" spans="1:61" x14ac:dyDescent="0.25">
      <c r="A720" s="62" t="s">
        <v>455</v>
      </c>
      <c r="B720" s="62" t="s">
        <v>455</v>
      </c>
      <c r="C720" s="63"/>
      <c r="D720" s="64"/>
      <c r="E720" s="65"/>
      <c r="F720" s="66"/>
      <c r="G720" s="63"/>
      <c r="H720" s="67"/>
      <c r="I720" s="68"/>
      <c r="J720" s="68"/>
      <c r="K720" s="32"/>
      <c r="L720" s="75">
        <v>720</v>
      </c>
      <c r="M720" s="75"/>
      <c r="N720" s="70"/>
      <c r="O720" s="77" t="s">
        <v>179</v>
      </c>
      <c r="P720" s="79">
        <v>45134.746377314812</v>
      </c>
      <c r="Q720" s="77" t="s">
        <v>1575</v>
      </c>
      <c r="R720" s="77">
        <v>0</v>
      </c>
      <c r="S720" s="77">
        <v>2</v>
      </c>
      <c r="T720" s="77">
        <v>0</v>
      </c>
      <c r="U720" s="77">
        <v>0</v>
      </c>
      <c r="V720" s="77">
        <v>40</v>
      </c>
      <c r="W720" s="82" t="s">
        <v>5195</v>
      </c>
      <c r="X720" s="77"/>
      <c r="Y720" s="77"/>
      <c r="Z720" s="77"/>
      <c r="AA720" s="77" t="s">
        <v>7056</v>
      </c>
      <c r="AB720" s="77" t="s">
        <v>7742</v>
      </c>
      <c r="AC720" s="82" t="s">
        <v>7752</v>
      </c>
      <c r="AD720" s="77" t="s">
        <v>7790</v>
      </c>
      <c r="AE720" s="80" t="str">
        <f>HYPERLINK("https://twitter.com/tradeinflow/status/1684623381830701057")</f>
        <v>https://twitter.com/tradeinflow/status/1684623381830701057</v>
      </c>
      <c r="AF720" s="79">
        <v>45134.746377314812</v>
      </c>
      <c r="AG720" s="85">
        <v>45134</v>
      </c>
      <c r="AH720" s="82" t="s">
        <v>8446</v>
      </c>
      <c r="AI720" s="77" t="b">
        <v>0</v>
      </c>
      <c r="AJ720" s="77"/>
      <c r="AK720" s="77"/>
      <c r="AL720" s="77"/>
      <c r="AM720" s="77"/>
      <c r="AN720" s="77"/>
      <c r="AO720" s="77"/>
      <c r="AP720" s="77"/>
      <c r="AQ720" s="77" t="s">
        <v>11028</v>
      </c>
      <c r="AR720" s="77"/>
      <c r="AS720" s="77"/>
      <c r="AT720" s="77"/>
      <c r="AU720" s="77"/>
      <c r="AV720" s="80" t="str">
        <f>HYPERLINK("https://pbs.twimg.com/media/F2D8CH6WAAE5qIT.jpg")</f>
        <v>https://pbs.twimg.com/media/F2D8CH6WAAE5qIT.jpg</v>
      </c>
      <c r="AW720" s="82" t="s">
        <v>12417</v>
      </c>
      <c r="AX720" s="82" t="s">
        <v>12417</v>
      </c>
      <c r="AY720" s="77"/>
      <c r="AZ720" s="82" t="s">
        <v>15984</v>
      </c>
      <c r="BA720" s="82" t="s">
        <v>15984</v>
      </c>
      <c r="BB720" s="82" t="s">
        <v>15984</v>
      </c>
      <c r="BC720" s="82" t="s">
        <v>12417</v>
      </c>
      <c r="BD720" s="82" t="s">
        <v>16239</v>
      </c>
      <c r="BE720" s="77"/>
      <c r="BF720" s="77"/>
      <c r="BG720" s="77"/>
      <c r="BH720" s="77"/>
      <c r="BI720" s="77"/>
    </row>
    <row r="721" spans="1:61" x14ac:dyDescent="0.25">
      <c r="A721" s="62" t="s">
        <v>455</v>
      </c>
      <c r="B721" s="62" t="s">
        <v>455</v>
      </c>
      <c r="C721" s="63"/>
      <c r="D721" s="64"/>
      <c r="E721" s="65"/>
      <c r="F721" s="66"/>
      <c r="G721" s="63"/>
      <c r="H721" s="67"/>
      <c r="I721" s="68"/>
      <c r="J721" s="68"/>
      <c r="K721" s="32"/>
      <c r="L721" s="75">
        <v>721</v>
      </c>
      <c r="M721" s="75"/>
      <c r="N721" s="70"/>
      <c r="O721" s="77" t="s">
        <v>179</v>
      </c>
      <c r="P721" s="79">
        <v>45133.886990740742</v>
      </c>
      <c r="Q721" s="77" t="s">
        <v>1576</v>
      </c>
      <c r="R721" s="77">
        <v>1</v>
      </c>
      <c r="S721" s="77">
        <v>3</v>
      </c>
      <c r="T721" s="77">
        <v>0</v>
      </c>
      <c r="U721" s="77">
        <v>0</v>
      </c>
      <c r="V721" s="77">
        <v>54</v>
      </c>
      <c r="W721" s="82" t="s">
        <v>5196</v>
      </c>
      <c r="X721" s="77"/>
      <c r="Y721" s="77"/>
      <c r="Z721" s="77"/>
      <c r="AA721" s="77" t="s">
        <v>7057</v>
      </c>
      <c r="AB721" s="77" t="s">
        <v>7742</v>
      </c>
      <c r="AC721" s="82" t="s">
        <v>7752</v>
      </c>
      <c r="AD721" s="77" t="s">
        <v>7788</v>
      </c>
      <c r="AE721" s="80" t="str">
        <f>HYPERLINK("https://twitter.com/tradeinflow/status/1684311949117456384")</f>
        <v>https://twitter.com/tradeinflow/status/1684311949117456384</v>
      </c>
      <c r="AF721" s="79">
        <v>45133.886990740742</v>
      </c>
      <c r="AG721" s="85">
        <v>45133</v>
      </c>
      <c r="AH721" s="82" t="s">
        <v>8447</v>
      </c>
      <c r="AI721" s="77" t="b">
        <v>0</v>
      </c>
      <c r="AJ721" s="77"/>
      <c r="AK721" s="77"/>
      <c r="AL721" s="77"/>
      <c r="AM721" s="77"/>
      <c r="AN721" s="77"/>
      <c r="AO721" s="77"/>
      <c r="AP721" s="77"/>
      <c r="AQ721" s="77" t="s">
        <v>11029</v>
      </c>
      <c r="AR721" s="77"/>
      <c r="AS721" s="77"/>
      <c r="AT721" s="77"/>
      <c r="AU721" s="77"/>
      <c r="AV721" s="80" t="str">
        <f>HYPERLINK("https://pbs.twimg.com/media/F1_gx7yWcAEp1EO.jpg")</f>
        <v>https://pbs.twimg.com/media/F1_gx7yWcAEp1EO.jpg</v>
      </c>
      <c r="AW721" s="82" t="s">
        <v>12418</v>
      </c>
      <c r="AX721" s="82" t="s">
        <v>12418</v>
      </c>
      <c r="AY721" s="77"/>
      <c r="AZ721" s="82" t="s">
        <v>15984</v>
      </c>
      <c r="BA721" s="82" t="s">
        <v>15984</v>
      </c>
      <c r="BB721" s="82" t="s">
        <v>15984</v>
      </c>
      <c r="BC721" s="82" t="s">
        <v>12418</v>
      </c>
      <c r="BD721" s="82" t="s">
        <v>16239</v>
      </c>
      <c r="BE721" s="77"/>
      <c r="BF721" s="77"/>
      <c r="BG721" s="77"/>
      <c r="BH721" s="77"/>
      <c r="BI721" s="77"/>
    </row>
    <row r="722" spans="1:61" x14ac:dyDescent="0.25">
      <c r="A722" s="62" t="s">
        <v>456</v>
      </c>
      <c r="B722" s="62" t="s">
        <v>456</v>
      </c>
      <c r="C722" s="63"/>
      <c r="D722" s="64"/>
      <c r="E722" s="65"/>
      <c r="F722" s="66"/>
      <c r="G722" s="63"/>
      <c r="H722" s="67"/>
      <c r="I722" s="68"/>
      <c r="J722" s="68"/>
      <c r="K722" s="32"/>
      <c r="L722" s="75">
        <v>722</v>
      </c>
      <c r="M722" s="75"/>
      <c r="N722" s="70"/>
      <c r="O722" s="77" t="s">
        <v>179</v>
      </c>
      <c r="P722" s="79">
        <v>45135.961041666669</v>
      </c>
      <c r="Q722" s="77" t="s">
        <v>1577</v>
      </c>
      <c r="R722" s="77">
        <v>0</v>
      </c>
      <c r="S722" s="77">
        <v>3</v>
      </c>
      <c r="T722" s="77">
        <v>0</v>
      </c>
      <c r="U722" s="77">
        <v>0</v>
      </c>
      <c r="V722" s="77">
        <v>110</v>
      </c>
      <c r="W722" s="82" t="s">
        <v>5197</v>
      </c>
      <c r="X722" s="77"/>
      <c r="Y722" s="77"/>
      <c r="Z722" s="77"/>
      <c r="AA722" s="77" t="s">
        <v>7058</v>
      </c>
      <c r="AB722" s="77" t="s">
        <v>7742</v>
      </c>
      <c r="AC722" s="82" t="s">
        <v>7751</v>
      </c>
      <c r="AD722" s="77" t="s">
        <v>7789</v>
      </c>
      <c r="AE722" s="80" t="str">
        <f>HYPERLINK("https://twitter.com/palmezanip74904/status/1685063560567599105")</f>
        <v>https://twitter.com/palmezanip74904/status/1685063560567599105</v>
      </c>
      <c r="AF722" s="79">
        <v>45135.961041666669</v>
      </c>
      <c r="AG722" s="85">
        <v>45135</v>
      </c>
      <c r="AH722" s="82" t="s">
        <v>8448</v>
      </c>
      <c r="AI722" s="77" t="b">
        <v>0</v>
      </c>
      <c r="AJ722" s="77"/>
      <c r="AK722" s="77"/>
      <c r="AL722" s="77"/>
      <c r="AM722" s="77"/>
      <c r="AN722" s="77"/>
      <c r="AO722" s="77"/>
      <c r="AP722" s="77"/>
      <c r="AQ722" s="77" t="s">
        <v>11030</v>
      </c>
      <c r="AR722" s="77"/>
      <c r="AS722" s="77"/>
      <c r="AT722" s="77"/>
      <c r="AU722" s="77"/>
      <c r="AV722" s="80" t="str">
        <f>HYPERLINK("https://pbs.twimg.com/media/F2KMX0DWgAANoCe.jpg")</f>
        <v>https://pbs.twimg.com/media/F2KMX0DWgAANoCe.jpg</v>
      </c>
      <c r="AW722" s="82" t="s">
        <v>12419</v>
      </c>
      <c r="AX722" s="82" t="s">
        <v>12419</v>
      </c>
      <c r="AY722" s="77"/>
      <c r="AZ722" s="82" t="s">
        <v>15984</v>
      </c>
      <c r="BA722" s="82" t="s">
        <v>15984</v>
      </c>
      <c r="BB722" s="82" t="s">
        <v>15984</v>
      </c>
      <c r="BC722" s="82" t="s">
        <v>12419</v>
      </c>
      <c r="BD722" s="82" t="s">
        <v>16240</v>
      </c>
      <c r="BE722" s="77"/>
      <c r="BF722" s="77"/>
      <c r="BG722" s="77"/>
      <c r="BH722" s="77"/>
      <c r="BI722" s="77"/>
    </row>
    <row r="723" spans="1:61" x14ac:dyDescent="0.25">
      <c r="A723" s="62" t="s">
        <v>457</v>
      </c>
      <c r="B723" s="62" t="s">
        <v>457</v>
      </c>
      <c r="C723" s="63"/>
      <c r="D723" s="64"/>
      <c r="E723" s="65"/>
      <c r="F723" s="66"/>
      <c r="G723" s="63"/>
      <c r="H723" s="67"/>
      <c r="I723" s="68"/>
      <c r="J723" s="68"/>
      <c r="K723" s="32"/>
      <c r="L723" s="75">
        <v>723</v>
      </c>
      <c r="M723" s="75"/>
      <c r="N723" s="70"/>
      <c r="O723" s="77" t="s">
        <v>179</v>
      </c>
      <c r="P723" s="79">
        <v>45159.262627314813</v>
      </c>
      <c r="Q723" s="77" t="s">
        <v>1578</v>
      </c>
      <c r="R723" s="77">
        <v>0</v>
      </c>
      <c r="S723" s="77">
        <v>0</v>
      </c>
      <c r="T723" s="77">
        <v>0</v>
      </c>
      <c r="U723" s="77">
        <v>0</v>
      </c>
      <c r="V723" s="77">
        <v>1</v>
      </c>
      <c r="W723" s="82" t="s">
        <v>5198</v>
      </c>
      <c r="X723" s="80" t="str">
        <f>HYPERLINK("https://invistafinancas.com.br/bolsa-de-valores-o-que-e-como-funciona-e-mais/")</f>
        <v>https://invistafinancas.com.br/bolsa-de-valores-o-que-e-como-funciona-e-mais/</v>
      </c>
      <c r="Y723" s="77" t="s">
        <v>6470</v>
      </c>
      <c r="Z723" s="77"/>
      <c r="AA723" s="77"/>
      <c r="AB723" s="77"/>
      <c r="AC723" s="82" t="s">
        <v>7765</v>
      </c>
      <c r="AD723" s="77" t="s">
        <v>7788</v>
      </c>
      <c r="AE723" s="80" t="str">
        <f>HYPERLINK("https://twitter.com/invistafinancas/status/1693507773349109965")</f>
        <v>https://twitter.com/invistafinancas/status/1693507773349109965</v>
      </c>
      <c r="AF723" s="79">
        <v>45159.262627314813</v>
      </c>
      <c r="AG723" s="85">
        <v>45159</v>
      </c>
      <c r="AH723" s="82" t="s">
        <v>8449</v>
      </c>
      <c r="AI723" s="77" t="b">
        <v>0</v>
      </c>
      <c r="AJ723" s="77"/>
      <c r="AK723" s="77"/>
      <c r="AL723" s="77"/>
      <c r="AM723" s="77"/>
      <c r="AN723" s="77"/>
      <c r="AO723" s="77"/>
      <c r="AP723" s="77"/>
      <c r="AQ723" s="77"/>
      <c r="AR723" s="77"/>
      <c r="AS723" s="77"/>
      <c r="AT723" s="77"/>
      <c r="AU723" s="77"/>
      <c r="AV723" s="80" t="str">
        <f>HYPERLINK("https://pbs.twimg.com/profile_images/1662255358281232384/VCpgqGrM_normal.jpg")</f>
        <v>https://pbs.twimg.com/profile_images/1662255358281232384/VCpgqGrM_normal.jpg</v>
      </c>
      <c r="AW723" s="82" t="s">
        <v>12420</v>
      </c>
      <c r="AX723" s="82" t="s">
        <v>12420</v>
      </c>
      <c r="AY723" s="77"/>
      <c r="AZ723" s="82" t="s">
        <v>15984</v>
      </c>
      <c r="BA723" s="82" t="s">
        <v>15984</v>
      </c>
      <c r="BB723" s="82" t="s">
        <v>15984</v>
      </c>
      <c r="BC723" s="82" t="s">
        <v>12420</v>
      </c>
      <c r="BD723" s="82" t="s">
        <v>16241</v>
      </c>
      <c r="BE723" s="77"/>
      <c r="BF723" s="77"/>
      <c r="BG723" s="77"/>
      <c r="BH723" s="77"/>
      <c r="BI723" s="77"/>
    </row>
    <row r="724" spans="1:61" x14ac:dyDescent="0.25">
      <c r="A724" s="62" t="s">
        <v>457</v>
      </c>
      <c r="B724" s="62" t="s">
        <v>457</v>
      </c>
      <c r="C724" s="63"/>
      <c r="D724" s="64"/>
      <c r="E724" s="65"/>
      <c r="F724" s="66"/>
      <c r="G724" s="63"/>
      <c r="H724" s="67"/>
      <c r="I724" s="68"/>
      <c r="J724" s="68"/>
      <c r="K724" s="32"/>
      <c r="L724" s="75">
        <v>724</v>
      </c>
      <c r="M724" s="75"/>
      <c r="N724" s="70"/>
      <c r="O724" s="77" t="s">
        <v>179</v>
      </c>
      <c r="P724" s="79">
        <v>45194.31318287037</v>
      </c>
      <c r="Q724" s="77" t="s">
        <v>1579</v>
      </c>
      <c r="R724" s="77">
        <v>0</v>
      </c>
      <c r="S724" s="77">
        <v>0</v>
      </c>
      <c r="T724" s="77">
        <v>0</v>
      </c>
      <c r="U724" s="77">
        <v>0</v>
      </c>
      <c r="V724" s="77">
        <v>11</v>
      </c>
      <c r="W724" s="82" t="s">
        <v>5199</v>
      </c>
      <c r="X724" s="80" t="str">
        <f>HYPERLINK("https://invistafinancas.com.br/educacao-financeira/a-importancia-de-investir-em-commodities/")</f>
        <v>https://invistafinancas.com.br/educacao-financeira/a-importancia-de-investir-em-commodities/</v>
      </c>
      <c r="Y724" s="77" t="s">
        <v>6470</v>
      </c>
      <c r="Z724" s="77"/>
      <c r="AA724" s="77"/>
      <c r="AB724" s="77"/>
      <c r="AC724" s="82" t="s">
        <v>7765</v>
      </c>
      <c r="AD724" s="77" t="s">
        <v>7788</v>
      </c>
      <c r="AE724" s="80" t="str">
        <f>HYPERLINK("https://twitter.com/invistafinancas/status/1706209669872504938")</f>
        <v>https://twitter.com/invistafinancas/status/1706209669872504938</v>
      </c>
      <c r="AF724" s="79">
        <v>45194.31318287037</v>
      </c>
      <c r="AG724" s="85">
        <v>45194</v>
      </c>
      <c r="AH724" s="82" t="s">
        <v>8450</v>
      </c>
      <c r="AI724" s="77" t="b">
        <v>0</v>
      </c>
      <c r="AJ724" s="77"/>
      <c r="AK724" s="77"/>
      <c r="AL724" s="77"/>
      <c r="AM724" s="77"/>
      <c r="AN724" s="77"/>
      <c r="AO724" s="77"/>
      <c r="AP724" s="77"/>
      <c r="AQ724" s="77"/>
      <c r="AR724" s="77"/>
      <c r="AS724" s="77"/>
      <c r="AT724" s="77"/>
      <c r="AU724" s="77"/>
      <c r="AV724" s="80" t="str">
        <f>HYPERLINK("https://pbs.twimg.com/profile_images/1662255358281232384/VCpgqGrM_normal.jpg")</f>
        <v>https://pbs.twimg.com/profile_images/1662255358281232384/VCpgqGrM_normal.jpg</v>
      </c>
      <c r="AW724" s="82" t="s">
        <v>12421</v>
      </c>
      <c r="AX724" s="82" t="s">
        <v>12421</v>
      </c>
      <c r="AY724" s="77"/>
      <c r="AZ724" s="82" t="s">
        <v>15984</v>
      </c>
      <c r="BA724" s="82" t="s">
        <v>15984</v>
      </c>
      <c r="BB724" s="82" t="s">
        <v>15984</v>
      </c>
      <c r="BC724" s="82" t="s">
        <v>12421</v>
      </c>
      <c r="BD724" s="82" t="s">
        <v>16241</v>
      </c>
      <c r="BE724" s="77"/>
      <c r="BF724" s="77"/>
      <c r="BG724" s="77"/>
      <c r="BH724" s="77"/>
      <c r="BI724" s="77"/>
    </row>
    <row r="725" spans="1:61" x14ac:dyDescent="0.25">
      <c r="A725" s="62" t="s">
        <v>458</v>
      </c>
      <c r="B725" s="62" t="s">
        <v>458</v>
      </c>
      <c r="C725" s="63"/>
      <c r="D725" s="64"/>
      <c r="E725" s="65"/>
      <c r="F725" s="66"/>
      <c r="G725" s="63"/>
      <c r="H725" s="67"/>
      <c r="I725" s="68"/>
      <c r="J725" s="68"/>
      <c r="K725" s="32"/>
      <c r="L725" s="75">
        <v>725</v>
      </c>
      <c r="M725" s="75"/>
      <c r="N725" s="70"/>
      <c r="O725" s="77" t="s">
        <v>179</v>
      </c>
      <c r="P725" s="79">
        <v>45143.45952546296</v>
      </c>
      <c r="Q725" s="77" t="s">
        <v>1580</v>
      </c>
      <c r="R725" s="77">
        <v>0</v>
      </c>
      <c r="S725" s="77">
        <v>1</v>
      </c>
      <c r="T725" s="77">
        <v>1</v>
      </c>
      <c r="U725" s="77">
        <v>0</v>
      </c>
      <c r="V725" s="77">
        <v>72</v>
      </c>
      <c r="W725" s="82" t="s">
        <v>5200</v>
      </c>
      <c r="X725" s="77"/>
      <c r="Y725" s="77"/>
      <c r="Z725" s="77"/>
      <c r="AA725" s="77" t="s">
        <v>7059</v>
      </c>
      <c r="AB725" s="77" t="s">
        <v>7747</v>
      </c>
      <c r="AC725" s="82" t="s">
        <v>7750</v>
      </c>
      <c r="AD725" s="77" t="s">
        <v>7790</v>
      </c>
      <c r="AE725" s="80" t="str">
        <f>HYPERLINK("https://twitter.com/nachosb77/status/1687780921552879619")</f>
        <v>https://twitter.com/nachosb77/status/1687780921552879619</v>
      </c>
      <c r="AF725" s="79">
        <v>45143.45952546296</v>
      </c>
      <c r="AG725" s="85">
        <v>45143</v>
      </c>
      <c r="AH725" s="82" t="s">
        <v>8451</v>
      </c>
      <c r="AI725" s="77" t="b">
        <v>0</v>
      </c>
      <c r="AJ725" s="77"/>
      <c r="AK725" s="77"/>
      <c r="AL725" s="77"/>
      <c r="AM725" s="77"/>
      <c r="AN725" s="77"/>
      <c r="AO725" s="77"/>
      <c r="AP725" s="77"/>
      <c r="AQ725" s="77" t="s">
        <v>11031</v>
      </c>
      <c r="AR725" s="77"/>
      <c r="AS725" s="77"/>
      <c r="AT725" s="77"/>
      <c r="AU725" s="77"/>
      <c r="AV725" s="80" t="str">
        <f>HYPERLINK("https://pbs.twimg.com/media/F2wzDsqXcAAdjbu.jpg")</f>
        <v>https://pbs.twimg.com/media/F2wzDsqXcAAdjbu.jpg</v>
      </c>
      <c r="AW725" s="82" t="s">
        <v>12422</v>
      </c>
      <c r="AX725" s="82" t="s">
        <v>12422</v>
      </c>
      <c r="AY725" s="77"/>
      <c r="AZ725" s="82" t="s">
        <v>15984</v>
      </c>
      <c r="BA725" s="82" t="s">
        <v>15984</v>
      </c>
      <c r="BB725" s="82" t="s">
        <v>15984</v>
      </c>
      <c r="BC725" s="82" t="s">
        <v>12422</v>
      </c>
      <c r="BD725" s="82" t="s">
        <v>16242</v>
      </c>
      <c r="BE725" s="77"/>
      <c r="BF725" s="77"/>
      <c r="BG725" s="77"/>
      <c r="BH725" s="77"/>
      <c r="BI725" s="77"/>
    </row>
    <row r="726" spans="1:61" x14ac:dyDescent="0.25">
      <c r="A726" s="62" t="s">
        <v>459</v>
      </c>
      <c r="B726" s="62" t="s">
        <v>459</v>
      </c>
      <c r="C726" s="63"/>
      <c r="D726" s="64"/>
      <c r="E726" s="65"/>
      <c r="F726" s="66"/>
      <c r="G726" s="63"/>
      <c r="H726" s="67"/>
      <c r="I726" s="68"/>
      <c r="J726" s="68"/>
      <c r="K726" s="32"/>
      <c r="L726" s="75">
        <v>726</v>
      </c>
      <c r="M726" s="75"/>
      <c r="N726" s="70"/>
      <c r="O726" s="77" t="s">
        <v>179</v>
      </c>
      <c r="P726" s="79">
        <v>45178.711018518516</v>
      </c>
      <c r="Q726" s="77" t="s">
        <v>1581</v>
      </c>
      <c r="R726" s="77">
        <v>0</v>
      </c>
      <c r="S726" s="77">
        <v>0</v>
      </c>
      <c r="T726" s="77">
        <v>0</v>
      </c>
      <c r="U726" s="77">
        <v>0</v>
      </c>
      <c r="V726" s="77">
        <v>16</v>
      </c>
      <c r="W726" s="82" t="s">
        <v>5201</v>
      </c>
      <c r="X726" s="77"/>
      <c r="Y726" s="77"/>
      <c r="Z726" s="77"/>
      <c r="AA726" s="77" t="s">
        <v>7060</v>
      </c>
      <c r="AB726" s="77" t="s">
        <v>7742</v>
      </c>
      <c r="AC726" s="82" t="s">
        <v>7751</v>
      </c>
      <c r="AD726" s="77" t="s">
        <v>7788</v>
      </c>
      <c r="AE726" s="80" t="str">
        <f>HYPERLINK("https://twitter.com/andrezaczilusny/status/1700555632640680364")</f>
        <v>https://twitter.com/andrezaczilusny/status/1700555632640680364</v>
      </c>
      <c r="AF726" s="79">
        <v>45178.711018518516</v>
      </c>
      <c r="AG726" s="85">
        <v>45178</v>
      </c>
      <c r="AH726" s="82" t="s">
        <v>8452</v>
      </c>
      <c r="AI726" s="77" t="b">
        <v>0</v>
      </c>
      <c r="AJ726" s="77"/>
      <c r="AK726" s="77"/>
      <c r="AL726" s="77"/>
      <c r="AM726" s="77"/>
      <c r="AN726" s="77"/>
      <c r="AO726" s="77"/>
      <c r="AP726" s="77"/>
      <c r="AQ726" s="77" t="s">
        <v>11032</v>
      </c>
      <c r="AR726" s="77"/>
      <c r="AS726" s="77"/>
      <c r="AT726" s="77"/>
      <c r="AU726" s="77"/>
      <c r="AV726" s="80" t="str">
        <f>HYPERLINK("https://pbs.twimg.com/media/F5mWVcxWgAAFQZk.jpg")</f>
        <v>https://pbs.twimg.com/media/F5mWVcxWgAAFQZk.jpg</v>
      </c>
      <c r="AW726" s="82" t="s">
        <v>12423</v>
      </c>
      <c r="AX726" s="82" t="s">
        <v>12423</v>
      </c>
      <c r="AY726" s="77"/>
      <c r="AZ726" s="82" t="s">
        <v>15984</v>
      </c>
      <c r="BA726" s="82" t="s">
        <v>15984</v>
      </c>
      <c r="BB726" s="82" t="s">
        <v>15984</v>
      </c>
      <c r="BC726" s="82" t="s">
        <v>12423</v>
      </c>
      <c r="BD726" s="82" t="s">
        <v>16243</v>
      </c>
      <c r="BE726" s="77"/>
      <c r="BF726" s="77"/>
      <c r="BG726" s="77"/>
      <c r="BH726" s="77"/>
      <c r="BI726" s="77"/>
    </row>
    <row r="727" spans="1:61" x14ac:dyDescent="0.25">
      <c r="A727" s="62" t="s">
        <v>460</v>
      </c>
      <c r="B727" s="62" t="s">
        <v>460</v>
      </c>
      <c r="C727" s="63"/>
      <c r="D727" s="64"/>
      <c r="E727" s="65"/>
      <c r="F727" s="66"/>
      <c r="G727" s="63"/>
      <c r="H727" s="67"/>
      <c r="I727" s="68"/>
      <c r="J727" s="68"/>
      <c r="K727" s="32"/>
      <c r="L727" s="75">
        <v>727</v>
      </c>
      <c r="M727" s="75"/>
      <c r="N727" s="70"/>
      <c r="O727" s="77" t="s">
        <v>898</v>
      </c>
      <c r="P727" s="79">
        <v>45119.734120370369</v>
      </c>
      <c r="Q727" s="77" t="s">
        <v>1582</v>
      </c>
      <c r="R727" s="77">
        <v>0</v>
      </c>
      <c r="S727" s="77">
        <v>0</v>
      </c>
      <c r="T727" s="77">
        <v>0</v>
      </c>
      <c r="U727" s="77">
        <v>0</v>
      </c>
      <c r="V727" s="77">
        <v>5</v>
      </c>
      <c r="W727" s="82" t="s">
        <v>5202</v>
      </c>
      <c r="X727" s="77"/>
      <c r="Y727" s="77"/>
      <c r="Z727" s="77"/>
      <c r="AA727" s="77"/>
      <c r="AB727" s="77"/>
      <c r="AC727" s="82" t="s">
        <v>7750</v>
      </c>
      <c r="AD727" s="77" t="s">
        <v>7788</v>
      </c>
      <c r="AE727" s="80" t="str">
        <f>HYPERLINK("https://twitter.com/bravacapital/status/1679183120250044437")</f>
        <v>https://twitter.com/bravacapital/status/1679183120250044437</v>
      </c>
      <c r="AF727" s="79">
        <v>45119.734120370369</v>
      </c>
      <c r="AG727" s="85">
        <v>45119</v>
      </c>
      <c r="AH727" s="82" t="s">
        <v>8453</v>
      </c>
      <c r="AI727" s="77"/>
      <c r="AJ727" s="77"/>
      <c r="AK727" s="77"/>
      <c r="AL727" s="77"/>
      <c r="AM727" s="77"/>
      <c r="AN727" s="77"/>
      <c r="AO727" s="77"/>
      <c r="AP727" s="77"/>
      <c r="AQ727" s="77"/>
      <c r="AR727" s="77"/>
      <c r="AS727" s="77"/>
      <c r="AT727" s="77"/>
      <c r="AU727" s="77"/>
      <c r="AV727" s="80" t="str">
        <f>HYPERLINK("https://pbs.twimg.com/profile_images/1298975014939774977/iMbZTqwR_normal.jpg")</f>
        <v>https://pbs.twimg.com/profile_images/1298975014939774977/iMbZTqwR_normal.jpg</v>
      </c>
      <c r="AW727" s="82" t="s">
        <v>12424</v>
      </c>
      <c r="AX727" s="82" t="s">
        <v>15792</v>
      </c>
      <c r="AY727" s="82" t="s">
        <v>15945</v>
      </c>
      <c r="AZ727" s="82" t="s">
        <v>15792</v>
      </c>
      <c r="BA727" s="82" t="s">
        <v>15984</v>
      </c>
      <c r="BB727" s="82" t="s">
        <v>15984</v>
      </c>
      <c r="BC727" s="82" t="s">
        <v>15792</v>
      </c>
      <c r="BD727" s="77">
        <v>209578308</v>
      </c>
      <c r="BE727" s="77"/>
      <c r="BF727" s="77"/>
      <c r="BG727" s="77"/>
      <c r="BH727" s="77"/>
      <c r="BI727" s="77"/>
    </row>
    <row r="728" spans="1:61" x14ac:dyDescent="0.25">
      <c r="A728" s="62" t="s">
        <v>460</v>
      </c>
      <c r="B728" s="62" t="s">
        <v>460</v>
      </c>
      <c r="C728" s="63"/>
      <c r="D728" s="64"/>
      <c r="E728" s="65"/>
      <c r="F728" s="66"/>
      <c r="G728" s="63"/>
      <c r="H728" s="67"/>
      <c r="I728" s="68"/>
      <c r="J728" s="68"/>
      <c r="K728" s="32"/>
      <c r="L728" s="75">
        <v>728</v>
      </c>
      <c r="M728" s="75"/>
      <c r="N728" s="70"/>
      <c r="O728" s="77" t="s">
        <v>898</v>
      </c>
      <c r="P728" s="79">
        <v>45139.647222222222</v>
      </c>
      <c r="Q728" s="77" t="s">
        <v>1583</v>
      </c>
      <c r="R728" s="77">
        <v>0</v>
      </c>
      <c r="S728" s="77">
        <v>0</v>
      </c>
      <c r="T728" s="77">
        <v>0</v>
      </c>
      <c r="U728" s="77">
        <v>0</v>
      </c>
      <c r="V728" s="77">
        <v>7</v>
      </c>
      <c r="W728" s="82" t="s">
        <v>5203</v>
      </c>
      <c r="X728" s="77"/>
      <c r="Y728" s="77"/>
      <c r="Z728" s="77"/>
      <c r="AA728" s="77"/>
      <c r="AB728" s="77"/>
      <c r="AC728" s="82" t="s">
        <v>7750</v>
      </c>
      <c r="AD728" s="77" t="s">
        <v>7788</v>
      </c>
      <c r="AE728" s="80" t="str">
        <f>HYPERLINK("https://twitter.com/bravacapital/status/1686399387230965760")</f>
        <v>https://twitter.com/bravacapital/status/1686399387230965760</v>
      </c>
      <c r="AF728" s="79">
        <v>45139.647222222222</v>
      </c>
      <c r="AG728" s="85">
        <v>45139</v>
      </c>
      <c r="AH728" s="82" t="s">
        <v>8454</v>
      </c>
      <c r="AI728" s="77"/>
      <c r="AJ728" s="77"/>
      <c r="AK728" s="77"/>
      <c r="AL728" s="77"/>
      <c r="AM728" s="77"/>
      <c r="AN728" s="77"/>
      <c r="AO728" s="77"/>
      <c r="AP728" s="77"/>
      <c r="AQ728" s="77"/>
      <c r="AR728" s="77"/>
      <c r="AS728" s="77"/>
      <c r="AT728" s="77"/>
      <c r="AU728" s="77"/>
      <c r="AV728" s="80" t="str">
        <f>HYPERLINK("https://pbs.twimg.com/profile_images/1298975014939774977/iMbZTqwR_normal.jpg")</f>
        <v>https://pbs.twimg.com/profile_images/1298975014939774977/iMbZTqwR_normal.jpg</v>
      </c>
      <c r="AW728" s="82" t="s">
        <v>12425</v>
      </c>
      <c r="AX728" s="82" t="s">
        <v>15793</v>
      </c>
      <c r="AY728" s="82" t="s">
        <v>15945</v>
      </c>
      <c r="AZ728" s="82" t="s">
        <v>15793</v>
      </c>
      <c r="BA728" s="82" t="s">
        <v>15984</v>
      </c>
      <c r="BB728" s="82" t="s">
        <v>15984</v>
      </c>
      <c r="BC728" s="82" t="s">
        <v>15793</v>
      </c>
      <c r="BD728" s="77">
        <v>209578308</v>
      </c>
      <c r="BE728" s="77"/>
      <c r="BF728" s="77"/>
      <c r="BG728" s="77"/>
      <c r="BH728" s="77"/>
      <c r="BI728" s="77"/>
    </row>
    <row r="729" spans="1:61" x14ac:dyDescent="0.25">
      <c r="A729" s="62" t="s">
        <v>460</v>
      </c>
      <c r="B729" s="62" t="s">
        <v>460</v>
      </c>
      <c r="C729" s="63"/>
      <c r="D729" s="64"/>
      <c r="E729" s="65"/>
      <c r="F729" s="66"/>
      <c r="G729" s="63"/>
      <c r="H729" s="67"/>
      <c r="I729" s="68"/>
      <c r="J729" s="68"/>
      <c r="K729" s="32"/>
      <c r="L729" s="75">
        <v>729</v>
      </c>
      <c r="M729" s="75"/>
      <c r="N729" s="70"/>
      <c r="O729" s="77" t="s">
        <v>898</v>
      </c>
      <c r="P729" s="79">
        <v>45166.83116898148</v>
      </c>
      <c r="Q729" s="77" t="s">
        <v>1584</v>
      </c>
      <c r="R729" s="77">
        <v>0</v>
      </c>
      <c r="S729" s="77">
        <v>0</v>
      </c>
      <c r="T729" s="77">
        <v>0</v>
      </c>
      <c r="U729" s="77">
        <v>0</v>
      </c>
      <c r="V729" s="77">
        <v>10</v>
      </c>
      <c r="W729" s="82" t="s">
        <v>5204</v>
      </c>
      <c r="X729" s="77"/>
      <c r="Y729" s="77"/>
      <c r="Z729" s="77"/>
      <c r="AA729" s="77"/>
      <c r="AB729" s="77"/>
      <c r="AC729" s="82" t="s">
        <v>7750</v>
      </c>
      <c r="AD729" s="77" t="s">
        <v>7788</v>
      </c>
      <c r="AE729" s="80" t="str">
        <f>HYPERLINK("https://twitter.com/bravacapital/status/1696250520669769835")</f>
        <v>https://twitter.com/bravacapital/status/1696250520669769835</v>
      </c>
      <c r="AF729" s="79">
        <v>45166.83116898148</v>
      </c>
      <c r="AG729" s="85">
        <v>45166</v>
      </c>
      <c r="AH729" s="82" t="s">
        <v>8455</v>
      </c>
      <c r="AI729" s="77"/>
      <c r="AJ729" s="77"/>
      <c r="AK729" s="77"/>
      <c r="AL729" s="77"/>
      <c r="AM729" s="77"/>
      <c r="AN729" s="77"/>
      <c r="AO729" s="77"/>
      <c r="AP729" s="77"/>
      <c r="AQ729" s="77"/>
      <c r="AR729" s="77"/>
      <c r="AS729" s="77"/>
      <c r="AT729" s="77"/>
      <c r="AU729" s="77"/>
      <c r="AV729" s="80" t="str">
        <f>HYPERLINK("https://pbs.twimg.com/profile_images/1298975014939774977/iMbZTqwR_normal.jpg")</f>
        <v>https://pbs.twimg.com/profile_images/1298975014939774977/iMbZTqwR_normal.jpg</v>
      </c>
      <c r="AW729" s="82" t="s">
        <v>12426</v>
      </c>
      <c r="AX729" s="82" t="s">
        <v>15794</v>
      </c>
      <c r="AY729" s="82" t="s">
        <v>15945</v>
      </c>
      <c r="AZ729" s="82" t="s">
        <v>15794</v>
      </c>
      <c r="BA729" s="82" t="s">
        <v>15984</v>
      </c>
      <c r="BB729" s="82" t="s">
        <v>15984</v>
      </c>
      <c r="BC729" s="82" t="s">
        <v>15794</v>
      </c>
      <c r="BD729" s="77">
        <v>209578308</v>
      </c>
      <c r="BE729" s="77"/>
      <c r="BF729" s="77"/>
      <c r="BG729" s="77"/>
      <c r="BH729" s="77"/>
      <c r="BI729" s="77"/>
    </row>
    <row r="730" spans="1:61" x14ac:dyDescent="0.25">
      <c r="A730" s="62" t="s">
        <v>460</v>
      </c>
      <c r="B730" s="62" t="s">
        <v>460</v>
      </c>
      <c r="C730" s="63"/>
      <c r="D730" s="64"/>
      <c r="E730" s="65"/>
      <c r="F730" s="66"/>
      <c r="G730" s="63"/>
      <c r="H730" s="67"/>
      <c r="I730" s="68"/>
      <c r="J730" s="68"/>
      <c r="K730" s="32"/>
      <c r="L730" s="75">
        <v>730</v>
      </c>
      <c r="M730" s="75"/>
      <c r="N730" s="70"/>
      <c r="O730" s="77" t="s">
        <v>898</v>
      </c>
      <c r="P730" s="79">
        <v>45175.775520833333</v>
      </c>
      <c r="Q730" s="77" t="s">
        <v>1585</v>
      </c>
      <c r="R730" s="77">
        <v>0</v>
      </c>
      <c r="S730" s="77">
        <v>0</v>
      </c>
      <c r="T730" s="77">
        <v>0</v>
      </c>
      <c r="U730" s="77">
        <v>0</v>
      </c>
      <c r="V730" s="77">
        <v>4</v>
      </c>
      <c r="W730" s="82" t="s">
        <v>5205</v>
      </c>
      <c r="X730" s="77"/>
      <c r="Y730" s="77"/>
      <c r="Z730" s="77"/>
      <c r="AA730" s="77"/>
      <c r="AB730" s="77"/>
      <c r="AC730" s="82" t="s">
        <v>7750</v>
      </c>
      <c r="AD730" s="77" t="s">
        <v>7788</v>
      </c>
      <c r="AE730" s="80" t="str">
        <f>HYPERLINK("https://twitter.com/bravacapital/status/1699491844550275459")</f>
        <v>https://twitter.com/bravacapital/status/1699491844550275459</v>
      </c>
      <c r="AF730" s="79">
        <v>45175.775520833333</v>
      </c>
      <c r="AG730" s="85">
        <v>45175</v>
      </c>
      <c r="AH730" s="82" t="s">
        <v>8456</v>
      </c>
      <c r="AI730" s="77"/>
      <c r="AJ730" s="77"/>
      <c r="AK730" s="77"/>
      <c r="AL730" s="77"/>
      <c r="AM730" s="77"/>
      <c r="AN730" s="77"/>
      <c r="AO730" s="77"/>
      <c r="AP730" s="77"/>
      <c r="AQ730" s="77"/>
      <c r="AR730" s="77"/>
      <c r="AS730" s="77"/>
      <c r="AT730" s="77"/>
      <c r="AU730" s="77"/>
      <c r="AV730" s="80" t="str">
        <f>HYPERLINK("https://pbs.twimg.com/profile_images/1298975014939774977/iMbZTqwR_normal.jpg")</f>
        <v>https://pbs.twimg.com/profile_images/1298975014939774977/iMbZTqwR_normal.jpg</v>
      </c>
      <c r="AW730" s="82" t="s">
        <v>12427</v>
      </c>
      <c r="AX730" s="82" t="s">
        <v>15795</v>
      </c>
      <c r="AY730" s="82" t="s">
        <v>15945</v>
      </c>
      <c r="AZ730" s="82" t="s">
        <v>15795</v>
      </c>
      <c r="BA730" s="82" t="s">
        <v>15984</v>
      </c>
      <c r="BB730" s="82" t="s">
        <v>15984</v>
      </c>
      <c r="BC730" s="82" t="s">
        <v>15795</v>
      </c>
      <c r="BD730" s="77">
        <v>209578308</v>
      </c>
      <c r="BE730" s="77"/>
      <c r="BF730" s="77"/>
      <c r="BG730" s="77"/>
      <c r="BH730" s="77"/>
      <c r="BI730" s="77"/>
    </row>
    <row r="731" spans="1:61" x14ac:dyDescent="0.25">
      <c r="A731" s="62" t="s">
        <v>460</v>
      </c>
      <c r="B731" s="62" t="s">
        <v>460</v>
      </c>
      <c r="C731" s="63"/>
      <c r="D731" s="64"/>
      <c r="E731" s="65"/>
      <c r="F731" s="66"/>
      <c r="G731" s="63"/>
      <c r="H731" s="67"/>
      <c r="I731" s="68"/>
      <c r="J731" s="68"/>
      <c r="K731" s="32"/>
      <c r="L731" s="75">
        <v>731</v>
      </c>
      <c r="M731" s="75"/>
      <c r="N731" s="70"/>
      <c r="O731" s="77" t="s">
        <v>179</v>
      </c>
      <c r="P731" s="79">
        <v>45169.615752314814</v>
      </c>
      <c r="Q731" s="77" t="s">
        <v>1586</v>
      </c>
      <c r="R731" s="77">
        <v>0</v>
      </c>
      <c r="S731" s="77">
        <v>0</v>
      </c>
      <c r="T731" s="77">
        <v>0</v>
      </c>
      <c r="U731" s="77">
        <v>0</v>
      </c>
      <c r="V731" s="77">
        <v>4</v>
      </c>
      <c r="W731" s="82" t="s">
        <v>5206</v>
      </c>
      <c r="X731" s="77"/>
      <c r="Y731" s="77"/>
      <c r="Z731" s="77"/>
      <c r="AA731" s="77" t="s">
        <v>7061</v>
      </c>
      <c r="AB731" s="77" t="s">
        <v>7742</v>
      </c>
      <c r="AC731" s="82" t="s">
        <v>7750</v>
      </c>
      <c r="AD731" s="77" t="s">
        <v>7788</v>
      </c>
      <c r="AE731" s="80" t="str">
        <f>HYPERLINK("https://twitter.com/bravacapital/status/1697259619851415938")</f>
        <v>https://twitter.com/bravacapital/status/1697259619851415938</v>
      </c>
      <c r="AF731" s="79">
        <v>45169.615752314814</v>
      </c>
      <c r="AG731" s="85">
        <v>45169</v>
      </c>
      <c r="AH731" s="82" t="s">
        <v>8457</v>
      </c>
      <c r="AI731" s="77" t="b">
        <v>0</v>
      </c>
      <c r="AJ731" s="77"/>
      <c r="AK731" s="77"/>
      <c r="AL731" s="77"/>
      <c r="AM731" s="77"/>
      <c r="AN731" s="77"/>
      <c r="AO731" s="77"/>
      <c r="AP731" s="77"/>
      <c r="AQ731" s="77" t="s">
        <v>11033</v>
      </c>
      <c r="AR731" s="77"/>
      <c r="AS731" s="77"/>
      <c r="AT731" s="77"/>
      <c r="AU731" s="77"/>
      <c r="AV731" s="80" t="str">
        <f>HYPERLINK("https://pbs.twimg.com/media/F43gmTRasAAIRyO.jpg")</f>
        <v>https://pbs.twimg.com/media/F43gmTRasAAIRyO.jpg</v>
      </c>
      <c r="AW731" s="82" t="s">
        <v>12428</v>
      </c>
      <c r="AX731" s="82" t="s">
        <v>12428</v>
      </c>
      <c r="AY731" s="77"/>
      <c r="AZ731" s="82" t="s">
        <v>15984</v>
      </c>
      <c r="BA731" s="82" t="s">
        <v>15984</v>
      </c>
      <c r="BB731" s="82" t="s">
        <v>15984</v>
      </c>
      <c r="BC731" s="82" t="s">
        <v>12428</v>
      </c>
      <c r="BD731" s="77">
        <v>209578308</v>
      </c>
      <c r="BE731" s="77"/>
      <c r="BF731" s="77"/>
      <c r="BG731" s="77"/>
      <c r="BH731" s="77"/>
      <c r="BI731" s="77"/>
    </row>
    <row r="732" spans="1:61" x14ac:dyDescent="0.25">
      <c r="A732" s="62" t="s">
        <v>460</v>
      </c>
      <c r="B732" s="62" t="s">
        <v>460</v>
      </c>
      <c r="C732" s="63"/>
      <c r="D732" s="64"/>
      <c r="E732" s="65"/>
      <c r="F732" s="66"/>
      <c r="G732" s="63"/>
      <c r="H732" s="67"/>
      <c r="I732" s="68"/>
      <c r="J732" s="68"/>
      <c r="K732" s="32"/>
      <c r="L732" s="75">
        <v>732</v>
      </c>
      <c r="M732" s="75"/>
      <c r="N732" s="70"/>
      <c r="O732" s="77" t="s">
        <v>898</v>
      </c>
      <c r="P732" s="79">
        <v>45121.780451388891</v>
      </c>
      <c r="Q732" s="77" t="s">
        <v>1587</v>
      </c>
      <c r="R732" s="77">
        <v>0</v>
      </c>
      <c r="S732" s="77">
        <v>0</v>
      </c>
      <c r="T732" s="77">
        <v>0</v>
      </c>
      <c r="U732" s="77">
        <v>0</v>
      </c>
      <c r="V732" s="77"/>
      <c r="W732" s="82" t="s">
        <v>5207</v>
      </c>
      <c r="X732" s="77"/>
      <c r="Y732" s="77"/>
      <c r="Z732" s="77"/>
      <c r="AA732" s="77"/>
      <c r="AB732" s="77"/>
      <c r="AC732" s="82" t="s">
        <v>7750</v>
      </c>
      <c r="AD732" s="77" t="s">
        <v>7788</v>
      </c>
      <c r="AE732" s="80" t="str">
        <f>HYPERLINK("https://twitter.com/bravacapital/status/1679924685297926145")</f>
        <v>https://twitter.com/bravacapital/status/1679924685297926145</v>
      </c>
      <c r="AF732" s="79">
        <v>45121.780451388891</v>
      </c>
      <c r="AG732" s="85">
        <v>45121</v>
      </c>
      <c r="AH732" s="82" t="s">
        <v>8458</v>
      </c>
      <c r="AI732" s="77"/>
      <c r="AJ732" s="77"/>
      <c r="AK732" s="77"/>
      <c r="AL732" s="77"/>
      <c r="AM732" s="77"/>
      <c r="AN732" s="77"/>
      <c r="AO732" s="77"/>
      <c r="AP732" s="77"/>
      <c r="AQ732" s="77"/>
      <c r="AR732" s="77"/>
      <c r="AS732" s="77"/>
      <c r="AT732" s="77"/>
      <c r="AU732" s="77"/>
      <c r="AV732" s="80" t="str">
        <f>HYPERLINK("https://pbs.twimg.com/profile_images/1298975014939774977/iMbZTqwR_normal.jpg")</f>
        <v>https://pbs.twimg.com/profile_images/1298975014939774977/iMbZTqwR_normal.jpg</v>
      </c>
      <c r="AW732" s="82" t="s">
        <v>12429</v>
      </c>
      <c r="AX732" s="82" t="s">
        <v>15796</v>
      </c>
      <c r="AY732" s="82" t="s">
        <v>15945</v>
      </c>
      <c r="AZ732" s="82" t="s">
        <v>15796</v>
      </c>
      <c r="BA732" s="82" t="s">
        <v>15984</v>
      </c>
      <c r="BB732" s="82" t="s">
        <v>15984</v>
      </c>
      <c r="BC732" s="82" t="s">
        <v>15796</v>
      </c>
      <c r="BD732" s="77">
        <v>209578308</v>
      </c>
      <c r="BE732" s="77"/>
      <c r="BF732" s="77"/>
      <c r="BG732" s="77"/>
      <c r="BH732" s="77"/>
      <c r="BI732" s="77"/>
    </row>
    <row r="733" spans="1:61" x14ac:dyDescent="0.25">
      <c r="A733" s="62" t="s">
        <v>460</v>
      </c>
      <c r="B733" s="62" t="s">
        <v>460</v>
      </c>
      <c r="C733" s="63"/>
      <c r="D733" s="64"/>
      <c r="E733" s="65"/>
      <c r="F733" s="66"/>
      <c r="G733" s="63"/>
      <c r="H733" s="67"/>
      <c r="I733" s="68"/>
      <c r="J733" s="68"/>
      <c r="K733" s="32"/>
      <c r="L733" s="75">
        <v>733</v>
      </c>
      <c r="M733" s="75"/>
      <c r="N733" s="70"/>
      <c r="O733" s="77" t="s">
        <v>898</v>
      </c>
      <c r="P733" s="79">
        <v>45180.584236111114</v>
      </c>
      <c r="Q733" s="77" t="s">
        <v>1588</v>
      </c>
      <c r="R733" s="77">
        <v>0</v>
      </c>
      <c r="S733" s="77">
        <v>0</v>
      </c>
      <c r="T733" s="77">
        <v>0</v>
      </c>
      <c r="U733" s="77">
        <v>0</v>
      </c>
      <c r="V733" s="77">
        <v>10</v>
      </c>
      <c r="W733" s="82" t="s">
        <v>5208</v>
      </c>
      <c r="X733" s="77"/>
      <c r="Y733" s="77"/>
      <c r="Z733" s="77"/>
      <c r="AA733" s="77"/>
      <c r="AB733" s="77"/>
      <c r="AC733" s="82" t="s">
        <v>7750</v>
      </c>
      <c r="AD733" s="77" t="s">
        <v>7788</v>
      </c>
      <c r="AE733" s="80" t="str">
        <f>HYPERLINK("https://twitter.com/bravacapital/status/1701234462971842802")</f>
        <v>https://twitter.com/bravacapital/status/1701234462971842802</v>
      </c>
      <c r="AF733" s="79">
        <v>45180.584236111114</v>
      </c>
      <c r="AG733" s="85">
        <v>45180</v>
      </c>
      <c r="AH733" s="82" t="s">
        <v>8459</v>
      </c>
      <c r="AI733" s="77"/>
      <c r="AJ733" s="77"/>
      <c r="AK733" s="77"/>
      <c r="AL733" s="77"/>
      <c r="AM733" s="77"/>
      <c r="AN733" s="77"/>
      <c r="AO733" s="77"/>
      <c r="AP733" s="77"/>
      <c r="AQ733" s="77"/>
      <c r="AR733" s="77"/>
      <c r="AS733" s="77"/>
      <c r="AT733" s="77"/>
      <c r="AU733" s="77"/>
      <c r="AV733" s="80" t="str">
        <f>HYPERLINK("https://pbs.twimg.com/profile_images/1298975014939774977/iMbZTqwR_normal.jpg")</f>
        <v>https://pbs.twimg.com/profile_images/1298975014939774977/iMbZTqwR_normal.jpg</v>
      </c>
      <c r="AW733" s="82" t="s">
        <v>12430</v>
      </c>
      <c r="AX733" s="82" t="s">
        <v>15797</v>
      </c>
      <c r="AY733" s="82" t="s">
        <v>15945</v>
      </c>
      <c r="AZ733" s="82" t="s">
        <v>15797</v>
      </c>
      <c r="BA733" s="82" t="s">
        <v>15984</v>
      </c>
      <c r="BB733" s="82" t="s">
        <v>15984</v>
      </c>
      <c r="BC733" s="82" t="s">
        <v>15797</v>
      </c>
      <c r="BD733" s="77">
        <v>209578308</v>
      </c>
      <c r="BE733" s="77"/>
      <c r="BF733" s="77"/>
      <c r="BG733" s="77"/>
      <c r="BH733" s="77"/>
      <c r="BI733" s="77"/>
    </row>
    <row r="734" spans="1:61" x14ac:dyDescent="0.25">
      <c r="A734" s="62" t="s">
        <v>460</v>
      </c>
      <c r="B734" s="62" t="s">
        <v>460</v>
      </c>
      <c r="C734" s="63"/>
      <c r="D734" s="64"/>
      <c r="E734" s="65"/>
      <c r="F734" s="66"/>
      <c r="G734" s="63"/>
      <c r="H734" s="67"/>
      <c r="I734" s="68"/>
      <c r="J734" s="68"/>
      <c r="K734" s="32"/>
      <c r="L734" s="75">
        <v>734</v>
      </c>
      <c r="M734" s="75"/>
      <c r="N734" s="70"/>
      <c r="O734" s="77" t="s">
        <v>898</v>
      </c>
      <c r="P734" s="79">
        <v>45181.815335648149</v>
      </c>
      <c r="Q734" s="77" t="s">
        <v>1589</v>
      </c>
      <c r="R734" s="77">
        <v>0</v>
      </c>
      <c r="S734" s="77">
        <v>0</v>
      </c>
      <c r="T734" s="77">
        <v>0</v>
      </c>
      <c r="U734" s="77">
        <v>0</v>
      </c>
      <c r="V734" s="77">
        <v>4</v>
      </c>
      <c r="W734" s="82" t="s">
        <v>5209</v>
      </c>
      <c r="X734" s="80" t="str">
        <f>HYPERLINK("https://bravacapital.com/blog/passivo-contingencial/")</f>
        <v>https://bravacapital.com/blog/passivo-contingencial/</v>
      </c>
      <c r="Y734" s="77" t="s">
        <v>6523</v>
      </c>
      <c r="Z734" s="77"/>
      <c r="AA734" s="77"/>
      <c r="AB734" s="77"/>
      <c r="AC734" s="82" t="s">
        <v>7750</v>
      </c>
      <c r="AD734" s="77" t="s">
        <v>7788</v>
      </c>
      <c r="AE734" s="80" t="str">
        <f>HYPERLINK("https://twitter.com/bravacapital/status/1701680599423934936")</f>
        <v>https://twitter.com/bravacapital/status/1701680599423934936</v>
      </c>
      <c r="AF734" s="79">
        <v>45181.815335648149</v>
      </c>
      <c r="AG734" s="85">
        <v>45181</v>
      </c>
      <c r="AH734" s="82" t="s">
        <v>8460</v>
      </c>
      <c r="AI734" s="77" t="b">
        <v>0</v>
      </c>
      <c r="AJ734" s="77"/>
      <c r="AK734" s="77"/>
      <c r="AL734" s="77"/>
      <c r="AM734" s="77"/>
      <c r="AN734" s="77"/>
      <c r="AO734" s="77"/>
      <c r="AP734" s="77"/>
      <c r="AQ734" s="77"/>
      <c r="AR734" s="77"/>
      <c r="AS734" s="77"/>
      <c r="AT734" s="77"/>
      <c r="AU734" s="77"/>
      <c r="AV734" s="80" t="str">
        <f>HYPERLINK("https://pbs.twimg.com/profile_images/1298975014939774977/iMbZTqwR_normal.jpg")</f>
        <v>https://pbs.twimg.com/profile_images/1298975014939774977/iMbZTqwR_normal.jpg</v>
      </c>
      <c r="AW734" s="82" t="s">
        <v>12431</v>
      </c>
      <c r="AX734" s="82" t="s">
        <v>15798</v>
      </c>
      <c r="AY734" s="82" t="s">
        <v>15945</v>
      </c>
      <c r="AZ734" s="82" t="s">
        <v>15798</v>
      </c>
      <c r="BA734" s="82" t="s">
        <v>15984</v>
      </c>
      <c r="BB734" s="82" t="s">
        <v>15984</v>
      </c>
      <c r="BC734" s="82" t="s">
        <v>15798</v>
      </c>
      <c r="BD734" s="77">
        <v>209578308</v>
      </c>
      <c r="BE734" s="77"/>
      <c r="BF734" s="77"/>
      <c r="BG734" s="77"/>
      <c r="BH734" s="77"/>
      <c r="BI734" s="77"/>
    </row>
    <row r="735" spans="1:61" x14ac:dyDescent="0.25">
      <c r="A735" s="62" t="s">
        <v>460</v>
      </c>
      <c r="B735" s="62" t="s">
        <v>460</v>
      </c>
      <c r="C735" s="63"/>
      <c r="D735" s="64"/>
      <c r="E735" s="65"/>
      <c r="F735" s="66"/>
      <c r="G735" s="63"/>
      <c r="H735" s="67"/>
      <c r="I735" s="68"/>
      <c r="J735" s="68"/>
      <c r="K735" s="32"/>
      <c r="L735" s="75">
        <v>735</v>
      </c>
      <c r="M735" s="75"/>
      <c r="N735" s="70"/>
      <c r="O735" s="77" t="s">
        <v>898</v>
      </c>
      <c r="P735" s="79">
        <v>45187.817673611113</v>
      </c>
      <c r="Q735" s="77" t="s">
        <v>1590</v>
      </c>
      <c r="R735" s="77">
        <v>0</v>
      </c>
      <c r="S735" s="77">
        <v>0</v>
      </c>
      <c r="T735" s="77">
        <v>0</v>
      </c>
      <c r="U735" s="77">
        <v>0</v>
      </c>
      <c r="V735" s="77">
        <v>5</v>
      </c>
      <c r="W735" s="82" t="s">
        <v>5210</v>
      </c>
      <c r="X735" s="77"/>
      <c r="Y735" s="77"/>
      <c r="Z735" s="77"/>
      <c r="AA735" s="77"/>
      <c r="AB735" s="77"/>
      <c r="AC735" s="82" t="s">
        <v>7750</v>
      </c>
      <c r="AD735" s="77" t="s">
        <v>7788</v>
      </c>
      <c r="AE735" s="80" t="str">
        <f>HYPERLINK("https://twitter.com/bravacapital/status/1703855772826829128")</f>
        <v>https://twitter.com/bravacapital/status/1703855772826829128</v>
      </c>
      <c r="AF735" s="79">
        <v>45187.817673611113</v>
      </c>
      <c r="AG735" s="85">
        <v>45187</v>
      </c>
      <c r="AH735" s="82" t="s">
        <v>8461</v>
      </c>
      <c r="AI735" s="77"/>
      <c r="AJ735" s="77"/>
      <c r="AK735" s="77"/>
      <c r="AL735" s="77"/>
      <c r="AM735" s="77"/>
      <c r="AN735" s="77"/>
      <c r="AO735" s="77"/>
      <c r="AP735" s="77"/>
      <c r="AQ735" s="77"/>
      <c r="AR735" s="77"/>
      <c r="AS735" s="77"/>
      <c r="AT735" s="77"/>
      <c r="AU735" s="77"/>
      <c r="AV735" s="80" t="str">
        <f>HYPERLINK("https://pbs.twimg.com/profile_images/1298975014939774977/iMbZTqwR_normal.jpg")</f>
        <v>https://pbs.twimg.com/profile_images/1298975014939774977/iMbZTqwR_normal.jpg</v>
      </c>
      <c r="AW735" s="82" t="s">
        <v>12432</v>
      </c>
      <c r="AX735" s="82" t="s">
        <v>15799</v>
      </c>
      <c r="AY735" s="82" t="s">
        <v>15945</v>
      </c>
      <c r="AZ735" s="82" t="s">
        <v>15799</v>
      </c>
      <c r="BA735" s="82" t="s">
        <v>15984</v>
      </c>
      <c r="BB735" s="82" t="s">
        <v>15984</v>
      </c>
      <c r="BC735" s="82" t="s">
        <v>15799</v>
      </c>
      <c r="BD735" s="77">
        <v>209578308</v>
      </c>
      <c r="BE735" s="77"/>
      <c r="BF735" s="77"/>
      <c r="BG735" s="77"/>
      <c r="BH735" s="77"/>
      <c r="BI735" s="77"/>
    </row>
    <row r="736" spans="1:61" x14ac:dyDescent="0.25">
      <c r="A736" s="62" t="s">
        <v>460</v>
      </c>
      <c r="B736" s="62" t="s">
        <v>460</v>
      </c>
      <c r="C736" s="63"/>
      <c r="D736" s="64"/>
      <c r="E736" s="65"/>
      <c r="F736" s="66"/>
      <c r="G736" s="63"/>
      <c r="H736" s="67"/>
      <c r="I736" s="68"/>
      <c r="J736" s="68"/>
      <c r="K736" s="32"/>
      <c r="L736" s="75">
        <v>736</v>
      </c>
      <c r="M736" s="75"/>
      <c r="N736" s="70"/>
      <c r="O736" s="77" t="s">
        <v>898</v>
      </c>
      <c r="P736" s="79">
        <v>45189.808831018519</v>
      </c>
      <c r="Q736" s="77" t="s">
        <v>1591</v>
      </c>
      <c r="R736" s="77">
        <v>0</v>
      </c>
      <c r="S736" s="77">
        <v>0</v>
      </c>
      <c r="T736" s="77">
        <v>0</v>
      </c>
      <c r="U736" s="77">
        <v>0</v>
      </c>
      <c r="V736" s="77">
        <v>4</v>
      </c>
      <c r="W736" s="82" t="s">
        <v>5211</v>
      </c>
      <c r="X736" s="77"/>
      <c r="Y736" s="77"/>
      <c r="Z736" s="77"/>
      <c r="AA736" s="77"/>
      <c r="AB736" s="77"/>
      <c r="AC736" s="82" t="s">
        <v>7750</v>
      </c>
      <c r="AD736" s="77" t="s">
        <v>7788</v>
      </c>
      <c r="AE736" s="80" t="str">
        <f>HYPERLINK("https://twitter.com/bravacapital/status/1704577345690927471")</f>
        <v>https://twitter.com/bravacapital/status/1704577345690927471</v>
      </c>
      <c r="AF736" s="79">
        <v>45189.808831018519</v>
      </c>
      <c r="AG736" s="85">
        <v>45189</v>
      </c>
      <c r="AH736" s="82" t="s">
        <v>8462</v>
      </c>
      <c r="AI736" s="77"/>
      <c r="AJ736" s="77"/>
      <c r="AK736" s="77"/>
      <c r="AL736" s="77"/>
      <c r="AM736" s="77"/>
      <c r="AN736" s="77"/>
      <c r="AO736" s="77"/>
      <c r="AP736" s="77"/>
      <c r="AQ736" s="77"/>
      <c r="AR736" s="77"/>
      <c r="AS736" s="77"/>
      <c r="AT736" s="77"/>
      <c r="AU736" s="77"/>
      <c r="AV736" s="80" t="str">
        <f>HYPERLINK("https://pbs.twimg.com/profile_images/1298975014939774977/iMbZTqwR_normal.jpg")</f>
        <v>https://pbs.twimg.com/profile_images/1298975014939774977/iMbZTqwR_normal.jpg</v>
      </c>
      <c r="AW736" s="82" t="s">
        <v>12433</v>
      </c>
      <c r="AX736" s="82" t="s">
        <v>15800</v>
      </c>
      <c r="AY736" s="82" t="s">
        <v>15945</v>
      </c>
      <c r="AZ736" s="82" t="s">
        <v>16022</v>
      </c>
      <c r="BA736" s="82" t="s">
        <v>15984</v>
      </c>
      <c r="BB736" s="82" t="s">
        <v>15984</v>
      </c>
      <c r="BC736" s="82" t="s">
        <v>16022</v>
      </c>
      <c r="BD736" s="77">
        <v>209578308</v>
      </c>
      <c r="BE736" s="77"/>
      <c r="BF736" s="77"/>
      <c r="BG736" s="77"/>
      <c r="BH736" s="77"/>
      <c r="BI736" s="77"/>
    </row>
    <row r="737" spans="1:61" x14ac:dyDescent="0.25">
      <c r="A737" s="62" t="s">
        <v>461</v>
      </c>
      <c r="B737" s="62" t="s">
        <v>793</v>
      </c>
      <c r="C737" s="63"/>
      <c r="D737" s="64"/>
      <c r="E737" s="65"/>
      <c r="F737" s="66"/>
      <c r="G737" s="63"/>
      <c r="H737" s="67"/>
      <c r="I737" s="68"/>
      <c r="J737" s="68"/>
      <c r="K737" s="32"/>
      <c r="L737" s="75">
        <v>737</v>
      </c>
      <c r="M737" s="75"/>
      <c r="N737" s="70"/>
      <c r="O737" s="77" t="s">
        <v>895</v>
      </c>
      <c r="P737" s="79">
        <v>45182.466898148145</v>
      </c>
      <c r="Q737" s="77" t="s">
        <v>1592</v>
      </c>
      <c r="R737" s="77">
        <v>3</v>
      </c>
      <c r="S737" s="77">
        <v>4</v>
      </c>
      <c r="T737" s="77">
        <v>0</v>
      </c>
      <c r="U737" s="77">
        <v>0</v>
      </c>
      <c r="V737" s="77">
        <v>1183</v>
      </c>
      <c r="W737" s="82" t="s">
        <v>5212</v>
      </c>
      <c r="X737" s="80" t="str">
        <f>HYPERLINK("https://www.infinita.cl/programas/mas-que-numeros/2023/09/12/mas-que-numeros-12-de-septiembre-del-2023.html")</f>
        <v>https://www.infinita.cl/programas/mas-que-numeros/2023/09/12/mas-que-numeros-12-de-septiembre-del-2023.html</v>
      </c>
      <c r="Y737" s="77" t="s">
        <v>6524</v>
      </c>
      <c r="Z737" s="77" t="s">
        <v>6573</v>
      </c>
      <c r="AA737" s="77" t="s">
        <v>7062</v>
      </c>
      <c r="AB737" s="77" t="s">
        <v>7742</v>
      </c>
      <c r="AC737" s="82" t="s">
        <v>7752</v>
      </c>
      <c r="AD737" s="77" t="s">
        <v>7790</v>
      </c>
      <c r="AE737" s="80" t="str">
        <f>HYPERLINK("https://twitter.com/clapesuc/status/1701916720389079254")</f>
        <v>https://twitter.com/clapesuc/status/1701916720389079254</v>
      </c>
      <c r="AF737" s="79">
        <v>45182.466898148145</v>
      </c>
      <c r="AG737" s="85">
        <v>45182</v>
      </c>
      <c r="AH737" s="82" t="s">
        <v>8463</v>
      </c>
      <c r="AI737" s="77" t="b">
        <v>0</v>
      </c>
      <c r="AJ737" s="77"/>
      <c r="AK737" s="77"/>
      <c r="AL737" s="77"/>
      <c r="AM737" s="77"/>
      <c r="AN737" s="77"/>
      <c r="AO737" s="77"/>
      <c r="AP737" s="77"/>
      <c r="AQ737" s="77" t="s">
        <v>11034</v>
      </c>
      <c r="AR737" s="77"/>
      <c r="AS737" s="77"/>
      <c r="AT737" s="77"/>
      <c r="AU737" s="77"/>
      <c r="AV737" s="80" t="str">
        <f>HYPERLINK("https://pbs.twimg.com/media/F55sOsaXcAAC6Fa.jpg")</f>
        <v>https://pbs.twimg.com/media/F55sOsaXcAAC6Fa.jpg</v>
      </c>
      <c r="AW737" s="82" t="s">
        <v>12434</v>
      </c>
      <c r="AX737" s="82" t="s">
        <v>12434</v>
      </c>
      <c r="AY737" s="77"/>
      <c r="AZ737" s="82" t="s">
        <v>15984</v>
      </c>
      <c r="BA737" s="82" t="s">
        <v>15984</v>
      </c>
      <c r="BB737" s="82" t="s">
        <v>15984</v>
      </c>
      <c r="BC737" s="82" t="s">
        <v>12434</v>
      </c>
      <c r="BD737" s="77">
        <v>2458561638</v>
      </c>
      <c r="BE737" s="77"/>
      <c r="BF737" s="77"/>
      <c r="BG737" s="77"/>
      <c r="BH737" s="77"/>
      <c r="BI737" s="77"/>
    </row>
    <row r="738" spans="1:61" x14ac:dyDescent="0.25">
      <c r="A738" s="62" t="s">
        <v>461</v>
      </c>
      <c r="B738" s="62" t="s">
        <v>794</v>
      </c>
      <c r="C738" s="63"/>
      <c r="D738" s="64"/>
      <c r="E738" s="65"/>
      <c r="F738" s="66"/>
      <c r="G738" s="63"/>
      <c r="H738" s="67"/>
      <c r="I738" s="68"/>
      <c r="J738" s="68"/>
      <c r="K738" s="32"/>
      <c r="L738" s="75">
        <v>738</v>
      </c>
      <c r="M738" s="75"/>
      <c r="N738" s="70"/>
      <c r="O738" s="77" t="s">
        <v>895</v>
      </c>
      <c r="P738" s="79">
        <v>45182.466898148145</v>
      </c>
      <c r="Q738" s="77" t="s">
        <v>1592</v>
      </c>
      <c r="R738" s="77">
        <v>3</v>
      </c>
      <c r="S738" s="77">
        <v>4</v>
      </c>
      <c r="T738" s="77">
        <v>0</v>
      </c>
      <c r="U738" s="77">
        <v>0</v>
      </c>
      <c r="V738" s="77">
        <v>1183</v>
      </c>
      <c r="W738" s="82" t="s">
        <v>5212</v>
      </c>
      <c r="X738" s="80" t="str">
        <f>HYPERLINK("https://www.infinita.cl/programas/mas-que-numeros/2023/09/12/mas-que-numeros-12-de-septiembre-del-2023.html")</f>
        <v>https://www.infinita.cl/programas/mas-que-numeros/2023/09/12/mas-que-numeros-12-de-septiembre-del-2023.html</v>
      </c>
      <c r="Y738" s="77" t="s">
        <v>6524</v>
      </c>
      <c r="Z738" s="77" t="s">
        <v>6573</v>
      </c>
      <c r="AA738" s="77" t="s">
        <v>7062</v>
      </c>
      <c r="AB738" s="77" t="s">
        <v>7742</v>
      </c>
      <c r="AC738" s="82" t="s">
        <v>7752</v>
      </c>
      <c r="AD738" s="77" t="s">
        <v>7790</v>
      </c>
      <c r="AE738" s="80" t="str">
        <f>HYPERLINK("https://twitter.com/clapesuc/status/1701916720389079254")</f>
        <v>https://twitter.com/clapesuc/status/1701916720389079254</v>
      </c>
      <c r="AF738" s="79">
        <v>45182.466898148145</v>
      </c>
      <c r="AG738" s="85">
        <v>45182</v>
      </c>
      <c r="AH738" s="82" t="s">
        <v>8463</v>
      </c>
      <c r="AI738" s="77" t="b">
        <v>0</v>
      </c>
      <c r="AJ738" s="77"/>
      <c r="AK738" s="77"/>
      <c r="AL738" s="77"/>
      <c r="AM738" s="77"/>
      <c r="AN738" s="77"/>
      <c r="AO738" s="77"/>
      <c r="AP738" s="77"/>
      <c r="AQ738" s="77" t="s">
        <v>11034</v>
      </c>
      <c r="AR738" s="77"/>
      <c r="AS738" s="77"/>
      <c r="AT738" s="77"/>
      <c r="AU738" s="77"/>
      <c r="AV738" s="80" t="str">
        <f>HYPERLINK("https://pbs.twimg.com/media/F55sOsaXcAAC6Fa.jpg")</f>
        <v>https://pbs.twimg.com/media/F55sOsaXcAAC6Fa.jpg</v>
      </c>
      <c r="AW738" s="82" t="s">
        <v>12434</v>
      </c>
      <c r="AX738" s="82" t="s">
        <v>12434</v>
      </c>
      <c r="AY738" s="77"/>
      <c r="AZ738" s="82" t="s">
        <v>15984</v>
      </c>
      <c r="BA738" s="82" t="s">
        <v>15984</v>
      </c>
      <c r="BB738" s="82" t="s">
        <v>15984</v>
      </c>
      <c r="BC738" s="82" t="s">
        <v>12434</v>
      </c>
      <c r="BD738" s="77">
        <v>2458561638</v>
      </c>
      <c r="BE738" s="77"/>
      <c r="BF738" s="77"/>
      <c r="BG738" s="77"/>
      <c r="BH738" s="77"/>
      <c r="BI738" s="77"/>
    </row>
    <row r="739" spans="1:61" x14ac:dyDescent="0.25">
      <c r="A739" s="62" t="s">
        <v>461</v>
      </c>
      <c r="B739" s="62" t="s">
        <v>795</v>
      </c>
      <c r="C739" s="63"/>
      <c r="D739" s="64"/>
      <c r="E739" s="65"/>
      <c r="F739" s="66"/>
      <c r="G739" s="63"/>
      <c r="H739" s="67"/>
      <c r="I739" s="68"/>
      <c r="J739" s="68"/>
      <c r="K739" s="32"/>
      <c r="L739" s="75">
        <v>739</v>
      </c>
      <c r="M739" s="75"/>
      <c r="N739" s="70"/>
      <c r="O739" s="77" t="s">
        <v>895</v>
      </c>
      <c r="P739" s="79">
        <v>45182.466898148145</v>
      </c>
      <c r="Q739" s="77" t="s">
        <v>1592</v>
      </c>
      <c r="R739" s="77">
        <v>3</v>
      </c>
      <c r="S739" s="77">
        <v>4</v>
      </c>
      <c r="T739" s="77">
        <v>0</v>
      </c>
      <c r="U739" s="77">
        <v>0</v>
      </c>
      <c r="V739" s="77">
        <v>1183</v>
      </c>
      <c r="W739" s="82" t="s">
        <v>5212</v>
      </c>
      <c r="X739" s="80" t="str">
        <f>HYPERLINK("https://www.infinita.cl/programas/mas-que-numeros/2023/09/12/mas-que-numeros-12-de-septiembre-del-2023.html")</f>
        <v>https://www.infinita.cl/programas/mas-que-numeros/2023/09/12/mas-que-numeros-12-de-septiembre-del-2023.html</v>
      </c>
      <c r="Y739" s="77" t="s">
        <v>6524</v>
      </c>
      <c r="Z739" s="77" t="s">
        <v>6573</v>
      </c>
      <c r="AA739" s="77" t="s">
        <v>7062</v>
      </c>
      <c r="AB739" s="77" t="s">
        <v>7742</v>
      </c>
      <c r="AC739" s="82" t="s">
        <v>7752</v>
      </c>
      <c r="AD739" s="77" t="s">
        <v>7790</v>
      </c>
      <c r="AE739" s="80" t="str">
        <f>HYPERLINK("https://twitter.com/clapesuc/status/1701916720389079254")</f>
        <v>https://twitter.com/clapesuc/status/1701916720389079254</v>
      </c>
      <c r="AF739" s="79">
        <v>45182.466898148145</v>
      </c>
      <c r="AG739" s="85">
        <v>45182</v>
      </c>
      <c r="AH739" s="82" t="s">
        <v>8463</v>
      </c>
      <c r="AI739" s="77" t="b">
        <v>0</v>
      </c>
      <c r="AJ739" s="77"/>
      <c r="AK739" s="77"/>
      <c r="AL739" s="77"/>
      <c r="AM739" s="77"/>
      <c r="AN739" s="77"/>
      <c r="AO739" s="77"/>
      <c r="AP739" s="77"/>
      <c r="AQ739" s="77" t="s">
        <v>11034</v>
      </c>
      <c r="AR739" s="77"/>
      <c r="AS739" s="77"/>
      <c r="AT739" s="77"/>
      <c r="AU739" s="77"/>
      <c r="AV739" s="80" t="str">
        <f>HYPERLINK("https://pbs.twimg.com/media/F55sOsaXcAAC6Fa.jpg")</f>
        <v>https://pbs.twimg.com/media/F55sOsaXcAAC6Fa.jpg</v>
      </c>
      <c r="AW739" s="82" t="s">
        <v>12434</v>
      </c>
      <c r="AX739" s="82" t="s">
        <v>12434</v>
      </c>
      <c r="AY739" s="77"/>
      <c r="AZ739" s="82" t="s">
        <v>15984</v>
      </c>
      <c r="BA739" s="82" t="s">
        <v>15984</v>
      </c>
      <c r="BB739" s="82" t="s">
        <v>15984</v>
      </c>
      <c r="BC739" s="82" t="s">
        <v>12434</v>
      </c>
      <c r="BD739" s="77">
        <v>2458561638</v>
      </c>
      <c r="BE739" s="77"/>
      <c r="BF739" s="77"/>
      <c r="BG739" s="77"/>
      <c r="BH739" s="77"/>
      <c r="BI739" s="77"/>
    </row>
    <row r="740" spans="1:61" x14ac:dyDescent="0.25">
      <c r="A740" s="62" t="s">
        <v>461</v>
      </c>
      <c r="B740" s="62" t="s">
        <v>796</v>
      </c>
      <c r="C740" s="63"/>
      <c r="D740" s="64"/>
      <c r="E740" s="65"/>
      <c r="F740" s="66"/>
      <c r="G740" s="63"/>
      <c r="H740" s="67"/>
      <c r="I740" s="68"/>
      <c r="J740" s="68"/>
      <c r="K740" s="32"/>
      <c r="L740" s="75">
        <v>740</v>
      </c>
      <c r="M740" s="75"/>
      <c r="N740" s="70"/>
      <c r="O740" s="77" t="s">
        <v>895</v>
      </c>
      <c r="P740" s="79">
        <v>45182.466898148145</v>
      </c>
      <c r="Q740" s="77" t="s">
        <v>1592</v>
      </c>
      <c r="R740" s="77">
        <v>3</v>
      </c>
      <c r="S740" s="77">
        <v>4</v>
      </c>
      <c r="T740" s="77">
        <v>0</v>
      </c>
      <c r="U740" s="77">
        <v>0</v>
      </c>
      <c r="V740" s="77">
        <v>1183</v>
      </c>
      <c r="W740" s="82" t="s">
        <v>5212</v>
      </c>
      <c r="X740" s="80" t="str">
        <f>HYPERLINK("https://www.infinita.cl/programas/mas-que-numeros/2023/09/12/mas-que-numeros-12-de-septiembre-del-2023.html")</f>
        <v>https://www.infinita.cl/programas/mas-que-numeros/2023/09/12/mas-que-numeros-12-de-septiembre-del-2023.html</v>
      </c>
      <c r="Y740" s="77" t="s">
        <v>6524</v>
      </c>
      <c r="Z740" s="77" t="s">
        <v>6573</v>
      </c>
      <c r="AA740" s="77" t="s">
        <v>7062</v>
      </c>
      <c r="AB740" s="77" t="s">
        <v>7742</v>
      </c>
      <c r="AC740" s="82" t="s">
        <v>7752</v>
      </c>
      <c r="AD740" s="77" t="s">
        <v>7790</v>
      </c>
      <c r="AE740" s="80" t="str">
        <f>HYPERLINK("https://twitter.com/clapesuc/status/1701916720389079254")</f>
        <v>https://twitter.com/clapesuc/status/1701916720389079254</v>
      </c>
      <c r="AF740" s="79">
        <v>45182.466898148145</v>
      </c>
      <c r="AG740" s="85">
        <v>45182</v>
      </c>
      <c r="AH740" s="82" t="s">
        <v>8463</v>
      </c>
      <c r="AI740" s="77" t="b">
        <v>0</v>
      </c>
      <c r="AJ740" s="77"/>
      <c r="AK740" s="77"/>
      <c r="AL740" s="77"/>
      <c r="AM740" s="77"/>
      <c r="AN740" s="77"/>
      <c r="AO740" s="77"/>
      <c r="AP740" s="77"/>
      <c r="AQ740" s="77" t="s">
        <v>11034</v>
      </c>
      <c r="AR740" s="77"/>
      <c r="AS740" s="77"/>
      <c r="AT740" s="77"/>
      <c r="AU740" s="77"/>
      <c r="AV740" s="80" t="str">
        <f>HYPERLINK("https://pbs.twimg.com/media/F55sOsaXcAAC6Fa.jpg")</f>
        <v>https://pbs.twimg.com/media/F55sOsaXcAAC6Fa.jpg</v>
      </c>
      <c r="AW740" s="82" t="s">
        <v>12434</v>
      </c>
      <c r="AX740" s="82" t="s">
        <v>12434</v>
      </c>
      <c r="AY740" s="77"/>
      <c r="AZ740" s="82" t="s">
        <v>15984</v>
      </c>
      <c r="BA740" s="82" t="s">
        <v>15984</v>
      </c>
      <c r="BB740" s="82" t="s">
        <v>15984</v>
      </c>
      <c r="BC740" s="82" t="s">
        <v>12434</v>
      </c>
      <c r="BD740" s="77">
        <v>2458561638</v>
      </c>
      <c r="BE740" s="77"/>
      <c r="BF740" s="77"/>
      <c r="BG740" s="77"/>
      <c r="BH740" s="77"/>
      <c r="BI740" s="77"/>
    </row>
    <row r="741" spans="1:61" x14ac:dyDescent="0.25">
      <c r="A741" s="62" t="s">
        <v>462</v>
      </c>
      <c r="B741" s="62" t="s">
        <v>462</v>
      </c>
      <c r="C741" s="63"/>
      <c r="D741" s="64"/>
      <c r="E741" s="65"/>
      <c r="F741" s="66"/>
      <c r="G741" s="63"/>
      <c r="H741" s="67"/>
      <c r="I741" s="68"/>
      <c r="J741" s="68"/>
      <c r="K741" s="32"/>
      <c r="L741" s="75">
        <v>741</v>
      </c>
      <c r="M741" s="75"/>
      <c r="N741" s="70"/>
      <c r="O741" s="77" t="s">
        <v>179</v>
      </c>
      <c r="P741" s="79">
        <v>45161.993298611109</v>
      </c>
      <c r="Q741" s="77" t="s">
        <v>1593</v>
      </c>
      <c r="R741" s="77">
        <v>0</v>
      </c>
      <c r="S741" s="77">
        <v>0</v>
      </c>
      <c r="T741" s="77">
        <v>0</v>
      </c>
      <c r="U741" s="77">
        <v>0</v>
      </c>
      <c r="V741" s="77">
        <v>21</v>
      </c>
      <c r="W741" s="82" t="s">
        <v>4839</v>
      </c>
      <c r="X741" s="77"/>
      <c r="Y741" s="77"/>
      <c r="Z741" s="77"/>
      <c r="AA741" s="77"/>
      <c r="AB741" s="77"/>
      <c r="AC741" s="82" t="s">
        <v>7750</v>
      </c>
      <c r="AD741" s="77" t="s">
        <v>7788</v>
      </c>
      <c r="AE741" s="80" t="str">
        <f>HYPERLINK("https://twitter.com/allanwalkerrio/status/1694497333445099871")</f>
        <v>https://twitter.com/allanwalkerrio/status/1694497333445099871</v>
      </c>
      <c r="AF741" s="79">
        <v>45161.993298611109</v>
      </c>
      <c r="AG741" s="85">
        <v>45161</v>
      </c>
      <c r="AH741" s="82" t="s">
        <v>8464</v>
      </c>
      <c r="AI741" s="77"/>
      <c r="AJ741" s="77"/>
      <c r="AK741" s="77"/>
      <c r="AL741" s="77"/>
      <c r="AM741" s="77"/>
      <c r="AN741" s="77"/>
      <c r="AO741" s="77"/>
      <c r="AP741" s="77"/>
      <c r="AQ741" s="77"/>
      <c r="AR741" s="77"/>
      <c r="AS741" s="77"/>
      <c r="AT741" s="77"/>
      <c r="AU741" s="77"/>
      <c r="AV741" s="80" t="str">
        <f>HYPERLINK("https://pbs.twimg.com/profile_images/1704237957282938881/nNELexCv_normal.jpg")</f>
        <v>https://pbs.twimg.com/profile_images/1704237957282938881/nNELexCv_normal.jpg</v>
      </c>
      <c r="AW741" s="82" t="s">
        <v>12435</v>
      </c>
      <c r="AX741" s="82" t="s">
        <v>12435</v>
      </c>
      <c r="AY741" s="77"/>
      <c r="AZ741" s="82" t="s">
        <v>15984</v>
      </c>
      <c r="BA741" s="82" t="s">
        <v>15984</v>
      </c>
      <c r="BB741" s="82" t="s">
        <v>15984</v>
      </c>
      <c r="BC741" s="82" t="s">
        <v>12435</v>
      </c>
      <c r="BD741" s="82" t="s">
        <v>16244</v>
      </c>
      <c r="BE741" s="77"/>
      <c r="BF741" s="77"/>
      <c r="BG741" s="77"/>
      <c r="BH741" s="77"/>
      <c r="BI741" s="77"/>
    </row>
    <row r="742" spans="1:61" x14ac:dyDescent="0.25">
      <c r="A742" s="62" t="s">
        <v>462</v>
      </c>
      <c r="B742" s="62" t="s">
        <v>462</v>
      </c>
      <c r="C742" s="63"/>
      <c r="D742" s="64"/>
      <c r="E742" s="65"/>
      <c r="F742" s="66"/>
      <c r="G742" s="63"/>
      <c r="H742" s="67"/>
      <c r="I742" s="68"/>
      <c r="J742" s="68"/>
      <c r="K742" s="32"/>
      <c r="L742" s="75">
        <v>742</v>
      </c>
      <c r="M742" s="75"/>
      <c r="N742" s="70"/>
      <c r="O742" s="77" t="s">
        <v>179</v>
      </c>
      <c r="P742" s="79">
        <v>45161.992569444446</v>
      </c>
      <c r="Q742" s="77" t="s">
        <v>1594</v>
      </c>
      <c r="R742" s="77">
        <v>0</v>
      </c>
      <c r="S742" s="77">
        <v>0</v>
      </c>
      <c r="T742" s="77">
        <v>0</v>
      </c>
      <c r="U742" s="77">
        <v>0</v>
      </c>
      <c r="V742" s="77">
        <v>70</v>
      </c>
      <c r="W742" s="82" t="s">
        <v>4839</v>
      </c>
      <c r="X742" s="77"/>
      <c r="Y742" s="77"/>
      <c r="Z742" s="77"/>
      <c r="AA742" s="77"/>
      <c r="AB742" s="77"/>
      <c r="AC742" s="82" t="s">
        <v>7750</v>
      </c>
      <c r="AD742" s="77" t="s">
        <v>7788</v>
      </c>
      <c r="AE742" s="80" t="str">
        <f>HYPERLINK("https://twitter.com/allanwalkerrio/status/1694497071473041524")</f>
        <v>https://twitter.com/allanwalkerrio/status/1694497071473041524</v>
      </c>
      <c r="AF742" s="79">
        <v>45161.992569444446</v>
      </c>
      <c r="AG742" s="85">
        <v>45161</v>
      </c>
      <c r="AH742" s="82" t="s">
        <v>8465</v>
      </c>
      <c r="AI742" s="77"/>
      <c r="AJ742" s="77"/>
      <c r="AK742" s="77"/>
      <c r="AL742" s="77"/>
      <c r="AM742" s="77"/>
      <c r="AN742" s="77"/>
      <c r="AO742" s="77"/>
      <c r="AP742" s="77"/>
      <c r="AQ742" s="77"/>
      <c r="AR742" s="77"/>
      <c r="AS742" s="77"/>
      <c r="AT742" s="77"/>
      <c r="AU742" s="77"/>
      <c r="AV742" s="80" t="str">
        <f>HYPERLINK("https://pbs.twimg.com/profile_images/1704237957282938881/nNELexCv_normal.jpg")</f>
        <v>https://pbs.twimg.com/profile_images/1704237957282938881/nNELexCv_normal.jpg</v>
      </c>
      <c r="AW742" s="82" t="s">
        <v>12436</v>
      </c>
      <c r="AX742" s="82" t="s">
        <v>12436</v>
      </c>
      <c r="AY742" s="77"/>
      <c r="AZ742" s="82" t="s">
        <v>15984</v>
      </c>
      <c r="BA742" s="82" t="s">
        <v>15984</v>
      </c>
      <c r="BB742" s="82" t="s">
        <v>15984</v>
      </c>
      <c r="BC742" s="82" t="s">
        <v>12436</v>
      </c>
      <c r="BD742" s="82" t="s">
        <v>16244</v>
      </c>
      <c r="BE742" s="77"/>
      <c r="BF742" s="77"/>
      <c r="BG742" s="77"/>
      <c r="BH742" s="77"/>
      <c r="BI742" s="77"/>
    </row>
    <row r="743" spans="1:61" x14ac:dyDescent="0.25">
      <c r="A743" s="62" t="s">
        <v>462</v>
      </c>
      <c r="B743" s="62" t="s">
        <v>462</v>
      </c>
      <c r="C743" s="63"/>
      <c r="D743" s="64"/>
      <c r="E743" s="65"/>
      <c r="F743" s="66"/>
      <c r="G743" s="63"/>
      <c r="H743" s="67"/>
      <c r="I743" s="68"/>
      <c r="J743" s="68"/>
      <c r="K743" s="32"/>
      <c r="L743" s="75">
        <v>743</v>
      </c>
      <c r="M743" s="75"/>
      <c r="N743" s="70"/>
      <c r="O743" s="77" t="s">
        <v>179</v>
      </c>
      <c r="P743" s="79">
        <v>45161.990624999999</v>
      </c>
      <c r="Q743" s="77" t="s">
        <v>1595</v>
      </c>
      <c r="R743" s="77">
        <v>0</v>
      </c>
      <c r="S743" s="77">
        <v>0</v>
      </c>
      <c r="T743" s="77">
        <v>0</v>
      </c>
      <c r="U743" s="77">
        <v>0</v>
      </c>
      <c r="V743" s="77">
        <v>17</v>
      </c>
      <c r="W743" s="82" t="s">
        <v>4839</v>
      </c>
      <c r="X743" s="77"/>
      <c r="Y743" s="77"/>
      <c r="Z743" s="77"/>
      <c r="AA743" s="77"/>
      <c r="AB743" s="77"/>
      <c r="AC743" s="82" t="s">
        <v>7750</v>
      </c>
      <c r="AD743" s="77" t="s">
        <v>7788</v>
      </c>
      <c r="AE743" s="80" t="str">
        <f>HYPERLINK("https://twitter.com/allanwalkerrio/status/1694496364707615035")</f>
        <v>https://twitter.com/allanwalkerrio/status/1694496364707615035</v>
      </c>
      <c r="AF743" s="79">
        <v>45161.990624999999</v>
      </c>
      <c r="AG743" s="85">
        <v>45161</v>
      </c>
      <c r="AH743" s="82" t="s">
        <v>8466</v>
      </c>
      <c r="AI743" s="77"/>
      <c r="AJ743" s="77"/>
      <c r="AK743" s="77"/>
      <c r="AL743" s="77"/>
      <c r="AM743" s="77"/>
      <c r="AN743" s="77"/>
      <c r="AO743" s="77"/>
      <c r="AP743" s="77"/>
      <c r="AQ743" s="77"/>
      <c r="AR743" s="77"/>
      <c r="AS743" s="77"/>
      <c r="AT743" s="77"/>
      <c r="AU743" s="77"/>
      <c r="AV743" s="80" t="str">
        <f>HYPERLINK("https://pbs.twimg.com/profile_images/1704237957282938881/nNELexCv_normal.jpg")</f>
        <v>https://pbs.twimg.com/profile_images/1704237957282938881/nNELexCv_normal.jpg</v>
      </c>
      <c r="AW743" s="82" t="s">
        <v>12437</v>
      </c>
      <c r="AX743" s="82" t="s">
        <v>12437</v>
      </c>
      <c r="AY743" s="77"/>
      <c r="AZ743" s="82" t="s">
        <v>15984</v>
      </c>
      <c r="BA743" s="82" t="s">
        <v>15984</v>
      </c>
      <c r="BB743" s="82" t="s">
        <v>15984</v>
      </c>
      <c r="BC743" s="82" t="s">
        <v>12437</v>
      </c>
      <c r="BD743" s="82" t="s">
        <v>16244</v>
      </c>
      <c r="BE743" s="77"/>
      <c r="BF743" s="77"/>
      <c r="BG743" s="77"/>
      <c r="BH743" s="77"/>
      <c r="BI743" s="77"/>
    </row>
    <row r="744" spans="1:61" x14ac:dyDescent="0.25">
      <c r="A744" s="62" t="s">
        <v>462</v>
      </c>
      <c r="B744" s="62" t="s">
        <v>462</v>
      </c>
      <c r="C744" s="63"/>
      <c r="D744" s="64"/>
      <c r="E744" s="65"/>
      <c r="F744" s="66"/>
      <c r="G744" s="63"/>
      <c r="H744" s="67"/>
      <c r="I744" s="68"/>
      <c r="J744" s="68"/>
      <c r="K744" s="32"/>
      <c r="L744" s="75">
        <v>744</v>
      </c>
      <c r="M744" s="75"/>
      <c r="N744" s="70"/>
      <c r="O744" s="77" t="s">
        <v>179</v>
      </c>
      <c r="P744" s="79">
        <v>45161.989629629628</v>
      </c>
      <c r="Q744" s="77" t="s">
        <v>1596</v>
      </c>
      <c r="R744" s="77">
        <v>0</v>
      </c>
      <c r="S744" s="77">
        <v>0</v>
      </c>
      <c r="T744" s="77">
        <v>0</v>
      </c>
      <c r="U744" s="77">
        <v>0</v>
      </c>
      <c r="V744" s="77">
        <v>17</v>
      </c>
      <c r="W744" s="82" t="s">
        <v>4839</v>
      </c>
      <c r="X744" s="77"/>
      <c r="Y744" s="77"/>
      <c r="Z744" s="77"/>
      <c r="AA744" s="77"/>
      <c r="AB744" s="77"/>
      <c r="AC744" s="82" t="s">
        <v>7750</v>
      </c>
      <c r="AD744" s="77" t="s">
        <v>7788</v>
      </c>
      <c r="AE744" s="80" t="str">
        <f>HYPERLINK("https://twitter.com/allanwalkerrio/status/1694496006170128695")</f>
        <v>https://twitter.com/allanwalkerrio/status/1694496006170128695</v>
      </c>
      <c r="AF744" s="79">
        <v>45161.989629629628</v>
      </c>
      <c r="AG744" s="85">
        <v>45161</v>
      </c>
      <c r="AH744" s="82" t="s">
        <v>8467</v>
      </c>
      <c r="AI744" s="77"/>
      <c r="AJ744" s="77"/>
      <c r="AK744" s="77"/>
      <c r="AL744" s="77"/>
      <c r="AM744" s="77"/>
      <c r="AN744" s="77"/>
      <c r="AO744" s="77"/>
      <c r="AP744" s="77"/>
      <c r="AQ744" s="77"/>
      <c r="AR744" s="77"/>
      <c r="AS744" s="77"/>
      <c r="AT744" s="77"/>
      <c r="AU744" s="77"/>
      <c r="AV744" s="80" t="str">
        <f>HYPERLINK("https://pbs.twimg.com/profile_images/1704237957282938881/nNELexCv_normal.jpg")</f>
        <v>https://pbs.twimg.com/profile_images/1704237957282938881/nNELexCv_normal.jpg</v>
      </c>
      <c r="AW744" s="82" t="s">
        <v>12438</v>
      </c>
      <c r="AX744" s="82" t="s">
        <v>12438</v>
      </c>
      <c r="AY744" s="77"/>
      <c r="AZ744" s="82" t="s">
        <v>15984</v>
      </c>
      <c r="BA744" s="82" t="s">
        <v>15984</v>
      </c>
      <c r="BB744" s="82" t="s">
        <v>15984</v>
      </c>
      <c r="BC744" s="82" t="s">
        <v>12438</v>
      </c>
      <c r="BD744" s="82" t="s">
        <v>16244</v>
      </c>
      <c r="BE744" s="77"/>
      <c r="BF744" s="77"/>
      <c r="BG744" s="77"/>
      <c r="BH744" s="77"/>
      <c r="BI744" s="77"/>
    </row>
    <row r="745" spans="1:61" x14ac:dyDescent="0.25">
      <c r="A745" s="62" t="s">
        <v>462</v>
      </c>
      <c r="B745" s="62" t="s">
        <v>462</v>
      </c>
      <c r="C745" s="63"/>
      <c r="D745" s="64"/>
      <c r="E745" s="65"/>
      <c r="F745" s="66"/>
      <c r="G745" s="63"/>
      <c r="H745" s="67"/>
      <c r="I745" s="68"/>
      <c r="J745" s="68"/>
      <c r="K745" s="32"/>
      <c r="L745" s="75">
        <v>745</v>
      </c>
      <c r="M745" s="75"/>
      <c r="N745" s="70"/>
      <c r="O745" s="77" t="s">
        <v>179</v>
      </c>
      <c r="P745" s="79">
        <v>45157.041168981479</v>
      </c>
      <c r="Q745" s="77" t="s">
        <v>1597</v>
      </c>
      <c r="R745" s="77">
        <v>0</v>
      </c>
      <c r="S745" s="77">
        <v>0</v>
      </c>
      <c r="T745" s="77">
        <v>0</v>
      </c>
      <c r="U745" s="77">
        <v>0</v>
      </c>
      <c r="V745" s="77">
        <v>5</v>
      </c>
      <c r="W745" s="82" t="s">
        <v>4839</v>
      </c>
      <c r="X745" s="77"/>
      <c r="Y745" s="77"/>
      <c r="Z745" s="77"/>
      <c r="AA745" s="77"/>
      <c r="AB745" s="77"/>
      <c r="AC745" s="82" t="s">
        <v>7750</v>
      </c>
      <c r="AD745" s="77" t="s">
        <v>7788</v>
      </c>
      <c r="AE745" s="80" t="str">
        <f>HYPERLINK("https://twitter.com/allanwalkerrio/status/1692702744518209786")</f>
        <v>https://twitter.com/allanwalkerrio/status/1692702744518209786</v>
      </c>
      <c r="AF745" s="79">
        <v>45157.041168981479</v>
      </c>
      <c r="AG745" s="85">
        <v>45157</v>
      </c>
      <c r="AH745" s="82" t="s">
        <v>8468</v>
      </c>
      <c r="AI745" s="77"/>
      <c r="AJ745" s="77"/>
      <c r="AK745" s="77"/>
      <c r="AL745" s="77"/>
      <c r="AM745" s="77"/>
      <c r="AN745" s="77"/>
      <c r="AO745" s="77"/>
      <c r="AP745" s="77"/>
      <c r="AQ745" s="77"/>
      <c r="AR745" s="77"/>
      <c r="AS745" s="77"/>
      <c r="AT745" s="77"/>
      <c r="AU745" s="77"/>
      <c r="AV745" s="80" t="str">
        <f>HYPERLINK("https://pbs.twimg.com/profile_images/1704237957282938881/nNELexCv_normal.jpg")</f>
        <v>https://pbs.twimg.com/profile_images/1704237957282938881/nNELexCv_normal.jpg</v>
      </c>
      <c r="AW745" s="82" t="s">
        <v>12439</v>
      </c>
      <c r="AX745" s="82" t="s">
        <v>12439</v>
      </c>
      <c r="AY745" s="77"/>
      <c r="AZ745" s="82" t="s">
        <v>15984</v>
      </c>
      <c r="BA745" s="82" t="s">
        <v>15984</v>
      </c>
      <c r="BB745" s="82" t="s">
        <v>15984</v>
      </c>
      <c r="BC745" s="82" t="s">
        <v>12439</v>
      </c>
      <c r="BD745" s="82" t="s">
        <v>16244</v>
      </c>
      <c r="BE745" s="77"/>
      <c r="BF745" s="77"/>
      <c r="BG745" s="77"/>
      <c r="BH745" s="77"/>
      <c r="BI745" s="77"/>
    </row>
    <row r="746" spans="1:61" x14ac:dyDescent="0.25">
      <c r="A746" s="62" t="s">
        <v>463</v>
      </c>
      <c r="B746" s="62" t="s">
        <v>463</v>
      </c>
      <c r="C746" s="63"/>
      <c r="D746" s="64"/>
      <c r="E746" s="65"/>
      <c r="F746" s="66"/>
      <c r="G746" s="63"/>
      <c r="H746" s="67"/>
      <c r="I746" s="68"/>
      <c r="J746" s="68"/>
      <c r="K746" s="32"/>
      <c r="L746" s="75">
        <v>746</v>
      </c>
      <c r="M746" s="75"/>
      <c r="N746" s="70"/>
      <c r="O746" s="77" t="s">
        <v>898</v>
      </c>
      <c r="P746" s="79">
        <v>45162.664178240739</v>
      </c>
      <c r="Q746" s="77" t="s">
        <v>1598</v>
      </c>
      <c r="R746" s="77">
        <v>0</v>
      </c>
      <c r="S746" s="77">
        <v>0</v>
      </c>
      <c r="T746" s="77">
        <v>0</v>
      </c>
      <c r="U746" s="77">
        <v>0</v>
      </c>
      <c r="V746" s="77">
        <v>32</v>
      </c>
      <c r="W746" s="82" t="s">
        <v>5213</v>
      </c>
      <c r="X746" s="77"/>
      <c r="Y746" s="77"/>
      <c r="Z746" s="77"/>
      <c r="AA746" s="77"/>
      <c r="AB746" s="77"/>
      <c r="AC746" s="82" t="s">
        <v>7750</v>
      </c>
      <c r="AD746" s="77" t="s">
        <v>7790</v>
      </c>
      <c r="AE746" s="80" t="str">
        <f>HYPERLINK("https://twitter.com/edntvhn/status/1694740453961154577")</f>
        <v>https://twitter.com/edntvhn/status/1694740453961154577</v>
      </c>
      <c r="AF746" s="79">
        <v>45162.664178240739</v>
      </c>
      <c r="AG746" s="85">
        <v>45162</v>
      </c>
      <c r="AH746" s="82" t="s">
        <v>8469</v>
      </c>
      <c r="AI746" s="77"/>
      <c r="AJ746" s="77"/>
      <c r="AK746" s="77"/>
      <c r="AL746" s="77"/>
      <c r="AM746" s="77"/>
      <c r="AN746" s="77"/>
      <c r="AO746" s="77"/>
      <c r="AP746" s="77"/>
      <c r="AQ746" s="77"/>
      <c r="AR746" s="77"/>
      <c r="AS746" s="77"/>
      <c r="AT746" s="77"/>
      <c r="AU746" s="77"/>
      <c r="AV746" s="80" t="str">
        <f>HYPERLINK("https://pbs.twimg.com/profile_images/1479113791044341760/667uE5Gg_normal.jpg")</f>
        <v>https://pbs.twimg.com/profile_images/1479113791044341760/667uE5Gg_normal.jpg</v>
      </c>
      <c r="AW746" s="82" t="s">
        <v>12440</v>
      </c>
      <c r="AX746" s="82" t="s">
        <v>15801</v>
      </c>
      <c r="AY746" s="82" t="s">
        <v>15946</v>
      </c>
      <c r="AZ746" s="82" t="s">
        <v>15801</v>
      </c>
      <c r="BA746" s="82" t="s">
        <v>15984</v>
      </c>
      <c r="BB746" s="82" t="s">
        <v>15984</v>
      </c>
      <c r="BC746" s="82" t="s">
        <v>15801</v>
      </c>
      <c r="BD746" s="82" t="s">
        <v>15946</v>
      </c>
      <c r="BE746" s="77"/>
      <c r="BF746" s="77"/>
      <c r="BG746" s="77"/>
      <c r="BH746" s="77"/>
      <c r="BI746" s="77"/>
    </row>
    <row r="747" spans="1:61" x14ac:dyDescent="0.25">
      <c r="A747" s="62" t="s">
        <v>464</v>
      </c>
      <c r="B747" s="62" t="s">
        <v>464</v>
      </c>
      <c r="C747" s="63"/>
      <c r="D747" s="64"/>
      <c r="E747" s="65"/>
      <c r="F747" s="66"/>
      <c r="G747" s="63"/>
      <c r="H747" s="67"/>
      <c r="I747" s="68"/>
      <c r="J747" s="68"/>
      <c r="K747" s="32"/>
      <c r="L747" s="75">
        <v>747</v>
      </c>
      <c r="M747" s="75"/>
      <c r="N747" s="70"/>
      <c r="O747" s="77" t="s">
        <v>179</v>
      </c>
      <c r="P747" s="79">
        <v>45120.579918981479</v>
      </c>
      <c r="Q747" s="77" t="s">
        <v>1599</v>
      </c>
      <c r="R747" s="77">
        <v>0</v>
      </c>
      <c r="S747" s="77">
        <v>0</v>
      </c>
      <c r="T747" s="77">
        <v>0</v>
      </c>
      <c r="U747" s="77">
        <v>0</v>
      </c>
      <c r="V747" s="77">
        <v>36</v>
      </c>
      <c r="W747" s="82" t="s">
        <v>5214</v>
      </c>
      <c r="X747" s="77"/>
      <c r="Y747" s="77"/>
      <c r="Z747" s="77"/>
      <c r="AA747" s="77"/>
      <c r="AB747" s="77"/>
      <c r="AC747" s="82" t="s">
        <v>7752</v>
      </c>
      <c r="AD747" s="77" t="s">
        <v>7788</v>
      </c>
      <c r="AE747" s="80" t="str">
        <f>HYPERLINK("https://twitter.com/andersonbroker/status/1679489630301978625")</f>
        <v>https://twitter.com/andersonbroker/status/1679489630301978625</v>
      </c>
      <c r="AF747" s="79">
        <v>45120.579918981479</v>
      </c>
      <c r="AG747" s="85">
        <v>45120</v>
      </c>
      <c r="AH747" s="82" t="s">
        <v>8470</v>
      </c>
      <c r="AI747" s="77"/>
      <c r="AJ747" s="77" t="s">
        <v>10567</v>
      </c>
      <c r="AK747" s="77" t="s">
        <v>10570</v>
      </c>
      <c r="AL747" s="77" t="s">
        <v>10574</v>
      </c>
      <c r="AM747" s="77" t="s">
        <v>10585</v>
      </c>
      <c r="AN747" s="77" t="s">
        <v>10596</v>
      </c>
      <c r="AO747" s="77" t="s">
        <v>10606</v>
      </c>
      <c r="AP747" s="77" t="s">
        <v>10609</v>
      </c>
      <c r="AQ747" s="77"/>
      <c r="AR747" s="77"/>
      <c r="AS747" s="77"/>
      <c r="AT747" s="77"/>
      <c r="AU747" s="77"/>
      <c r="AV747" s="80" t="str">
        <f>HYPERLINK("https://pbs.twimg.com/profile_images/1699594327024967680/A2LldMBH_normal.jpg")</f>
        <v>https://pbs.twimg.com/profile_images/1699594327024967680/A2LldMBH_normal.jpg</v>
      </c>
      <c r="AW747" s="82" t="s">
        <v>12441</v>
      </c>
      <c r="AX747" s="82" t="s">
        <v>12441</v>
      </c>
      <c r="AY747" s="77"/>
      <c r="AZ747" s="82" t="s">
        <v>15984</v>
      </c>
      <c r="BA747" s="82" t="s">
        <v>15984</v>
      </c>
      <c r="BB747" s="82" t="s">
        <v>15984</v>
      </c>
      <c r="BC747" s="82" t="s">
        <v>12441</v>
      </c>
      <c r="BD747" s="77">
        <v>149541051</v>
      </c>
      <c r="BE747" s="77"/>
      <c r="BF747" s="77"/>
      <c r="BG747" s="77"/>
      <c r="BH747" s="77"/>
      <c r="BI747" s="77"/>
    </row>
    <row r="748" spans="1:61" x14ac:dyDescent="0.25">
      <c r="A748" s="62" t="s">
        <v>465</v>
      </c>
      <c r="B748" s="62" t="s">
        <v>465</v>
      </c>
      <c r="C748" s="63"/>
      <c r="D748" s="64"/>
      <c r="E748" s="65"/>
      <c r="F748" s="66"/>
      <c r="G748" s="63"/>
      <c r="H748" s="67"/>
      <c r="I748" s="68"/>
      <c r="J748" s="68"/>
      <c r="K748" s="32"/>
      <c r="L748" s="75">
        <v>748</v>
      </c>
      <c r="M748" s="75"/>
      <c r="N748" s="70"/>
      <c r="O748" s="77" t="s">
        <v>179</v>
      </c>
      <c r="P748" s="79">
        <v>45164.76390046296</v>
      </c>
      <c r="Q748" s="77" t="s">
        <v>1600</v>
      </c>
      <c r="R748" s="77">
        <v>0</v>
      </c>
      <c r="S748" s="77">
        <v>0</v>
      </c>
      <c r="T748" s="77">
        <v>0</v>
      </c>
      <c r="U748" s="77">
        <v>0</v>
      </c>
      <c r="V748" s="77">
        <v>44</v>
      </c>
      <c r="W748" s="82" t="s">
        <v>5215</v>
      </c>
      <c r="X748" s="77"/>
      <c r="Y748" s="77"/>
      <c r="Z748" s="77"/>
      <c r="AA748" s="77" t="s">
        <v>7063</v>
      </c>
      <c r="AB748" s="77" t="s">
        <v>7742</v>
      </c>
      <c r="AC748" s="82" t="s">
        <v>7766</v>
      </c>
      <c r="AD748" s="77" t="s">
        <v>7788</v>
      </c>
      <c r="AE748" s="80" t="str">
        <f>HYPERLINK("https://twitter.com/mercadosbrasil/status/1695501367958217151")</f>
        <v>https://twitter.com/mercadosbrasil/status/1695501367958217151</v>
      </c>
      <c r="AF748" s="79">
        <v>45164.76390046296</v>
      </c>
      <c r="AG748" s="85">
        <v>45164</v>
      </c>
      <c r="AH748" s="82" t="s">
        <v>8471</v>
      </c>
      <c r="AI748" s="77" t="b">
        <v>0</v>
      </c>
      <c r="AJ748" s="77"/>
      <c r="AK748" s="77"/>
      <c r="AL748" s="77"/>
      <c r="AM748" s="77"/>
      <c r="AN748" s="77"/>
      <c r="AO748" s="77"/>
      <c r="AP748" s="77"/>
      <c r="AQ748" s="77" t="s">
        <v>11035</v>
      </c>
      <c r="AR748" s="77"/>
      <c r="AS748" s="77"/>
      <c r="AT748" s="77"/>
      <c r="AU748" s="77"/>
      <c r="AV748" s="80" t="str">
        <f>HYPERLINK("https://pbs.twimg.com/media/F4ehgldXkAAZ3KL.jpg")</f>
        <v>https://pbs.twimg.com/media/F4ehgldXkAAZ3KL.jpg</v>
      </c>
      <c r="AW748" s="82" t="s">
        <v>12442</v>
      </c>
      <c r="AX748" s="82" t="s">
        <v>12442</v>
      </c>
      <c r="AY748" s="77"/>
      <c r="AZ748" s="82" t="s">
        <v>15984</v>
      </c>
      <c r="BA748" s="82" t="s">
        <v>15984</v>
      </c>
      <c r="BB748" s="82" t="s">
        <v>15984</v>
      </c>
      <c r="BC748" s="82" t="s">
        <v>12442</v>
      </c>
      <c r="BD748" s="82" t="s">
        <v>16245</v>
      </c>
      <c r="BE748" s="77"/>
      <c r="BF748" s="77"/>
      <c r="BG748" s="77"/>
      <c r="BH748" s="77"/>
      <c r="BI748" s="77"/>
    </row>
    <row r="749" spans="1:61" x14ac:dyDescent="0.25">
      <c r="A749" s="62" t="s">
        <v>465</v>
      </c>
      <c r="B749" s="62" t="s">
        <v>465</v>
      </c>
      <c r="C749" s="63"/>
      <c r="D749" s="64"/>
      <c r="E749" s="65"/>
      <c r="F749" s="66"/>
      <c r="G749" s="63"/>
      <c r="H749" s="67"/>
      <c r="I749" s="68"/>
      <c r="J749" s="68"/>
      <c r="K749" s="32"/>
      <c r="L749" s="75">
        <v>749</v>
      </c>
      <c r="M749" s="75"/>
      <c r="N749" s="70"/>
      <c r="O749" s="77" t="s">
        <v>179</v>
      </c>
      <c r="P749" s="79">
        <v>45171.76390046296</v>
      </c>
      <c r="Q749" s="77" t="s">
        <v>1601</v>
      </c>
      <c r="R749" s="77">
        <v>0</v>
      </c>
      <c r="S749" s="77">
        <v>0</v>
      </c>
      <c r="T749" s="77">
        <v>0</v>
      </c>
      <c r="U749" s="77">
        <v>0</v>
      </c>
      <c r="V749" s="77">
        <v>27</v>
      </c>
      <c r="W749" s="82" t="s">
        <v>5215</v>
      </c>
      <c r="X749" s="77"/>
      <c r="Y749" s="77"/>
      <c r="Z749" s="77"/>
      <c r="AA749" s="77" t="s">
        <v>7064</v>
      </c>
      <c r="AB749" s="77" t="s">
        <v>7742</v>
      </c>
      <c r="AC749" s="82" t="s">
        <v>7766</v>
      </c>
      <c r="AD749" s="77" t="s">
        <v>7788</v>
      </c>
      <c r="AE749" s="80" t="str">
        <f>HYPERLINK("https://twitter.com/mercadosbrasil/status/1698038081968836769")</f>
        <v>https://twitter.com/mercadosbrasil/status/1698038081968836769</v>
      </c>
      <c r="AF749" s="79">
        <v>45171.76390046296</v>
      </c>
      <c r="AG749" s="85">
        <v>45171</v>
      </c>
      <c r="AH749" s="82" t="s">
        <v>8471</v>
      </c>
      <c r="AI749" s="77" t="b">
        <v>0</v>
      </c>
      <c r="AJ749" s="77"/>
      <c r="AK749" s="77"/>
      <c r="AL749" s="77"/>
      <c r="AM749" s="77"/>
      <c r="AN749" s="77"/>
      <c r="AO749" s="77"/>
      <c r="AP749" s="77"/>
      <c r="AQ749" s="77" t="s">
        <v>11036</v>
      </c>
      <c r="AR749" s="77"/>
      <c r="AS749" s="77"/>
      <c r="AT749" s="77"/>
      <c r="AU749" s="77"/>
      <c r="AV749" s="80" t="str">
        <f>HYPERLINK("https://pbs.twimg.com/media/F5CkozxW0AADfqe.jpg")</f>
        <v>https://pbs.twimg.com/media/F5CkozxW0AADfqe.jpg</v>
      </c>
      <c r="AW749" s="82" t="s">
        <v>12443</v>
      </c>
      <c r="AX749" s="82" t="s">
        <v>12443</v>
      </c>
      <c r="AY749" s="77"/>
      <c r="AZ749" s="82" t="s">
        <v>15984</v>
      </c>
      <c r="BA749" s="82" t="s">
        <v>15984</v>
      </c>
      <c r="BB749" s="82" t="s">
        <v>15984</v>
      </c>
      <c r="BC749" s="82" t="s">
        <v>12443</v>
      </c>
      <c r="BD749" s="82" t="s">
        <v>16245</v>
      </c>
      <c r="BE749" s="77"/>
      <c r="BF749" s="77"/>
      <c r="BG749" s="77"/>
      <c r="BH749" s="77"/>
      <c r="BI749" s="77"/>
    </row>
    <row r="750" spans="1:61" x14ac:dyDescent="0.25">
      <c r="A750" s="62" t="s">
        <v>465</v>
      </c>
      <c r="B750" s="62" t="s">
        <v>465</v>
      </c>
      <c r="C750" s="63"/>
      <c r="D750" s="64"/>
      <c r="E750" s="65"/>
      <c r="F750" s="66"/>
      <c r="G750" s="63"/>
      <c r="H750" s="67"/>
      <c r="I750" s="68"/>
      <c r="J750" s="68"/>
      <c r="K750" s="32"/>
      <c r="L750" s="75">
        <v>750</v>
      </c>
      <c r="M750" s="75"/>
      <c r="N750" s="70"/>
      <c r="O750" s="77" t="s">
        <v>179</v>
      </c>
      <c r="P750" s="79">
        <v>45178.76390046296</v>
      </c>
      <c r="Q750" s="77" t="s">
        <v>1602</v>
      </c>
      <c r="R750" s="77">
        <v>1</v>
      </c>
      <c r="S750" s="77">
        <v>2</v>
      </c>
      <c r="T750" s="77">
        <v>1</v>
      </c>
      <c r="U750" s="77">
        <v>0</v>
      </c>
      <c r="V750" s="77">
        <v>269</v>
      </c>
      <c r="W750" s="82" t="s">
        <v>5215</v>
      </c>
      <c r="X750" s="77"/>
      <c r="Y750" s="77"/>
      <c r="Z750" s="77"/>
      <c r="AA750" s="77" t="s">
        <v>7065</v>
      </c>
      <c r="AB750" s="77" t="s">
        <v>7742</v>
      </c>
      <c r="AC750" s="82" t="s">
        <v>7766</v>
      </c>
      <c r="AD750" s="77" t="s">
        <v>7788</v>
      </c>
      <c r="AE750" s="80" t="str">
        <f>HYPERLINK("https://twitter.com/mercadosbrasil/status/1700574797665612122")</f>
        <v>https://twitter.com/mercadosbrasil/status/1700574797665612122</v>
      </c>
      <c r="AF750" s="79">
        <v>45178.76390046296</v>
      </c>
      <c r="AG750" s="85">
        <v>45178</v>
      </c>
      <c r="AH750" s="82" t="s">
        <v>8471</v>
      </c>
      <c r="AI750" s="77" t="b">
        <v>0</v>
      </c>
      <c r="AJ750" s="77"/>
      <c r="AK750" s="77"/>
      <c r="AL750" s="77"/>
      <c r="AM750" s="77"/>
      <c r="AN750" s="77"/>
      <c r="AO750" s="77"/>
      <c r="AP750" s="77"/>
      <c r="AQ750" s="77" t="s">
        <v>11037</v>
      </c>
      <c r="AR750" s="77"/>
      <c r="AS750" s="77"/>
      <c r="AT750" s="77"/>
      <c r="AU750" s="77"/>
      <c r="AV750" s="80" t="str">
        <f>HYPERLINK("https://pbs.twimg.com/media/F5mnxEEW0AAw4Ah.jpg")</f>
        <v>https://pbs.twimg.com/media/F5mnxEEW0AAw4Ah.jpg</v>
      </c>
      <c r="AW750" s="82" t="s">
        <v>12444</v>
      </c>
      <c r="AX750" s="82" t="s">
        <v>12444</v>
      </c>
      <c r="AY750" s="77"/>
      <c r="AZ750" s="82" t="s">
        <v>15984</v>
      </c>
      <c r="BA750" s="82" t="s">
        <v>15984</v>
      </c>
      <c r="BB750" s="82" t="s">
        <v>15984</v>
      </c>
      <c r="BC750" s="82" t="s">
        <v>12444</v>
      </c>
      <c r="BD750" s="82" t="s">
        <v>16245</v>
      </c>
      <c r="BE750" s="77"/>
      <c r="BF750" s="77"/>
      <c r="BG750" s="77"/>
      <c r="BH750" s="77"/>
      <c r="BI750" s="77"/>
    </row>
    <row r="751" spans="1:61" x14ac:dyDescent="0.25">
      <c r="A751" s="62" t="s">
        <v>465</v>
      </c>
      <c r="B751" s="62" t="s">
        <v>465</v>
      </c>
      <c r="C751" s="63"/>
      <c r="D751" s="64"/>
      <c r="E751" s="65"/>
      <c r="F751" s="66"/>
      <c r="G751" s="63"/>
      <c r="H751" s="67"/>
      <c r="I751" s="68"/>
      <c r="J751" s="68"/>
      <c r="K751" s="32"/>
      <c r="L751" s="75">
        <v>751</v>
      </c>
      <c r="M751" s="75"/>
      <c r="N751" s="70"/>
      <c r="O751" s="77" t="s">
        <v>179</v>
      </c>
      <c r="P751" s="79">
        <v>45185.76390046296</v>
      </c>
      <c r="Q751" s="77" t="s">
        <v>1603</v>
      </c>
      <c r="R751" s="77">
        <v>0</v>
      </c>
      <c r="S751" s="77">
        <v>0</v>
      </c>
      <c r="T751" s="77">
        <v>0</v>
      </c>
      <c r="U751" s="77">
        <v>0</v>
      </c>
      <c r="V751" s="77">
        <v>26</v>
      </c>
      <c r="W751" s="82" t="s">
        <v>5215</v>
      </c>
      <c r="X751" s="77"/>
      <c r="Y751" s="77"/>
      <c r="Z751" s="77"/>
      <c r="AA751" s="77" t="s">
        <v>7066</v>
      </c>
      <c r="AB751" s="77" t="s">
        <v>7742</v>
      </c>
      <c r="AC751" s="82" t="s">
        <v>7766</v>
      </c>
      <c r="AD751" s="77" t="s">
        <v>7788</v>
      </c>
      <c r="AE751" s="80" t="str">
        <f>HYPERLINK("https://twitter.com/mercadosbrasil/status/1703111513043579380")</f>
        <v>https://twitter.com/mercadosbrasil/status/1703111513043579380</v>
      </c>
      <c r="AF751" s="79">
        <v>45185.76390046296</v>
      </c>
      <c r="AG751" s="85">
        <v>45185</v>
      </c>
      <c r="AH751" s="82" t="s">
        <v>8471</v>
      </c>
      <c r="AI751" s="77" t="b">
        <v>0</v>
      </c>
      <c r="AJ751" s="77"/>
      <c r="AK751" s="77"/>
      <c r="AL751" s="77"/>
      <c r="AM751" s="77"/>
      <c r="AN751" s="77"/>
      <c r="AO751" s="77"/>
      <c r="AP751" s="77"/>
      <c r="AQ751" s="77" t="s">
        <v>11038</v>
      </c>
      <c r="AR751" s="77"/>
      <c r="AS751" s="77"/>
      <c r="AT751" s="77"/>
      <c r="AU751" s="77"/>
      <c r="AV751" s="80" t="str">
        <f>HYPERLINK("https://pbs.twimg.com/media/F6Kq5VdWkAAAaiT.jpg")</f>
        <v>https://pbs.twimg.com/media/F6Kq5VdWkAAAaiT.jpg</v>
      </c>
      <c r="AW751" s="82" t="s">
        <v>12445</v>
      </c>
      <c r="AX751" s="82" t="s">
        <v>12445</v>
      </c>
      <c r="AY751" s="77"/>
      <c r="AZ751" s="82" t="s">
        <v>15984</v>
      </c>
      <c r="BA751" s="82" t="s">
        <v>15984</v>
      </c>
      <c r="BB751" s="82" t="s">
        <v>15984</v>
      </c>
      <c r="BC751" s="82" t="s">
        <v>12445</v>
      </c>
      <c r="BD751" s="82" t="s">
        <v>16245</v>
      </c>
      <c r="BE751" s="77"/>
      <c r="BF751" s="77"/>
      <c r="BG751" s="77"/>
      <c r="BH751" s="77"/>
      <c r="BI751" s="77"/>
    </row>
    <row r="752" spans="1:61" x14ac:dyDescent="0.25">
      <c r="A752" s="62" t="s">
        <v>465</v>
      </c>
      <c r="B752" s="62" t="s">
        <v>465</v>
      </c>
      <c r="C752" s="63"/>
      <c r="D752" s="64"/>
      <c r="E752" s="65"/>
      <c r="F752" s="66"/>
      <c r="G752" s="63"/>
      <c r="H752" s="67"/>
      <c r="I752" s="68"/>
      <c r="J752" s="68"/>
      <c r="K752" s="32"/>
      <c r="L752" s="75">
        <v>752</v>
      </c>
      <c r="M752" s="75"/>
      <c r="N752" s="70"/>
      <c r="O752" s="77" t="s">
        <v>179</v>
      </c>
      <c r="P752" s="79">
        <v>45192.76390046296</v>
      </c>
      <c r="Q752" s="77" t="s">
        <v>1604</v>
      </c>
      <c r="R752" s="77">
        <v>0</v>
      </c>
      <c r="S752" s="77">
        <v>1</v>
      </c>
      <c r="T752" s="77">
        <v>0</v>
      </c>
      <c r="U752" s="77">
        <v>0</v>
      </c>
      <c r="V752" s="77">
        <v>33</v>
      </c>
      <c r="W752" s="82" t="s">
        <v>5215</v>
      </c>
      <c r="X752" s="77"/>
      <c r="Y752" s="77"/>
      <c r="Z752" s="77"/>
      <c r="AA752" s="77" t="s">
        <v>7067</v>
      </c>
      <c r="AB752" s="77" t="s">
        <v>7742</v>
      </c>
      <c r="AC752" s="82" t="s">
        <v>7766</v>
      </c>
      <c r="AD752" s="77" t="s">
        <v>7788</v>
      </c>
      <c r="AE752" s="80" t="str">
        <f>HYPERLINK("https://twitter.com/mercadosbrasil/status/1705648228761215462")</f>
        <v>https://twitter.com/mercadosbrasil/status/1705648228761215462</v>
      </c>
      <c r="AF752" s="79">
        <v>45192.76390046296</v>
      </c>
      <c r="AG752" s="85">
        <v>45192</v>
      </c>
      <c r="AH752" s="82" t="s">
        <v>8471</v>
      </c>
      <c r="AI752" s="77" t="b">
        <v>0</v>
      </c>
      <c r="AJ752" s="77"/>
      <c r="AK752" s="77"/>
      <c r="AL752" s="77"/>
      <c r="AM752" s="77"/>
      <c r="AN752" s="77"/>
      <c r="AO752" s="77"/>
      <c r="AP752" s="77"/>
      <c r="AQ752" s="77" t="s">
        <v>11039</v>
      </c>
      <c r="AR752" s="77"/>
      <c r="AS752" s="77"/>
      <c r="AT752" s="77"/>
      <c r="AU752" s="77"/>
      <c r="AV752" s="80" t="str">
        <f>HYPERLINK("https://pbs.twimg.com/media/F6uuBmwW0AIsDFe.jpg")</f>
        <v>https://pbs.twimg.com/media/F6uuBmwW0AIsDFe.jpg</v>
      </c>
      <c r="AW752" s="82" t="s">
        <v>12446</v>
      </c>
      <c r="AX752" s="82" t="s">
        <v>12446</v>
      </c>
      <c r="AY752" s="77"/>
      <c r="AZ752" s="82" t="s">
        <v>15984</v>
      </c>
      <c r="BA752" s="82" t="s">
        <v>15984</v>
      </c>
      <c r="BB752" s="82" t="s">
        <v>15984</v>
      </c>
      <c r="BC752" s="82" t="s">
        <v>12446</v>
      </c>
      <c r="BD752" s="82" t="s">
        <v>16245</v>
      </c>
      <c r="BE752" s="77"/>
      <c r="BF752" s="77"/>
      <c r="BG752" s="77"/>
      <c r="BH752" s="77"/>
      <c r="BI752" s="77"/>
    </row>
    <row r="753" spans="1:61" x14ac:dyDescent="0.25">
      <c r="A753" s="62" t="s">
        <v>466</v>
      </c>
      <c r="B753" s="62" t="s">
        <v>466</v>
      </c>
      <c r="C753" s="63"/>
      <c r="D753" s="64"/>
      <c r="E753" s="65"/>
      <c r="F753" s="66"/>
      <c r="G753" s="63"/>
      <c r="H753" s="67"/>
      <c r="I753" s="68"/>
      <c r="J753" s="68"/>
      <c r="K753" s="32"/>
      <c r="L753" s="75">
        <v>753</v>
      </c>
      <c r="M753" s="75"/>
      <c r="N753" s="70"/>
      <c r="O753" s="77" t="s">
        <v>179</v>
      </c>
      <c r="P753" s="79">
        <v>45164.642962962964</v>
      </c>
      <c r="Q753" s="77" t="s">
        <v>1605</v>
      </c>
      <c r="R753" s="77">
        <v>0</v>
      </c>
      <c r="S753" s="77">
        <v>0</v>
      </c>
      <c r="T753" s="77">
        <v>0</v>
      </c>
      <c r="U753" s="77">
        <v>0</v>
      </c>
      <c r="V753" s="77">
        <v>26</v>
      </c>
      <c r="W753" s="82" t="s">
        <v>5216</v>
      </c>
      <c r="X753" s="80" t="str">
        <f>HYPERLINK("https://youtube.com/@fernandopaivabr?feature=shared")</f>
        <v>https://youtube.com/@fernandopaivabr?feature=shared</v>
      </c>
      <c r="Y753" s="77" t="s">
        <v>6480</v>
      </c>
      <c r="Z753" s="77"/>
      <c r="AA753" s="77" t="s">
        <v>7068</v>
      </c>
      <c r="AB753" s="77" t="s">
        <v>7743</v>
      </c>
      <c r="AC753" s="82" t="s">
        <v>7752</v>
      </c>
      <c r="AD753" s="77" t="s">
        <v>7788</v>
      </c>
      <c r="AE753" s="80" t="str">
        <f>HYPERLINK("https://twitter.com/ferpatrader/status/1695457539301777617")</f>
        <v>https://twitter.com/ferpatrader/status/1695457539301777617</v>
      </c>
      <c r="AF753" s="79">
        <v>45164.642962962964</v>
      </c>
      <c r="AG753" s="85">
        <v>45164</v>
      </c>
      <c r="AH753" s="82" t="s">
        <v>8472</v>
      </c>
      <c r="AI753" s="77" t="b">
        <v>0</v>
      </c>
      <c r="AJ753" s="77"/>
      <c r="AK753" s="77"/>
      <c r="AL753" s="77"/>
      <c r="AM753" s="77"/>
      <c r="AN753" s="77"/>
      <c r="AO753" s="77"/>
      <c r="AP753" s="77"/>
      <c r="AQ753" s="77" t="s">
        <v>11040</v>
      </c>
      <c r="AR753" s="77">
        <v>82766</v>
      </c>
      <c r="AS753" s="77"/>
      <c r="AT753" s="77"/>
      <c r="AU753" s="77"/>
      <c r="AV753" s="80" t="str">
        <f>HYPERLINK("https://pbs.twimg.com/ext_tw_video_thumb/1695457427439632385/pu/img/_ysqqjNUoxF0Rmjd.jpg")</f>
        <v>https://pbs.twimg.com/ext_tw_video_thumb/1695457427439632385/pu/img/_ysqqjNUoxF0Rmjd.jpg</v>
      </c>
      <c r="AW753" s="82" t="s">
        <v>12447</v>
      </c>
      <c r="AX753" s="82" t="s">
        <v>12447</v>
      </c>
      <c r="AY753" s="77"/>
      <c r="AZ753" s="82" t="s">
        <v>15984</v>
      </c>
      <c r="BA753" s="82" t="s">
        <v>15984</v>
      </c>
      <c r="BB753" s="82" t="s">
        <v>15984</v>
      </c>
      <c r="BC753" s="82" t="s">
        <v>12447</v>
      </c>
      <c r="BD753" s="82" t="s">
        <v>16246</v>
      </c>
      <c r="BE753" s="77"/>
      <c r="BF753" s="77"/>
      <c r="BG753" s="77"/>
      <c r="BH753" s="77"/>
      <c r="BI753" s="77"/>
    </row>
    <row r="754" spans="1:61" x14ac:dyDescent="0.25">
      <c r="A754" s="62" t="s">
        <v>467</v>
      </c>
      <c r="B754" s="62" t="s">
        <v>753</v>
      </c>
      <c r="C754" s="63"/>
      <c r="D754" s="64"/>
      <c r="E754" s="65"/>
      <c r="F754" s="66"/>
      <c r="G754" s="63"/>
      <c r="H754" s="67"/>
      <c r="I754" s="68"/>
      <c r="J754" s="68"/>
      <c r="K754" s="32"/>
      <c r="L754" s="75">
        <v>754</v>
      </c>
      <c r="M754" s="75"/>
      <c r="N754" s="70"/>
      <c r="O754" s="77" t="s">
        <v>895</v>
      </c>
      <c r="P754" s="79">
        <v>45172.622488425928</v>
      </c>
      <c r="Q754" s="77" t="s">
        <v>1606</v>
      </c>
      <c r="R754" s="77">
        <v>4</v>
      </c>
      <c r="S754" s="77">
        <v>10</v>
      </c>
      <c r="T754" s="77">
        <v>0</v>
      </c>
      <c r="U754" s="77">
        <v>1</v>
      </c>
      <c r="V754" s="77">
        <v>143</v>
      </c>
      <c r="W754" s="82" t="s">
        <v>4821</v>
      </c>
      <c r="X754" s="77"/>
      <c r="Y754" s="77"/>
      <c r="Z754" s="77" t="s">
        <v>6574</v>
      </c>
      <c r="AA754" s="77"/>
      <c r="AB754" s="77"/>
      <c r="AC754" s="82" t="s">
        <v>7751</v>
      </c>
      <c r="AD754" s="77" t="s">
        <v>7790</v>
      </c>
      <c r="AE754" s="80" t="str">
        <f>HYPERLINK("https://twitter.com/apoloc8/status/1698349222183969212")</f>
        <v>https://twitter.com/apoloc8/status/1698349222183969212</v>
      </c>
      <c r="AF754" s="79">
        <v>45172.622488425928</v>
      </c>
      <c r="AG754" s="85">
        <v>45172</v>
      </c>
      <c r="AH754" s="82" t="s">
        <v>8473</v>
      </c>
      <c r="AI754" s="77"/>
      <c r="AJ754" s="77"/>
      <c r="AK754" s="77"/>
      <c r="AL754" s="77"/>
      <c r="AM754" s="77"/>
      <c r="AN754" s="77"/>
      <c r="AO754" s="77"/>
      <c r="AP754" s="77"/>
      <c r="AQ754" s="77"/>
      <c r="AR754" s="77"/>
      <c r="AS754" s="77"/>
      <c r="AT754" s="77"/>
      <c r="AU754" s="77"/>
      <c r="AV754" s="80" t="str">
        <f>HYPERLINK("https://pbs.twimg.com/profile_images/1615454997554110464/1EML6amF_normal.jpg")</f>
        <v>https://pbs.twimg.com/profile_images/1615454997554110464/1EML6amF_normal.jpg</v>
      </c>
      <c r="AW754" s="82" t="s">
        <v>12448</v>
      </c>
      <c r="AX754" s="82" t="s">
        <v>12448</v>
      </c>
      <c r="AY754" s="77"/>
      <c r="AZ754" s="82" t="s">
        <v>15984</v>
      </c>
      <c r="BA754" s="82" t="s">
        <v>15984</v>
      </c>
      <c r="BB754" s="82" t="s">
        <v>15984</v>
      </c>
      <c r="BC754" s="82" t="s">
        <v>12448</v>
      </c>
      <c r="BD754" s="82" t="s">
        <v>16247</v>
      </c>
      <c r="BE754" s="77"/>
      <c r="BF754" s="77"/>
      <c r="BG754" s="77"/>
      <c r="BH754" s="77"/>
      <c r="BI754" s="77"/>
    </row>
    <row r="755" spans="1:61" x14ac:dyDescent="0.25">
      <c r="A755" s="62" t="s">
        <v>467</v>
      </c>
      <c r="B755" s="62" t="s">
        <v>797</v>
      </c>
      <c r="C755" s="63"/>
      <c r="D755" s="64"/>
      <c r="E755" s="65"/>
      <c r="F755" s="66"/>
      <c r="G755" s="63"/>
      <c r="H755" s="67"/>
      <c r="I755" s="68"/>
      <c r="J755" s="68"/>
      <c r="K755" s="32"/>
      <c r="L755" s="75">
        <v>755</v>
      </c>
      <c r="M755" s="75"/>
      <c r="N755" s="70"/>
      <c r="O755" s="77" t="s">
        <v>895</v>
      </c>
      <c r="P755" s="79">
        <v>45172.622488425928</v>
      </c>
      <c r="Q755" s="77" t="s">
        <v>1606</v>
      </c>
      <c r="R755" s="77">
        <v>4</v>
      </c>
      <c r="S755" s="77">
        <v>10</v>
      </c>
      <c r="T755" s="77">
        <v>0</v>
      </c>
      <c r="U755" s="77">
        <v>1</v>
      </c>
      <c r="V755" s="77">
        <v>143</v>
      </c>
      <c r="W755" s="82" t="s">
        <v>4821</v>
      </c>
      <c r="X755" s="77"/>
      <c r="Y755" s="77"/>
      <c r="Z755" s="77" t="s">
        <v>6574</v>
      </c>
      <c r="AA755" s="77"/>
      <c r="AB755" s="77"/>
      <c r="AC755" s="82" t="s">
        <v>7751</v>
      </c>
      <c r="AD755" s="77" t="s">
        <v>7790</v>
      </c>
      <c r="AE755" s="80" t="str">
        <f>HYPERLINK("https://twitter.com/apoloc8/status/1698349222183969212")</f>
        <v>https://twitter.com/apoloc8/status/1698349222183969212</v>
      </c>
      <c r="AF755" s="79">
        <v>45172.622488425928</v>
      </c>
      <c r="AG755" s="85">
        <v>45172</v>
      </c>
      <c r="AH755" s="82" t="s">
        <v>8473</v>
      </c>
      <c r="AI755" s="77"/>
      <c r="AJ755" s="77"/>
      <c r="AK755" s="77"/>
      <c r="AL755" s="77"/>
      <c r="AM755" s="77"/>
      <c r="AN755" s="77"/>
      <c r="AO755" s="77"/>
      <c r="AP755" s="77"/>
      <c r="AQ755" s="77"/>
      <c r="AR755" s="77"/>
      <c r="AS755" s="77"/>
      <c r="AT755" s="77"/>
      <c r="AU755" s="77"/>
      <c r="AV755" s="80" t="str">
        <f>HYPERLINK("https://pbs.twimg.com/profile_images/1615454997554110464/1EML6amF_normal.jpg")</f>
        <v>https://pbs.twimg.com/profile_images/1615454997554110464/1EML6amF_normal.jpg</v>
      </c>
      <c r="AW755" s="82" t="s">
        <v>12448</v>
      </c>
      <c r="AX755" s="82" t="s">
        <v>12448</v>
      </c>
      <c r="AY755" s="77"/>
      <c r="AZ755" s="82" t="s">
        <v>15984</v>
      </c>
      <c r="BA755" s="82" t="s">
        <v>15984</v>
      </c>
      <c r="BB755" s="82" t="s">
        <v>15984</v>
      </c>
      <c r="BC755" s="82" t="s">
        <v>12448</v>
      </c>
      <c r="BD755" s="82" t="s">
        <v>16247</v>
      </c>
      <c r="BE755" s="77"/>
      <c r="BF755" s="77"/>
      <c r="BG755" s="77"/>
      <c r="BH755" s="77"/>
      <c r="BI755" s="77"/>
    </row>
    <row r="756" spans="1:61" x14ac:dyDescent="0.25">
      <c r="A756" s="62" t="s">
        <v>468</v>
      </c>
      <c r="B756" s="62" t="s">
        <v>468</v>
      </c>
      <c r="C756" s="63"/>
      <c r="D756" s="64"/>
      <c r="E756" s="65"/>
      <c r="F756" s="66"/>
      <c r="G756" s="63"/>
      <c r="H756" s="67"/>
      <c r="I756" s="68"/>
      <c r="J756" s="68"/>
      <c r="K756" s="32"/>
      <c r="L756" s="75">
        <v>756</v>
      </c>
      <c r="M756" s="75"/>
      <c r="N756" s="70"/>
      <c r="O756" s="77" t="s">
        <v>898</v>
      </c>
      <c r="P756" s="79">
        <v>45142.84679398148</v>
      </c>
      <c r="Q756" s="77" t="s">
        <v>1607</v>
      </c>
      <c r="R756" s="77">
        <v>0</v>
      </c>
      <c r="S756" s="77">
        <v>1</v>
      </c>
      <c r="T756" s="77">
        <v>0</v>
      </c>
      <c r="U756" s="77">
        <v>0</v>
      </c>
      <c r="V756" s="77">
        <v>53</v>
      </c>
      <c r="W756" s="82" t="s">
        <v>5217</v>
      </c>
      <c r="X756" s="77"/>
      <c r="Y756" s="77"/>
      <c r="Z756" s="77"/>
      <c r="AA756" s="77"/>
      <c r="AB756" s="77"/>
      <c r="AC756" s="82" t="s">
        <v>7751</v>
      </c>
      <c r="AD756" s="77" t="s">
        <v>7788</v>
      </c>
      <c r="AE756" s="80" t="str">
        <f>HYPERLINK("https://twitter.com/invexcripto/status/1687558875350728704")</f>
        <v>https://twitter.com/invexcripto/status/1687558875350728704</v>
      </c>
      <c r="AF756" s="79">
        <v>45142.84679398148</v>
      </c>
      <c r="AG756" s="85">
        <v>45142</v>
      </c>
      <c r="AH756" s="82" t="s">
        <v>8474</v>
      </c>
      <c r="AI756" s="77"/>
      <c r="AJ756" s="77"/>
      <c r="AK756" s="77"/>
      <c r="AL756" s="77"/>
      <c r="AM756" s="77"/>
      <c r="AN756" s="77"/>
      <c r="AO756" s="77"/>
      <c r="AP756" s="77"/>
      <c r="AQ756" s="77"/>
      <c r="AR756" s="77"/>
      <c r="AS756" s="77"/>
      <c r="AT756" s="77"/>
      <c r="AU756" s="77"/>
      <c r="AV756" s="80" t="str">
        <f>HYPERLINK("https://pbs.twimg.com/profile_images/1642322903889858560/Loqe8pMz_normal.jpg")</f>
        <v>https://pbs.twimg.com/profile_images/1642322903889858560/Loqe8pMz_normal.jpg</v>
      </c>
      <c r="AW756" s="82" t="s">
        <v>12449</v>
      </c>
      <c r="AX756" s="82" t="s">
        <v>15802</v>
      </c>
      <c r="AY756" s="82" t="s">
        <v>15947</v>
      </c>
      <c r="AZ756" s="82" t="s">
        <v>16023</v>
      </c>
      <c r="BA756" s="82" t="s">
        <v>15984</v>
      </c>
      <c r="BB756" s="82" t="s">
        <v>15984</v>
      </c>
      <c r="BC756" s="82" t="s">
        <v>16023</v>
      </c>
      <c r="BD756" s="82" t="s">
        <v>15947</v>
      </c>
      <c r="BE756" s="77"/>
      <c r="BF756" s="77"/>
      <c r="BG756" s="77"/>
      <c r="BH756" s="77"/>
      <c r="BI756" s="77"/>
    </row>
    <row r="757" spans="1:61" x14ac:dyDescent="0.25">
      <c r="A757" s="62" t="s">
        <v>469</v>
      </c>
      <c r="B757" s="62" t="s">
        <v>798</v>
      </c>
      <c r="C757" s="63"/>
      <c r="D757" s="64"/>
      <c r="E757" s="65"/>
      <c r="F757" s="66"/>
      <c r="G757" s="63"/>
      <c r="H757" s="67"/>
      <c r="I757" s="68"/>
      <c r="J757" s="68"/>
      <c r="K757" s="32"/>
      <c r="L757" s="75">
        <v>757</v>
      </c>
      <c r="M757" s="75"/>
      <c r="N757" s="70"/>
      <c r="O757" s="77" t="s">
        <v>895</v>
      </c>
      <c r="P757" s="79">
        <v>45134.842662037037</v>
      </c>
      <c r="Q757" s="77" t="s">
        <v>1608</v>
      </c>
      <c r="R757" s="77">
        <v>0</v>
      </c>
      <c r="S757" s="77">
        <v>1</v>
      </c>
      <c r="T757" s="77">
        <v>0</v>
      </c>
      <c r="U757" s="77">
        <v>0</v>
      </c>
      <c r="V757" s="77">
        <v>61</v>
      </c>
      <c r="W757" s="82" t="s">
        <v>5218</v>
      </c>
      <c r="X757" s="80" t="str">
        <f>HYPERLINK("https://dinamicarg.com/ypf-busca-proveedores-chinos")</f>
        <v>https://dinamicarg.com/ypf-busca-proveedores-chinos</v>
      </c>
      <c r="Y757" s="77" t="s">
        <v>6525</v>
      </c>
      <c r="Z757" s="77" t="s">
        <v>798</v>
      </c>
      <c r="AA757" s="77"/>
      <c r="AB757" s="77"/>
      <c r="AC757" s="82" t="s">
        <v>7750</v>
      </c>
      <c r="AD757" s="77" t="s">
        <v>7790</v>
      </c>
      <c r="AE757" s="80" t="str">
        <f>HYPERLINK("https://twitter.com/dinamicargweb/status/1684658272249192449")</f>
        <v>https://twitter.com/dinamicargweb/status/1684658272249192449</v>
      </c>
      <c r="AF757" s="79">
        <v>45134.842662037037</v>
      </c>
      <c r="AG757" s="85">
        <v>45134</v>
      </c>
      <c r="AH757" s="82" t="s">
        <v>8475</v>
      </c>
      <c r="AI757" s="77" t="b">
        <v>0</v>
      </c>
      <c r="AJ757" s="77"/>
      <c r="AK757" s="77"/>
      <c r="AL757" s="77"/>
      <c r="AM757" s="77"/>
      <c r="AN757" s="77"/>
      <c r="AO757" s="77"/>
      <c r="AP757" s="77"/>
      <c r="AQ757" s="77"/>
      <c r="AR757" s="77"/>
      <c r="AS757" s="77"/>
      <c r="AT757" s="77"/>
      <c r="AU757" s="77"/>
      <c r="AV757" s="80" t="str">
        <f>HYPERLINK("https://pbs.twimg.com/profile_images/1635660318985658375/Li9qBLbs_normal.png")</f>
        <v>https://pbs.twimg.com/profile_images/1635660318985658375/Li9qBLbs_normal.png</v>
      </c>
      <c r="AW757" s="82" t="s">
        <v>12450</v>
      </c>
      <c r="AX757" s="82" t="s">
        <v>12450</v>
      </c>
      <c r="AY757" s="77"/>
      <c r="AZ757" s="82" t="s">
        <v>15984</v>
      </c>
      <c r="BA757" s="82" t="s">
        <v>15984</v>
      </c>
      <c r="BB757" s="82" t="s">
        <v>15984</v>
      </c>
      <c r="BC757" s="82" t="s">
        <v>12450</v>
      </c>
      <c r="BD757" s="82" t="s">
        <v>16248</v>
      </c>
      <c r="BE757" s="77"/>
      <c r="BF757" s="77"/>
      <c r="BG757" s="77"/>
      <c r="BH757" s="77"/>
      <c r="BI757" s="77"/>
    </row>
    <row r="758" spans="1:61" x14ac:dyDescent="0.25">
      <c r="A758" s="62" t="s">
        <v>470</v>
      </c>
      <c r="B758" s="62" t="s">
        <v>470</v>
      </c>
      <c r="C758" s="63"/>
      <c r="D758" s="64"/>
      <c r="E758" s="65"/>
      <c r="F758" s="66"/>
      <c r="G758" s="63"/>
      <c r="H758" s="67"/>
      <c r="I758" s="68"/>
      <c r="J758" s="68"/>
      <c r="K758" s="32"/>
      <c r="L758" s="75">
        <v>758</v>
      </c>
      <c r="M758" s="75"/>
      <c r="N758" s="70"/>
      <c r="O758" s="77" t="s">
        <v>179</v>
      </c>
      <c r="P758" s="79">
        <v>45124.608229166668</v>
      </c>
      <c r="Q758" s="77" t="s">
        <v>1609</v>
      </c>
      <c r="R758" s="77">
        <v>1</v>
      </c>
      <c r="S758" s="77">
        <v>2</v>
      </c>
      <c r="T758" s="77">
        <v>0</v>
      </c>
      <c r="U758" s="77">
        <v>0</v>
      </c>
      <c r="V758" s="77">
        <v>792</v>
      </c>
      <c r="W758" s="82" t="s">
        <v>5219</v>
      </c>
      <c r="X758" s="80" t="str">
        <f>HYPERLINK("http://www.investoetf.com/nossos-etfs/")</f>
        <v>http://www.investoetf.com/nossos-etfs/</v>
      </c>
      <c r="Y758" s="77" t="s">
        <v>6526</v>
      </c>
      <c r="Z758" s="77"/>
      <c r="AA758" s="77" t="s">
        <v>7069</v>
      </c>
      <c r="AB758" s="77" t="s">
        <v>7743</v>
      </c>
      <c r="AC758" s="82" t="s">
        <v>7750</v>
      </c>
      <c r="AD758" s="77" t="s">
        <v>7788</v>
      </c>
      <c r="AE758" s="80" t="str">
        <f>HYPERLINK("https://twitter.com/investoetf/status/1680949438016024577")</f>
        <v>https://twitter.com/investoetf/status/1680949438016024577</v>
      </c>
      <c r="AF758" s="79">
        <v>45124.608229166668</v>
      </c>
      <c r="AG758" s="85">
        <v>45124</v>
      </c>
      <c r="AH758" s="82" t="s">
        <v>8476</v>
      </c>
      <c r="AI758" s="77" t="b">
        <v>0</v>
      </c>
      <c r="AJ758" s="77"/>
      <c r="AK758" s="77"/>
      <c r="AL758" s="77"/>
      <c r="AM758" s="77"/>
      <c r="AN758" s="77"/>
      <c r="AO758" s="77"/>
      <c r="AP758" s="77"/>
      <c r="AQ758" s="77" t="s">
        <v>11041</v>
      </c>
      <c r="AR758" s="77">
        <v>43585</v>
      </c>
      <c r="AS758" s="77"/>
      <c r="AT758" s="77"/>
      <c r="AU758" s="77"/>
      <c r="AV758" s="80" t="str">
        <f>HYPERLINK("https://pbs.twimg.com/ext_tw_video_thumb/1680946644014039046/pu/img/Px7IAD9x9jAVFxCZ.jpg")</f>
        <v>https://pbs.twimg.com/ext_tw_video_thumb/1680946644014039046/pu/img/Px7IAD9x9jAVFxCZ.jpg</v>
      </c>
      <c r="AW758" s="82" t="s">
        <v>12451</v>
      </c>
      <c r="AX758" s="82" t="s">
        <v>12451</v>
      </c>
      <c r="AY758" s="77"/>
      <c r="AZ758" s="82" t="s">
        <v>15984</v>
      </c>
      <c r="BA758" s="82" t="s">
        <v>15984</v>
      </c>
      <c r="BB758" s="82" t="s">
        <v>15984</v>
      </c>
      <c r="BC758" s="82" t="s">
        <v>12451</v>
      </c>
      <c r="BD758" s="82" t="s">
        <v>16249</v>
      </c>
      <c r="BE758" s="77"/>
      <c r="BF758" s="77"/>
      <c r="BG758" s="77"/>
      <c r="BH758" s="77"/>
      <c r="BI758" s="77"/>
    </row>
    <row r="759" spans="1:61" x14ac:dyDescent="0.25">
      <c r="A759" s="62" t="s">
        <v>471</v>
      </c>
      <c r="B759" s="62" t="s">
        <v>471</v>
      </c>
      <c r="C759" s="63"/>
      <c r="D759" s="64"/>
      <c r="E759" s="65"/>
      <c r="F759" s="66"/>
      <c r="G759" s="63"/>
      <c r="H759" s="67"/>
      <c r="I759" s="68"/>
      <c r="J759" s="68"/>
      <c r="K759" s="32"/>
      <c r="L759" s="75">
        <v>759</v>
      </c>
      <c r="M759" s="75"/>
      <c r="N759" s="70"/>
      <c r="O759" s="77" t="s">
        <v>179</v>
      </c>
      <c r="P759" s="79">
        <v>45118.074479166666</v>
      </c>
      <c r="Q759" s="77" t="s">
        <v>1610</v>
      </c>
      <c r="R759" s="77">
        <v>0</v>
      </c>
      <c r="S759" s="77">
        <v>0</v>
      </c>
      <c r="T759" s="77">
        <v>0</v>
      </c>
      <c r="U759" s="77">
        <v>0</v>
      </c>
      <c r="V759" s="77">
        <v>45</v>
      </c>
      <c r="W759" s="82" t="s">
        <v>5220</v>
      </c>
      <c r="X759" s="77"/>
      <c r="Y759" s="77"/>
      <c r="Z759" s="77"/>
      <c r="AA759" s="77" t="s">
        <v>7070</v>
      </c>
      <c r="AB759" s="77" t="s">
        <v>7743</v>
      </c>
      <c r="AC759" s="82" t="s">
        <v>7750</v>
      </c>
      <c r="AD759" s="77" t="s">
        <v>7788</v>
      </c>
      <c r="AE759" s="80" t="str">
        <f>HYPERLINK("https://twitter.com/projeto4ciclos/status/1678581688790654983")</f>
        <v>https://twitter.com/projeto4ciclos/status/1678581688790654983</v>
      </c>
      <c r="AF759" s="79">
        <v>45118.074479166666</v>
      </c>
      <c r="AG759" s="85">
        <v>45118</v>
      </c>
      <c r="AH759" s="82" t="s">
        <v>8477</v>
      </c>
      <c r="AI759" s="77" t="b">
        <v>0</v>
      </c>
      <c r="AJ759" s="77"/>
      <c r="AK759" s="77"/>
      <c r="AL759" s="77"/>
      <c r="AM759" s="77"/>
      <c r="AN759" s="77"/>
      <c r="AO759" s="77"/>
      <c r="AP759" s="77"/>
      <c r="AQ759" s="77" t="s">
        <v>11042</v>
      </c>
      <c r="AR759" s="77">
        <v>34266</v>
      </c>
      <c r="AS759" s="77"/>
      <c r="AT759" s="77"/>
      <c r="AU759" s="77"/>
      <c r="AV759" s="80" t="str">
        <f>HYPERLINK("https://pbs.twimg.com/ext_tw_video_thumb/1678581431470026755/pu/img/JVZ7mAdGOvzQ-eZj.jpg")</f>
        <v>https://pbs.twimg.com/ext_tw_video_thumb/1678581431470026755/pu/img/JVZ7mAdGOvzQ-eZj.jpg</v>
      </c>
      <c r="AW759" s="82" t="s">
        <v>12452</v>
      </c>
      <c r="AX759" s="82" t="s">
        <v>12452</v>
      </c>
      <c r="AY759" s="77"/>
      <c r="AZ759" s="82" t="s">
        <v>15984</v>
      </c>
      <c r="BA759" s="82" t="s">
        <v>15984</v>
      </c>
      <c r="BB759" s="82" t="s">
        <v>15984</v>
      </c>
      <c r="BC759" s="82" t="s">
        <v>12452</v>
      </c>
      <c r="BD759" s="82" t="s">
        <v>16250</v>
      </c>
      <c r="BE759" s="77"/>
      <c r="BF759" s="77"/>
      <c r="BG759" s="77"/>
      <c r="BH759" s="77"/>
      <c r="BI759" s="77"/>
    </row>
    <row r="760" spans="1:61" x14ac:dyDescent="0.25">
      <c r="A760" s="62" t="s">
        <v>471</v>
      </c>
      <c r="B760" s="62" t="s">
        <v>471</v>
      </c>
      <c r="C760" s="63"/>
      <c r="D760" s="64"/>
      <c r="E760" s="65"/>
      <c r="F760" s="66"/>
      <c r="G760" s="63"/>
      <c r="H760" s="67"/>
      <c r="I760" s="68"/>
      <c r="J760" s="68"/>
      <c r="K760" s="32"/>
      <c r="L760" s="75">
        <v>760</v>
      </c>
      <c r="M760" s="75"/>
      <c r="N760" s="70"/>
      <c r="O760" s="77" t="s">
        <v>179</v>
      </c>
      <c r="P760" s="79">
        <v>45118.073692129627</v>
      </c>
      <c r="Q760" s="77" t="s">
        <v>1611</v>
      </c>
      <c r="R760" s="77">
        <v>0</v>
      </c>
      <c r="S760" s="77">
        <v>0</v>
      </c>
      <c r="T760" s="77">
        <v>0</v>
      </c>
      <c r="U760" s="77">
        <v>0</v>
      </c>
      <c r="V760" s="77">
        <v>26</v>
      </c>
      <c r="W760" s="82" t="s">
        <v>5220</v>
      </c>
      <c r="X760" s="77"/>
      <c r="Y760" s="77"/>
      <c r="Z760" s="77"/>
      <c r="AA760" s="77" t="s">
        <v>7071</v>
      </c>
      <c r="AB760" s="77" t="s">
        <v>7747</v>
      </c>
      <c r="AC760" s="82" t="s">
        <v>7750</v>
      </c>
      <c r="AD760" s="77" t="s">
        <v>7788</v>
      </c>
      <c r="AE760" s="80" t="str">
        <f>HYPERLINK("https://twitter.com/projeto4ciclos/status/1678581404047687680")</f>
        <v>https://twitter.com/projeto4ciclos/status/1678581404047687680</v>
      </c>
      <c r="AF760" s="79">
        <v>45118.073692129627</v>
      </c>
      <c r="AG760" s="85">
        <v>45118</v>
      </c>
      <c r="AH760" s="82" t="s">
        <v>8478</v>
      </c>
      <c r="AI760" s="77" t="b">
        <v>0</v>
      </c>
      <c r="AJ760" s="77"/>
      <c r="AK760" s="77"/>
      <c r="AL760" s="77"/>
      <c r="AM760" s="77"/>
      <c r="AN760" s="77"/>
      <c r="AO760" s="77"/>
      <c r="AP760" s="77"/>
      <c r="AQ760" s="77" t="s">
        <v>11043</v>
      </c>
      <c r="AR760" s="77"/>
      <c r="AS760" s="77"/>
      <c r="AT760" s="77"/>
      <c r="AU760" s="77"/>
      <c r="AV760" s="80" t="str">
        <f>HYPERLINK("https://pbs.twimg.com/media/F0uE3NaXsAAuXfI.jpg")</f>
        <v>https://pbs.twimg.com/media/F0uE3NaXsAAuXfI.jpg</v>
      </c>
      <c r="AW760" s="82" t="s">
        <v>12453</v>
      </c>
      <c r="AX760" s="82" t="s">
        <v>12453</v>
      </c>
      <c r="AY760" s="77"/>
      <c r="AZ760" s="82" t="s">
        <v>15984</v>
      </c>
      <c r="BA760" s="82" t="s">
        <v>15984</v>
      </c>
      <c r="BB760" s="82" t="s">
        <v>15984</v>
      </c>
      <c r="BC760" s="82" t="s">
        <v>12453</v>
      </c>
      <c r="BD760" s="82" t="s">
        <v>16250</v>
      </c>
      <c r="BE760" s="77"/>
      <c r="BF760" s="77"/>
      <c r="BG760" s="77"/>
      <c r="BH760" s="77"/>
      <c r="BI760" s="77"/>
    </row>
    <row r="761" spans="1:61" x14ac:dyDescent="0.25">
      <c r="A761" s="62" t="s">
        <v>471</v>
      </c>
      <c r="B761" s="62" t="s">
        <v>471</v>
      </c>
      <c r="C761" s="63"/>
      <c r="D761" s="64"/>
      <c r="E761" s="65"/>
      <c r="F761" s="66"/>
      <c r="G761" s="63"/>
      <c r="H761" s="67"/>
      <c r="I761" s="68"/>
      <c r="J761" s="68"/>
      <c r="K761" s="32"/>
      <c r="L761" s="75">
        <v>761</v>
      </c>
      <c r="M761" s="75"/>
      <c r="N761" s="70"/>
      <c r="O761" s="77" t="s">
        <v>179</v>
      </c>
      <c r="P761" s="79">
        <v>45125.901064814818</v>
      </c>
      <c r="Q761" s="77" t="s">
        <v>1612</v>
      </c>
      <c r="R761" s="77">
        <v>0</v>
      </c>
      <c r="S761" s="77">
        <v>1</v>
      </c>
      <c r="T761" s="77">
        <v>0</v>
      </c>
      <c r="U761" s="77">
        <v>0</v>
      </c>
      <c r="V761" s="77">
        <v>18</v>
      </c>
      <c r="W761" s="82" t="s">
        <v>5220</v>
      </c>
      <c r="X761" s="77"/>
      <c r="Y761" s="77"/>
      <c r="Z761" s="77"/>
      <c r="AA761" s="77" t="s">
        <v>7072</v>
      </c>
      <c r="AB761" s="77" t="s">
        <v>7743</v>
      </c>
      <c r="AC761" s="82" t="s">
        <v>7750</v>
      </c>
      <c r="AD761" s="77" t="s">
        <v>7788</v>
      </c>
      <c r="AE761" s="80" t="str">
        <f>HYPERLINK("https://twitter.com/projeto4ciclos/status/1681417948370460673")</f>
        <v>https://twitter.com/projeto4ciclos/status/1681417948370460673</v>
      </c>
      <c r="AF761" s="79">
        <v>45125.901064814818</v>
      </c>
      <c r="AG761" s="85">
        <v>45125</v>
      </c>
      <c r="AH761" s="82" t="s">
        <v>8479</v>
      </c>
      <c r="AI761" s="77" t="b">
        <v>0</v>
      </c>
      <c r="AJ761" s="77"/>
      <c r="AK761" s="77"/>
      <c r="AL761" s="77"/>
      <c r="AM761" s="77"/>
      <c r="AN761" s="77"/>
      <c r="AO761" s="77"/>
      <c r="AP761" s="77"/>
      <c r="AQ761" s="77" t="s">
        <v>11044</v>
      </c>
      <c r="AR761" s="77">
        <v>35169</v>
      </c>
      <c r="AS761" s="77"/>
      <c r="AT761" s="77"/>
      <c r="AU761" s="77"/>
      <c r="AV761" s="80" t="str">
        <f>HYPERLINK("https://pbs.twimg.com/ext_tw_video_thumb/1681417818070237188/pu/img/L3h3xioArPyGtl9o.jpg")</f>
        <v>https://pbs.twimg.com/ext_tw_video_thumb/1681417818070237188/pu/img/L3h3xioArPyGtl9o.jpg</v>
      </c>
      <c r="AW761" s="82" t="s">
        <v>12454</v>
      </c>
      <c r="AX761" s="82" t="s">
        <v>12454</v>
      </c>
      <c r="AY761" s="77"/>
      <c r="AZ761" s="82" t="s">
        <v>15984</v>
      </c>
      <c r="BA761" s="82" t="s">
        <v>15984</v>
      </c>
      <c r="BB761" s="82" t="s">
        <v>15984</v>
      </c>
      <c r="BC761" s="82" t="s">
        <v>12454</v>
      </c>
      <c r="BD761" s="82" t="s">
        <v>16250</v>
      </c>
      <c r="BE761" s="77"/>
      <c r="BF761" s="77"/>
      <c r="BG761" s="77"/>
      <c r="BH761" s="77"/>
      <c r="BI761" s="77"/>
    </row>
    <row r="762" spans="1:61" x14ac:dyDescent="0.25">
      <c r="A762" s="62" t="s">
        <v>471</v>
      </c>
      <c r="B762" s="62" t="s">
        <v>471</v>
      </c>
      <c r="C762" s="63"/>
      <c r="D762" s="64"/>
      <c r="E762" s="65"/>
      <c r="F762" s="66"/>
      <c r="G762" s="63"/>
      <c r="H762" s="67"/>
      <c r="I762" s="68"/>
      <c r="J762" s="68"/>
      <c r="K762" s="32"/>
      <c r="L762" s="75">
        <v>762</v>
      </c>
      <c r="M762" s="75"/>
      <c r="N762" s="70"/>
      <c r="O762" s="77" t="s">
        <v>179</v>
      </c>
      <c r="P762" s="79">
        <v>45125.900543981479</v>
      </c>
      <c r="Q762" s="77" t="s">
        <v>1613</v>
      </c>
      <c r="R762" s="77">
        <v>0</v>
      </c>
      <c r="S762" s="77">
        <v>1</v>
      </c>
      <c r="T762" s="77">
        <v>0</v>
      </c>
      <c r="U762" s="77">
        <v>0</v>
      </c>
      <c r="V762" s="77">
        <v>17</v>
      </c>
      <c r="W762" s="82" t="s">
        <v>5220</v>
      </c>
      <c r="X762" s="77"/>
      <c r="Y762" s="77"/>
      <c r="Z762" s="77"/>
      <c r="AA762" s="77" t="s">
        <v>7073</v>
      </c>
      <c r="AB762" s="77" t="s">
        <v>7747</v>
      </c>
      <c r="AC762" s="82" t="s">
        <v>7750</v>
      </c>
      <c r="AD762" s="77" t="s">
        <v>7788</v>
      </c>
      <c r="AE762" s="80" t="str">
        <f>HYPERLINK("https://twitter.com/projeto4ciclos/status/1681417757319938053")</f>
        <v>https://twitter.com/projeto4ciclos/status/1681417757319938053</v>
      </c>
      <c r="AF762" s="79">
        <v>45125.900543981479</v>
      </c>
      <c r="AG762" s="85">
        <v>45125</v>
      </c>
      <c r="AH762" s="82" t="s">
        <v>8480</v>
      </c>
      <c r="AI762" s="77" t="b">
        <v>0</v>
      </c>
      <c r="AJ762" s="77"/>
      <c r="AK762" s="77"/>
      <c r="AL762" s="77"/>
      <c r="AM762" s="77"/>
      <c r="AN762" s="77"/>
      <c r="AO762" s="77"/>
      <c r="AP762" s="77"/>
      <c r="AQ762" s="77" t="s">
        <v>11045</v>
      </c>
      <c r="AR762" s="77"/>
      <c r="AS762" s="77"/>
      <c r="AT762" s="77"/>
      <c r="AU762" s="77"/>
      <c r="AV762" s="80" t="str">
        <f>HYPERLINK("https://pbs.twimg.com/media/F1WYebzXwAEx0Yx.jpg")</f>
        <v>https://pbs.twimg.com/media/F1WYebzXwAEx0Yx.jpg</v>
      </c>
      <c r="AW762" s="82" t="s">
        <v>12455</v>
      </c>
      <c r="AX762" s="82" t="s">
        <v>12455</v>
      </c>
      <c r="AY762" s="77"/>
      <c r="AZ762" s="82" t="s">
        <v>15984</v>
      </c>
      <c r="BA762" s="82" t="s">
        <v>15984</v>
      </c>
      <c r="BB762" s="82" t="s">
        <v>15984</v>
      </c>
      <c r="BC762" s="82" t="s">
        <v>12455</v>
      </c>
      <c r="BD762" s="82" t="s">
        <v>16250</v>
      </c>
      <c r="BE762" s="77"/>
      <c r="BF762" s="77"/>
      <c r="BG762" s="77"/>
      <c r="BH762" s="77"/>
      <c r="BI762" s="77"/>
    </row>
    <row r="763" spans="1:61" x14ac:dyDescent="0.25">
      <c r="A763" s="62" t="s">
        <v>471</v>
      </c>
      <c r="B763" s="62" t="s">
        <v>471</v>
      </c>
      <c r="C763" s="63"/>
      <c r="D763" s="64"/>
      <c r="E763" s="65"/>
      <c r="F763" s="66"/>
      <c r="G763" s="63"/>
      <c r="H763" s="67"/>
      <c r="I763" s="68"/>
      <c r="J763" s="68"/>
      <c r="K763" s="32"/>
      <c r="L763" s="75">
        <v>763</v>
      </c>
      <c r="M763" s="75"/>
      <c r="N763" s="70"/>
      <c r="O763" s="77" t="s">
        <v>179</v>
      </c>
      <c r="P763" s="79">
        <v>45125.900219907409</v>
      </c>
      <c r="Q763" s="77" t="s">
        <v>1614</v>
      </c>
      <c r="R763" s="77">
        <v>0</v>
      </c>
      <c r="S763" s="77">
        <v>1</v>
      </c>
      <c r="T763" s="77">
        <v>0</v>
      </c>
      <c r="U763" s="77">
        <v>0</v>
      </c>
      <c r="V763" s="77">
        <v>14</v>
      </c>
      <c r="W763" s="82" t="s">
        <v>5220</v>
      </c>
      <c r="X763" s="77"/>
      <c r="Y763" s="77"/>
      <c r="Z763" s="77"/>
      <c r="AA763" s="77" t="s">
        <v>7074</v>
      </c>
      <c r="AB763" s="77" t="s">
        <v>7743</v>
      </c>
      <c r="AC763" s="82" t="s">
        <v>7750</v>
      </c>
      <c r="AD763" s="77" t="s">
        <v>7788</v>
      </c>
      <c r="AE763" s="80" t="str">
        <f>HYPERLINK("https://twitter.com/projeto4ciclos/status/1681417642865836032")</f>
        <v>https://twitter.com/projeto4ciclos/status/1681417642865836032</v>
      </c>
      <c r="AF763" s="79">
        <v>45125.900219907409</v>
      </c>
      <c r="AG763" s="85">
        <v>45125</v>
      </c>
      <c r="AH763" s="82" t="s">
        <v>8481</v>
      </c>
      <c r="AI763" s="77" t="b">
        <v>0</v>
      </c>
      <c r="AJ763" s="77"/>
      <c r="AK763" s="77"/>
      <c r="AL763" s="77"/>
      <c r="AM763" s="77"/>
      <c r="AN763" s="77"/>
      <c r="AO763" s="77"/>
      <c r="AP763" s="77"/>
      <c r="AQ763" s="77" t="s">
        <v>11046</v>
      </c>
      <c r="AR763" s="77">
        <v>34536</v>
      </c>
      <c r="AS763" s="77"/>
      <c r="AT763" s="77"/>
      <c r="AU763" s="77"/>
      <c r="AV763" s="80" t="str">
        <f>HYPERLINK("https://pbs.twimg.com/ext_tw_video_thumb/1681417500565676033/pu/img/r1Q_uBcu5NUocCK-.jpg")</f>
        <v>https://pbs.twimg.com/ext_tw_video_thumb/1681417500565676033/pu/img/r1Q_uBcu5NUocCK-.jpg</v>
      </c>
      <c r="AW763" s="82" t="s">
        <v>12456</v>
      </c>
      <c r="AX763" s="82" t="s">
        <v>12456</v>
      </c>
      <c r="AY763" s="77"/>
      <c r="AZ763" s="82" t="s">
        <v>15984</v>
      </c>
      <c r="BA763" s="82" t="s">
        <v>15984</v>
      </c>
      <c r="BB763" s="82" t="s">
        <v>15984</v>
      </c>
      <c r="BC763" s="82" t="s">
        <v>12456</v>
      </c>
      <c r="BD763" s="82" t="s">
        <v>16250</v>
      </c>
      <c r="BE763" s="77"/>
      <c r="BF763" s="77"/>
      <c r="BG763" s="77"/>
      <c r="BH763" s="77"/>
      <c r="BI763" s="77"/>
    </row>
    <row r="764" spans="1:61" x14ac:dyDescent="0.25">
      <c r="A764" s="62" t="s">
        <v>471</v>
      </c>
      <c r="B764" s="62" t="s">
        <v>471</v>
      </c>
      <c r="C764" s="63"/>
      <c r="D764" s="64"/>
      <c r="E764" s="65"/>
      <c r="F764" s="66"/>
      <c r="G764" s="63"/>
      <c r="H764" s="67"/>
      <c r="I764" s="68"/>
      <c r="J764" s="68"/>
      <c r="K764" s="32"/>
      <c r="L764" s="75">
        <v>764</v>
      </c>
      <c r="M764" s="75"/>
      <c r="N764" s="70"/>
      <c r="O764" s="77" t="s">
        <v>179</v>
      </c>
      <c r="P764" s="79">
        <v>45125.899687500001</v>
      </c>
      <c r="Q764" s="77" t="s">
        <v>1615</v>
      </c>
      <c r="R764" s="77">
        <v>0</v>
      </c>
      <c r="S764" s="77">
        <v>1</v>
      </c>
      <c r="T764" s="77">
        <v>0</v>
      </c>
      <c r="U764" s="77">
        <v>0</v>
      </c>
      <c r="V764" s="77">
        <v>13</v>
      </c>
      <c r="W764" s="82" t="s">
        <v>5220</v>
      </c>
      <c r="X764" s="77"/>
      <c r="Y764" s="77"/>
      <c r="Z764" s="77"/>
      <c r="AA764" s="77" t="s">
        <v>7075</v>
      </c>
      <c r="AB764" s="77" t="s">
        <v>7747</v>
      </c>
      <c r="AC764" s="82" t="s">
        <v>7750</v>
      </c>
      <c r="AD764" s="77" t="s">
        <v>7788</v>
      </c>
      <c r="AE764" s="80" t="str">
        <f>HYPERLINK("https://twitter.com/projeto4ciclos/status/1681417449889996803")</f>
        <v>https://twitter.com/projeto4ciclos/status/1681417449889996803</v>
      </c>
      <c r="AF764" s="79">
        <v>45125.899687500001</v>
      </c>
      <c r="AG764" s="85">
        <v>45125</v>
      </c>
      <c r="AH764" s="82" t="s">
        <v>8482</v>
      </c>
      <c r="AI764" s="77" t="b">
        <v>0</v>
      </c>
      <c r="AJ764" s="77"/>
      <c r="AK764" s="77"/>
      <c r="AL764" s="77"/>
      <c r="AM764" s="77"/>
      <c r="AN764" s="77"/>
      <c r="AO764" s="77"/>
      <c r="AP764" s="77"/>
      <c r="AQ764" s="77" t="s">
        <v>11047</v>
      </c>
      <c r="AR764" s="77"/>
      <c r="AS764" s="77"/>
      <c r="AT764" s="77"/>
      <c r="AU764" s="77"/>
      <c r="AV764" s="80" t="str">
        <f>HYPERLINK("https://pbs.twimg.com/media/F1WYMJXXwAIOMNd.jpg")</f>
        <v>https://pbs.twimg.com/media/F1WYMJXXwAIOMNd.jpg</v>
      </c>
      <c r="AW764" s="82" t="s">
        <v>12457</v>
      </c>
      <c r="AX764" s="82" t="s">
        <v>12457</v>
      </c>
      <c r="AY764" s="77"/>
      <c r="AZ764" s="82" t="s">
        <v>15984</v>
      </c>
      <c r="BA764" s="82" t="s">
        <v>15984</v>
      </c>
      <c r="BB764" s="82" t="s">
        <v>15984</v>
      </c>
      <c r="BC764" s="82" t="s">
        <v>12457</v>
      </c>
      <c r="BD764" s="82" t="s">
        <v>16250</v>
      </c>
      <c r="BE764" s="77"/>
      <c r="BF764" s="77"/>
      <c r="BG764" s="77"/>
      <c r="BH764" s="77"/>
      <c r="BI764" s="77"/>
    </row>
    <row r="765" spans="1:61" x14ac:dyDescent="0.25">
      <c r="A765" s="62" t="s">
        <v>471</v>
      </c>
      <c r="B765" s="62" t="s">
        <v>471</v>
      </c>
      <c r="C765" s="63"/>
      <c r="D765" s="64"/>
      <c r="E765" s="65"/>
      <c r="F765" s="66"/>
      <c r="G765" s="63"/>
      <c r="H765" s="67"/>
      <c r="I765" s="68"/>
      <c r="J765" s="68"/>
      <c r="K765" s="32"/>
      <c r="L765" s="75">
        <v>765</v>
      </c>
      <c r="M765" s="75"/>
      <c r="N765" s="70"/>
      <c r="O765" s="77" t="s">
        <v>179</v>
      </c>
      <c r="P765" s="79">
        <v>45121.854085648149</v>
      </c>
      <c r="Q765" s="77" t="s">
        <v>1616</v>
      </c>
      <c r="R765" s="77">
        <v>0</v>
      </c>
      <c r="S765" s="77">
        <v>0</v>
      </c>
      <c r="T765" s="77">
        <v>1</v>
      </c>
      <c r="U765" s="77">
        <v>0</v>
      </c>
      <c r="V765" s="77">
        <v>48</v>
      </c>
      <c r="W765" s="82" t="s">
        <v>5220</v>
      </c>
      <c r="X765" s="77"/>
      <c r="Y765" s="77"/>
      <c r="Z765" s="77"/>
      <c r="AA765" s="77" t="s">
        <v>7076</v>
      </c>
      <c r="AB765" s="77" t="s">
        <v>7743</v>
      </c>
      <c r="AC765" s="82" t="s">
        <v>7750</v>
      </c>
      <c r="AD765" s="77" t="s">
        <v>7788</v>
      </c>
      <c r="AE765" s="80" t="str">
        <f>HYPERLINK("https://twitter.com/projeto4ciclos/status/1679951371859107840")</f>
        <v>https://twitter.com/projeto4ciclos/status/1679951371859107840</v>
      </c>
      <c r="AF765" s="79">
        <v>45121.854085648149</v>
      </c>
      <c r="AG765" s="85">
        <v>45121</v>
      </c>
      <c r="AH765" s="82" t="s">
        <v>8483</v>
      </c>
      <c r="AI765" s="77" t="b">
        <v>0</v>
      </c>
      <c r="AJ765" s="77"/>
      <c r="AK765" s="77"/>
      <c r="AL765" s="77"/>
      <c r="AM765" s="77"/>
      <c r="AN765" s="77"/>
      <c r="AO765" s="77"/>
      <c r="AP765" s="77"/>
      <c r="AQ765" s="77" t="s">
        <v>11048</v>
      </c>
      <c r="AR765" s="77">
        <v>35270</v>
      </c>
      <c r="AS765" s="77"/>
      <c r="AT765" s="77"/>
      <c r="AU765" s="77"/>
      <c r="AV765" s="80" t="str">
        <f>HYPERLINK("https://pbs.twimg.com/ext_tw_video_thumb/1679950862494449664/pu/img/TJQ8FltOQlHs2cno.jpg")</f>
        <v>https://pbs.twimg.com/ext_tw_video_thumb/1679950862494449664/pu/img/TJQ8FltOQlHs2cno.jpg</v>
      </c>
      <c r="AW765" s="82" t="s">
        <v>12458</v>
      </c>
      <c r="AX765" s="82" t="s">
        <v>12458</v>
      </c>
      <c r="AY765" s="77"/>
      <c r="AZ765" s="82" t="s">
        <v>15984</v>
      </c>
      <c r="BA765" s="82" t="s">
        <v>15984</v>
      </c>
      <c r="BB765" s="82" t="s">
        <v>15984</v>
      </c>
      <c r="BC765" s="82" t="s">
        <v>12458</v>
      </c>
      <c r="BD765" s="82" t="s">
        <v>16250</v>
      </c>
      <c r="BE765" s="77"/>
      <c r="BF765" s="77"/>
      <c r="BG765" s="77"/>
      <c r="BH765" s="77"/>
      <c r="BI765" s="77"/>
    </row>
    <row r="766" spans="1:61" x14ac:dyDescent="0.25">
      <c r="A766" s="62" t="s">
        <v>471</v>
      </c>
      <c r="B766" s="62" t="s">
        <v>471</v>
      </c>
      <c r="C766" s="63"/>
      <c r="D766" s="64"/>
      <c r="E766" s="65"/>
      <c r="F766" s="66"/>
      <c r="G766" s="63"/>
      <c r="H766" s="67"/>
      <c r="I766" s="68"/>
      <c r="J766" s="68"/>
      <c r="K766" s="32"/>
      <c r="L766" s="75">
        <v>766</v>
      </c>
      <c r="M766" s="75"/>
      <c r="N766" s="70"/>
      <c r="O766" s="77" t="s">
        <v>179</v>
      </c>
      <c r="P766" s="79">
        <v>45121.852569444447</v>
      </c>
      <c r="Q766" s="77" t="s">
        <v>1617</v>
      </c>
      <c r="R766" s="77">
        <v>0</v>
      </c>
      <c r="S766" s="77">
        <v>0</v>
      </c>
      <c r="T766" s="77">
        <v>1</v>
      </c>
      <c r="U766" s="77">
        <v>0</v>
      </c>
      <c r="V766" s="77">
        <v>29</v>
      </c>
      <c r="W766" s="82" t="s">
        <v>5220</v>
      </c>
      <c r="X766" s="77"/>
      <c r="Y766" s="77"/>
      <c r="Z766" s="77"/>
      <c r="AA766" s="77" t="s">
        <v>7077</v>
      </c>
      <c r="AB766" s="77" t="s">
        <v>7747</v>
      </c>
      <c r="AC766" s="82" t="s">
        <v>7750</v>
      </c>
      <c r="AD766" s="77" t="s">
        <v>7788</v>
      </c>
      <c r="AE766" s="80" t="str">
        <f>HYPERLINK("https://twitter.com/projeto4ciclos/status/1679950822363332611")</f>
        <v>https://twitter.com/projeto4ciclos/status/1679950822363332611</v>
      </c>
      <c r="AF766" s="79">
        <v>45121.852569444447</v>
      </c>
      <c r="AG766" s="85">
        <v>45121</v>
      </c>
      <c r="AH766" s="82" t="s">
        <v>8484</v>
      </c>
      <c r="AI766" s="77" t="b">
        <v>0</v>
      </c>
      <c r="AJ766" s="77"/>
      <c r="AK766" s="77"/>
      <c r="AL766" s="77"/>
      <c r="AM766" s="77"/>
      <c r="AN766" s="77"/>
      <c r="AO766" s="77"/>
      <c r="AP766" s="77"/>
      <c r="AQ766" s="77" t="s">
        <v>11049</v>
      </c>
      <c r="AR766" s="77"/>
      <c r="AS766" s="77"/>
      <c r="AT766" s="77"/>
      <c r="AU766" s="77"/>
      <c r="AV766" s="80" t="str">
        <f>HYPERLINK("https://pbs.twimg.com/media/F1BiW5GXoAAHr6g.jpg")</f>
        <v>https://pbs.twimg.com/media/F1BiW5GXoAAHr6g.jpg</v>
      </c>
      <c r="AW766" s="82" t="s">
        <v>12459</v>
      </c>
      <c r="AX766" s="82" t="s">
        <v>12459</v>
      </c>
      <c r="AY766" s="77"/>
      <c r="AZ766" s="82" t="s">
        <v>15984</v>
      </c>
      <c r="BA766" s="82" t="s">
        <v>15984</v>
      </c>
      <c r="BB766" s="82" t="s">
        <v>15984</v>
      </c>
      <c r="BC766" s="82" t="s">
        <v>12459</v>
      </c>
      <c r="BD766" s="82" t="s">
        <v>16250</v>
      </c>
      <c r="BE766" s="77"/>
      <c r="BF766" s="77"/>
      <c r="BG766" s="77"/>
      <c r="BH766" s="77"/>
      <c r="BI766" s="77"/>
    </row>
    <row r="767" spans="1:61" x14ac:dyDescent="0.25">
      <c r="A767" s="62" t="s">
        <v>471</v>
      </c>
      <c r="B767" s="62" t="s">
        <v>471</v>
      </c>
      <c r="C767" s="63"/>
      <c r="D767" s="64"/>
      <c r="E767" s="65"/>
      <c r="F767" s="66"/>
      <c r="G767" s="63"/>
      <c r="H767" s="67"/>
      <c r="I767" s="68"/>
      <c r="J767" s="68"/>
      <c r="K767" s="32"/>
      <c r="L767" s="75">
        <v>767</v>
      </c>
      <c r="M767" s="75"/>
      <c r="N767" s="70"/>
      <c r="O767" s="77" t="s">
        <v>179</v>
      </c>
      <c r="P767" s="79">
        <v>45127.881365740737</v>
      </c>
      <c r="Q767" s="77" t="s">
        <v>1618</v>
      </c>
      <c r="R767" s="77">
        <v>0</v>
      </c>
      <c r="S767" s="77">
        <v>1</v>
      </c>
      <c r="T767" s="77">
        <v>1</v>
      </c>
      <c r="U767" s="77">
        <v>0</v>
      </c>
      <c r="V767" s="77">
        <v>33</v>
      </c>
      <c r="W767" s="82" t="s">
        <v>5220</v>
      </c>
      <c r="X767" s="77"/>
      <c r="Y767" s="77"/>
      <c r="Z767" s="77"/>
      <c r="AA767" s="77" t="s">
        <v>7078</v>
      </c>
      <c r="AB767" s="77" t="s">
        <v>7743</v>
      </c>
      <c r="AC767" s="82" t="s">
        <v>7750</v>
      </c>
      <c r="AD767" s="77" t="s">
        <v>7788</v>
      </c>
      <c r="AE767" s="80" t="str">
        <f>HYPERLINK("https://twitter.com/projeto4ciclos/status/1682135582170808320")</f>
        <v>https://twitter.com/projeto4ciclos/status/1682135582170808320</v>
      </c>
      <c r="AF767" s="79">
        <v>45127.881365740737</v>
      </c>
      <c r="AG767" s="85">
        <v>45127</v>
      </c>
      <c r="AH767" s="82" t="s">
        <v>8485</v>
      </c>
      <c r="AI767" s="77" t="b">
        <v>0</v>
      </c>
      <c r="AJ767" s="77"/>
      <c r="AK767" s="77"/>
      <c r="AL767" s="77"/>
      <c r="AM767" s="77"/>
      <c r="AN767" s="77"/>
      <c r="AO767" s="77"/>
      <c r="AP767" s="77"/>
      <c r="AQ767" s="77" t="s">
        <v>11050</v>
      </c>
      <c r="AR767" s="77">
        <v>35700</v>
      </c>
      <c r="AS767" s="77"/>
      <c r="AT767" s="77"/>
      <c r="AU767" s="77"/>
      <c r="AV767" s="80" t="str">
        <f>HYPERLINK("https://pbs.twimg.com/ext_tw_video_thumb/1682135067512958978/pu/img/gZnWS-rvB9s2mZnE.jpg")</f>
        <v>https://pbs.twimg.com/ext_tw_video_thumb/1682135067512958978/pu/img/gZnWS-rvB9s2mZnE.jpg</v>
      </c>
      <c r="AW767" s="82" t="s">
        <v>12460</v>
      </c>
      <c r="AX767" s="82" t="s">
        <v>12460</v>
      </c>
      <c r="AY767" s="77"/>
      <c r="AZ767" s="82" t="s">
        <v>15984</v>
      </c>
      <c r="BA767" s="82" t="s">
        <v>15984</v>
      </c>
      <c r="BB767" s="82" t="s">
        <v>15984</v>
      </c>
      <c r="BC767" s="82" t="s">
        <v>12460</v>
      </c>
      <c r="BD767" s="82" t="s">
        <v>16250</v>
      </c>
      <c r="BE767" s="77"/>
      <c r="BF767" s="77"/>
      <c r="BG767" s="77"/>
      <c r="BH767" s="77"/>
      <c r="BI767" s="77"/>
    </row>
    <row r="768" spans="1:61" x14ac:dyDescent="0.25">
      <c r="A768" s="62" t="s">
        <v>471</v>
      </c>
      <c r="B768" s="62" t="s">
        <v>471</v>
      </c>
      <c r="C768" s="63"/>
      <c r="D768" s="64"/>
      <c r="E768" s="65"/>
      <c r="F768" s="66"/>
      <c r="G768" s="63"/>
      <c r="H768" s="67"/>
      <c r="I768" s="68"/>
      <c r="J768" s="68"/>
      <c r="K768" s="32"/>
      <c r="L768" s="75">
        <v>768</v>
      </c>
      <c r="M768" s="75"/>
      <c r="N768" s="70"/>
      <c r="O768" s="77" t="s">
        <v>179</v>
      </c>
      <c r="P768" s="79">
        <v>45127.879803240743</v>
      </c>
      <c r="Q768" s="77" t="s">
        <v>1619</v>
      </c>
      <c r="R768" s="77">
        <v>0</v>
      </c>
      <c r="S768" s="77">
        <v>1</v>
      </c>
      <c r="T768" s="77">
        <v>1</v>
      </c>
      <c r="U768" s="77">
        <v>0</v>
      </c>
      <c r="V768" s="77">
        <v>29</v>
      </c>
      <c r="W768" s="82" t="s">
        <v>5220</v>
      </c>
      <c r="X768" s="77"/>
      <c r="Y768" s="77"/>
      <c r="Z768" s="77"/>
      <c r="AA768" s="77" t="s">
        <v>7079</v>
      </c>
      <c r="AB768" s="77" t="s">
        <v>7747</v>
      </c>
      <c r="AC768" s="82" t="s">
        <v>7750</v>
      </c>
      <c r="AD768" s="77" t="s">
        <v>7788</v>
      </c>
      <c r="AE768" s="80" t="str">
        <f>HYPERLINK("https://twitter.com/projeto4ciclos/status/1682135015885340678")</f>
        <v>https://twitter.com/projeto4ciclos/status/1682135015885340678</v>
      </c>
      <c r="AF768" s="79">
        <v>45127.879803240743</v>
      </c>
      <c r="AG768" s="85">
        <v>45127</v>
      </c>
      <c r="AH768" s="82" t="s">
        <v>8486</v>
      </c>
      <c r="AI768" s="77" t="b">
        <v>0</v>
      </c>
      <c r="AJ768" s="77"/>
      <c r="AK768" s="77"/>
      <c r="AL768" s="77"/>
      <c r="AM768" s="77"/>
      <c r="AN768" s="77"/>
      <c r="AO768" s="77"/>
      <c r="AP768" s="77"/>
      <c r="AQ768" s="77" t="s">
        <v>11051</v>
      </c>
      <c r="AR768" s="77"/>
      <c r="AS768" s="77"/>
      <c r="AT768" s="77"/>
      <c r="AU768" s="77"/>
      <c r="AV768" s="80" t="str">
        <f>HYPERLINK("https://pbs.twimg.com/media/F1gk3xxWAAUo7HE.jpg")</f>
        <v>https://pbs.twimg.com/media/F1gk3xxWAAUo7HE.jpg</v>
      </c>
      <c r="AW768" s="82" t="s">
        <v>12461</v>
      </c>
      <c r="AX768" s="82" t="s">
        <v>12461</v>
      </c>
      <c r="AY768" s="77"/>
      <c r="AZ768" s="82" t="s">
        <v>15984</v>
      </c>
      <c r="BA768" s="82" t="s">
        <v>15984</v>
      </c>
      <c r="BB768" s="82" t="s">
        <v>15984</v>
      </c>
      <c r="BC768" s="82" t="s">
        <v>12461</v>
      </c>
      <c r="BD768" s="82" t="s">
        <v>16250</v>
      </c>
      <c r="BE768" s="77"/>
      <c r="BF768" s="77"/>
      <c r="BG768" s="77"/>
      <c r="BH768" s="77"/>
      <c r="BI768" s="77"/>
    </row>
    <row r="769" spans="1:61" x14ac:dyDescent="0.25">
      <c r="A769" s="62" t="s">
        <v>471</v>
      </c>
      <c r="B769" s="62" t="s">
        <v>471</v>
      </c>
      <c r="C769" s="63"/>
      <c r="D769" s="64"/>
      <c r="E769" s="65"/>
      <c r="F769" s="66"/>
      <c r="G769" s="63"/>
      <c r="H769" s="67"/>
      <c r="I769" s="68"/>
      <c r="J769" s="68"/>
      <c r="K769" s="32"/>
      <c r="L769" s="75">
        <v>769</v>
      </c>
      <c r="M769" s="75"/>
      <c r="N769" s="70"/>
      <c r="O769" s="77" t="s">
        <v>179</v>
      </c>
      <c r="P769" s="79">
        <v>45126.979201388887</v>
      </c>
      <c r="Q769" s="77" t="s">
        <v>1620</v>
      </c>
      <c r="R769" s="77">
        <v>0</v>
      </c>
      <c r="S769" s="77">
        <v>0</v>
      </c>
      <c r="T769" s="77">
        <v>0</v>
      </c>
      <c r="U769" s="77">
        <v>0</v>
      </c>
      <c r="V769" s="77">
        <v>61</v>
      </c>
      <c r="W769" s="82" t="s">
        <v>5220</v>
      </c>
      <c r="X769" s="77"/>
      <c r="Y769" s="77"/>
      <c r="Z769" s="77"/>
      <c r="AA769" s="77" t="s">
        <v>7080</v>
      </c>
      <c r="AB769" s="77" t="s">
        <v>7743</v>
      </c>
      <c r="AC769" s="82" t="s">
        <v>7750</v>
      </c>
      <c r="AD769" s="77" t="s">
        <v>7788</v>
      </c>
      <c r="AE769" s="80" t="str">
        <f>HYPERLINK("https://twitter.com/projeto4ciclos/status/1681808650640273408")</f>
        <v>https://twitter.com/projeto4ciclos/status/1681808650640273408</v>
      </c>
      <c r="AF769" s="79">
        <v>45126.979201388887</v>
      </c>
      <c r="AG769" s="85">
        <v>45126</v>
      </c>
      <c r="AH769" s="82" t="s">
        <v>8487</v>
      </c>
      <c r="AI769" s="77" t="b">
        <v>0</v>
      </c>
      <c r="AJ769" s="77"/>
      <c r="AK769" s="77"/>
      <c r="AL769" s="77"/>
      <c r="AM769" s="77"/>
      <c r="AN769" s="77"/>
      <c r="AO769" s="77"/>
      <c r="AP769" s="77"/>
      <c r="AQ769" s="77" t="s">
        <v>11052</v>
      </c>
      <c r="AR769" s="77">
        <v>35700</v>
      </c>
      <c r="AS769" s="77"/>
      <c r="AT769" s="77"/>
      <c r="AU769" s="77"/>
      <c r="AV769" s="80" t="str">
        <f>HYPERLINK("https://pbs.twimg.com/ext_tw_video_thumb/1681808595581644802/pu/img/bPDgVy9Y2A53TLYE.jpg")</f>
        <v>https://pbs.twimg.com/ext_tw_video_thumb/1681808595581644802/pu/img/bPDgVy9Y2A53TLYE.jpg</v>
      </c>
      <c r="AW769" s="82" t="s">
        <v>12462</v>
      </c>
      <c r="AX769" s="82" t="s">
        <v>12462</v>
      </c>
      <c r="AY769" s="77"/>
      <c r="AZ769" s="82" t="s">
        <v>15984</v>
      </c>
      <c r="BA769" s="82" t="s">
        <v>15984</v>
      </c>
      <c r="BB769" s="82" t="s">
        <v>15984</v>
      </c>
      <c r="BC769" s="82" t="s">
        <v>12462</v>
      </c>
      <c r="BD769" s="82" t="s">
        <v>16250</v>
      </c>
      <c r="BE769" s="77"/>
      <c r="BF769" s="77"/>
      <c r="BG769" s="77"/>
      <c r="BH769" s="77"/>
      <c r="BI769" s="77"/>
    </row>
    <row r="770" spans="1:61" x14ac:dyDescent="0.25">
      <c r="A770" s="62" t="s">
        <v>471</v>
      </c>
      <c r="B770" s="62" t="s">
        <v>471</v>
      </c>
      <c r="C770" s="63"/>
      <c r="D770" s="64"/>
      <c r="E770" s="65"/>
      <c r="F770" s="66"/>
      <c r="G770" s="63"/>
      <c r="H770" s="67"/>
      <c r="I770" s="68"/>
      <c r="J770" s="68"/>
      <c r="K770" s="32"/>
      <c r="L770" s="75">
        <v>770</v>
      </c>
      <c r="M770" s="75"/>
      <c r="N770" s="70"/>
      <c r="O770" s="77" t="s">
        <v>179</v>
      </c>
      <c r="P770" s="79">
        <v>45126.978831018518</v>
      </c>
      <c r="Q770" s="77" t="s">
        <v>1621</v>
      </c>
      <c r="R770" s="77">
        <v>0</v>
      </c>
      <c r="S770" s="77">
        <v>0</v>
      </c>
      <c r="T770" s="77">
        <v>0</v>
      </c>
      <c r="U770" s="77">
        <v>0</v>
      </c>
      <c r="V770" s="77">
        <v>41</v>
      </c>
      <c r="W770" s="82" t="s">
        <v>5220</v>
      </c>
      <c r="X770" s="77"/>
      <c r="Y770" s="77"/>
      <c r="Z770" s="77"/>
      <c r="AA770" s="77" t="s">
        <v>7081</v>
      </c>
      <c r="AB770" s="77" t="s">
        <v>7747</v>
      </c>
      <c r="AC770" s="82" t="s">
        <v>7750</v>
      </c>
      <c r="AD770" s="77" t="s">
        <v>7788</v>
      </c>
      <c r="AE770" s="80" t="str">
        <f>HYPERLINK("https://twitter.com/projeto4ciclos/status/1681808516686675969")</f>
        <v>https://twitter.com/projeto4ciclos/status/1681808516686675969</v>
      </c>
      <c r="AF770" s="79">
        <v>45126.978831018518</v>
      </c>
      <c r="AG770" s="85">
        <v>45126</v>
      </c>
      <c r="AH770" s="82" t="s">
        <v>8488</v>
      </c>
      <c r="AI770" s="77" t="b">
        <v>0</v>
      </c>
      <c r="AJ770" s="77"/>
      <c r="AK770" s="77"/>
      <c r="AL770" s="77"/>
      <c r="AM770" s="77"/>
      <c r="AN770" s="77"/>
      <c r="AO770" s="77"/>
      <c r="AP770" s="77"/>
      <c r="AQ770" s="77" t="s">
        <v>11053</v>
      </c>
      <c r="AR770" s="77"/>
      <c r="AS770" s="77"/>
      <c r="AT770" s="77"/>
      <c r="AU770" s="77"/>
      <c r="AV770" s="80" t="str">
        <f>HYPERLINK("https://pbs.twimg.com/media/F1b77BcXwAAX0qV.jpg")</f>
        <v>https://pbs.twimg.com/media/F1b77BcXwAAX0qV.jpg</v>
      </c>
      <c r="AW770" s="82" t="s">
        <v>12463</v>
      </c>
      <c r="AX770" s="82" t="s">
        <v>12463</v>
      </c>
      <c r="AY770" s="77"/>
      <c r="AZ770" s="82" t="s">
        <v>15984</v>
      </c>
      <c r="BA770" s="82" t="s">
        <v>15984</v>
      </c>
      <c r="BB770" s="82" t="s">
        <v>15984</v>
      </c>
      <c r="BC770" s="82" t="s">
        <v>12463</v>
      </c>
      <c r="BD770" s="82" t="s">
        <v>16250</v>
      </c>
      <c r="BE770" s="77"/>
      <c r="BF770" s="77"/>
      <c r="BG770" s="77"/>
      <c r="BH770" s="77"/>
      <c r="BI770" s="77"/>
    </row>
    <row r="771" spans="1:61" x14ac:dyDescent="0.25">
      <c r="A771" s="62" t="s">
        <v>471</v>
      </c>
      <c r="B771" s="62" t="s">
        <v>471</v>
      </c>
      <c r="C771" s="63"/>
      <c r="D771" s="64"/>
      <c r="E771" s="65"/>
      <c r="F771" s="66"/>
      <c r="G771" s="63"/>
      <c r="H771" s="67"/>
      <c r="I771" s="68"/>
      <c r="J771" s="68"/>
      <c r="K771" s="32"/>
      <c r="L771" s="75">
        <v>771</v>
      </c>
      <c r="M771" s="75"/>
      <c r="N771" s="70"/>
      <c r="O771" s="77" t="s">
        <v>179</v>
      </c>
      <c r="P771" s="79">
        <v>45120.867974537039</v>
      </c>
      <c r="Q771" s="77" t="s">
        <v>1622</v>
      </c>
      <c r="R771" s="77">
        <v>0</v>
      </c>
      <c r="S771" s="77">
        <v>0</v>
      </c>
      <c r="T771" s="77">
        <v>0</v>
      </c>
      <c r="U771" s="77">
        <v>0</v>
      </c>
      <c r="V771" s="77">
        <v>35</v>
      </c>
      <c r="W771" s="82" t="s">
        <v>5220</v>
      </c>
      <c r="X771" s="77"/>
      <c r="Y771" s="77"/>
      <c r="Z771" s="77"/>
      <c r="AA771" s="77" t="s">
        <v>7082</v>
      </c>
      <c r="AB771" s="77" t="s">
        <v>7743</v>
      </c>
      <c r="AC771" s="82" t="s">
        <v>7750</v>
      </c>
      <c r="AD771" s="77" t="s">
        <v>7788</v>
      </c>
      <c r="AE771" s="80" t="str">
        <f>HYPERLINK("https://twitter.com/projeto4ciclos/status/1679594016030044160")</f>
        <v>https://twitter.com/projeto4ciclos/status/1679594016030044160</v>
      </c>
      <c r="AF771" s="79">
        <v>45120.867974537039</v>
      </c>
      <c r="AG771" s="85">
        <v>45120</v>
      </c>
      <c r="AH771" s="82" t="s">
        <v>8489</v>
      </c>
      <c r="AI771" s="77" t="b">
        <v>0</v>
      </c>
      <c r="AJ771" s="77"/>
      <c r="AK771" s="77"/>
      <c r="AL771" s="77"/>
      <c r="AM771" s="77"/>
      <c r="AN771" s="77"/>
      <c r="AO771" s="77"/>
      <c r="AP771" s="77"/>
      <c r="AQ771" s="77" t="s">
        <v>11054</v>
      </c>
      <c r="AR771" s="77">
        <v>35906</v>
      </c>
      <c r="AS771" s="77"/>
      <c r="AT771" s="77"/>
      <c r="AU771" s="77"/>
      <c r="AV771" s="80" t="str">
        <f>HYPERLINK("https://pbs.twimg.com/ext_tw_video_thumb/1679593683669209089/pu/img/yzLq02fUdNRBPuyd.jpg")</f>
        <v>https://pbs.twimg.com/ext_tw_video_thumb/1679593683669209089/pu/img/yzLq02fUdNRBPuyd.jpg</v>
      </c>
      <c r="AW771" s="82" t="s">
        <v>12464</v>
      </c>
      <c r="AX771" s="82" t="s">
        <v>12464</v>
      </c>
      <c r="AY771" s="77"/>
      <c r="AZ771" s="82" t="s">
        <v>15984</v>
      </c>
      <c r="BA771" s="82" t="s">
        <v>15984</v>
      </c>
      <c r="BB771" s="82" t="s">
        <v>15984</v>
      </c>
      <c r="BC771" s="82" t="s">
        <v>12464</v>
      </c>
      <c r="BD771" s="82" t="s">
        <v>16250</v>
      </c>
      <c r="BE771" s="77"/>
      <c r="BF771" s="77"/>
      <c r="BG771" s="77"/>
      <c r="BH771" s="77"/>
      <c r="BI771" s="77"/>
    </row>
    <row r="772" spans="1:61" x14ac:dyDescent="0.25">
      <c r="A772" s="62" t="s">
        <v>471</v>
      </c>
      <c r="B772" s="62" t="s">
        <v>471</v>
      </c>
      <c r="C772" s="63"/>
      <c r="D772" s="64"/>
      <c r="E772" s="65"/>
      <c r="F772" s="66"/>
      <c r="G772" s="63"/>
      <c r="H772" s="67"/>
      <c r="I772" s="68"/>
      <c r="J772" s="68"/>
      <c r="K772" s="32"/>
      <c r="L772" s="75">
        <v>772</v>
      </c>
      <c r="M772" s="75"/>
      <c r="N772" s="70"/>
      <c r="O772" s="77" t="s">
        <v>179</v>
      </c>
      <c r="P772" s="79">
        <v>45120.866909722223</v>
      </c>
      <c r="Q772" s="77" t="s">
        <v>1623</v>
      </c>
      <c r="R772" s="77">
        <v>0</v>
      </c>
      <c r="S772" s="77">
        <v>0</v>
      </c>
      <c r="T772" s="77">
        <v>0</v>
      </c>
      <c r="U772" s="77">
        <v>0</v>
      </c>
      <c r="V772" s="77">
        <v>28</v>
      </c>
      <c r="W772" s="82" t="s">
        <v>5220</v>
      </c>
      <c r="X772" s="77"/>
      <c r="Y772" s="77"/>
      <c r="Z772" s="77"/>
      <c r="AA772" s="77" t="s">
        <v>7083</v>
      </c>
      <c r="AB772" s="77" t="s">
        <v>7747</v>
      </c>
      <c r="AC772" s="82" t="s">
        <v>7750</v>
      </c>
      <c r="AD772" s="77" t="s">
        <v>7788</v>
      </c>
      <c r="AE772" s="80" t="str">
        <f>HYPERLINK("https://twitter.com/projeto4ciclos/status/1679593632246947840")</f>
        <v>https://twitter.com/projeto4ciclos/status/1679593632246947840</v>
      </c>
      <c r="AF772" s="79">
        <v>45120.866909722223</v>
      </c>
      <c r="AG772" s="85">
        <v>45120</v>
      </c>
      <c r="AH772" s="82" t="s">
        <v>8490</v>
      </c>
      <c r="AI772" s="77" t="b">
        <v>0</v>
      </c>
      <c r="AJ772" s="77"/>
      <c r="AK772" s="77"/>
      <c r="AL772" s="77"/>
      <c r="AM772" s="77"/>
      <c r="AN772" s="77"/>
      <c r="AO772" s="77"/>
      <c r="AP772" s="77"/>
      <c r="AQ772" s="77" t="s">
        <v>11055</v>
      </c>
      <c r="AR772" s="77"/>
      <c r="AS772" s="77"/>
      <c r="AT772" s="77"/>
      <c r="AU772" s="77"/>
      <c r="AV772" s="80" t="str">
        <f>HYPERLINK("https://pbs.twimg.com/media/F08dfcWWYAMcnDn.jpg")</f>
        <v>https://pbs.twimg.com/media/F08dfcWWYAMcnDn.jpg</v>
      </c>
      <c r="AW772" s="82" t="s">
        <v>12465</v>
      </c>
      <c r="AX772" s="82" t="s">
        <v>12465</v>
      </c>
      <c r="AY772" s="77"/>
      <c r="AZ772" s="82" t="s">
        <v>15984</v>
      </c>
      <c r="BA772" s="82" t="s">
        <v>15984</v>
      </c>
      <c r="BB772" s="82" t="s">
        <v>15984</v>
      </c>
      <c r="BC772" s="82" t="s">
        <v>12465</v>
      </c>
      <c r="BD772" s="82" t="s">
        <v>16250</v>
      </c>
      <c r="BE772" s="77"/>
      <c r="BF772" s="77"/>
      <c r="BG772" s="77"/>
      <c r="BH772" s="77"/>
      <c r="BI772" s="77"/>
    </row>
    <row r="773" spans="1:61" x14ac:dyDescent="0.25">
      <c r="A773" s="62" t="s">
        <v>471</v>
      </c>
      <c r="B773" s="62" t="s">
        <v>471</v>
      </c>
      <c r="C773" s="63"/>
      <c r="D773" s="64"/>
      <c r="E773" s="65"/>
      <c r="F773" s="66"/>
      <c r="G773" s="63"/>
      <c r="H773" s="67"/>
      <c r="I773" s="68"/>
      <c r="J773" s="68"/>
      <c r="K773" s="32"/>
      <c r="L773" s="75">
        <v>773</v>
      </c>
      <c r="M773" s="75"/>
      <c r="N773" s="70"/>
      <c r="O773" s="77" t="s">
        <v>179</v>
      </c>
      <c r="P773" s="79">
        <v>45118.885046296295</v>
      </c>
      <c r="Q773" s="77" t="s">
        <v>1624</v>
      </c>
      <c r="R773" s="77">
        <v>0</v>
      </c>
      <c r="S773" s="77">
        <v>0</v>
      </c>
      <c r="T773" s="77">
        <v>0</v>
      </c>
      <c r="U773" s="77">
        <v>0</v>
      </c>
      <c r="V773" s="77">
        <v>46</v>
      </c>
      <c r="W773" s="82" t="s">
        <v>5220</v>
      </c>
      <c r="X773" s="77"/>
      <c r="Y773" s="77"/>
      <c r="Z773" s="77"/>
      <c r="AA773" s="77" t="s">
        <v>7084</v>
      </c>
      <c r="AB773" s="77" t="s">
        <v>7743</v>
      </c>
      <c r="AC773" s="82" t="s">
        <v>7750</v>
      </c>
      <c r="AD773" s="77" t="s">
        <v>7788</v>
      </c>
      <c r="AE773" s="80" t="str">
        <f>HYPERLINK("https://twitter.com/projeto4ciclos/status/1678875425617870849")</f>
        <v>https://twitter.com/projeto4ciclos/status/1678875425617870849</v>
      </c>
      <c r="AF773" s="79">
        <v>45118.885046296295</v>
      </c>
      <c r="AG773" s="85">
        <v>45118</v>
      </c>
      <c r="AH773" s="82" t="s">
        <v>8491</v>
      </c>
      <c r="AI773" s="77" t="b">
        <v>0</v>
      </c>
      <c r="AJ773" s="77"/>
      <c r="AK773" s="77"/>
      <c r="AL773" s="77"/>
      <c r="AM773" s="77"/>
      <c r="AN773" s="77"/>
      <c r="AO773" s="77"/>
      <c r="AP773" s="77"/>
      <c r="AQ773" s="77" t="s">
        <v>11056</v>
      </c>
      <c r="AR773" s="77">
        <v>34347</v>
      </c>
      <c r="AS773" s="77"/>
      <c r="AT773" s="77"/>
      <c r="AU773" s="77"/>
      <c r="AV773" s="80" t="str">
        <f>HYPERLINK("https://pbs.twimg.com/ext_tw_video_thumb/1678874807759151109/pu/img/kaoikdGu_rNXEcOD.jpg")</f>
        <v>https://pbs.twimg.com/ext_tw_video_thumb/1678874807759151109/pu/img/kaoikdGu_rNXEcOD.jpg</v>
      </c>
      <c r="AW773" s="82" t="s">
        <v>12466</v>
      </c>
      <c r="AX773" s="82" t="s">
        <v>12466</v>
      </c>
      <c r="AY773" s="77"/>
      <c r="AZ773" s="82" t="s">
        <v>15984</v>
      </c>
      <c r="BA773" s="82" t="s">
        <v>15984</v>
      </c>
      <c r="BB773" s="82" t="s">
        <v>15984</v>
      </c>
      <c r="BC773" s="82" t="s">
        <v>12466</v>
      </c>
      <c r="BD773" s="82" t="s">
        <v>16250</v>
      </c>
      <c r="BE773" s="77"/>
      <c r="BF773" s="77"/>
      <c r="BG773" s="77"/>
      <c r="BH773" s="77"/>
      <c r="BI773" s="77"/>
    </row>
    <row r="774" spans="1:61" x14ac:dyDescent="0.25">
      <c r="A774" s="62" t="s">
        <v>471</v>
      </c>
      <c r="B774" s="62" t="s">
        <v>471</v>
      </c>
      <c r="C774" s="63"/>
      <c r="D774" s="64"/>
      <c r="E774" s="65"/>
      <c r="F774" s="66"/>
      <c r="G774" s="63"/>
      <c r="H774" s="67"/>
      <c r="I774" s="68"/>
      <c r="J774" s="68"/>
      <c r="K774" s="32"/>
      <c r="L774" s="75">
        <v>774</v>
      </c>
      <c r="M774" s="75"/>
      <c r="N774" s="70"/>
      <c r="O774" s="77" t="s">
        <v>179</v>
      </c>
      <c r="P774" s="79">
        <v>45118.883275462962</v>
      </c>
      <c r="Q774" s="77" t="s">
        <v>1625</v>
      </c>
      <c r="R774" s="77">
        <v>0</v>
      </c>
      <c r="S774" s="77">
        <v>0</v>
      </c>
      <c r="T774" s="77">
        <v>0</v>
      </c>
      <c r="U774" s="77">
        <v>0</v>
      </c>
      <c r="V774" s="77">
        <v>27</v>
      </c>
      <c r="W774" s="82" t="s">
        <v>5220</v>
      </c>
      <c r="X774" s="77"/>
      <c r="Y774" s="77"/>
      <c r="Z774" s="77"/>
      <c r="AA774" s="77" t="s">
        <v>7085</v>
      </c>
      <c r="AB774" s="77" t="s">
        <v>7747</v>
      </c>
      <c r="AC774" s="82" t="s">
        <v>7750</v>
      </c>
      <c r="AD774" s="77" t="s">
        <v>7788</v>
      </c>
      <c r="AE774" s="80" t="str">
        <f>HYPERLINK("https://twitter.com/projeto4ciclos/status/1678874787240615937")</f>
        <v>https://twitter.com/projeto4ciclos/status/1678874787240615937</v>
      </c>
      <c r="AF774" s="79">
        <v>45118.883275462962</v>
      </c>
      <c r="AG774" s="85">
        <v>45118</v>
      </c>
      <c r="AH774" s="82" t="s">
        <v>8492</v>
      </c>
      <c r="AI774" s="77" t="b">
        <v>0</v>
      </c>
      <c r="AJ774" s="77"/>
      <c r="AK774" s="77"/>
      <c r="AL774" s="77"/>
      <c r="AM774" s="77"/>
      <c r="AN774" s="77"/>
      <c r="AO774" s="77"/>
      <c r="AP774" s="77"/>
      <c r="AQ774" s="77" t="s">
        <v>11057</v>
      </c>
      <c r="AR774" s="77"/>
      <c r="AS774" s="77"/>
      <c r="AT774" s="77"/>
      <c r="AU774" s="77"/>
      <c r="AV774" s="80" t="str">
        <f>HYPERLINK("https://pbs.twimg.com/media/F0yPsogXsAUvtiV.jpg")</f>
        <v>https://pbs.twimg.com/media/F0yPsogXsAUvtiV.jpg</v>
      </c>
      <c r="AW774" s="82" t="s">
        <v>12467</v>
      </c>
      <c r="AX774" s="82" t="s">
        <v>12467</v>
      </c>
      <c r="AY774" s="77"/>
      <c r="AZ774" s="82" t="s">
        <v>15984</v>
      </c>
      <c r="BA774" s="82" t="s">
        <v>15984</v>
      </c>
      <c r="BB774" s="82" t="s">
        <v>15984</v>
      </c>
      <c r="BC774" s="82" t="s">
        <v>12467</v>
      </c>
      <c r="BD774" s="82" t="s">
        <v>16250</v>
      </c>
      <c r="BE774" s="77"/>
      <c r="BF774" s="77"/>
      <c r="BG774" s="77"/>
      <c r="BH774" s="77"/>
      <c r="BI774" s="77"/>
    </row>
    <row r="775" spans="1:61" x14ac:dyDescent="0.25">
      <c r="A775" s="62" t="s">
        <v>471</v>
      </c>
      <c r="B775" s="62" t="s">
        <v>471</v>
      </c>
      <c r="C775" s="63"/>
      <c r="D775" s="64"/>
      <c r="E775" s="65"/>
      <c r="F775" s="66"/>
      <c r="G775" s="63"/>
      <c r="H775" s="67"/>
      <c r="I775" s="68"/>
      <c r="J775" s="68"/>
      <c r="K775" s="32"/>
      <c r="L775" s="75">
        <v>775</v>
      </c>
      <c r="M775" s="75"/>
      <c r="N775" s="70"/>
      <c r="O775" s="77" t="s">
        <v>179</v>
      </c>
      <c r="P775" s="79">
        <v>45132.854166666664</v>
      </c>
      <c r="Q775" s="77" t="s">
        <v>1626</v>
      </c>
      <c r="R775" s="77">
        <v>0</v>
      </c>
      <c r="S775" s="77">
        <v>0</v>
      </c>
      <c r="T775" s="77">
        <v>0</v>
      </c>
      <c r="U775" s="77">
        <v>0</v>
      </c>
      <c r="V775" s="77">
        <v>49</v>
      </c>
      <c r="W775" s="82" t="s">
        <v>5220</v>
      </c>
      <c r="X775" s="77"/>
      <c r="Y775" s="77"/>
      <c r="Z775" s="77"/>
      <c r="AA775" s="77" t="s">
        <v>7086</v>
      </c>
      <c r="AB775" s="77" t="s">
        <v>7743</v>
      </c>
      <c r="AC775" s="82" t="s">
        <v>7750</v>
      </c>
      <c r="AD775" s="77" t="s">
        <v>7788</v>
      </c>
      <c r="AE775" s="80" t="str">
        <f>HYPERLINK("https://twitter.com/projeto4ciclos/status/1683937667476516865")</f>
        <v>https://twitter.com/projeto4ciclos/status/1683937667476516865</v>
      </c>
      <c r="AF775" s="79">
        <v>45132.854166666664</v>
      </c>
      <c r="AG775" s="85">
        <v>45132</v>
      </c>
      <c r="AH775" s="82" t="s">
        <v>8090</v>
      </c>
      <c r="AI775" s="77" t="b">
        <v>0</v>
      </c>
      <c r="AJ775" s="77"/>
      <c r="AK775" s="77"/>
      <c r="AL775" s="77"/>
      <c r="AM775" s="77"/>
      <c r="AN775" s="77"/>
      <c r="AO775" s="77"/>
      <c r="AP775" s="77"/>
      <c r="AQ775" s="77" t="s">
        <v>11058</v>
      </c>
      <c r="AR775" s="77">
        <v>35433</v>
      </c>
      <c r="AS775" s="77"/>
      <c r="AT775" s="77"/>
      <c r="AU775" s="77"/>
      <c r="AV775" s="80" t="str">
        <f>HYPERLINK("https://pbs.twimg.com/ext_tw_video_thumb/1683937590183972864/pu/img/AuU65FbK4cX4JKUJ.jpg")</f>
        <v>https://pbs.twimg.com/ext_tw_video_thumb/1683937590183972864/pu/img/AuU65FbK4cX4JKUJ.jpg</v>
      </c>
      <c r="AW775" s="82" t="s">
        <v>12468</v>
      </c>
      <c r="AX775" s="82" t="s">
        <v>12468</v>
      </c>
      <c r="AY775" s="77"/>
      <c r="AZ775" s="82" t="s">
        <v>15984</v>
      </c>
      <c r="BA775" s="82" t="s">
        <v>15984</v>
      </c>
      <c r="BB775" s="82" t="s">
        <v>15984</v>
      </c>
      <c r="BC775" s="82" t="s">
        <v>12468</v>
      </c>
      <c r="BD775" s="82" t="s">
        <v>16250</v>
      </c>
      <c r="BE775" s="77"/>
      <c r="BF775" s="77"/>
      <c r="BG775" s="77"/>
      <c r="BH775" s="77"/>
      <c r="BI775" s="77"/>
    </row>
    <row r="776" spans="1:61" x14ac:dyDescent="0.25">
      <c r="A776" s="62" t="s">
        <v>471</v>
      </c>
      <c r="B776" s="62" t="s">
        <v>471</v>
      </c>
      <c r="C776" s="63"/>
      <c r="D776" s="64"/>
      <c r="E776" s="65"/>
      <c r="F776" s="66"/>
      <c r="G776" s="63"/>
      <c r="H776" s="67"/>
      <c r="I776" s="68"/>
      <c r="J776" s="68"/>
      <c r="K776" s="32"/>
      <c r="L776" s="75">
        <v>776</v>
      </c>
      <c r="M776" s="75"/>
      <c r="N776" s="70"/>
      <c r="O776" s="77" t="s">
        <v>179</v>
      </c>
      <c r="P776" s="79">
        <v>45132.853865740741</v>
      </c>
      <c r="Q776" s="77" t="s">
        <v>1627</v>
      </c>
      <c r="R776" s="77">
        <v>0</v>
      </c>
      <c r="S776" s="77">
        <v>0</v>
      </c>
      <c r="T776" s="77">
        <v>0</v>
      </c>
      <c r="U776" s="77">
        <v>0</v>
      </c>
      <c r="V776" s="77">
        <v>29</v>
      </c>
      <c r="W776" s="82" t="s">
        <v>5220</v>
      </c>
      <c r="X776" s="77"/>
      <c r="Y776" s="77"/>
      <c r="Z776" s="77"/>
      <c r="AA776" s="77" t="s">
        <v>7087</v>
      </c>
      <c r="AB776" s="77" t="s">
        <v>7747</v>
      </c>
      <c r="AC776" s="82" t="s">
        <v>7750</v>
      </c>
      <c r="AD776" s="77" t="s">
        <v>7788</v>
      </c>
      <c r="AE776" s="80" t="str">
        <f>HYPERLINK("https://twitter.com/projeto4ciclos/status/1683937558991106049")</f>
        <v>https://twitter.com/projeto4ciclos/status/1683937558991106049</v>
      </c>
      <c r="AF776" s="79">
        <v>45132.853865740741</v>
      </c>
      <c r="AG776" s="85">
        <v>45132</v>
      </c>
      <c r="AH776" s="82" t="s">
        <v>8493</v>
      </c>
      <c r="AI776" s="77" t="b">
        <v>0</v>
      </c>
      <c r="AJ776" s="77"/>
      <c r="AK776" s="77"/>
      <c r="AL776" s="77"/>
      <c r="AM776" s="77"/>
      <c r="AN776" s="77"/>
      <c r="AO776" s="77"/>
      <c r="AP776" s="77"/>
      <c r="AQ776" s="77" t="s">
        <v>11059</v>
      </c>
      <c r="AR776" s="77"/>
      <c r="AS776" s="77"/>
      <c r="AT776" s="77"/>
      <c r="AU776" s="77"/>
      <c r="AV776" s="80" t="str">
        <f>HYPERLINK("https://pbs.twimg.com/media/F16MRpBXsAU7TEx.jpg")</f>
        <v>https://pbs.twimg.com/media/F16MRpBXsAU7TEx.jpg</v>
      </c>
      <c r="AW776" s="82" t="s">
        <v>12469</v>
      </c>
      <c r="AX776" s="82" t="s">
        <v>12469</v>
      </c>
      <c r="AY776" s="77"/>
      <c r="AZ776" s="82" t="s">
        <v>15984</v>
      </c>
      <c r="BA776" s="82" t="s">
        <v>15984</v>
      </c>
      <c r="BB776" s="82" t="s">
        <v>15984</v>
      </c>
      <c r="BC776" s="82" t="s">
        <v>12469</v>
      </c>
      <c r="BD776" s="82" t="s">
        <v>16250</v>
      </c>
      <c r="BE776" s="77"/>
      <c r="BF776" s="77"/>
      <c r="BG776" s="77"/>
      <c r="BH776" s="77"/>
      <c r="BI776" s="77"/>
    </row>
    <row r="777" spans="1:61" x14ac:dyDescent="0.25">
      <c r="A777" s="62" t="s">
        <v>471</v>
      </c>
      <c r="B777" s="62" t="s">
        <v>471</v>
      </c>
      <c r="C777" s="63"/>
      <c r="D777" s="64"/>
      <c r="E777" s="65"/>
      <c r="F777" s="66"/>
      <c r="G777" s="63"/>
      <c r="H777" s="67"/>
      <c r="I777" s="68"/>
      <c r="J777" s="68"/>
      <c r="K777" s="32"/>
      <c r="L777" s="75">
        <v>777</v>
      </c>
      <c r="M777" s="75"/>
      <c r="N777" s="70"/>
      <c r="O777" s="77" t="s">
        <v>179</v>
      </c>
      <c r="P777" s="79">
        <v>45124.033530092594</v>
      </c>
      <c r="Q777" s="77" t="s">
        <v>1628</v>
      </c>
      <c r="R777" s="77">
        <v>0</v>
      </c>
      <c r="S777" s="77">
        <v>0</v>
      </c>
      <c r="T777" s="77">
        <v>0</v>
      </c>
      <c r="U777" s="77">
        <v>0</v>
      </c>
      <c r="V777" s="77">
        <v>37</v>
      </c>
      <c r="W777" s="82" t="s">
        <v>5220</v>
      </c>
      <c r="X777" s="77"/>
      <c r="Y777" s="77"/>
      <c r="Z777" s="77"/>
      <c r="AA777" s="77" t="s">
        <v>7088</v>
      </c>
      <c r="AB777" s="77" t="s">
        <v>7743</v>
      </c>
      <c r="AC777" s="82" t="s">
        <v>7750</v>
      </c>
      <c r="AD777" s="77" t="s">
        <v>7788</v>
      </c>
      <c r="AE777" s="80" t="str">
        <f>HYPERLINK("https://twitter.com/projeto4ciclos/status/1680741175248953345")</f>
        <v>https://twitter.com/projeto4ciclos/status/1680741175248953345</v>
      </c>
      <c r="AF777" s="79">
        <v>45124.033530092594</v>
      </c>
      <c r="AG777" s="85">
        <v>45124</v>
      </c>
      <c r="AH777" s="82" t="s">
        <v>8494</v>
      </c>
      <c r="AI777" s="77" t="b">
        <v>0</v>
      </c>
      <c r="AJ777" s="77"/>
      <c r="AK777" s="77"/>
      <c r="AL777" s="77"/>
      <c r="AM777" s="77"/>
      <c r="AN777" s="77"/>
      <c r="AO777" s="77"/>
      <c r="AP777" s="77"/>
      <c r="AQ777" s="77" t="s">
        <v>11060</v>
      </c>
      <c r="AR777" s="77">
        <v>35233</v>
      </c>
      <c r="AS777" s="77"/>
      <c r="AT777" s="77"/>
      <c r="AU777" s="77"/>
      <c r="AV777" s="80" t="str">
        <f>HYPERLINK("https://pbs.twimg.com/ext_tw_video_thumb/1680740401378885640/pu/img/fwhq9Wp1hJ1tBEJT.jpg")</f>
        <v>https://pbs.twimg.com/ext_tw_video_thumb/1680740401378885640/pu/img/fwhq9Wp1hJ1tBEJT.jpg</v>
      </c>
      <c r="AW777" s="82" t="s">
        <v>12470</v>
      </c>
      <c r="AX777" s="82" t="s">
        <v>12470</v>
      </c>
      <c r="AY777" s="77"/>
      <c r="AZ777" s="82" t="s">
        <v>15984</v>
      </c>
      <c r="BA777" s="82" t="s">
        <v>15984</v>
      </c>
      <c r="BB777" s="82" t="s">
        <v>15984</v>
      </c>
      <c r="BC777" s="82" t="s">
        <v>12470</v>
      </c>
      <c r="BD777" s="82" t="s">
        <v>16250</v>
      </c>
      <c r="BE777" s="77"/>
      <c r="BF777" s="77"/>
      <c r="BG777" s="77"/>
      <c r="BH777" s="77"/>
      <c r="BI777" s="77"/>
    </row>
    <row r="778" spans="1:61" x14ac:dyDescent="0.25">
      <c r="A778" s="62" t="s">
        <v>471</v>
      </c>
      <c r="B778" s="62" t="s">
        <v>471</v>
      </c>
      <c r="C778" s="63"/>
      <c r="D778" s="64"/>
      <c r="E778" s="65"/>
      <c r="F778" s="66"/>
      <c r="G778" s="63"/>
      <c r="H778" s="67"/>
      <c r="I778" s="68"/>
      <c r="J778" s="68"/>
      <c r="K778" s="32"/>
      <c r="L778" s="75">
        <v>778</v>
      </c>
      <c r="M778" s="75"/>
      <c r="N778" s="70"/>
      <c r="O778" s="77" t="s">
        <v>179</v>
      </c>
      <c r="P778" s="79">
        <v>45124.031238425923</v>
      </c>
      <c r="Q778" s="77" t="s">
        <v>1629</v>
      </c>
      <c r="R778" s="77">
        <v>0</v>
      </c>
      <c r="S778" s="77">
        <v>0</v>
      </c>
      <c r="T778" s="77">
        <v>0</v>
      </c>
      <c r="U778" s="77">
        <v>0</v>
      </c>
      <c r="V778" s="77">
        <v>26</v>
      </c>
      <c r="W778" s="82" t="s">
        <v>5220</v>
      </c>
      <c r="X778" s="77"/>
      <c r="Y778" s="77"/>
      <c r="Z778" s="77"/>
      <c r="AA778" s="77" t="s">
        <v>7089</v>
      </c>
      <c r="AB778" s="77" t="s">
        <v>7747</v>
      </c>
      <c r="AC778" s="82" t="s">
        <v>7750</v>
      </c>
      <c r="AD778" s="77" t="s">
        <v>7788</v>
      </c>
      <c r="AE778" s="80" t="str">
        <f>HYPERLINK("https://twitter.com/projeto4ciclos/status/1680740345129193472")</f>
        <v>https://twitter.com/projeto4ciclos/status/1680740345129193472</v>
      </c>
      <c r="AF778" s="79">
        <v>45124.031238425923</v>
      </c>
      <c r="AG778" s="85">
        <v>45124</v>
      </c>
      <c r="AH778" s="82" t="s">
        <v>8495</v>
      </c>
      <c r="AI778" s="77" t="b">
        <v>0</v>
      </c>
      <c r="AJ778" s="77"/>
      <c r="AK778" s="77"/>
      <c r="AL778" s="77"/>
      <c r="AM778" s="77"/>
      <c r="AN778" s="77"/>
      <c r="AO778" s="77"/>
      <c r="AP778" s="77"/>
      <c r="AQ778" s="77" t="s">
        <v>11061</v>
      </c>
      <c r="AR778" s="77"/>
      <c r="AS778" s="77"/>
      <c r="AT778" s="77"/>
      <c r="AU778" s="77"/>
      <c r="AV778" s="80" t="str">
        <f>HYPERLINK("https://pbs.twimg.com/media/F1MwalzWwAcRrJl.jpg")</f>
        <v>https://pbs.twimg.com/media/F1MwalzWwAcRrJl.jpg</v>
      </c>
      <c r="AW778" s="82" t="s">
        <v>12471</v>
      </c>
      <c r="AX778" s="82" t="s">
        <v>12471</v>
      </c>
      <c r="AY778" s="77"/>
      <c r="AZ778" s="82" t="s">
        <v>15984</v>
      </c>
      <c r="BA778" s="82" t="s">
        <v>15984</v>
      </c>
      <c r="BB778" s="82" t="s">
        <v>15984</v>
      </c>
      <c r="BC778" s="82" t="s">
        <v>12471</v>
      </c>
      <c r="BD778" s="82" t="s">
        <v>16250</v>
      </c>
      <c r="BE778" s="77"/>
      <c r="BF778" s="77"/>
      <c r="BG778" s="77"/>
      <c r="BH778" s="77"/>
      <c r="BI778" s="77"/>
    </row>
    <row r="779" spans="1:61" x14ac:dyDescent="0.25">
      <c r="A779" s="62" t="s">
        <v>471</v>
      </c>
      <c r="B779" s="62" t="s">
        <v>471</v>
      </c>
      <c r="C779" s="63"/>
      <c r="D779" s="64"/>
      <c r="E779" s="65"/>
      <c r="F779" s="66"/>
      <c r="G779" s="63"/>
      <c r="H779" s="67"/>
      <c r="I779" s="68"/>
      <c r="J779" s="68"/>
      <c r="K779" s="32"/>
      <c r="L779" s="75">
        <v>779</v>
      </c>
      <c r="M779" s="75"/>
      <c r="N779" s="70"/>
      <c r="O779" s="77" t="s">
        <v>179</v>
      </c>
      <c r="P779" s="79">
        <v>45122.920115740744</v>
      </c>
      <c r="Q779" s="77" t="s">
        <v>1630</v>
      </c>
      <c r="R779" s="77">
        <v>0</v>
      </c>
      <c r="S779" s="77">
        <v>0</v>
      </c>
      <c r="T779" s="77">
        <v>0</v>
      </c>
      <c r="U779" s="77">
        <v>0</v>
      </c>
      <c r="V779" s="77">
        <v>33</v>
      </c>
      <c r="W779" s="82" t="s">
        <v>5220</v>
      </c>
      <c r="X779" s="77"/>
      <c r="Y779" s="77"/>
      <c r="Z779" s="77"/>
      <c r="AA779" s="77" t="s">
        <v>7090</v>
      </c>
      <c r="AB779" s="77" t="s">
        <v>7743</v>
      </c>
      <c r="AC779" s="82" t="s">
        <v>7750</v>
      </c>
      <c r="AD779" s="77" t="s">
        <v>7788</v>
      </c>
      <c r="AE779" s="80" t="str">
        <f>HYPERLINK("https://twitter.com/projeto4ciclos/status/1680337689172738048")</f>
        <v>https://twitter.com/projeto4ciclos/status/1680337689172738048</v>
      </c>
      <c r="AF779" s="79">
        <v>45122.920115740744</v>
      </c>
      <c r="AG779" s="85">
        <v>45122</v>
      </c>
      <c r="AH779" s="82" t="s">
        <v>8496</v>
      </c>
      <c r="AI779" s="77" t="b">
        <v>0</v>
      </c>
      <c r="AJ779" s="77"/>
      <c r="AK779" s="77"/>
      <c r="AL779" s="77"/>
      <c r="AM779" s="77"/>
      <c r="AN779" s="77"/>
      <c r="AO779" s="77"/>
      <c r="AP779" s="77"/>
      <c r="AQ779" s="77" t="s">
        <v>11062</v>
      </c>
      <c r="AR779" s="77">
        <v>35011</v>
      </c>
      <c r="AS779" s="77"/>
      <c r="AT779" s="77"/>
      <c r="AU779" s="77"/>
      <c r="AV779" s="80" t="str">
        <f>HYPERLINK("https://pbs.twimg.com/ext_tw_video_thumb/1680337641399517186/pu/img/j91HcflrFd7eDqj9.jpg")</f>
        <v>https://pbs.twimg.com/ext_tw_video_thumb/1680337641399517186/pu/img/j91HcflrFd7eDqj9.jpg</v>
      </c>
      <c r="AW779" s="82" t="s">
        <v>12472</v>
      </c>
      <c r="AX779" s="82" t="s">
        <v>12472</v>
      </c>
      <c r="AY779" s="77"/>
      <c r="AZ779" s="82" t="s">
        <v>15984</v>
      </c>
      <c r="BA779" s="82" t="s">
        <v>15984</v>
      </c>
      <c r="BB779" s="82" t="s">
        <v>15984</v>
      </c>
      <c r="BC779" s="82" t="s">
        <v>12472</v>
      </c>
      <c r="BD779" s="82" t="s">
        <v>16250</v>
      </c>
      <c r="BE779" s="77"/>
      <c r="BF779" s="77"/>
      <c r="BG779" s="77"/>
      <c r="BH779" s="77"/>
      <c r="BI779" s="77"/>
    </row>
    <row r="780" spans="1:61" x14ac:dyDescent="0.25">
      <c r="A780" s="62" t="s">
        <v>471</v>
      </c>
      <c r="B780" s="62" t="s">
        <v>471</v>
      </c>
      <c r="C780" s="63"/>
      <c r="D780" s="64"/>
      <c r="E780" s="65"/>
      <c r="F780" s="66"/>
      <c r="G780" s="63"/>
      <c r="H780" s="67"/>
      <c r="I780" s="68"/>
      <c r="J780" s="68"/>
      <c r="K780" s="32"/>
      <c r="L780" s="75">
        <v>780</v>
      </c>
      <c r="M780" s="75"/>
      <c r="N780" s="70"/>
      <c r="O780" s="77" t="s">
        <v>179</v>
      </c>
      <c r="P780" s="79">
        <v>45122.919918981483</v>
      </c>
      <c r="Q780" s="77" t="s">
        <v>1631</v>
      </c>
      <c r="R780" s="77">
        <v>0</v>
      </c>
      <c r="S780" s="77">
        <v>0</v>
      </c>
      <c r="T780" s="77">
        <v>0</v>
      </c>
      <c r="U780" s="77">
        <v>0</v>
      </c>
      <c r="V780" s="77">
        <v>18</v>
      </c>
      <c r="W780" s="82" t="s">
        <v>5220</v>
      </c>
      <c r="X780" s="77"/>
      <c r="Y780" s="77"/>
      <c r="Z780" s="77"/>
      <c r="AA780" s="77" t="s">
        <v>7091</v>
      </c>
      <c r="AB780" s="77" t="s">
        <v>7747</v>
      </c>
      <c r="AC780" s="82" t="s">
        <v>7750</v>
      </c>
      <c r="AD780" s="77" t="s">
        <v>7788</v>
      </c>
      <c r="AE780" s="80" t="str">
        <f>HYPERLINK("https://twitter.com/projeto4ciclos/status/1680337616670019585")</f>
        <v>https://twitter.com/projeto4ciclos/status/1680337616670019585</v>
      </c>
      <c r="AF780" s="79">
        <v>45122.919918981483</v>
      </c>
      <c r="AG780" s="85">
        <v>45122</v>
      </c>
      <c r="AH780" s="82" t="s">
        <v>8497</v>
      </c>
      <c r="AI780" s="77" t="b">
        <v>0</v>
      </c>
      <c r="AJ780" s="77"/>
      <c r="AK780" s="77"/>
      <c r="AL780" s="77"/>
      <c r="AM780" s="77"/>
      <c r="AN780" s="77"/>
      <c r="AO780" s="77"/>
      <c r="AP780" s="77"/>
      <c r="AQ780" s="77" t="s">
        <v>11063</v>
      </c>
      <c r="AR780" s="77"/>
      <c r="AS780" s="77"/>
      <c r="AT780" s="77"/>
      <c r="AU780" s="77"/>
      <c r="AV780" s="80" t="str">
        <f>HYPERLINK("https://pbs.twimg.com/media/F1HCIUhWIAQT2YQ.jpg")</f>
        <v>https://pbs.twimg.com/media/F1HCIUhWIAQT2YQ.jpg</v>
      </c>
      <c r="AW780" s="82" t="s">
        <v>12473</v>
      </c>
      <c r="AX780" s="82" t="s">
        <v>12473</v>
      </c>
      <c r="AY780" s="77"/>
      <c r="AZ780" s="82" t="s">
        <v>15984</v>
      </c>
      <c r="BA780" s="82" t="s">
        <v>15984</v>
      </c>
      <c r="BB780" s="82" t="s">
        <v>15984</v>
      </c>
      <c r="BC780" s="82" t="s">
        <v>12473</v>
      </c>
      <c r="BD780" s="82" t="s">
        <v>16250</v>
      </c>
      <c r="BE780" s="77"/>
      <c r="BF780" s="77"/>
      <c r="BG780" s="77"/>
      <c r="BH780" s="77"/>
      <c r="BI780" s="77"/>
    </row>
    <row r="781" spans="1:61" x14ac:dyDescent="0.25">
      <c r="A781" s="62" t="s">
        <v>471</v>
      </c>
      <c r="B781" s="62" t="s">
        <v>471</v>
      </c>
      <c r="C781" s="63"/>
      <c r="D781" s="64"/>
      <c r="E781" s="65"/>
      <c r="F781" s="66"/>
      <c r="G781" s="63"/>
      <c r="H781" s="67"/>
      <c r="I781" s="68"/>
      <c r="J781" s="68"/>
      <c r="K781" s="32"/>
      <c r="L781" s="75">
        <v>781</v>
      </c>
      <c r="M781" s="75"/>
      <c r="N781" s="70"/>
      <c r="O781" s="77" t="s">
        <v>179</v>
      </c>
      <c r="P781" s="79">
        <v>45133.83693287037</v>
      </c>
      <c r="Q781" s="77" t="s">
        <v>1632</v>
      </c>
      <c r="R781" s="77">
        <v>0</v>
      </c>
      <c r="S781" s="77">
        <v>0</v>
      </c>
      <c r="T781" s="77">
        <v>1</v>
      </c>
      <c r="U781" s="77">
        <v>0</v>
      </c>
      <c r="V781" s="77">
        <v>58</v>
      </c>
      <c r="W781" s="82" t="s">
        <v>5220</v>
      </c>
      <c r="X781" s="77"/>
      <c r="Y781" s="77"/>
      <c r="Z781" s="77"/>
      <c r="AA781" s="77" t="s">
        <v>7092</v>
      </c>
      <c r="AB781" s="77" t="s">
        <v>7743</v>
      </c>
      <c r="AC781" s="82" t="s">
        <v>7750</v>
      </c>
      <c r="AD781" s="77" t="s">
        <v>7788</v>
      </c>
      <c r="AE781" s="80" t="str">
        <f>HYPERLINK("https://twitter.com/projeto4ciclos/status/1684293811504119809")</f>
        <v>https://twitter.com/projeto4ciclos/status/1684293811504119809</v>
      </c>
      <c r="AF781" s="79">
        <v>45133.83693287037</v>
      </c>
      <c r="AG781" s="85">
        <v>45133</v>
      </c>
      <c r="AH781" s="82" t="s">
        <v>8498</v>
      </c>
      <c r="AI781" s="77" t="b">
        <v>0</v>
      </c>
      <c r="AJ781" s="77"/>
      <c r="AK781" s="77"/>
      <c r="AL781" s="77"/>
      <c r="AM781" s="77"/>
      <c r="AN781" s="77"/>
      <c r="AO781" s="77"/>
      <c r="AP781" s="77"/>
      <c r="AQ781" s="77" t="s">
        <v>11064</v>
      </c>
      <c r="AR781" s="77">
        <v>35485</v>
      </c>
      <c r="AS781" s="77"/>
      <c r="AT781" s="77"/>
      <c r="AU781" s="77"/>
      <c r="AV781" s="80" t="str">
        <f>HYPERLINK("https://pbs.twimg.com/ext_tw_video_thumb/1684293759222132738/pu/img/YONpOWSub3hmHZeb.jpg")</f>
        <v>https://pbs.twimg.com/ext_tw_video_thumb/1684293759222132738/pu/img/YONpOWSub3hmHZeb.jpg</v>
      </c>
      <c r="AW781" s="82" t="s">
        <v>12474</v>
      </c>
      <c r="AX781" s="82" t="s">
        <v>12474</v>
      </c>
      <c r="AY781" s="77"/>
      <c r="AZ781" s="82" t="s">
        <v>15984</v>
      </c>
      <c r="BA781" s="82" t="s">
        <v>15984</v>
      </c>
      <c r="BB781" s="82" t="s">
        <v>15984</v>
      </c>
      <c r="BC781" s="82" t="s">
        <v>12474</v>
      </c>
      <c r="BD781" s="82" t="s">
        <v>16250</v>
      </c>
      <c r="BE781" s="77"/>
      <c r="BF781" s="77"/>
      <c r="BG781" s="77"/>
      <c r="BH781" s="77"/>
      <c r="BI781" s="77"/>
    </row>
    <row r="782" spans="1:61" x14ac:dyDescent="0.25">
      <c r="A782" s="62" t="s">
        <v>471</v>
      </c>
      <c r="B782" s="62" t="s">
        <v>471</v>
      </c>
      <c r="C782" s="63"/>
      <c r="D782" s="64"/>
      <c r="E782" s="65"/>
      <c r="F782" s="66"/>
      <c r="G782" s="63"/>
      <c r="H782" s="67"/>
      <c r="I782" s="68"/>
      <c r="J782" s="68"/>
      <c r="K782" s="32"/>
      <c r="L782" s="75">
        <v>782</v>
      </c>
      <c r="M782" s="75"/>
      <c r="N782" s="70"/>
      <c r="O782" s="77" t="s">
        <v>179</v>
      </c>
      <c r="P782" s="79">
        <v>45133.836655092593</v>
      </c>
      <c r="Q782" s="77" t="s">
        <v>1633</v>
      </c>
      <c r="R782" s="77">
        <v>0</v>
      </c>
      <c r="S782" s="77">
        <v>0</v>
      </c>
      <c r="T782" s="77">
        <v>0</v>
      </c>
      <c r="U782" s="77">
        <v>0</v>
      </c>
      <c r="V782" s="77">
        <v>35</v>
      </c>
      <c r="W782" s="82" t="s">
        <v>5220</v>
      </c>
      <c r="X782" s="77"/>
      <c r="Y782" s="77"/>
      <c r="Z782" s="77"/>
      <c r="AA782" s="77" t="s">
        <v>7093</v>
      </c>
      <c r="AB782" s="77" t="s">
        <v>7747</v>
      </c>
      <c r="AC782" s="82" t="s">
        <v>7750</v>
      </c>
      <c r="AD782" s="77" t="s">
        <v>7788</v>
      </c>
      <c r="AE782" s="80" t="str">
        <f>HYPERLINK("https://twitter.com/projeto4ciclos/status/1684293708777242626")</f>
        <v>https://twitter.com/projeto4ciclos/status/1684293708777242626</v>
      </c>
      <c r="AF782" s="79">
        <v>45133.836655092593</v>
      </c>
      <c r="AG782" s="85">
        <v>45133</v>
      </c>
      <c r="AH782" s="82" t="s">
        <v>8499</v>
      </c>
      <c r="AI782" s="77" t="b">
        <v>0</v>
      </c>
      <c r="AJ782" s="77"/>
      <c r="AK782" s="77"/>
      <c r="AL782" s="77"/>
      <c r="AM782" s="77"/>
      <c r="AN782" s="77"/>
      <c r="AO782" s="77"/>
      <c r="AP782" s="77"/>
      <c r="AQ782" s="77" t="s">
        <v>11065</v>
      </c>
      <c r="AR782" s="77"/>
      <c r="AS782" s="77"/>
      <c r="AT782" s="77"/>
      <c r="AU782" s="77"/>
      <c r="AV782" s="80" t="str">
        <f>HYPERLINK("https://pbs.twimg.com/media/F1_QMPpX0AQF2Ug.jpg")</f>
        <v>https://pbs.twimg.com/media/F1_QMPpX0AQF2Ug.jpg</v>
      </c>
      <c r="AW782" s="82" t="s">
        <v>12475</v>
      </c>
      <c r="AX782" s="82" t="s">
        <v>12475</v>
      </c>
      <c r="AY782" s="77"/>
      <c r="AZ782" s="82" t="s">
        <v>15984</v>
      </c>
      <c r="BA782" s="82" t="s">
        <v>15984</v>
      </c>
      <c r="BB782" s="82" t="s">
        <v>15984</v>
      </c>
      <c r="BC782" s="82" t="s">
        <v>12475</v>
      </c>
      <c r="BD782" s="82" t="s">
        <v>16250</v>
      </c>
      <c r="BE782" s="77"/>
      <c r="BF782" s="77"/>
      <c r="BG782" s="77"/>
      <c r="BH782" s="77"/>
      <c r="BI782" s="77"/>
    </row>
    <row r="783" spans="1:61" x14ac:dyDescent="0.25">
      <c r="A783" s="62" t="s">
        <v>471</v>
      </c>
      <c r="B783" s="62" t="s">
        <v>471</v>
      </c>
      <c r="C783" s="63"/>
      <c r="D783" s="64"/>
      <c r="E783" s="65"/>
      <c r="F783" s="66"/>
      <c r="G783" s="63"/>
      <c r="H783" s="67"/>
      <c r="I783" s="68"/>
      <c r="J783" s="68"/>
      <c r="K783" s="32"/>
      <c r="L783" s="75">
        <v>783</v>
      </c>
      <c r="M783" s="75"/>
      <c r="N783" s="70"/>
      <c r="O783" s="77" t="s">
        <v>179</v>
      </c>
      <c r="P783" s="79">
        <v>45138.861527777779</v>
      </c>
      <c r="Q783" s="77" t="s">
        <v>1634</v>
      </c>
      <c r="R783" s="77">
        <v>0</v>
      </c>
      <c r="S783" s="77">
        <v>0</v>
      </c>
      <c r="T783" s="77">
        <v>0</v>
      </c>
      <c r="U783" s="77">
        <v>0</v>
      </c>
      <c r="V783" s="77">
        <v>84</v>
      </c>
      <c r="W783" s="82" t="s">
        <v>5220</v>
      </c>
      <c r="X783" s="77"/>
      <c r="Y783" s="77"/>
      <c r="Z783" s="77"/>
      <c r="AA783" s="77" t="s">
        <v>7094</v>
      </c>
      <c r="AB783" s="77" t="s">
        <v>7743</v>
      </c>
      <c r="AC783" s="82" t="s">
        <v>7750</v>
      </c>
      <c r="AD783" s="77" t="s">
        <v>7788</v>
      </c>
      <c r="AE783" s="80" t="str">
        <f>HYPERLINK("https://twitter.com/projeto4ciclos/status/1686114662960500736")</f>
        <v>https://twitter.com/projeto4ciclos/status/1686114662960500736</v>
      </c>
      <c r="AF783" s="79">
        <v>45138.861527777779</v>
      </c>
      <c r="AG783" s="85">
        <v>45138</v>
      </c>
      <c r="AH783" s="82" t="s">
        <v>8500</v>
      </c>
      <c r="AI783" s="77" t="b">
        <v>0</v>
      </c>
      <c r="AJ783" s="77"/>
      <c r="AK783" s="77"/>
      <c r="AL783" s="77"/>
      <c r="AM783" s="77"/>
      <c r="AN783" s="77"/>
      <c r="AO783" s="77"/>
      <c r="AP783" s="77"/>
      <c r="AQ783" s="77" t="s">
        <v>11066</v>
      </c>
      <c r="AR783" s="77">
        <v>35038</v>
      </c>
      <c r="AS783" s="77"/>
      <c r="AT783" s="77"/>
      <c r="AU783" s="77"/>
      <c r="AV783" s="80" t="str">
        <f>HYPERLINK("https://pbs.twimg.com/ext_tw_video_thumb/1686110436641398784/pu/img/9FgSeIffavSoJpE2.jpg")</f>
        <v>https://pbs.twimg.com/ext_tw_video_thumb/1686110436641398784/pu/img/9FgSeIffavSoJpE2.jpg</v>
      </c>
      <c r="AW783" s="82" t="s">
        <v>12476</v>
      </c>
      <c r="AX783" s="82" t="s">
        <v>12476</v>
      </c>
      <c r="AY783" s="77"/>
      <c r="AZ783" s="82" t="s">
        <v>15984</v>
      </c>
      <c r="BA783" s="82" t="s">
        <v>15984</v>
      </c>
      <c r="BB783" s="82" t="s">
        <v>15984</v>
      </c>
      <c r="BC783" s="82" t="s">
        <v>12476</v>
      </c>
      <c r="BD783" s="82" t="s">
        <v>16250</v>
      </c>
      <c r="BE783" s="77"/>
      <c r="BF783" s="77"/>
      <c r="BG783" s="77"/>
      <c r="BH783" s="77"/>
      <c r="BI783" s="77"/>
    </row>
    <row r="784" spans="1:61" x14ac:dyDescent="0.25">
      <c r="A784" s="62" t="s">
        <v>471</v>
      </c>
      <c r="B784" s="62" t="s">
        <v>471</v>
      </c>
      <c r="C784" s="63"/>
      <c r="D784" s="64"/>
      <c r="E784" s="65"/>
      <c r="F784" s="66"/>
      <c r="G784" s="63"/>
      <c r="H784" s="67"/>
      <c r="I784" s="68"/>
      <c r="J784" s="68"/>
      <c r="K784" s="32"/>
      <c r="L784" s="75">
        <v>784</v>
      </c>
      <c r="M784" s="75"/>
      <c r="N784" s="70"/>
      <c r="O784" s="77" t="s">
        <v>179</v>
      </c>
      <c r="P784" s="79">
        <v>45138.849745370368</v>
      </c>
      <c r="Q784" s="77" t="s">
        <v>1635</v>
      </c>
      <c r="R784" s="77">
        <v>0</v>
      </c>
      <c r="S784" s="77">
        <v>0</v>
      </c>
      <c r="T784" s="77">
        <v>0</v>
      </c>
      <c r="U784" s="77">
        <v>0</v>
      </c>
      <c r="V784" s="77">
        <v>37</v>
      </c>
      <c r="W784" s="82" t="s">
        <v>5220</v>
      </c>
      <c r="X784" s="77"/>
      <c r="Y784" s="77"/>
      <c r="Z784" s="77"/>
      <c r="AA784" s="77" t="s">
        <v>7095</v>
      </c>
      <c r="AB784" s="77" t="s">
        <v>7747</v>
      </c>
      <c r="AC784" s="82" t="s">
        <v>7750</v>
      </c>
      <c r="AD784" s="77" t="s">
        <v>7788</v>
      </c>
      <c r="AE784" s="80" t="str">
        <f>HYPERLINK("https://twitter.com/projeto4ciclos/status/1686110392680935425")</f>
        <v>https://twitter.com/projeto4ciclos/status/1686110392680935425</v>
      </c>
      <c r="AF784" s="79">
        <v>45138.849745370368</v>
      </c>
      <c r="AG784" s="85">
        <v>45138</v>
      </c>
      <c r="AH784" s="82" t="s">
        <v>8501</v>
      </c>
      <c r="AI784" s="77" t="b">
        <v>0</v>
      </c>
      <c r="AJ784" s="77"/>
      <c r="AK784" s="77"/>
      <c r="AL784" s="77"/>
      <c r="AM784" s="77"/>
      <c r="AN784" s="77"/>
      <c r="AO784" s="77"/>
      <c r="AP784" s="77"/>
      <c r="AQ784" s="77" t="s">
        <v>11067</v>
      </c>
      <c r="AR784" s="77"/>
      <c r="AS784" s="77"/>
      <c r="AT784" s="77"/>
      <c r="AU784" s="77"/>
      <c r="AV784" s="80" t="str">
        <f>HYPERLINK("https://pbs.twimg.com/media/F2ZEdJDXAAAfh0r.jpg")</f>
        <v>https://pbs.twimg.com/media/F2ZEdJDXAAAfh0r.jpg</v>
      </c>
      <c r="AW784" s="82" t="s">
        <v>12477</v>
      </c>
      <c r="AX784" s="82" t="s">
        <v>12477</v>
      </c>
      <c r="AY784" s="77"/>
      <c r="AZ784" s="82" t="s">
        <v>15984</v>
      </c>
      <c r="BA784" s="82" t="s">
        <v>15984</v>
      </c>
      <c r="BB784" s="82" t="s">
        <v>15984</v>
      </c>
      <c r="BC784" s="82" t="s">
        <v>12477</v>
      </c>
      <c r="BD784" s="82" t="s">
        <v>16250</v>
      </c>
      <c r="BE784" s="77"/>
      <c r="BF784" s="77"/>
      <c r="BG784" s="77"/>
      <c r="BH784" s="77"/>
      <c r="BI784" s="77"/>
    </row>
    <row r="785" spans="1:61" x14ac:dyDescent="0.25">
      <c r="A785" s="62" t="s">
        <v>471</v>
      </c>
      <c r="B785" s="62" t="s">
        <v>471</v>
      </c>
      <c r="C785" s="63"/>
      <c r="D785" s="64"/>
      <c r="E785" s="65"/>
      <c r="F785" s="66"/>
      <c r="G785" s="63"/>
      <c r="H785" s="67"/>
      <c r="I785" s="68"/>
      <c r="J785" s="68"/>
      <c r="K785" s="32"/>
      <c r="L785" s="75">
        <v>785</v>
      </c>
      <c r="M785" s="75"/>
      <c r="N785" s="70"/>
      <c r="O785" s="77" t="s">
        <v>179</v>
      </c>
      <c r="P785" s="79">
        <v>45119.870706018519</v>
      </c>
      <c r="Q785" s="77" t="s">
        <v>1636</v>
      </c>
      <c r="R785" s="77">
        <v>0</v>
      </c>
      <c r="S785" s="77">
        <v>0</v>
      </c>
      <c r="T785" s="77">
        <v>0</v>
      </c>
      <c r="U785" s="77">
        <v>0</v>
      </c>
      <c r="V785" s="77">
        <v>43</v>
      </c>
      <c r="W785" s="82" t="s">
        <v>5220</v>
      </c>
      <c r="X785" s="77"/>
      <c r="Y785" s="77"/>
      <c r="Z785" s="77"/>
      <c r="AA785" s="77" t="s">
        <v>7096</v>
      </c>
      <c r="AB785" s="77" t="s">
        <v>7743</v>
      </c>
      <c r="AC785" s="82" t="s">
        <v>7750</v>
      </c>
      <c r="AD785" s="77" t="s">
        <v>7788</v>
      </c>
      <c r="AE785" s="80" t="str">
        <f>HYPERLINK("https://twitter.com/projeto4ciclos/status/1679232620096307201")</f>
        <v>https://twitter.com/projeto4ciclos/status/1679232620096307201</v>
      </c>
      <c r="AF785" s="79">
        <v>45119.870706018519</v>
      </c>
      <c r="AG785" s="85">
        <v>45119</v>
      </c>
      <c r="AH785" s="82" t="s">
        <v>8502</v>
      </c>
      <c r="AI785" s="77" t="b">
        <v>0</v>
      </c>
      <c r="AJ785" s="77"/>
      <c r="AK785" s="77"/>
      <c r="AL785" s="77"/>
      <c r="AM785" s="77"/>
      <c r="AN785" s="77"/>
      <c r="AO785" s="77"/>
      <c r="AP785" s="77"/>
      <c r="AQ785" s="77" t="s">
        <v>11068</v>
      </c>
      <c r="AR785" s="77">
        <v>33680</v>
      </c>
      <c r="AS785" s="77"/>
      <c r="AT785" s="77"/>
      <c r="AU785" s="77"/>
      <c r="AV785" s="80" t="str">
        <f>HYPERLINK("https://pbs.twimg.com/ext_tw_video_thumb/1679232335819026433/pu/img/OZJz5TuI3Q1NBtfQ.jpg")</f>
        <v>https://pbs.twimg.com/ext_tw_video_thumb/1679232335819026433/pu/img/OZJz5TuI3Q1NBtfQ.jpg</v>
      </c>
      <c r="AW785" s="82" t="s">
        <v>12478</v>
      </c>
      <c r="AX785" s="82" t="s">
        <v>12478</v>
      </c>
      <c r="AY785" s="77"/>
      <c r="AZ785" s="82" t="s">
        <v>15984</v>
      </c>
      <c r="BA785" s="82" t="s">
        <v>15984</v>
      </c>
      <c r="BB785" s="82" t="s">
        <v>15984</v>
      </c>
      <c r="BC785" s="82" t="s">
        <v>12478</v>
      </c>
      <c r="BD785" s="82" t="s">
        <v>16250</v>
      </c>
      <c r="BE785" s="77"/>
      <c r="BF785" s="77"/>
      <c r="BG785" s="77"/>
      <c r="BH785" s="77"/>
      <c r="BI785" s="77"/>
    </row>
    <row r="786" spans="1:61" x14ac:dyDescent="0.25">
      <c r="A786" s="62" t="s">
        <v>471</v>
      </c>
      <c r="B786" s="62" t="s">
        <v>471</v>
      </c>
      <c r="C786" s="63"/>
      <c r="D786" s="64"/>
      <c r="E786" s="65"/>
      <c r="F786" s="66"/>
      <c r="G786" s="63"/>
      <c r="H786" s="67"/>
      <c r="I786" s="68"/>
      <c r="J786" s="68"/>
      <c r="K786" s="32"/>
      <c r="L786" s="75">
        <v>786</v>
      </c>
      <c r="M786" s="75"/>
      <c r="N786" s="70"/>
      <c r="O786" s="77" t="s">
        <v>179</v>
      </c>
      <c r="P786" s="79">
        <v>45119.86986111111</v>
      </c>
      <c r="Q786" s="77" t="s">
        <v>1637</v>
      </c>
      <c r="R786" s="77">
        <v>0</v>
      </c>
      <c r="S786" s="77">
        <v>1</v>
      </c>
      <c r="T786" s="77">
        <v>0</v>
      </c>
      <c r="U786" s="77">
        <v>0</v>
      </c>
      <c r="V786" s="77">
        <v>26</v>
      </c>
      <c r="W786" s="82" t="s">
        <v>5220</v>
      </c>
      <c r="X786" s="77"/>
      <c r="Y786" s="77"/>
      <c r="Z786" s="77"/>
      <c r="AA786" s="77" t="s">
        <v>7097</v>
      </c>
      <c r="AB786" s="77" t="s">
        <v>7747</v>
      </c>
      <c r="AC786" s="82" t="s">
        <v>7750</v>
      </c>
      <c r="AD786" s="77" t="s">
        <v>7788</v>
      </c>
      <c r="AE786" s="80" t="str">
        <f>HYPERLINK("https://twitter.com/projeto4ciclos/status/1679232311022297088")</f>
        <v>https://twitter.com/projeto4ciclos/status/1679232311022297088</v>
      </c>
      <c r="AF786" s="79">
        <v>45119.86986111111</v>
      </c>
      <c r="AG786" s="85">
        <v>45119</v>
      </c>
      <c r="AH786" s="82" t="s">
        <v>8503</v>
      </c>
      <c r="AI786" s="77" t="b">
        <v>0</v>
      </c>
      <c r="AJ786" s="77"/>
      <c r="AK786" s="77"/>
      <c r="AL786" s="77"/>
      <c r="AM786" s="77"/>
      <c r="AN786" s="77"/>
      <c r="AO786" s="77"/>
      <c r="AP786" s="77"/>
      <c r="AQ786" s="77" t="s">
        <v>11069</v>
      </c>
      <c r="AR786" s="77"/>
      <c r="AS786" s="77"/>
      <c r="AT786" s="77"/>
      <c r="AU786" s="77"/>
      <c r="AV786" s="80" t="str">
        <f>HYPERLINK("https://pbs.twimg.com/media/F03U2xnWAAIfACU.jpg")</f>
        <v>https://pbs.twimg.com/media/F03U2xnWAAIfACU.jpg</v>
      </c>
      <c r="AW786" s="82" t="s">
        <v>12479</v>
      </c>
      <c r="AX786" s="82" t="s">
        <v>12479</v>
      </c>
      <c r="AY786" s="77"/>
      <c r="AZ786" s="82" t="s">
        <v>15984</v>
      </c>
      <c r="BA786" s="82" t="s">
        <v>15984</v>
      </c>
      <c r="BB786" s="82" t="s">
        <v>15984</v>
      </c>
      <c r="BC786" s="82" t="s">
        <v>12479</v>
      </c>
      <c r="BD786" s="82" t="s">
        <v>16250</v>
      </c>
      <c r="BE786" s="77"/>
      <c r="BF786" s="77"/>
      <c r="BG786" s="77"/>
      <c r="BH786" s="77"/>
      <c r="BI786" s="77"/>
    </row>
    <row r="787" spans="1:61" x14ac:dyDescent="0.25">
      <c r="A787" s="62" t="s">
        <v>471</v>
      </c>
      <c r="B787" s="62" t="s">
        <v>471</v>
      </c>
      <c r="C787" s="63"/>
      <c r="D787" s="64"/>
      <c r="E787" s="65"/>
      <c r="F787" s="66"/>
      <c r="G787" s="63"/>
      <c r="H787" s="67"/>
      <c r="I787" s="68"/>
      <c r="J787" s="68"/>
      <c r="K787" s="32"/>
      <c r="L787" s="75">
        <v>787</v>
      </c>
      <c r="M787" s="75"/>
      <c r="N787" s="70"/>
      <c r="O787" s="77" t="s">
        <v>179</v>
      </c>
      <c r="P787" s="79">
        <v>45145.6952662037</v>
      </c>
      <c r="Q787" s="77" t="s">
        <v>1638</v>
      </c>
      <c r="R787" s="77">
        <v>0</v>
      </c>
      <c r="S787" s="77">
        <v>0</v>
      </c>
      <c r="T787" s="77">
        <v>1</v>
      </c>
      <c r="U787" s="77">
        <v>0</v>
      </c>
      <c r="V787" s="77">
        <v>45</v>
      </c>
      <c r="W787" s="82" t="s">
        <v>5221</v>
      </c>
      <c r="X787" s="77"/>
      <c r="Y787" s="77"/>
      <c r="Z787" s="77"/>
      <c r="AA787" s="77" t="s">
        <v>7098</v>
      </c>
      <c r="AB787" s="77" t="s">
        <v>7743</v>
      </c>
      <c r="AC787" s="82" t="s">
        <v>7750</v>
      </c>
      <c r="AD787" s="77" t="s">
        <v>7788</v>
      </c>
      <c r="AE787" s="80" t="str">
        <f>HYPERLINK("https://twitter.com/projeto4ciclos/status/1688591126213672961")</f>
        <v>https://twitter.com/projeto4ciclos/status/1688591126213672961</v>
      </c>
      <c r="AF787" s="79">
        <v>45145.6952662037</v>
      </c>
      <c r="AG787" s="85">
        <v>45145</v>
      </c>
      <c r="AH787" s="82" t="s">
        <v>8504</v>
      </c>
      <c r="AI787" s="77" t="b">
        <v>0</v>
      </c>
      <c r="AJ787" s="77"/>
      <c r="AK787" s="77"/>
      <c r="AL787" s="77"/>
      <c r="AM787" s="77"/>
      <c r="AN787" s="77"/>
      <c r="AO787" s="77"/>
      <c r="AP787" s="77"/>
      <c r="AQ787" s="77" t="s">
        <v>11070</v>
      </c>
      <c r="AR787" s="77">
        <v>44780</v>
      </c>
      <c r="AS787" s="77"/>
      <c r="AT787" s="77"/>
      <c r="AU787" s="77"/>
      <c r="AV787" s="80" t="str">
        <f>HYPERLINK("https://pbs.twimg.com/ext_tw_video_thumb/1688591083154948104/pu/img/w4Puq6PPU4B0SDS-.jpg")</f>
        <v>https://pbs.twimg.com/ext_tw_video_thumb/1688591083154948104/pu/img/w4Puq6PPU4B0SDS-.jpg</v>
      </c>
      <c r="AW787" s="82" t="s">
        <v>12480</v>
      </c>
      <c r="AX787" s="82" t="s">
        <v>12480</v>
      </c>
      <c r="AY787" s="77"/>
      <c r="AZ787" s="82" t="s">
        <v>15984</v>
      </c>
      <c r="BA787" s="82" t="s">
        <v>15984</v>
      </c>
      <c r="BB787" s="82" t="s">
        <v>15984</v>
      </c>
      <c r="BC787" s="82" t="s">
        <v>12480</v>
      </c>
      <c r="BD787" s="82" t="s">
        <v>16250</v>
      </c>
      <c r="BE787" s="77"/>
      <c r="BF787" s="77"/>
      <c r="BG787" s="77"/>
      <c r="BH787" s="77"/>
      <c r="BI787" s="77"/>
    </row>
    <row r="788" spans="1:61" x14ac:dyDescent="0.25">
      <c r="A788" s="62" t="s">
        <v>471</v>
      </c>
      <c r="B788" s="62" t="s">
        <v>471</v>
      </c>
      <c r="C788" s="63"/>
      <c r="D788" s="64"/>
      <c r="E788" s="65"/>
      <c r="F788" s="66"/>
      <c r="G788" s="63"/>
      <c r="H788" s="67"/>
      <c r="I788" s="68"/>
      <c r="J788" s="68"/>
      <c r="K788" s="32"/>
      <c r="L788" s="75">
        <v>788</v>
      </c>
      <c r="M788" s="75"/>
      <c r="N788" s="70"/>
      <c r="O788" s="77" t="s">
        <v>179</v>
      </c>
      <c r="P788" s="79">
        <v>45145.695081018515</v>
      </c>
      <c r="Q788" s="77" t="s">
        <v>1639</v>
      </c>
      <c r="R788" s="77">
        <v>0</v>
      </c>
      <c r="S788" s="77">
        <v>0</v>
      </c>
      <c r="T788" s="77">
        <v>1</v>
      </c>
      <c r="U788" s="77">
        <v>0</v>
      </c>
      <c r="V788" s="77">
        <v>29</v>
      </c>
      <c r="W788" s="82" t="s">
        <v>5221</v>
      </c>
      <c r="X788" s="77"/>
      <c r="Y788" s="77"/>
      <c r="Z788" s="77"/>
      <c r="AA788" s="77" t="s">
        <v>7099</v>
      </c>
      <c r="AB788" s="77" t="s">
        <v>7742</v>
      </c>
      <c r="AC788" s="82" t="s">
        <v>7750</v>
      </c>
      <c r="AD788" s="77" t="s">
        <v>7788</v>
      </c>
      <c r="AE788" s="80" t="str">
        <f>HYPERLINK("https://twitter.com/projeto4ciclos/status/1688591058559549458")</f>
        <v>https://twitter.com/projeto4ciclos/status/1688591058559549458</v>
      </c>
      <c r="AF788" s="79">
        <v>45145.695081018515</v>
      </c>
      <c r="AG788" s="85">
        <v>45145</v>
      </c>
      <c r="AH788" s="82" t="s">
        <v>8505</v>
      </c>
      <c r="AI788" s="77" t="b">
        <v>0</v>
      </c>
      <c r="AJ788" s="77"/>
      <c r="AK788" s="77"/>
      <c r="AL788" s="77"/>
      <c r="AM788" s="77"/>
      <c r="AN788" s="77"/>
      <c r="AO788" s="77"/>
      <c r="AP788" s="77"/>
      <c r="AQ788" s="77" t="s">
        <v>11071</v>
      </c>
      <c r="AR788" s="77"/>
      <c r="AS788" s="77"/>
      <c r="AT788" s="77"/>
      <c r="AU788" s="77"/>
      <c r="AV788" s="80" t="str">
        <f>HYPERLINK("https://pbs.twimg.com/media/F28UnXZXwAIaw8j.jpg")</f>
        <v>https://pbs.twimg.com/media/F28UnXZXwAIaw8j.jpg</v>
      </c>
      <c r="AW788" s="82" t="s">
        <v>12481</v>
      </c>
      <c r="AX788" s="82" t="s">
        <v>12481</v>
      </c>
      <c r="AY788" s="77"/>
      <c r="AZ788" s="82" t="s">
        <v>15984</v>
      </c>
      <c r="BA788" s="82" t="s">
        <v>15984</v>
      </c>
      <c r="BB788" s="82" t="s">
        <v>15984</v>
      </c>
      <c r="BC788" s="82" t="s">
        <v>12481</v>
      </c>
      <c r="BD788" s="82" t="s">
        <v>16250</v>
      </c>
      <c r="BE788" s="77"/>
      <c r="BF788" s="77"/>
      <c r="BG788" s="77"/>
      <c r="BH788" s="77"/>
      <c r="BI788" s="77"/>
    </row>
    <row r="789" spans="1:61" x14ac:dyDescent="0.25">
      <c r="A789" s="62" t="s">
        <v>471</v>
      </c>
      <c r="B789" s="62" t="s">
        <v>471</v>
      </c>
      <c r="C789" s="63"/>
      <c r="D789" s="64"/>
      <c r="E789" s="65"/>
      <c r="F789" s="66"/>
      <c r="G789" s="63"/>
      <c r="H789" s="67"/>
      <c r="I789" s="68"/>
      <c r="J789" s="68"/>
      <c r="K789" s="32"/>
      <c r="L789" s="75">
        <v>789</v>
      </c>
      <c r="M789" s="75"/>
      <c r="N789" s="70"/>
      <c r="O789" s="77" t="s">
        <v>179</v>
      </c>
      <c r="P789" s="79">
        <v>45149.665798611109</v>
      </c>
      <c r="Q789" s="77" t="s">
        <v>1640</v>
      </c>
      <c r="R789" s="77">
        <v>0</v>
      </c>
      <c r="S789" s="77">
        <v>0</v>
      </c>
      <c r="T789" s="77">
        <v>0</v>
      </c>
      <c r="U789" s="77">
        <v>0</v>
      </c>
      <c r="V789" s="77">
        <v>37</v>
      </c>
      <c r="W789" s="82" t="s">
        <v>5221</v>
      </c>
      <c r="X789" s="77"/>
      <c r="Y789" s="77"/>
      <c r="Z789" s="77"/>
      <c r="AA789" s="77" t="s">
        <v>7100</v>
      </c>
      <c r="AB789" s="77" t="s">
        <v>7743</v>
      </c>
      <c r="AC789" s="82" t="s">
        <v>7750</v>
      </c>
      <c r="AD789" s="77" t="s">
        <v>7788</v>
      </c>
      <c r="AE789" s="80" t="str">
        <f>HYPERLINK("https://twitter.com/projeto4ciclos/status/1690029996335669248")</f>
        <v>https://twitter.com/projeto4ciclos/status/1690029996335669248</v>
      </c>
      <c r="AF789" s="79">
        <v>45149.665798611109</v>
      </c>
      <c r="AG789" s="85">
        <v>45149</v>
      </c>
      <c r="AH789" s="82" t="s">
        <v>8506</v>
      </c>
      <c r="AI789" s="77" t="b">
        <v>0</v>
      </c>
      <c r="AJ789" s="77"/>
      <c r="AK789" s="77"/>
      <c r="AL789" s="77"/>
      <c r="AM789" s="77"/>
      <c r="AN789" s="77"/>
      <c r="AO789" s="77"/>
      <c r="AP789" s="77"/>
      <c r="AQ789" s="77" t="s">
        <v>11072</v>
      </c>
      <c r="AR789" s="77">
        <v>40767</v>
      </c>
      <c r="AS789" s="77"/>
      <c r="AT789" s="77"/>
      <c r="AU789" s="77"/>
      <c r="AV789" s="80" t="str">
        <f>HYPERLINK("https://pbs.twimg.com/ext_tw_video_thumb/1690029884263825409/pu/img/Bu0v3FxbhtQjqN0I.jpg")</f>
        <v>https://pbs.twimg.com/ext_tw_video_thumb/1690029884263825409/pu/img/Bu0v3FxbhtQjqN0I.jpg</v>
      </c>
      <c r="AW789" s="82" t="s">
        <v>12482</v>
      </c>
      <c r="AX789" s="82" t="s">
        <v>12482</v>
      </c>
      <c r="AY789" s="77"/>
      <c r="AZ789" s="82" t="s">
        <v>15984</v>
      </c>
      <c r="BA789" s="82" t="s">
        <v>15984</v>
      </c>
      <c r="BB789" s="82" t="s">
        <v>15984</v>
      </c>
      <c r="BC789" s="82" t="s">
        <v>12482</v>
      </c>
      <c r="BD789" s="82" t="s">
        <v>16250</v>
      </c>
      <c r="BE789" s="77"/>
      <c r="BF789" s="77"/>
      <c r="BG789" s="77"/>
      <c r="BH789" s="77"/>
      <c r="BI789" s="77"/>
    </row>
    <row r="790" spans="1:61" x14ac:dyDescent="0.25">
      <c r="A790" s="62" t="s">
        <v>471</v>
      </c>
      <c r="B790" s="62" t="s">
        <v>471</v>
      </c>
      <c r="C790" s="63"/>
      <c r="D790" s="64"/>
      <c r="E790" s="65"/>
      <c r="F790" s="66"/>
      <c r="G790" s="63"/>
      <c r="H790" s="67"/>
      <c r="I790" s="68"/>
      <c r="J790" s="68"/>
      <c r="K790" s="32"/>
      <c r="L790" s="75">
        <v>790</v>
      </c>
      <c r="M790" s="75"/>
      <c r="N790" s="70"/>
      <c r="O790" s="77" t="s">
        <v>179</v>
      </c>
      <c r="P790" s="79">
        <v>45149.665324074071</v>
      </c>
      <c r="Q790" s="77" t="s">
        <v>1641</v>
      </c>
      <c r="R790" s="77">
        <v>0</v>
      </c>
      <c r="S790" s="77">
        <v>0</v>
      </c>
      <c r="T790" s="77">
        <v>0</v>
      </c>
      <c r="U790" s="77">
        <v>0</v>
      </c>
      <c r="V790" s="77">
        <v>33</v>
      </c>
      <c r="W790" s="82" t="s">
        <v>5221</v>
      </c>
      <c r="X790" s="77"/>
      <c r="Y790" s="77"/>
      <c r="Z790" s="77"/>
      <c r="AA790" s="77" t="s">
        <v>7101</v>
      </c>
      <c r="AB790" s="77" t="s">
        <v>7742</v>
      </c>
      <c r="AC790" s="82" t="s">
        <v>7750</v>
      </c>
      <c r="AD790" s="77" t="s">
        <v>7788</v>
      </c>
      <c r="AE790" s="80" t="str">
        <f>HYPERLINK("https://twitter.com/projeto4ciclos/status/1690029824927023104")</f>
        <v>https://twitter.com/projeto4ciclos/status/1690029824927023104</v>
      </c>
      <c r="AF790" s="79">
        <v>45149.665324074071</v>
      </c>
      <c r="AG790" s="85">
        <v>45149</v>
      </c>
      <c r="AH790" s="82" t="s">
        <v>8507</v>
      </c>
      <c r="AI790" s="77" t="b">
        <v>0</v>
      </c>
      <c r="AJ790" s="77"/>
      <c r="AK790" s="77"/>
      <c r="AL790" s="77"/>
      <c r="AM790" s="77"/>
      <c r="AN790" s="77"/>
      <c r="AO790" s="77"/>
      <c r="AP790" s="77"/>
      <c r="AQ790" s="77" t="s">
        <v>11073</v>
      </c>
      <c r="AR790" s="77"/>
      <c r="AS790" s="77"/>
      <c r="AT790" s="77"/>
      <c r="AU790" s="77"/>
      <c r="AV790" s="80" t="str">
        <f>HYPERLINK("https://pbs.twimg.com/media/F3QxAJKWoAEKWHE.jpg")</f>
        <v>https://pbs.twimg.com/media/F3QxAJKWoAEKWHE.jpg</v>
      </c>
      <c r="AW790" s="82" t="s">
        <v>12483</v>
      </c>
      <c r="AX790" s="82" t="s">
        <v>12483</v>
      </c>
      <c r="AY790" s="77"/>
      <c r="AZ790" s="82" t="s">
        <v>15984</v>
      </c>
      <c r="BA790" s="82" t="s">
        <v>15984</v>
      </c>
      <c r="BB790" s="82" t="s">
        <v>15984</v>
      </c>
      <c r="BC790" s="82" t="s">
        <v>12483</v>
      </c>
      <c r="BD790" s="82" t="s">
        <v>16250</v>
      </c>
      <c r="BE790" s="77"/>
      <c r="BF790" s="77"/>
      <c r="BG790" s="77"/>
      <c r="BH790" s="77"/>
      <c r="BI790" s="77"/>
    </row>
    <row r="791" spans="1:61" x14ac:dyDescent="0.25">
      <c r="A791" s="62" t="s">
        <v>471</v>
      </c>
      <c r="B791" s="62" t="s">
        <v>471</v>
      </c>
      <c r="C791" s="63"/>
      <c r="D791" s="64"/>
      <c r="E791" s="65"/>
      <c r="F791" s="66"/>
      <c r="G791" s="63"/>
      <c r="H791" s="67"/>
      <c r="I791" s="68"/>
      <c r="J791" s="68"/>
      <c r="K791" s="32"/>
      <c r="L791" s="75">
        <v>791</v>
      </c>
      <c r="M791" s="75"/>
      <c r="N791" s="70"/>
      <c r="O791" s="77" t="s">
        <v>179</v>
      </c>
      <c r="P791" s="79">
        <v>45131.882268518515</v>
      </c>
      <c r="Q791" s="77" t="s">
        <v>1642</v>
      </c>
      <c r="R791" s="77">
        <v>0</v>
      </c>
      <c r="S791" s="77">
        <v>1</v>
      </c>
      <c r="T791" s="77">
        <v>0</v>
      </c>
      <c r="U791" s="77">
        <v>0</v>
      </c>
      <c r="V791" s="77">
        <v>90</v>
      </c>
      <c r="W791" s="82" t="s">
        <v>5220</v>
      </c>
      <c r="X791" s="77"/>
      <c r="Y791" s="77"/>
      <c r="Z791" s="77"/>
      <c r="AA791" s="77" t="s">
        <v>7102</v>
      </c>
      <c r="AB791" s="77" t="s">
        <v>7743</v>
      </c>
      <c r="AC791" s="82" t="s">
        <v>7750</v>
      </c>
      <c r="AD791" s="77" t="s">
        <v>7788</v>
      </c>
      <c r="AE791" s="80" t="str">
        <f>HYPERLINK("https://twitter.com/projeto4ciclos/status/1683585462131122177")</f>
        <v>https://twitter.com/projeto4ciclos/status/1683585462131122177</v>
      </c>
      <c r="AF791" s="79">
        <v>45131.882268518515</v>
      </c>
      <c r="AG791" s="85">
        <v>45131</v>
      </c>
      <c r="AH791" s="82" t="s">
        <v>8508</v>
      </c>
      <c r="AI791" s="77" t="b">
        <v>0</v>
      </c>
      <c r="AJ791" s="77"/>
      <c r="AK791" s="77"/>
      <c r="AL791" s="77"/>
      <c r="AM791" s="77"/>
      <c r="AN791" s="77"/>
      <c r="AO791" s="77"/>
      <c r="AP791" s="77"/>
      <c r="AQ791" s="77" t="s">
        <v>11074</v>
      </c>
      <c r="AR791" s="77">
        <v>35541</v>
      </c>
      <c r="AS791" s="77"/>
      <c r="AT791" s="77"/>
      <c r="AU791" s="77"/>
      <c r="AV791" s="80" t="str">
        <f>HYPERLINK("https://pbs.twimg.com/ext_tw_video_thumb/1683585416153243650/pu/img/l_TIZYVKIk6u0aWO.jpg")</f>
        <v>https://pbs.twimg.com/ext_tw_video_thumb/1683585416153243650/pu/img/l_TIZYVKIk6u0aWO.jpg</v>
      </c>
      <c r="AW791" s="82" t="s">
        <v>12484</v>
      </c>
      <c r="AX791" s="82" t="s">
        <v>12484</v>
      </c>
      <c r="AY791" s="77"/>
      <c r="AZ791" s="82" t="s">
        <v>15984</v>
      </c>
      <c r="BA791" s="82" t="s">
        <v>15984</v>
      </c>
      <c r="BB791" s="82" t="s">
        <v>15984</v>
      </c>
      <c r="BC791" s="82" t="s">
        <v>12484</v>
      </c>
      <c r="BD791" s="82" t="s">
        <v>16250</v>
      </c>
      <c r="BE791" s="77"/>
      <c r="BF791" s="77"/>
      <c r="BG791" s="77"/>
      <c r="BH791" s="77"/>
      <c r="BI791" s="77"/>
    </row>
    <row r="792" spans="1:61" x14ac:dyDescent="0.25">
      <c r="A792" s="62" t="s">
        <v>471</v>
      </c>
      <c r="B792" s="62" t="s">
        <v>471</v>
      </c>
      <c r="C792" s="63"/>
      <c r="D792" s="64"/>
      <c r="E792" s="65"/>
      <c r="F792" s="66"/>
      <c r="G792" s="63"/>
      <c r="H792" s="67"/>
      <c r="I792" s="68"/>
      <c r="J792" s="68"/>
      <c r="K792" s="32"/>
      <c r="L792" s="75">
        <v>792</v>
      </c>
      <c r="M792" s="75"/>
      <c r="N792" s="70"/>
      <c r="O792" s="77" t="s">
        <v>179</v>
      </c>
      <c r="P792" s="79">
        <v>45131.881979166668</v>
      </c>
      <c r="Q792" s="77" t="s">
        <v>1643</v>
      </c>
      <c r="R792" s="77">
        <v>0</v>
      </c>
      <c r="S792" s="77">
        <v>1</v>
      </c>
      <c r="T792" s="77">
        <v>0</v>
      </c>
      <c r="U792" s="77">
        <v>0</v>
      </c>
      <c r="V792" s="77">
        <v>35</v>
      </c>
      <c r="W792" s="82" t="s">
        <v>5220</v>
      </c>
      <c r="X792" s="77"/>
      <c r="Y792" s="77"/>
      <c r="Z792" s="77"/>
      <c r="AA792" s="77" t="s">
        <v>7103</v>
      </c>
      <c r="AB792" s="77" t="s">
        <v>7747</v>
      </c>
      <c r="AC792" s="82" t="s">
        <v>7750</v>
      </c>
      <c r="AD792" s="77" t="s">
        <v>7788</v>
      </c>
      <c r="AE792" s="80" t="str">
        <f>HYPERLINK("https://twitter.com/projeto4ciclos/status/1683585356510162944")</f>
        <v>https://twitter.com/projeto4ciclos/status/1683585356510162944</v>
      </c>
      <c r="AF792" s="79">
        <v>45131.881979166668</v>
      </c>
      <c r="AG792" s="85">
        <v>45131</v>
      </c>
      <c r="AH792" s="82" t="s">
        <v>8509</v>
      </c>
      <c r="AI792" s="77" t="b">
        <v>0</v>
      </c>
      <c r="AJ792" s="77"/>
      <c r="AK792" s="77"/>
      <c r="AL792" s="77"/>
      <c r="AM792" s="77"/>
      <c r="AN792" s="77"/>
      <c r="AO792" s="77"/>
      <c r="AP792" s="77"/>
      <c r="AQ792" s="77" t="s">
        <v>11075</v>
      </c>
      <c r="AR792" s="77"/>
      <c r="AS792" s="77"/>
      <c r="AT792" s="77"/>
      <c r="AU792" s="77"/>
      <c r="AV792" s="80" t="str">
        <f>HYPERLINK("https://pbs.twimg.com/media/F11L5adWcAEyDy7.jpg")</f>
        <v>https://pbs.twimg.com/media/F11L5adWcAEyDy7.jpg</v>
      </c>
      <c r="AW792" s="82" t="s">
        <v>12485</v>
      </c>
      <c r="AX792" s="82" t="s">
        <v>12485</v>
      </c>
      <c r="AY792" s="77"/>
      <c r="AZ792" s="82" t="s">
        <v>15984</v>
      </c>
      <c r="BA792" s="82" t="s">
        <v>15984</v>
      </c>
      <c r="BB792" s="82" t="s">
        <v>15984</v>
      </c>
      <c r="BC792" s="82" t="s">
        <v>12485</v>
      </c>
      <c r="BD792" s="82" t="s">
        <v>16250</v>
      </c>
      <c r="BE792" s="77"/>
      <c r="BF792" s="77"/>
      <c r="BG792" s="77"/>
      <c r="BH792" s="77"/>
      <c r="BI792" s="77"/>
    </row>
    <row r="793" spans="1:61" x14ac:dyDescent="0.25">
      <c r="A793" s="62" t="s">
        <v>471</v>
      </c>
      <c r="B793" s="62" t="s">
        <v>471</v>
      </c>
      <c r="C793" s="63"/>
      <c r="D793" s="64"/>
      <c r="E793" s="65"/>
      <c r="F793" s="66"/>
      <c r="G793" s="63"/>
      <c r="H793" s="67"/>
      <c r="I793" s="68"/>
      <c r="J793" s="68"/>
      <c r="K793" s="32"/>
      <c r="L793" s="75">
        <v>793</v>
      </c>
      <c r="M793" s="75"/>
      <c r="N793" s="70"/>
      <c r="O793" s="77" t="s">
        <v>179</v>
      </c>
      <c r="P793" s="79">
        <v>45153.877881944441</v>
      </c>
      <c r="Q793" s="77" t="s">
        <v>1644</v>
      </c>
      <c r="R793" s="77">
        <v>0</v>
      </c>
      <c r="S793" s="77">
        <v>0</v>
      </c>
      <c r="T793" s="77">
        <v>0</v>
      </c>
      <c r="U793" s="77">
        <v>0</v>
      </c>
      <c r="V793" s="77">
        <v>33</v>
      </c>
      <c r="W793" s="82" t="s">
        <v>5221</v>
      </c>
      <c r="X793" s="77"/>
      <c r="Y793" s="77"/>
      <c r="Z793" s="77"/>
      <c r="AA793" s="77" t="s">
        <v>7104</v>
      </c>
      <c r="AB793" s="77" t="s">
        <v>7743</v>
      </c>
      <c r="AC793" s="82" t="s">
        <v>7750</v>
      </c>
      <c r="AD793" s="77" t="s">
        <v>7788</v>
      </c>
      <c r="AE793" s="80" t="str">
        <f>HYPERLINK("https://twitter.com/projeto4ciclos/status/1691556405336064064")</f>
        <v>https://twitter.com/projeto4ciclos/status/1691556405336064064</v>
      </c>
      <c r="AF793" s="79">
        <v>45153.877881944441</v>
      </c>
      <c r="AG793" s="85">
        <v>45153</v>
      </c>
      <c r="AH793" s="82" t="s">
        <v>8510</v>
      </c>
      <c r="AI793" s="77" t="b">
        <v>0</v>
      </c>
      <c r="AJ793" s="77"/>
      <c r="AK793" s="77"/>
      <c r="AL793" s="77"/>
      <c r="AM793" s="77"/>
      <c r="AN793" s="77"/>
      <c r="AO793" s="77"/>
      <c r="AP793" s="77"/>
      <c r="AQ793" s="77" t="s">
        <v>11076</v>
      </c>
      <c r="AR793" s="77">
        <v>47950</v>
      </c>
      <c r="AS793" s="77"/>
      <c r="AT793" s="77"/>
      <c r="AU793" s="77"/>
      <c r="AV793" s="80" t="str">
        <f>HYPERLINK("https://pbs.twimg.com/ext_tw_video_thumb/1691555014097973248/pu/img/3IcrfnlDvwsMK8oV.jpg")</f>
        <v>https://pbs.twimg.com/ext_tw_video_thumb/1691555014097973248/pu/img/3IcrfnlDvwsMK8oV.jpg</v>
      </c>
      <c r="AW793" s="82" t="s">
        <v>12486</v>
      </c>
      <c r="AX793" s="82" t="s">
        <v>12486</v>
      </c>
      <c r="AY793" s="77"/>
      <c r="AZ793" s="82" t="s">
        <v>15984</v>
      </c>
      <c r="BA793" s="82" t="s">
        <v>15984</v>
      </c>
      <c r="BB793" s="82" t="s">
        <v>15984</v>
      </c>
      <c r="BC793" s="82" t="s">
        <v>12486</v>
      </c>
      <c r="BD793" s="82" t="s">
        <v>16250</v>
      </c>
      <c r="BE793" s="77"/>
      <c r="BF793" s="77"/>
      <c r="BG793" s="77"/>
      <c r="BH793" s="77"/>
      <c r="BI793" s="77"/>
    </row>
    <row r="794" spans="1:61" x14ac:dyDescent="0.25">
      <c r="A794" s="62" t="s">
        <v>471</v>
      </c>
      <c r="B794" s="62" t="s">
        <v>471</v>
      </c>
      <c r="C794" s="63"/>
      <c r="D794" s="64"/>
      <c r="E794" s="65"/>
      <c r="F794" s="66"/>
      <c r="G794" s="63"/>
      <c r="H794" s="67"/>
      <c r="I794" s="68"/>
      <c r="J794" s="68"/>
      <c r="K794" s="32"/>
      <c r="L794" s="75">
        <v>794</v>
      </c>
      <c r="M794" s="75"/>
      <c r="N794" s="70"/>
      <c r="O794" s="77" t="s">
        <v>179</v>
      </c>
      <c r="P794" s="79">
        <v>45153.87395833333</v>
      </c>
      <c r="Q794" s="77" t="s">
        <v>1645</v>
      </c>
      <c r="R794" s="77">
        <v>0</v>
      </c>
      <c r="S794" s="77">
        <v>0</v>
      </c>
      <c r="T794" s="77">
        <v>0</v>
      </c>
      <c r="U794" s="77">
        <v>0</v>
      </c>
      <c r="V794" s="77">
        <v>28</v>
      </c>
      <c r="W794" s="82" t="s">
        <v>5221</v>
      </c>
      <c r="X794" s="77"/>
      <c r="Y794" s="77"/>
      <c r="Z794" s="77"/>
      <c r="AA794" s="77" t="s">
        <v>7105</v>
      </c>
      <c r="AB794" s="77" t="s">
        <v>7742</v>
      </c>
      <c r="AC794" s="82" t="s">
        <v>7750</v>
      </c>
      <c r="AD794" s="77" t="s">
        <v>7788</v>
      </c>
      <c r="AE794" s="80" t="str">
        <f>HYPERLINK("https://twitter.com/projeto4ciclos/status/1691554983962112182")</f>
        <v>https://twitter.com/projeto4ciclos/status/1691554983962112182</v>
      </c>
      <c r="AF794" s="79">
        <v>45153.87395833333</v>
      </c>
      <c r="AG794" s="85">
        <v>45153</v>
      </c>
      <c r="AH794" s="82" t="s">
        <v>8511</v>
      </c>
      <c r="AI794" s="77" t="b">
        <v>0</v>
      </c>
      <c r="AJ794" s="77"/>
      <c r="AK794" s="77"/>
      <c r="AL794" s="77"/>
      <c r="AM794" s="77"/>
      <c r="AN794" s="77"/>
      <c r="AO794" s="77"/>
      <c r="AP794" s="77"/>
      <c r="AQ794" s="77" t="s">
        <v>11077</v>
      </c>
      <c r="AR794" s="77"/>
      <c r="AS794" s="77"/>
      <c r="AT794" s="77"/>
      <c r="AU794" s="77"/>
      <c r="AV794" s="80" t="str">
        <f>HYPERLINK("https://pbs.twimg.com/media/F3mcShtXIAEzPA3.jpg")</f>
        <v>https://pbs.twimg.com/media/F3mcShtXIAEzPA3.jpg</v>
      </c>
      <c r="AW794" s="82" t="s">
        <v>12487</v>
      </c>
      <c r="AX794" s="82" t="s">
        <v>12487</v>
      </c>
      <c r="AY794" s="77"/>
      <c r="AZ794" s="82" t="s">
        <v>15984</v>
      </c>
      <c r="BA794" s="82" t="s">
        <v>15984</v>
      </c>
      <c r="BB794" s="82" t="s">
        <v>15984</v>
      </c>
      <c r="BC794" s="82" t="s">
        <v>12487</v>
      </c>
      <c r="BD794" s="82" t="s">
        <v>16250</v>
      </c>
      <c r="BE794" s="77"/>
      <c r="BF794" s="77"/>
      <c r="BG794" s="77"/>
      <c r="BH794" s="77"/>
      <c r="BI794" s="77"/>
    </row>
    <row r="795" spans="1:61" x14ac:dyDescent="0.25">
      <c r="A795" s="62" t="s">
        <v>472</v>
      </c>
      <c r="B795" s="62" t="s">
        <v>472</v>
      </c>
      <c r="C795" s="63"/>
      <c r="D795" s="64"/>
      <c r="E795" s="65"/>
      <c r="F795" s="66"/>
      <c r="G795" s="63"/>
      <c r="H795" s="67"/>
      <c r="I795" s="68"/>
      <c r="J795" s="68"/>
      <c r="K795" s="32"/>
      <c r="L795" s="75">
        <v>795</v>
      </c>
      <c r="M795" s="75"/>
      <c r="N795" s="70"/>
      <c r="O795" s="77" t="s">
        <v>179</v>
      </c>
      <c r="P795" s="79">
        <v>45193.346377314818</v>
      </c>
      <c r="Q795" s="77" t="s">
        <v>1014</v>
      </c>
      <c r="R795" s="77">
        <v>0</v>
      </c>
      <c r="S795" s="77">
        <v>0</v>
      </c>
      <c r="T795" s="77">
        <v>0</v>
      </c>
      <c r="U795" s="77">
        <v>0</v>
      </c>
      <c r="V795" s="77">
        <v>21</v>
      </c>
      <c r="W795" s="82" t="s">
        <v>4849</v>
      </c>
      <c r="X795" s="77"/>
      <c r="Y795" s="77"/>
      <c r="Z795" s="77"/>
      <c r="AA795" s="77"/>
      <c r="AB795" s="77"/>
      <c r="AC795" s="82" t="s">
        <v>7750</v>
      </c>
      <c r="AD795" s="77" t="s">
        <v>7789</v>
      </c>
      <c r="AE795" s="80" t="str">
        <f>HYPERLINK("https://twitter.com/positivetrades1/status/1705859308359999634")</f>
        <v>https://twitter.com/positivetrades1/status/1705859308359999634</v>
      </c>
      <c r="AF795" s="79">
        <v>45193.346377314818</v>
      </c>
      <c r="AG795" s="85">
        <v>45193</v>
      </c>
      <c r="AH795" s="82" t="s">
        <v>8512</v>
      </c>
      <c r="AI795" s="77"/>
      <c r="AJ795" s="77"/>
      <c r="AK795" s="77"/>
      <c r="AL795" s="77"/>
      <c r="AM795" s="77"/>
      <c r="AN795" s="77"/>
      <c r="AO795" s="77"/>
      <c r="AP795" s="77"/>
      <c r="AQ795" s="77"/>
      <c r="AR795" s="77"/>
      <c r="AS795" s="77"/>
      <c r="AT795" s="77"/>
      <c r="AU795" s="77"/>
      <c r="AV795" s="80" t="str">
        <f>HYPERLINK("https://pbs.twimg.com/profile_images/1699838613029011456/kGjHQPJr_normal.jpg")</f>
        <v>https://pbs.twimg.com/profile_images/1699838613029011456/kGjHQPJr_normal.jpg</v>
      </c>
      <c r="AW795" s="82" t="s">
        <v>12488</v>
      </c>
      <c r="AX795" s="82" t="s">
        <v>12488</v>
      </c>
      <c r="AY795" s="77"/>
      <c r="AZ795" s="82" t="s">
        <v>15984</v>
      </c>
      <c r="BA795" s="82" t="s">
        <v>15984</v>
      </c>
      <c r="BB795" s="82" t="s">
        <v>15984</v>
      </c>
      <c r="BC795" s="82" t="s">
        <v>12488</v>
      </c>
      <c r="BD795" s="82" t="s">
        <v>16251</v>
      </c>
      <c r="BE795" s="77"/>
      <c r="BF795" s="77"/>
      <c r="BG795" s="77"/>
      <c r="BH795" s="77"/>
      <c r="BI795" s="77"/>
    </row>
    <row r="796" spans="1:61" x14ac:dyDescent="0.25">
      <c r="A796" s="62" t="s">
        <v>473</v>
      </c>
      <c r="B796" s="62" t="s">
        <v>799</v>
      </c>
      <c r="C796" s="63"/>
      <c r="D796" s="64"/>
      <c r="E796" s="65"/>
      <c r="F796" s="66"/>
      <c r="G796" s="63"/>
      <c r="H796" s="67"/>
      <c r="I796" s="68"/>
      <c r="J796" s="68"/>
      <c r="K796" s="32"/>
      <c r="L796" s="75">
        <v>796</v>
      </c>
      <c r="M796" s="75"/>
      <c r="N796" s="70"/>
      <c r="O796" s="77" t="s">
        <v>895</v>
      </c>
      <c r="P796" s="79">
        <v>45152.625034722223</v>
      </c>
      <c r="Q796" s="77" t="s">
        <v>1646</v>
      </c>
      <c r="R796" s="77">
        <v>32</v>
      </c>
      <c r="S796" s="77">
        <v>176</v>
      </c>
      <c r="T796" s="77">
        <v>275</v>
      </c>
      <c r="U796" s="77">
        <v>16</v>
      </c>
      <c r="V796" s="77">
        <v>36786</v>
      </c>
      <c r="W796" s="82" t="s">
        <v>5222</v>
      </c>
      <c r="X796" s="77"/>
      <c r="Y796" s="77"/>
      <c r="Z796" s="77" t="s">
        <v>6575</v>
      </c>
      <c r="AA796" s="77" t="s">
        <v>7106</v>
      </c>
      <c r="AB796" s="77" t="s">
        <v>7742</v>
      </c>
      <c r="AC796" s="82" t="s">
        <v>7750</v>
      </c>
      <c r="AD796" s="77" t="s">
        <v>7797</v>
      </c>
      <c r="AE796" s="80" t="str">
        <f>HYPERLINK("https://twitter.com/bmf_bund/status/1691102388701007872")</f>
        <v>https://twitter.com/bmf_bund/status/1691102388701007872</v>
      </c>
      <c r="AF796" s="79">
        <v>45152.625034722223</v>
      </c>
      <c r="AG796" s="85">
        <v>45152</v>
      </c>
      <c r="AH796" s="82" t="s">
        <v>7854</v>
      </c>
      <c r="AI796" s="77" t="b">
        <v>0</v>
      </c>
      <c r="AJ796" s="77"/>
      <c r="AK796" s="77"/>
      <c r="AL796" s="77"/>
      <c r="AM796" s="77"/>
      <c r="AN796" s="77"/>
      <c r="AO796" s="77"/>
      <c r="AP796" s="77"/>
      <c r="AQ796" s="77" t="s">
        <v>11078</v>
      </c>
      <c r="AR796" s="77"/>
      <c r="AS796" s="77"/>
      <c r="AT796" s="77"/>
      <c r="AU796" s="77"/>
      <c r="AV796" s="80" t="str">
        <f>HYPERLINK("https://pbs.twimg.com/media/F3f__C8WIAAd7gh.jpg")</f>
        <v>https://pbs.twimg.com/media/F3f__C8WIAAd7gh.jpg</v>
      </c>
      <c r="AW796" s="82" t="s">
        <v>12489</v>
      </c>
      <c r="AX796" s="82" t="s">
        <v>12489</v>
      </c>
      <c r="AY796" s="77"/>
      <c r="AZ796" s="82" t="s">
        <v>15984</v>
      </c>
      <c r="BA796" s="82" t="s">
        <v>15984</v>
      </c>
      <c r="BB796" s="82" t="s">
        <v>15984</v>
      </c>
      <c r="BC796" s="82" t="s">
        <v>12489</v>
      </c>
      <c r="BD796" s="77">
        <v>459092531</v>
      </c>
      <c r="BE796" s="77"/>
      <c r="BF796" s="77"/>
      <c r="BG796" s="77"/>
      <c r="BH796" s="77"/>
      <c r="BI796" s="77"/>
    </row>
    <row r="797" spans="1:61" x14ac:dyDescent="0.25">
      <c r="A797" s="62" t="s">
        <v>474</v>
      </c>
      <c r="B797" s="62" t="s">
        <v>799</v>
      </c>
      <c r="C797" s="63"/>
      <c r="D797" s="64"/>
      <c r="E797" s="65"/>
      <c r="F797" s="66"/>
      <c r="G797" s="63"/>
      <c r="H797" s="67"/>
      <c r="I797" s="68"/>
      <c r="J797" s="68"/>
      <c r="K797" s="32"/>
      <c r="L797" s="75">
        <v>797</v>
      </c>
      <c r="M797" s="75"/>
      <c r="N797" s="70"/>
      <c r="O797" s="77" t="s">
        <v>902</v>
      </c>
      <c r="P797" s="79">
        <v>45153.28701388889</v>
      </c>
      <c r="Q797" s="77" t="s">
        <v>1647</v>
      </c>
      <c r="R797" s="77">
        <v>0</v>
      </c>
      <c r="S797" s="77">
        <v>1</v>
      </c>
      <c r="T797" s="77">
        <v>0</v>
      </c>
      <c r="U797" s="77">
        <v>0</v>
      </c>
      <c r="V797" s="77">
        <v>382</v>
      </c>
      <c r="W797" s="82" t="s">
        <v>5223</v>
      </c>
      <c r="X797" s="77"/>
      <c r="Y797" s="77"/>
      <c r="Z797" s="77" t="s">
        <v>6575</v>
      </c>
      <c r="AA797" s="77"/>
      <c r="AB797" s="77"/>
      <c r="AC797" s="82" t="s">
        <v>7752</v>
      </c>
      <c r="AD797" s="77" t="s">
        <v>7790</v>
      </c>
      <c r="AE797" s="80" t="str">
        <f>HYPERLINK("https://twitter.com/alemaniadiplo/status/1691342282056667136")</f>
        <v>https://twitter.com/alemaniadiplo/status/1691342282056667136</v>
      </c>
      <c r="AF797" s="79">
        <v>45153.28701388889</v>
      </c>
      <c r="AG797" s="85">
        <v>45153</v>
      </c>
      <c r="AH797" s="82" t="s">
        <v>8513</v>
      </c>
      <c r="AI797" s="77"/>
      <c r="AJ797" s="77"/>
      <c r="AK797" s="77"/>
      <c r="AL797" s="77"/>
      <c r="AM797" s="77"/>
      <c r="AN797" s="77"/>
      <c r="AO797" s="77"/>
      <c r="AP797" s="77"/>
      <c r="AQ797" s="77"/>
      <c r="AR797" s="77"/>
      <c r="AS797" s="77"/>
      <c r="AT797" s="77"/>
      <c r="AU797" s="77"/>
      <c r="AV797" s="80" t="str">
        <f>HYPERLINK("https://pbs.twimg.com/profile_images/1564613979309330433/511hzevA_normal.jpg")</f>
        <v>https://pbs.twimg.com/profile_images/1564613979309330433/511hzevA_normal.jpg</v>
      </c>
      <c r="AW797" s="82" t="s">
        <v>12490</v>
      </c>
      <c r="AX797" s="82" t="s">
        <v>12490</v>
      </c>
      <c r="AY797" s="77"/>
      <c r="AZ797" s="82" t="s">
        <v>15984</v>
      </c>
      <c r="BA797" s="82" t="s">
        <v>12489</v>
      </c>
      <c r="BB797" s="82" t="s">
        <v>15984</v>
      </c>
      <c r="BC797" s="82" t="s">
        <v>12489</v>
      </c>
      <c r="BD797" s="82" t="s">
        <v>16252</v>
      </c>
      <c r="BE797" s="77"/>
      <c r="BF797" s="77"/>
      <c r="BG797" s="77"/>
      <c r="BH797" s="77"/>
      <c r="BI797" s="77"/>
    </row>
    <row r="798" spans="1:61" x14ac:dyDescent="0.25">
      <c r="A798" s="62" t="s">
        <v>473</v>
      </c>
      <c r="B798" s="62" t="s">
        <v>800</v>
      </c>
      <c r="C798" s="63"/>
      <c r="D798" s="64"/>
      <c r="E798" s="65"/>
      <c r="F798" s="66"/>
      <c r="G798" s="63"/>
      <c r="H798" s="67"/>
      <c r="I798" s="68"/>
      <c r="J798" s="68"/>
      <c r="K798" s="32"/>
      <c r="L798" s="75">
        <v>798</v>
      </c>
      <c r="M798" s="75"/>
      <c r="N798" s="70"/>
      <c r="O798" s="77" t="s">
        <v>895</v>
      </c>
      <c r="P798" s="79">
        <v>45152.625034722223</v>
      </c>
      <c r="Q798" s="77" t="s">
        <v>1646</v>
      </c>
      <c r="R798" s="77">
        <v>32</v>
      </c>
      <c r="S798" s="77">
        <v>176</v>
      </c>
      <c r="T798" s="77">
        <v>275</v>
      </c>
      <c r="U798" s="77">
        <v>16</v>
      </c>
      <c r="V798" s="77">
        <v>36786</v>
      </c>
      <c r="W798" s="82" t="s">
        <v>5222</v>
      </c>
      <c r="X798" s="77"/>
      <c r="Y798" s="77"/>
      <c r="Z798" s="77" t="s">
        <v>6575</v>
      </c>
      <c r="AA798" s="77" t="s">
        <v>7106</v>
      </c>
      <c r="AB798" s="77" t="s">
        <v>7742</v>
      </c>
      <c r="AC798" s="82" t="s">
        <v>7750</v>
      </c>
      <c r="AD798" s="77" t="s">
        <v>7797</v>
      </c>
      <c r="AE798" s="80" t="str">
        <f>HYPERLINK("https://twitter.com/bmf_bund/status/1691102388701007872")</f>
        <v>https://twitter.com/bmf_bund/status/1691102388701007872</v>
      </c>
      <c r="AF798" s="79">
        <v>45152.625034722223</v>
      </c>
      <c r="AG798" s="85">
        <v>45152</v>
      </c>
      <c r="AH798" s="82" t="s">
        <v>7854</v>
      </c>
      <c r="AI798" s="77" t="b">
        <v>0</v>
      </c>
      <c r="AJ798" s="77"/>
      <c r="AK798" s="77"/>
      <c r="AL798" s="77"/>
      <c r="AM798" s="77"/>
      <c r="AN798" s="77"/>
      <c r="AO798" s="77"/>
      <c r="AP798" s="77"/>
      <c r="AQ798" s="77" t="s">
        <v>11078</v>
      </c>
      <c r="AR798" s="77"/>
      <c r="AS798" s="77"/>
      <c r="AT798" s="77"/>
      <c r="AU798" s="77"/>
      <c r="AV798" s="80" t="str">
        <f>HYPERLINK("https://pbs.twimg.com/media/F3f__C8WIAAd7gh.jpg")</f>
        <v>https://pbs.twimg.com/media/F3f__C8WIAAd7gh.jpg</v>
      </c>
      <c r="AW798" s="82" t="s">
        <v>12489</v>
      </c>
      <c r="AX798" s="82" t="s">
        <v>12489</v>
      </c>
      <c r="AY798" s="77"/>
      <c r="AZ798" s="82" t="s">
        <v>15984</v>
      </c>
      <c r="BA798" s="82" t="s">
        <v>15984</v>
      </c>
      <c r="BB798" s="82" t="s">
        <v>15984</v>
      </c>
      <c r="BC798" s="82" t="s">
        <v>12489</v>
      </c>
      <c r="BD798" s="77">
        <v>459092531</v>
      </c>
      <c r="BE798" s="77"/>
      <c r="BF798" s="77"/>
      <c r="BG798" s="77"/>
      <c r="BH798" s="77"/>
      <c r="BI798" s="77"/>
    </row>
    <row r="799" spans="1:61" x14ac:dyDescent="0.25">
      <c r="A799" s="62" t="s">
        <v>474</v>
      </c>
      <c r="B799" s="62" t="s">
        <v>800</v>
      </c>
      <c r="C799" s="63"/>
      <c r="D799" s="64"/>
      <c r="E799" s="65"/>
      <c r="F799" s="66"/>
      <c r="G799" s="63"/>
      <c r="H799" s="67"/>
      <c r="I799" s="68"/>
      <c r="J799" s="68"/>
      <c r="K799" s="32"/>
      <c r="L799" s="75">
        <v>799</v>
      </c>
      <c r="M799" s="75"/>
      <c r="N799" s="70"/>
      <c r="O799" s="77" t="s">
        <v>902</v>
      </c>
      <c r="P799" s="79">
        <v>45153.28701388889</v>
      </c>
      <c r="Q799" s="77" t="s">
        <v>1647</v>
      </c>
      <c r="R799" s="77">
        <v>0</v>
      </c>
      <c r="S799" s="77">
        <v>1</v>
      </c>
      <c r="T799" s="77">
        <v>0</v>
      </c>
      <c r="U799" s="77">
        <v>0</v>
      </c>
      <c r="V799" s="77">
        <v>382</v>
      </c>
      <c r="W799" s="82" t="s">
        <v>5223</v>
      </c>
      <c r="X799" s="77"/>
      <c r="Y799" s="77"/>
      <c r="Z799" s="77" t="s">
        <v>6575</v>
      </c>
      <c r="AA799" s="77"/>
      <c r="AB799" s="77"/>
      <c r="AC799" s="82" t="s">
        <v>7752</v>
      </c>
      <c r="AD799" s="77" t="s">
        <v>7790</v>
      </c>
      <c r="AE799" s="80" t="str">
        <f>HYPERLINK("https://twitter.com/alemaniadiplo/status/1691342282056667136")</f>
        <v>https://twitter.com/alemaniadiplo/status/1691342282056667136</v>
      </c>
      <c r="AF799" s="79">
        <v>45153.28701388889</v>
      </c>
      <c r="AG799" s="85">
        <v>45153</v>
      </c>
      <c r="AH799" s="82" t="s">
        <v>8513</v>
      </c>
      <c r="AI799" s="77"/>
      <c r="AJ799" s="77"/>
      <c r="AK799" s="77"/>
      <c r="AL799" s="77"/>
      <c r="AM799" s="77"/>
      <c r="AN799" s="77"/>
      <c r="AO799" s="77"/>
      <c r="AP799" s="77"/>
      <c r="AQ799" s="77"/>
      <c r="AR799" s="77"/>
      <c r="AS799" s="77"/>
      <c r="AT799" s="77"/>
      <c r="AU799" s="77"/>
      <c r="AV799" s="80" t="str">
        <f>HYPERLINK("https://pbs.twimg.com/profile_images/1564613979309330433/511hzevA_normal.jpg")</f>
        <v>https://pbs.twimg.com/profile_images/1564613979309330433/511hzevA_normal.jpg</v>
      </c>
      <c r="AW799" s="82" t="s">
        <v>12490</v>
      </c>
      <c r="AX799" s="82" t="s">
        <v>12490</v>
      </c>
      <c r="AY799" s="77"/>
      <c r="AZ799" s="82" t="s">
        <v>15984</v>
      </c>
      <c r="BA799" s="82" t="s">
        <v>12489</v>
      </c>
      <c r="BB799" s="82" t="s">
        <v>15984</v>
      </c>
      <c r="BC799" s="82" t="s">
        <v>12489</v>
      </c>
      <c r="BD799" s="82" t="s">
        <v>16252</v>
      </c>
      <c r="BE799" s="77"/>
      <c r="BF799" s="77"/>
      <c r="BG799" s="77"/>
      <c r="BH799" s="77"/>
      <c r="BI799" s="77"/>
    </row>
    <row r="800" spans="1:61" x14ac:dyDescent="0.25">
      <c r="A800" s="62" t="s">
        <v>474</v>
      </c>
      <c r="B800" s="62" t="s">
        <v>473</v>
      </c>
      <c r="C800" s="63"/>
      <c r="D800" s="64"/>
      <c r="E800" s="65"/>
      <c r="F800" s="66"/>
      <c r="G800" s="63"/>
      <c r="H800" s="67"/>
      <c r="I800" s="68"/>
      <c r="J800" s="68"/>
      <c r="K800" s="32"/>
      <c r="L800" s="75">
        <v>800</v>
      </c>
      <c r="M800" s="75"/>
      <c r="N800" s="70"/>
      <c r="O800" s="77" t="s">
        <v>896</v>
      </c>
      <c r="P800" s="79">
        <v>45153.28701388889</v>
      </c>
      <c r="Q800" s="77" t="s">
        <v>1647</v>
      </c>
      <c r="R800" s="77">
        <v>0</v>
      </c>
      <c r="S800" s="77">
        <v>1</v>
      </c>
      <c r="T800" s="77">
        <v>0</v>
      </c>
      <c r="U800" s="77">
        <v>0</v>
      </c>
      <c r="V800" s="77">
        <v>382</v>
      </c>
      <c r="W800" s="82" t="s">
        <v>5223</v>
      </c>
      <c r="X800" s="77"/>
      <c r="Y800" s="77"/>
      <c r="Z800" s="77" t="s">
        <v>6575</v>
      </c>
      <c r="AA800" s="77"/>
      <c r="AB800" s="77"/>
      <c r="AC800" s="82" t="s">
        <v>7752</v>
      </c>
      <c r="AD800" s="77" t="s">
        <v>7790</v>
      </c>
      <c r="AE800" s="80" t="str">
        <f>HYPERLINK("https://twitter.com/alemaniadiplo/status/1691342282056667136")</f>
        <v>https://twitter.com/alemaniadiplo/status/1691342282056667136</v>
      </c>
      <c r="AF800" s="79">
        <v>45153.28701388889</v>
      </c>
      <c r="AG800" s="85">
        <v>45153</v>
      </c>
      <c r="AH800" s="82" t="s">
        <v>8513</v>
      </c>
      <c r="AI800" s="77"/>
      <c r="AJ800" s="77"/>
      <c r="AK800" s="77"/>
      <c r="AL800" s="77"/>
      <c r="AM800" s="77"/>
      <c r="AN800" s="77"/>
      <c r="AO800" s="77"/>
      <c r="AP800" s="77"/>
      <c r="AQ800" s="77"/>
      <c r="AR800" s="77"/>
      <c r="AS800" s="77"/>
      <c r="AT800" s="77"/>
      <c r="AU800" s="77"/>
      <c r="AV800" s="80" t="str">
        <f>HYPERLINK("https://pbs.twimg.com/profile_images/1564613979309330433/511hzevA_normal.jpg")</f>
        <v>https://pbs.twimg.com/profile_images/1564613979309330433/511hzevA_normal.jpg</v>
      </c>
      <c r="AW800" s="82" t="s">
        <v>12490</v>
      </c>
      <c r="AX800" s="82" t="s">
        <v>12490</v>
      </c>
      <c r="AY800" s="77"/>
      <c r="AZ800" s="82" t="s">
        <v>15984</v>
      </c>
      <c r="BA800" s="82" t="s">
        <v>12489</v>
      </c>
      <c r="BB800" s="82" t="s">
        <v>15984</v>
      </c>
      <c r="BC800" s="82" t="s">
        <v>12489</v>
      </c>
      <c r="BD800" s="82" t="s">
        <v>16252</v>
      </c>
      <c r="BE800" s="77"/>
      <c r="BF800" s="77"/>
      <c r="BG800" s="77"/>
      <c r="BH800" s="77"/>
      <c r="BI800" s="77"/>
    </row>
    <row r="801" spans="1:61" x14ac:dyDescent="0.25">
      <c r="A801" s="62" t="s">
        <v>475</v>
      </c>
      <c r="B801" s="62" t="s">
        <v>475</v>
      </c>
      <c r="C801" s="63"/>
      <c r="D801" s="64"/>
      <c r="E801" s="65"/>
      <c r="F801" s="66"/>
      <c r="G801" s="63"/>
      <c r="H801" s="67"/>
      <c r="I801" s="68"/>
      <c r="J801" s="68"/>
      <c r="K801" s="32"/>
      <c r="L801" s="75">
        <v>801</v>
      </c>
      <c r="M801" s="75"/>
      <c r="N801" s="70"/>
      <c r="O801" s="77" t="s">
        <v>179</v>
      </c>
      <c r="P801" s="79">
        <v>45187.5625</v>
      </c>
      <c r="Q801" s="77" t="s">
        <v>918</v>
      </c>
      <c r="R801" s="77">
        <v>0</v>
      </c>
      <c r="S801" s="77">
        <v>0</v>
      </c>
      <c r="T801" s="77">
        <v>0</v>
      </c>
      <c r="U801" s="77">
        <v>0</v>
      </c>
      <c r="V801" s="77">
        <v>15</v>
      </c>
      <c r="W801" s="82" t="s">
        <v>4815</v>
      </c>
      <c r="X801" s="77"/>
      <c r="Y801" s="77"/>
      <c r="Z801" s="77"/>
      <c r="AA801" s="77"/>
      <c r="AB801" s="77"/>
      <c r="AC801" s="82" t="s">
        <v>7750</v>
      </c>
      <c r="AD801" s="77" t="s">
        <v>7789</v>
      </c>
      <c r="AE801" s="80" t="str">
        <f>HYPERLINK("https://twitter.com/strongmindinv/status/1703763302952665593")</f>
        <v>https://twitter.com/strongmindinv/status/1703763302952665593</v>
      </c>
      <c r="AF801" s="79">
        <v>45187.5625</v>
      </c>
      <c r="AG801" s="85">
        <v>45187</v>
      </c>
      <c r="AH801" s="82" t="s">
        <v>7922</v>
      </c>
      <c r="AI801" s="77"/>
      <c r="AJ801" s="77"/>
      <c r="AK801" s="77"/>
      <c r="AL801" s="77"/>
      <c r="AM801" s="77"/>
      <c r="AN801" s="77"/>
      <c r="AO801" s="77"/>
      <c r="AP801" s="77"/>
      <c r="AQ801" s="77"/>
      <c r="AR801" s="77"/>
      <c r="AS801" s="77"/>
      <c r="AT801" s="77"/>
      <c r="AU801" s="77"/>
      <c r="AV801" s="80" t="str">
        <f>HYPERLINK("https://pbs.twimg.com/profile_images/1699367788282867712/rMTau9Mn_normal.jpg")</f>
        <v>https://pbs.twimg.com/profile_images/1699367788282867712/rMTau9Mn_normal.jpg</v>
      </c>
      <c r="AW801" s="82" t="s">
        <v>12491</v>
      </c>
      <c r="AX801" s="82" t="s">
        <v>12491</v>
      </c>
      <c r="AY801" s="77"/>
      <c r="AZ801" s="82" t="s">
        <v>15984</v>
      </c>
      <c r="BA801" s="82" t="s">
        <v>15984</v>
      </c>
      <c r="BB801" s="82" t="s">
        <v>15984</v>
      </c>
      <c r="BC801" s="82" t="s">
        <v>12491</v>
      </c>
      <c r="BD801" s="82" t="s">
        <v>16253</v>
      </c>
      <c r="BE801" s="77"/>
      <c r="BF801" s="77"/>
      <c r="BG801" s="77"/>
      <c r="BH801" s="77"/>
      <c r="BI801" s="77"/>
    </row>
    <row r="802" spans="1:61" x14ac:dyDescent="0.25">
      <c r="A802" s="62" t="s">
        <v>476</v>
      </c>
      <c r="B802" s="62" t="s">
        <v>801</v>
      </c>
      <c r="C802" s="63"/>
      <c r="D802" s="64"/>
      <c r="E802" s="65"/>
      <c r="F802" s="66"/>
      <c r="G802" s="63"/>
      <c r="H802" s="67"/>
      <c r="I802" s="68"/>
      <c r="J802" s="68"/>
      <c r="K802" s="32"/>
      <c r="L802" s="75">
        <v>802</v>
      </c>
      <c r="M802" s="75"/>
      <c r="N802" s="70"/>
      <c r="O802" s="77" t="s">
        <v>895</v>
      </c>
      <c r="P802" s="79">
        <v>45183.75</v>
      </c>
      <c r="Q802" s="77" t="s">
        <v>1648</v>
      </c>
      <c r="R802" s="77">
        <v>0</v>
      </c>
      <c r="S802" s="77">
        <v>0</v>
      </c>
      <c r="T802" s="77">
        <v>0</v>
      </c>
      <c r="U802" s="77">
        <v>0</v>
      </c>
      <c r="V802" s="77">
        <v>562</v>
      </c>
      <c r="W802" s="82" t="s">
        <v>5224</v>
      </c>
      <c r="X802" s="77"/>
      <c r="Y802" s="77"/>
      <c r="Z802" s="77" t="s">
        <v>6576</v>
      </c>
      <c r="AA802" s="77"/>
      <c r="AB802" s="77"/>
      <c r="AC802" s="82" t="s">
        <v>7767</v>
      </c>
      <c r="AD802" s="77" t="s">
        <v>7790</v>
      </c>
      <c r="AE802" s="80" t="str">
        <f>HYPERLINK("https://twitter.com/semanaeconomica/status/1702381699664060781")</f>
        <v>https://twitter.com/semanaeconomica/status/1702381699664060781</v>
      </c>
      <c r="AF802" s="79">
        <v>45183.75</v>
      </c>
      <c r="AG802" s="85">
        <v>45183</v>
      </c>
      <c r="AH802" s="82" t="s">
        <v>7934</v>
      </c>
      <c r="AI802" s="77" t="b">
        <v>0</v>
      </c>
      <c r="AJ802" s="77"/>
      <c r="AK802" s="77"/>
      <c r="AL802" s="77"/>
      <c r="AM802" s="77"/>
      <c r="AN802" s="77"/>
      <c r="AO802" s="77"/>
      <c r="AP802" s="77"/>
      <c r="AQ802" s="77"/>
      <c r="AR802" s="77"/>
      <c r="AS802" s="77"/>
      <c r="AT802" s="77"/>
      <c r="AU802" s="77"/>
      <c r="AV802" s="80" t="str">
        <f>HYPERLINK("https://pbs.twimg.com/profile_images/1451698454737178627/75TjUx8G_normal.jpg")</f>
        <v>https://pbs.twimg.com/profile_images/1451698454737178627/75TjUx8G_normal.jpg</v>
      </c>
      <c r="AW802" s="82" t="s">
        <v>12492</v>
      </c>
      <c r="AX802" s="82" t="s">
        <v>12492</v>
      </c>
      <c r="AY802" s="77"/>
      <c r="AZ802" s="82" t="s">
        <v>15984</v>
      </c>
      <c r="BA802" s="82" t="s">
        <v>15984</v>
      </c>
      <c r="BB802" s="82" t="s">
        <v>15984</v>
      </c>
      <c r="BC802" s="82" t="s">
        <v>12492</v>
      </c>
      <c r="BD802" s="77">
        <v>26797063</v>
      </c>
      <c r="BE802" s="77"/>
      <c r="BF802" s="77"/>
      <c r="BG802" s="77"/>
      <c r="BH802" s="77"/>
      <c r="BI802" s="77"/>
    </row>
    <row r="803" spans="1:61" x14ac:dyDescent="0.25">
      <c r="A803" s="62" t="s">
        <v>476</v>
      </c>
      <c r="B803" s="62" t="s">
        <v>802</v>
      </c>
      <c r="C803" s="63"/>
      <c r="D803" s="64"/>
      <c r="E803" s="65"/>
      <c r="F803" s="66"/>
      <c r="G803" s="63"/>
      <c r="H803" s="67"/>
      <c r="I803" s="68"/>
      <c r="J803" s="68"/>
      <c r="K803" s="32"/>
      <c r="L803" s="75">
        <v>803</v>
      </c>
      <c r="M803" s="75"/>
      <c r="N803" s="70"/>
      <c r="O803" s="77" t="s">
        <v>895</v>
      </c>
      <c r="P803" s="79">
        <v>45183.75</v>
      </c>
      <c r="Q803" s="77" t="s">
        <v>1648</v>
      </c>
      <c r="R803" s="77">
        <v>0</v>
      </c>
      <c r="S803" s="77">
        <v>0</v>
      </c>
      <c r="T803" s="77">
        <v>0</v>
      </c>
      <c r="U803" s="77">
        <v>0</v>
      </c>
      <c r="V803" s="77">
        <v>562</v>
      </c>
      <c r="W803" s="82" t="s">
        <v>5224</v>
      </c>
      <c r="X803" s="77"/>
      <c r="Y803" s="77"/>
      <c r="Z803" s="77" t="s">
        <v>6576</v>
      </c>
      <c r="AA803" s="77"/>
      <c r="AB803" s="77"/>
      <c r="AC803" s="82" t="s">
        <v>7767</v>
      </c>
      <c r="AD803" s="77" t="s">
        <v>7790</v>
      </c>
      <c r="AE803" s="80" t="str">
        <f>HYPERLINK("https://twitter.com/semanaeconomica/status/1702381699664060781")</f>
        <v>https://twitter.com/semanaeconomica/status/1702381699664060781</v>
      </c>
      <c r="AF803" s="79">
        <v>45183.75</v>
      </c>
      <c r="AG803" s="85">
        <v>45183</v>
      </c>
      <c r="AH803" s="82" t="s">
        <v>7934</v>
      </c>
      <c r="AI803" s="77" t="b">
        <v>0</v>
      </c>
      <c r="AJ803" s="77"/>
      <c r="AK803" s="77"/>
      <c r="AL803" s="77"/>
      <c r="AM803" s="77"/>
      <c r="AN803" s="77"/>
      <c r="AO803" s="77"/>
      <c r="AP803" s="77"/>
      <c r="AQ803" s="77"/>
      <c r="AR803" s="77"/>
      <c r="AS803" s="77"/>
      <c r="AT803" s="77"/>
      <c r="AU803" s="77"/>
      <c r="AV803" s="80" t="str">
        <f>HYPERLINK("https://pbs.twimg.com/profile_images/1451698454737178627/75TjUx8G_normal.jpg")</f>
        <v>https://pbs.twimg.com/profile_images/1451698454737178627/75TjUx8G_normal.jpg</v>
      </c>
      <c r="AW803" s="82" t="s">
        <v>12492</v>
      </c>
      <c r="AX803" s="82" t="s">
        <v>12492</v>
      </c>
      <c r="AY803" s="77"/>
      <c r="AZ803" s="82" t="s">
        <v>15984</v>
      </c>
      <c r="BA803" s="82" t="s">
        <v>15984</v>
      </c>
      <c r="BB803" s="82" t="s">
        <v>15984</v>
      </c>
      <c r="BC803" s="82" t="s">
        <v>12492</v>
      </c>
      <c r="BD803" s="77">
        <v>26797063</v>
      </c>
      <c r="BE803" s="77"/>
      <c r="BF803" s="77"/>
      <c r="BG803" s="77"/>
      <c r="BH803" s="77"/>
      <c r="BI803" s="77"/>
    </row>
    <row r="804" spans="1:61" x14ac:dyDescent="0.25">
      <c r="A804" s="62" t="s">
        <v>476</v>
      </c>
      <c r="B804" s="62" t="s">
        <v>476</v>
      </c>
      <c r="C804" s="63"/>
      <c r="D804" s="64"/>
      <c r="E804" s="65"/>
      <c r="F804" s="66"/>
      <c r="G804" s="63"/>
      <c r="H804" s="67"/>
      <c r="I804" s="68"/>
      <c r="J804" s="68"/>
      <c r="K804" s="32"/>
      <c r="L804" s="75">
        <v>804</v>
      </c>
      <c r="M804" s="75"/>
      <c r="N804" s="70"/>
      <c r="O804" s="77" t="s">
        <v>179</v>
      </c>
      <c r="P804" s="79">
        <v>45133.57236111111</v>
      </c>
      <c r="Q804" s="77" t="s">
        <v>1649</v>
      </c>
      <c r="R804" s="77">
        <v>0</v>
      </c>
      <c r="S804" s="77">
        <v>1</v>
      </c>
      <c r="T804" s="77">
        <v>0</v>
      </c>
      <c r="U804" s="77">
        <v>0</v>
      </c>
      <c r="V804" s="77">
        <v>856</v>
      </c>
      <c r="W804" s="82" t="s">
        <v>5225</v>
      </c>
      <c r="X804" s="80" t="str">
        <f>HYPERLINK("https://semanaeconomica.com/economia-finanzas/macroeconomia/china-nuevo-riesgo-para-la-economia")</f>
        <v>https://semanaeconomica.com/economia-finanzas/macroeconomia/china-nuevo-riesgo-para-la-economia</v>
      </c>
      <c r="Y804" s="77" t="s">
        <v>6527</v>
      </c>
      <c r="Z804" s="77"/>
      <c r="AA804" s="77"/>
      <c r="AB804" s="77"/>
      <c r="AC804" s="82" t="s">
        <v>7750</v>
      </c>
      <c r="AD804" s="77" t="s">
        <v>7790</v>
      </c>
      <c r="AE804" s="80" t="str">
        <f>HYPERLINK("https://twitter.com/semanaeconomica/status/1684197930113069064")</f>
        <v>https://twitter.com/semanaeconomica/status/1684197930113069064</v>
      </c>
      <c r="AF804" s="79">
        <v>45133.57236111111</v>
      </c>
      <c r="AG804" s="85">
        <v>45133</v>
      </c>
      <c r="AH804" s="82" t="s">
        <v>8514</v>
      </c>
      <c r="AI804" s="77" t="b">
        <v>0</v>
      </c>
      <c r="AJ804" s="77"/>
      <c r="AK804" s="77"/>
      <c r="AL804" s="77"/>
      <c r="AM804" s="77"/>
      <c r="AN804" s="77"/>
      <c r="AO804" s="77"/>
      <c r="AP804" s="77"/>
      <c r="AQ804" s="77"/>
      <c r="AR804" s="77"/>
      <c r="AS804" s="77"/>
      <c r="AT804" s="77"/>
      <c r="AU804" s="77"/>
      <c r="AV804" s="80" t="str">
        <f>HYPERLINK("https://pbs.twimg.com/profile_images/1451698454737178627/75TjUx8G_normal.jpg")</f>
        <v>https://pbs.twimg.com/profile_images/1451698454737178627/75TjUx8G_normal.jpg</v>
      </c>
      <c r="AW804" s="82" t="s">
        <v>12493</v>
      </c>
      <c r="AX804" s="82" t="s">
        <v>12493</v>
      </c>
      <c r="AY804" s="77"/>
      <c r="AZ804" s="82" t="s">
        <v>15984</v>
      </c>
      <c r="BA804" s="82" t="s">
        <v>15984</v>
      </c>
      <c r="BB804" s="82" t="s">
        <v>15984</v>
      </c>
      <c r="BC804" s="82" t="s">
        <v>12493</v>
      </c>
      <c r="BD804" s="77">
        <v>26797063</v>
      </c>
      <c r="BE804" s="77"/>
      <c r="BF804" s="77"/>
      <c r="BG804" s="77"/>
      <c r="BH804" s="77"/>
      <c r="BI804" s="77"/>
    </row>
    <row r="805" spans="1:61" x14ac:dyDescent="0.25">
      <c r="A805" s="62" t="s">
        <v>477</v>
      </c>
      <c r="B805" s="62" t="s">
        <v>477</v>
      </c>
      <c r="C805" s="63"/>
      <c r="D805" s="64"/>
      <c r="E805" s="65"/>
      <c r="F805" s="66"/>
      <c r="G805" s="63"/>
      <c r="H805" s="67"/>
      <c r="I805" s="68"/>
      <c r="J805" s="68"/>
      <c r="K805" s="32"/>
      <c r="L805" s="75">
        <v>805</v>
      </c>
      <c r="M805" s="75"/>
      <c r="N805" s="70"/>
      <c r="O805" s="77" t="s">
        <v>898</v>
      </c>
      <c r="P805" s="79">
        <v>45121.588437500002</v>
      </c>
      <c r="Q805" s="77" t="s">
        <v>1650</v>
      </c>
      <c r="R805" s="77">
        <v>0</v>
      </c>
      <c r="S805" s="77">
        <v>0</v>
      </c>
      <c r="T805" s="77">
        <v>0</v>
      </c>
      <c r="U805" s="77">
        <v>0</v>
      </c>
      <c r="V805" s="77">
        <v>40</v>
      </c>
      <c r="W805" s="82" t="s">
        <v>5226</v>
      </c>
      <c r="X805" s="77"/>
      <c r="Y805" s="77"/>
      <c r="Z805" s="77"/>
      <c r="AA805" s="77"/>
      <c r="AB805" s="77"/>
      <c r="AC805" s="82" t="s">
        <v>7750</v>
      </c>
      <c r="AD805" s="77" t="s">
        <v>7788</v>
      </c>
      <c r="AE805" s="80" t="str">
        <f>HYPERLINK("https://twitter.com/liqibr/status/1679855102490816513")</f>
        <v>https://twitter.com/liqibr/status/1679855102490816513</v>
      </c>
      <c r="AF805" s="79">
        <v>45121.588437500002</v>
      </c>
      <c r="AG805" s="85">
        <v>45121</v>
      </c>
      <c r="AH805" s="82" t="s">
        <v>8515</v>
      </c>
      <c r="AI805" s="77"/>
      <c r="AJ805" s="77"/>
      <c r="AK805" s="77"/>
      <c r="AL805" s="77"/>
      <c r="AM805" s="77"/>
      <c r="AN805" s="77"/>
      <c r="AO805" s="77"/>
      <c r="AP805" s="77"/>
      <c r="AQ805" s="77"/>
      <c r="AR805" s="77"/>
      <c r="AS805" s="77"/>
      <c r="AT805" s="77"/>
      <c r="AU805" s="77"/>
      <c r="AV805" s="80" t="str">
        <f>HYPERLINK("https://pbs.twimg.com/profile_images/1635367126222401552/tFAFJbdA_normal.jpg")</f>
        <v>https://pbs.twimg.com/profile_images/1635367126222401552/tFAFJbdA_normal.jpg</v>
      </c>
      <c r="AW805" s="82" t="s">
        <v>12494</v>
      </c>
      <c r="AX805" s="82" t="s">
        <v>15803</v>
      </c>
      <c r="AY805" s="82" t="s">
        <v>15948</v>
      </c>
      <c r="AZ805" s="82" t="s">
        <v>16024</v>
      </c>
      <c r="BA805" s="82" t="s">
        <v>15984</v>
      </c>
      <c r="BB805" s="82" t="s">
        <v>15984</v>
      </c>
      <c r="BC805" s="82" t="s">
        <v>16024</v>
      </c>
      <c r="BD805" s="82" t="s">
        <v>15948</v>
      </c>
      <c r="BE805" s="77"/>
      <c r="BF805" s="77"/>
      <c r="BG805" s="77"/>
      <c r="BH805" s="77"/>
      <c r="BI805" s="77"/>
    </row>
    <row r="806" spans="1:61" x14ac:dyDescent="0.25">
      <c r="A806" s="62" t="s">
        <v>477</v>
      </c>
      <c r="B806" s="62" t="s">
        <v>477</v>
      </c>
      <c r="C806" s="63"/>
      <c r="D806" s="64"/>
      <c r="E806" s="65"/>
      <c r="F806" s="66"/>
      <c r="G806" s="63"/>
      <c r="H806" s="67"/>
      <c r="I806" s="68"/>
      <c r="J806" s="68"/>
      <c r="K806" s="32"/>
      <c r="L806" s="75">
        <v>806</v>
      </c>
      <c r="M806" s="75"/>
      <c r="N806" s="70"/>
      <c r="O806" s="77" t="s">
        <v>179</v>
      </c>
      <c r="P806" s="79">
        <v>45145.592870370368</v>
      </c>
      <c r="Q806" s="77" t="s">
        <v>1651</v>
      </c>
      <c r="R806" s="77">
        <v>0</v>
      </c>
      <c r="S806" s="77">
        <v>0</v>
      </c>
      <c r="T806" s="77">
        <v>2</v>
      </c>
      <c r="U806" s="77">
        <v>0</v>
      </c>
      <c r="V806" s="77">
        <v>26</v>
      </c>
      <c r="W806" s="82" t="s">
        <v>5227</v>
      </c>
      <c r="X806" s="77"/>
      <c r="Y806" s="77"/>
      <c r="Z806" s="77"/>
      <c r="AA806" s="77" t="s">
        <v>7107</v>
      </c>
      <c r="AB806" s="77" t="s">
        <v>7743</v>
      </c>
      <c r="AC806" s="82" t="s">
        <v>7750</v>
      </c>
      <c r="AD806" s="77" t="s">
        <v>7788</v>
      </c>
      <c r="AE806" s="80" t="str">
        <f>HYPERLINK("https://twitter.com/liqibr/status/1688554018883215360")</f>
        <v>https://twitter.com/liqibr/status/1688554018883215360</v>
      </c>
      <c r="AF806" s="79">
        <v>45145.592870370368</v>
      </c>
      <c r="AG806" s="85">
        <v>45145</v>
      </c>
      <c r="AH806" s="82" t="s">
        <v>8516</v>
      </c>
      <c r="AI806" s="77" t="b">
        <v>0</v>
      </c>
      <c r="AJ806" s="77"/>
      <c r="AK806" s="77"/>
      <c r="AL806" s="77"/>
      <c r="AM806" s="77"/>
      <c r="AN806" s="77"/>
      <c r="AO806" s="77"/>
      <c r="AP806" s="77"/>
      <c r="AQ806" s="77" t="s">
        <v>11079</v>
      </c>
      <c r="AR806" s="77">
        <v>113200</v>
      </c>
      <c r="AS806" s="77"/>
      <c r="AT806" s="77"/>
      <c r="AU806" s="77"/>
      <c r="AV806" s="80" t="str">
        <f>HYPERLINK("https://pbs.twimg.com/ext_tw_video_thumb/1688553649901830144/pu/img/2q9cdplXdth-nxhj.jpg")</f>
        <v>https://pbs.twimg.com/ext_tw_video_thumb/1688553649901830144/pu/img/2q9cdplXdth-nxhj.jpg</v>
      </c>
      <c r="AW806" s="82" t="s">
        <v>12495</v>
      </c>
      <c r="AX806" s="82" t="s">
        <v>12495</v>
      </c>
      <c r="AY806" s="77"/>
      <c r="AZ806" s="82" t="s">
        <v>15984</v>
      </c>
      <c r="BA806" s="82" t="s">
        <v>15984</v>
      </c>
      <c r="BB806" s="82" t="s">
        <v>15984</v>
      </c>
      <c r="BC806" s="82" t="s">
        <v>12495</v>
      </c>
      <c r="BD806" s="82" t="s">
        <v>15948</v>
      </c>
      <c r="BE806" s="77"/>
      <c r="BF806" s="77"/>
      <c r="BG806" s="77"/>
      <c r="BH806" s="77"/>
      <c r="BI806" s="77"/>
    </row>
    <row r="807" spans="1:61" x14ac:dyDescent="0.25">
      <c r="A807" s="62" t="s">
        <v>477</v>
      </c>
      <c r="B807" s="62" t="s">
        <v>477</v>
      </c>
      <c r="C807" s="63"/>
      <c r="D807" s="64"/>
      <c r="E807" s="65"/>
      <c r="F807" s="66"/>
      <c r="G807" s="63"/>
      <c r="H807" s="67"/>
      <c r="I807" s="68"/>
      <c r="J807" s="68"/>
      <c r="K807" s="32"/>
      <c r="L807" s="75">
        <v>807</v>
      </c>
      <c r="M807" s="75"/>
      <c r="N807" s="70"/>
      <c r="O807" s="77" t="s">
        <v>179</v>
      </c>
      <c r="P807" s="79">
        <v>45152.916678240741</v>
      </c>
      <c r="Q807" s="77" t="s">
        <v>1652</v>
      </c>
      <c r="R807" s="77">
        <v>0</v>
      </c>
      <c r="S807" s="77">
        <v>0</v>
      </c>
      <c r="T807" s="77">
        <v>0</v>
      </c>
      <c r="U807" s="77">
        <v>0</v>
      </c>
      <c r="V807" s="77">
        <v>52</v>
      </c>
      <c r="W807" s="82" t="s">
        <v>5228</v>
      </c>
      <c r="X807" s="77"/>
      <c r="Y807" s="77"/>
      <c r="Z807" s="77"/>
      <c r="AA807" s="77" t="s">
        <v>7108</v>
      </c>
      <c r="AB807" s="77" t="s">
        <v>7743</v>
      </c>
      <c r="AC807" s="82" t="s">
        <v>7750</v>
      </c>
      <c r="AD807" s="77" t="s">
        <v>7788</v>
      </c>
      <c r="AE807" s="80" t="str">
        <f>HYPERLINK("https://twitter.com/liqibr/status/1691208079122272258")</f>
        <v>https://twitter.com/liqibr/status/1691208079122272258</v>
      </c>
      <c r="AF807" s="79">
        <v>45152.916678240741</v>
      </c>
      <c r="AG807" s="85">
        <v>45152</v>
      </c>
      <c r="AH807" s="82" t="s">
        <v>8052</v>
      </c>
      <c r="AI807" s="77" t="b">
        <v>0</v>
      </c>
      <c r="AJ807" s="77"/>
      <c r="AK807" s="77"/>
      <c r="AL807" s="77"/>
      <c r="AM807" s="77"/>
      <c r="AN807" s="77"/>
      <c r="AO807" s="77"/>
      <c r="AP807" s="77"/>
      <c r="AQ807" s="77" t="s">
        <v>11080</v>
      </c>
      <c r="AR807" s="77">
        <v>101360</v>
      </c>
      <c r="AS807" s="77"/>
      <c r="AT807" s="77"/>
      <c r="AU807" s="77"/>
      <c r="AV807" s="80" t="str">
        <f>HYPERLINK("https://pbs.twimg.com/ext_tw_video_thumb/1691104487279058944/pu/img/F83PVhKkx_jLXYSN.jpg")</f>
        <v>https://pbs.twimg.com/ext_tw_video_thumb/1691104487279058944/pu/img/F83PVhKkx_jLXYSN.jpg</v>
      </c>
      <c r="AW807" s="82" t="s">
        <v>12496</v>
      </c>
      <c r="AX807" s="82" t="s">
        <v>12496</v>
      </c>
      <c r="AY807" s="77"/>
      <c r="AZ807" s="82" t="s">
        <v>15984</v>
      </c>
      <c r="BA807" s="82" t="s">
        <v>15984</v>
      </c>
      <c r="BB807" s="82" t="s">
        <v>15984</v>
      </c>
      <c r="BC807" s="82" t="s">
        <v>12496</v>
      </c>
      <c r="BD807" s="82" t="s">
        <v>15948</v>
      </c>
      <c r="BE807" s="77"/>
      <c r="BF807" s="77"/>
      <c r="BG807" s="77"/>
      <c r="BH807" s="77"/>
      <c r="BI807" s="77"/>
    </row>
    <row r="808" spans="1:61" x14ac:dyDescent="0.25">
      <c r="A808" s="62" t="s">
        <v>478</v>
      </c>
      <c r="B808" s="62" t="s">
        <v>803</v>
      </c>
      <c r="C808" s="63"/>
      <c r="D808" s="64"/>
      <c r="E808" s="65"/>
      <c r="F808" s="66"/>
      <c r="G808" s="63"/>
      <c r="H808" s="67"/>
      <c r="I808" s="68"/>
      <c r="J808" s="68"/>
      <c r="K808" s="32"/>
      <c r="L808" s="75">
        <v>808</v>
      </c>
      <c r="M808" s="75"/>
      <c r="N808" s="70"/>
      <c r="O808" s="77" t="s">
        <v>895</v>
      </c>
      <c r="P808" s="79">
        <v>45133.665231481478</v>
      </c>
      <c r="Q808" s="77" t="s">
        <v>1653</v>
      </c>
      <c r="R808" s="77">
        <v>0</v>
      </c>
      <c r="S808" s="77">
        <v>0</v>
      </c>
      <c r="T808" s="77">
        <v>0</v>
      </c>
      <c r="U808" s="77">
        <v>0</v>
      </c>
      <c r="V808" s="77">
        <v>13</v>
      </c>
      <c r="W808" s="82" t="s">
        <v>5229</v>
      </c>
      <c r="X808" s="77"/>
      <c r="Y808" s="77"/>
      <c r="Z808" s="77" t="s">
        <v>6577</v>
      </c>
      <c r="AA808" s="77" t="s">
        <v>7109</v>
      </c>
      <c r="AB808" s="77" t="s">
        <v>7742</v>
      </c>
      <c r="AC808" s="82" t="s">
        <v>7751</v>
      </c>
      <c r="AD808" s="77" t="s">
        <v>7790</v>
      </c>
      <c r="AE808" s="80" t="str">
        <f>HYPERLINK("https://twitter.com/sol_ku/status/1684231587393679364")</f>
        <v>https://twitter.com/sol_ku/status/1684231587393679364</v>
      </c>
      <c r="AF808" s="79">
        <v>45133.665231481478</v>
      </c>
      <c r="AG808" s="85">
        <v>45133</v>
      </c>
      <c r="AH808" s="82" t="s">
        <v>8517</v>
      </c>
      <c r="AI808" s="77" t="b">
        <v>1</v>
      </c>
      <c r="AJ808" s="77"/>
      <c r="AK808" s="77"/>
      <c r="AL808" s="77"/>
      <c r="AM808" s="77"/>
      <c r="AN808" s="77"/>
      <c r="AO808" s="77"/>
      <c r="AP808" s="77"/>
      <c r="AQ808" s="77" t="s">
        <v>11081</v>
      </c>
      <c r="AR808" s="77"/>
      <c r="AS808" s="77"/>
      <c r="AT808" s="77"/>
      <c r="AU808" s="77"/>
      <c r="AV808" s="80" t="str">
        <f>HYPERLINK("https://pbs.twimg.com/media/F1-XsPTXwAE63xx.jpg")</f>
        <v>https://pbs.twimg.com/media/F1-XsPTXwAE63xx.jpg</v>
      </c>
      <c r="AW808" s="82" t="s">
        <v>12497</v>
      </c>
      <c r="AX808" s="82" t="s">
        <v>12497</v>
      </c>
      <c r="AY808" s="77"/>
      <c r="AZ808" s="82" t="s">
        <v>15984</v>
      </c>
      <c r="BA808" s="82" t="s">
        <v>15984</v>
      </c>
      <c r="BB808" s="82" t="s">
        <v>15984</v>
      </c>
      <c r="BC808" s="82" t="s">
        <v>12497</v>
      </c>
      <c r="BD808" s="77">
        <v>468977570</v>
      </c>
      <c r="BE808" s="77"/>
      <c r="BF808" s="77"/>
      <c r="BG808" s="77"/>
      <c r="BH808" s="77"/>
      <c r="BI808" s="77"/>
    </row>
    <row r="809" spans="1:61" x14ac:dyDescent="0.25">
      <c r="A809" s="62" t="s">
        <v>478</v>
      </c>
      <c r="B809" s="62" t="s">
        <v>804</v>
      </c>
      <c r="C809" s="63"/>
      <c r="D809" s="64"/>
      <c r="E809" s="65"/>
      <c r="F809" s="66"/>
      <c r="G809" s="63"/>
      <c r="H809" s="67"/>
      <c r="I809" s="68"/>
      <c r="J809" s="68"/>
      <c r="K809" s="32"/>
      <c r="L809" s="75">
        <v>809</v>
      </c>
      <c r="M809" s="75"/>
      <c r="N809" s="70"/>
      <c r="O809" s="77" t="s">
        <v>895</v>
      </c>
      <c r="P809" s="79">
        <v>45133.665231481478</v>
      </c>
      <c r="Q809" s="77" t="s">
        <v>1653</v>
      </c>
      <c r="R809" s="77">
        <v>0</v>
      </c>
      <c r="S809" s="77">
        <v>0</v>
      </c>
      <c r="T809" s="77">
        <v>0</v>
      </c>
      <c r="U809" s="77">
        <v>0</v>
      </c>
      <c r="V809" s="77">
        <v>13</v>
      </c>
      <c r="W809" s="82" t="s">
        <v>5229</v>
      </c>
      <c r="X809" s="77"/>
      <c r="Y809" s="77"/>
      <c r="Z809" s="77" t="s">
        <v>6577</v>
      </c>
      <c r="AA809" s="77" t="s">
        <v>7109</v>
      </c>
      <c r="AB809" s="77" t="s">
        <v>7742</v>
      </c>
      <c r="AC809" s="82" t="s">
        <v>7751</v>
      </c>
      <c r="AD809" s="77" t="s">
        <v>7790</v>
      </c>
      <c r="AE809" s="80" t="str">
        <f>HYPERLINK("https://twitter.com/sol_ku/status/1684231587393679364")</f>
        <v>https://twitter.com/sol_ku/status/1684231587393679364</v>
      </c>
      <c r="AF809" s="79">
        <v>45133.665231481478</v>
      </c>
      <c r="AG809" s="85">
        <v>45133</v>
      </c>
      <c r="AH809" s="82" t="s">
        <v>8517</v>
      </c>
      <c r="AI809" s="77" t="b">
        <v>1</v>
      </c>
      <c r="AJ809" s="77"/>
      <c r="AK809" s="77"/>
      <c r="AL809" s="77"/>
      <c r="AM809" s="77"/>
      <c r="AN809" s="77"/>
      <c r="AO809" s="77"/>
      <c r="AP809" s="77"/>
      <c r="AQ809" s="77" t="s">
        <v>11081</v>
      </c>
      <c r="AR809" s="77"/>
      <c r="AS809" s="77"/>
      <c r="AT809" s="77"/>
      <c r="AU809" s="77"/>
      <c r="AV809" s="80" t="str">
        <f>HYPERLINK("https://pbs.twimg.com/media/F1-XsPTXwAE63xx.jpg")</f>
        <v>https://pbs.twimg.com/media/F1-XsPTXwAE63xx.jpg</v>
      </c>
      <c r="AW809" s="82" t="s">
        <v>12497</v>
      </c>
      <c r="AX809" s="82" t="s">
        <v>12497</v>
      </c>
      <c r="AY809" s="77"/>
      <c r="AZ809" s="82" t="s">
        <v>15984</v>
      </c>
      <c r="BA809" s="82" t="s">
        <v>15984</v>
      </c>
      <c r="BB809" s="82" t="s">
        <v>15984</v>
      </c>
      <c r="BC809" s="82" t="s">
        <v>12497</v>
      </c>
      <c r="BD809" s="77">
        <v>468977570</v>
      </c>
      <c r="BE809" s="77"/>
      <c r="BF809" s="77"/>
      <c r="BG809" s="77"/>
      <c r="BH809" s="77"/>
      <c r="BI809" s="77"/>
    </row>
    <row r="810" spans="1:61" x14ac:dyDescent="0.25">
      <c r="A810" s="62" t="s">
        <v>479</v>
      </c>
      <c r="B810" s="62" t="s">
        <v>479</v>
      </c>
      <c r="C810" s="63"/>
      <c r="D810" s="64"/>
      <c r="E810" s="65"/>
      <c r="F810" s="66"/>
      <c r="G810" s="63"/>
      <c r="H810" s="67"/>
      <c r="I810" s="68"/>
      <c r="J810" s="68"/>
      <c r="K810" s="32"/>
      <c r="L810" s="75">
        <v>810</v>
      </c>
      <c r="M810" s="75"/>
      <c r="N810" s="70"/>
      <c r="O810" s="77" t="s">
        <v>179</v>
      </c>
      <c r="P810" s="79">
        <v>45126.536956018521</v>
      </c>
      <c r="Q810" s="77" t="s">
        <v>1654</v>
      </c>
      <c r="R810" s="77">
        <v>0</v>
      </c>
      <c r="S810" s="77">
        <v>1</v>
      </c>
      <c r="T810" s="77">
        <v>0</v>
      </c>
      <c r="U810" s="77">
        <v>0</v>
      </c>
      <c r="V810" s="77">
        <v>74</v>
      </c>
      <c r="W810" s="82" t="s">
        <v>5230</v>
      </c>
      <c r="X810" s="77"/>
      <c r="Y810" s="77"/>
      <c r="Z810" s="77"/>
      <c r="AA810" s="77" t="s">
        <v>7110</v>
      </c>
      <c r="AB810" s="77" t="s">
        <v>7742</v>
      </c>
      <c r="AC810" s="82" t="s">
        <v>7751</v>
      </c>
      <c r="AD810" s="77" t="s">
        <v>7788</v>
      </c>
      <c r="AE810" s="80" t="str">
        <f>HYPERLINK("https://twitter.com/claudinhotrader/status/1681648386544394240")</f>
        <v>https://twitter.com/claudinhotrader/status/1681648386544394240</v>
      </c>
      <c r="AF810" s="79">
        <v>45126.536956018521</v>
      </c>
      <c r="AG810" s="85">
        <v>45126</v>
      </c>
      <c r="AH810" s="82" t="s">
        <v>8518</v>
      </c>
      <c r="AI810" s="77" t="b">
        <v>0</v>
      </c>
      <c r="AJ810" s="77"/>
      <c r="AK810" s="77"/>
      <c r="AL810" s="77"/>
      <c r="AM810" s="77"/>
      <c r="AN810" s="77"/>
      <c r="AO810" s="77"/>
      <c r="AP810" s="77"/>
      <c r="AQ810" s="77" t="s">
        <v>11082</v>
      </c>
      <c r="AR810" s="77"/>
      <c r="AS810" s="77"/>
      <c r="AT810" s="77"/>
      <c r="AU810" s="77"/>
      <c r="AV810" s="80" t="str">
        <f>HYPERLINK("https://pbs.twimg.com/media/F1ZqS6-XoAEy1Cl.jpg")</f>
        <v>https://pbs.twimg.com/media/F1ZqS6-XoAEy1Cl.jpg</v>
      </c>
      <c r="AW810" s="82" t="s">
        <v>12498</v>
      </c>
      <c r="AX810" s="82" t="s">
        <v>12498</v>
      </c>
      <c r="AY810" s="77"/>
      <c r="AZ810" s="82" t="s">
        <v>15984</v>
      </c>
      <c r="BA810" s="82" t="s">
        <v>15984</v>
      </c>
      <c r="BB810" s="82" t="s">
        <v>15984</v>
      </c>
      <c r="BC810" s="82" t="s">
        <v>12498</v>
      </c>
      <c r="BD810" s="77">
        <v>322667669</v>
      </c>
      <c r="BE810" s="77"/>
      <c r="BF810" s="77"/>
      <c r="BG810" s="77"/>
      <c r="BH810" s="77"/>
      <c r="BI810" s="77"/>
    </row>
    <row r="811" spans="1:61" x14ac:dyDescent="0.25">
      <c r="A811" s="62" t="s">
        <v>480</v>
      </c>
      <c r="B811" s="62" t="s">
        <v>753</v>
      </c>
      <c r="C811" s="63"/>
      <c r="D811" s="64"/>
      <c r="E811" s="65"/>
      <c r="F811" s="66"/>
      <c r="G811" s="63"/>
      <c r="H811" s="67"/>
      <c r="I811" s="68"/>
      <c r="J811" s="68"/>
      <c r="K811" s="32"/>
      <c r="L811" s="75">
        <v>811</v>
      </c>
      <c r="M811" s="75"/>
      <c r="N811" s="70"/>
      <c r="O811" s="77" t="s">
        <v>899</v>
      </c>
      <c r="P811" s="79">
        <v>45192.261689814812</v>
      </c>
      <c r="Q811" s="77" t="s">
        <v>1116</v>
      </c>
      <c r="R811" s="77">
        <v>10</v>
      </c>
      <c r="S811" s="77">
        <v>0</v>
      </c>
      <c r="T811" s="77">
        <v>0</v>
      </c>
      <c r="U811" s="77">
        <v>0</v>
      </c>
      <c r="V811" s="77"/>
      <c r="W811" s="82" t="s">
        <v>4821</v>
      </c>
      <c r="X811" s="77"/>
      <c r="Y811" s="77"/>
      <c r="Z811" s="77" t="s">
        <v>6566</v>
      </c>
      <c r="AA811" s="77"/>
      <c r="AB811" s="77"/>
      <c r="AC811" s="82" t="s">
        <v>7752</v>
      </c>
      <c r="AD811" s="77" t="s">
        <v>7790</v>
      </c>
      <c r="AE811" s="80" t="str">
        <f>HYPERLINK("https://twitter.com/eliafaher/status/1705466231350812864")</f>
        <v>https://twitter.com/eliafaher/status/1705466231350812864</v>
      </c>
      <c r="AF811" s="79">
        <v>45192.261689814812</v>
      </c>
      <c r="AG811" s="85">
        <v>45192</v>
      </c>
      <c r="AH811" s="82" t="s">
        <v>8519</v>
      </c>
      <c r="AI811" s="77"/>
      <c r="AJ811" s="77"/>
      <c r="AK811" s="77"/>
      <c r="AL811" s="77"/>
      <c r="AM811" s="77"/>
      <c r="AN811" s="77"/>
      <c r="AO811" s="77"/>
      <c r="AP811" s="77"/>
      <c r="AQ811" s="77"/>
      <c r="AR811" s="77"/>
      <c r="AS811" s="77"/>
      <c r="AT811" s="77"/>
      <c r="AU811" s="77"/>
      <c r="AV811" s="80" t="str">
        <f>HYPERLINK("https://pbs.twimg.com/profile_images/1270094783332126723/pX0Zt-qB_normal.jpg")</f>
        <v>https://pbs.twimg.com/profile_images/1270094783332126723/pX0Zt-qB_normal.jpg</v>
      </c>
      <c r="AW811" s="82" t="s">
        <v>12499</v>
      </c>
      <c r="AX811" s="82" t="s">
        <v>12499</v>
      </c>
      <c r="AY811" s="77"/>
      <c r="AZ811" s="82" t="s">
        <v>15984</v>
      </c>
      <c r="BA811" s="82" t="s">
        <v>15984</v>
      </c>
      <c r="BB811" s="82" t="s">
        <v>15303</v>
      </c>
      <c r="BC811" s="82" t="s">
        <v>15303</v>
      </c>
      <c r="BD811" s="77">
        <v>1619173878</v>
      </c>
      <c r="BE811" s="77"/>
      <c r="BF811" s="77"/>
      <c r="BG811" s="77"/>
      <c r="BH811" s="77"/>
      <c r="BI811" s="77"/>
    </row>
    <row r="812" spans="1:61" x14ac:dyDescent="0.25">
      <c r="A812" s="62" t="s">
        <v>480</v>
      </c>
      <c r="B812" s="62" t="s">
        <v>614</v>
      </c>
      <c r="C812" s="63"/>
      <c r="D812" s="64"/>
      <c r="E812" s="65"/>
      <c r="F812" s="66"/>
      <c r="G812" s="63"/>
      <c r="H812" s="67"/>
      <c r="I812" s="68"/>
      <c r="J812" s="68"/>
      <c r="K812" s="32"/>
      <c r="L812" s="75">
        <v>812</v>
      </c>
      <c r="M812" s="75"/>
      <c r="N812" s="70"/>
      <c r="O812" s="77" t="s">
        <v>897</v>
      </c>
      <c r="P812" s="79">
        <v>45192.261689814812</v>
      </c>
      <c r="Q812" s="77" t="s">
        <v>1116</v>
      </c>
      <c r="R812" s="77">
        <v>10</v>
      </c>
      <c r="S812" s="77">
        <v>0</v>
      </c>
      <c r="T812" s="77">
        <v>0</v>
      </c>
      <c r="U812" s="77">
        <v>0</v>
      </c>
      <c r="V812" s="77"/>
      <c r="W812" s="82" t="s">
        <v>4821</v>
      </c>
      <c r="X812" s="77"/>
      <c r="Y812" s="77"/>
      <c r="Z812" s="77" t="s">
        <v>6566</v>
      </c>
      <c r="AA812" s="77"/>
      <c r="AB812" s="77"/>
      <c r="AC812" s="82" t="s">
        <v>7752</v>
      </c>
      <c r="AD812" s="77" t="s">
        <v>7790</v>
      </c>
      <c r="AE812" s="80" t="str">
        <f>HYPERLINK("https://twitter.com/eliafaher/status/1705466231350812864")</f>
        <v>https://twitter.com/eliafaher/status/1705466231350812864</v>
      </c>
      <c r="AF812" s="79">
        <v>45192.261689814812</v>
      </c>
      <c r="AG812" s="85">
        <v>45192</v>
      </c>
      <c r="AH812" s="82" t="s">
        <v>8519</v>
      </c>
      <c r="AI812" s="77"/>
      <c r="AJ812" s="77"/>
      <c r="AK812" s="77"/>
      <c r="AL812" s="77"/>
      <c r="AM812" s="77"/>
      <c r="AN812" s="77"/>
      <c r="AO812" s="77"/>
      <c r="AP812" s="77"/>
      <c r="AQ812" s="77"/>
      <c r="AR812" s="77"/>
      <c r="AS812" s="77"/>
      <c r="AT812" s="77"/>
      <c r="AU812" s="77"/>
      <c r="AV812" s="80" t="str">
        <f>HYPERLINK("https://pbs.twimg.com/profile_images/1270094783332126723/pX0Zt-qB_normal.jpg")</f>
        <v>https://pbs.twimg.com/profile_images/1270094783332126723/pX0Zt-qB_normal.jpg</v>
      </c>
      <c r="AW812" s="82" t="s">
        <v>12499</v>
      </c>
      <c r="AX812" s="82" t="s">
        <v>12499</v>
      </c>
      <c r="AY812" s="77"/>
      <c r="AZ812" s="82" t="s">
        <v>15984</v>
      </c>
      <c r="BA812" s="82" t="s">
        <v>15984</v>
      </c>
      <c r="BB812" s="82" t="s">
        <v>15303</v>
      </c>
      <c r="BC812" s="82" t="s">
        <v>15303</v>
      </c>
      <c r="BD812" s="77">
        <v>1619173878</v>
      </c>
      <c r="BE812" s="77"/>
      <c r="BF812" s="77"/>
      <c r="BG812" s="77"/>
      <c r="BH812" s="77"/>
      <c r="BI812" s="77"/>
    </row>
    <row r="813" spans="1:61" x14ac:dyDescent="0.25">
      <c r="A813" s="62" t="s">
        <v>480</v>
      </c>
      <c r="B813" s="62" t="s">
        <v>614</v>
      </c>
      <c r="C813" s="63"/>
      <c r="D813" s="64"/>
      <c r="E813" s="65"/>
      <c r="F813" s="66"/>
      <c r="G813" s="63"/>
      <c r="H813" s="67"/>
      <c r="I813" s="68"/>
      <c r="J813" s="68"/>
      <c r="K813" s="32"/>
      <c r="L813" s="75">
        <v>813</v>
      </c>
      <c r="M813" s="75"/>
      <c r="N813" s="70"/>
      <c r="O813" s="77" t="s">
        <v>897</v>
      </c>
      <c r="P813" s="79">
        <v>45190.090104166666</v>
      </c>
      <c r="Q813" s="77" t="s">
        <v>1569</v>
      </c>
      <c r="R813" s="77">
        <v>4</v>
      </c>
      <c r="S813" s="77">
        <v>0</v>
      </c>
      <c r="T813" s="77">
        <v>0</v>
      </c>
      <c r="U813" s="77">
        <v>0</v>
      </c>
      <c r="V813" s="77"/>
      <c r="W813" s="82" t="s">
        <v>4821</v>
      </c>
      <c r="X813" s="77"/>
      <c r="Y813" s="77"/>
      <c r="Z813" s="77" t="s">
        <v>614</v>
      </c>
      <c r="AA813" s="77"/>
      <c r="AB813" s="77"/>
      <c r="AC813" s="82" t="s">
        <v>7752</v>
      </c>
      <c r="AD813" s="77" t="s">
        <v>7790</v>
      </c>
      <c r="AE813" s="80" t="str">
        <f>HYPERLINK("https://twitter.com/eliafaher/status/1704679274433638759")</f>
        <v>https://twitter.com/eliafaher/status/1704679274433638759</v>
      </c>
      <c r="AF813" s="79">
        <v>45190.090104166666</v>
      </c>
      <c r="AG813" s="85">
        <v>45190</v>
      </c>
      <c r="AH813" s="82" t="s">
        <v>8520</v>
      </c>
      <c r="AI813" s="77"/>
      <c r="AJ813" s="77"/>
      <c r="AK813" s="77"/>
      <c r="AL813" s="77"/>
      <c r="AM813" s="77"/>
      <c r="AN813" s="77"/>
      <c r="AO813" s="77"/>
      <c r="AP813" s="77"/>
      <c r="AQ813" s="77"/>
      <c r="AR813" s="77"/>
      <c r="AS813" s="77"/>
      <c r="AT813" s="77"/>
      <c r="AU813" s="77"/>
      <c r="AV813" s="80" t="str">
        <f>HYPERLINK("https://pbs.twimg.com/profile_images/1270094783332126723/pX0Zt-qB_normal.jpg")</f>
        <v>https://pbs.twimg.com/profile_images/1270094783332126723/pX0Zt-qB_normal.jpg</v>
      </c>
      <c r="AW813" s="82" t="s">
        <v>12500</v>
      </c>
      <c r="AX813" s="82" t="s">
        <v>12500</v>
      </c>
      <c r="AY813" s="77"/>
      <c r="AZ813" s="82" t="s">
        <v>15984</v>
      </c>
      <c r="BA813" s="82" t="s">
        <v>15984</v>
      </c>
      <c r="BB813" s="82" t="s">
        <v>15301</v>
      </c>
      <c r="BC813" s="82" t="s">
        <v>15301</v>
      </c>
      <c r="BD813" s="77">
        <v>1619173878</v>
      </c>
      <c r="BE813" s="77"/>
      <c r="BF813" s="77"/>
      <c r="BG813" s="77"/>
      <c r="BH813" s="77"/>
      <c r="BI813" s="77"/>
    </row>
    <row r="814" spans="1:61" x14ac:dyDescent="0.25">
      <c r="A814" s="62" t="s">
        <v>481</v>
      </c>
      <c r="B814" s="62" t="s">
        <v>487</v>
      </c>
      <c r="C814" s="63"/>
      <c r="D814" s="64"/>
      <c r="E814" s="65"/>
      <c r="F814" s="66"/>
      <c r="G814" s="63"/>
      <c r="H814" s="67"/>
      <c r="I814" s="68"/>
      <c r="J814" s="68"/>
      <c r="K814" s="32"/>
      <c r="L814" s="75">
        <v>814</v>
      </c>
      <c r="M814" s="75"/>
      <c r="N814" s="70"/>
      <c r="O814" s="77" t="s">
        <v>902</v>
      </c>
      <c r="P814" s="79">
        <v>45147.640127314815</v>
      </c>
      <c r="Q814" s="77" t="s">
        <v>1655</v>
      </c>
      <c r="R814" s="77">
        <v>0</v>
      </c>
      <c r="S814" s="77">
        <v>0</v>
      </c>
      <c r="T814" s="77">
        <v>0</v>
      </c>
      <c r="U814" s="77">
        <v>0</v>
      </c>
      <c r="V814" s="77">
        <v>30</v>
      </c>
      <c r="W814" s="82" t="s">
        <v>5231</v>
      </c>
      <c r="X814" s="77"/>
      <c r="Y814" s="77"/>
      <c r="Z814" s="77" t="s">
        <v>487</v>
      </c>
      <c r="AA814" s="77"/>
      <c r="AB814" s="77"/>
      <c r="AC814" s="82" t="s">
        <v>7750</v>
      </c>
      <c r="AD814" s="77" t="s">
        <v>7790</v>
      </c>
      <c r="AE814" s="80" t="str">
        <f>HYPERLINK("https://twitter.com/hubfinanzassmx/status/1689295917994610688")</f>
        <v>https://twitter.com/hubfinanzassmx/status/1689295917994610688</v>
      </c>
      <c r="AF814" s="79">
        <v>45147.640127314815</v>
      </c>
      <c r="AG814" s="85">
        <v>45147</v>
      </c>
      <c r="AH814" s="82" t="s">
        <v>8521</v>
      </c>
      <c r="AI814" s="77"/>
      <c r="AJ814" s="77"/>
      <c r="AK814" s="77"/>
      <c r="AL814" s="77"/>
      <c r="AM814" s="77"/>
      <c r="AN814" s="77"/>
      <c r="AO814" s="77"/>
      <c r="AP814" s="77"/>
      <c r="AQ814" s="77"/>
      <c r="AR814" s="77"/>
      <c r="AS814" s="77"/>
      <c r="AT814" s="77"/>
      <c r="AU814" s="77"/>
      <c r="AV814" s="80" t="str">
        <f>HYPERLINK("https://pbs.twimg.com/profile_images/1385278581434032128/W5gRgECq_normal.jpg")</f>
        <v>https://pbs.twimg.com/profile_images/1385278581434032128/W5gRgECq_normal.jpg</v>
      </c>
      <c r="AW814" s="82" t="s">
        <v>12501</v>
      </c>
      <c r="AX814" s="82" t="s">
        <v>12501</v>
      </c>
      <c r="AY814" s="77"/>
      <c r="AZ814" s="82" t="s">
        <v>15984</v>
      </c>
      <c r="BA814" s="82" t="s">
        <v>12508</v>
      </c>
      <c r="BB814" s="82" t="s">
        <v>15984</v>
      </c>
      <c r="BC814" s="82" t="s">
        <v>12508</v>
      </c>
      <c r="BD814" s="82" t="s">
        <v>16254</v>
      </c>
      <c r="BE814" s="77"/>
      <c r="BF814" s="77"/>
      <c r="BG814" s="77"/>
      <c r="BH814" s="77"/>
      <c r="BI814" s="77"/>
    </row>
    <row r="815" spans="1:61" x14ac:dyDescent="0.25">
      <c r="A815" s="62" t="s">
        <v>481</v>
      </c>
      <c r="B815" s="62" t="s">
        <v>487</v>
      </c>
      <c r="C815" s="63"/>
      <c r="D815" s="64"/>
      <c r="E815" s="65"/>
      <c r="F815" s="66"/>
      <c r="G815" s="63"/>
      <c r="H815" s="67"/>
      <c r="I815" s="68"/>
      <c r="J815" s="68"/>
      <c r="K815" s="32"/>
      <c r="L815" s="75">
        <v>815</v>
      </c>
      <c r="M815" s="75"/>
      <c r="N815" s="70"/>
      <c r="O815" s="77" t="s">
        <v>896</v>
      </c>
      <c r="P815" s="79">
        <v>45147.640127314815</v>
      </c>
      <c r="Q815" s="77" t="s">
        <v>1655</v>
      </c>
      <c r="R815" s="77">
        <v>0</v>
      </c>
      <c r="S815" s="77">
        <v>0</v>
      </c>
      <c r="T815" s="77">
        <v>0</v>
      </c>
      <c r="U815" s="77">
        <v>0</v>
      </c>
      <c r="V815" s="77">
        <v>30</v>
      </c>
      <c r="W815" s="82" t="s">
        <v>5231</v>
      </c>
      <c r="X815" s="77"/>
      <c r="Y815" s="77"/>
      <c r="Z815" s="77" t="s">
        <v>487</v>
      </c>
      <c r="AA815" s="77"/>
      <c r="AB815" s="77"/>
      <c r="AC815" s="82" t="s">
        <v>7750</v>
      </c>
      <c r="AD815" s="77" t="s">
        <v>7790</v>
      </c>
      <c r="AE815" s="80" t="str">
        <f>HYPERLINK("https://twitter.com/hubfinanzassmx/status/1689295917994610688")</f>
        <v>https://twitter.com/hubfinanzassmx/status/1689295917994610688</v>
      </c>
      <c r="AF815" s="79">
        <v>45147.640127314815</v>
      </c>
      <c r="AG815" s="85">
        <v>45147</v>
      </c>
      <c r="AH815" s="82" t="s">
        <v>8521</v>
      </c>
      <c r="AI815" s="77"/>
      <c r="AJ815" s="77"/>
      <c r="AK815" s="77"/>
      <c r="AL815" s="77"/>
      <c r="AM815" s="77"/>
      <c r="AN815" s="77"/>
      <c r="AO815" s="77"/>
      <c r="AP815" s="77"/>
      <c r="AQ815" s="77"/>
      <c r="AR815" s="77"/>
      <c r="AS815" s="77"/>
      <c r="AT815" s="77"/>
      <c r="AU815" s="77"/>
      <c r="AV815" s="80" t="str">
        <f>HYPERLINK("https://pbs.twimg.com/profile_images/1385278581434032128/W5gRgECq_normal.jpg")</f>
        <v>https://pbs.twimg.com/profile_images/1385278581434032128/W5gRgECq_normal.jpg</v>
      </c>
      <c r="AW815" s="82" t="s">
        <v>12501</v>
      </c>
      <c r="AX815" s="82" t="s">
        <v>12501</v>
      </c>
      <c r="AY815" s="77"/>
      <c r="AZ815" s="82" t="s">
        <v>15984</v>
      </c>
      <c r="BA815" s="82" t="s">
        <v>12508</v>
      </c>
      <c r="BB815" s="82" t="s">
        <v>15984</v>
      </c>
      <c r="BC815" s="82" t="s">
        <v>12508</v>
      </c>
      <c r="BD815" s="82" t="s">
        <v>16254</v>
      </c>
      <c r="BE815" s="77"/>
      <c r="BF815" s="77"/>
      <c r="BG815" s="77"/>
      <c r="BH815" s="77"/>
      <c r="BI815" s="77"/>
    </row>
    <row r="816" spans="1:61" x14ac:dyDescent="0.25">
      <c r="A816" s="62" t="s">
        <v>482</v>
      </c>
      <c r="B816" s="62" t="s">
        <v>482</v>
      </c>
      <c r="C816" s="63"/>
      <c r="D816" s="64"/>
      <c r="E816" s="65"/>
      <c r="F816" s="66"/>
      <c r="G816" s="63"/>
      <c r="H816" s="67"/>
      <c r="I816" s="68"/>
      <c r="J816" s="68"/>
      <c r="K816" s="32"/>
      <c r="L816" s="75">
        <v>816</v>
      </c>
      <c r="M816" s="75"/>
      <c r="N816" s="70"/>
      <c r="O816" s="77" t="s">
        <v>179</v>
      </c>
      <c r="P816" s="79">
        <v>45163.046180555553</v>
      </c>
      <c r="Q816" s="77" t="s">
        <v>1656</v>
      </c>
      <c r="R816" s="77">
        <v>0</v>
      </c>
      <c r="S816" s="77">
        <v>0</v>
      </c>
      <c r="T816" s="77">
        <v>0</v>
      </c>
      <c r="U816" s="77">
        <v>0</v>
      </c>
      <c r="V816" s="77">
        <v>8</v>
      </c>
      <c r="W816" s="82" t="s">
        <v>5232</v>
      </c>
      <c r="X816" s="77"/>
      <c r="Y816" s="77"/>
      <c r="Z816" s="77"/>
      <c r="AA816" s="77" t="s">
        <v>7111</v>
      </c>
      <c r="AB816" s="77" t="s">
        <v>7742</v>
      </c>
      <c r="AC816" s="82" t="s">
        <v>7751</v>
      </c>
      <c r="AD816" s="77" t="s">
        <v>7788</v>
      </c>
      <c r="AE816" s="80" t="str">
        <f>HYPERLINK("https://twitter.com/robervalpnunes/status/1694878886620725556")</f>
        <v>https://twitter.com/robervalpnunes/status/1694878886620725556</v>
      </c>
      <c r="AF816" s="79">
        <v>45163.046180555553</v>
      </c>
      <c r="AG816" s="85">
        <v>45163</v>
      </c>
      <c r="AH816" s="82" t="s">
        <v>8522</v>
      </c>
      <c r="AI816" s="77" t="b">
        <v>0</v>
      </c>
      <c r="AJ816" s="77"/>
      <c r="AK816" s="77"/>
      <c r="AL816" s="77"/>
      <c r="AM816" s="77"/>
      <c r="AN816" s="77"/>
      <c r="AO816" s="77"/>
      <c r="AP816" s="77"/>
      <c r="AQ816" s="77" t="s">
        <v>11083</v>
      </c>
      <c r="AR816" s="77"/>
      <c r="AS816" s="77"/>
      <c r="AT816" s="77"/>
      <c r="AU816" s="77"/>
      <c r="AV816" s="80" t="str">
        <f>HYPERLINK("https://pbs.twimg.com/media/F4VrXYnW4AAuNuZ.jpg")</f>
        <v>https://pbs.twimg.com/media/F4VrXYnW4AAuNuZ.jpg</v>
      </c>
      <c r="AW816" s="82" t="s">
        <v>12502</v>
      </c>
      <c r="AX816" s="82" t="s">
        <v>12502</v>
      </c>
      <c r="AY816" s="77"/>
      <c r="AZ816" s="82" t="s">
        <v>15984</v>
      </c>
      <c r="BA816" s="82" t="s">
        <v>15984</v>
      </c>
      <c r="BB816" s="82" t="s">
        <v>15984</v>
      </c>
      <c r="BC816" s="82" t="s">
        <v>12502</v>
      </c>
      <c r="BD816" s="77">
        <v>100794463</v>
      </c>
      <c r="BE816" s="77"/>
      <c r="BF816" s="77"/>
      <c r="BG816" s="77"/>
      <c r="BH816" s="77"/>
      <c r="BI816" s="77"/>
    </row>
    <row r="817" spans="1:61" x14ac:dyDescent="0.25">
      <c r="A817" s="62" t="s">
        <v>483</v>
      </c>
      <c r="B817" s="62" t="s">
        <v>483</v>
      </c>
      <c r="C817" s="63"/>
      <c r="D817" s="64"/>
      <c r="E817" s="65"/>
      <c r="F817" s="66"/>
      <c r="G817" s="63"/>
      <c r="H817" s="67"/>
      <c r="I817" s="68"/>
      <c r="J817" s="68"/>
      <c r="K817" s="32"/>
      <c r="L817" s="75">
        <v>817</v>
      </c>
      <c r="M817" s="75"/>
      <c r="N817" s="70"/>
      <c r="O817" s="77" t="s">
        <v>179</v>
      </c>
      <c r="P817" s="79">
        <v>45141.883784722224</v>
      </c>
      <c r="Q817" s="77" t="s">
        <v>1657</v>
      </c>
      <c r="R817" s="77">
        <v>0</v>
      </c>
      <c r="S817" s="77">
        <v>1</v>
      </c>
      <c r="T817" s="77">
        <v>0</v>
      </c>
      <c r="U817" s="77">
        <v>0</v>
      </c>
      <c r="V817" s="77">
        <v>131</v>
      </c>
      <c r="W817" s="82" t="s">
        <v>5233</v>
      </c>
      <c r="X817" s="77"/>
      <c r="Y817" s="77"/>
      <c r="Z817" s="77"/>
      <c r="AA817" s="77" t="s">
        <v>7112</v>
      </c>
      <c r="AB817" s="77" t="s">
        <v>7743</v>
      </c>
      <c r="AC817" s="82" t="s">
        <v>7752</v>
      </c>
      <c r="AD817" s="77" t="s">
        <v>7798</v>
      </c>
      <c r="AE817" s="80" t="str">
        <f>HYPERLINK("https://twitter.com/arthurodriguex/status/1687209891273031680")</f>
        <v>https://twitter.com/arthurodriguex/status/1687209891273031680</v>
      </c>
      <c r="AF817" s="79">
        <v>45141.883784722224</v>
      </c>
      <c r="AG817" s="85">
        <v>45141</v>
      </c>
      <c r="AH817" s="82" t="s">
        <v>8523</v>
      </c>
      <c r="AI817" s="77" t="b">
        <v>0</v>
      </c>
      <c r="AJ817" s="77"/>
      <c r="AK817" s="77"/>
      <c r="AL817" s="77"/>
      <c r="AM817" s="77"/>
      <c r="AN817" s="77"/>
      <c r="AO817" s="77"/>
      <c r="AP817" s="77"/>
      <c r="AQ817" s="77" t="s">
        <v>11084</v>
      </c>
      <c r="AR817" s="77">
        <v>85866</v>
      </c>
      <c r="AS817" s="77"/>
      <c r="AT817" s="77"/>
      <c r="AU817" s="77"/>
      <c r="AV817" s="80" t="str">
        <f>HYPERLINK("https://pbs.twimg.com/ext_tw_video_thumb/1687209780727697408/pu/img/44E8b-BZYHxh4Ktb.jpg")</f>
        <v>https://pbs.twimg.com/ext_tw_video_thumb/1687209780727697408/pu/img/44E8b-BZYHxh4Ktb.jpg</v>
      </c>
      <c r="AW817" s="82" t="s">
        <v>12503</v>
      </c>
      <c r="AX817" s="82" t="s">
        <v>12503</v>
      </c>
      <c r="AY817" s="77"/>
      <c r="AZ817" s="82" t="s">
        <v>15984</v>
      </c>
      <c r="BA817" s="82" t="s">
        <v>15984</v>
      </c>
      <c r="BB817" s="82" t="s">
        <v>15984</v>
      </c>
      <c r="BC817" s="82" t="s">
        <v>12503</v>
      </c>
      <c r="BD817" s="82" t="s">
        <v>16255</v>
      </c>
      <c r="BE817" s="77"/>
      <c r="BF817" s="77"/>
      <c r="BG817" s="77"/>
      <c r="BH817" s="77"/>
      <c r="BI817" s="77"/>
    </row>
    <row r="818" spans="1:61" x14ac:dyDescent="0.25">
      <c r="A818" s="62" t="s">
        <v>484</v>
      </c>
      <c r="B818" s="62" t="s">
        <v>484</v>
      </c>
      <c r="C818" s="63"/>
      <c r="D818" s="64"/>
      <c r="E818" s="65"/>
      <c r="F818" s="66"/>
      <c r="G818" s="63"/>
      <c r="H818" s="67"/>
      <c r="I818" s="68"/>
      <c r="J818" s="68"/>
      <c r="K818" s="32"/>
      <c r="L818" s="75">
        <v>818</v>
      </c>
      <c r="M818" s="75"/>
      <c r="N818" s="70"/>
      <c r="O818" s="77" t="s">
        <v>179</v>
      </c>
      <c r="P818" s="79">
        <v>45183.480462962965</v>
      </c>
      <c r="Q818" s="77" t="s">
        <v>1658</v>
      </c>
      <c r="R818" s="77">
        <v>0</v>
      </c>
      <c r="S818" s="77">
        <v>0</v>
      </c>
      <c r="T818" s="77">
        <v>0</v>
      </c>
      <c r="U818" s="77">
        <v>0</v>
      </c>
      <c r="V818" s="77">
        <v>45</v>
      </c>
      <c r="W818" s="82" t="s">
        <v>4809</v>
      </c>
      <c r="X818" s="80" t="str">
        <f>HYPERLINK("https://economiaempauta.com/ibovespa-e-dolar-hoje-servicos-no-brasil-inflacao-ao-produtor-e-varejo-nos-eua-juros-do-bce-e/")</f>
        <v>https://economiaempauta.com/ibovespa-e-dolar-hoje-servicos-no-brasil-inflacao-ao-produtor-e-varejo-nos-eua-juros-do-bce-e/</v>
      </c>
      <c r="Y818" s="77" t="s">
        <v>6528</v>
      </c>
      <c r="Z818" s="77"/>
      <c r="AA818" s="77"/>
      <c r="AB818" s="77"/>
      <c r="AC818" s="82" t="s">
        <v>7751</v>
      </c>
      <c r="AD818" s="77" t="s">
        <v>7788</v>
      </c>
      <c r="AE818" s="80" t="str">
        <f>HYPERLINK("https://twitter.com/pauta_economica/status/1702284021806330270")</f>
        <v>https://twitter.com/pauta_economica/status/1702284021806330270</v>
      </c>
      <c r="AF818" s="79">
        <v>45183.480462962965</v>
      </c>
      <c r="AG818" s="85">
        <v>45183</v>
      </c>
      <c r="AH818" s="82" t="s">
        <v>8524</v>
      </c>
      <c r="AI818" s="77" t="b">
        <v>0</v>
      </c>
      <c r="AJ818" s="77"/>
      <c r="AK818" s="77"/>
      <c r="AL818" s="77"/>
      <c r="AM818" s="77"/>
      <c r="AN818" s="77"/>
      <c r="AO818" s="77"/>
      <c r="AP818" s="77"/>
      <c r="AQ818" s="77"/>
      <c r="AR818" s="77"/>
      <c r="AS818" s="77"/>
      <c r="AT818" s="77"/>
      <c r="AU818" s="77"/>
      <c r="AV818" s="80" t="str">
        <f>HYPERLINK("https://pbs.twimg.com/profile_images/1588668531910082561/XEi-lXiu_normal.jpg")</f>
        <v>https://pbs.twimg.com/profile_images/1588668531910082561/XEi-lXiu_normal.jpg</v>
      </c>
      <c r="AW818" s="82" t="s">
        <v>12504</v>
      </c>
      <c r="AX818" s="82" t="s">
        <v>12504</v>
      </c>
      <c r="AY818" s="77"/>
      <c r="AZ818" s="82" t="s">
        <v>15984</v>
      </c>
      <c r="BA818" s="82" t="s">
        <v>15984</v>
      </c>
      <c r="BB818" s="82" t="s">
        <v>15984</v>
      </c>
      <c r="BC818" s="82" t="s">
        <v>12504</v>
      </c>
      <c r="BD818" s="82" t="s">
        <v>16256</v>
      </c>
      <c r="BE818" s="77"/>
      <c r="BF818" s="77"/>
      <c r="BG818" s="77"/>
      <c r="BH818" s="77"/>
      <c r="BI818" s="77"/>
    </row>
    <row r="819" spans="1:61" x14ac:dyDescent="0.25">
      <c r="A819" s="62" t="s">
        <v>485</v>
      </c>
      <c r="B819" s="62" t="s">
        <v>485</v>
      </c>
      <c r="C819" s="63"/>
      <c r="D819" s="64"/>
      <c r="E819" s="65"/>
      <c r="F819" s="66"/>
      <c r="G819" s="63"/>
      <c r="H819" s="67"/>
      <c r="I819" s="68"/>
      <c r="J819" s="68"/>
      <c r="K819" s="32"/>
      <c r="L819" s="75">
        <v>819</v>
      </c>
      <c r="M819" s="75"/>
      <c r="N819" s="70"/>
      <c r="O819" s="77" t="s">
        <v>179</v>
      </c>
      <c r="P819" s="79">
        <v>45190.500023148146</v>
      </c>
      <c r="Q819" s="77" t="s">
        <v>1659</v>
      </c>
      <c r="R819" s="77">
        <v>0</v>
      </c>
      <c r="S819" s="77">
        <v>0</v>
      </c>
      <c r="T819" s="77">
        <v>0</v>
      </c>
      <c r="U819" s="77">
        <v>0</v>
      </c>
      <c r="V819" s="77">
        <v>50</v>
      </c>
      <c r="W819" s="82" t="s">
        <v>5234</v>
      </c>
      <c r="X819" s="77"/>
      <c r="Y819" s="77"/>
      <c r="Z819" s="77"/>
      <c r="AA819" s="77" t="s">
        <v>7113</v>
      </c>
      <c r="AB819" s="77" t="s">
        <v>7742</v>
      </c>
      <c r="AC819" s="82" t="s">
        <v>7750</v>
      </c>
      <c r="AD819" s="77" t="s">
        <v>7790</v>
      </c>
      <c r="AE819" s="80" t="str">
        <f>HYPERLINK("https://twitter.com/fpmarkets_latam/status/1704827827529691376")</f>
        <v>https://twitter.com/fpmarkets_latam/status/1704827827529691376</v>
      </c>
      <c r="AF819" s="79">
        <v>45190.500023148146</v>
      </c>
      <c r="AG819" s="85">
        <v>45190</v>
      </c>
      <c r="AH819" s="82" t="s">
        <v>8525</v>
      </c>
      <c r="AI819" s="77" t="b">
        <v>0</v>
      </c>
      <c r="AJ819" s="77"/>
      <c r="AK819" s="77"/>
      <c r="AL819" s="77"/>
      <c r="AM819" s="77"/>
      <c r="AN819" s="77"/>
      <c r="AO819" s="77"/>
      <c r="AP819" s="77"/>
      <c r="AQ819" s="77" t="s">
        <v>11085</v>
      </c>
      <c r="AR819" s="77"/>
      <c r="AS819" s="77"/>
      <c r="AT819" s="77"/>
      <c r="AU819" s="77"/>
      <c r="AV819" s="80" t="str">
        <f>HYPERLINK("https://pbs.twimg.com/media/F6i_zP3WgAAlE-a.jpg")</f>
        <v>https://pbs.twimg.com/media/F6i_zP3WgAAlE-a.jpg</v>
      </c>
      <c r="AW819" s="82" t="s">
        <v>12505</v>
      </c>
      <c r="AX819" s="82" t="s">
        <v>12505</v>
      </c>
      <c r="AY819" s="77"/>
      <c r="AZ819" s="82" t="s">
        <v>15984</v>
      </c>
      <c r="BA819" s="82" t="s">
        <v>15984</v>
      </c>
      <c r="BB819" s="82" t="s">
        <v>15984</v>
      </c>
      <c r="BC819" s="82" t="s">
        <v>12505</v>
      </c>
      <c r="BD819" s="82" t="s">
        <v>16257</v>
      </c>
      <c r="BE819" s="77"/>
      <c r="BF819" s="77"/>
      <c r="BG819" s="77"/>
      <c r="BH819" s="77"/>
      <c r="BI819" s="77"/>
    </row>
    <row r="820" spans="1:61" x14ac:dyDescent="0.25">
      <c r="A820" s="62" t="s">
        <v>486</v>
      </c>
      <c r="B820" s="62" t="s">
        <v>486</v>
      </c>
      <c r="C820" s="63"/>
      <c r="D820" s="64"/>
      <c r="E820" s="65"/>
      <c r="F820" s="66"/>
      <c r="G820" s="63"/>
      <c r="H820" s="67"/>
      <c r="I820" s="68"/>
      <c r="J820" s="68"/>
      <c r="K820" s="32"/>
      <c r="L820" s="75">
        <v>820</v>
      </c>
      <c r="M820" s="75"/>
      <c r="N820" s="70"/>
      <c r="O820" s="77" t="s">
        <v>179</v>
      </c>
      <c r="P820" s="79">
        <v>45127.611215277779</v>
      </c>
      <c r="Q820" s="77" t="s">
        <v>1660</v>
      </c>
      <c r="R820" s="77">
        <v>1</v>
      </c>
      <c r="S820" s="77">
        <v>1</v>
      </c>
      <c r="T820" s="77">
        <v>1</v>
      </c>
      <c r="U820" s="77">
        <v>0</v>
      </c>
      <c r="V820" s="77">
        <v>181</v>
      </c>
      <c r="W820" s="82" t="s">
        <v>5235</v>
      </c>
      <c r="X820" s="80" t="str">
        <f>HYPERLINK("https://www.seudinheiro.com/2023/empresas/chatgpt-inteligencia-artificial-ia-rens/")</f>
        <v>https://www.seudinheiro.com/2023/empresas/chatgpt-inteligencia-artificial-ia-rens/</v>
      </c>
      <c r="Y820" s="77" t="s">
        <v>6529</v>
      </c>
      <c r="Z820" s="77"/>
      <c r="AA820" s="77"/>
      <c r="AB820" s="77"/>
      <c r="AC820" s="82" t="s">
        <v>7768</v>
      </c>
      <c r="AD820" s="77" t="s">
        <v>7788</v>
      </c>
      <c r="AE820" s="80" t="str">
        <f>HYPERLINK("https://twitter.com/seu_dinheiro_br/status/1682037682887856128")</f>
        <v>https://twitter.com/seu_dinheiro_br/status/1682037682887856128</v>
      </c>
      <c r="AF820" s="79">
        <v>45127.611215277779</v>
      </c>
      <c r="AG820" s="85">
        <v>45127</v>
      </c>
      <c r="AH820" s="82" t="s">
        <v>8526</v>
      </c>
      <c r="AI820" s="77" t="b">
        <v>0</v>
      </c>
      <c r="AJ820" s="77"/>
      <c r="AK820" s="77"/>
      <c r="AL820" s="77"/>
      <c r="AM820" s="77"/>
      <c r="AN820" s="77"/>
      <c r="AO820" s="77"/>
      <c r="AP820" s="77"/>
      <c r="AQ820" s="77"/>
      <c r="AR820" s="77"/>
      <c r="AS820" s="77"/>
      <c r="AT820" s="77"/>
      <c r="AU820" s="77"/>
      <c r="AV820" s="80" t="str">
        <f>HYPERLINK("https://pbs.twimg.com/profile_images/1041725334431952896/uaPtkYSp_normal.jpg")</f>
        <v>https://pbs.twimg.com/profile_images/1041725334431952896/uaPtkYSp_normal.jpg</v>
      </c>
      <c r="AW820" s="82" t="s">
        <v>12506</v>
      </c>
      <c r="AX820" s="82" t="s">
        <v>12506</v>
      </c>
      <c r="AY820" s="77"/>
      <c r="AZ820" s="82" t="s">
        <v>15984</v>
      </c>
      <c r="BA820" s="82" t="s">
        <v>15984</v>
      </c>
      <c r="BB820" s="82" t="s">
        <v>15984</v>
      </c>
      <c r="BC820" s="82" t="s">
        <v>12506</v>
      </c>
      <c r="BD820" s="82" t="s">
        <v>16258</v>
      </c>
      <c r="BE820" s="77"/>
      <c r="BF820" s="77"/>
      <c r="BG820" s="77"/>
      <c r="BH820" s="77"/>
      <c r="BI820" s="77"/>
    </row>
    <row r="821" spans="1:61" x14ac:dyDescent="0.25">
      <c r="A821" s="62" t="s">
        <v>486</v>
      </c>
      <c r="B821" s="62" t="s">
        <v>486</v>
      </c>
      <c r="C821" s="63"/>
      <c r="D821" s="64"/>
      <c r="E821" s="65"/>
      <c r="F821" s="66"/>
      <c r="G821" s="63"/>
      <c r="H821" s="67"/>
      <c r="I821" s="68"/>
      <c r="J821" s="68"/>
      <c r="K821" s="32"/>
      <c r="L821" s="75">
        <v>821</v>
      </c>
      <c r="M821" s="75"/>
      <c r="N821" s="70"/>
      <c r="O821" s="77" t="s">
        <v>179</v>
      </c>
      <c r="P821" s="79">
        <v>45173.967407407406</v>
      </c>
      <c r="Q821" s="77" t="s">
        <v>1661</v>
      </c>
      <c r="R821" s="77">
        <v>0</v>
      </c>
      <c r="S821" s="77">
        <v>0</v>
      </c>
      <c r="T821" s="77">
        <v>0</v>
      </c>
      <c r="U821" s="77">
        <v>0</v>
      </c>
      <c r="V821" s="77">
        <v>276</v>
      </c>
      <c r="W821" s="82" t="s">
        <v>5236</v>
      </c>
      <c r="X821" s="80" t="str">
        <f>HYPERLINK("https://www.seudinheiro.com/2023/colunistas/felipe-miranda-o-que-esta-acontecendo-com-o-pib-lvit/")</f>
        <v>https://www.seudinheiro.com/2023/colunistas/felipe-miranda-o-que-esta-acontecendo-com-o-pib-lvit/</v>
      </c>
      <c r="Y821" s="77" t="s">
        <v>6529</v>
      </c>
      <c r="Z821" s="77"/>
      <c r="AA821" s="77"/>
      <c r="AB821" s="77"/>
      <c r="AC821" s="82" t="s">
        <v>7768</v>
      </c>
      <c r="AD821" s="77" t="s">
        <v>7788</v>
      </c>
      <c r="AE821" s="80" t="str">
        <f>HYPERLINK("https://twitter.com/seu_dinheiro_br/status/1698836607715950932")</f>
        <v>https://twitter.com/seu_dinheiro_br/status/1698836607715950932</v>
      </c>
      <c r="AF821" s="79">
        <v>45173.967407407406</v>
      </c>
      <c r="AG821" s="85">
        <v>45173</v>
      </c>
      <c r="AH821" s="82" t="s">
        <v>8527</v>
      </c>
      <c r="AI821" s="77" t="b">
        <v>0</v>
      </c>
      <c r="AJ821" s="77"/>
      <c r="AK821" s="77"/>
      <c r="AL821" s="77"/>
      <c r="AM821" s="77"/>
      <c r="AN821" s="77"/>
      <c r="AO821" s="77"/>
      <c r="AP821" s="77"/>
      <c r="AQ821" s="77"/>
      <c r="AR821" s="77"/>
      <c r="AS821" s="77"/>
      <c r="AT821" s="77"/>
      <c r="AU821" s="77"/>
      <c r="AV821" s="80" t="str">
        <f>HYPERLINK("https://pbs.twimg.com/profile_images/1041725334431952896/uaPtkYSp_normal.jpg")</f>
        <v>https://pbs.twimg.com/profile_images/1041725334431952896/uaPtkYSp_normal.jpg</v>
      </c>
      <c r="AW821" s="82" t="s">
        <v>12507</v>
      </c>
      <c r="AX821" s="82" t="s">
        <v>12507</v>
      </c>
      <c r="AY821" s="77"/>
      <c r="AZ821" s="82" t="s">
        <v>15984</v>
      </c>
      <c r="BA821" s="82" t="s">
        <v>15984</v>
      </c>
      <c r="BB821" s="82" t="s">
        <v>15984</v>
      </c>
      <c r="BC821" s="82" t="s">
        <v>12507</v>
      </c>
      <c r="BD821" s="82" t="s">
        <v>16258</v>
      </c>
      <c r="BE821" s="77"/>
      <c r="BF821" s="77"/>
      <c r="BG821" s="77"/>
      <c r="BH821" s="77"/>
      <c r="BI821" s="77"/>
    </row>
    <row r="822" spans="1:61" x14ac:dyDescent="0.25">
      <c r="A822" s="62" t="s">
        <v>487</v>
      </c>
      <c r="B822" s="62" t="s">
        <v>487</v>
      </c>
      <c r="C822" s="63"/>
      <c r="D822" s="64"/>
      <c r="E822" s="65"/>
      <c r="F822" s="66"/>
      <c r="G822" s="63"/>
      <c r="H822" s="67"/>
      <c r="I822" s="68"/>
      <c r="J822" s="68"/>
      <c r="K822" s="32"/>
      <c r="L822" s="75">
        <v>822</v>
      </c>
      <c r="M822" s="75"/>
      <c r="N822" s="70"/>
      <c r="O822" s="77" t="s">
        <v>179</v>
      </c>
      <c r="P822" s="79">
        <v>45147.631122685183</v>
      </c>
      <c r="Q822" s="77" t="s">
        <v>1662</v>
      </c>
      <c r="R822" s="77">
        <v>2</v>
      </c>
      <c r="S822" s="77">
        <v>4</v>
      </c>
      <c r="T822" s="77">
        <v>1</v>
      </c>
      <c r="U822" s="77">
        <v>1</v>
      </c>
      <c r="V822" s="77">
        <v>310</v>
      </c>
      <c r="W822" s="77"/>
      <c r="X822" s="80" t="str">
        <f>HYPERLINK("https://fb.watch/mjpem4jzFc/")</f>
        <v>https://fb.watch/mjpem4jzFc/</v>
      </c>
      <c r="Y822" s="77" t="s">
        <v>6530</v>
      </c>
      <c r="Z822" s="77"/>
      <c r="AA822" s="77" t="s">
        <v>7114</v>
      </c>
      <c r="AB822" s="77" t="s">
        <v>7742</v>
      </c>
      <c r="AC822" s="82" t="s">
        <v>7750</v>
      </c>
      <c r="AD822" s="77" t="s">
        <v>7790</v>
      </c>
      <c r="AE822" s="80" t="str">
        <f>HYPERLINK("https://twitter.com/grupogflac/status/1689292658563231744")</f>
        <v>https://twitter.com/grupogflac/status/1689292658563231744</v>
      </c>
      <c r="AF822" s="79">
        <v>45147.631122685183</v>
      </c>
      <c r="AG822" s="85">
        <v>45147</v>
      </c>
      <c r="AH822" s="82" t="s">
        <v>8528</v>
      </c>
      <c r="AI822" s="77" t="b">
        <v>0</v>
      </c>
      <c r="AJ822" s="77"/>
      <c r="AK822" s="77"/>
      <c r="AL822" s="77"/>
      <c r="AM822" s="77"/>
      <c r="AN822" s="77"/>
      <c r="AO822" s="77"/>
      <c r="AP822" s="77"/>
      <c r="AQ822" s="77" t="s">
        <v>11086</v>
      </c>
      <c r="AR822" s="77"/>
      <c r="AS822" s="77"/>
      <c r="AT822" s="77"/>
      <c r="AU822" s="77"/>
      <c r="AV822" s="80" t="str">
        <f>HYPERLINK("https://pbs.twimg.com/media/F3GSaEhW8AAkrZe.jpg")</f>
        <v>https://pbs.twimg.com/media/F3GSaEhW8AAkrZe.jpg</v>
      </c>
      <c r="AW822" s="82" t="s">
        <v>12508</v>
      </c>
      <c r="AX822" s="82" t="s">
        <v>12508</v>
      </c>
      <c r="AY822" s="77"/>
      <c r="AZ822" s="82" t="s">
        <v>15984</v>
      </c>
      <c r="BA822" s="82" t="s">
        <v>15984</v>
      </c>
      <c r="BB822" s="82" t="s">
        <v>15984</v>
      </c>
      <c r="BC822" s="82" t="s">
        <v>12508</v>
      </c>
      <c r="BD822" s="77">
        <v>2387411994</v>
      </c>
      <c r="BE822" s="77"/>
      <c r="BF822" s="77"/>
      <c r="BG822" s="77"/>
      <c r="BH822" s="77"/>
      <c r="BI822" s="77"/>
    </row>
    <row r="823" spans="1:61" x14ac:dyDescent="0.25">
      <c r="A823" s="62" t="s">
        <v>488</v>
      </c>
      <c r="B823" s="62" t="s">
        <v>785</v>
      </c>
      <c r="C823" s="63"/>
      <c r="D823" s="64"/>
      <c r="E823" s="65"/>
      <c r="F823" s="66"/>
      <c r="G823" s="63"/>
      <c r="H823" s="67"/>
      <c r="I823" s="68"/>
      <c r="J823" s="68"/>
      <c r="K823" s="32"/>
      <c r="L823" s="75">
        <v>823</v>
      </c>
      <c r="M823" s="75"/>
      <c r="N823" s="70"/>
      <c r="O823" s="77" t="s">
        <v>895</v>
      </c>
      <c r="P823" s="79">
        <v>45132.385925925926</v>
      </c>
      <c r="Q823" s="77" t="s">
        <v>1663</v>
      </c>
      <c r="R823" s="77">
        <v>0</v>
      </c>
      <c r="S823" s="77">
        <v>0</v>
      </c>
      <c r="T823" s="77">
        <v>0</v>
      </c>
      <c r="U823" s="77">
        <v>0</v>
      </c>
      <c r="V823" s="77">
        <v>4</v>
      </c>
      <c r="W823" s="82" t="s">
        <v>5237</v>
      </c>
      <c r="X823" s="80" t="str">
        <f>HYPERLINK("https://blog.funcas.es/mensajes-del-ahorro/")</f>
        <v>https://blog.funcas.es/mensajes-del-ahorro/</v>
      </c>
      <c r="Y823" s="77" t="s">
        <v>6517</v>
      </c>
      <c r="Z823" s="77" t="s">
        <v>785</v>
      </c>
      <c r="AA823" s="77"/>
      <c r="AB823" s="77"/>
      <c r="AC823" s="82" t="s">
        <v>7750</v>
      </c>
      <c r="AD823" s="77" t="s">
        <v>7790</v>
      </c>
      <c r="AE823" s="80" t="str">
        <f>HYPERLINK("https://twitter.com/amilcar22000/status/1683767982378426368")</f>
        <v>https://twitter.com/amilcar22000/status/1683767982378426368</v>
      </c>
      <c r="AF823" s="79">
        <v>45132.385925925926</v>
      </c>
      <c r="AG823" s="85">
        <v>45132</v>
      </c>
      <c r="AH823" s="82" t="s">
        <v>8529</v>
      </c>
      <c r="AI823" s="77" t="b">
        <v>0</v>
      </c>
      <c r="AJ823" s="77"/>
      <c r="AK823" s="77"/>
      <c r="AL823" s="77"/>
      <c r="AM823" s="77"/>
      <c r="AN823" s="77"/>
      <c r="AO823" s="77"/>
      <c r="AP823" s="77"/>
      <c r="AQ823" s="77"/>
      <c r="AR823" s="77"/>
      <c r="AS823" s="77"/>
      <c r="AT823" s="77"/>
      <c r="AU823" s="77"/>
      <c r="AV823" s="80" t="str">
        <f>HYPERLINK("https://pbs.twimg.com/profile_images/1172787448302198784/ResIKgO__normal.jpg")</f>
        <v>https://pbs.twimg.com/profile_images/1172787448302198784/ResIKgO__normal.jpg</v>
      </c>
      <c r="AW823" s="82" t="s">
        <v>12509</v>
      </c>
      <c r="AX823" s="82" t="s">
        <v>12509</v>
      </c>
      <c r="AY823" s="77"/>
      <c r="AZ823" s="82" t="s">
        <v>15984</v>
      </c>
      <c r="BA823" s="82" t="s">
        <v>15984</v>
      </c>
      <c r="BB823" s="82" t="s">
        <v>15984</v>
      </c>
      <c r="BC823" s="82" t="s">
        <v>12509</v>
      </c>
      <c r="BD823" s="77">
        <v>1024626751</v>
      </c>
      <c r="BE823" s="77"/>
      <c r="BF823" s="77"/>
      <c r="BG823" s="77"/>
      <c r="BH823" s="77"/>
      <c r="BI823" s="77"/>
    </row>
    <row r="824" spans="1:61" x14ac:dyDescent="0.25">
      <c r="A824" s="62" t="s">
        <v>489</v>
      </c>
      <c r="B824" s="62" t="s">
        <v>489</v>
      </c>
      <c r="C824" s="63"/>
      <c r="D824" s="64"/>
      <c r="E824" s="65"/>
      <c r="F824" s="66"/>
      <c r="G824" s="63"/>
      <c r="H824" s="67"/>
      <c r="I824" s="68"/>
      <c r="J824" s="68"/>
      <c r="K824" s="32"/>
      <c r="L824" s="75">
        <v>824</v>
      </c>
      <c r="M824" s="75"/>
      <c r="N824" s="70"/>
      <c r="O824" s="77" t="s">
        <v>179</v>
      </c>
      <c r="P824" s="79">
        <v>45178.180995370371</v>
      </c>
      <c r="Q824" s="77" t="s">
        <v>1664</v>
      </c>
      <c r="R824" s="77">
        <v>0</v>
      </c>
      <c r="S824" s="77">
        <v>0</v>
      </c>
      <c r="T824" s="77">
        <v>1</v>
      </c>
      <c r="U824" s="77">
        <v>0</v>
      </c>
      <c r="V824" s="77">
        <v>59</v>
      </c>
      <c r="W824" s="82" t="s">
        <v>4821</v>
      </c>
      <c r="X824" s="77"/>
      <c r="Y824" s="77"/>
      <c r="Z824" s="77"/>
      <c r="AA824" s="77" t="s">
        <v>7115</v>
      </c>
      <c r="AB824" s="77" t="s">
        <v>7742</v>
      </c>
      <c r="AC824" s="82" t="s">
        <v>7751</v>
      </c>
      <c r="AD824" s="77" t="s">
        <v>7790</v>
      </c>
      <c r="AE824" s="80" t="str">
        <f>HYPERLINK("https://twitter.com/armandoardilad/status/1700363560910491791")</f>
        <v>https://twitter.com/armandoardilad/status/1700363560910491791</v>
      </c>
      <c r="AF824" s="79">
        <v>45178.180995370371</v>
      </c>
      <c r="AG824" s="85">
        <v>45178</v>
      </c>
      <c r="AH824" s="82" t="s">
        <v>8530</v>
      </c>
      <c r="AI824" s="77" t="b">
        <v>0</v>
      </c>
      <c r="AJ824" s="77"/>
      <c r="AK824" s="77"/>
      <c r="AL824" s="77"/>
      <c r="AM824" s="77"/>
      <c r="AN824" s="77"/>
      <c r="AO824" s="77"/>
      <c r="AP824" s="77"/>
      <c r="AQ824" s="77" t="s">
        <v>11087</v>
      </c>
      <c r="AR824" s="77"/>
      <c r="AS824" s="77"/>
      <c r="AT824" s="77"/>
      <c r="AU824" s="77"/>
      <c r="AV824" s="80" t="str">
        <f>HYPERLINK("https://pbs.twimg.com/media/F5jnpc7WYAAecBI.jpg")</f>
        <v>https://pbs.twimg.com/media/F5jnpc7WYAAecBI.jpg</v>
      </c>
      <c r="AW824" s="82" t="s">
        <v>12510</v>
      </c>
      <c r="AX824" s="82" t="s">
        <v>12510</v>
      </c>
      <c r="AY824" s="77"/>
      <c r="AZ824" s="82" t="s">
        <v>15984</v>
      </c>
      <c r="BA824" s="82" t="s">
        <v>15984</v>
      </c>
      <c r="BB824" s="82" t="s">
        <v>15984</v>
      </c>
      <c r="BC824" s="82" t="s">
        <v>12510</v>
      </c>
      <c r="BD824" s="77">
        <v>212554498</v>
      </c>
      <c r="BE824" s="77"/>
      <c r="BF824" s="77"/>
      <c r="BG824" s="77"/>
      <c r="BH824" s="77"/>
      <c r="BI824" s="77"/>
    </row>
    <row r="825" spans="1:61" x14ac:dyDescent="0.25">
      <c r="A825" s="62" t="s">
        <v>490</v>
      </c>
      <c r="B825" s="62" t="s">
        <v>490</v>
      </c>
      <c r="C825" s="63"/>
      <c r="D825" s="64"/>
      <c r="E825" s="65"/>
      <c r="F825" s="66"/>
      <c r="G825" s="63"/>
      <c r="H825" s="67"/>
      <c r="I825" s="68"/>
      <c r="J825" s="68"/>
      <c r="K825" s="32"/>
      <c r="L825" s="75">
        <v>825</v>
      </c>
      <c r="M825" s="75"/>
      <c r="N825" s="70"/>
      <c r="O825" s="77" t="s">
        <v>179</v>
      </c>
      <c r="P825" s="79">
        <v>45196.685856481483</v>
      </c>
      <c r="Q825" s="77" t="s">
        <v>1665</v>
      </c>
      <c r="R825" s="77">
        <v>1</v>
      </c>
      <c r="S825" s="77">
        <v>1</v>
      </c>
      <c r="T825" s="77">
        <v>0</v>
      </c>
      <c r="U825" s="77">
        <v>0</v>
      </c>
      <c r="V825" s="77">
        <v>40</v>
      </c>
      <c r="W825" s="82" t="s">
        <v>5238</v>
      </c>
      <c r="X825" s="77"/>
      <c r="Y825" s="77"/>
      <c r="Z825" s="77"/>
      <c r="AA825" s="77" t="s">
        <v>7116</v>
      </c>
      <c r="AB825" s="77" t="s">
        <v>7743</v>
      </c>
      <c r="AC825" s="82" t="s">
        <v>7752</v>
      </c>
      <c r="AD825" s="77" t="s">
        <v>7788</v>
      </c>
      <c r="AE825" s="80" t="str">
        <f>HYPERLINK("https://twitter.com/vitinhopretouk/status/1707069498631528493")</f>
        <v>https://twitter.com/vitinhopretouk/status/1707069498631528493</v>
      </c>
      <c r="AF825" s="79">
        <v>45196.685856481483</v>
      </c>
      <c r="AG825" s="85">
        <v>45196</v>
      </c>
      <c r="AH825" s="82" t="s">
        <v>8531</v>
      </c>
      <c r="AI825" s="77" t="b">
        <v>0</v>
      </c>
      <c r="AJ825" s="77"/>
      <c r="AK825" s="77"/>
      <c r="AL825" s="77"/>
      <c r="AM825" s="77"/>
      <c r="AN825" s="77"/>
      <c r="AO825" s="77"/>
      <c r="AP825" s="77"/>
      <c r="AQ825" s="77" t="s">
        <v>11088</v>
      </c>
      <c r="AR825" s="77">
        <v>29300</v>
      </c>
      <c r="AS825" s="77"/>
      <c r="AT825" s="77"/>
      <c r="AU825" s="77"/>
      <c r="AV825" s="80" t="str">
        <f>HYPERLINK("https://pbs.twimg.com/amplify_video_thumb/1707069362182537218/img/Gya9zLKnnzLFUkym.jpg")</f>
        <v>https://pbs.twimg.com/amplify_video_thumb/1707069362182537218/img/Gya9zLKnnzLFUkym.jpg</v>
      </c>
      <c r="AW825" s="82" t="s">
        <v>12511</v>
      </c>
      <c r="AX825" s="82" t="s">
        <v>12511</v>
      </c>
      <c r="AY825" s="77"/>
      <c r="AZ825" s="82" t="s">
        <v>15984</v>
      </c>
      <c r="BA825" s="82" t="s">
        <v>15984</v>
      </c>
      <c r="BB825" s="82" t="s">
        <v>15984</v>
      </c>
      <c r="BC825" s="82" t="s">
        <v>12511</v>
      </c>
      <c r="BD825" s="82" t="s">
        <v>16259</v>
      </c>
      <c r="BE825" s="77"/>
      <c r="BF825" s="77"/>
      <c r="BG825" s="77"/>
      <c r="BH825" s="77"/>
      <c r="BI825" s="77"/>
    </row>
    <row r="826" spans="1:61" x14ac:dyDescent="0.25">
      <c r="A826" s="62" t="s">
        <v>491</v>
      </c>
      <c r="B826" s="62" t="s">
        <v>490</v>
      </c>
      <c r="C826" s="63"/>
      <c r="D826" s="64"/>
      <c r="E826" s="65"/>
      <c r="F826" s="66"/>
      <c r="G826" s="63"/>
      <c r="H826" s="67"/>
      <c r="I826" s="68"/>
      <c r="J826" s="68"/>
      <c r="K826" s="32"/>
      <c r="L826" s="75">
        <v>826</v>
      </c>
      <c r="M826" s="75"/>
      <c r="N826" s="70"/>
      <c r="O826" s="77" t="s">
        <v>897</v>
      </c>
      <c r="P826" s="79">
        <v>45196.745219907411</v>
      </c>
      <c r="Q826" s="77" t="s">
        <v>1666</v>
      </c>
      <c r="R826" s="77">
        <v>1</v>
      </c>
      <c r="S826" s="77">
        <v>0</v>
      </c>
      <c r="T826" s="77">
        <v>0</v>
      </c>
      <c r="U826" s="77">
        <v>0</v>
      </c>
      <c r="V826" s="77"/>
      <c r="W826" s="82" t="s">
        <v>5238</v>
      </c>
      <c r="X826" s="77"/>
      <c r="Y826" s="77"/>
      <c r="Z826" s="77" t="s">
        <v>490</v>
      </c>
      <c r="AA826" s="77"/>
      <c r="AB826" s="77"/>
      <c r="AC826" s="82" t="s">
        <v>7752</v>
      </c>
      <c r="AD826" s="77" t="s">
        <v>7788</v>
      </c>
      <c r="AE826" s="80" t="str">
        <f>HYPERLINK("https://twitter.com/kasun8564245679/status/1707091009576771658")</f>
        <v>https://twitter.com/kasun8564245679/status/1707091009576771658</v>
      </c>
      <c r="AF826" s="79">
        <v>45196.745219907411</v>
      </c>
      <c r="AG826" s="85">
        <v>45196</v>
      </c>
      <c r="AH826" s="82" t="s">
        <v>8036</v>
      </c>
      <c r="AI826" s="77"/>
      <c r="AJ826" s="77"/>
      <c r="AK826" s="77"/>
      <c r="AL826" s="77"/>
      <c r="AM826" s="77"/>
      <c r="AN826" s="77"/>
      <c r="AO826" s="77"/>
      <c r="AP826" s="77"/>
      <c r="AQ826" s="77"/>
      <c r="AR826" s="77"/>
      <c r="AS826" s="77"/>
      <c r="AT826" s="77"/>
      <c r="AU826" s="77"/>
      <c r="AV826" s="80" t="str">
        <f>HYPERLINK("https://pbs.twimg.com/profile_images/1706293108801929216/5FXK0PKJ_normal.jpg")</f>
        <v>https://pbs.twimg.com/profile_images/1706293108801929216/5FXK0PKJ_normal.jpg</v>
      </c>
      <c r="AW826" s="82" t="s">
        <v>12512</v>
      </c>
      <c r="AX826" s="82" t="s">
        <v>12512</v>
      </c>
      <c r="AY826" s="77"/>
      <c r="AZ826" s="82" t="s">
        <v>15984</v>
      </c>
      <c r="BA826" s="82" t="s">
        <v>15984</v>
      </c>
      <c r="BB826" s="82" t="s">
        <v>12511</v>
      </c>
      <c r="BC826" s="82" t="s">
        <v>12511</v>
      </c>
      <c r="BD826" s="82" t="s">
        <v>16260</v>
      </c>
      <c r="BE826" s="77"/>
      <c r="BF826" s="77"/>
      <c r="BG826" s="77"/>
      <c r="BH826" s="77"/>
      <c r="BI826" s="77"/>
    </row>
    <row r="827" spans="1:61" x14ac:dyDescent="0.25">
      <c r="A827" s="62" t="s">
        <v>492</v>
      </c>
      <c r="B827" s="62" t="s">
        <v>492</v>
      </c>
      <c r="C827" s="63"/>
      <c r="D827" s="64"/>
      <c r="E827" s="65"/>
      <c r="F827" s="66"/>
      <c r="G827" s="63"/>
      <c r="H827" s="67"/>
      <c r="I827" s="68"/>
      <c r="J827" s="68"/>
      <c r="K827" s="32"/>
      <c r="L827" s="75">
        <v>827</v>
      </c>
      <c r="M827" s="75"/>
      <c r="N827" s="70"/>
      <c r="O827" s="77" t="s">
        <v>179</v>
      </c>
      <c r="P827" s="79">
        <v>45196.916574074072</v>
      </c>
      <c r="Q827" s="77" t="s">
        <v>1667</v>
      </c>
      <c r="R827" s="77">
        <v>0</v>
      </c>
      <c r="S827" s="77">
        <v>0</v>
      </c>
      <c r="T827" s="77">
        <v>0</v>
      </c>
      <c r="U827" s="77">
        <v>0</v>
      </c>
      <c r="V827" s="77">
        <v>26</v>
      </c>
      <c r="W827" s="82" t="s">
        <v>5239</v>
      </c>
      <c r="X827" s="77"/>
      <c r="Y827" s="77"/>
      <c r="Z827" s="77"/>
      <c r="AA827" s="77" t="s">
        <v>7117</v>
      </c>
      <c r="AB827" s="77" t="s">
        <v>7742</v>
      </c>
      <c r="AC827" s="82" t="s">
        <v>7751</v>
      </c>
      <c r="AD827" s="77" t="s">
        <v>7788</v>
      </c>
      <c r="AE827" s="80" t="str">
        <f>HYPERLINK("https://twitter.com/raphael_tesla/status/1707153104796274869")</f>
        <v>https://twitter.com/raphael_tesla/status/1707153104796274869</v>
      </c>
      <c r="AF827" s="79">
        <v>45196.916574074072</v>
      </c>
      <c r="AG827" s="85">
        <v>45196</v>
      </c>
      <c r="AH827" s="82" t="s">
        <v>8532</v>
      </c>
      <c r="AI827" s="77" t="b">
        <v>0</v>
      </c>
      <c r="AJ827" s="77"/>
      <c r="AK827" s="77"/>
      <c r="AL827" s="77"/>
      <c r="AM827" s="77"/>
      <c r="AN827" s="77"/>
      <c r="AO827" s="77"/>
      <c r="AP827" s="77"/>
      <c r="AQ827" s="77" t="s">
        <v>11089</v>
      </c>
      <c r="AR827" s="77"/>
      <c r="AS827" s="77"/>
      <c r="AT827" s="77"/>
      <c r="AU827" s="77"/>
      <c r="AV827" s="80" t="str">
        <f>HYPERLINK("https://pbs.twimg.com/media/F7EGs6JXUAArQjW.jpg")</f>
        <v>https://pbs.twimg.com/media/F7EGs6JXUAArQjW.jpg</v>
      </c>
      <c r="AW827" s="82" t="s">
        <v>12513</v>
      </c>
      <c r="AX827" s="82" t="s">
        <v>12513</v>
      </c>
      <c r="AY827" s="77"/>
      <c r="AZ827" s="82" t="s">
        <v>15984</v>
      </c>
      <c r="BA827" s="82" t="s">
        <v>15984</v>
      </c>
      <c r="BB827" s="82" t="s">
        <v>15984</v>
      </c>
      <c r="BC827" s="82" t="s">
        <v>12513</v>
      </c>
      <c r="BD827" s="82" t="s">
        <v>16261</v>
      </c>
      <c r="BE827" s="77"/>
      <c r="BF827" s="77"/>
      <c r="BG827" s="77"/>
      <c r="BH827" s="77"/>
      <c r="BI827" s="77"/>
    </row>
    <row r="828" spans="1:61" x14ac:dyDescent="0.25">
      <c r="A828" s="62" t="s">
        <v>493</v>
      </c>
      <c r="B828" s="62" t="s">
        <v>805</v>
      </c>
      <c r="C828" s="63"/>
      <c r="D828" s="64"/>
      <c r="E828" s="65"/>
      <c r="F828" s="66"/>
      <c r="G828" s="63"/>
      <c r="H828" s="67"/>
      <c r="I828" s="68"/>
      <c r="J828" s="68"/>
      <c r="K828" s="32"/>
      <c r="L828" s="75">
        <v>828</v>
      </c>
      <c r="M828" s="75"/>
      <c r="N828" s="70"/>
      <c r="O828" s="77" t="s">
        <v>898</v>
      </c>
      <c r="P828" s="79">
        <v>44855.762187499997</v>
      </c>
      <c r="Q828" s="77" t="s">
        <v>1668</v>
      </c>
      <c r="R828" s="77">
        <v>16</v>
      </c>
      <c r="S828" s="77">
        <v>22</v>
      </c>
      <c r="T828" s="77">
        <v>0</v>
      </c>
      <c r="U828" s="77">
        <v>0</v>
      </c>
      <c r="V828" s="77"/>
      <c r="W828" s="82" t="s">
        <v>5240</v>
      </c>
      <c r="X828" s="77"/>
      <c r="Y828" s="77"/>
      <c r="Z828" s="77" t="s">
        <v>805</v>
      </c>
      <c r="AA828" s="77"/>
      <c r="AB828" s="77"/>
      <c r="AC828" s="82" t="s">
        <v>7750</v>
      </c>
      <c r="AD828" s="77" t="s">
        <v>7790</v>
      </c>
      <c r="AE828" s="80" t="str">
        <f>HYPERLINK("https://twitter.com/tomasrodri/status/1583522896214835200")</f>
        <v>https://twitter.com/tomasrodri/status/1583522896214835200</v>
      </c>
      <c r="AF828" s="79">
        <v>44855.762187499997</v>
      </c>
      <c r="AG828" s="85">
        <v>44855</v>
      </c>
      <c r="AH828" s="82" t="s">
        <v>8533</v>
      </c>
      <c r="AI828" s="77"/>
      <c r="AJ828" s="77"/>
      <c r="AK828" s="77"/>
      <c r="AL828" s="77"/>
      <c r="AM828" s="77"/>
      <c r="AN828" s="77"/>
      <c r="AO828" s="77"/>
      <c r="AP828" s="77"/>
      <c r="AQ828" s="77"/>
      <c r="AR828" s="77"/>
      <c r="AS828" s="77"/>
      <c r="AT828" s="77"/>
      <c r="AU828" s="77"/>
      <c r="AV828" s="80" t="str">
        <f>HYPERLINK("https://pbs.twimg.com/profile_images/1601700871254974464/VZF7ah_o_normal.jpg")</f>
        <v>https://pbs.twimg.com/profile_images/1601700871254974464/VZF7ah_o_normal.jpg</v>
      </c>
      <c r="AW828" s="82" t="s">
        <v>12514</v>
      </c>
      <c r="AX828" s="82" t="s">
        <v>15804</v>
      </c>
      <c r="AY828" s="82" t="s">
        <v>15949</v>
      </c>
      <c r="AZ828" s="82" t="s">
        <v>15804</v>
      </c>
      <c r="BA828" s="82" t="s">
        <v>15984</v>
      </c>
      <c r="BB828" s="82" t="s">
        <v>15984</v>
      </c>
      <c r="BC828" s="82" t="s">
        <v>15804</v>
      </c>
      <c r="BD828" s="77">
        <v>155100813</v>
      </c>
      <c r="BE828" s="77"/>
      <c r="BF828" s="77"/>
      <c r="BG828" s="77"/>
      <c r="BH828" s="77"/>
      <c r="BI828" s="77"/>
    </row>
    <row r="829" spans="1:61" x14ac:dyDescent="0.25">
      <c r="A829" s="62" t="s">
        <v>494</v>
      </c>
      <c r="B829" s="62" t="s">
        <v>805</v>
      </c>
      <c r="C829" s="63"/>
      <c r="D829" s="64"/>
      <c r="E829" s="65"/>
      <c r="F829" s="66"/>
      <c r="G829" s="63"/>
      <c r="H829" s="67"/>
      <c r="I829" s="68"/>
      <c r="J829" s="68"/>
      <c r="K829" s="32"/>
      <c r="L829" s="75">
        <v>829</v>
      </c>
      <c r="M829" s="75"/>
      <c r="N829" s="70"/>
      <c r="O829" s="77" t="s">
        <v>899</v>
      </c>
      <c r="P829" s="79">
        <v>45192.560115740744</v>
      </c>
      <c r="Q829" s="77" t="s">
        <v>1669</v>
      </c>
      <c r="R829" s="77">
        <v>16</v>
      </c>
      <c r="S829" s="77">
        <v>0</v>
      </c>
      <c r="T829" s="77">
        <v>0</v>
      </c>
      <c r="U829" s="77">
        <v>0</v>
      </c>
      <c r="V829" s="77"/>
      <c r="W829" s="77"/>
      <c r="X829" s="77"/>
      <c r="Y829" s="77"/>
      <c r="Z829" s="77" t="s">
        <v>6578</v>
      </c>
      <c r="AA829" s="77"/>
      <c r="AB829" s="77"/>
      <c r="AC829" s="82" t="s">
        <v>7751</v>
      </c>
      <c r="AD829" s="77" t="s">
        <v>7790</v>
      </c>
      <c r="AE829" s="80" t="str">
        <f>HYPERLINK("https://twitter.com/barreirodr/status/1705574380254724148")</f>
        <v>https://twitter.com/barreirodr/status/1705574380254724148</v>
      </c>
      <c r="AF829" s="79">
        <v>45192.560115740744</v>
      </c>
      <c r="AG829" s="85">
        <v>45192</v>
      </c>
      <c r="AH829" s="82" t="s">
        <v>8534</v>
      </c>
      <c r="AI829" s="77"/>
      <c r="AJ829" s="77"/>
      <c r="AK829" s="77"/>
      <c r="AL829" s="77"/>
      <c r="AM829" s="77"/>
      <c r="AN829" s="77"/>
      <c r="AO829" s="77"/>
      <c r="AP829" s="77"/>
      <c r="AQ829" s="77"/>
      <c r="AR829" s="77"/>
      <c r="AS829" s="77"/>
      <c r="AT829" s="77"/>
      <c r="AU829" s="77"/>
      <c r="AV829" s="80" t="str">
        <f>HYPERLINK("https://pbs.twimg.com/profile_images/1064206430490775552/IL6fF021_normal.jpg")</f>
        <v>https://pbs.twimg.com/profile_images/1064206430490775552/IL6fF021_normal.jpg</v>
      </c>
      <c r="AW829" s="82" t="s">
        <v>12515</v>
      </c>
      <c r="AX829" s="82" t="s">
        <v>12515</v>
      </c>
      <c r="AY829" s="77"/>
      <c r="AZ829" s="82" t="s">
        <v>15984</v>
      </c>
      <c r="BA829" s="82" t="s">
        <v>15984</v>
      </c>
      <c r="BB829" s="82" t="s">
        <v>12514</v>
      </c>
      <c r="BC829" s="82" t="s">
        <v>12514</v>
      </c>
      <c r="BD829" s="82" t="s">
        <v>16262</v>
      </c>
      <c r="BE829" s="77"/>
      <c r="BF829" s="77"/>
      <c r="BG829" s="77"/>
      <c r="BH829" s="77"/>
      <c r="BI829" s="77"/>
    </row>
    <row r="830" spans="1:61" x14ac:dyDescent="0.25">
      <c r="A830" s="62" t="s">
        <v>494</v>
      </c>
      <c r="B830" s="62" t="s">
        <v>493</v>
      </c>
      <c r="C830" s="63"/>
      <c r="D830" s="64"/>
      <c r="E830" s="65"/>
      <c r="F830" s="66"/>
      <c r="G830" s="63"/>
      <c r="H830" s="67"/>
      <c r="I830" s="68"/>
      <c r="J830" s="68"/>
      <c r="K830" s="32"/>
      <c r="L830" s="75">
        <v>830</v>
      </c>
      <c r="M830" s="75"/>
      <c r="N830" s="70"/>
      <c r="O830" s="77" t="s">
        <v>897</v>
      </c>
      <c r="P830" s="79">
        <v>45192.560115740744</v>
      </c>
      <c r="Q830" s="77" t="s">
        <v>1669</v>
      </c>
      <c r="R830" s="77">
        <v>16</v>
      </c>
      <c r="S830" s="77">
        <v>0</v>
      </c>
      <c r="T830" s="77">
        <v>0</v>
      </c>
      <c r="U830" s="77">
        <v>0</v>
      </c>
      <c r="V830" s="77"/>
      <c r="W830" s="77"/>
      <c r="X830" s="77"/>
      <c r="Y830" s="77"/>
      <c r="Z830" s="77" t="s">
        <v>6578</v>
      </c>
      <c r="AA830" s="77"/>
      <c r="AB830" s="77"/>
      <c r="AC830" s="82" t="s">
        <v>7751</v>
      </c>
      <c r="AD830" s="77" t="s">
        <v>7790</v>
      </c>
      <c r="AE830" s="80" t="str">
        <f>HYPERLINK("https://twitter.com/barreirodr/status/1705574380254724148")</f>
        <v>https://twitter.com/barreirodr/status/1705574380254724148</v>
      </c>
      <c r="AF830" s="79">
        <v>45192.560115740744</v>
      </c>
      <c r="AG830" s="85">
        <v>45192</v>
      </c>
      <c r="AH830" s="82" t="s">
        <v>8534</v>
      </c>
      <c r="AI830" s="77"/>
      <c r="AJ830" s="77"/>
      <c r="AK830" s="77"/>
      <c r="AL830" s="77"/>
      <c r="AM830" s="77"/>
      <c r="AN830" s="77"/>
      <c r="AO830" s="77"/>
      <c r="AP830" s="77"/>
      <c r="AQ830" s="77"/>
      <c r="AR830" s="77"/>
      <c r="AS830" s="77"/>
      <c r="AT830" s="77"/>
      <c r="AU830" s="77"/>
      <c r="AV830" s="80" t="str">
        <f>HYPERLINK("https://pbs.twimg.com/profile_images/1064206430490775552/IL6fF021_normal.jpg")</f>
        <v>https://pbs.twimg.com/profile_images/1064206430490775552/IL6fF021_normal.jpg</v>
      </c>
      <c r="AW830" s="82" t="s">
        <v>12515</v>
      </c>
      <c r="AX830" s="82" t="s">
        <v>12515</v>
      </c>
      <c r="AY830" s="77"/>
      <c r="AZ830" s="82" t="s">
        <v>15984</v>
      </c>
      <c r="BA830" s="82" t="s">
        <v>15984</v>
      </c>
      <c r="BB830" s="82" t="s">
        <v>12514</v>
      </c>
      <c r="BC830" s="82" t="s">
        <v>12514</v>
      </c>
      <c r="BD830" s="82" t="s">
        <v>16262</v>
      </c>
      <c r="BE830" s="77"/>
      <c r="BF830" s="77"/>
      <c r="BG830" s="77"/>
      <c r="BH830" s="77"/>
      <c r="BI830" s="77"/>
    </row>
    <row r="831" spans="1:61" x14ac:dyDescent="0.25">
      <c r="A831" s="62" t="s">
        <v>495</v>
      </c>
      <c r="B831" s="62" t="s">
        <v>495</v>
      </c>
      <c r="C831" s="63"/>
      <c r="D831" s="64"/>
      <c r="E831" s="65"/>
      <c r="F831" s="66"/>
      <c r="G831" s="63"/>
      <c r="H831" s="67"/>
      <c r="I831" s="68"/>
      <c r="J831" s="68"/>
      <c r="K831" s="32"/>
      <c r="L831" s="75">
        <v>831</v>
      </c>
      <c r="M831" s="75"/>
      <c r="N831" s="70"/>
      <c r="O831" s="77" t="s">
        <v>179</v>
      </c>
      <c r="P831" s="79">
        <v>45192.622499999998</v>
      </c>
      <c r="Q831" s="77" t="s">
        <v>1014</v>
      </c>
      <c r="R831" s="77">
        <v>0</v>
      </c>
      <c r="S831" s="77">
        <v>0</v>
      </c>
      <c r="T831" s="77">
        <v>0</v>
      </c>
      <c r="U831" s="77">
        <v>0</v>
      </c>
      <c r="V831" s="77">
        <v>24</v>
      </c>
      <c r="W831" s="82" t="s">
        <v>4849</v>
      </c>
      <c r="X831" s="77"/>
      <c r="Y831" s="77"/>
      <c r="Z831" s="77"/>
      <c r="AA831" s="77"/>
      <c r="AB831" s="77"/>
      <c r="AC831" s="82" t="s">
        <v>7750</v>
      </c>
      <c r="AD831" s="77" t="s">
        <v>7789</v>
      </c>
      <c r="AE831" s="80" t="str">
        <f>HYPERLINK("https://twitter.com/wallst_optimist/status/1705596985888133338")</f>
        <v>https://twitter.com/wallst_optimist/status/1705596985888133338</v>
      </c>
      <c r="AF831" s="79">
        <v>45192.622499999998</v>
      </c>
      <c r="AG831" s="85">
        <v>45192</v>
      </c>
      <c r="AH831" s="82" t="s">
        <v>8535</v>
      </c>
      <c r="AI831" s="77"/>
      <c r="AJ831" s="77"/>
      <c r="AK831" s="77"/>
      <c r="AL831" s="77"/>
      <c r="AM831" s="77"/>
      <c r="AN831" s="77"/>
      <c r="AO831" s="77"/>
      <c r="AP831" s="77"/>
      <c r="AQ831" s="77"/>
      <c r="AR831" s="77"/>
      <c r="AS831" s="77"/>
      <c r="AT831" s="77"/>
      <c r="AU831" s="77"/>
      <c r="AV831" s="80" t="str">
        <f>HYPERLINK("https://pbs.twimg.com/profile_images/1699372362133594112/k83HWIg8_normal.jpg")</f>
        <v>https://pbs.twimg.com/profile_images/1699372362133594112/k83HWIg8_normal.jpg</v>
      </c>
      <c r="AW831" s="82" t="s">
        <v>12516</v>
      </c>
      <c r="AX831" s="82" t="s">
        <v>12516</v>
      </c>
      <c r="AY831" s="77"/>
      <c r="AZ831" s="82" t="s">
        <v>15984</v>
      </c>
      <c r="BA831" s="82" t="s">
        <v>15984</v>
      </c>
      <c r="BB831" s="82" t="s">
        <v>15984</v>
      </c>
      <c r="BC831" s="82" t="s">
        <v>12516</v>
      </c>
      <c r="BD831" s="82" t="s">
        <v>16263</v>
      </c>
      <c r="BE831" s="77"/>
      <c r="BF831" s="77"/>
      <c r="BG831" s="77"/>
      <c r="BH831" s="77"/>
      <c r="BI831" s="77"/>
    </row>
    <row r="832" spans="1:61" x14ac:dyDescent="0.25">
      <c r="A832" s="62" t="s">
        <v>496</v>
      </c>
      <c r="B832" s="62" t="s">
        <v>496</v>
      </c>
      <c r="C832" s="63"/>
      <c r="D832" s="64"/>
      <c r="E832" s="65"/>
      <c r="F832" s="66"/>
      <c r="G832" s="63"/>
      <c r="H832" s="67"/>
      <c r="I832" s="68"/>
      <c r="J832" s="68"/>
      <c r="K832" s="32"/>
      <c r="L832" s="75">
        <v>832</v>
      </c>
      <c r="M832" s="75"/>
      <c r="N832" s="70"/>
      <c r="O832" s="77" t="s">
        <v>179</v>
      </c>
      <c r="P832" s="79">
        <v>45181.720520833333</v>
      </c>
      <c r="Q832" s="77" t="s">
        <v>1670</v>
      </c>
      <c r="R832" s="77">
        <v>0</v>
      </c>
      <c r="S832" s="77">
        <v>0</v>
      </c>
      <c r="T832" s="77">
        <v>0</v>
      </c>
      <c r="U832" s="77">
        <v>0</v>
      </c>
      <c r="V832" s="77">
        <v>101</v>
      </c>
      <c r="W832" s="82" t="s">
        <v>5241</v>
      </c>
      <c r="X832" s="77"/>
      <c r="Y832" s="77"/>
      <c r="Z832" s="77"/>
      <c r="AA832" s="77"/>
      <c r="AB832" s="77"/>
      <c r="AC832" s="82" t="s">
        <v>7750</v>
      </c>
      <c r="AD832" s="77" t="s">
        <v>7788</v>
      </c>
      <c r="AE832" s="80" t="str">
        <f>HYPERLINK("https://twitter.com/o_turco_/status/1701646241115849148")</f>
        <v>https://twitter.com/o_turco_/status/1701646241115849148</v>
      </c>
      <c r="AF832" s="79">
        <v>45181.720520833333</v>
      </c>
      <c r="AG832" s="85">
        <v>45181</v>
      </c>
      <c r="AH832" s="82" t="s">
        <v>8536</v>
      </c>
      <c r="AI832" s="77"/>
      <c r="AJ832" s="77"/>
      <c r="AK832" s="77"/>
      <c r="AL832" s="77"/>
      <c r="AM832" s="77"/>
      <c r="AN832" s="77"/>
      <c r="AO832" s="77"/>
      <c r="AP832" s="77"/>
      <c r="AQ832" s="77"/>
      <c r="AR832" s="77"/>
      <c r="AS832" s="77"/>
      <c r="AT832" s="77"/>
      <c r="AU832" s="77"/>
      <c r="AV832" s="80" t="str">
        <f>HYPERLINK("https://pbs.twimg.com/profile_images/1701311218097541120/rDP8vMkB_normal.jpg")</f>
        <v>https://pbs.twimg.com/profile_images/1701311218097541120/rDP8vMkB_normal.jpg</v>
      </c>
      <c r="AW832" s="82" t="s">
        <v>12517</v>
      </c>
      <c r="AX832" s="82" t="s">
        <v>12517</v>
      </c>
      <c r="AY832" s="77"/>
      <c r="AZ832" s="82" t="s">
        <v>15984</v>
      </c>
      <c r="BA832" s="82" t="s">
        <v>15984</v>
      </c>
      <c r="BB832" s="82" t="s">
        <v>15984</v>
      </c>
      <c r="BC832" s="82" t="s">
        <v>12517</v>
      </c>
      <c r="BD832" s="82" t="s">
        <v>16264</v>
      </c>
      <c r="BE832" s="77"/>
      <c r="BF832" s="77"/>
      <c r="BG832" s="77"/>
      <c r="BH832" s="77"/>
      <c r="BI832" s="77"/>
    </row>
    <row r="833" spans="1:61" x14ac:dyDescent="0.25">
      <c r="A833" s="62" t="s">
        <v>497</v>
      </c>
      <c r="B833" s="62" t="s">
        <v>806</v>
      </c>
      <c r="C833" s="63"/>
      <c r="D833" s="64"/>
      <c r="E833" s="65"/>
      <c r="F833" s="66"/>
      <c r="G833" s="63"/>
      <c r="H833" s="67"/>
      <c r="I833" s="68"/>
      <c r="J833" s="68"/>
      <c r="K833" s="32"/>
      <c r="L833" s="75">
        <v>833</v>
      </c>
      <c r="M833" s="75"/>
      <c r="N833" s="70"/>
      <c r="O833" s="77" t="s">
        <v>895</v>
      </c>
      <c r="P833" s="79">
        <v>45131.65693287037</v>
      </c>
      <c r="Q833" s="77" t="s">
        <v>1671</v>
      </c>
      <c r="R833" s="77">
        <v>0</v>
      </c>
      <c r="S833" s="77">
        <v>0</v>
      </c>
      <c r="T833" s="77">
        <v>1</v>
      </c>
      <c r="U833" s="77">
        <v>0</v>
      </c>
      <c r="V833" s="77">
        <v>173</v>
      </c>
      <c r="W833" s="82" t="s">
        <v>5242</v>
      </c>
      <c r="X833" s="77"/>
      <c r="Y833" s="77"/>
      <c r="Z833" s="77" t="s">
        <v>6579</v>
      </c>
      <c r="AA833" s="77"/>
      <c r="AB833" s="77"/>
      <c r="AC833" s="82" t="s">
        <v>7750</v>
      </c>
      <c r="AD833" s="77" t="s">
        <v>7788</v>
      </c>
      <c r="AE833" s="80" t="str">
        <f>HYPERLINK("https://twitter.com/caiorlvilar/status/1683503802651930624")</f>
        <v>https://twitter.com/caiorlvilar/status/1683503802651930624</v>
      </c>
      <c r="AF833" s="79">
        <v>45131.65693287037</v>
      </c>
      <c r="AG833" s="85">
        <v>45131</v>
      </c>
      <c r="AH833" s="82" t="s">
        <v>8537</v>
      </c>
      <c r="AI833" s="77"/>
      <c r="AJ833" s="77"/>
      <c r="AK833" s="77"/>
      <c r="AL833" s="77"/>
      <c r="AM833" s="77"/>
      <c r="AN833" s="77"/>
      <c r="AO833" s="77"/>
      <c r="AP833" s="77"/>
      <c r="AQ833" s="77"/>
      <c r="AR833" s="77"/>
      <c r="AS833" s="77"/>
      <c r="AT833" s="77"/>
      <c r="AU833" s="77"/>
      <c r="AV833" s="80" t="str">
        <f>HYPERLINK("https://pbs.twimg.com/profile_images/1628900743615840259/yPS6Rthl_normal.jpg")</f>
        <v>https://pbs.twimg.com/profile_images/1628900743615840259/yPS6Rthl_normal.jpg</v>
      </c>
      <c r="AW833" s="82" t="s">
        <v>12518</v>
      </c>
      <c r="AX833" s="82" t="s">
        <v>12518</v>
      </c>
      <c r="AY833" s="77"/>
      <c r="AZ833" s="82" t="s">
        <v>15984</v>
      </c>
      <c r="BA833" s="82" t="s">
        <v>15984</v>
      </c>
      <c r="BB833" s="82" t="s">
        <v>15984</v>
      </c>
      <c r="BC833" s="82" t="s">
        <v>12518</v>
      </c>
      <c r="BD833" s="82" t="s">
        <v>15950</v>
      </c>
      <c r="BE833" s="77"/>
      <c r="BF833" s="77"/>
      <c r="BG833" s="77"/>
      <c r="BH833" s="77"/>
      <c r="BI833" s="77"/>
    </row>
    <row r="834" spans="1:61" x14ac:dyDescent="0.25">
      <c r="A834" s="62" t="s">
        <v>497</v>
      </c>
      <c r="B834" s="62" t="s">
        <v>807</v>
      </c>
      <c r="C834" s="63"/>
      <c r="D834" s="64"/>
      <c r="E834" s="65"/>
      <c r="F834" s="66"/>
      <c r="G834" s="63"/>
      <c r="H834" s="67"/>
      <c r="I834" s="68"/>
      <c r="J834" s="68"/>
      <c r="K834" s="32"/>
      <c r="L834" s="75">
        <v>834</v>
      </c>
      <c r="M834" s="75"/>
      <c r="N834" s="70"/>
      <c r="O834" s="77" t="s">
        <v>895</v>
      </c>
      <c r="P834" s="79">
        <v>45131.65693287037</v>
      </c>
      <c r="Q834" s="77" t="s">
        <v>1671</v>
      </c>
      <c r="R834" s="77">
        <v>0</v>
      </c>
      <c r="S834" s="77">
        <v>0</v>
      </c>
      <c r="T834" s="77">
        <v>1</v>
      </c>
      <c r="U834" s="77">
        <v>0</v>
      </c>
      <c r="V834" s="77">
        <v>173</v>
      </c>
      <c r="W834" s="82" t="s">
        <v>5242</v>
      </c>
      <c r="X834" s="77"/>
      <c r="Y834" s="77"/>
      <c r="Z834" s="77" t="s">
        <v>6579</v>
      </c>
      <c r="AA834" s="77"/>
      <c r="AB834" s="77"/>
      <c r="AC834" s="82" t="s">
        <v>7750</v>
      </c>
      <c r="AD834" s="77" t="s">
        <v>7788</v>
      </c>
      <c r="AE834" s="80" t="str">
        <f>HYPERLINK("https://twitter.com/caiorlvilar/status/1683503802651930624")</f>
        <v>https://twitter.com/caiorlvilar/status/1683503802651930624</v>
      </c>
      <c r="AF834" s="79">
        <v>45131.65693287037</v>
      </c>
      <c r="AG834" s="85">
        <v>45131</v>
      </c>
      <c r="AH834" s="82" t="s">
        <v>8537</v>
      </c>
      <c r="AI834" s="77"/>
      <c r="AJ834" s="77"/>
      <c r="AK834" s="77"/>
      <c r="AL834" s="77"/>
      <c r="AM834" s="77"/>
      <c r="AN834" s="77"/>
      <c r="AO834" s="77"/>
      <c r="AP834" s="77"/>
      <c r="AQ834" s="77"/>
      <c r="AR834" s="77"/>
      <c r="AS834" s="77"/>
      <c r="AT834" s="77"/>
      <c r="AU834" s="77"/>
      <c r="AV834" s="80" t="str">
        <f>HYPERLINK("https://pbs.twimg.com/profile_images/1628900743615840259/yPS6Rthl_normal.jpg")</f>
        <v>https://pbs.twimg.com/profile_images/1628900743615840259/yPS6Rthl_normal.jpg</v>
      </c>
      <c r="AW834" s="82" t="s">
        <v>12518</v>
      </c>
      <c r="AX834" s="82" t="s">
        <v>12518</v>
      </c>
      <c r="AY834" s="77"/>
      <c r="AZ834" s="82" t="s">
        <v>15984</v>
      </c>
      <c r="BA834" s="82" t="s">
        <v>15984</v>
      </c>
      <c r="BB834" s="82" t="s">
        <v>15984</v>
      </c>
      <c r="BC834" s="82" t="s">
        <v>12518</v>
      </c>
      <c r="BD834" s="82" t="s">
        <v>15950</v>
      </c>
      <c r="BE834" s="77"/>
      <c r="BF834" s="77"/>
      <c r="BG834" s="77"/>
      <c r="BH834" s="77"/>
      <c r="BI834" s="77"/>
    </row>
    <row r="835" spans="1:61" x14ac:dyDescent="0.25">
      <c r="A835" s="62" t="s">
        <v>497</v>
      </c>
      <c r="B835" s="62" t="s">
        <v>497</v>
      </c>
      <c r="C835" s="63"/>
      <c r="D835" s="64"/>
      <c r="E835" s="65"/>
      <c r="F835" s="66"/>
      <c r="G835" s="63"/>
      <c r="H835" s="67"/>
      <c r="I835" s="68"/>
      <c r="J835" s="68"/>
      <c r="K835" s="32"/>
      <c r="L835" s="75">
        <v>835</v>
      </c>
      <c r="M835" s="75"/>
      <c r="N835" s="70"/>
      <c r="O835" s="77" t="s">
        <v>898</v>
      </c>
      <c r="P835" s="79">
        <v>45132.885821759257</v>
      </c>
      <c r="Q835" s="77" t="s">
        <v>1672</v>
      </c>
      <c r="R835" s="77">
        <v>0</v>
      </c>
      <c r="S835" s="77">
        <v>0</v>
      </c>
      <c r="T835" s="77">
        <v>0</v>
      </c>
      <c r="U835" s="77">
        <v>0</v>
      </c>
      <c r="V835" s="77">
        <v>55</v>
      </c>
      <c r="W835" s="82" t="s">
        <v>5243</v>
      </c>
      <c r="X835" s="77"/>
      <c r="Y835" s="77"/>
      <c r="Z835" s="77"/>
      <c r="AA835" s="77"/>
      <c r="AB835" s="77"/>
      <c r="AC835" s="82" t="s">
        <v>7750</v>
      </c>
      <c r="AD835" s="77" t="s">
        <v>7788</v>
      </c>
      <c r="AE835" s="80" t="str">
        <f>HYPERLINK("https://twitter.com/caiorlvilar/status/1683949138831110144")</f>
        <v>https://twitter.com/caiorlvilar/status/1683949138831110144</v>
      </c>
      <c r="AF835" s="79">
        <v>45132.885821759257</v>
      </c>
      <c r="AG835" s="85">
        <v>45132</v>
      </c>
      <c r="AH835" s="82" t="s">
        <v>8538</v>
      </c>
      <c r="AI835" s="77"/>
      <c r="AJ835" s="77"/>
      <c r="AK835" s="77"/>
      <c r="AL835" s="77"/>
      <c r="AM835" s="77"/>
      <c r="AN835" s="77"/>
      <c r="AO835" s="77"/>
      <c r="AP835" s="77"/>
      <c r="AQ835" s="77"/>
      <c r="AR835" s="77"/>
      <c r="AS835" s="77"/>
      <c r="AT835" s="77"/>
      <c r="AU835" s="77"/>
      <c r="AV835" s="80" t="str">
        <f>HYPERLINK("https://pbs.twimg.com/profile_images/1628900743615840259/yPS6Rthl_normal.jpg")</f>
        <v>https://pbs.twimg.com/profile_images/1628900743615840259/yPS6Rthl_normal.jpg</v>
      </c>
      <c r="AW835" s="82" t="s">
        <v>12519</v>
      </c>
      <c r="AX835" s="82" t="s">
        <v>15805</v>
      </c>
      <c r="AY835" s="82" t="s">
        <v>15950</v>
      </c>
      <c r="AZ835" s="82" t="s">
        <v>16025</v>
      </c>
      <c r="BA835" s="82" t="s">
        <v>15984</v>
      </c>
      <c r="BB835" s="82" t="s">
        <v>15984</v>
      </c>
      <c r="BC835" s="82" t="s">
        <v>16025</v>
      </c>
      <c r="BD835" s="82" t="s">
        <v>15950</v>
      </c>
      <c r="BE835" s="77"/>
      <c r="BF835" s="77"/>
      <c r="BG835" s="77"/>
      <c r="BH835" s="77"/>
      <c r="BI835" s="77"/>
    </row>
    <row r="836" spans="1:61" x14ac:dyDescent="0.25">
      <c r="A836" s="62" t="s">
        <v>497</v>
      </c>
      <c r="B836" s="62" t="s">
        <v>497</v>
      </c>
      <c r="C836" s="63"/>
      <c r="D836" s="64"/>
      <c r="E836" s="65"/>
      <c r="F836" s="66"/>
      <c r="G836" s="63"/>
      <c r="H836" s="67"/>
      <c r="I836" s="68"/>
      <c r="J836" s="68"/>
      <c r="K836" s="32"/>
      <c r="L836" s="75">
        <v>836</v>
      </c>
      <c r="M836" s="75"/>
      <c r="N836" s="70"/>
      <c r="O836" s="77" t="s">
        <v>898</v>
      </c>
      <c r="P836" s="79">
        <v>45138.518576388888</v>
      </c>
      <c r="Q836" s="77" t="s">
        <v>1673</v>
      </c>
      <c r="R836" s="77">
        <v>0</v>
      </c>
      <c r="S836" s="77">
        <v>0</v>
      </c>
      <c r="T836" s="77">
        <v>0</v>
      </c>
      <c r="U836" s="77">
        <v>0</v>
      </c>
      <c r="V836" s="77">
        <v>33</v>
      </c>
      <c r="W836" s="82" t="s">
        <v>5242</v>
      </c>
      <c r="X836" s="77"/>
      <c r="Y836" s="77"/>
      <c r="Z836" s="77"/>
      <c r="AA836" s="77"/>
      <c r="AB836" s="77"/>
      <c r="AC836" s="82" t="s">
        <v>7750</v>
      </c>
      <c r="AD836" s="77" t="s">
        <v>7788</v>
      </c>
      <c r="AE836" s="80" t="str">
        <f>HYPERLINK("https://twitter.com/caiorlvilar/status/1685990382356635648")</f>
        <v>https://twitter.com/caiorlvilar/status/1685990382356635648</v>
      </c>
      <c r="AF836" s="79">
        <v>45138.518576388888</v>
      </c>
      <c r="AG836" s="85">
        <v>45138</v>
      </c>
      <c r="AH836" s="82" t="s">
        <v>8539</v>
      </c>
      <c r="AI836" s="77"/>
      <c r="AJ836" s="77"/>
      <c r="AK836" s="77"/>
      <c r="AL836" s="77"/>
      <c r="AM836" s="77"/>
      <c r="AN836" s="77"/>
      <c r="AO836" s="77"/>
      <c r="AP836" s="77"/>
      <c r="AQ836" s="77"/>
      <c r="AR836" s="77"/>
      <c r="AS836" s="77"/>
      <c r="AT836" s="77"/>
      <c r="AU836" s="77"/>
      <c r="AV836" s="80" t="str">
        <f>HYPERLINK("https://pbs.twimg.com/profile_images/1628900743615840259/yPS6Rthl_normal.jpg")</f>
        <v>https://pbs.twimg.com/profile_images/1628900743615840259/yPS6Rthl_normal.jpg</v>
      </c>
      <c r="AW836" s="82" t="s">
        <v>12520</v>
      </c>
      <c r="AX836" s="82" t="s">
        <v>15806</v>
      </c>
      <c r="AY836" s="82" t="s">
        <v>15950</v>
      </c>
      <c r="AZ836" s="82" t="s">
        <v>16026</v>
      </c>
      <c r="BA836" s="82" t="s">
        <v>15984</v>
      </c>
      <c r="BB836" s="82" t="s">
        <v>15984</v>
      </c>
      <c r="BC836" s="82" t="s">
        <v>16026</v>
      </c>
      <c r="BD836" s="82" t="s">
        <v>15950</v>
      </c>
      <c r="BE836" s="77"/>
      <c r="BF836" s="77"/>
      <c r="BG836" s="77"/>
      <c r="BH836" s="77"/>
      <c r="BI836" s="77"/>
    </row>
    <row r="837" spans="1:61" x14ac:dyDescent="0.25">
      <c r="A837" s="62" t="s">
        <v>497</v>
      </c>
      <c r="B837" s="62" t="s">
        <v>497</v>
      </c>
      <c r="C837" s="63"/>
      <c r="D837" s="64"/>
      <c r="E837" s="65"/>
      <c r="F837" s="66"/>
      <c r="G837" s="63"/>
      <c r="H837" s="67"/>
      <c r="I837" s="68"/>
      <c r="J837" s="68"/>
      <c r="K837" s="32"/>
      <c r="L837" s="75">
        <v>837</v>
      </c>
      <c r="M837" s="75"/>
      <c r="N837" s="70"/>
      <c r="O837" s="77" t="s">
        <v>898</v>
      </c>
      <c r="P837" s="79">
        <v>45152.921134259261</v>
      </c>
      <c r="Q837" s="77" t="s">
        <v>1674</v>
      </c>
      <c r="R837" s="77">
        <v>0</v>
      </c>
      <c r="S837" s="77">
        <v>0</v>
      </c>
      <c r="T837" s="77">
        <v>0</v>
      </c>
      <c r="U837" s="77">
        <v>0</v>
      </c>
      <c r="V837" s="77">
        <v>70</v>
      </c>
      <c r="W837" s="82" t="s">
        <v>5242</v>
      </c>
      <c r="X837" s="77"/>
      <c r="Y837" s="77"/>
      <c r="Z837" s="77"/>
      <c r="AA837" s="77"/>
      <c r="AB837" s="77"/>
      <c r="AC837" s="82" t="s">
        <v>7750</v>
      </c>
      <c r="AD837" s="77" t="s">
        <v>7788</v>
      </c>
      <c r="AE837" s="80" t="str">
        <f>HYPERLINK("https://twitter.com/caiorlvilar/status/1691209694122004481")</f>
        <v>https://twitter.com/caiorlvilar/status/1691209694122004481</v>
      </c>
      <c r="AF837" s="79">
        <v>45152.921134259261</v>
      </c>
      <c r="AG837" s="85">
        <v>45152</v>
      </c>
      <c r="AH837" s="82" t="s">
        <v>8540</v>
      </c>
      <c r="AI837" s="77"/>
      <c r="AJ837" s="77"/>
      <c r="AK837" s="77"/>
      <c r="AL837" s="77"/>
      <c r="AM837" s="77"/>
      <c r="AN837" s="77"/>
      <c r="AO837" s="77"/>
      <c r="AP837" s="77"/>
      <c r="AQ837" s="77"/>
      <c r="AR837" s="77"/>
      <c r="AS837" s="77"/>
      <c r="AT837" s="77"/>
      <c r="AU837" s="77"/>
      <c r="AV837" s="80" t="str">
        <f>HYPERLINK("https://pbs.twimg.com/profile_images/1628900743615840259/yPS6Rthl_normal.jpg")</f>
        <v>https://pbs.twimg.com/profile_images/1628900743615840259/yPS6Rthl_normal.jpg</v>
      </c>
      <c r="AW837" s="82" t="s">
        <v>12521</v>
      </c>
      <c r="AX837" s="82" t="s">
        <v>15807</v>
      </c>
      <c r="AY837" s="82" t="s">
        <v>15950</v>
      </c>
      <c r="AZ837" s="82" t="s">
        <v>16027</v>
      </c>
      <c r="BA837" s="82" t="s">
        <v>15984</v>
      </c>
      <c r="BB837" s="82" t="s">
        <v>15984</v>
      </c>
      <c r="BC837" s="82" t="s">
        <v>16027</v>
      </c>
      <c r="BD837" s="82" t="s">
        <v>15950</v>
      </c>
      <c r="BE837" s="77"/>
      <c r="BF837" s="77"/>
      <c r="BG837" s="77"/>
      <c r="BH837" s="77"/>
      <c r="BI837" s="77"/>
    </row>
    <row r="838" spans="1:61" x14ac:dyDescent="0.25">
      <c r="A838" s="62" t="s">
        <v>498</v>
      </c>
      <c r="B838" s="62" t="s">
        <v>502</v>
      </c>
      <c r="C838" s="63"/>
      <c r="D838" s="64"/>
      <c r="E838" s="65"/>
      <c r="F838" s="66"/>
      <c r="G838" s="63"/>
      <c r="H838" s="67"/>
      <c r="I838" s="68"/>
      <c r="J838" s="68"/>
      <c r="K838" s="32"/>
      <c r="L838" s="75">
        <v>838</v>
      </c>
      <c r="M838" s="75"/>
      <c r="N838" s="70"/>
      <c r="O838" s="77" t="s">
        <v>897</v>
      </c>
      <c r="P838" s="79">
        <v>45189.760694444441</v>
      </c>
      <c r="Q838" s="77" t="s">
        <v>1118</v>
      </c>
      <c r="R838" s="77">
        <v>12</v>
      </c>
      <c r="S838" s="77">
        <v>0</v>
      </c>
      <c r="T838" s="77">
        <v>0</v>
      </c>
      <c r="U838" s="77">
        <v>0</v>
      </c>
      <c r="V838" s="77"/>
      <c r="W838" s="82" t="s">
        <v>4934</v>
      </c>
      <c r="X838" s="77"/>
      <c r="Y838" s="77"/>
      <c r="Z838" s="77" t="s">
        <v>502</v>
      </c>
      <c r="AA838" s="77"/>
      <c r="AB838" s="77"/>
      <c r="AC838" s="82" t="s">
        <v>7751</v>
      </c>
      <c r="AD838" s="77" t="s">
        <v>7790</v>
      </c>
      <c r="AE838" s="80" t="str">
        <f>HYPERLINK("https://twitter.com/rubenswilde/status/1704559902461469026")</f>
        <v>https://twitter.com/rubenswilde/status/1704559902461469026</v>
      </c>
      <c r="AF838" s="79">
        <v>45189.760694444441</v>
      </c>
      <c r="AG838" s="85">
        <v>45189</v>
      </c>
      <c r="AH838" s="82" t="s">
        <v>8541</v>
      </c>
      <c r="AI838" s="77"/>
      <c r="AJ838" s="77"/>
      <c r="AK838" s="77"/>
      <c r="AL838" s="77"/>
      <c r="AM838" s="77"/>
      <c r="AN838" s="77"/>
      <c r="AO838" s="77"/>
      <c r="AP838" s="77"/>
      <c r="AQ838" s="77"/>
      <c r="AR838" s="77"/>
      <c r="AS838" s="77"/>
      <c r="AT838" s="77"/>
      <c r="AU838" s="77"/>
      <c r="AV838" s="80" t="str">
        <f>HYPERLINK("https://pbs.twimg.com/profile_images/2508186473/0ksiurr0ifg8n9rbwsgn_normal.jpeg")</f>
        <v>https://pbs.twimg.com/profile_images/2508186473/0ksiurr0ifg8n9rbwsgn_normal.jpeg</v>
      </c>
      <c r="AW838" s="82" t="s">
        <v>12522</v>
      </c>
      <c r="AX838" s="82" t="s">
        <v>12522</v>
      </c>
      <c r="AY838" s="77"/>
      <c r="AZ838" s="82" t="s">
        <v>15984</v>
      </c>
      <c r="BA838" s="82" t="s">
        <v>15984</v>
      </c>
      <c r="BB838" s="82" t="s">
        <v>13287</v>
      </c>
      <c r="BC838" s="82" t="s">
        <v>13287</v>
      </c>
      <c r="BD838" s="77">
        <v>759023748</v>
      </c>
      <c r="BE838" s="77"/>
      <c r="BF838" s="77"/>
      <c r="BG838" s="77"/>
      <c r="BH838" s="77"/>
      <c r="BI838" s="77"/>
    </row>
    <row r="839" spans="1:61" x14ac:dyDescent="0.25">
      <c r="A839" s="62" t="s">
        <v>499</v>
      </c>
      <c r="B839" s="62" t="s">
        <v>499</v>
      </c>
      <c r="C839" s="63"/>
      <c r="D839" s="64"/>
      <c r="E839" s="65"/>
      <c r="F839" s="66"/>
      <c r="G839" s="63"/>
      <c r="H839" s="67"/>
      <c r="I839" s="68"/>
      <c r="J839" s="68"/>
      <c r="K839" s="32"/>
      <c r="L839" s="75">
        <v>839</v>
      </c>
      <c r="M839" s="75"/>
      <c r="N839" s="70"/>
      <c r="O839" s="77" t="s">
        <v>179</v>
      </c>
      <c r="P839" s="79">
        <v>45140.958784722221</v>
      </c>
      <c r="Q839" s="77" t="s">
        <v>1675</v>
      </c>
      <c r="R839" s="77">
        <v>0</v>
      </c>
      <c r="S839" s="77">
        <v>0</v>
      </c>
      <c r="T839" s="77">
        <v>0</v>
      </c>
      <c r="U839" s="77">
        <v>0</v>
      </c>
      <c r="V839" s="77">
        <v>64</v>
      </c>
      <c r="W839" s="82" t="s">
        <v>5244</v>
      </c>
      <c r="X839" s="77"/>
      <c r="Y839" s="77"/>
      <c r="Z839" s="77"/>
      <c r="AA839" s="77"/>
      <c r="AB839" s="77"/>
      <c r="AC839" s="82" t="s">
        <v>7752</v>
      </c>
      <c r="AD839" s="77" t="s">
        <v>7788</v>
      </c>
      <c r="AE839" s="80" t="str">
        <f>HYPERLINK("https://twitter.com/omarcosviniciuz/status/1686874683499589632")</f>
        <v>https://twitter.com/omarcosviniciuz/status/1686874683499589632</v>
      </c>
      <c r="AF839" s="79">
        <v>45140.958784722221</v>
      </c>
      <c r="AG839" s="85">
        <v>45140</v>
      </c>
      <c r="AH839" s="82" t="s">
        <v>8542</v>
      </c>
      <c r="AI839" s="77"/>
      <c r="AJ839" s="77"/>
      <c r="AK839" s="77"/>
      <c r="AL839" s="77"/>
      <c r="AM839" s="77"/>
      <c r="AN839" s="77"/>
      <c r="AO839" s="77"/>
      <c r="AP839" s="77"/>
      <c r="AQ839" s="77"/>
      <c r="AR839" s="77"/>
      <c r="AS839" s="77"/>
      <c r="AT839" s="77"/>
      <c r="AU839" s="77"/>
      <c r="AV839" s="80" t="str">
        <f>HYPERLINK("https://pbs.twimg.com/profile_images/1703091109541421057/2IpYVHoK_normal.jpg")</f>
        <v>https://pbs.twimg.com/profile_images/1703091109541421057/2IpYVHoK_normal.jpg</v>
      </c>
      <c r="AW839" s="82" t="s">
        <v>12523</v>
      </c>
      <c r="AX839" s="82" t="s">
        <v>12523</v>
      </c>
      <c r="AY839" s="77"/>
      <c r="AZ839" s="82" t="s">
        <v>15984</v>
      </c>
      <c r="BA839" s="82" t="s">
        <v>15984</v>
      </c>
      <c r="BB839" s="82" t="s">
        <v>15984</v>
      </c>
      <c r="BC839" s="82" t="s">
        <v>12523</v>
      </c>
      <c r="BD839" s="82" t="s">
        <v>16265</v>
      </c>
      <c r="BE839" s="77"/>
      <c r="BF839" s="77"/>
      <c r="BG839" s="77"/>
      <c r="BH839" s="77"/>
      <c r="BI839" s="77"/>
    </row>
    <row r="840" spans="1:61" x14ac:dyDescent="0.25">
      <c r="A840" s="62" t="s">
        <v>500</v>
      </c>
      <c r="B840" s="62" t="s">
        <v>500</v>
      </c>
      <c r="C840" s="63"/>
      <c r="D840" s="64"/>
      <c r="E840" s="65"/>
      <c r="F840" s="66"/>
      <c r="G840" s="63"/>
      <c r="H840" s="67"/>
      <c r="I840" s="68"/>
      <c r="J840" s="68"/>
      <c r="K840" s="32"/>
      <c r="L840" s="75">
        <v>840</v>
      </c>
      <c r="M840" s="75"/>
      <c r="N840" s="70"/>
      <c r="O840" s="77" t="s">
        <v>179</v>
      </c>
      <c r="P840" s="79">
        <v>45124.722395833334</v>
      </c>
      <c r="Q840" s="77" t="s">
        <v>1676</v>
      </c>
      <c r="R840" s="77">
        <v>0</v>
      </c>
      <c r="S840" s="77">
        <v>0</v>
      </c>
      <c r="T840" s="77">
        <v>0</v>
      </c>
      <c r="U840" s="77">
        <v>0</v>
      </c>
      <c r="V840" s="77">
        <v>10</v>
      </c>
      <c r="W840" s="82" t="s">
        <v>5245</v>
      </c>
      <c r="X840" s="77"/>
      <c r="Y840" s="77"/>
      <c r="Z840" s="77"/>
      <c r="AA840" s="77" t="s">
        <v>7118</v>
      </c>
      <c r="AB840" s="77" t="s">
        <v>7742</v>
      </c>
      <c r="AC840" s="82" t="s">
        <v>7757</v>
      </c>
      <c r="AD840" s="77" t="s">
        <v>7788</v>
      </c>
      <c r="AE840" s="80" t="str">
        <f>HYPERLINK("https://twitter.com/cgdcursos/status/1680990809766674435")</f>
        <v>https://twitter.com/cgdcursos/status/1680990809766674435</v>
      </c>
      <c r="AF840" s="79">
        <v>45124.722395833334</v>
      </c>
      <c r="AG840" s="85">
        <v>45124</v>
      </c>
      <c r="AH840" s="82" t="s">
        <v>8543</v>
      </c>
      <c r="AI840" s="77" t="b">
        <v>0</v>
      </c>
      <c r="AJ840" s="77"/>
      <c r="AK840" s="77"/>
      <c r="AL840" s="77"/>
      <c r="AM840" s="77"/>
      <c r="AN840" s="77"/>
      <c r="AO840" s="77"/>
      <c r="AP840" s="77"/>
      <c r="AQ840" s="77" t="s">
        <v>11090</v>
      </c>
      <c r="AR840" s="77"/>
      <c r="AS840" s="77"/>
      <c r="AT840" s="77"/>
      <c r="AU840" s="77"/>
      <c r="AV840" s="80" t="str">
        <f>HYPERLINK("https://pbs.twimg.com/media/F1QUO73XsAAbDxJ.jpg")</f>
        <v>https://pbs.twimg.com/media/F1QUO73XsAAbDxJ.jpg</v>
      </c>
      <c r="AW840" s="82" t="s">
        <v>12524</v>
      </c>
      <c r="AX840" s="82" t="s">
        <v>12524</v>
      </c>
      <c r="AY840" s="77"/>
      <c r="AZ840" s="82" t="s">
        <v>15984</v>
      </c>
      <c r="BA840" s="82" t="s">
        <v>15984</v>
      </c>
      <c r="BB840" s="82" t="s">
        <v>15984</v>
      </c>
      <c r="BC840" s="82" t="s">
        <v>12524</v>
      </c>
      <c r="BD840" s="82" t="s">
        <v>16266</v>
      </c>
      <c r="BE840" s="77"/>
      <c r="BF840" s="77"/>
      <c r="BG840" s="77"/>
      <c r="BH840" s="77"/>
      <c r="BI840" s="77"/>
    </row>
    <row r="841" spans="1:61" x14ac:dyDescent="0.25">
      <c r="A841" s="62" t="s">
        <v>501</v>
      </c>
      <c r="B841" s="62" t="s">
        <v>501</v>
      </c>
      <c r="C841" s="63"/>
      <c r="D841" s="64"/>
      <c r="E841" s="65"/>
      <c r="F841" s="66"/>
      <c r="G841" s="63"/>
      <c r="H841" s="67"/>
      <c r="I841" s="68"/>
      <c r="J841" s="68"/>
      <c r="K841" s="32"/>
      <c r="L841" s="75">
        <v>841</v>
      </c>
      <c r="M841" s="75"/>
      <c r="N841" s="70"/>
      <c r="O841" s="77" t="s">
        <v>898</v>
      </c>
      <c r="P841" s="79">
        <v>45131.628229166665</v>
      </c>
      <c r="Q841" s="77" t="s">
        <v>1677</v>
      </c>
      <c r="R841" s="77">
        <v>0</v>
      </c>
      <c r="S841" s="77">
        <v>0</v>
      </c>
      <c r="T841" s="77">
        <v>0</v>
      </c>
      <c r="U841" s="77">
        <v>0</v>
      </c>
      <c r="V841" s="77">
        <v>100</v>
      </c>
      <c r="W841" s="82" t="s">
        <v>5246</v>
      </c>
      <c r="X841" s="77"/>
      <c r="Y841" s="77"/>
      <c r="Z841" s="77"/>
      <c r="AA841" s="77"/>
      <c r="AB841" s="77"/>
      <c r="AC841" s="82" t="s">
        <v>7752</v>
      </c>
      <c r="AD841" s="77" t="s">
        <v>7796</v>
      </c>
      <c r="AE841" s="80" t="str">
        <f>HYPERLINK("https://twitter.com/bpmoney_/status/1683493402791362560")</f>
        <v>https://twitter.com/bpmoney_/status/1683493402791362560</v>
      </c>
      <c r="AF841" s="79">
        <v>45131.628229166665</v>
      </c>
      <c r="AG841" s="85">
        <v>45131</v>
      </c>
      <c r="AH841" s="82" t="s">
        <v>8544</v>
      </c>
      <c r="AI841" s="77"/>
      <c r="AJ841" s="77"/>
      <c r="AK841" s="77"/>
      <c r="AL841" s="77"/>
      <c r="AM841" s="77"/>
      <c r="AN841" s="77"/>
      <c r="AO841" s="77"/>
      <c r="AP841" s="77"/>
      <c r="AQ841" s="77"/>
      <c r="AR841" s="77"/>
      <c r="AS841" s="77"/>
      <c r="AT841" s="77"/>
      <c r="AU841" s="77"/>
      <c r="AV841" s="80" t="str">
        <f>HYPERLINK("https://pbs.twimg.com/profile_images/1518936529674117121/MCMYTicP_normal.jpg")</f>
        <v>https://pbs.twimg.com/profile_images/1518936529674117121/MCMYTicP_normal.jpg</v>
      </c>
      <c r="AW841" s="82" t="s">
        <v>12525</v>
      </c>
      <c r="AX841" s="82" t="s">
        <v>15808</v>
      </c>
      <c r="AY841" s="82" t="s">
        <v>15951</v>
      </c>
      <c r="AZ841" s="82" t="s">
        <v>15808</v>
      </c>
      <c r="BA841" s="82" t="s">
        <v>15984</v>
      </c>
      <c r="BB841" s="82" t="s">
        <v>15984</v>
      </c>
      <c r="BC841" s="82" t="s">
        <v>15808</v>
      </c>
      <c r="BD841" s="82" t="s">
        <v>15951</v>
      </c>
      <c r="BE841" s="77"/>
      <c r="BF841" s="77"/>
      <c r="BG841" s="77"/>
      <c r="BH841" s="77"/>
      <c r="BI841" s="77"/>
    </row>
    <row r="842" spans="1:61" x14ac:dyDescent="0.25">
      <c r="A842" s="62" t="s">
        <v>501</v>
      </c>
      <c r="B842" s="62" t="s">
        <v>501</v>
      </c>
      <c r="C842" s="63"/>
      <c r="D842" s="64"/>
      <c r="E842" s="65"/>
      <c r="F842" s="66"/>
      <c r="G842" s="63"/>
      <c r="H842" s="67"/>
      <c r="I842" s="68"/>
      <c r="J842" s="68"/>
      <c r="K842" s="32"/>
      <c r="L842" s="75">
        <v>842</v>
      </c>
      <c r="M842" s="75"/>
      <c r="N842" s="70"/>
      <c r="O842" s="77" t="s">
        <v>898</v>
      </c>
      <c r="P842" s="79">
        <v>45131.628032407411</v>
      </c>
      <c r="Q842" s="77" t="s">
        <v>1678</v>
      </c>
      <c r="R842" s="77">
        <v>0</v>
      </c>
      <c r="S842" s="77">
        <v>0</v>
      </c>
      <c r="T842" s="77">
        <v>0</v>
      </c>
      <c r="U842" s="77">
        <v>0</v>
      </c>
      <c r="V842" s="77">
        <v>239</v>
      </c>
      <c r="W842" s="82" t="s">
        <v>5247</v>
      </c>
      <c r="X842" s="77"/>
      <c r="Y842" s="77"/>
      <c r="Z842" s="77"/>
      <c r="AA842" s="77"/>
      <c r="AB842" s="77"/>
      <c r="AC842" s="82" t="s">
        <v>7752</v>
      </c>
      <c r="AD842" s="77" t="s">
        <v>7796</v>
      </c>
      <c r="AE842" s="80" t="str">
        <f>HYPERLINK("https://twitter.com/bpmoney_/status/1683493329181261826")</f>
        <v>https://twitter.com/bpmoney_/status/1683493329181261826</v>
      </c>
      <c r="AF842" s="79">
        <v>45131.628032407411</v>
      </c>
      <c r="AG842" s="85">
        <v>45131</v>
      </c>
      <c r="AH842" s="82" t="s">
        <v>8545</v>
      </c>
      <c r="AI842" s="77"/>
      <c r="AJ842" s="77"/>
      <c r="AK842" s="77"/>
      <c r="AL842" s="77"/>
      <c r="AM842" s="77"/>
      <c r="AN842" s="77"/>
      <c r="AO842" s="77"/>
      <c r="AP842" s="77"/>
      <c r="AQ842" s="77"/>
      <c r="AR842" s="77"/>
      <c r="AS842" s="77"/>
      <c r="AT842" s="77"/>
      <c r="AU842" s="77"/>
      <c r="AV842" s="80" t="str">
        <f>HYPERLINK("https://pbs.twimg.com/profile_images/1518936529674117121/MCMYTicP_normal.jpg")</f>
        <v>https://pbs.twimg.com/profile_images/1518936529674117121/MCMYTicP_normal.jpg</v>
      </c>
      <c r="AW842" s="82" t="s">
        <v>12526</v>
      </c>
      <c r="AX842" s="82" t="s">
        <v>15809</v>
      </c>
      <c r="AY842" s="82" t="s">
        <v>15951</v>
      </c>
      <c r="AZ842" s="82" t="s">
        <v>15809</v>
      </c>
      <c r="BA842" s="82" t="s">
        <v>15984</v>
      </c>
      <c r="BB842" s="82" t="s">
        <v>15984</v>
      </c>
      <c r="BC842" s="82" t="s">
        <v>15809</v>
      </c>
      <c r="BD842" s="82" t="s">
        <v>15951</v>
      </c>
      <c r="BE842" s="77"/>
      <c r="BF842" s="77"/>
      <c r="BG842" s="77"/>
      <c r="BH842" s="77"/>
      <c r="BI842" s="77"/>
    </row>
    <row r="843" spans="1:61" x14ac:dyDescent="0.25">
      <c r="A843" s="62" t="s">
        <v>501</v>
      </c>
      <c r="B843" s="62" t="s">
        <v>501</v>
      </c>
      <c r="C843" s="63"/>
      <c r="D843" s="64"/>
      <c r="E843" s="65"/>
      <c r="F843" s="66"/>
      <c r="G843" s="63"/>
      <c r="H843" s="67"/>
      <c r="I843" s="68"/>
      <c r="J843" s="68"/>
      <c r="K843" s="32"/>
      <c r="L843" s="75">
        <v>843</v>
      </c>
      <c r="M843" s="75"/>
      <c r="N843" s="70"/>
      <c r="O843" s="77" t="s">
        <v>898</v>
      </c>
      <c r="P843" s="79">
        <v>45131.627604166664</v>
      </c>
      <c r="Q843" s="77" t="s">
        <v>1679</v>
      </c>
      <c r="R843" s="77">
        <v>0</v>
      </c>
      <c r="S843" s="77">
        <v>0</v>
      </c>
      <c r="T843" s="77">
        <v>0</v>
      </c>
      <c r="U843" s="77">
        <v>0</v>
      </c>
      <c r="V843" s="77">
        <v>93</v>
      </c>
      <c r="W843" s="82" t="s">
        <v>5248</v>
      </c>
      <c r="X843" s="77"/>
      <c r="Y843" s="77"/>
      <c r="Z843" s="77"/>
      <c r="AA843" s="77"/>
      <c r="AB843" s="77"/>
      <c r="AC843" s="82" t="s">
        <v>7752</v>
      </c>
      <c r="AD843" s="77" t="s">
        <v>7796</v>
      </c>
      <c r="AE843" s="80" t="str">
        <f>HYPERLINK("https://twitter.com/bpmoney_/status/1683493177599180803")</f>
        <v>https://twitter.com/bpmoney_/status/1683493177599180803</v>
      </c>
      <c r="AF843" s="79">
        <v>45131.627604166664</v>
      </c>
      <c r="AG843" s="85">
        <v>45131</v>
      </c>
      <c r="AH843" s="82" t="s">
        <v>8546</v>
      </c>
      <c r="AI843" s="77"/>
      <c r="AJ843" s="77"/>
      <c r="AK843" s="77"/>
      <c r="AL843" s="77"/>
      <c r="AM843" s="77"/>
      <c r="AN843" s="77"/>
      <c r="AO843" s="77"/>
      <c r="AP843" s="77"/>
      <c r="AQ843" s="77"/>
      <c r="AR843" s="77"/>
      <c r="AS843" s="77"/>
      <c r="AT843" s="77"/>
      <c r="AU843" s="77"/>
      <c r="AV843" s="80" t="str">
        <f>HYPERLINK("https://pbs.twimg.com/profile_images/1518936529674117121/MCMYTicP_normal.jpg")</f>
        <v>https://pbs.twimg.com/profile_images/1518936529674117121/MCMYTicP_normal.jpg</v>
      </c>
      <c r="AW843" s="82" t="s">
        <v>12527</v>
      </c>
      <c r="AX843" s="82" t="s">
        <v>15810</v>
      </c>
      <c r="AY843" s="82" t="s">
        <v>15951</v>
      </c>
      <c r="AZ843" s="82" t="s">
        <v>15810</v>
      </c>
      <c r="BA843" s="82" t="s">
        <v>15984</v>
      </c>
      <c r="BB843" s="82" t="s">
        <v>15984</v>
      </c>
      <c r="BC843" s="82" t="s">
        <v>15810</v>
      </c>
      <c r="BD843" s="82" t="s">
        <v>15951</v>
      </c>
      <c r="BE843" s="77"/>
      <c r="BF843" s="77"/>
      <c r="BG843" s="77"/>
      <c r="BH843" s="77"/>
      <c r="BI843" s="77"/>
    </row>
    <row r="844" spans="1:61" x14ac:dyDescent="0.25">
      <c r="A844" s="62" t="s">
        <v>501</v>
      </c>
      <c r="B844" s="62" t="s">
        <v>501</v>
      </c>
      <c r="C844" s="63"/>
      <c r="D844" s="64"/>
      <c r="E844" s="65"/>
      <c r="F844" s="66"/>
      <c r="G844" s="63"/>
      <c r="H844" s="67"/>
      <c r="I844" s="68"/>
      <c r="J844" s="68"/>
      <c r="K844" s="32"/>
      <c r="L844" s="75">
        <v>844</v>
      </c>
      <c r="M844" s="75"/>
      <c r="N844" s="70"/>
      <c r="O844" s="77" t="s">
        <v>898</v>
      </c>
      <c r="P844" s="79">
        <v>45131.626701388886</v>
      </c>
      <c r="Q844" s="77" t="s">
        <v>1680</v>
      </c>
      <c r="R844" s="77">
        <v>0</v>
      </c>
      <c r="S844" s="77">
        <v>0</v>
      </c>
      <c r="T844" s="77">
        <v>0</v>
      </c>
      <c r="U844" s="77">
        <v>0</v>
      </c>
      <c r="V844" s="77">
        <v>143</v>
      </c>
      <c r="W844" s="82" t="s">
        <v>5249</v>
      </c>
      <c r="X844" s="77"/>
      <c r="Y844" s="77"/>
      <c r="Z844" s="77"/>
      <c r="AA844" s="77"/>
      <c r="AB844" s="77"/>
      <c r="AC844" s="82" t="s">
        <v>7752</v>
      </c>
      <c r="AD844" s="77" t="s">
        <v>7796</v>
      </c>
      <c r="AE844" s="80" t="str">
        <f>HYPERLINK("https://twitter.com/bpmoney_/status/1683492847960354821")</f>
        <v>https://twitter.com/bpmoney_/status/1683492847960354821</v>
      </c>
      <c r="AF844" s="79">
        <v>45131.626701388886</v>
      </c>
      <c r="AG844" s="85">
        <v>45131</v>
      </c>
      <c r="AH844" s="82" t="s">
        <v>8547</v>
      </c>
      <c r="AI844" s="77"/>
      <c r="AJ844" s="77"/>
      <c r="AK844" s="77"/>
      <c r="AL844" s="77"/>
      <c r="AM844" s="77"/>
      <c r="AN844" s="77"/>
      <c r="AO844" s="77"/>
      <c r="AP844" s="77"/>
      <c r="AQ844" s="77"/>
      <c r="AR844" s="77"/>
      <c r="AS844" s="77"/>
      <c r="AT844" s="77"/>
      <c r="AU844" s="77"/>
      <c r="AV844" s="80" t="str">
        <f>HYPERLINK("https://pbs.twimg.com/profile_images/1518936529674117121/MCMYTicP_normal.jpg")</f>
        <v>https://pbs.twimg.com/profile_images/1518936529674117121/MCMYTicP_normal.jpg</v>
      </c>
      <c r="AW844" s="82" t="s">
        <v>12528</v>
      </c>
      <c r="AX844" s="82" t="s">
        <v>15811</v>
      </c>
      <c r="AY844" s="82" t="s">
        <v>15951</v>
      </c>
      <c r="AZ844" s="82" t="s">
        <v>15811</v>
      </c>
      <c r="BA844" s="82" t="s">
        <v>15984</v>
      </c>
      <c r="BB844" s="82" t="s">
        <v>15984</v>
      </c>
      <c r="BC844" s="82" t="s">
        <v>15811</v>
      </c>
      <c r="BD844" s="82" t="s">
        <v>15951</v>
      </c>
      <c r="BE844" s="77"/>
      <c r="BF844" s="77"/>
      <c r="BG844" s="77"/>
      <c r="BH844" s="77"/>
      <c r="BI844" s="77"/>
    </row>
    <row r="845" spans="1:61" x14ac:dyDescent="0.25">
      <c r="A845" s="62" t="s">
        <v>501</v>
      </c>
      <c r="B845" s="62" t="s">
        <v>501</v>
      </c>
      <c r="C845" s="63"/>
      <c r="D845" s="64"/>
      <c r="E845" s="65"/>
      <c r="F845" s="66"/>
      <c r="G845" s="63"/>
      <c r="H845" s="67"/>
      <c r="I845" s="68"/>
      <c r="J845" s="68"/>
      <c r="K845" s="32"/>
      <c r="L845" s="75">
        <v>845</v>
      </c>
      <c r="M845" s="75"/>
      <c r="N845" s="70"/>
      <c r="O845" s="77" t="s">
        <v>898</v>
      </c>
      <c r="P845" s="79">
        <v>45131.625949074078</v>
      </c>
      <c r="Q845" s="77" t="s">
        <v>1681</v>
      </c>
      <c r="R845" s="77">
        <v>0</v>
      </c>
      <c r="S845" s="77">
        <v>0</v>
      </c>
      <c r="T845" s="77">
        <v>0</v>
      </c>
      <c r="U845" s="77">
        <v>0</v>
      </c>
      <c r="V845" s="77">
        <v>110</v>
      </c>
      <c r="W845" s="82" t="s">
        <v>5250</v>
      </c>
      <c r="X845" s="77"/>
      <c r="Y845" s="77"/>
      <c r="Z845" s="77"/>
      <c r="AA845" s="77"/>
      <c r="AB845" s="77"/>
      <c r="AC845" s="82" t="s">
        <v>7752</v>
      </c>
      <c r="AD845" s="77" t="s">
        <v>7796</v>
      </c>
      <c r="AE845" s="80" t="str">
        <f>HYPERLINK("https://twitter.com/bpmoney_/status/1683492576362414084")</f>
        <v>https://twitter.com/bpmoney_/status/1683492576362414084</v>
      </c>
      <c r="AF845" s="79">
        <v>45131.625949074078</v>
      </c>
      <c r="AG845" s="85">
        <v>45131</v>
      </c>
      <c r="AH845" s="82" t="s">
        <v>8548</v>
      </c>
      <c r="AI845" s="77"/>
      <c r="AJ845" s="77"/>
      <c r="AK845" s="77"/>
      <c r="AL845" s="77"/>
      <c r="AM845" s="77"/>
      <c r="AN845" s="77"/>
      <c r="AO845" s="77"/>
      <c r="AP845" s="77"/>
      <c r="AQ845" s="77"/>
      <c r="AR845" s="77"/>
      <c r="AS845" s="77"/>
      <c r="AT845" s="77"/>
      <c r="AU845" s="77"/>
      <c r="AV845" s="80" t="str">
        <f>HYPERLINK("https://pbs.twimg.com/profile_images/1518936529674117121/MCMYTicP_normal.jpg")</f>
        <v>https://pbs.twimg.com/profile_images/1518936529674117121/MCMYTicP_normal.jpg</v>
      </c>
      <c r="AW845" s="82" t="s">
        <v>12529</v>
      </c>
      <c r="AX845" s="82" t="s">
        <v>15812</v>
      </c>
      <c r="AY845" s="82" t="s">
        <v>15951</v>
      </c>
      <c r="AZ845" s="82" t="s">
        <v>15812</v>
      </c>
      <c r="BA845" s="82" t="s">
        <v>15984</v>
      </c>
      <c r="BB845" s="82" t="s">
        <v>15984</v>
      </c>
      <c r="BC845" s="82" t="s">
        <v>15812</v>
      </c>
      <c r="BD845" s="82" t="s">
        <v>15951</v>
      </c>
      <c r="BE845" s="77"/>
      <c r="BF845" s="77"/>
      <c r="BG845" s="77"/>
      <c r="BH845" s="77"/>
      <c r="BI845" s="77"/>
    </row>
    <row r="846" spans="1:61" x14ac:dyDescent="0.25">
      <c r="A846" s="62" t="s">
        <v>502</v>
      </c>
      <c r="B846" s="62" t="s">
        <v>808</v>
      </c>
      <c r="C846" s="63"/>
      <c r="D846" s="64"/>
      <c r="E846" s="65"/>
      <c r="F846" s="66"/>
      <c r="G846" s="63"/>
      <c r="H846" s="67"/>
      <c r="I846" s="68"/>
      <c r="J846" s="68"/>
      <c r="K846" s="32"/>
      <c r="L846" s="75">
        <v>846</v>
      </c>
      <c r="M846" s="75"/>
      <c r="N846" s="70"/>
      <c r="O846" s="77" t="s">
        <v>895</v>
      </c>
      <c r="P846" s="79">
        <v>45135.358518518522</v>
      </c>
      <c r="Q846" s="77" t="s">
        <v>1682</v>
      </c>
      <c r="R846" s="77">
        <v>2</v>
      </c>
      <c r="S846" s="77">
        <v>7</v>
      </c>
      <c r="T846" s="77">
        <v>1</v>
      </c>
      <c r="U846" s="77">
        <v>0</v>
      </c>
      <c r="V846" s="77">
        <v>652</v>
      </c>
      <c r="W846" s="82" t="s">
        <v>5251</v>
      </c>
      <c r="X846" s="80" t="str">
        <f>HYPERLINK("https://youtu.be/p_wbStDD8hw")</f>
        <v>https://youtu.be/p_wbStDD8hw</v>
      </c>
      <c r="Y846" s="77" t="s">
        <v>6472</v>
      </c>
      <c r="Z846" s="77" t="s">
        <v>808</v>
      </c>
      <c r="AA846" s="77" t="s">
        <v>7119</v>
      </c>
      <c r="AB846" s="77" t="s">
        <v>7742</v>
      </c>
      <c r="AC846" s="82" t="s">
        <v>7761</v>
      </c>
      <c r="AD846" s="77" t="s">
        <v>7790</v>
      </c>
      <c r="AE846" s="80" t="str">
        <f>HYPERLINK("https://twitter.com/negocios_tv/status/1684845214093955072")</f>
        <v>https://twitter.com/negocios_tv/status/1684845214093955072</v>
      </c>
      <c r="AF846" s="79">
        <v>45135.358518518522</v>
      </c>
      <c r="AG846" s="85">
        <v>45135</v>
      </c>
      <c r="AH846" s="82" t="s">
        <v>8549</v>
      </c>
      <c r="AI846" s="77" t="b">
        <v>0</v>
      </c>
      <c r="AJ846" s="77"/>
      <c r="AK846" s="77"/>
      <c r="AL846" s="77"/>
      <c r="AM846" s="77"/>
      <c r="AN846" s="77"/>
      <c r="AO846" s="77"/>
      <c r="AP846" s="77"/>
      <c r="AQ846" s="77" t="s">
        <v>11091</v>
      </c>
      <c r="AR846" s="77"/>
      <c r="AS846" s="77"/>
      <c r="AT846" s="77"/>
      <c r="AU846" s="77"/>
      <c r="AV846" s="80" t="str">
        <f>HYPERLINK("https://pbs.twimg.com/media/F2HFy0TXsAArPMr.jpg")</f>
        <v>https://pbs.twimg.com/media/F2HFy0TXsAArPMr.jpg</v>
      </c>
      <c r="AW846" s="82" t="s">
        <v>12530</v>
      </c>
      <c r="AX846" s="82" t="s">
        <v>12530</v>
      </c>
      <c r="AY846" s="77"/>
      <c r="AZ846" s="82" t="s">
        <v>15984</v>
      </c>
      <c r="BA846" s="82" t="s">
        <v>15984</v>
      </c>
      <c r="BB846" s="82" t="s">
        <v>15984</v>
      </c>
      <c r="BC846" s="82" t="s">
        <v>12530</v>
      </c>
      <c r="BD846" s="82" t="s">
        <v>16267</v>
      </c>
      <c r="BE846" s="77"/>
      <c r="BF846" s="77"/>
      <c r="BG846" s="77"/>
      <c r="BH846" s="77"/>
      <c r="BI846" s="77"/>
    </row>
    <row r="847" spans="1:61" x14ac:dyDescent="0.25">
      <c r="A847" s="62" t="s">
        <v>502</v>
      </c>
      <c r="B847" s="62" t="s">
        <v>809</v>
      </c>
      <c r="C847" s="63"/>
      <c r="D847" s="64"/>
      <c r="E847" s="65"/>
      <c r="F847" s="66"/>
      <c r="G847" s="63"/>
      <c r="H847" s="67"/>
      <c r="I847" s="68"/>
      <c r="J847" s="68"/>
      <c r="K847" s="32"/>
      <c r="L847" s="75">
        <v>847</v>
      </c>
      <c r="M847" s="75"/>
      <c r="N847" s="70"/>
      <c r="O847" s="77" t="s">
        <v>895</v>
      </c>
      <c r="P847" s="79">
        <v>45152.742789351854</v>
      </c>
      <c r="Q847" s="77" t="s">
        <v>1683</v>
      </c>
      <c r="R847" s="77">
        <v>1</v>
      </c>
      <c r="S847" s="77">
        <v>4</v>
      </c>
      <c r="T847" s="77">
        <v>0</v>
      </c>
      <c r="U847" s="77">
        <v>0</v>
      </c>
      <c r="V847" s="77">
        <v>949</v>
      </c>
      <c r="W847" s="82" t="s">
        <v>5252</v>
      </c>
      <c r="X847" s="80" t="str">
        <f>HYPERLINK("https://youtu.be/zk-QqWCurN0")</f>
        <v>https://youtu.be/zk-QqWCurN0</v>
      </c>
      <c r="Y847" s="77" t="s">
        <v>6472</v>
      </c>
      <c r="Z847" s="77" t="s">
        <v>809</v>
      </c>
      <c r="AA847" s="77" t="s">
        <v>7120</v>
      </c>
      <c r="AB847" s="77" t="s">
        <v>7742</v>
      </c>
      <c r="AC847" s="82" t="s">
        <v>7761</v>
      </c>
      <c r="AD847" s="77" t="s">
        <v>7790</v>
      </c>
      <c r="AE847" s="80" t="str">
        <f>HYPERLINK("https://twitter.com/negocios_tv/status/1691145063487713280")</f>
        <v>https://twitter.com/negocios_tv/status/1691145063487713280</v>
      </c>
      <c r="AF847" s="79">
        <v>45152.742789351854</v>
      </c>
      <c r="AG847" s="85">
        <v>45152</v>
      </c>
      <c r="AH847" s="82" t="s">
        <v>8550</v>
      </c>
      <c r="AI847" s="77" t="b">
        <v>0</v>
      </c>
      <c r="AJ847" s="77"/>
      <c r="AK847" s="77"/>
      <c r="AL847" s="77"/>
      <c r="AM847" s="77"/>
      <c r="AN847" s="77"/>
      <c r="AO847" s="77"/>
      <c r="AP847" s="77"/>
      <c r="AQ847" s="77" t="s">
        <v>11092</v>
      </c>
      <c r="AR847" s="77"/>
      <c r="AS847" s="77"/>
      <c r="AT847" s="77"/>
      <c r="AU847" s="77"/>
      <c r="AV847" s="80" t="str">
        <f>HYPERLINK("https://pbs.twimg.com/media/F3gneUhWMA88732.jpg")</f>
        <v>https://pbs.twimg.com/media/F3gneUhWMA88732.jpg</v>
      </c>
      <c r="AW847" s="82" t="s">
        <v>12531</v>
      </c>
      <c r="AX847" s="82" t="s">
        <v>12531</v>
      </c>
      <c r="AY847" s="77"/>
      <c r="AZ847" s="82" t="s">
        <v>15984</v>
      </c>
      <c r="BA847" s="82" t="s">
        <v>15984</v>
      </c>
      <c r="BB847" s="82" t="s">
        <v>15984</v>
      </c>
      <c r="BC847" s="82" t="s">
        <v>12531</v>
      </c>
      <c r="BD847" s="82" t="s">
        <v>16267</v>
      </c>
      <c r="BE847" s="77"/>
      <c r="BF847" s="77"/>
      <c r="BG847" s="77"/>
      <c r="BH847" s="77"/>
      <c r="BI847" s="77"/>
    </row>
    <row r="848" spans="1:61" x14ac:dyDescent="0.25">
      <c r="A848" s="62" t="s">
        <v>502</v>
      </c>
      <c r="B848" s="62" t="s">
        <v>809</v>
      </c>
      <c r="C848" s="63"/>
      <c r="D848" s="64"/>
      <c r="E848" s="65"/>
      <c r="F848" s="66"/>
      <c r="G848" s="63"/>
      <c r="H848" s="67"/>
      <c r="I848" s="68"/>
      <c r="J848" s="68"/>
      <c r="K848" s="32"/>
      <c r="L848" s="75">
        <v>848</v>
      </c>
      <c r="M848" s="75"/>
      <c r="N848" s="70"/>
      <c r="O848" s="77" t="s">
        <v>895</v>
      </c>
      <c r="P848" s="79">
        <v>45154.537743055553</v>
      </c>
      <c r="Q848" s="77" t="s">
        <v>1684</v>
      </c>
      <c r="R848" s="77">
        <v>1</v>
      </c>
      <c r="S848" s="77">
        <v>0</v>
      </c>
      <c r="T848" s="77">
        <v>1</v>
      </c>
      <c r="U848" s="77">
        <v>0</v>
      </c>
      <c r="V848" s="77">
        <v>649</v>
      </c>
      <c r="W848" s="82" t="s">
        <v>5253</v>
      </c>
      <c r="X848" s="80" t="str">
        <f>HYPERLINK("https://youtu.be/PdCHxa-HauA")</f>
        <v>https://youtu.be/PdCHxa-HauA</v>
      </c>
      <c r="Y848" s="77" t="s">
        <v>6472</v>
      </c>
      <c r="Z848" s="77" t="s">
        <v>809</v>
      </c>
      <c r="AA848" s="77" t="s">
        <v>7121</v>
      </c>
      <c r="AB848" s="77" t="s">
        <v>7742</v>
      </c>
      <c r="AC848" s="82" t="s">
        <v>7761</v>
      </c>
      <c r="AD848" s="77" t="s">
        <v>7790</v>
      </c>
      <c r="AE848" s="80" t="str">
        <f>HYPERLINK("https://twitter.com/negocios_tv/status/1691795531498991935")</f>
        <v>https://twitter.com/negocios_tv/status/1691795531498991935</v>
      </c>
      <c r="AF848" s="79">
        <v>45154.537743055553</v>
      </c>
      <c r="AG848" s="85">
        <v>45154</v>
      </c>
      <c r="AH848" s="82" t="s">
        <v>8551</v>
      </c>
      <c r="AI848" s="77" t="b">
        <v>0</v>
      </c>
      <c r="AJ848" s="77"/>
      <c r="AK848" s="77"/>
      <c r="AL848" s="77"/>
      <c r="AM848" s="77"/>
      <c r="AN848" s="77"/>
      <c r="AO848" s="77"/>
      <c r="AP848" s="77"/>
      <c r="AQ848" s="77" t="s">
        <v>11093</v>
      </c>
      <c r="AR848" s="77"/>
      <c r="AS848" s="77"/>
      <c r="AT848" s="77"/>
      <c r="AU848" s="77"/>
      <c r="AV848" s="80" t="str">
        <f>HYPERLINK("https://pbs.twimg.com/media/F3p3EkDXIAAjexE.jpg")</f>
        <v>https://pbs.twimg.com/media/F3p3EkDXIAAjexE.jpg</v>
      </c>
      <c r="AW848" s="82" t="s">
        <v>12532</v>
      </c>
      <c r="AX848" s="82" t="s">
        <v>12532</v>
      </c>
      <c r="AY848" s="77"/>
      <c r="AZ848" s="82" t="s">
        <v>15984</v>
      </c>
      <c r="BA848" s="82" t="s">
        <v>15984</v>
      </c>
      <c r="BB848" s="82" t="s">
        <v>15984</v>
      </c>
      <c r="BC848" s="82" t="s">
        <v>12532</v>
      </c>
      <c r="BD848" s="82" t="s">
        <v>16267</v>
      </c>
      <c r="BE848" s="77"/>
      <c r="BF848" s="77"/>
      <c r="BG848" s="77"/>
      <c r="BH848" s="77"/>
      <c r="BI848" s="77"/>
    </row>
    <row r="849" spans="1:61" x14ac:dyDescent="0.25">
      <c r="A849" s="62" t="s">
        <v>502</v>
      </c>
      <c r="B849" s="62" t="s">
        <v>810</v>
      </c>
      <c r="C849" s="63"/>
      <c r="D849" s="64"/>
      <c r="E849" s="65"/>
      <c r="F849" s="66"/>
      <c r="G849" s="63"/>
      <c r="H849" s="67"/>
      <c r="I849" s="68"/>
      <c r="J849" s="68"/>
      <c r="K849" s="32"/>
      <c r="L849" s="75">
        <v>849</v>
      </c>
      <c r="M849" s="75"/>
      <c r="N849" s="70"/>
      <c r="O849" s="77" t="s">
        <v>895</v>
      </c>
      <c r="P849" s="79">
        <v>45167.377708333333</v>
      </c>
      <c r="Q849" s="77" t="s">
        <v>1685</v>
      </c>
      <c r="R849" s="77">
        <v>0</v>
      </c>
      <c r="S849" s="77">
        <v>1</v>
      </c>
      <c r="T849" s="77">
        <v>0</v>
      </c>
      <c r="U849" s="77">
        <v>0</v>
      </c>
      <c r="V849" s="77">
        <v>481</v>
      </c>
      <c r="W849" s="82" t="s">
        <v>5254</v>
      </c>
      <c r="X849" s="80" t="str">
        <f>HYPERLINK("https://youtu.be/gpb0o6c5ZS0")</f>
        <v>https://youtu.be/gpb0o6c5ZS0</v>
      </c>
      <c r="Y849" s="77" t="s">
        <v>6472</v>
      </c>
      <c r="Z849" s="77" t="s">
        <v>810</v>
      </c>
      <c r="AA849" s="77" t="s">
        <v>7122</v>
      </c>
      <c r="AB849" s="77" t="s">
        <v>7742</v>
      </c>
      <c r="AC849" s="82" t="s">
        <v>7761</v>
      </c>
      <c r="AD849" s="77" t="s">
        <v>7790</v>
      </c>
      <c r="AE849" s="80" t="str">
        <f>HYPERLINK("https://twitter.com/negocios_tv/status/1696448578506379465")</f>
        <v>https://twitter.com/negocios_tv/status/1696448578506379465</v>
      </c>
      <c r="AF849" s="79">
        <v>45167.377708333333</v>
      </c>
      <c r="AG849" s="85">
        <v>45167</v>
      </c>
      <c r="AH849" s="82" t="s">
        <v>8552</v>
      </c>
      <c r="AI849" s="77" t="b">
        <v>0</v>
      </c>
      <c r="AJ849" s="77"/>
      <c r="AK849" s="77"/>
      <c r="AL849" s="77"/>
      <c r="AM849" s="77"/>
      <c r="AN849" s="77"/>
      <c r="AO849" s="77"/>
      <c r="AP849" s="77"/>
      <c r="AQ849" s="77" t="s">
        <v>11094</v>
      </c>
      <c r="AR849" s="77"/>
      <c r="AS849" s="77"/>
      <c r="AT849" s="77"/>
      <c r="AU849" s="77"/>
      <c r="AV849" s="80" t="str">
        <f>HYPERLINK("https://pbs.twimg.com/media/F4r-_i6XUAAbqEm.jpg")</f>
        <v>https://pbs.twimg.com/media/F4r-_i6XUAAbqEm.jpg</v>
      </c>
      <c r="AW849" s="82" t="s">
        <v>12533</v>
      </c>
      <c r="AX849" s="82" t="s">
        <v>12533</v>
      </c>
      <c r="AY849" s="77"/>
      <c r="AZ849" s="82" t="s">
        <v>15984</v>
      </c>
      <c r="BA849" s="82" t="s">
        <v>15984</v>
      </c>
      <c r="BB849" s="82" t="s">
        <v>15984</v>
      </c>
      <c r="BC849" s="82" t="s">
        <v>12533</v>
      </c>
      <c r="BD849" s="82" t="s">
        <v>16267</v>
      </c>
      <c r="BE849" s="77"/>
      <c r="BF849" s="77"/>
      <c r="BG849" s="77"/>
      <c r="BH849" s="77"/>
      <c r="BI849" s="77"/>
    </row>
    <row r="850" spans="1:61" x14ac:dyDescent="0.25">
      <c r="A850" s="62" t="s">
        <v>502</v>
      </c>
      <c r="B850" s="62" t="s">
        <v>810</v>
      </c>
      <c r="C850" s="63"/>
      <c r="D850" s="64"/>
      <c r="E850" s="65"/>
      <c r="F850" s="66"/>
      <c r="G850" s="63"/>
      <c r="H850" s="67"/>
      <c r="I850" s="68"/>
      <c r="J850" s="68"/>
      <c r="K850" s="32"/>
      <c r="L850" s="75">
        <v>850</v>
      </c>
      <c r="M850" s="75"/>
      <c r="N850" s="70"/>
      <c r="O850" s="77" t="s">
        <v>895</v>
      </c>
      <c r="P850" s="79">
        <v>45167.377685185187</v>
      </c>
      <c r="Q850" s="77" t="s">
        <v>1686</v>
      </c>
      <c r="R850" s="77">
        <v>0</v>
      </c>
      <c r="S850" s="77">
        <v>0</v>
      </c>
      <c r="T850" s="77">
        <v>0</v>
      </c>
      <c r="U850" s="77">
        <v>0</v>
      </c>
      <c r="V850" s="77">
        <v>471</v>
      </c>
      <c r="W850" s="82" t="s">
        <v>5254</v>
      </c>
      <c r="X850" s="80" t="str">
        <f>HYPERLINK("https://youtu.be/gpb0o6c5ZS0")</f>
        <v>https://youtu.be/gpb0o6c5ZS0</v>
      </c>
      <c r="Y850" s="77" t="s">
        <v>6472</v>
      </c>
      <c r="Z850" s="77" t="s">
        <v>810</v>
      </c>
      <c r="AA850" s="77" t="s">
        <v>7123</v>
      </c>
      <c r="AB850" s="77" t="s">
        <v>7742</v>
      </c>
      <c r="AC850" s="82" t="s">
        <v>7761</v>
      </c>
      <c r="AD850" s="77" t="s">
        <v>7790</v>
      </c>
      <c r="AE850" s="80" t="str">
        <f>HYPERLINK("https://twitter.com/negocios_tv/status/1696448569387970917")</f>
        <v>https://twitter.com/negocios_tv/status/1696448569387970917</v>
      </c>
      <c r="AF850" s="79">
        <v>45167.377685185187</v>
      </c>
      <c r="AG850" s="85">
        <v>45167</v>
      </c>
      <c r="AH850" s="82" t="s">
        <v>8553</v>
      </c>
      <c r="AI850" s="77" t="b">
        <v>0</v>
      </c>
      <c r="AJ850" s="77"/>
      <c r="AK850" s="77"/>
      <c r="AL850" s="77"/>
      <c r="AM850" s="77"/>
      <c r="AN850" s="77"/>
      <c r="AO850" s="77"/>
      <c r="AP850" s="77"/>
      <c r="AQ850" s="77" t="s">
        <v>11095</v>
      </c>
      <c r="AR850" s="77"/>
      <c r="AS850" s="77"/>
      <c r="AT850" s="77"/>
      <c r="AU850" s="77"/>
      <c r="AV850" s="80" t="str">
        <f>HYPERLINK("https://pbs.twimg.com/media/F4r-_A3WYAAkE22.jpg")</f>
        <v>https://pbs.twimg.com/media/F4r-_A3WYAAkE22.jpg</v>
      </c>
      <c r="AW850" s="82" t="s">
        <v>12534</v>
      </c>
      <c r="AX850" s="82" t="s">
        <v>12534</v>
      </c>
      <c r="AY850" s="77"/>
      <c r="AZ850" s="82" t="s">
        <v>15984</v>
      </c>
      <c r="BA850" s="82" t="s">
        <v>15984</v>
      </c>
      <c r="BB850" s="82" t="s">
        <v>15984</v>
      </c>
      <c r="BC850" s="82" t="s">
        <v>12534</v>
      </c>
      <c r="BD850" s="82" t="s">
        <v>16267</v>
      </c>
      <c r="BE850" s="77"/>
      <c r="BF850" s="77"/>
      <c r="BG850" s="77"/>
      <c r="BH850" s="77"/>
      <c r="BI850" s="77"/>
    </row>
    <row r="851" spans="1:61" x14ac:dyDescent="0.25">
      <c r="A851" s="62" t="s">
        <v>503</v>
      </c>
      <c r="B851" s="62" t="s">
        <v>720</v>
      </c>
      <c r="C851" s="63"/>
      <c r="D851" s="64"/>
      <c r="E851" s="65"/>
      <c r="F851" s="66"/>
      <c r="G851" s="63"/>
      <c r="H851" s="67"/>
      <c r="I851" s="68"/>
      <c r="J851" s="68"/>
      <c r="K851" s="32"/>
      <c r="L851" s="75">
        <v>851</v>
      </c>
      <c r="M851" s="75"/>
      <c r="N851" s="70"/>
      <c r="O851" s="77" t="s">
        <v>897</v>
      </c>
      <c r="P851" s="79">
        <v>45196.628020833334</v>
      </c>
      <c r="Q851" s="77" t="s">
        <v>1687</v>
      </c>
      <c r="R851" s="77">
        <v>3</v>
      </c>
      <c r="S851" s="77">
        <v>0</v>
      </c>
      <c r="T851" s="77">
        <v>0</v>
      </c>
      <c r="U851" s="77">
        <v>0</v>
      </c>
      <c r="V851" s="77"/>
      <c r="W851" s="82" t="s">
        <v>5255</v>
      </c>
      <c r="X851" s="77"/>
      <c r="Y851" s="77"/>
      <c r="Z851" s="77" t="s">
        <v>720</v>
      </c>
      <c r="AA851" s="77"/>
      <c r="AB851" s="77"/>
      <c r="AC851" s="82" t="s">
        <v>7751</v>
      </c>
      <c r="AD851" s="77" t="s">
        <v>7788</v>
      </c>
      <c r="AE851" s="80" t="str">
        <f>HYPERLINK("https://twitter.com/juliaview/status/1707048537609920705")</f>
        <v>https://twitter.com/juliaview/status/1707048537609920705</v>
      </c>
      <c r="AF851" s="79">
        <v>45196.628020833334</v>
      </c>
      <c r="AG851" s="85">
        <v>45196</v>
      </c>
      <c r="AH851" s="82" t="s">
        <v>8554</v>
      </c>
      <c r="AI851" s="77"/>
      <c r="AJ851" s="77"/>
      <c r="AK851" s="77"/>
      <c r="AL851" s="77"/>
      <c r="AM851" s="77"/>
      <c r="AN851" s="77"/>
      <c r="AO851" s="77"/>
      <c r="AP851" s="77"/>
      <c r="AQ851" s="77"/>
      <c r="AR851" s="77"/>
      <c r="AS851" s="77"/>
      <c r="AT851" s="77"/>
      <c r="AU851" s="77"/>
      <c r="AV851" s="80" t="str">
        <f>HYPERLINK("https://abs.twimg.com/sticky/default_profile_images/default_profile_normal.png")</f>
        <v>https://abs.twimg.com/sticky/default_profile_images/default_profile_normal.png</v>
      </c>
      <c r="AW851" s="82" t="s">
        <v>12535</v>
      </c>
      <c r="AX851" s="82" t="s">
        <v>12535</v>
      </c>
      <c r="AY851" s="77"/>
      <c r="AZ851" s="82" t="s">
        <v>15984</v>
      </c>
      <c r="BA851" s="82" t="s">
        <v>15984</v>
      </c>
      <c r="BB851" s="82" t="s">
        <v>13673</v>
      </c>
      <c r="BC851" s="82" t="s">
        <v>13673</v>
      </c>
      <c r="BD851" s="77">
        <v>156000022</v>
      </c>
      <c r="BE851" s="77"/>
      <c r="BF851" s="77"/>
      <c r="BG851" s="77"/>
      <c r="BH851" s="77"/>
      <c r="BI851" s="77"/>
    </row>
    <row r="852" spans="1:61" x14ac:dyDescent="0.25">
      <c r="A852" s="62" t="s">
        <v>504</v>
      </c>
      <c r="B852" s="62" t="s">
        <v>504</v>
      </c>
      <c r="C852" s="63"/>
      <c r="D852" s="64"/>
      <c r="E852" s="65"/>
      <c r="F852" s="66"/>
      <c r="G852" s="63"/>
      <c r="H852" s="67"/>
      <c r="I852" s="68"/>
      <c r="J852" s="68"/>
      <c r="K852" s="32"/>
      <c r="L852" s="75">
        <v>852</v>
      </c>
      <c r="M852" s="75"/>
      <c r="N852" s="70"/>
      <c r="O852" s="77" t="s">
        <v>179</v>
      </c>
      <c r="P852" s="79">
        <v>45157.985266203701</v>
      </c>
      <c r="Q852" s="77" t="s">
        <v>1688</v>
      </c>
      <c r="R852" s="77">
        <v>0</v>
      </c>
      <c r="S852" s="77">
        <v>1</v>
      </c>
      <c r="T852" s="77">
        <v>0</v>
      </c>
      <c r="U852" s="77">
        <v>0</v>
      </c>
      <c r="V852" s="77">
        <v>11</v>
      </c>
      <c r="W852" s="82" t="s">
        <v>5256</v>
      </c>
      <c r="X852" s="80" t="str">
        <f>HYPERLINK("https://crisbanza.kpages.online/check-out")</f>
        <v>https://crisbanza.kpages.online/check-out</v>
      </c>
      <c r="Y852" s="77" t="s">
        <v>6531</v>
      </c>
      <c r="Z852" s="77"/>
      <c r="AA852" s="77" t="s">
        <v>7124</v>
      </c>
      <c r="AB852" s="77" t="s">
        <v>7742</v>
      </c>
      <c r="AC852" s="82" t="s">
        <v>7750</v>
      </c>
      <c r="AD852" s="77" t="s">
        <v>7788</v>
      </c>
      <c r="AE852" s="80" t="str">
        <f>HYPERLINK("https://twitter.com/polibanza/status/1693044872771416572")</f>
        <v>https://twitter.com/polibanza/status/1693044872771416572</v>
      </c>
      <c r="AF852" s="79">
        <v>45157.985266203701</v>
      </c>
      <c r="AG852" s="85">
        <v>45157</v>
      </c>
      <c r="AH852" s="82" t="s">
        <v>8555</v>
      </c>
      <c r="AI852" s="77" t="b">
        <v>0</v>
      </c>
      <c r="AJ852" s="77"/>
      <c r="AK852" s="77"/>
      <c r="AL852" s="77"/>
      <c r="AM852" s="77"/>
      <c r="AN852" s="77"/>
      <c r="AO852" s="77"/>
      <c r="AP852" s="77"/>
      <c r="AQ852" s="77" t="s">
        <v>11096</v>
      </c>
      <c r="AR852" s="77"/>
      <c r="AS852" s="77"/>
      <c r="AT852" s="77"/>
      <c r="AU852" s="77"/>
      <c r="AV852" s="80" t="str">
        <f>HYPERLINK("https://pbs.twimg.com/media/F37nI6LXsAAxcbr.jpg")</f>
        <v>https://pbs.twimg.com/media/F37nI6LXsAAxcbr.jpg</v>
      </c>
      <c r="AW852" s="82" t="s">
        <v>12536</v>
      </c>
      <c r="AX852" s="82" t="s">
        <v>12536</v>
      </c>
      <c r="AY852" s="77"/>
      <c r="AZ852" s="82" t="s">
        <v>15984</v>
      </c>
      <c r="BA852" s="82" t="s">
        <v>15984</v>
      </c>
      <c r="BB852" s="82" t="s">
        <v>15984</v>
      </c>
      <c r="BC852" s="82" t="s">
        <v>12536</v>
      </c>
      <c r="BD852" s="77">
        <v>95919876</v>
      </c>
      <c r="BE852" s="77"/>
      <c r="BF852" s="77"/>
      <c r="BG852" s="77"/>
      <c r="BH852" s="77"/>
      <c r="BI852" s="77"/>
    </row>
    <row r="853" spans="1:61" x14ac:dyDescent="0.25">
      <c r="A853" s="62" t="s">
        <v>504</v>
      </c>
      <c r="B853" s="62" t="s">
        <v>504</v>
      </c>
      <c r="C853" s="63"/>
      <c r="D853" s="64"/>
      <c r="E853" s="65"/>
      <c r="F853" s="66"/>
      <c r="G853" s="63"/>
      <c r="H853" s="67"/>
      <c r="I853" s="68"/>
      <c r="J853" s="68"/>
      <c r="K853" s="32"/>
      <c r="L853" s="75">
        <v>853</v>
      </c>
      <c r="M853" s="75"/>
      <c r="N853" s="70"/>
      <c r="O853" s="77" t="s">
        <v>179</v>
      </c>
      <c r="P853" s="79">
        <v>45180.520104166666</v>
      </c>
      <c r="Q853" s="77" t="s">
        <v>1689</v>
      </c>
      <c r="R853" s="77">
        <v>0</v>
      </c>
      <c r="S853" s="77">
        <v>1</v>
      </c>
      <c r="T853" s="77">
        <v>0</v>
      </c>
      <c r="U853" s="77">
        <v>0</v>
      </c>
      <c r="V853" s="77">
        <v>8</v>
      </c>
      <c r="W853" s="82" t="s">
        <v>5257</v>
      </c>
      <c r="X853" s="80" t="str">
        <f>HYPERLINK("https://youtu.be/XoGX61qrLRo?si=z-DzQcn0gs1F2njb")</f>
        <v>https://youtu.be/XoGX61qrLRo?si=z-DzQcn0gs1F2njb</v>
      </c>
      <c r="Y853" s="77" t="s">
        <v>6472</v>
      </c>
      <c r="Z853" s="77"/>
      <c r="AA853" s="77"/>
      <c r="AB853" s="77"/>
      <c r="AC853" s="82" t="s">
        <v>7750</v>
      </c>
      <c r="AD853" s="77" t="s">
        <v>7788</v>
      </c>
      <c r="AE853" s="80" t="str">
        <f>HYPERLINK("https://twitter.com/polibanza/status/1701211226003423609")</f>
        <v>https://twitter.com/polibanza/status/1701211226003423609</v>
      </c>
      <c r="AF853" s="79">
        <v>45180.520104166666</v>
      </c>
      <c r="AG853" s="85">
        <v>45180</v>
      </c>
      <c r="AH853" s="82" t="s">
        <v>8556</v>
      </c>
      <c r="AI853" s="77" t="b">
        <v>0</v>
      </c>
      <c r="AJ853" s="77"/>
      <c r="AK853" s="77"/>
      <c r="AL853" s="77"/>
      <c r="AM853" s="77"/>
      <c r="AN853" s="77"/>
      <c r="AO853" s="77"/>
      <c r="AP853" s="77"/>
      <c r="AQ853" s="77"/>
      <c r="AR853" s="77"/>
      <c r="AS853" s="77"/>
      <c r="AT853" s="77"/>
      <c r="AU853" s="77"/>
      <c r="AV853" s="80" t="str">
        <f>HYPERLINK("https://pbs.twimg.com/profile_images/1661401813/MY_VIDEOS_E_FOTOS_LONDRES_058_normal.JPG")</f>
        <v>https://pbs.twimg.com/profile_images/1661401813/MY_VIDEOS_E_FOTOS_LONDRES_058_normal.JPG</v>
      </c>
      <c r="AW853" s="82" t="s">
        <v>12537</v>
      </c>
      <c r="AX853" s="82" t="s">
        <v>12537</v>
      </c>
      <c r="AY853" s="77"/>
      <c r="AZ853" s="82" t="s">
        <v>15984</v>
      </c>
      <c r="BA853" s="82" t="s">
        <v>15984</v>
      </c>
      <c r="BB853" s="82" t="s">
        <v>15984</v>
      </c>
      <c r="BC853" s="82" t="s">
        <v>12537</v>
      </c>
      <c r="BD853" s="77">
        <v>95919876</v>
      </c>
      <c r="BE853" s="77"/>
      <c r="BF853" s="77"/>
      <c r="BG853" s="77"/>
      <c r="BH853" s="77"/>
      <c r="BI853" s="77"/>
    </row>
    <row r="854" spans="1:61" x14ac:dyDescent="0.25">
      <c r="A854" s="62" t="s">
        <v>505</v>
      </c>
      <c r="B854" s="62" t="s">
        <v>505</v>
      </c>
      <c r="C854" s="63"/>
      <c r="D854" s="64"/>
      <c r="E854" s="65"/>
      <c r="F854" s="66"/>
      <c r="G854" s="63"/>
      <c r="H854" s="67"/>
      <c r="I854" s="68"/>
      <c r="J854" s="68"/>
      <c r="K854" s="32"/>
      <c r="L854" s="75">
        <v>854</v>
      </c>
      <c r="M854" s="75"/>
      <c r="N854" s="70"/>
      <c r="O854" s="77" t="s">
        <v>179</v>
      </c>
      <c r="P854" s="79">
        <v>45155.666307870371</v>
      </c>
      <c r="Q854" s="77" t="s">
        <v>1690</v>
      </c>
      <c r="R854" s="77">
        <v>0</v>
      </c>
      <c r="S854" s="77">
        <v>0</v>
      </c>
      <c r="T854" s="77">
        <v>0</v>
      </c>
      <c r="U854" s="77">
        <v>0</v>
      </c>
      <c r="V854" s="77">
        <v>14</v>
      </c>
      <c r="W854" s="82" t="s">
        <v>5258</v>
      </c>
      <c r="X854" s="80" t="str">
        <f>HYPERLINK("https://macrotradingfinance.blogspot.com/2023/08/tipief-anticipare-il-tasso-di.html")</f>
        <v>https://macrotradingfinance.blogspot.com/2023/08/tipief-anticipare-il-tasso-di.html</v>
      </c>
      <c r="Y854" s="77" t="s">
        <v>6532</v>
      </c>
      <c r="Z854" s="77"/>
      <c r="AA854" s="77" t="s">
        <v>7125</v>
      </c>
      <c r="AB854" s="77" t="s">
        <v>7742</v>
      </c>
      <c r="AC854" s="82" t="s">
        <v>7750</v>
      </c>
      <c r="AD854" s="77" t="s">
        <v>7795</v>
      </c>
      <c r="AE854" s="80" t="str">
        <f>HYPERLINK("https://twitter.com/matteofarci1/status/1692204510284775612")</f>
        <v>https://twitter.com/matteofarci1/status/1692204510284775612</v>
      </c>
      <c r="AF854" s="79">
        <v>45155.666307870371</v>
      </c>
      <c r="AG854" s="85">
        <v>45155</v>
      </c>
      <c r="AH854" s="82" t="s">
        <v>8557</v>
      </c>
      <c r="AI854" s="77" t="b">
        <v>0</v>
      </c>
      <c r="AJ854" s="77"/>
      <c r="AK854" s="77"/>
      <c r="AL854" s="77"/>
      <c r="AM854" s="77"/>
      <c r="AN854" s="77"/>
      <c r="AO854" s="77"/>
      <c r="AP854" s="77"/>
      <c r="AQ854" s="77" t="s">
        <v>11097</v>
      </c>
      <c r="AR854" s="77"/>
      <c r="AS854" s="77"/>
      <c r="AT854" s="77"/>
      <c r="AU854" s="77"/>
      <c r="AV854" s="80" t="str">
        <f>HYPERLINK("https://pbs.twimg.com/media/F3vq5fzW0AAD84H.jpg")</f>
        <v>https://pbs.twimg.com/media/F3vq5fzW0AAD84H.jpg</v>
      </c>
      <c r="AW854" s="82" t="s">
        <v>12538</v>
      </c>
      <c r="AX854" s="82" t="s">
        <v>12538</v>
      </c>
      <c r="AY854" s="77"/>
      <c r="AZ854" s="82" t="s">
        <v>15984</v>
      </c>
      <c r="BA854" s="82" t="s">
        <v>15984</v>
      </c>
      <c r="BB854" s="82" t="s">
        <v>15984</v>
      </c>
      <c r="BC854" s="82" t="s">
        <v>12538</v>
      </c>
      <c r="BD854" s="82" t="s">
        <v>16268</v>
      </c>
      <c r="BE854" s="77"/>
      <c r="BF854" s="77"/>
      <c r="BG854" s="77"/>
      <c r="BH854" s="77"/>
      <c r="BI854" s="77"/>
    </row>
    <row r="855" spans="1:61" x14ac:dyDescent="0.25">
      <c r="A855" s="62" t="s">
        <v>505</v>
      </c>
      <c r="B855" s="62" t="s">
        <v>755</v>
      </c>
      <c r="C855" s="63"/>
      <c r="D855" s="64"/>
      <c r="E855" s="65"/>
      <c r="F855" s="66"/>
      <c r="G855" s="63"/>
      <c r="H855" s="67"/>
      <c r="I855" s="68"/>
      <c r="J855" s="68"/>
      <c r="K855" s="32"/>
      <c r="L855" s="75">
        <v>855</v>
      </c>
      <c r="M855" s="75"/>
      <c r="N855" s="70"/>
      <c r="O855" s="77" t="s">
        <v>895</v>
      </c>
      <c r="P855" s="79">
        <v>45166.296018518522</v>
      </c>
      <c r="Q855" s="77" t="s">
        <v>1691</v>
      </c>
      <c r="R855" s="77">
        <v>0</v>
      </c>
      <c r="S855" s="77">
        <v>1</v>
      </c>
      <c r="T855" s="77">
        <v>0</v>
      </c>
      <c r="U855" s="77">
        <v>0</v>
      </c>
      <c r="V855" s="77">
        <v>17</v>
      </c>
      <c r="W855" s="82" t="s">
        <v>5259</v>
      </c>
      <c r="X855" s="80" t="str">
        <f>HYPERLINK("https://youtu.be/9GntXwvNMGs?si=5ibgWyyMgM8vmPq6")</f>
        <v>https://youtu.be/9GntXwvNMGs?si=5ibgWyyMgM8vmPq6</v>
      </c>
      <c r="Y855" s="77" t="s">
        <v>6472</v>
      </c>
      <c r="Z855" s="77" t="s">
        <v>755</v>
      </c>
      <c r="AA855" s="77"/>
      <c r="AB855" s="77"/>
      <c r="AC855" s="82" t="s">
        <v>7750</v>
      </c>
      <c r="AD855" s="77" t="s">
        <v>7795</v>
      </c>
      <c r="AE855" s="80" t="str">
        <f>HYPERLINK("https://twitter.com/matteofarci1/status/1696056587469635719")</f>
        <v>https://twitter.com/matteofarci1/status/1696056587469635719</v>
      </c>
      <c r="AF855" s="79">
        <v>45166.296018518522</v>
      </c>
      <c r="AG855" s="85">
        <v>45166</v>
      </c>
      <c r="AH855" s="82" t="s">
        <v>8558</v>
      </c>
      <c r="AI855" s="77" t="b">
        <v>0</v>
      </c>
      <c r="AJ855" s="77"/>
      <c r="AK855" s="77"/>
      <c r="AL855" s="77"/>
      <c r="AM855" s="77"/>
      <c r="AN855" s="77"/>
      <c r="AO855" s="77"/>
      <c r="AP855" s="77"/>
      <c r="AQ855" s="77"/>
      <c r="AR855" s="77"/>
      <c r="AS855" s="77"/>
      <c r="AT855" s="77"/>
      <c r="AU855" s="77"/>
      <c r="AV855" s="80" t="str">
        <f>HYPERLINK("https://pbs.twimg.com/profile_images/1450209508031094786/x6kSC0vZ_normal.jpg")</f>
        <v>https://pbs.twimg.com/profile_images/1450209508031094786/x6kSC0vZ_normal.jpg</v>
      </c>
      <c r="AW855" s="82" t="s">
        <v>12539</v>
      </c>
      <c r="AX855" s="82" t="s">
        <v>12539</v>
      </c>
      <c r="AY855" s="77"/>
      <c r="AZ855" s="82" t="s">
        <v>15984</v>
      </c>
      <c r="BA855" s="82" t="s">
        <v>15984</v>
      </c>
      <c r="BB855" s="82" t="s">
        <v>15984</v>
      </c>
      <c r="BC855" s="82" t="s">
        <v>12539</v>
      </c>
      <c r="BD855" s="82" t="s">
        <v>16268</v>
      </c>
      <c r="BE855" s="77"/>
      <c r="BF855" s="77"/>
      <c r="BG855" s="77"/>
      <c r="BH855" s="77"/>
      <c r="BI855" s="77"/>
    </row>
    <row r="856" spans="1:61" x14ac:dyDescent="0.25">
      <c r="A856" s="62" t="s">
        <v>506</v>
      </c>
      <c r="B856" s="62" t="s">
        <v>506</v>
      </c>
      <c r="C856" s="63"/>
      <c r="D856" s="64"/>
      <c r="E856" s="65"/>
      <c r="F856" s="66"/>
      <c r="G856" s="63"/>
      <c r="H856" s="67"/>
      <c r="I856" s="68"/>
      <c r="J856" s="68"/>
      <c r="K856" s="32"/>
      <c r="L856" s="75">
        <v>856</v>
      </c>
      <c r="M856" s="75"/>
      <c r="N856" s="70"/>
      <c r="O856" s="77" t="s">
        <v>179</v>
      </c>
      <c r="P856" s="79">
        <v>45127.847662037035</v>
      </c>
      <c r="Q856" s="77" t="s">
        <v>1692</v>
      </c>
      <c r="R856" s="77">
        <v>0</v>
      </c>
      <c r="S856" s="77">
        <v>0</v>
      </c>
      <c r="T856" s="77">
        <v>0</v>
      </c>
      <c r="U856" s="77">
        <v>0</v>
      </c>
      <c r="V856" s="77">
        <v>7</v>
      </c>
      <c r="W856" s="82" t="s">
        <v>5260</v>
      </c>
      <c r="X856" s="80" t="str">
        <f>HYPERLINK("https://lapiensoladigo.blogspot.com/2023/07/historia-del-comercio-internacional.html")</f>
        <v>https://lapiensoladigo.blogspot.com/2023/07/historia-del-comercio-internacional.html</v>
      </c>
      <c r="Y856" s="77" t="s">
        <v>6532</v>
      </c>
      <c r="Z856" s="77"/>
      <c r="AA856" s="77" t="s">
        <v>7126</v>
      </c>
      <c r="AB856" s="77" t="s">
        <v>7742</v>
      </c>
      <c r="AC856" s="82" t="s">
        <v>7750</v>
      </c>
      <c r="AD856" s="77" t="s">
        <v>7790</v>
      </c>
      <c r="AE856" s="80" t="str">
        <f>HYPERLINK("https://twitter.com/lapiensoladigo/status/1682123370010116097")</f>
        <v>https://twitter.com/lapiensoladigo/status/1682123370010116097</v>
      </c>
      <c r="AF856" s="79">
        <v>45127.847662037035</v>
      </c>
      <c r="AG856" s="85">
        <v>45127</v>
      </c>
      <c r="AH856" s="82" t="s">
        <v>8559</v>
      </c>
      <c r="AI856" s="77" t="b">
        <v>0</v>
      </c>
      <c r="AJ856" s="77"/>
      <c r="AK856" s="77"/>
      <c r="AL856" s="77"/>
      <c r="AM856" s="77"/>
      <c r="AN856" s="77"/>
      <c r="AO856" s="77"/>
      <c r="AP856" s="77"/>
      <c r="AQ856" s="77" t="s">
        <v>11098</v>
      </c>
      <c r="AR856" s="77"/>
      <c r="AS856" s="77"/>
      <c r="AT856" s="77"/>
      <c r="AU856" s="77"/>
      <c r="AV856" s="80" t="str">
        <f>HYPERLINK("https://pbs.twimg.com/media/F1gZ2OXWAAEMKe8.jpg")</f>
        <v>https://pbs.twimg.com/media/F1gZ2OXWAAEMKe8.jpg</v>
      </c>
      <c r="AW856" s="82" t="s">
        <v>12540</v>
      </c>
      <c r="AX856" s="82" t="s">
        <v>12540</v>
      </c>
      <c r="AY856" s="77"/>
      <c r="AZ856" s="82" t="s">
        <v>15984</v>
      </c>
      <c r="BA856" s="82" t="s">
        <v>15984</v>
      </c>
      <c r="BB856" s="82" t="s">
        <v>15984</v>
      </c>
      <c r="BC856" s="82" t="s">
        <v>12540</v>
      </c>
      <c r="BD856" s="82" t="s">
        <v>16269</v>
      </c>
      <c r="BE856" s="77"/>
      <c r="BF856" s="77"/>
      <c r="BG856" s="77"/>
      <c r="BH856" s="77"/>
      <c r="BI856" s="77"/>
    </row>
    <row r="857" spans="1:61" x14ac:dyDescent="0.25">
      <c r="A857" s="62" t="s">
        <v>506</v>
      </c>
      <c r="B857" s="62" t="s">
        <v>506</v>
      </c>
      <c r="C857" s="63"/>
      <c r="D857" s="64"/>
      <c r="E857" s="65"/>
      <c r="F857" s="66"/>
      <c r="G857" s="63"/>
      <c r="H857" s="67"/>
      <c r="I857" s="68"/>
      <c r="J857" s="68"/>
      <c r="K857" s="32"/>
      <c r="L857" s="75">
        <v>857</v>
      </c>
      <c r="M857" s="75"/>
      <c r="N857" s="70"/>
      <c r="O857" s="77" t="s">
        <v>179</v>
      </c>
      <c r="P857" s="79">
        <v>45127.83861111111</v>
      </c>
      <c r="Q857" s="77" t="s">
        <v>1693</v>
      </c>
      <c r="R857" s="77">
        <v>0</v>
      </c>
      <c r="S857" s="77">
        <v>0</v>
      </c>
      <c r="T857" s="77">
        <v>0</v>
      </c>
      <c r="U857" s="77">
        <v>0</v>
      </c>
      <c r="V857" s="77">
        <v>4</v>
      </c>
      <c r="W857" s="82" t="s">
        <v>5261</v>
      </c>
      <c r="X857" s="80" t="str">
        <f>HYPERLINK("https://lapiensoladigo.blogspot.com/2023/07/objetivos-de-desarrollo-sostenible_19.html")</f>
        <v>https://lapiensoladigo.blogspot.com/2023/07/objetivos-de-desarrollo-sostenible_19.html</v>
      </c>
      <c r="Y857" s="77" t="s">
        <v>6532</v>
      </c>
      <c r="Z857" s="77"/>
      <c r="AA857" s="77" t="s">
        <v>7127</v>
      </c>
      <c r="AB857" s="77" t="s">
        <v>7742</v>
      </c>
      <c r="AC857" s="82" t="s">
        <v>7750</v>
      </c>
      <c r="AD857" s="77" t="s">
        <v>7790</v>
      </c>
      <c r="AE857" s="80" t="str">
        <f>HYPERLINK("https://twitter.com/lapiensoladigo/status/1682120091343761411")</f>
        <v>https://twitter.com/lapiensoladigo/status/1682120091343761411</v>
      </c>
      <c r="AF857" s="79">
        <v>45127.83861111111</v>
      </c>
      <c r="AG857" s="85">
        <v>45127</v>
      </c>
      <c r="AH857" s="82" t="s">
        <v>8560</v>
      </c>
      <c r="AI857" s="77" t="b">
        <v>0</v>
      </c>
      <c r="AJ857" s="77"/>
      <c r="AK857" s="77"/>
      <c r="AL857" s="77"/>
      <c r="AM857" s="77"/>
      <c r="AN857" s="77"/>
      <c r="AO857" s="77"/>
      <c r="AP857" s="77"/>
      <c r="AQ857" s="77" t="s">
        <v>11099</v>
      </c>
      <c r="AR857" s="77"/>
      <c r="AS857" s="77"/>
      <c r="AT857" s="77"/>
      <c r="AU857" s="77"/>
      <c r="AV857" s="80" t="str">
        <f>HYPERLINK("https://pbs.twimg.com/media/F1gXF9XXgAAlq1l.jpg")</f>
        <v>https://pbs.twimg.com/media/F1gXF9XXgAAlq1l.jpg</v>
      </c>
      <c r="AW857" s="82" t="s">
        <v>12541</v>
      </c>
      <c r="AX857" s="82" t="s">
        <v>12541</v>
      </c>
      <c r="AY857" s="77"/>
      <c r="AZ857" s="82" t="s">
        <v>15984</v>
      </c>
      <c r="BA857" s="82" t="s">
        <v>15984</v>
      </c>
      <c r="BB857" s="82" t="s">
        <v>15984</v>
      </c>
      <c r="BC857" s="82" t="s">
        <v>12541</v>
      </c>
      <c r="BD857" s="82" t="s">
        <v>16269</v>
      </c>
      <c r="BE857" s="77"/>
      <c r="BF857" s="77"/>
      <c r="BG857" s="77"/>
      <c r="BH857" s="77"/>
      <c r="BI857" s="77"/>
    </row>
    <row r="858" spans="1:61" x14ac:dyDescent="0.25">
      <c r="A858" s="62" t="s">
        <v>506</v>
      </c>
      <c r="B858" s="62" t="s">
        <v>506</v>
      </c>
      <c r="C858" s="63"/>
      <c r="D858" s="64"/>
      <c r="E858" s="65"/>
      <c r="F858" s="66"/>
      <c r="G858" s="63"/>
      <c r="H858" s="67"/>
      <c r="I858" s="68"/>
      <c r="J858" s="68"/>
      <c r="K858" s="32"/>
      <c r="L858" s="75">
        <v>858</v>
      </c>
      <c r="M858" s="75"/>
      <c r="N858" s="70"/>
      <c r="O858" s="77" t="s">
        <v>179</v>
      </c>
      <c r="P858" s="79">
        <v>45127.837395833332</v>
      </c>
      <c r="Q858" s="77" t="s">
        <v>1694</v>
      </c>
      <c r="R858" s="77">
        <v>0</v>
      </c>
      <c r="S858" s="77">
        <v>0</v>
      </c>
      <c r="T858" s="77">
        <v>0</v>
      </c>
      <c r="U858" s="77">
        <v>0</v>
      </c>
      <c r="V858" s="77">
        <v>14</v>
      </c>
      <c r="W858" s="82" t="s">
        <v>5261</v>
      </c>
      <c r="X858" s="80" t="str">
        <f>HYPERLINK("https://lapiensoladigo.blogspot.com/2023/07/mercado-fuerza-y-flexibilidad_19.html")</f>
        <v>https://lapiensoladigo.blogspot.com/2023/07/mercado-fuerza-y-flexibilidad_19.html</v>
      </c>
      <c r="Y858" s="77" t="s">
        <v>6532</v>
      </c>
      <c r="Z858" s="77"/>
      <c r="AA858" s="77" t="s">
        <v>7128</v>
      </c>
      <c r="AB858" s="77" t="s">
        <v>7742</v>
      </c>
      <c r="AC858" s="82" t="s">
        <v>7750</v>
      </c>
      <c r="AD858" s="77" t="s">
        <v>7790</v>
      </c>
      <c r="AE858" s="80" t="str">
        <f>HYPERLINK("https://twitter.com/lapiensoladigo/status/1682119650849505281")</f>
        <v>https://twitter.com/lapiensoladigo/status/1682119650849505281</v>
      </c>
      <c r="AF858" s="79">
        <v>45127.837395833332</v>
      </c>
      <c r="AG858" s="85">
        <v>45127</v>
      </c>
      <c r="AH858" s="82" t="s">
        <v>8561</v>
      </c>
      <c r="AI858" s="77" t="b">
        <v>0</v>
      </c>
      <c r="AJ858" s="77"/>
      <c r="AK858" s="77"/>
      <c r="AL858" s="77"/>
      <c r="AM858" s="77"/>
      <c r="AN858" s="77"/>
      <c r="AO858" s="77"/>
      <c r="AP858" s="77"/>
      <c r="AQ858" s="77" t="s">
        <v>11100</v>
      </c>
      <c r="AR858" s="77"/>
      <c r="AS858" s="77"/>
      <c r="AT858" s="77"/>
      <c r="AU858" s="77"/>
      <c r="AV858" s="80" t="str">
        <f>HYPERLINK("https://pbs.twimg.com/media/F1gWi7PWIAIee66.jpg")</f>
        <v>https://pbs.twimg.com/media/F1gWi7PWIAIee66.jpg</v>
      </c>
      <c r="AW858" s="82" t="s">
        <v>12542</v>
      </c>
      <c r="AX858" s="82" t="s">
        <v>12542</v>
      </c>
      <c r="AY858" s="77"/>
      <c r="AZ858" s="82" t="s">
        <v>15984</v>
      </c>
      <c r="BA858" s="82" t="s">
        <v>15984</v>
      </c>
      <c r="BB858" s="82" t="s">
        <v>15984</v>
      </c>
      <c r="BC858" s="82" t="s">
        <v>12542</v>
      </c>
      <c r="BD858" s="82" t="s">
        <v>16269</v>
      </c>
      <c r="BE858" s="77"/>
      <c r="BF858" s="77"/>
      <c r="BG858" s="77"/>
      <c r="BH858" s="77"/>
      <c r="BI858" s="77"/>
    </row>
    <row r="859" spans="1:61" x14ac:dyDescent="0.25">
      <c r="A859" s="62" t="s">
        <v>507</v>
      </c>
      <c r="B859" s="62" t="s">
        <v>507</v>
      </c>
      <c r="C859" s="63"/>
      <c r="D859" s="64"/>
      <c r="E859" s="65"/>
      <c r="F859" s="66"/>
      <c r="G859" s="63"/>
      <c r="H859" s="67"/>
      <c r="I859" s="68"/>
      <c r="J859" s="68"/>
      <c r="K859" s="32"/>
      <c r="L859" s="75">
        <v>859</v>
      </c>
      <c r="M859" s="75"/>
      <c r="N859" s="70"/>
      <c r="O859" s="77" t="s">
        <v>179</v>
      </c>
      <c r="P859" s="79">
        <v>45194.55908564815</v>
      </c>
      <c r="Q859" s="77" t="s">
        <v>1014</v>
      </c>
      <c r="R859" s="77">
        <v>0</v>
      </c>
      <c r="S859" s="77">
        <v>0</v>
      </c>
      <c r="T859" s="77">
        <v>0</v>
      </c>
      <c r="U859" s="77">
        <v>0</v>
      </c>
      <c r="V859" s="77">
        <v>15</v>
      </c>
      <c r="W859" s="82" t="s">
        <v>4849</v>
      </c>
      <c r="X859" s="77"/>
      <c r="Y859" s="77"/>
      <c r="Z859" s="77"/>
      <c r="AA859" s="77"/>
      <c r="AB859" s="77"/>
      <c r="AC859" s="82" t="s">
        <v>7750</v>
      </c>
      <c r="AD859" s="77" t="s">
        <v>7789</v>
      </c>
      <c r="AE859" s="80" t="str">
        <f>HYPERLINK("https://twitter.com/trademindfulne1/status/1706298780813787317")</f>
        <v>https://twitter.com/trademindfulne1/status/1706298780813787317</v>
      </c>
      <c r="AF859" s="79">
        <v>45194.55908564815</v>
      </c>
      <c r="AG859" s="85">
        <v>45194</v>
      </c>
      <c r="AH859" s="82" t="s">
        <v>8562</v>
      </c>
      <c r="AI859" s="77"/>
      <c r="AJ859" s="77"/>
      <c r="AK859" s="77"/>
      <c r="AL859" s="77"/>
      <c r="AM859" s="77"/>
      <c r="AN859" s="77"/>
      <c r="AO859" s="77"/>
      <c r="AP859" s="77"/>
      <c r="AQ859" s="77"/>
      <c r="AR859" s="77"/>
      <c r="AS859" s="77"/>
      <c r="AT859" s="77"/>
      <c r="AU859" s="77"/>
      <c r="AV859" s="80" t="str">
        <f>HYPERLINK("https://pbs.twimg.com/profile_images/1699367788005974017/o2gpS1HL_normal.jpg")</f>
        <v>https://pbs.twimg.com/profile_images/1699367788005974017/o2gpS1HL_normal.jpg</v>
      </c>
      <c r="AW859" s="82" t="s">
        <v>12543</v>
      </c>
      <c r="AX859" s="82" t="s">
        <v>12543</v>
      </c>
      <c r="AY859" s="77"/>
      <c r="AZ859" s="82" t="s">
        <v>15984</v>
      </c>
      <c r="BA859" s="82" t="s">
        <v>15984</v>
      </c>
      <c r="BB859" s="82" t="s">
        <v>15984</v>
      </c>
      <c r="BC859" s="82" t="s">
        <v>12543</v>
      </c>
      <c r="BD859" s="82" t="s">
        <v>16270</v>
      </c>
      <c r="BE859" s="77"/>
      <c r="BF859" s="77"/>
      <c r="BG859" s="77"/>
      <c r="BH859" s="77"/>
      <c r="BI859" s="77"/>
    </row>
    <row r="860" spans="1:61" x14ac:dyDescent="0.25">
      <c r="A860" s="62" t="s">
        <v>508</v>
      </c>
      <c r="B860" s="62" t="s">
        <v>508</v>
      </c>
      <c r="C860" s="63"/>
      <c r="D860" s="64"/>
      <c r="E860" s="65"/>
      <c r="F860" s="66"/>
      <c r="G860" s="63"/>
      <c r="H860" s="67"/>
      <c r="I860" s="68"/>
      <c r="J860" s="68"/>
      <c r="K860" s="32"/>
      <c r="L860" s="75">
        <v>860</v>
      </c>
      <c r="M860" s="75"/>
      <c r="N860" s="70"/>
      <c r="O860" s="77" t="s">
        <v>179</v>
      </c>
      <c r="P860" s="79">
        <v>45186.491805555554</v>
      </c>
      <c r="Q860" s="77" t="s">
        <v>1695</v>
      </c>
      <c r="R860" s="77">
        <v>0</v>
      </c>
      <c r="S860" s="77">
        <v>0</v>
      </c>
      <c r="T860" s="77">
        <v>0</v>
      </c>
      <c r="U860" s="77">
        <v>0</v>
      </c>
      <c r="V860" s="77">
        <v>86</v>
      </c>
      <c r="W860" s="82" t="s">
        <v>5262</v>
      </c>
      <c r="X860" s="80" t="str">
        <f>HYPERLINK("https://www.instagram.com/p/CxSppJ0OzfU/?igshid=ODk2MDJkZDc2Zg==")</f>
        <v>https://www.instagram.com/p/CxSppJ0OzfU/?igshid=ODk2MDJkZDc2Zg==</v>
      </c>
      <c r="Y860" s="77" t="s">
        <v>6469</v>
      </c>
      <c r="Z860" s="77"/>
      <c r="AA860" s="77"/>
      <c r="AB860" s="77"/>
      <c r="AC860" s="82" t="s">
        <v>7751</v>
      </c>
      <c r="AD860" s="77" t="s">
        <v>7791</v>
      </c>
      <c r="AE860" s="80" t="str">
        <f>HYPERLINK("https://twitter.com/abpoeta/status/1703375294357221881")</f>
        <v>https://twitter.com/abpoeta/status/1703375294357221881</v>
      </c>
      <c r="AF860" s="79">
        <v>45186.491805555554</v>
      </c>
      <c r="AG860" s="85">
        <v>45186</v>
      </c>
      <c r="AH860" s="82" t="s">
        <v>7881</v>
      </c>
      <c r="AI860" s="77" t="b">
        <v>0</v>
      </c>
      <c r="AJ860" s="77"/>
      <c r="AK860" s="77"/>
      <c r="AL860" s="77"/>
      <c r="AM860" s="77"/>
      <c r="AN860" s="77"/>
      <c r="AO860" s="77"/>
      <c r="AP860" s="77"/>
      <c r="AQ860" s="77"/>
      <c r="AR860" s="77"/>
      <c r="AS860" s="77"/>
      <c r="AT860" s="77"/>
      <c r="AU860" s="77"/>
      <c r="AV860" s="80" t="str">
        <f>HYPERLINK("https://pbs.twimg.com/profile_images/911736123105439745/5vFqAZep_normal.jpg")</f>
        <v>https://pbs.twimg.com/profile_images/911736123105439745/5vFqAZep_normal.jpg</v>
      </c>
      <c r="AW860" s="82" t="s">
        <v>12544</v>
      </c>
      <c r="AX860" s="82" t="s">
        <v>12544</v>
      </c>
      <c r="AY860" s="77"/>
      <c r="AZ860" s="82" t="s">
        <v>15984</v>
      </c>
      <c r="BA860" s="82" t="s">
        <v>15984</v>
      </c>
      <c r="BB860" s="82" t="s">
        <v>15984</v>
      </c>
      <c r="BC860" s="82" t="s">
        <v>12544</v>
      </c>
      <c r="BD860" s="77">
        <v>34261231</v>
      </c>
      <c r="BE860" s="77"/>
      <c r="BF860" s="77"/>
      <c r="BG860" s="77"/>
      <c r="BH860" s="77"/>
      <c r="BI860" s="77"/>
    </row>
    <row r="861" spans="1:61" x14ac:dyDescent="0.25">
      <c r="A861" s="62" t="s">
        <v>509</v>
      </c>
      <c r="B861" s="62" t="s">
        <v>698</v>
      </c>
      <c r="C861" s="63"/>
      <c r="D861" s="64"/>
      <c r="E861" s="65"/>
      <c r="F861" s="66"/>
      <c r="G861" s="63"/>
      <c r="H861" s="67"/>
      <c r="I861" s="68"/>
      <c r="J861" s="68"/>
      <c r="K861" s="32"/>
      <c r="L861" s="75">
        <v>861</v>
      </c>
      <c r="M861" s="75"/>
      <c r="N861" s="70"/>
      <c r="O861" s="77" t="s">
        <v>897</v>
      </c>
      <c r="P861" s="79">
        <v>45194.58997685185</v>
      </c>
      <c r="Q861" s="77" t="s">
        <v>1696</v>
      </c>
      <c r="R861" s="77">
        <v>2</v>
      </c>
      <c r="S861" s="77">
        <v>0</v>
      </c>
      <c r="T861" s="77">
        <v>0</v>
      </c>
      <c r="U861" s="77">
        <v>0</v>
      </c>
      <c r="V861" s="77"/>
      <c r="W861" s="77"/>
      <c r="X861" s="77"/>
      <c r="Y861" s="77"/>
      <c r="Z861" s="77" t="s">
        <v>698</v>
      </c>
      <c r="AA861" s="77"/>
      <c r="AB861" s="77"/>
      <c r="AC861" s="82" t="s">
        <v>7750</v>
      </c>
      <c r="AD861" s="77" t="s">
        <v>7788</v>
      </c>
      <c r="AE861" s="80" t="str">
        <f>HYPERLINK("https://twitter.com/jmartinsfilho2/status/1706309977474765062")</f>
        <v>https://twitter.com/jmartinsfilho2/status/1706309977474765062</v>
      </c>
      <c r="AF861" s="79">
        <v>45194.58997685185</v>
      </c>
      <c r="AG861" s="85">
        <v>45194</v>
      </c>
      <c r="AH861" s="82" t="s">
        <v>8563</v>
      </c>
      <c r="AI861" s="77" t="b">
        <v>0</v>
      </c>
      <c r="AJ861" s="77"/>
      <c r="AK861" s="77"/>
      <c r="AL861" s="77"/>
      <c r="AM861" s="77"/>
      <c r="AN861" s="77"/>
      <c r="AO861" s="77"/>
      <c r="AP861" s="77"/>
      <c r="AQ861" s="77"/>
      <c r="AR861" s="77"/>
      <c r="AS861" s="77"/>
      <c r="AT861" s="77"/>
      <c r="AU861" s="77"/>
      <c r="AV861" s="80" t="str">
        <f>HYPERLINK("https://pbs.twimg.com/profile_images/821808726042640384/nzIZXhlo_normal.jpg")</f>
        <v>https://pbs.twimg.com/profile_images/821808726042640384/nzIZXhlo_normal.jpg</v>
      </c>
      <c r="AW861" s="82" t="s">
        <v>12545</v>
      </c>
      <c r="AX861" s="82" t="s">
        <v>12545</v>
      </c>
      <c r="AY861" s="77"/>
      <c r="AZ861" s="82" t="s">
        <v>15984</v>
      </c>
      <c r="BA861" s="82" t="s">
        <v>15984</v>
      </c>
      <c r="BB861" s="82" t="s">
        <v>13573</v>
      </c>
      <c r="BC861" s="82" t="s">
        <v>13573</v>
      </c>
      <c r="BD861" s="77">
        <v>2784332684</v>
      </c>
      <c r="BE861" s="77"/>
      <c r="BF861" s="77"/>
      <c r="BG861" s="77"/>
      <c r="BH861" s="77"/>
      <c r="BI861" s="77"/>
    </row>
    <row r="862" spans="1:61" x14ac:dyDescent="0.25">
      <c r="A862" s="62" t="s">
        <v>510</v>
      </c>
      <c r="B862" s="62" t="s">
        <v>694</v>
      </c>
      <c r="C862" s="63"/>
      <c r="D862" s="64"/>
      <c r="E862" s="65"/>
      <c r="F862" s="66"/>
      <c r="G862" s="63"/>
      <c r="H862" s="67"/>
      <c r="I862" s="68"/>
      <c r="J862" s="68"/>
      <c r="K862" s="32"/>
      <c r="L862" s="75">
        <v>862</v>
      </c>
      <c r="M862" s="75"/>
      <c r="N862" s="70"/>
      <c r="O862" s="77" t="s">
        <v>897</v>
      </c>
      <c r="P862" s="79">
        <v>45194.535381944443</v>
      </c>
      <c r="Q862" s="77" t="s">
        <v>1697</v>
      </c>
      <c r="R862" s="77">
        <v>1</v>
      </c>
      <c r="S862" s="77">
        <v>0</v>
      </c>
      <c r="T862" s="77">
        <v>0</v>
      </c>
      <c r="U862" s="77">
        <v>0</v>
      </c>
      <c r="V862" s="77"/>
      <c r="W862" s="82" t="s">
        <v>5263</v>
      </c>
      <c r="X862" s="77"/>
      <c r="Y862" s="77"/>
      <c r="Z862" s="77" t="s">
        <v>694</v>
      </c>
      <c r="AA862" s="77" t="s">
        <v>7129</v>
      </c>
      <c r="AB862" s="77" t="s">
        <v>7743</v>
      </c>
      <c r="AC862" s="82" t="s">
        <v>7750</v>
      </c>
      <c r="AD862" s="77" t="s">
        <v>7788</v>
      </c>
      <c r="AE862" s="80" t="str">
        <f>HYPERLINK("https://twitter.com/victorgaete/status/1706290190614986791")</f>
        <v>https://twitter.com/victorgaete/status/1706290190614986791</v>
      </c>
      <c r="AF862" s="79">
        <v>45194.535381944443</v>
      </c>
      <c r="AG862" s="85">
        <v>45194</v>
      </c>
      <c r="AH862" s="82" t="s">
        <v>8564</v>
      </c>
      <c r="AI862" s="77" t="b">
        <v>0</v>
      </c>
      <c r="AJ862" s="77"/>
      <c r="AK862" s="77"/>
      <c r="AL862" s="77"/>
      <c r="AM862" s="77"/>
      <c r="AN862" s="77"/>
      <c r="AO862" s="77"/>
      <c r="AP862" s="77"/>
      <c r="AQ862" s="77" t="s">
        <v>11101</v>
      </c>
      <c r="AR862" s="77">
        <v>310479</v>
      </c>
      <c r="AS862" s="77"/>
      <c r="AT862" s="77"/>
      <c r="AU862" s="77"/>
      <c r="AV862" s="80" t="str">
        <f>HYPERLINK("https://pbs.twimg.com/amplify_video_thumb/1706284742755094528/img/UMiDlZdjvZuc1yL7.jpg")</f>
        <v>https://pbs.twimg.com/amplify_video_thumb/1706284742755094528/img/UMiDlZdjvZuc1yL7.jpg</v>
      </c>
      <c r="AW862" s="82" t="s">
        <v>12546</v>
      </c>
      <c r="AX862" s="82" t="s">
        <v>12546</v>
      </c>
      <c r="AY862" s="77"/>
      <c r="AZ862" s="82" t="s">
        <v>15984</v>
      </c>
      <c r="BA862" s="82" t="s">
        <v>15984</v>
      </c>
      <c r="BB862" s="82" t="s">
        <v>13401</v>
      </c>
      <c r="BC862" s="82" t="s">
        <v>13401</v>
      </c>
      <c r="BD862" s="77">
        <v>32441551</v>
      </c>
      <c r="BE862" s="77"/>
      <c r="BF862" s="77"/>
      <c r="BG862" s="77"/>
      <c r="BH862" s="77"/>
      <c r="BI862" s="77"/>
    </row>
    <row r="863" spans="1:61" x14ac:dyDescent="0.25">
      <c r="A863" s="62" t="s">
        <v>511</v>
      </c>
      <c r="B863" s="62" t="s">
        <v>755</v>
      </c>
      <c r="C863" s="63"/>
      <c r="D863" s="64"/>
      <c r="E863" s="65"/>
      <c r="F863" s="66"/>
      <c r="G863" s="63"/>
      <c r="H863" s="67"/>
      <c r="I863" s="68"/>
      <c r="J863" s="68"/>
      <c r="K863" s="32"/>
      <c r="L863" s="75">
        <v>863</v>
      </c>
      <c r="M863" s="75"/>
      <c r="N863" s="70"/>
      <c r="O863" s="77" t="s">
        <v>895</v>
      </c>
      <c r="P863" s="79">
        <v>45149.287511574075</v>
      </c>
      <c r="Q863" s="77" t="s">
        <v>1698</v>
      </c>
      <c r="R863" s="77">
        <v>0</v>
      </c>
      <c r="S863" s="77">
        <v>1</v>
      </c>
      <c r="T863" s="77">
        <v>0</v>
      </c>
      <c r="U863" s="77">
        <v>0</v>
      </c>
      <c r="V863" s="77">
        <v>15</v>
      </c>
      <c r="W863" s="82" t="s">
        <v>5264</v>
      </c>
      <c r="X863" s="80" t="str">
        <f>HYPERLINK("https://www.youtube.com/live/VIYu-L-4wPc?feature=share")</f>
        <v>https://www.youtube.com/live/VIYu-L-4wPc?feature=share</v>
      </c>
      <c r="Y863" s="77" t="s">
        <v>6480</v>
      </c>
      <c r="Z863" s="77" t="s">
        <v>755</v>
      </c>
      <c r="AA863" s="77"/>
      <c r="AB863" s="77"/>
      <c r="AC863" s="82" t="s">
        <v>7750</v>
      </c>
      <c r="AD863" s="77" t="s">
        <v>7789</v>
      </c>
      <c r="AE863" s="80" t="str">
        <f>HYPERLINK("https://twitter.com/vivabemcombr/status/1689892911251349504")</f>
        <v>https://twitter.com/vivabemcombr/status/1689892911251349504</v>
      </c>
      <c r="AF863" s="79">
        <v>45149.287511574075</v>
      </c>
      <c r="AG863" s="85">
        <v>45149</v>
      </c>
      <c r="AH863" s="82" t="s">
        <v>8565</v>
      </c>
      <c r="AI863" s="77" t="b">
        <v>0</v>
      </c>
      <c r="AJ863" s="77"/>
      <c r="AK863" s="77"/>
      <c r="AL863" s="77"/>
      <c r="AM863" s="77"/>
      <c r="AN863" s="77"/>
      <c r="AO863" s="77"/>
      <c r="AP863" s="77"/>
      <c r="AQ863" s="77"/>
      <c r="AR863" s="77"/>
      <c r="AS863" s="77"/>
      <c r="AT863" s="77"/>
      <c r="AU863" s="77"/>
      <c r="AV863" s="80" t="str">
        <f>HYPERLINK("https://abs.twimg.com/sticky/default_profile_images/default_profile_normal.png")</f>
        <v>https://abs.twimg.com/sticky/default_profile_images/default_profile_normal.png</v>
      </c>
      <c r="AW863" s="82" t="s">
        <v>12547</v>
      </c>
      <c r="AX863" s="82" t="s">
        <v>12547</v>
      </c>
      <c r="AY863" s="77"/>
      <c r="AZ863" s="82" t="s">
        <v>15984</v>
      </c>
      <c r="BA863" s="82" t="s">
        <v>15984</v>
      </c>
      <c r="BB863" s="82" t="s">
        <v>15984</v>
      </c>
      <c r="BC863" s="82" t="s">
        <v>12547</v>
      </c>
      <c r="BD863" s="77">
        <v>217855689</v>
      </c>
      <c r="BE863" s="77"/>
      <c r="BF863" s="77"/>
      <c r="BG863" s="77"/>
      <c r="BH863" s="77"/>
      <c r="BI863" s="77"/>
    </row>
    <row r="864" spans="1:61" x14ac:dyDescent="0.25">
      <c r="A864" s="62" t="s">
        <v>512</v>
      </c>
      <c r="B864" s="62" t="s">
        <v>512</v>
      </c>
      <c r="C864" s="63"/>
      <c r="D864" s="64"/>
      <c r="E864" s="65"/>
      <c r="F864" s="66"/>
      <c r="G864" s="63"/>
      <c r="H864" s="67"/>
      <c r="I864" s="68"/>
      <c r="J864" s="68"/>
      <c r="K864" s="32"/>
      <c r="L864" s="75">
        <v>864</v>
      </c>
      <c r="M864" s="75"/>
      <c r="N864" s="70"/>
      <c r="O864" s="77" t="s">
        <v>179</v>
      </c>
      <c r="P864" s="79">
        <v>45125.560381944444</v>
      </c>
      <c r="Q864" s="77" t="s">
        <v>1699</v>
      </c>
      <c r="R864" s="77">
        <v>6</v>
      </c>
      <c r="S864" s="77">
        <v>7</v>
      </c>
      <c r="T864" s="77">
        <v>0</v>
      </c>
      <c r="U864" s="77">
        <v>1</v>
      </c>
      <c r="V864" s="77">
        <v>95</v>
      </c>
      <c r="W864" s="82" t="s">
        <v>5265</v>
      </c>
      <c r="X864" s="80" t="str">
        <f>HYPERLINK("https://www.valoraanalitik.com/2023/07/17/inversion-extranjera-directa-en-junio-la-segunda-mejor-en-la-historia-en-colombia/")</f>
        <v>https://www.valoraanalitik.com/2023/07/17/inversion-extranjera-directa-en-junio-la-segunda-mejor-en-la-historia-en-colombia/</v>
      </c>
      <c r="Y864" s="77" t="s">
        <v>6471</v>
      </c>
      <c r="Z864" s="77"/>
      <c r="AA864" s="77"/>
      <c r="AB864" s="77"/>
      <c r="AC864" s="82" t="s">
        <v>7751</v>
      </c>
      <c r="AD864" s="77" t="s">
        <v>7790</v>
      </c>
      <c r="AE864" s="80" t="str">
        <f>HYPERLINK("https://twitter.com/alverti6451/status/1681294488575066115")</f>
        <v>https://twitter.com/alverti6451/status/1681294488575066115</v>
      </c>
      <c r="AF864" s="79">
        <v>45125.560381944444</v>
      </c>
      <c r="AG864" s="85">
        <v>45125</v>
      </c>
      <c r="AH864" s="82" t="s">
        <v>8566</v>
      </c>
      <c r="AI864" s="77" t="b">
        <v>0</v>
      </c>
      <c r="AJ864" s="77"/>
      <c r="AK864" s="77"/>
      <c r="AL864" s="77"/>
      <c r="AM864" s="77"/>
      <c r="AN864" s="77"/>
      <c r="AO864" s="77"/>
      <c r="AP864" s="77"/>
      <c r="AQ864" s="77"/>
      <c r="AR864" s="77"/>
      <c r="AS864" s="77"/>
      <c r="AT864" s="77"/>
      <c r="AU864" s="77"/>
      <c r="AV864" s="80" t="str">
        <f>HYPERLINK("https://pbs.twimg.com/profile_images/1687635832398598144/bh2daACb_normal.jpg")</f>
        <v>https://pbs.twimg.com/profile_images/1687635832398598144/bh2daACb_normal.jpg</v>
      </c>
      <c r="AW864" s="82" t="s">
        <v>12548</v>
      </c>
      <c r="AX864" s="82" t="s">
        <v>12548</v>
      </c>
      <c r="AY864" s="77"/>
      <c r="AZ864" s="82" t="s">
        <v>15984</v>
      </c>
      <c r="BA864" s="82" t="s">
        <v>15984</v>
      </c>
      <c r="BB864" s="82" t="s">
        <v>15984</v>
      </c>
      <c r="BC864" s="82" t="s">
        <v>12548</v>
      </c>
      <c r="BD864" s="82" t="s">
        <v>16271</v>
      </c>
      <c r="BE864" s="77"/>
      <c r="BF864" s="77"/>
      <c r="BG864" s="77"/>
      <c r="BH864" s="77"/>
      <c r="BI864" s="77"/>
    </row>
    <row r="865" spans="1:61" x14ac:dyDescent="0.25">
      <c r="A865" s="62" t="s">
        <v>513</v>
      </c>
      <c r="B865" s="62" t="s">
        <v>513</v>
      </c>
      <c r="C865" s="63"/>
      <c r="D865" s="64"/>
      <c r="E865" s="65"/>
      <c r="F865" s="66"/>
      <c r="G865" s="63"/>
      <c r="H865" s="67"/>
      <c r="I865" s="68"/>
      <c r="J865" s="68"/>
      <c r="K865" s="32"/>
      <c r="L865" s="75">
        <v>865</v>
      </c>
      <c r="M865" s="75"/>
      <c r="N865" s="70"/>
      <c r="O865" s="77" t="s">
        <v>179</v>
      </c>
      <c r="P865" s="79">
        <v>45121.727384259262</v>
      </c>
      <c r="Q865" s="77" t="s">
        <v>1700</v>
      </c>
      <c r="R865" s="77">
        <v>0</v>
      </c>
      <c r="S865" s="77">
        <v>0</v>
      </c>
      <c r="T865" s="77">
        <v>0</v>
      </c>
      <c r="U865" s="77">
        <v>0</v>
      </c>
      <c r="V865" s="77">
        <v>20</v>
      </c>
      <c r="W865" s="82" t="s">
        <v>5266</v>
      </c>
      <c r="X865" s="77"/>
      <c r="Y865" s="77"/>
      <c r="Z865" s="77"/>
      <c r="AA865" s="77" t="s">
        <v>7130</v>
      </c>
      <c r="AB865" s="77" t="s">
        <v>7743</v>
      </c>
      <c r="AC865" s="82" t="s">
        <v>7752</v>
      </c>
      <c r="AD865" s="77" t="s">
        <v>7790</v>
      </c>
      <c r="AE865" s="80" t="str">
        <f>HYPERLINK("https://twitter.com/shortsdoraiam/status/1679905454183284745")</f>
        <v>https://twitter.com/shortsdoraiam/status/1679905454183284745</v>
      </c>
      <c r="AF865" s="79">
        <v>45121.727384259262</v>
      </c>
      <c r="AG865" s="85">
        <v>45121</v>
      </c>
      <c r="AH865" s="82" t="s">
        <v>8567</v>
      </c>
      <c r="AI865" s="77" t="b">
        <v>0</v>
      </c>
      <c r="AJ865" s="77"/>
      <c r="AK865" s="77"/>
      <c r="AL865" s="77"/>
      <c r="AM865" s="77"/>
      <c r="AN865" s="77"/>
      <c r="AO865" s="77"/>
      <c r="AP865" s="77"/>
      <c r="AQ865" s="77" t="s">
        <v>11102</v>
      </c>
      <c r="AR865" s="77">
        <v>61300</v>
      </c>
      <c r="AS865" s="77"/>
      <c r="AT865" s="77"/>
      <c r="AU865" s="77"/>
      <c r="AV865" s="80" t="str">
        <f>HYPERLINK("https://pbs.twimg.com/ext_tw_video_thumb/1679905311593725969/pu/img/o0D_Oo9j8gjcsk7D.jpg")</f>
        <v>https://pbs.twimg.com/ext_tw_video_thumb/1679905311593725969/pu/img/o0D_Oo9j8gjcsk7D.jpg</v>
      </c>
      <c r="AW865" s="82" t="s">
        <v>12549</v>
      </c>
      <c r="AX865" s="82" t="s">
        <v>12549</v>
      </c>
      <c r="AY865" s="77"/>
      <c r="AZ865" s="82" t="s">
        <v>15984</v>
      </c>
      <c r="BA865" s="82" t="s">
        <v>15984</v>
      </c>
      <c r="BB865" s="82" t="s">
        <v>15984</v>
      </c>
      <c r="BC865" s="82" t="s">
        <v>12549</v>
      </c>
      <c r="BD865" s="82" t="s">
        <v>16272</v>
      </c>
      <c r="BE865" s="77"/>
      <c r="BF865" s="77"/>
      <c r="BG865" s="77"/>
      <c r="BH865" s="77"/>
      <c r="BI865" s="77"/>
    </row>
    <row r="866" spans="1:61" x14ac:dyDescent="0.25">
      <c r="A866" s="62" t="s">
        <v>514</v>
      </c>
      <c r="B866" s="62" t="s">
        <v>514</v>
      </c>
      <c r="C866" s="63"/>
      <c r="D866" s="64"/>
      <c r="E866" s="65"/>
      <c r="F866" s="66"/>
      <c r="G866" s="63"/>
      <c r="H866" s="67"/>
      <c r="I866" s="68"/>
      <c r="J866" s="68"/>
      <c r="K866" s="32"/>
      <c r="L866" s="75">
        <v>866</v>
      </c>
      <c r="M866" s="75"/>
      <c r="N866" s="70"/>
      <c r="O866" s="77" t="s">
        <v>179</v>
      </c>
      <c r="P866" s="79">
        <v>45169.5625</v>
      </c>
      <c r="Q866" s="77" t="s">
        <v>1701</v>
      </c>
      <c r="R866" s="77">
        <v>0</v>
      </c>
      <c r="S866" s="77">
        <v>0</v>
      </c>
      <c r="T866" s="77">
        <v>0</v>
      </c>
      <c r="U866" s="77">
        <v>0</v>
      </c>
      <c r="V866" s="77">
        <v>79</v>
      </c>
      <c r="W866" s="82" t="s">
        <v>5267</v>
      </c>
      <c r="X866" s="80" t="str">
        <f>HYPERLINK("https://www.perfil.com/noticias/canal-e/desequilibrio-economico-la-macro-esta-enfrentando-una-situacion-de-mucho-estres.phtml")</f>
        <v>https://www.perfil.com/noticias/canal-e/desequilibrio-economico-la-macro-esta-enfrentando-una-situacion-de-mucho-estres.phtml</v>
      </c>
      <c r="Y866" s="77" t="s">
        <v>6498</v>
      </c>
      <c r="Z866" s="77"/>
      <c r="AA866" s="77"/>
      <c r="AB866" s="77"/>
      <c r="AC866" s="82" t="s">
        <v>7750</v>
      </c>
      <c r="AD866" s="77" t="s">
        <v>7790</v>
      </c>
      <c r="AE866" s="80" t="str">
        <f>HYPERLINK("https://twitter.com/canaleconomico/status/1697240321330200730")</f>
        <v>https://twitter.com/canaleconomico/status/1697240321330200730</v>
      </c>
      <c r="AF866" s="79">
        <v>45169.5625</v>
      </c>
      <c r="AG866" s="85">
        <v>45169</v>
      </c>
      <c r="AH866" s="82" t="s">
        <v>7922</v>
      </c>
      <c r="AI866" s="77" t="b">
        <v>0</v>
      </c>
      <c r="AJ866" s="77"/>
      <c r="AK866" s="77"/>
      <c r="AL866" s="77"/>
      <c r="AM866" s="77"/>
      <c r="AN866" s="77"/>
      <c r="AO866" s="77"/>
      <c r="AP866" s="77"/>
      <c r="AQ866" s="77"/>
      <c r="AR866" s="77"/>
      <c r="AS866" s="77"/>
      <c r="AT866" s="77"/>
      <c r="AU866" s="77"/>
      <c r="AV866" s="80" t="str">
        <f>HYPERLINK("https://pbs.twimg.com/profile_images/1642663980597379074/Qtc8M2PG_normal.jpg")</f>
        <v>https://pbs.twimg.com/profile_images/1642663980597379074/Qtc8M2PG_normal.jpg</v>
      </c>
      <c r="AW866" s="82" t="s">
        <v>12550</v>
      </c>
      <c r="AX866" s="82" t="s">
        <v>12550</v>
      </c>
      <c r="AY866" s="77"/>
      <c r="AZ866" s="82" t="s">
        <v>15984</v>
      </c>
      <c r="BA866" s="82" t="s">
        <v>15984</v>
      </c>
      <c r="BB866" s="82" t="s">
        <v>15984</v>
      </c>
      <c r="BC866" s="82" t="s">
        <v>12550</v>
      </c>
      <c r="BD866" s="82" t="s">
        <v>16273</v>
      </c>
      <c r="BE866" s="77"/>
      <c r="BF866" s="77"/>
      <c r="BG866" s="77"/>
      <c r="BH866" s="77"/>
      <c r="BI866" s="77"/>
    </row>
    <row r="867" spans="1:61" x14ac:dyDescent="0.25">
      <c r="A867" s="62" t="s">
        <v>515</v>
      </c>
      <c r="B867" s="62" t="s">
        <v>515</v>
      </c>
      <c r="C867" s="63"/>
      <c r="D867" s="64"/>
      <c r="E867" s="65"/>
      <c r="F867" s="66"/>
      <c r="G867" s="63"/>
      <c r="H867" s="67"/>
      <c r="I867" s="68"/>
      <c r="J867" s="68"/>
      <c r="K867" s="32"/>
      <c r="L867" s="75">
        <v>867</v>
      </c>
      <c r="M867" s="75"/>
      <c r="N867" s="70"/>
      <c r="O867" s="77" t="s">
        <v>179</v>
      </c>
      <c r="P867" s="79">
        <v>45138.990254629629</v>
      </c>
      <c r="Q867" s="77" t="s">
        <v>1702</v>
      </c>
      <c r="R867" s="77">
        <v>0</v>
      </c>
      <c r="S867" s="77">
        <v>0</v>
      </c>
      <c r="T867" s="77">
        <v>0</v>
      </c>
      <c r="U867" s="77">
        <v>0</v>
      </c>
      <c r="V867" s="77">
        <v>131</v>
      </c>
      <c r="W867" s="82" t="s">
        <v>5268</v>
      </c>
      <c r="X867" s="77"/>
      <c r="Y867" s="77"/>
      <c r="Z867" s="77"/>
      <c r="AA867" s="77" t="s">
        <v>7131</v>
      </c>
      <c r="AB867" s="77" t="s">
        <v>7745</v>
      </c>
      <c r="AC867" s="82" t="s">
        <v>7750</v>
      </c>
      <c r="AD867" s="77" t="s">
        <v>7788</v>
      </c>
      <c r="AE867" s="80" t="str">
        <f>HYPERLINK("https://twitter.com/franciscob_at/status/1686161310596161543")</f>
        <v>https://twitter.com/franciscob_at/status/1686161310596161543</v>
      </c>
      <c r="AF867" s="79">
        <v>45138.990254629629</v>
      </c>
      <c r="AG867" s="85">
        <v>45138</v>
      </c>
      <c r="AH867" s="82" t="s">
        <v>8568</v>
      </c>
      <c r="AI867" s="77" t="b">
        <v>0</v>
      </c>
      <c r="AJ867" s="77"/>
      <c r="AK867" s="77"/>
      <c r="AL867" s="77"/>
      <c r="AM867" s="77"/>
      <c r="AN867" s="77"/>
      <c r="AO867" s="77"/>
      <c r="AP867" s="77"/>
      <c r="AQ867" s="77" t="s">
        <v>11103</v>
      </c>
      <c r="AR867" s="77"/>
      <c r="AS867" s="77"/>
      <c r="AT867" s="77"/>
      <c r="AU867" s="77"/>
      <c r="AV867" s="80" t="str">
        <f>HYPERLINK("https://pbs.twimg.com/media/F2ZyiInXsAAbPZW.jpg")</f>
        <v>https://pbs.twimg.com/media/F2ZyiInXsAAbPZW.jpg</v>
      </c>
      <c r="AW867" s="82" t="s">
        <v>12551</v>
      </c>
      <c r="AX867" s="82" t="s">
        <v>12551</v>
      </c>
      <c r="AY867" s="77"/>
      <c r="AZ867" s="82" t="s">
        <v>15984</v>
      </c>
      <c r="BA867" s="82" t="s">
        <v>15984</v>
      </c>
      <c r="BB867" s="82" t="s">
        <v>15984</v>
      </c>
      <c r="BC867" s="82" t="s">
        <v>12551</v>
      </c>
      <c r="BD867" s="82" t="s">
        <v>16274</v>
      </c>
      <c r="BE867" s="77"/>
      <c r="BF867" s="77"/>
      <c r="BG867" s="77"/>
      <c r="BH867" s="77"/>
      <c r="BI867" s="77"/>
    </row>
    <row r="868" spans="1:61" x14ac:dyDescent="0.25">
      <c r="A868" s="62" t="s">
        <v>515</v>
      </c>
      <c r="B868" s="62" t="s">
        <v>515</v>
      </c>
      <c r="C868" s="63"/>
      <c r="D868" s="64"/>
      <c r="E868" s="65"/>
      <c r="F868" s="66"/>
      <c r="G868" s="63"/>
      <c r="H868" s="67"/>
      <c r="I868" s="68"/>
      <c r="J868" s="68"/>
      <c r="K868" s="32"/>
      <c r="L868" s="75">
        <v>868</v>
      </c>
      <c r="M868" s="75"/>
      <c r="N868" s="70"/>
      <c r="O868" s="77" t="s">
        <v>179</v>
      </c>
      <c r="P868" s="79">
        <v>45138.982627314814</v>
      </c>
      <c r="Q868" s="77" t="s">
        <v>1703</v>
      </c>
      <c r="R868" s="77">
        <v>0</v>
      </c>
      <c r="S868" s="77">
        <v>0</v>
      </c>
      <c r="T868" s="77">
        <v>0</v>
      </c>
      <c r="U868" s="77">
        <v>0</v>
      </c>
      <c r="V868" s="77">
        <v>56</v>
      </c>
      <c r="W868" s="82" t="s">
        <v>5268</v>
      </c>
      <c r="X868" s="77"/>
      <c r="Y868" s="77"/>
      <c r="Z868" s="77"/>
      <c r="AA868" s="77" t="s">
        <v>7132</v>
      </c>
      <c r="AB868" s="77" t="s">
        <v>7745</v>
      </c>
      <c r="AC868" s="82" t="s">
        <v>7750</v>
      </c>
      <c r="AD868" s="77" t="s">
        <v>7788</v>
      </c>
      <c r="AE868" s="80" t="str">
        <f>HYPERLINK("https://twitter.com/franciscob_at/status/1686158545153142784")</f>
        <v>https://twitter.com/franciscob_at/status/1686158545153142784</v>
      </c>
      <c r="AF868" s="79">
        <v>45138.982627314814</v>
      </c>
      <c r="AG868" s="85">
        <v>45138</v>
      </c>
      <c r="AH868" s="82" t="s">
        <v>8569</v>
      </c>
      <c r="AI868" s="77" t="b">
        <v>0</v>
      </c>
      <c r="AJ868" s="77"/>
      <c r="AK868" s="77"/>
      <c r="AL868" s="77"/>
      <c r="AM868" s="77"/>
      <c r="AN868" s="77"/>
      <c r="AO868" s="77"/>
      <c r="AP868" s="77"/>
      <c r="AQ868" s="77" t="s">
        <v>11104</v>
      </c>
      <c r="AR868" s="77"/>
      <c r="AS868" s="77"/>
      <c r="AT868" s="77"/>
      <c r="AU868" s="77"/>
      <c r="AV868" s="80" t="str">
        <f>HYPERLINK("https://pbs.twimg.com/media/F2ZwPxAWgAEXbOy.jpg")</f>
        <v>https://pbs.twimg.com/media/F2ZwPxAWgAEXbOy.jpg</v>
      </c>
      <c r="AW868" s="82" t="s">
        <v>12552</v>
      </c>
      <c r="AX868" s="82" t="s">
        <v>12552</v>
      </c>
      <c r="AY868" s="77"/>
      <c r="AZ868" s="82" t="s">
        <v>15984</v>
      </c>
      <c r="BA868" s="82" t="s">
        <v>15984</v>
      </c>
      <c r="BB868" s="82" t="s">
        <v>15984</v>
      </c>
      <c r="BC868" s="82" t="s">
        <v>12552</v>
      </c>
      <c r="BD868" s="82" t="s">
        <v>16274</v>
      </c>
      <c r="BE868" s="77"/>
      <c r="BF868" s="77"/>
      <c r="BG868" s="77"/>
      <c r="BH868" s="77"/>
      <c r="BI868" s="77"/>
    </row>
    <row r="869" spans="1:61" x14ac:dyDescent="0.25">
      <c r="A869" s="62" t="s">
        <v>516</v>
      </c>
      <c r="B869" s="62" t="s">
        <v>516</v>
      </c>
      <c r="C869" s="63"/>
      <c r="D869" s="64"/>
      <c r="E869" s="65"/>
      <c r="F869" s="66"/>
      <c r="G869" s="63"/>
      <c r="H869" s="67"/>
      <c r="I869" s="68"/>
      <c r="J869" s="68"/>
      <c r="K869" s="32"/>
      <c r="L869" s="75">
        <v>869</v>
      </c>
      <c r="M869" s="75"/>
      <c r="N869" s="70"/>
      <c r="O869" s="77" t="s">
        <v>179</v>
      </c>
      <c r="P869" s="79">
        <v>45184.375011574077</v>
      </c>
      <c r="Q869" s="77" t="s">
        <v>1704</v>
      </c>
      <c r="R869" s="77">
        <v>0</v>
      </c>
      <c r="S869" s="77">
        <v>0</v>
      </c>
      <c r="T869" s="77">
        <v>0</v>
      </c>
      <c r="U869" s="77">
        <v>0</v>
      </c>
      <c r="V869" s="77">
        <v>287</v>
      </c>
      <c r="W869" s="82" t="s">
        <v>5269</v>
      </c>
      <c r="X869" s="80" t="str">
        <f>HYPERLINK("https://bit.ly/44MIxQ9")</f>
        <v>https://bit.ly/44MIxQ9</v>
      </c>
      <c r="Y869" s="77" t="s">
        <v>6468</v>
      </c>
      <c r="Z869" s="77"/>
      <c r="AA869" s="77" t="s">
        <v>7133</v>
      </c>
      <c r="AB869" s="77" t="s">
        <v>7742</v>
      </c>
      <c r="AC869" s="82" t="s">
        <v>7750</v>
      </c>
      <c r="AD869" s="77" t="s">
        <v>7788</v>
      </c>
      <c r="AE869" s="80" t="str">
        <f>HYPERLINK("https://twitter.com/insper/status/1702608196299329954")</f>
        <v>https://twitter.com/insper/status/1702608196299329954</v>
      </c>
      <c r="AF869" s="79">
        <v>45184.375011574077</v>
      </c>
      <c r="AG869" s="85">
        <v>45184</v>
      </c>
      <c r="AH869" s="82" t="s">
        <v>8570</v>
      </c>
      <c r="AI869" s="77" t="b">
        <v>0</v>
      </c>
      <c r="AJ869" s="77"/>
      <c r="AK869" s="77"/>
      <c r="AL869" s="77"/>
      <c r="AM869" s="77"/>
      <c r="AN869" s="77"/>
      <c r="AO869" s="77"/>
      <c r="AP869" s="77"/>
      <c r="AQ869" s="77" t="s">
        <v>11105</v>
      </c>
      <c r="AR869" s="77"/>
      <c r="AS869" s="77"/>
      <c r="AT869" s="77"/>
      <c r="AU869" s="77"/>
      <c r="AV869" s="80" t="str">
        <f>HYPERLINK("https://pbs.twimg.com/media/F5_n1PhbMAAVq1I.jpg")</f>
        <v>https://pbs.twimg.com/media/F5_n1PhbMAAVq1I.jpg</v>
      </c>
      <c r="AW869" s="82" t="s">
        <v>12553</v>
      </c>
      <c r="AX869" s="82" t="s">
        <v>12553</v>
      </c>
      <c r="AY869" s="77"/>
      <c r="AZ869" s="82" t="s">
        <v>15984</v>
      </c>
      <c r="BA869" s="82" t="s">
        <v>15984</v>
      </c>
      <c r="BB869" s="82" t="s">
        <v>15984</v>
      </c>
      <c r="BC869" s="82" t="s">
        <v>12553</v>
      </c>
      <c r="BD869" s="77">
        <v>18639091</v>
      </c>
      <c r="BE869" s="77"/>
      <c r="BF869" s="77"/>
      <c r="BG869" s="77"/>
      <c r="BH869" s="77"/>
      <c r="BI869" s="77"/>
    </row>
    <row r="870" spans="1:61" x14ac:dyDescent="0.25">
      <c r="A870" s="62" t="s">
        <v>517</v>
      </c>
      <c r="B870" s="62" t="s">
        <v>517</v>
      </c>
      <c r="C870" s="63"/>
      <c r="D870" s="64"/>
      <c r="E870" s="65"/>
      <c r="F870" s="66"/>
      <c r="G870" s="63"/>
      <c r="H870" s="67"/>
      <c r="I870" s="68"/>
      <c r="J870" s="68"/>
      <c r="K870" s="32"/>
      <c r="L870" s="75">
        <v>870</v>
      </c>
      <c r="M870" s="75"/>
      <c r="N870" s="70"/>
      <c r="O870" s="77" t="s">
        <v>898</v>
      </c>
      <c r="P870" s="79">
        <v>45189.842164351852</v>
      </c>
      <c r="Q870" s="77" t="s">
        <v>1705</v>
      </c>
      <c r="R870" s="77">
        <v>0</v>
      </c>
      <c r="S870" s="77">
        <v>0</v>
      </c>
      <c r="T870" s="77">
        <v>0</v>
      </c>
      <c r="U870" s="77">
        <v>0</v>
      </c>
      <c r="V870" s="77">
        <v>26</v>
      </c>
      <c r="W870" s="82" t="s">
        <v>5270</v>
      </c>
      <c r="X870" s="77"/>
      <c r="Y870" s="77"/>
      <c r="Z870" s="77"/>
      <c r="AA870" s="77"/>
      <c r="AB870" s="77"/>
      <c r="AC870" s="82" t="s">
        <v>7750</v>
      </c>
      <c r="AD870" s="77" t="s">
        <v>7788</v>
      </c>
      <c r="AE870" s="80" t="str">
        <f>HYPERLINK("https://twitter.com/vitorfaustinoyt/status/1704589425764671950")</f>
        <v>https://twitter.com/vitorfaustinoyt/status/1704589425764671950</v>
      </c>
      <c r="AF870" s="79">
        <v>45189.842164351852</v>
      </c>
      <c r="AG870" s="85">
        <v>45189</v>
      </c>
      <c r="AH870" s="82" t="s">
        <v>8571</v>
      </c>
      <c r="AI870" s="77"/>
      <c r="AJ870" s="77"/>
      <c r="AK870" s="77"/>
      <c r="AL870" s="77"/>
      <c r="AM870" s="77"/>
      <c r="AN870" s="77"/>
      <c r="AO870" s="77"/>
      <c r="AP870" s="77"/>
      <c r="AQ870" s="77"/>
      <c r="AR870" s="77"/>
      <c r="AS870" s="77"/>
      <c r="AT870" s="77"/>
      <c r="AU870" s="77"/>
      <c r="AV870" s="80" t="str">
        <f>HYPERLINK("https://pbs.twimg.com/profile_images/1546163935333814276/n7HvQBLs_normal.jpg")</f>
        <v>https://pbs.twimg.com/profile_images/1546163935333814276/n7HvQBLs_normal.jpg</v>
      </c>
      <c r="AW870" s="82" t="s">
        <v>12554</v>
      </c>
      <c r="AX870" s="82" t="s">
        <v>15813</v>
      </c>
      <c r="AY870" s="82" t="s">
        <v>15952</v>
      </c>
      <c r="AZ870" s="82" t="s">
        <v>16028</v>
      </c>
      <c r="BA870" s="82" t="s">
        <v>15984</v>
      </c>
      <c r="BB870" s="82" t="s">
        <v>15984</v>
      </c>
      <c r="BC870" s="82" t="s">
        <v>16028</v>
      </c>
      <c r="BD870" s="82" t="s">
        <v>15952</v>
      </c>
      <c r="BE870" s="77"/>
      <c r="BF870" s="77"/>
      <c r="BG870" s="77"/>
      <c r="BH870" s="77"/>
      <c r="BI870" s="77"/>
    </row>
    <row r="871" spans="1:61" x14ac:dyDescent="0.25">
      <c r="A871" s="62" t="s">
        <v>518</v>
      </c>
      <c r="B871" s="62" t="s">
        <v>518</v>
      </c>
      <c r="C871" s="63"/>
      <c r="D871" s="64"/>
      <c r="E871" s="65"/>
      <c r="F871" s="66"/>
      <c r="G871" s="63"/>
      <c r="H871" s="67"/>
      <c r="I871" s="68"/>
      <c r="J871" s="68"/>
      <c r="K871" s="32"/>
      <c r="L871" s="75">
        <v>871</v>
      </c>
      <c r="M871" s="75"/>
      <c r="N871" s="70"/>
      <c r="O871" s="77" t="s">
        <v>179</v>
      </c>
      <c r="P871" s="79">
        <v>45151.92291666667</v>
      </c>
      <c r="Q871" s="77" t="s">
        <v>1706</v>
      </c>
      <c r="R871" s="77">
        <v>0</v>
      </c>
      <c r="S871" s="77">
        <v>0</v>
      </c>
      <c r="T871" s="77">
        <v>0</v>
      </c>
      <c r="U871" s="77">
        <v>0</v>
      </c>
      <c r="V871" s="77">
        <v>12</v>
      </c>
      <c r="W871" s="82" t="s">
        <v>4955</v>
      </c>
      <c r="X871" s="77"/>
      <c r="Y871" s="77"/>
      <c r="Z871" s="77"/>
      <c r="AA871" s="77"/>
      <c r="AB871" s="77"/>
      <c r="AC871" s="82" t="s">
        <v>7751</v>
      </c>
      <c r="AD871" s="77" t="s">
        <v>7788</v>
      </c>
      <c r="AE871" s="80" t="str">
        <f>HYPERLINK("https://twitter.com/cllaudioleite/status/1690847951302574080")</f>
        <v>https://twitter.com/cllaudioleite/status/1690847951302574080</v>
      </c>
      <c r="AF871" s="79">
        <v>45151.92291666667</v>
      </c>
      <c r="AG871" s="85">
        <v>45151</v>
      </c>
      <c r="AH871" s="82" t="s">
        <v>8572</v>
      </c>
      <c r="AI871" s="77"/>
      <c r="AJ871" s="77"/>
      <c r="AK871" s="77"/>
      <c r="AL871" s="77"/>
      <c r="AM871" s="77"/>
      <c r="AN871" s="77"/>
      <c r="AO871" s="77"/>
      <c r="AP871" s="77"/>
      <c r="AQ871" s="77"/>
      <c r="AR871" s="77"/>
      <c r="AS871" s="77"/>
      <c r="AT871" s="77"/>
      <c r="AU871" s="77"/>
      <c r="AV871" s="80" t="str">
        <f>HYPERLINK("https://pbs.twimg.com/profile_images/1550150737312813057/MXXKlGrw_normal.jpg")</f>
        <v>https://pbs.twimg.com/profile_images/1550150737312813057/MXXKlGrw_normal.jpg</v>
      </c>
      <c r="AW871" s="82" t="s">
        <v>12555</v>
      </c>
      <c r="AX871" s="82" t="s">
        <v>12555</v>
      </c>
      <c r="AY871" s="77"/>
      <c r="AZ871" s="82" t="s">
        <v>15984</v>
      </c>
      <c r="BA871" s="82" t="s">
        <v>15984</v>
      </c>
      <c r="BB871" s="82" t="s">
        <v>15984</v>
      </c>
      <c r="BC871" s="82" t="s">
        <v>12555</v>
      </c>
      <c r="BD871" s="82" t="s">
        <v>16275</v>
      </c>
      <c r="BE871" s="77"/>
      <c r="BF871" s="77"/>
      <c r="BG871" s="77"/>
      <c r="BH871" s="77"/>
      <c r="BI871" s="77"/>
    </row>
    <row r="872" spans="1:61" x14ac:dyDescent="0.25">
      <c r="A872" s="62" t="s">
        <v>519</v>
      </c>
      <c r="B872" s="62" t="s">
        <v>519</v>
      </c>
      <c r="C872" s="63"/>
      <c r="D872" s="64"/>
      <c r="E872" s="65"/>
      <c r="F872" s="66"/>
      <c r="G872" s="63"/>
      <c r="H872" s="67"/>
      <c r="I872" s="68"/>
      <c r="J872" s="68"/>
      <c r="K872" s="32"/>
      <c r="L872" s="75">
        <v>872</v>
      </c>
      <c r="M872" s="75"/>
      <c r="N872" s="70"/>
      <c r="O872" s="77" t="s">
        <v>898</v>
      </c>
      <c r="P872" s="79">
        <v>45124.681273148148</v>
      </c>
      <c r="Q872" s="77" t="s">
        <v>1707</v>
      </c>
      <c r="R872" s="77">
        <v>0</v>
      </c>
      <c r="S872" s="77">
        <v>2</v>
      </c>
      <c r="T872" s="77">
        <v>0</v>
      </c>
      <c r="U872" s="77">
        <v>0</v>
      </c>
      <c r="V872" s="77">
        <v>73</v>
      </c>
      <c r="W872" s="82" t="s">
        <v>5271</v>
      </c>
      <c r="X872" s="77"/>
      <c r="Y872" s="77"/>
      <c r="Z872" s="77"/>
      <c r="AA872" s="77"/>
      <c r="AB872" s="77"/>
      <c r="AC872" s="82" t="s">
        <v>7750</v>
      </c>
      <c r="AD872" s="77" t="s">
        <v>7788</v>
      </c>
      <c r="AE872" s="80" t="str">
        <f>HYPERLINK("https://twitter.com/galanteinvest/status/1680975908927053824")</f>
        <v>https://twitter.com/galanteinvest/status/1680975908927053824</v>
      </c>
      <c r="AF872" s="79">
        <v>45124.681273148148</v>
      </c>
      <c r="AG872" s="85">
        <v>45124</v>
      </c>
      <c r="AH872" s="82" t="s">
        <v>8573</v>
      </c>
      <c r="AI872" s="77"/>
      <c r="AJ872" s="77"/>
      <c r="AK872" s="77"/>
      <c r="AL872" s="77"/>
      <c r="AM872" s="77"/>
      <c r="AN872" s="77"/>
      <c r="AO872" s="77"/>
      <c r="AP872" s="77"/>
      <c r="AQ872" s="77"/>
      <c r="AR872" s="77"/>
      <c r="AS872" s="77"/>
      <c r="AT872" s="77"/>
      <c r="AU872" s="77"/>
      <c r="AV872" s="80" t="str">
        <f>HYPERLINK("https://pbs.twimg.com/profile_images/1680681704724234242/7MKAU_-B_normal.jpg")</f>
        <v>https://pbs.twimg.com/profile_images/1680681704724234242/7MKAU_-B_normal.jpg</v>
      </c>
      <c r="AW872" s="82" t="s">
        <v>12556</v>
      </c>
      <c r="AX872" s="82" t="s">
        <v>15814</v>
      </c>
      <c r="AY872" s="82" t="s">
        <v>15953</v>
      </c>
      <c r="AZ872" s="82" t="s">
        <v>15814</v>
      </c>
      <c r="BA872" s="82" t="s">
        <v>15984</v>
      </c>
      <c r="BB872" s="82" t="s">
        <v>15984</v>
      </c>
      <c r="BC872" s="82" t="s">
        <v>15814</v>
      </c>
      <c r="BD872" s="82" t="s">
        <v>15953</v>
      </c>
      <c r="BE872" s="77"/>
      <c r="BF872" s="77"/>
      <c r="BG872" s="77"/>
      <c r="BH872" s="77"/>
      <c r="BI872" s="77"/>
    </row>
    <row r="873" spans="1:61" x14ac:dyDescent="0.25">
      <c r="A873" s="62" t="s">
        <v>520</v>
      </c>
      <c r="B873" s="62" t="s">
        <v>520</v>
      </c>
      <c r="C873" s="63"/>
      <c r="D873" s="64"/>
      <c r="E873" s="65"/>
      <c r="F873" s="66"/>
      <c r="G873" s="63"/>
      <c r="H873" s="67"/>
      <c r="I873" s="68"/>
      <c r="J873" s="68"/>
      <c r="K873" s="32"/>
      <c r="L873" s="75">
        <v>873</v>
      </c>
      <c r="M873" s="75"/>
      <c r="N873" s="70"/>
      <c r="O873" s="77" t="s">
        <v>179</v>
      </c>
      <c r="P873" s="79">
        <v>45133.096064814818</v>
      </c>
      <c r="Q873" s="77" t="s">
        <v>1708</v>
      </c>
      <c r="R873" s="77">
        <v>0</v>
      </c>
      <c r="S873" s="77">
        <v>6</v>
      </c>
      <c r="T873" s="77">
        <v>0</v>
      </c>
      <c r="U873" s="77">
        <v>0</v>
      </c>
      <c r="V873" s="77">
        <v>117</v>
      </c>
      <c r="W873" s="82" t="s">
        <v>5272</v>
      </c>
      <c r="X873" s="80" t="str">
        <f>HYPERLINK("https://twitter.com/i/communities/1684023420923654145")</f>
        <v>https://twitter.com/i/communities/1684023420923654145</v>
      </c>
      <c r="Y873" s="77" t="s">
        <v>6533</v>
      </c>
      <c r="Z873" s="77"/>
      <c r="AA873" s="77"/>
      <c r="AB873" s="77"/>
      <c r="AC873" s="82" t="s">
        <v>7750</v>
      </c>
      <c r="AD873" s="77" t="s">
        <v>7788</v>
      </c>
      <c r="AE873" s="80" t="str">
        <f>HYPERLINK("https://twitter.com/vagnermayerb3/status/1684025326358126594")</f>
        <v>https://twitter.com/vagnermayerb3/status/1684025326358126594</v>
      </c>
      <c r="AF873" s="79">
        <v>45133.096064814818</v>
      </c>
      <c r="AG873" s="85">
        <v>45133</v>
      </c>
      <c r="AH873" s="82" t="s">
        <v>8574</v>
      </c>
      <c r="AI873" s="77" t="b">
        <v>0</v>
      </c>
      <c r="AJ873" s="77"/>
      <c r="AK873" s="77"/>
      <c r="AL873" s="77"/>
      <c r="AM873" s="77"/>
      <c r="AN873" s="77"/>
      <c r="AO873" s="77"/>
      <c r="AP873" s="77"/>
      <c r="AQ873" s="77"/>
      <c r="AR873" s="77"/>
      <c r="AS873" s="77"/>
      <c r="AT873" s="77"/>
      <c r="AU873" s="77"/>
      <c r="AV873" s="80" t="str">
        <f>HYPERLINK("https://pbs.twimg.com/profile_images/578274535415422976/CGQ_puzQ_normal.jpeg")</f>
        <v>https://pbs.twimg.com/profile_images/578274535415422976/CGQ_puzQ_normal.jpeg</v>
      </c>
      <c r="AW873" s="82" t="s">
        <v>12557</v>
      </c>
      <c r="AX873" s="82" t="s">
        <v>12557</v>
      </c>
      <c r="AY873" s="77"/>
      <c r="AZ873" s="82" t="s">
        <v>15984</v>
      </c>
      <c r="BA873" s="82" t="s">
        <v>15984</v>
      </c>
      <c r="BB873" s="82" t="s">
        <v>15984</v>
      </c>
      <c r="BC873" s="82" t="s">
        <v>12557</v>
      </c>
      <c r="BD873" s="77">
        <v>62991145</v>
      </c>
      <c r="BE873" s="77"/>
      <c r="BF873" s="77"/>
      <c r="BG873" s="77"/>
      <c r="BH873" s="77"/>
      <c r="BI873" s="77"/>
    </row>
    <row r="874" spans="1:61" x14ac:dyDescent="0.25">
      <c r="A874" s="62" t="s">
        <v>521</v>
      </c>
      <c r="B874" s="62" t="s">
        <v>521</v>
      </c>
      <c r="C874" s="63"/>
      <c r="D874" s="64"/>
      <c r="E874" s="65"/>
      <c r="F874" s="66"/>
      <c r="G874" s="63"/>
      <c r="H874" s="67"/>
      <c r="I874" s="68"/>
      <c r="J874" s="68"/>
      <c r="K874" s="32"/>
      <c r="L874" s="75">
        <v>874</v>
      </c>
      <c r="M874" s="75"/>
      <c r="N874" s="70"/>
      <c r="O874" s="77" t="s">
        <v>179</v>
      </c>
      <c r="P874" s="79">
        <v>45194.906585648147</v>
      </c>
      <c r="Q874" s="77" t="s">
        <v>1709</v>
      </c>
      <c r="R874" s="77">
        <v>0</v>
      </c>
      <c r="S874" s="77">
        <v>0</v>
      </c>
      <c r="T874" s="77">
        <v>0</v>
      </c>
      <c r="U874" s="77">
        <v>0</v>
      </c>
      <c r="V874" s="77">
        <v>46</v>
      </c>
      <c r="W874" s="82" t="s">
        <v>5273</v>
      </c>
      <c r="X874" s="77"/>
      <c r="Y874" s="77"/>
      <c r="Z874" s="77"/>
      <c r="AA874" s="77" t="s">
        <v>7134</v>
      </c>
      <c r="AB874" s="77" t="s">
        <v>7743</v>
      </c>
      <c r="AC874" s="82" t="s">
        <v>7750</v>
      </c>
      <c r="AD874" s="77" t="s">
        <v>7788</v>
      </c>
      <c r="AE874" s="80" t="str">
        <f>HYPERLINK("https://twitter.com/sobcustodio/status/1706424709733089526")</f>
        <v>https://twitter.com/sobcustodio/status/1706424709733089526</v>
      </c>
      <c r="AF874" s="79">
        <v>45194.906585648147</v>
      </c>
      <c r="AG874" s="85">
        <v>45194</v>
      </c>
      <c r="AH874" s="82" t="s">
        <v>8575</v>
      </c>
      <c r="AI874" s="77" t="b">
        <v>0</v>
      </c>
      <c r="AJ874" s="77"/>
      <c r="AK874" s="77"/>
      <c r="AL874" s="77"/>
      <c r="AM874" s="77"/>
      <c r="AN874" s="77"/>
      <c r="AO874" s="77"/>
      <c r="AP874" s="77"/>
      <c r="AQ874" s="77" t="s">
        <v>11106</v>
      </c>
      <c r="AR874" s="77">
        <v>41795</v>
      </c>
      <c r="AS874" s="77"/>
      <c r="AT874" s="77"/>
      <c r="AU874" s="77"/>
      <c r="AV874" s="80" t="str">
        <f>HYPERLINK("https://pbs.twimg.com/ext_tw_video_thumb/1706424358850158592/pu/img/NUrEcWB6MBlv7I34.jpg")</f>
        <v>https://pbs.twimg.com/ext_tw_video_thumb/1706424358850158592/pu/img/NUrEcWB6MBlv7I34.jpg</v>
      </c>
      <c r="AW874" s="82" t="s">
        <v>12558</v>
      </c>
      <c r="AX874" s="82" t="s">
        <v>12558</v>
      </c>
      <c r="AY874" s="77"/>
      <c r="AZ874" s="82" t="s">
        <v>15984</v>
      </c>
      <c r="BA874" s="82" t="s">
        <v>15984</v>
      </c>
      <c r="BB874" s="82" t="s">
        <v>15984</v>
      </c>
      <c r="BC874" s="82" t="s">
        <v>12558</v>
      </c>
      <c r="BD874" s="82" t="s">
        <v>16276</v>
      </c>
      <c r="BE874" s="77"/>
      <c r="BF874" s="77"/>
      <c r="BG874" s="77"/>
      <c r="BH874" s="77"/>
      <c r="BI874" s="77"/>
    </row>
    <row r="875" spans="1:61" x14ac:dyDescent="0.25">
      <c r="A875" s="62" t="s">
        <v>442</v>
      </c>
      <c r="B875" s="62" t="s">
        <v>522</v>
      </c>
      <c r="C875" s="63"/>
      <c r="D875" s="64"/>
      <c r="E875" s="65"/>
      <c r="F875" s="66"/>
      <c r="G875" s="63"/>
      <c r="H875" s="67"/>
      <c r="I875" s="68"/>
      <c r="J875" s="68"/>
      <c r="K875" s="32"/>
      <c r="L875" s="75">
        <v>875</v>
      </c>
      <c r="M875" s="75"/>
      <c r="N875" s="70"/>
      <c r="O875" s="77" t="s">
        <v>898</v>
      </c>
      <c r="P875" s="79">
        <v>45118.755347222221</v>
      </c>
      <c r="Q875" s="77" t="s">
        <v>1547</v>
      </c>
      <c r="R875" s="77">
        <v>9</v>
      </c>
      <c r="S875" s="77">
        <v>7</v>
      </c>
      <c r="T875" s="77">
        <v>0</v>
      </c>
      <c r="U875" s="77">
        <v>2</v>
      </c>
      <c r="V875" s="77">
        <v>87</v>
      </c>
      <c r="W875" s="82" t="s">
        <v>5177</v>
      </c>
      <c r="X875" s="77"/>
      <c r="Y875" s="77"/>
      <c r="Z875" s="77" t="s">
        <v>6570</v>
      </c>
      <c r="AA875" s="77" t="s">
        <v>7042</v>
      </c>
      <c r="AB875" s="77" t="s">
        <v>7742</v>
      </c>
      <c r="AC875" s="82" t="s">
        <v>7750</v>
      </c>
      <c r="AD875" s="77" t="s">
        <v>7789</v>
      </c>
      <c r="AE875" s="80" t="str">
        <f>HYPERLINK("https://twitter.com/dawanhutt/status/1678828423936917505")</f>
        <v>https://twitter.com/dawanhutt/status/1678828423936917505</v>
      </c>
      <c r="AF875" s="79">
        <v>45118.755347222221</v>
      </c>
      <c r="AG875" s="85">
        <v>45118</v>
      </c>
      <c r="AH875" s="82" t="s">
        <v>8420</v>
      </c>
      <c r="AI875" s="77" t="b">
        <v>0</v>
      </c>
      <c r="AJ875" s="77"/>
      <c r="AK875" s="77"/>
      <c r="AL875" s="77"/>
      <c r="AM875" s="77"/>
      <c r="AN875" s="77"/>
      <c r="AO875" s="77"/>
      <c r="AP875" s="77"/>
      <c r="AQ875" s="77" t="s">
        <v>11014</v>
      </c>
      <c r="AR875" s="77"/>
      <c r="AS875" s="77"/>
      <c r="AT875" s="77"/>
      <c r="AU875" s="77"/>
      <c r="AV875" s="80" t="str">
        <f>HYPERLINK("https://pbs.twimg.com/media/F0xliqWWcCEM8Nt.jpg")</f>
        <v>https://pbs.twimg.com/media/F0xliqWWcCEM8Nt.jpg</v>
      </c>
      <c r="AW875" s="82" t="s">
        <v>12389</v>
      </c>
      <c r="AX875" s="82" t="s">
        <v>15785</v>
      </c>
      <c r="AY875" s="82" t="s">
        <v>15938</v>
      </c>
      <c r="AZ875" s="82" t="s">
        <v>16018</v>
      </c>
      <c r="BA875" s="82" t="s">
        <v>15984</v>
      </c>
      <c r="BB875" s="82" t="s">
        <v>15984</v>
      </c>
      <c r="BC875" s="82" t="s">
        <v>16018</v>
      </c>
      <c r="BD875" s="82" t="s">
        <v>15955</v>
      </c>
      <c r="BE875" s="77"/>
      <c r="BF875" s="77"/>
      <c r="BG875" s="77"/>
      <c r="BH875" s="77"/>
      <c r="BI875" s="77"/>
    </row>
    <row r="876" spans="1:61" x14ac:dyDescent="0.25">
      <c r="A876" s="62" t="s">
        <v>522</v>
      </c>
      <c r="B876" s="62" t="s">
        <v>522</v>
      </c>
      <c r="C876" s="63"/>
      <c r="D876" s="64"/>
      <c r="E876" s="65"/>
      <c r="F876" s="66"/>
      <c r="G876" s="63"/>
      <c r="H876" s="67"/>
      <c r="I876" s="68"/>
      <c r="J876" s="68"/>
      <c r="K876" s="32"/>
      <c r="L876" s="75">
        <v>876</v>
      </c>
      <c r="M876" s="75"/>
      <c r="N876" s="70"/>
      <c r="O876" s="77" t="s">
        <v>179</v>
      </c>
      <c r="P876" s="79">
        <v>45118.819930555554</v>
      </c>
      <c r="Q876" s="77" t="s">
        <v>1710</v>
      </c>
      <c r="R876" s="77">
        <v>4</v>
      </c>
      <c r="S876" s="77">
        <v>2</v>
      </c>
      <c r="T876" s="77">
        <v>0</v>
      </c>
      <c r="U876" s="77">
        <v>0</v>
      </c>
      <c r="V876" s="77">
        <v>17</v>
      </c>
      <c r="W876" s="82" t="s">
        <v>5274</v>
      </c>
      <c r="X876" s="77"/>
      <c r="Y876" s="77"/>
      <c r="Z876" s="77"/>
      <c r="AA876" s="77"/>
      <c r="AB876" s="77"/>
      <c r="AC876" s="82" t="s">
        <v>7750</v>
      </c>
      <c r="AD876" s="77" t="s">
        <v>7789</v>
      </c>
      <c r="AE876" s="80" t="str">
        <f>HYPERLINK("https://twitter.com/tomi_l33/status/1678851829319315459")</f>
        <v>https://twitter.com/tomi_l33/status/1678851829319315459</v>
      </c>
      <c r="AF876" s="79">
        <v>45118.819930555554</v>
      </c>
      <c r="AG876" s="85">
        <v>45118</v>
      </c>
      <c r="AH876" s="82" t="s">
        <v>8576</v>
      </c>
      <c r="AI876" s="77"/>
      <c r="AJ876" s="77"/>
      <c r="AK876" s="77"/>
      <c r="AL876" s="77"/>
      <c r="AM876" s="77"/>
      <c r="AN876" s="77"/>
      <c r="AO876" s="77"/>
      <c r="AP876" s="77"/>
      <c r="AQ876" s="77"/>
      <c r="AR876" s="77"/>
      <c r="AS876" s="77"/>
      <c r="AT876" s="77"/>
      <c r="AU876" s="77"/>
      <c r="AV876" s="80" t="str">
        <f>HYPERLINK("https://pbs.twimg.com/profile_images/1489707852885286912/vV8YoocF_normal.jpg")</f>
        <v>https://pbs.twimg.com/profile_images/1489707852885286912/vV8YoocF_normal.jpg</v>
      </c>
      <c r="AW876" s="82" t="s">
        <v>12559</v>
      </c>
      <c r="AX876" s="82" t="s">
        <v>12559</v>
      </c>
      <c r="AY876" s="77"/>
      <c r="AZ876" s="82" t="s">
        <v>15984</v>
      </c>
      <c r="BA876" s="82" t="s">
        <v>15984</v>
      </c>
      <c r="BB876" s="82" t="s">
        <v>15984</v>
      </c>
      <c r="BC876" s="82" t="s">
        <v>12559</v>
      </c>
      <c r="BD876" s="82" t="s">
        <v>15938</v>
      </c>
      <c r="BE876" s="77"/>
      <c r="BF876" s="77"/>
      <c r="BG876" s="77"/>
      <c r="BH876" s="77"/>
      <c r="BI876" s="77"/>
    </row>
    <row r="877" spans="1:61" x14ac:dyDescent="0.25">
      <c r="A877" s="62" t="s">
        <v>523</v>
      </c>
      <c r="B877" s="62" t="s">
        <v>523</v>
      </c>
      <c r="C877" s="63"/>
      <c r="D877" s="64"/>
      <c r="E877" s="65"/>
      <c r="F877" s="66"/>
      <c r="G877" s="63"/>
      <c r="H877" s="67"/>
      <c r="I877" s="68"/>
      <c r="J877" s="68"/>
      <c r="K877" s="32"/>
      <c r="L877" s="75">
        <v>877</v>
      </c>
      <c r="M877" s="75"/>
      <c r="N877" s="70"/>
      <c r="O877" s="77" t="s">
        <v>898</v>
      </c>
      <c r="P877" s="79">
        <v>45187.839259259257</v>
      </c>
      <c r="Q877" s="77" t="s">
        <v>1711</v>
      </c>
      <c r="R877" s="77">
        <v>0</v>
      </c>
      <c r="S877" s="77">
        <v>0</v>
      </c>
      <c r="T877" s="77">
        <v>0</v>
      </c>
      <c r="U877" s="77">
        <v>0</v>
      </c>
      <c r="V877" s="77">
        <v>68</v>
      </c>
      <c r="W877" s="82" t="s">
        <v>5275</v>
      </c>
      <c r="X877" s="77"/>
      <c r="Y877" s="77"/>
      <c r="Z877" s="77"/>
      <c r="AA877" s="77"/>
      <c r="AB877" s="77"/>
      <c r="AC877" s="82" t="s">
        <v>7750</v>
      </c>
      <c r="AD877" s="77" t="s">
        <v>7788</v>
      </c>
      <c r="AE877" s="80" t="str">
        <f>HYPERLINK("https://twitter.com/osdadosmostram/status/1703863597036614114")</f>
        <v>https://twitter.com/osdadosmostram/status/1703863597036614114</v>
      </c>
      <c r="AF877" s="79">
        <v>45187.839259259257</v>
      </c>
      <c r="AG877" s="85">
        <v>45187</v>
      </c>
      <c r="AH877" s="82" t="s">
        <v>8577</v>
      </c>
      <c r="AI877" s="77"/>
      <c r="AJ877" s="77"/>
      <c r="AK877" s="77"/>
      <c r="AL877" s="77"/>
      <c r="AM877" s="77"/>
      <c r="AN877" s="77"/>
      <c r="AO877" s="77"/>
      <c r="AP877" s="77"/>
      <c r="AQ877" s="77"/>
      <c r="AR877" s="77"/>
      <c r="AS877" s="77"/>
      <c r="AT877" s="77"/>
      <c r="AU877" s="77"/>
      <c r="AV877" s="80" t="str">
        <f>HYPERLINK("https://pbs.twimg.com/profile_images/1577097771961679873/kiiSE3ve_normal.jpg")</f>
        <v>https://pbs.twimg.com/profile_images/1577097771961679873/kiiSE3ve_normal.jpg</v>
      </c>
      <c r="AW877" s="82" t="s">
        <v>12560</v>
      </c>
      <c r="AX877" s="82" t="s">
        <v>15815</v>
      </c>
      <c r="AY877" s="82" t="s">
        <v>15954</v>
      </c>
      <c r="AZ877" s="82" t="s">
        <v>15815</v>
      </c>
      <c r="BA877" s="82" t="s">
        <v>15984</v>
      </c>
      <c r="BB877" s="82" t="s">
        <v>15984</v>
      </c>
      <c r="BC877" s="82" t="s">
        <v>15815</v>
      </c>
      <c r="BD877" s="82" t="s">
        <v>15954</v>
      </c>
      <c r="BE877" s="77"/>
      <c r="BF877" s="77"/>
      <c r="BG877" s="77"/>
      <c r="BH877" s="77"/>
      <c r="BI877" s="77"/>
    </row>
    <row r="878" spans="1:61" x14ac:dyDescent="0.25">
      <c r="A878" s="62" t="s">
        <v>524</v>
      </c>
      <c r="B878" s="62" t="s">
        <v>811</v>
      </c>
      <c r="C878" s="63"/>
      <c r="D878" s="64"/>
      <c r="E878" s="65"/>
      <c r="F878" s="66"/>
      <c r="G878" s="63"/>
      <c r="H878" s="67"/>
      <c r="I878" s="68"/>
      <c r="J878" s="68"/>
      <c r="K878" s="32"/>
      <c r="L878" s="75">
        <v>878</v>
      </c>
      <c r="M878" s="75"/>
      <c r="N878" s="70"/>
      <c r="O878" s="77" t="s">
        <v>901</v>
      </c>
      <c r="P878" s="79">
        <v>45118.621631944443</v>
      </c>
      <c r="Q878" s="77" t="s">
        <v>1712</v>
      </c>
      <c r="R878" s="77">
        <v>9</v>
      </c>
      <c r="S878" s="77">
        <v>6</v>
      </c>
      <c r="T878" s="77">
        <v>0</v>
      </c>
      <c r="U878" s="77">
        <v>1</v>
      </c>
      <c r="V878" s="77">
        <v>57</v>
      </c>
      <c r="W878" s="82" t="s">
        <v>5178</v>
      </c>
      <c r="X878" s="77"/>
      <c r="Y878" s="77"/>
      <c r="Z878" s="77" t="s">
        <v>6580</v>
      </c>
      <c r="AA878" s="77" t="s">
        <v>7135</v>
      </c>
      <c r="AB878" s="77" t="s">
        <v>7742</v>
      </c>
      <c r="AC878" s="82" t="s">
        <v>7750</v>
      </c>
      <c r="AD878" s="77" t="s">
        <v>7789</v>
      </c>
      <c r="AE878" s="80" t="str">
        <f>HYPERLINK("https://twitter.com/buskardsteve/status/1678779969022087168")</f>
        <v>https://twitter.com/buskardsteve/status/1678779969022087168</v>
      </c>
      <c r="AF878" s="79">
        <v>45118.621631944443</v>
      </c>
      <c r="AG878" s="85">
        <v>45118</v>
      </c>
      <c r="AH878" s="82" t="s">
        <v>8578</v>
      </c>
      <c r="AI878" s="77" t="b">
        <v>0</v>
      </c>
      <c r="AJ878" s="77"/>
      <c r="AK878" s="77"/>
      <c r="AL878" s="77"/>
      <c r="AM878" s="77"/>
      <c r="AN878" s="77"/>
      <c r="AO878" s="77"/>
      <c r="AP878" s="77"/>
      <c r="AQ878" s="77" t="s">
        <v>11107</v>
      </c>
      <c r="AR878" s="77"/>
      <c r="AS878" s="77"/>
      <c r="AT878" s="77"/>
      <c r="AU878" s="77"/>
      <c r="AV878" s="80" t="str">
        <f>HYPERLINK("https://pbs.twimg.com/media/F0w5eNfaEAktYVD.jpg")</f>
        <v>https://pbs.twimg.com/media/F0w5eNfaEAktYVD.jpg</v>
      </c>
      <c r="AW878" s="82" t="s">
        <v>12561</v>
      </c>
      <c r="AX878" s="82" t="s">
        <v>15816</v>
      </c>
      <c r="AY878" s="82" t="s">
        <v>15955</v>
      </c>
      <c r="AZ878" s="82" t="s">
        <v>16029</v>
      </c>
      <c r="BA878" s="82" t="s">
        <v>15984</v>
      </c>
      <c r="BB878" s="82" t="s">
        <v>15984</v>
      </c>
      <c r="BC878" s="82" t="s">
        <v>16029</v>
      </c>
      <c r="BD878" s="82" t="s">
        <v>15941</v>
      </c>
      <c r="BE878" s="77"/>
      <c r="BF878" s="77"/>
      <c r="BG878" s="77"/>
      <c r="BH878" s="77"/>
      <c r="BI878" s="77"/>
    </row>
    <row r="879" spans="1:61" x14ac:dyDescent="0.25">
      <c r="A879" s="62" t="s">
        <v>442</v>
      </c>
      <c r="B879" s="62" t="s">
        <v>524</v>
      </c>
      <c r="C879" s="63"/>
      <c r="D879" s="64"/>
      <c r="E879" s="65"/>
      <c r="F879" s="66"/>
      <c r="G879" s="63"/>
      <c r="H879" s="67"/>
      <c r="I879" s="68"/>
      <c r="J879" s="68"/>
      <c r="K879" s="32"/>
      <c r="L879" s="75">
        <v>879</v>
      </c>
      <c r="M879" s="75"/>
      <c r="N879" s="70"/>
      <c r="O879" s="77" t="s">
        <v>898</v>
      </c>
      <c r="P879" s="79">
        <v>45118.606458333335</v>
      </c>
      <c r="Q879" s="77" t="s">
        <v>1550</v>
      </c>
      <c r="R879" s="77">
        <v>14</v>
      </c>
      <c r="S879" s="77">
        <v>11</v>
      </c>
      <c r="T879" s="77">
        <v>3</v>
      </c>
      <c r="U879" s="77">
        <v>1</v>
      </c>
      <c r="V879" s="77">
        <v>132</v>
      </c>
      <c r="W879" s="82" t="s">
        <v>5180</v>
      </c>
      <c r="X879" s="77"/>
      <c r="Y879" s="77"/>
      <c r="Z879" s="77" t="s">
        <v>6571</v>
      </c>
      <c r="AA879" s="77" t="s">
        <v>7044</v>
      </c>
      <c r="AB879" s="77" t="s">
        <v>7742</v>
      </c>
      <c r="AC879" s="82" t="s">
        <v>7750</v>
      </c>
      <c r="AD879" s="77" t="s">
        <v>7789</v>
      </c>
      <c r="AE879" s="80" t="str">
        <f>HYPERLINK("https://twitter.com/dawanhutt/status/1678774471728177152")</f>
        <v>https://twitter.com/dawanhutt/status/1678774471728177152</v>
      </c>
      <c r="AF879" s="79">
        <v>45118.606458333335</v>
      </c>
      <c r="AG879" s="85">
        <v>45118</v>
      </c>
      <c r="AH879" s="82" t="s">
        <v>8423</v>
      </c>
      <c r="AI879" s="77" t="b">
        <v>0</v>
      </c>
      <c r="AJ879" s="77"/>
      <c r="AK879" s="77"/>
      <c r="AL879" s="77"/>
      <c r="AM879" s="77"/>
      <c r="AN879" s="77"/>
      <c r="AO879" s="77"/>
      <c r="AP879" s="77"/>
      <c r="AQ879" s="77" t="s">
        <v>11016</v>
      </c>
      <c r="AR879" s="77"/>
      <c r="AS879" s="77"/>
      <c r="AT879" s="77"/>
      <c r="AU879" s="77"/>
      <c r="AV879" s="80" t="str">
        <f>HYPERLINK("https://pbs.twimg.com/media/F0w0eQzaIAgLbwb.jpg")</f>
        <v>https://pbs.twimg.com/media/F0w0eQzaIAgLbwb.jpg</v>
      </c>
      <c r="AW879" s="82" t="s">
        <v>12392</v>
      </c>
      <c r="AX879" s="82" t="s">
        <v>15788</v>
      </c>
      <c r="AY879" s="82" t="s">
        <v>15941</v>
      </c>
      <c r="AZ879" s="82" t="s">
        <v>16019</v>
      </c>
      <c r="BA879" s="82" t="s">
        <v>15984</v>
      </c>
      <c r="BB879" s="82" t="s">
        <v>15984</v>
      </c>
      <c r="BC879" s="82" t="s">
        <v>16019</v>
      </c>
      <c r="BD879" s="82" t="s">
        <v>15955</v>
      </c>
      <c r="BE879" s="77"/>
      <c r="BF879" s="77"/>
      <c r="BG879" s="77"/>
      <c r="BH879" s="77"/>
      <c r="BI879" s="77"/>
    </row>
    <row r="880" spans="1:61" x14ac:dyDescent="0.25">
      <c r="A880" s="62" t="s">
        <v>524</v>
      </c>
      <c r="B880" s="62" t="s">
        <v>442</v>
      </c>
      <c r="C880" s="63"/>
      <c r="D880" s="64"/>
      <c r="E880" s="65"/>
      <c r="F880" s="66"/>
      <c r="G880" s="63"/>
      <c r="H880" s="67"/>
      <c r="I880" s="68"/>
      <c r="J880" s="68"/>
      <c r="K880" s="32"/>
      <c r="L880" s="75">
        <v>880</v>
      </c>
      <c r="M880" s="75"/>
      <c r="N880" s="70"/>
      <c r="O880" s="77" t="s">
        <v>898</v>
      </c>
      <c r="P880" s="79">
        <v>45118.642523148148</v>
      </c>
      <c r="Q880" s="77" t="s">
        <v>1713</v>
      </c>
      <c r="R880" s="77">
        <v>7</v>
      </c>
      <c r="S880" s="77">
        <v>5</v>
      </c>
      <c r="T880" s="77">
        <v>0</v>
      </c>
      <c r="U880" s="77">
        <v>0</v>
      </c>
      <c r="V880" s="77">
        <v>22</v>
      </c>
      <c r="W880" s="82" t="s">
        <v>5178</v>
      </c>
      <c r="X880" s="77"/>
      <c r="Y880" s="77"/>
      <c r="Z880" s="77" t="s">
        <v>6581</v>
      </c>
      <c r="AA880" s="77"/>
      <c r="AB880" s="77"/>
      <c r="AC880" s="82" t="s">
        <v>7750</v>
      </c>
      <c r="AD880" s="77" t="s">
        <v>7789</v>
      </c>
      <c r="AE880" s="80" t="str">
        <f>HYPERLINK("https://twitter.com/buskardsteve/status/1678787541602820098")</f>
        <v>https://twitter.com/buskardsteve/status/1678787541602820098</v>
      </c>
      <c r="AF880" s="79">
        <v>45118.642523148148</v>
      </c>
      <c r="AG880" s="85">
        <v>45118</v>
      </c>
      <c r="AH880" s="82" t="s">
        <v>8579</v>
      </c>
      <c r="AI880" s="77"/>
      <c r="AJ880" s="77"/>
      <c r="AK880" s="77"/>
      <c r="AL880" s="77"/>
      <c r="AM880" s="77"/>
      <c r="AN880" s="77"/>
      <c r="AO880" s="77"/>
      <c r="AP880" s="77"/>
      <c r="AQ880" s="77"/>
      <c r="AR880" s="77"/>
      <c r="AS880" s="77"/>
      <c r="AT880" s="77"/>
      <c r="AU880" s="77"/>
      <c r="AV880" s="80" t="str">
        <f>HYPERLINK("https://pbs.twimg.com/profile_images/1657712165543981056/mm2JMXW7_normal.jpg")</f>
        <v>https://pbs.twimg.com/profile_images/1657712165543981056/mm2JMXW7_normal.jpg</v>
      </c>
      <c r="AW880" s="82" t="s">
        <v>12562</v>
      </c>
      <c r="AX880" s="82" t="s">
        <v>15817</v>
      </c>
      <c r="AY880" s="82" t="s">
        <v>15955</v>
      </c>
      <c r="AZ880" s="82" t="s">
        <v>16030</v>
      </c>
      <c r="BA880" s="82" t="s">
        <v>15984</v>
      </c>
      <c r="BB880" s="82" t="s">
        <v>15984</v>
      </c>
      <c r="BC880" s="82" t="s">
        <v>16030</v>
      </c>
      <c r="BD880" s="82" t="s">
        <v>15941</v>
      </c>
      <c r="BE880" s="77"/>
      <c r="BF880" s="77"/>
      <c r="BG880" s="77"/>
      <c r="BH880" s="77"/>
      <c r="BI880" s="77"/>
    </row>
    <row r="881" spans="1:61" x14ac:dyDescent="0.25">
      <c r="A881" s="62" t="s">
        <v>524</v>
      </c>
      <c r="B881" s="62" t="s">
        <v>442</v>
      </c>
      <c r="C881" s="63"/>
      <c r="D881" s="64"/>
      <c r="E881" s="65"/>
      <c r="F881" s="66"/>
      <c r="G881" s="63"/>
      <c r="H881" s="67"/>
      <c r="I881" s="68"/>
      <c r="J881" s="68"/>
      <c r="K881" s="32"/>
      <c r="L881" s="75">
        <v>881</v>
      </c>
      <c r="M881" s="75"/>
      <c r="N881" s="70"/>
      <c r="O881" s="77" t="s">
        <v>898</v>
      </c>
      <c r="P881" s="79">
        <v>45118.621631944443</v>
      </c>
      <c r="Q881" s="77" t="s">
        <v>1712</v>
      </c>
      <c r="R881" s="77">
        <v>9</v>
      </c>
      <c r="S881" s="77">
        <v>6</v>
      </c>
      <c r="T881" s="77">
        <v>0</v>
      </c>
      <c r="U881" s="77">
        <v>1</v>
      </c>
      <c r="V881" s="77">
        <v>57</v>
      </c>
      <c r="W881" s="82" t="s">
        <v>5178</v>
      </c>
      <c r="X881" s="77"/>
      <c r="Y881" s="77"/>
      <c r="Z881" s="77" t="s">
        <v>6580</v>
      </c>
      <c r="AA881" s="77" t="s">
        <v>7135</v>
      </c>
      <c r="AB881" s="77" t="s">
        <v>7742</v>
      </c>
      <c r="AC881" s="82" t="s">
        <v>7750</v>
      </c>
      <c r="AD881" s="77" t="s">
        <v>7789</v>
      </c>
      <c r="AE881" s="80" t="str">
        <f>HYPERLINK("https://twitter.com/buskardsteve/status/1678779969022087168")</f>
        <v>https://twitter.com/buskardsteve/status/1678779969022087168</v>
      </c>
      <c r="AF881" s="79">
        <v>45118.621631944443</v>
      </c>
      <c r="AG881" s="85">
        <v>45118</v>
      </c>
      <c r="AH881" s="82" t="s">
        <v>8578</v>
      </c>
      <c r="AI881" s="77" t="b">
        <v>0</v>
      </c>
      <c r="AJ881" s="77"/>
      <c r="AK881" s="77"/>
      <c r="AL881" s="77"/>
      <c r="AM881" s="77"/>
      <c r="AN881" s="77"/>
      <c r="AO881" s="77"/>
      <c r="AP881" s="77"/>
      <c r="AQ881" s="77" t="s">
        <v>11107</v>
      </c>
      <c r="AR881" s="77"/>
      <c r="AS881" s="77"/>
      <c r="AT881" s="77"/>
      <c r="AU881" s="77"/>
      <c r="AV881" s="80" t="str">
        <f>HYPERLINK("https://pbs.twimg.com/media/F0w5eNfaEAktYVD.jpg")</f>
        <v>https://pbs.twimg.com/media/F0w5eNfaEAktYVD.jpg</v>
      </c>
      <c r="AW881" s="82" t="s">
        <v>12561</v>
      </c>
      <c r="AX881" s="82" t="s">
        <v>15816</v>
      </c>
      <c r="AY881" s="82" t="s">
        <v>15955</v>
      </c>
      <c r="AZ881" s="82" t="s">
        <v>16029</v>
      </c>
      <c r="BA881" s="82" t="s">
        <v>15984</v>
      </c>
      <c r="BB881" s="82" t="s">
        <v>15984</v>
      </c>
      <c r="BC881" s="82" t="s">
        <v>16029</v>
      </c>
      <c r="BD881" s="82" t="s">
        <v>15941</v>
      </c>
      <c r="BE881" s="77"/>
      <c r="BF881" s="77"/>
      <c r="BG881" s="77"/>
      <c r="BH881" s="77"/>
      <c r="BI881" s="77"/>
    </row>
    <row r="882" spans="1:61" x14ac:dyDescent="0.25">
      <c r="A882" s="62" t="s">
        <v>525</v>
      </c>
      <c r="B882" s="62" t="s">
        <v>525</v>
      </c>
      <c r="C882" s="63"/>
      <c r="D882" s="64"/>
      <c r="E882" s="65"/>
      <c r="F882" s="66"/>
      <c r="G882" s="63"/>
      <c r="H882" s="67"/>
      <c r="I882" s="68"/>
      <c r="J882" s="68"/>
      <c r="K882" s="32"/>
      <c r="L882" s="75">
        <v>882</v>
      </c>
      <c r="M882" s="75"/>
      <c r="N882" s="70"/>
      <c r="O882" s="77" t="s">
        <v>179</v>
      </c>
      <c r="P882" s="79">
        <v>45192.815729166665</v>
      </c>
      <c r="Q882" s="77" t="s">
        <v>1014</v>
      </c>
      <c r="R882" s="77">
        <v>0</v>
      </c>
      <c r="S882" s="77">
        <v>0</v>
      </c>
      <c r="T882" s="77">
        <v>0</v>
      </c>
      <c r="U882" s="77">
        <v>0</v>
      </c>
      <c r="V882" s="77">
        <v>14</v>
      </c>
      <c r="W882" s="82" t="s">
        <v>4849</v>
      </c>
      <c r="X882" s="77"/>
      <c r="Y882" s="77"/>
      <c r="Z882" s="77"/>
      <c r="AA882" s="77"/>
      <c r="AB882" s="77"/>
      <c r="AC882" s="82" t="s">
        <v>7750</v>
      </c>
      <c r="AD882" s="77" t="s">
        <v>7789</v>
      </c>
      <c r="AE882" s="80" t="str">
        <f>HYPERLINK("https://twitter.com/wmindset22/status/1705667009621495837")</f>
        <v>https://twitter.com/wmindset22/status/1705667009621495837</v>
      </c>
      <c r="AF882" s="79">
        <v>45192.815729166665</v>
      </c>
      <c r="AG882" s="85">
        <v>45192</v>
      </c>
      <c r="AH882" s="82" t="s">
        <v>8580</v>
      </c>
      <c r="AI882" s="77"/>
      <c r="AJ882" s="77"/>
      <c r="AK882" s="77"/>
      <c r="AL882" s="77"/>
      <c r="AM882" s="77"/>
      <c r="AN882" s="77"/>
      <c r="AO882" s="77"/>
      <c r="AP882" s="77"/>
      <c r="AQ882" s="77"/>
      <c r="AR882" s="77"/>
      <c r="AS882" s="77"/>
      <c r="AT882" s="77"/>
      <c r="AU882" s="77"/>
      <c r="AV882" s="80" t="str">
        <f>HYPERLINK("https://pbs.twimg.com/profile_images/1699370663880892416/Yr_QPRQt_normal.jpg")</f>
        <v>https://pbs.twimg.com/profile_images/1699370663880892416/Yr_QPRQt_normal.jpg</v>
      </c>
      <c r="AW882" s="82" t="s">
        <v>12563</v>
      </c>
      <c r="AX882" s="82" t="s">
        <v>12563</v>
      </c>
      <c r="AY882" s="77"/>
      <c r="AZ882" s="82" t="s">
        <v>15984</v>
      </c>
      <c r="BA882" s="82" t="s">
        <v>15984</v>
      </c>
      <c r="BB882" s="82" t="s">
        <v>15984</v>
      </c>
      <c r="BC882" s="82" t="s">
        <v>12563</v>
      </c>
      <c r="BD882" s="82" t="s">
        <v>16277</v>
      </c>
      <c r="BE882" s="77"/>
      <c r="BF882" s="77"/>
      <c r="BG882" s="77"/>
      <c r="BH882" s="77"/>
      <c r="BI882" s="77"/>
    </row>
    <row r="883" spans="1:61" x14ac:dyDescent="0.25">
      <c r="A883" s="62" t="s">
        <v>526</v>
      </c>
      <c r="B883" s="62" t="s">
        <v>526</v>
      </c>
      <c r="C883" s="63"/>
      <c r="D883" s="64"/>
      <c r="E883" s="65"/>
      <c r="F883" s="66"/>
      <c r="G883" s="63"/>
      <c r="H883" s="67"/>
      <c r="I883" s="68"/>
      <c r="J883" s="68"/>
      <c r="K883" s="32"/>
      <c r="L883" s="75">
        <v>883</v>
      </c>
      <c r="M883" s="75"/>
      <c r="N883" s="70"/>
      <c r="O883" s="77" t="s">
        <v>898</v>
      </c>
      <c r="P883" s="79">
        <v>45122.092638888891</v>
      </c>
      <c r="Q883" s="77" t="s">
        <v>1714</v>
      </c>
      <c r="R883" s="77">
        <v>0</v>
      </c>
      <c r="S883" s="77">
        <v>0</v>
      </c>
      <c r="T883" s="77">
        <v>0</v>
      </c>
      <c r="U883" s="77">
        <v>0</v>
      </c>
      <c r="V883" s="77">
        <v>5</v>
      </c>
      <c r="W883" s="82" t="s">
        <v>5276</v>
      </c>
      <c r="X883" s="80" t="str">
        <f>HYPERLINK("https://www.cartasgpt.com.br/Daycoval_Asset_Management/Carta%20Mensal%20da%20Gestao%20-%202023-06-01")</f>
        <v>https://www.cartasgpt.com.br/Daycoval_Asset_Management/Carta%20Mensal%20da%20Gestao%20-%202023-06-01</v>
      </c>
      <c r="Y883" s="77" t="s">
        <v>6470</v>
      </c>
      <c r="Z883" s="77"/>
      <c r="AA883" s="77"/>
      <c r="AB883" s="77"/>
      <c r="AC883" s="82" t="s">
        <v>7769</v>
      </c>
      <c r="AD883" s="77" t="s">
        <v>7788</v>
      </c>
      <c r="AE883" s="80" t="str">
        <f>HYPERLINK("https://twitter.com/cartasgpt/status/1680037818268102659")</f>
        <v>https://twitter.com/cartasgpt/status/1680037818268102659</v>
      </c>
      <c r="AF883" s="79">
        <v>45122.092638888891</v>
      </c>
      <c r="AG883" s="85">
        <v>45122</v>
      </c>
      <c r="AH883" s="82" t="s">
        <v>8581</v>
      </c>
      <c r="AI883" s="77" t="b">
        <v>0</v>
      </c>
      <c r="AJ883" s="77"/>
      <c r="AK883" s="77"/>
      <c r="AL883" s="77"/>
      <c r="AM883" s="77"/>
      <c r="AN883" s="77"/>
      <c r="AO883" s="77"/>
      <c r="AP883" s="77"/>
      <c r="AQ883" s="77"/>
      <c r="AR883" s="77"/>
      <c r="AS883" s="77"/>
      <c r="AT883" s="77"/>
      <c r="AU883" s="77"/>
      <c r="AV883" s="80" t="str">
        <f>HYPERLINK("https://pbs.twimg.com/profile_images/1664209895703433217/-ERlG8EG_normal.jpg")</f>
        <v>https://pbs.twimg.com/profile_images/1664209895703433217/-ERlG8EG_normal.jpg</v>
      </c>
      <c r="AW883" s="82" t="s">
        <v>12564</v>
      </c>
      <c r="AX883" s="82" t="s">
        <v>15818</v>
      </c>
      <c r="AY883" s="82" t="s">
        <v>15956</v>
      </c>
      <c r="AZ883" s="82" t="s">
        <v>16031</v>
      </c>
      <c r="BA883" s="82" t="s">
        <v>15984</v>
      </c>
      <c r="BB883" s="82" t="s">
        <v>15984</v>
      </c>
      <c r="BC883" s="82" t="s">
        <v>16031</v>
      </c>
      <c r="BD883" s="82" t="s">
        <v>15956</v>
      </c>
      <c r="BE883" s="77"/>
      <c r="BF883" s="77"/>
      <c r="BG883" s="77"/>
      <c r="BH883" s="77"/>
      <c r="BI883" s="77"/>
    </row>
    <row r="884" spans="1:61" x14ac:dyDescent="0.25">
      <c r="A884" s="62" t="s">
        <v>526</v>
      </c>
      <c r="B884" s="62" t="s">
        <v>526</v>
      </c>
      <c r="C884" s="63"/>
      <c r="D884" s="64"/>
      <c r="E884" s="65"/>
      <c r="F884" s="66"/>
      <c r="G884" s="63"/>
      <c r="H884" s="67"/>
      <c r="I884" s="68"/>
      <c r="J884" s="68"/>
      <c r="K884" s="32"/>
      <c r="L884" s="75">
        <v>884</v>
      </c>
      <c r="M884" s="75"/>
      <c r="N884" s="70"/>
      <c r="O884" s="77" t="s">
        <v>898</v>
      </c>
      <c r="P884" s="79">
        <v>45122.092511574076</v>
      </c>
      <c r="Q884" s="77" t="s">
        <v>1715</v>
      </c>
      <c r="R884" s="77">
        <v>0</v>
      </c>
      <c r="S884" s="77">
        <v>0</v>
      </c>
      <c r="T884" s="77">
        <v>0</v>
      </c>
      <c r="U884" s="77">
        <v>0</v>
      </c>
      <c r="V884" s="77">
        <v>6</v>
      </c>
      <c r="W884" s="82" t="s">
        <v>5276</v>
      </c>
      <c r="X884" s="80" t="str">
        <f>HYPERLINK("https://www.cartasgpt.com.br/V8_Capital/Estrategias%20de%20Renda%20Fixa%20-%202023-06-01")</f>
        <v>https://www.cartasgpt.com.br/V8_Capital/Estrategias%20de%20Renda%20Fixa%20-%202023-06-01</v>
      </c>
      <c r="Y884" s="77" t="s">
        <v>6470</v>
      </c>
      <c r="Z884" s="77"/>
      <c r="AA884" s="77"/>
      <c r="AB884" s="77"/>
      <c r="AC884" s="82" t="s">
        <v>7769</v>
      </c>
      <c r="AD884" s="77" t="s">
        <v>7788</v>
      </c>
      <c r="AE884" s="80" t="str">
        <f>HYPERLINK("https://twitter.com/cartasgpt/status/1680037774609530883")</f>
        <v>https://twitter.com/cartasgpt/status/1680037774609530883</v>
      </c>
      <c r="AF884" s="79">
        <v>45122.092511574076</v>
      </c>
      <c r="AG884" s="85">
        <v>45122</v>
      </c>
      <c r="AH884" s="82" t="s">
        <v>8582</v>
      </c>
      <c r="AI884" s="77" t="b">
        <v>0</v>
      </c>
      <c r="AJ884" s="77"/>
      <c r="AK884" s="77"/>
      <c r="AL884" s="77"/>
      <c r="AM884" s="77"/>
      <c r="AN884" s="77"/>
      <c r="AO884" s="77"/>
      <c r="AP884" s="77"/>
      <c r="AQ884" s="77"/>
      <c r="AR884" s="77"/>
      <c r="AS884" s="77"/>
      <c r="AT884" s="77"/>
      <c r="AU884" s="77"/>
      <c r="AV884" s="80" t="str">
        <f>HYPERLINK("https://pbs.twimg.com/profile_images/1664209895703433217/-ERlG8EG_normal.jpg")</f>
        <v>https://pbs.twimg.com/profile_images/1664209895703433217/-ERlG8EG_normal.jpg</v>
      </c>
      <c r="AW884" s="82" t="s">
        <v>12565</v>
      </c>
      <c r="AX884" s="82" t="s">
        <v>15819</v>
      </c>
      <c r="AY884" s="82" t="s">
        <v>15956</v>
      </c>
      <c r="AZ884" s="82" t="s">
        <v>16032</v>
      </c>
      <c r="BA884" s="82" t="s">
        <v>15984</v>
      </c>
      <c r="BB884" s="82" t="s">
        <v>15984</v>
      </c>
      <c r="BC884" s="82" t="s">
        <v>16032</v>
      </c>
      <c r="BD884" s="82" t="s">
        <v>15956</v>
      </c>
      <c r="BE884" s="77"/>
      <c r="BF884" s="77"/>
      <c r="BG884" s="77"/>
      <c r="BH884" s="77"/>
      <c r="BI884" s="77"/>
    </row>
    <row r="885" spans="1:61" x14ac:dyDescent="0.25">
      <c r="A885" s="62" t="s">
        <v>526</v>
      </c>
      <c r="B885" s="62" t="s">
        <v>526</v>
      </c>
      <c r="C885" s="63"/>
      <c r="D885" s="64"/>
      <c r="E885" s="65"/>
      <c r="F885" s="66"/>
      <c r="G885" s="63"/>
      <c r="H885" s="67"/>
      <c r="I885" s="68"/>
      <c r="J885" s="68"/>
      <c r="K885" s="32"/>
      <c r="L885" s="75">
        <v>885</v>
      </c>
      <c r="M885" s="75"/>
      <c r="N885" s="70"/>
      <c r="O885" s="77" t="s">
        <v>898</v>
      </c>
      <c r="P885" s="79">
        <v>45122.092418981483</v>
      </c>
      <c r="Q885" s="77" t="s">
        <v>1716</v>
      </c>
      <c r="R885" s="77">
        <v>0</v>
      </c>
      <c r="S885" s="77">
        <v>0</v>
      </c>
      <c r="T885" s="77">
        <v>0</v>
      </c>
      <c r="U885" s="77">
        <v>0</v>
      </c>
      <c r="V885" s="77">
        <v>4</v>
      </c>
      <c r="W885" s="82" t="s">
        <v>5276</v>
      </c>
      <c r="X885" s="80" t="str">
        <f>HYPERLINK("https://www.cartasgpt.com.br/V8_Capital/Estrategias%20Sistematicas%20-%202023-06-01")</f>
        <v>https://www.cartasgpt.com.br/V8_Capital/Estrategias%20Sistematicas%20-%202023-06-01</v>
      </c>
      <c r="Y885" s="77" t="s">
        <v>6470</v>
      </c>
      <c r="Z885" s="77"/>
      <c r="AA885" s="77"/>
      <c r="AB885" s="77"/>
      <c r="AC885" s="82" t="s">
        <v>7769</v>
      </c>
      <c r="AD885" s="77" t="s">
        <v>7788</v>
      </c>
      <c r="AE885" s="80" t="str">
        <f>HYPERLINK("https://twitter.com/cartasgpt/status/1680037740497313795")</f>
        <v>https://twitter.com/cartasgpt/status/1680037740497313795</v>
      </c>
      <c r="AF885" s="79">
        <v>45122.092418981483</v>
      </c>
      <c r="AG885" s="85">
        <v>45122</v>
      </c>
      <c r="AH885" s="82" t="s">
        <v>8583</v>
      </c>
      <c r="AI885" s="77" t="b">
        <v>0</v>
      </c>
      <c r="AJ885" s="77"/>
      <c r="AK885" s="77"/>
      <c r="AL885" s="77"/>
      <c r="AM885" s="77"/>
      <c r="AN885" s="77"/>
      <c r="AO885" s="77"/>
      <c r="AP885" s="77"/>
      <c r="AQ885" s="77"/>
      <c r="AR885" s="77"/>
      <c r="AS885" s="77"/>
      <c r="AT885" s="77"/>
      <c r="AU885" s="77"/>
      <c r="AV885" s="80" t="str">
        <f>HYPERLINK("https://pbs.twimg.com/profile_images/1664209895703433217/-ERlG8EG_normal.jpg")</f>
        <v>https://pbs.twimg.com/profile_images/1664209895703433217/-ERlG8EG_normal.jpg</v>
      </c>
      <c r="AW885" s="82" t="s">
        <v>12566</v>
      </c>
      <c r="AX885" s="82" t="s">
        <v>15820</v>
      </c>
      <c r="AY885" s="82" t="s">
        <v>15956</v>
      </c>
      <c r="AZ885" s="82" t="s">
        <v>16033</v>
      </c>
      <c r="BA885" s="82" t="s">
        <v>15984</v>
      </c>
      <c r="BB885" s="82" t="s">
        <v>15984</v>
      </c>
      <c r="BC885" s="82" t="s">
        <v>16033</v>
      </c>
      <c r="BD885" s="82" t="s">
        <v>15956</v>
      </c>
      <c r="BE885" s="77"/>
      <c r="BF885" s="77"/>
      <c r="BG885" s="77"/>
      <c r="BH885" s="77"/>
      <c r="BI885" s="77"/>
    </row>
    <row r="886" spans="1:61" x14ac:dyDescent="0.25">
      <c r="A886" s="62" t="s">
        <v>526</v>
      </c>
      <c r="B886" s="62" t="s">
        <v>526</v>
      </c>
      <c r="C886" s="63"/>
      <c r="D886" s="64"/>
      <c r="E886" s="65"/>
      <c r="F886" s="66"/>
      <c r="G886" s="63"/>
      <c r="H886" s="67"/>
      <c r="I886" s="68"/>
      <c r="J886" s="68"/>
      <c r="K886" s="32"/>
      <c r="L886" s="75">
        <v>886</v>
      </c>
      <c r="M886" s="75"/>
      <c r="N886" s="70"/>
      <c r="O886" s="77" t="s">
        <v>898</v>
      </c>
      <c r="P886" s="79">
        <v>45122.092314814814</v>
      </c>
      <c r="Q886" s="77" t="s">
        <v>1717</v>
      </c>
      <c r="R886" s="77">
        <v>0</v>
      </c>
      <c r="S886" s="77">
        <v>0</v>
      </c>
      <c r="T886" s="77">
        <v>0</v>
      </c>
      <c r="U886" s="77">
        <v>0</v>
      </c>
      <c r="V886" s="77">
        <v>4</v>
      </c>
      <c r="W886" s="82" t="s">
        <v>5276</v>
      </c>
      <c r="X886" s="80" t="str">
        <f>HYPERLINK("https://www.cartasgpt.com.br/Valora_Investimentos/Carta%20Mensal%20-%202023-06-01")</f>
        <v>https://www.cartasgpt.com.br/Valora_Investimentos/Carta%20Mensal%20-%202023-06-01</v>
      </c>
      <c r="Y886" s="77" t="s">
        <v>6470</v>
      </c>
      <c r="Z886" s="77"/>
      <c r="AA886" s="77"/>
      <c r="AB886" s="77"/>
      <c r="AC886" s="82" t="s">
        <v>7769</v>
      </c>
      <c r="AD886" s="77" t="s">
        <v>7788</v>
      </c>
      <c r="AE886" s="80" t="str">
        <f>HYPERLINK("https://twitter.com/cartasgpt/status/1680037700856958976")</f>
        <v>https://twitter.com/cartasgpt/status/1680037700856958976</v>
      </c>
      <c r="AF886" s="79">
        <v>45122.092314814814</v>
      </c>
      <c r="AG886" s="85">
        <v>45122</v>
      </c>
      <c r="AH886" s="82" t="s">
        <v>8584</v>
      </c>
      <c r="AI886" s="77" t="b">
        <v>0</v>
      </c>
      <c r="AJ886" s="77"/>
      <c r="AK886" s="77"/>
      <c r="AL886" s="77"/>
      <c r="AM886" s="77"/>
      <c r="AN886" s="77"/>
      <c r="AO886" s="77"/>
      <c r="AP886" s="77"/>
      <c r="AQ886" s="77"/>
      <c r="AR886" s="77"/>
      <c r="AS886" s="77"/>
      <c r="AT886" s="77"/>
      <c r="AU886" s="77"/>
      <c r="AV886" s="80" t="str">
        <f>HYPERLINK("https://pbs.twimg.com/profile_images/1664209895703433217/-ERlG8EG_normal.jpg")</f>
        <v>https://pbs.twimg.com/profile_images/1664209895703433217/-ERlG8EG_normal.jpg</v>
      </c>
      <c r="AW886" s="82" t="s">
        <v>12567</v>
      </c>
      <c r="AX886" s="82" t="s">
        <v>15821</v>
      </c>
      <c r="AY886" s="82" t="s">
        <v>15956</v>
      </c>
      <c r="AZ886" s="82" t="s">
        <v>16034</v>
      </c>
      <c r="BA886" s="82" t="s">
        <v>15984</v>
      </c>
      <c r="BB886" s="82" t="s">
        <v>15984</v>
      </c>
      <c r="BC886" s="82" t="s">
        <v>16034</v>
      </c>
      <c r="BD886" s="82" t="s">
        <v>15956</v>
      </c>
      <c r="BE886" s="77"/>
      <c r="BF886" s="77"/>
      <c r="BG886" s="77"/>
      <c r="BH886" s="77"/>
      <c r="BI886" s="77"/>
    </row>
    <row r="887" spans="1:61" x14ac:dyDescent="0.25">
      <c r="A887" s="62" t="s">
        <v>526</v>
      </c>
      <c r="B887" s="62" t="s">
        <v>526</v>
      </c>
      <c r="C887" s="63"/>
      <c r="D887" s="64"/>
      <c r="E887" s="65"/>
      <c r="F887" s="66"/>
      <c r="G887" s="63"/>
      <c r="H887" s="67"/>
      <c r="I887" s="68"/>
      <c r="J887" s="68"/>
      <c r="K887" s="32"/>
      <c r="L887" s="75">
        <v>887</v>
      </c>
      <c r="M887" s="75"/>
      <c r="N887" s="70"/>
      <c r="O887" s="77" t="s">
        <v>898</v>
      </c>
      <c r="P887" s="79">
        <v>45119.937337962961</v>
      </c>
      <c r="Q887" s="77" t="s">
        <v>1718</v>
      </c>
      <c r="R887" s="77">
        <v>0</v>
      </c>
      <c r="S887" s="77">
        <v>0</v>
      </c>
      <c r="T887" s="77">
        <v>0</v>
      </c>
      <c r="U887" s="77">
        <v>0</v>
      </c>
      <c r="V887" s="77">
        <v>12</v>
      </c>
      <c r="W887" s="82" t="s">
        <v>5276</v>
      </c>
      <c r="X887" s="80" t="str">
        <f>HYPERLINK("https://www.cartasgpt.com.br/Sueste_Capital/Carta%20Mensal%20-%202023-06-01")</f>
        <v>https://www.cartasgpt.com.br/Sueste_Capital/Carta%20Mensal%20-%202023-06-01</v>
      </c>
      <c r="Y887" s="77" t="s">
        <v>6470</v>
      </c>
      <c r="Z887" s="77"/>
      <c r="AA887" s="77"/>
      <c r="AB887" s="77"/>
      <c r="AC887" s="82" t="s">
        <v>7769</v>
      </c>
      <c r="AD887" s="77" t="s">
        <v>7788</v>
      </c>
      <c r="AE887" s="80" t="str">
        <f>HYPERLINK("https://twitter.com/cartasgpt/status/1679256763303079936")</f>
        <v>https://twitter.com/cartasgpt/status/1679256763303079936</v>
      </c>
      <c r="AF887" s="79">
        <v>45119.937337962961</v>
      </c>
      <c r="AG887" s="85">
        <v>45119</v>
      </c>
      <c r="AH887" s="82" t="s">
        <v>8585</v>
      </c>
      <c r="AI887" s="77" t="b">
        <v>0</v>
      </c>
      <c r="AJ887" s="77"/>
      <c r="AK887" s="77"/>
      <c r="AL887" s="77"/>
      <c r="AM887" s="77"/>
      <c r="AN887" s="77"/>
      <c r="AO887" s="77"/>
      <c r="AP887" s="77"/>
      <c r="AQ887" s="77"/>
      <c r="AR887" s="77"/>
      <c r="AS887" s="77"/>
      <c r="AT887" s="77"/>
      <c r="AU887" s="77"/>
      <c r="AV887" s="80" t="str">
        <f>HYPERLINK("https://pbs.twimg.com/profile_images/1664209895703433217/-ERlG8EG_normal.jpg")</f>
        <v>https://pbs.twimg.com/profile_images/1664209895703433217/-ERlG8EG_normal.jpg</v>
      </c>
      <c r="AW887" s="82" t="s">
        <v>12568</v>
      </c>
      <c r="AX887" s="82" t="s">
        <v>15822</v>
      </c>
      <c r="AY887" s="82" t="s">
        <v>15956</v>
      </c>
      <c r="AZ887" s="82" t="s">
        <v>16035</v>
      </c>
      <c r="BA887" s="82" t="s">
        <v>15984</v>
      </c>
      <c r="BB887" s="82" t="s">
        <v>15984</v>
      </c>
      <c r="BC887" s="82" t="s">
        <v>16035</v>
      </c>
      <c r="BD887" s="82" t="s">
        <v>15956</v>
      </c>
      <c r="BE887" s="77"/>
      <c r="BF887" s="77"/>
      <c r="BG887" s="77"/>
      <c r="BH887" s="77"/>
      <c r="BI887" s="77"/>
    </row>
    <row r="888" spans="1:61" x14ac:dyDescent="0.25">
      <c r="A888" s="62" t="s">
        <v>526</v>
      </c>
      <c r="B888" s="62" t="s">
        <v>526</v>
      </c>
      <c r="C888" s="63"/>
      <c r="D888" s="64"/>
      <c r="E888" s="65"/>
      <c r="F888" s="66"/>
      <c r="G888" s="63"/>
      <c r="H888" s="67"/>
      <c r="I888" s="68"/>
      <c r="J888" s="68"/>
      <c r="K888" s="32"/>
      <c r="L888" s="75">
        <v>888</v>
      </c>
      <c r="M888" s="75"/>
      <c r="N888" s="70"/>
      <c r="O888" s="77" t="s">
        <v>898</v>
      </c>
      <c r="P888" s="79">
        <v>45119.937210648146</v>
      </c>
      <c r="Q888" s="77" t="s">
        <v>1719</v>
      </c>
      <c r="R888" s="77">
        <v>0</v>
      </c>
      <c r="S888" s="77">
        <v>0</v>
      </c>
      <c r="T888" s="77">
        <v>0</v>
      </c>
      <c r="U888" s="77">
        <v>0</v>
      </c>
      <c r="V888" s="77">
        <v>8</v>
      </c>
      <c r="W888" s="82" t="s">
        <v>5276</v>
      </c>
      <c r="X888" s="80" t="str">
        <f>HYPERLINK("https://www.cartasgpt.com.br/AZ_Quest_Investimentos/Carta%20Mensal%20-%202023-06-01")</f>
        <v>https://www.cartasgpt.com.br/AZ_Quest_Investimentos/Carta%20Mensal%20-%202023-06-01</v>
      </c>
      <c r="Y888" s="77" t="s">
        <v>6470</v>
      </c>
      <c r="Z888" s="77"/>
      <c r="AA888" s="77"/>
      <c r="AB888" s="77"/>
      <c r="AC888" s="82" t="s">
        <v>7769</v>
      </c>
      <c r="AD888" s="77" t="s">
        <v>7788</v>
      </c>
      <c r="AE888" s="80" t="str">
        <f>HYPERLINK("https://twitter.com/cartasgpt/status/1679256719531323394")</f>
        <v>https://twitter.com/cartasgpt/status/1679256719531323394</v>
      </c>
      <c r="AF888" s="79">
        <v>45119.937210648146</v>
      </c>
      <c r="AG888" s="85">
        <v>45119</v>
      </c>
      <c r="AH888" s="82" t="s">
        <v>8586</v>
      </c>
      <c r="AI888" s="77" t="b">
        <v>0</v>
      </c>
      <c r="AJ888" s="77"/>
      <c r="AK888" s="77"/>
      <c r="AL888" s="77"/>
      <c r="AM888" s="77"/>
      <c r="AN888" s="77"/>
      <c r="AO888" s="77"/>
      <c r="AP888" s="77"/>
      <c r="AQ888" s="77"/>
      <c r="AR888" s="77"/>
      <c r="AS888" s="77"/>
      <c r="AT888" s="77"/>
      <c r="AU888" s="77"/>
      <c r="AV888" s="80" t="str">
        <f>HYPERLINK("https://pbs.twimg.com/profile_images/1664209895703433217/-ERlG8EG_normal.jpg")</f>
        <v>https://pbs.twimg.com/profile_images/1664209895703433217/-ERlG8EG_normal.jpg</v>
      </c>
      <c r="AW888" s="82" t="s">
        <v>12569</v>
      </c>
      <c r="AX888" s="82" t="s">
        <v>15823</v>
      </c>
      <c r="AY888" s="82" t="s">
        <v>15956</v>
      </c>
      <c r="AZ888" s="82" t="s">
        <v>16036</v>
      </c>
      <c r="BA888" s="82" t="s">
        <v>15984</v>
      </c>
      <c r="BB888" s="82" t="s">
        <v>15984</v>
      </c>
      <c r="BC888" s="82" t="s">
        <v>16036</v>
      </c>
      <c r="BD888" s="82" t="s">
        <v>15956</v>
      </c>
      <c r="BE888" s="77"/>
      <c r="BF888" s="77"/>
      <c r="BG888" s="77"/>
      <c r="BH888" s="77"/>
      <c r="BI888" s="77"/>
    </row>
    <row r="889" spans="1:61" x14ac:dyDescent="0.25">
      <c r="A889" s="62" t="s">
        <v>526</v>
      </c>
      <c r="B889" s="62" t="s">
        <v>526</v>
      </c>
      <c r="C889" s="63"/>
      <c r="D889" s="64"/>
      <c r="E889" s="65"/>
      <c r="F889" s="66"/>
      <c r="G889" s="63"/>
      <c r="H889" s="67"/>
      <c r="I889" s="68"/>
      <c r="J889" s="68"/>
      <c r="K889" s="32"/>
      <c r="L889" s="75">
        <v>889</v>
      </c>
      <c r="M889" s="75"/>
      <c r="N889" s="70"/>
      <c r="O889" s="77" t="s">
        <v>898</v>
      </c>
      <c r="P889" s="79">
        <v>45125.95722222222</v>
      </c>
      <c r="Q889" s="77" t="s">
        <v>1720</v>
      </c>
      <c r="R889" s="77">
        <v>0</v>
      </c>
      <c r="S889" s="77">
        <v>1</v>
      </c>
      <c r="T889" s="77">
        <v>0</v>
      </c>
      <c r="U889" s="77">
        <v>0</v>
      </c>
      <c r="V889" s="77">
        <v>15</v>
      </c>
      <c r="W889" s="82" t="s">
        <v>5276</v>
      </c>
      <c r="X889" s="80" t="str">
        <f>HYPERLINK("https://www.cartasgpt.com.br/Opportunity/Opportunity%20Total%20FIC%20FIM%20-%202023-07-01")</f>
        <v>https://www.cartasgpt.com.br/Opportunity/Opportunity%20Total%20FIC%20FIM%20-%202023-07-01</v>
      </c>
      <c r="Y889" s="77" t="s">
        <v>6470</v>
      </c>
      <c r="Z889" s="77"/>
      <c r="AA889" s="77"/>
      <c r="AB889" s="77"/>
      <c r="AC889" s="82" t="s">
        <v>7769</v>
      </c>
      <c r="AD889" s="77" t="s">
        <v>7788</v>
      </c>
      <c r="AE889" s="80" t="str">
        <f>HYPERLINK("https://twitter.com/cartasgpt/status/1681438298022064130")</f>
        <v>https://twitter.com/cartasgpt/status/1681438298022064130</v>
      </c>
      <c r="AF889" s="79">
        <v>45125.95722222222</v>
      </c>
      <c r="AG889" s="85">
        <v>45125</v>
      </c>
      <c r="AH889" s="82" t="s">
        <v>8587</v>
      </c>
      <c r="AI889" s="77" t="b">
        <v>0</v>
      </c>
      <c r="AJ889" s="77"/>
      <c r="AK889" s="77"/>
      <c r="AL889" s="77"/>
      <c r="AM889" s="77"/>
      <c r="AN889" s="77"/>
      <c r="AO889" s="77"/>
      <c r="AP889" s="77"/>
      <c r="AQ889" s="77"/>
      <c r="AR889" s="77"/>
      <c r="AS889" s="77"/>
      <c r="AT889" s="77"/>
      <c r="AU889" s="77"/>
      <c r="AV889" s="80" t="str">
        <f>HYPERLINK("https://pbs.twimg.com/profile_images/1664209895703433217/-ERlG8EG_normal.jpg")</f>
        <v>https://pbs.twimg.com/profile_images/1664209895703433217/-ERlG8EG_normal.jpg</v>
      </c>
      <c r="AW889" s="82" t="s">
        <v>12570</v>
      </c>
      <c r="AX889" s="82" t="s">
        <v>15824</v>
      </c>
      <c r="AY889" s="82" t="s">
        <v>15956</v>
      </c>
      <c r="AZ889" s="82" t="s">
        <v>16037</v>
      </c>
      <c r="BA889" s="82" t="s">
        <v>15984</v>
      </c>
      <c r="BB889" s="82" t="s">
        <v>15984</v>
      </c>
      <c r="BC889" s="82" t="s">
        <v>16037</v>
      </c>
      <c r="BD889" s="82" t="s">
        <v>15956</v>
      </c>
      <c r="BE889" s="77"/>
      <c r="BF889" s="77"/>
      <c r="BG889" s="77"/>
      <c r="BH889" s="77"/>
      <c r="BI889" s="77"/>
    </row>
    <row r="890" spans="1:61" x14ac:dyDescent="0.25">
      <c r="A890" s="62" t="s">
        <v>526</v>
      </c>
      <c r="B890" s="62" t="s">
        <v>526</v>
      </c>
      <c r="C890" s="63"/>
      <c r="D890" s="64"/>
      <c r="E890" s="65"/>
      <c r="F890" s="66"/>
      <c r="G890" s="63"/>
      <c r="H890" s="67"/>
      <c r="I890" s="68"/>
      <c r="J890" s="68"/>
      <c r="K890" s="32"/>
      <c r="L890" s="75">
        <v>890</v>
      </c>
      <c r="M890" s="75"/>
      <c r="N890" s="70"/>
      <c r="O890" s="77" t="s">
        <v>898</v>
      </c>
      <c r="P890" s="79">
        <v>45125.94902777778</v>
      </c>
      <c r="Q890" s="77" t="s">
        <v>1721</v>
      </c>
      <c r="R890" s="77">
        <v>0</v>
      </c>
      <c r="S890" s="77">
        <v>1</v>
      </c>
      <c r="T890" s="77">
        <v>0</v>
      </c>
      <c r="U890" s="77">
        <v>0</v>
      </c>
      <c r="V890" s="77">
        <v>18</v>
      </c>
      <c r="W890" s="82" t="s">
        <v>5276</v>
      </c>
      <c r="X890" s="80" t="str">
        <f>HYPERLINK("https://www.cartasgpt.com.br/Trigono_Capital/Resenha%20Mensal%20-%202023-07-01")</f>
        <v>https://www.cartasgpt.com.br/Trigono_Capital/Resenha%20Mensal%20-%202023-07-01</v>
      </c>
      <c r="Y890" s="77" t="s">
        <v>6470</v>
      </c>
      <c r="Z890" s="77"/>
      <c r="AA890" s="77"/>
      <c r="AB890" s="77"/>
      <c r="AC890" s="82" t="s">
        <v>7769</v>
      </c>
      <c r="AD890" s="77" t="s">
        <v>7788</v>
      </c>
      <c r="AE890" s="80" t="str">
        <f>HYPERLINK("https://twitter.com/cartasgpt/status/1681435329796923398")</f>
        <v>https://twitter.com/cartasgpt/status/1681435329796923398</v>
      </c>
      <c r="AF890" s="79">
        <v>45125.94902777778</v>
      </c>
      <c r="AG890" s="85">
        <v>45125</v>
      </c>
      <c r="AH890" s="82" t="s">
        <v>8588</v>
      </c>
      <c r="AI890" s="77" t="b">
        <v>0</v>
      </c>
      <c r="AJ890" s="77"/>
      <c r="AK890" s="77"/>
      <c r="AL890" s="77"/>
      <c r="AM890" s="77"/>
      <c r="AN890" s="77"/>
      <c r="AO890" s="77"/>
      <c r="AP890" s="77"/>
      <c r="AQ890" s="77"/>
      <c r="AR890" s="77"/>
      <c r="AS890" s="77"/>
      <c r="AT890" s="77"/>
      <c r="AU890" s="77"/>
      <c r="AV890" s="80" t="str">
        <f>HYPERLINK("https://pbs.twimg.com/profile_images/1664209895703433217/-ERlG8EG_normal.jpg")</f>
        <v>https://pbs.twimg.com/profile_images/1664209895703433217/-ERlG8EG_normal.jpg</v>
      </c>
      <c r="AW890" s="82" t="s">
        <v>12571</v>
      </c>
      <c r="AX890" s="82" t="s">
        <v>15825</v>
      </c>
      <c r="AY890" s="82" t="s">
        <v>15956</v>
      </c>
      <c r="AZ890" s="82" t="s">
        <v>16038</v>
      </c>
      <c r="BA890" s="82" t="s">
        <v>15984</v>
      </c>
      <c r="BB890" s="82" t="s">
        <v>15984</v>
      </c>
      <c r="BC890" s="82" t="s">
        <v>16038</v>
      </c>
      <c r="BD890" s="82" t="s">
        <v>15956</v>
      </c>
      <c r="BE890" s="77"/>
      <c r="BF890" s="77"/>
      <c r="BG890" s="77"/>
      <c r="BH890" s="77"/>
      <c r="BI890" s="77"/>
    </row>
    <row r="891" spans="1:61" x14ac:dyDescent="0.25">
      <c r="A891" s="62" t="s">
        <v>526</v>
      </c>
      <c r="B891" s="62" t="s">
        <v>526</v>
      </c>
      <c r="C891" s="63"/>
      <c r="D891" s="64"/>
      <c r="E891" s="65"/>
      <c r="F891" s="66"/>
      <c r="G891" s="63"/>
      <c r="H891" s="67"/>
      <c r="I891" s="68"/>
      <c r="J891" s="68"/>
      <c r="K891" s="32"/>
      <c r="L891" s="75">
        <v>891</v>
      </c>
      <c r="M891" s="75"/>
      <c r="N891" s="70"/>
      <c r="O891" s="77" t="s">
        <v>898</v>
      </c>
      <c r="P891" s="79">
        <v>45125.948912037034</v>
      </c>
      <c r="Q891" s="77" t="s">
        <v>1722</v>
      </c>
      <c r="R891" s="77">
        <v>0</v>
      </c>
      <c r="S891" s="77">
        <v>1</v>
      </c>
      <c r="T891" s="77">
        <v>0</v>
      </c>
      <c r="U891" s="77">
        <v>0</v>
      </c>
      <c r="V891" s="77">
        <v>9</v>
      </c>
      <c r="W891" s="82" t="s">
        <v>5276</v>
      </c>
      <c r="X891" s="80" t="str">
        <f>HYPERLINK("https://www.cartasgpt.com.br/Santander_Asset_Management/Carta%20Mensal%20-%202023-07-01")</f>
        <v>https://www.cartasgpt.com.br/Santander_Asset_Management/Carta%20Mensal%20-%202023-07-01</v>
      </c>
      <c r="Y891" s="77" t="s">
        <v>6470</v>
      </c>
      <c r="Z891" s="77"/>
      <c r="AA891" s="77"/>
      <c r="AB891" s="77"/>
      <c r="AC891" s="82" t="s">
        <v>7769</v>
      </c>
      <c r="AD891" s="77" t="s">
        <v>7788</v>
      </c>
      <c r="AE891" s="80" t="str">
        <f>HYPERLINK("https://twitter.com/cartasgpt/status/1681435285580574721")</f>
        <v>https://twitter.com/cartasgpt/status/1681435285580574721</v>
      </c>
      <c r="AF891" s="79">
        <v>45125.948912037034</v>
      </c>
      <c r="AG891" s="85">
        <v>45125</v>
      </c>
      <c r="AH891" s="82" t="s">
        <v>8589</v>
      </c>
      <c r="AI891" s="77" t="b">
        <v>0</v>
      </c>
      <c r="AJ891" s="77"/>
      <c r="AK891" s="77"/>
      <c r="AL891" s="77"/>
      <c r="AM891" s="77"/>
      <c r="AN891" s="77"/>
      <c r="AO891" s="77"/>
      <c r="AP891" s="77"/>
      <c r="AQ891" s="77"/>
      <c r="AR891" s="77"/>
      <c r="AS891" s="77"/>
      <c r="AT891" s="77"/>
      <c r="AU891" s="77"/>
      <c r="AV891" s="80" t="str">
        <f>HYPERLINK("https://pbs.twimg.com/profile_images/1664209895703433217/-ERlG8EG_normal.jpg")</f>
        <v>https://pbs.twimg.com/profile_images/1664209895703433217/-ERlG8EG_normal.jpg</v>
      </c>
      <c r="AW891" s="82" t="s">
        <v>12572</v>
      </c>
      <c r="AX891" s="82" t="s">
        <v>15826</v>
      </c>
      <c r="AY891" s="82" t="s">
        <v>15956</v>
      </c>
      <c r="AZ891" s="82" t="s">
        <v>16039</v>
      </c>
      <c r="BA891" s="82" t="s">
        <v>15984</v>
      </c>
      <c r="BB891" s="82" t="s">
        <v>15984</v>
      </c>
      <c r="BC891" s="82" t="s">
        <v>16039</v>
      </c>
      <c r="BD891" s="82" t="s">
        <v>15956</v>
      </c>
      <c r="BE891" s="77"/>
      <c r="BF891" s="77"/>
      <c r="BG891" s="77"/>
      <c r="BH891" s="77"/>
      <c r="BI891" s="77"/>
    </row>
    <row r="892" spans="1:61" x14ac:dyDescent="0.25">
      <c r="A892" s="62" t="s">
        <v>526</v>
      </c>
      <c r="B892" s="62" t="s">
        <v>526</v>
      </c>
      <c r="C892" s="63"/>
      <c r="D892" s="64"/>
      <c r="E892" s="65"/>
      <c r="F892" s="66"/>
      <c r="G892" s="63"/>
      <c r="H892" s="67"/>
      <c r="I892" s="68"/>
      <c r="J892" s="68"/>
      <c r="K892" s="32"/>
      <c r="L892" s="75">
        <v>892</v>
      </c>
      <c r="M892" s="75"/>
      <c r="N892" s="70"/>
      <c r="O892" s="77" t="s">
        <v>898</v>
      </c>
      <c r="P892" s="79">
        <v>45125.948819444442</v>
      </c>
      <c r="Q892" s="77" t="s">
        <v>1723</v>
      </c>
      <c r="R892" s="77">
        <v>0</v>
      </c>
      <c r="S892" s="77">
        <v>1</v>
      </c>
      <c r="T892" s="77">
        <v>0</v>
      </c>
      <c r="U892" s="77">
        <v>0</v>
      </c>
      <c r="V892" s="77">
        <v>5</v>
      </c>
      <c r="W892" s="82" t="s">
        <v>5276</v>
      </c>
      <c r="X892" s="80" t="str">
        <f>HYPERLINK("https://www.cartasgpt.com.br/Sicredi_Asset_Management/Cenario%20Economico%20-%202023-07-01")</f>
        <v>https://www.cartasgpt.com.br/Sicredi_Asset_Management/Cenario%20Economico%20-%202023-07-01</v>
      </c>
      <c r="Y892" s="77" t="s">
        <v>6470</v>
      </c>
      <c r="Z892" s="77"/>
      <c r="AA892" s="77"/>
      <c r="AB892" s="77"/>
      <c r="AC892" s="82" t="s">
        <v>7769</v>
      </c>
      <c r="AD892" s="77" t="s">
        <v>7788</v>
      </c>
      <c r="AE892" s="80" t="str">
        <f>HYPERLINK("https://twitter.com/cartasgpt/status/1681435251485097984")</f>
        <v>https://twitter.com/cartasgpt/status/1681435251485097984</v>
      </c>
      <c r="AF892" s="79">
        <v>45125.948819444442</v>
      </c>
      <c r="AG892" s="85">
        <v>45125</v>
      </c>
      <c r="AH892" s="82" t="s">
        <v>8590</v>
      </c>
      <c r="AI892" s="77" t="b">
        <v>0</v>
      </c>
      <c r="AJ892" s="77"/>
      <c r="AK892" s="77"/>
      <c r="AL892" s="77"/>
      <c r="AM892" s="77"/>
      <c r="AN892" s="77"/>
      <c r="AO892" s="77"/>
      <c r="AP892" s="77"/>
      <c r="AQ892" s="77"/>
      <c r="AR892" s="77"/>
      <c r="AS892" s="77"/>
      <c r="AT892" s="77"/>
      <c r="AU892" s="77"/>
      <c r="AV892" s="80" t="str">
        <f>HYPERLINK("https://pbs.twimg.com/profile_images/1664209895703433217/-ERlG8EG_normal.jpg")</f>
        <v>https://pbs.twimg.com/profile_images/1664209895703433217/-ERlG8EG_normal.jpg</v>
      </c>
      <c r="AW892" s="82" t="s">
        <v>12573</v>
      </c>
      <c r="AX892" s="82" t="s">
        <v>15827</v>
      </c>
      <c r="AY892" s="82" t="s">
        <v>15956</v>
      </c>
      <c r="AZ892" s="82" t="s">
        <v>16040</v>
      </c>
      <c r="BA892" s="82" t="s">
        <v>15984</v>
      </c>
      <c r="BB892" s="82" t="s">
        <v>15984</v>
      </c>
      <c r="BC892" s="82" t="s">
        <v>16040</v>
      </c>
      <c r="BD892" s="82" t="s">
        <v>15956</v>
      </c>
      <c r="BE892" s="77"/>
      <c r="BF892" s="77"/>
      <c r="BG892" s="77"/>
      <c r="BH892" s="77"/>
      <c r="BI892" s="77"/>
    </row>
    <row r="893" spans="1:61" x14ac:dyDescent="0.25">
      <c r="A893" s="62" t="s">
        <v>526</v>
      </c>
      <c r="B893" s="62" t="s">
        <v>526</v>
      </c>
      <c r="C893" s="63"/>
      <c r="D893" s="64"/>
      <c r="E893" s="65"/>
      <c r="F893" s="66"/>
      <c r="G893" s="63"/>
      <c r="H893" s="67"/>
      <c r="I893" s="68"/>
      <c r="J893" s="68"/>
      <c r="K893" s="32"/>
      <c r="L893" s="75">
        <v>893</v>
      </c>
      <c r="M893" s="75"/>
      <c r="N893" s="70"/>
      <c r="O893" s="77" t="s">
        <v>898</v>
      </c>
      <c r="P893" s="79">
        <v>45125.948738425926</v>
      </c>
      <c r="Q893" s="77" t="s">
        <v>1724</v>
      </c>
      <c r="R893" s="77">
        <v>0</v>
      </c>
      <c r="S893" s="77">
        <v>1</v>
      </c>
      <c r="T893" s="77">
        <v>0</v>
      </c>
      <c r="U893" s="77">
        <v>0</v>
      </c>
      <c r="V893" s="77">
        <v>4</v>
      </c>
      <c r="W893" s="82" t="s">
        <v>5276</v>
      </c>
      <c r="X893" s="80" t="str">
        <f>HYPERLINK("https://www.cartasgpt.com.br/Porto_Asset_Management/Relatorio%20Economico%20Mensal%20-%202023-07-01")</f>
        <v>https://www.cartasgpt.com.br/Porto_Asset_Management/Relatorio%20Economico%20Mensal%20-%202023-07-01</v>
      </c>
      <c r="Y893" s="77" t="s">
        <v>6470</v>
      </c>
      <c r="Z893" s="77"/>
      <c r="AA893" s="77"/>
      <c r="AB893" s="77"/>
      <c r="AC893" s="82" t="s">
        <v>7769</v>
      </c>
      <c r="AD893" s="77" t="s">
        <v>7788</v>
      </c>
      <c r="AE893" s="80" t="str">
        <f>HYPERLINK("https://twitter.com/cartasgpt/status/1681435221449744384")</f>
        <v>https://twitter.com/cartasgpt/status/1681435221449744384</v>
      </c>
      <c r="AF893" s="79">
        <v>45125.948738425926</v>
      </c>
      <c r="AG893" s="85">
        <v>45125</v>
      </c>
      <c r="AH893" s="82" t="s">
        <v>8591</v>
      </c>
      <c r="AI893" s="77" t="b">
        <v>0</v>
      </c>
      <c r="AJ893" s="77"/>
      <c r="AK893" s="77"/>
      <c r="AL893" s="77"/>
      <c r="AM893" s="77"/>
      <c r="AN893" s="77"/>
      <c r="AO893" s="77"/>
      <c r="AP893" s="77"/>
      <c r="AQ893" s="77"/>
      <c r="AR893" s="77"/>
      <c r="AS893" s="77"/>
      <c r="AT893" s="77"/>
      <c r="AU893" s="77"/>
      <c r="AV893" s="80" t="str">
        <f>HYPERLINK("https://pbs.twimg.com/profile_images/1664209895703433217/-ERlG8EG_normal.jpg")</f>
        <v>https://pbs.twimg.com/profile_images/1664209895703433217/-ERlG8EG_normal.jpg</v>
      </c>
      <c r="AW893" s="82" t="s">
        <v>12574</v>
      </c>
      <c r="AX893" s="82" t="s">
        <v>15828</v>
      </c>
      <c r="AY893" s="82" t="s">
        <v>15956</v>
      </c>
      <c r="AZ893" s="82" t="s">
        <v>16041</v>
      </c>
      <c r="BA893" s="82" t="s">
        <v>15984</v>
      </c>
      <c r="BB893" s="82" t="s">
        <v>15984</v>
      </c>
      <c r="BC893" s="82" t="s">
        <v>16041</v>
      </c>
      <c r="BD893" s="82" t="s">
        <v>15956</v>
      </c>
      <c r="BE893" s="77"/>
      <c r="BF893" s="77"/>
      <c r="BG893" s="77"/>
      <c r="BH893" s="77"/>
      <c r="BI893" s="77"/>
    </row>
    <row r="894" spans="1:61" x14ac:dyDescent="0.25">
      <c r="A894" s="62" t="s">
        <v>526</v>
      </c>
      <c r="B894" s="62" t="s">
        <v>526</v>
      </c>
      <c r="C894" s="63"/>
      <c r="D894" s="64"/>
      <c r="E894" s="65"/>
      <c r="F894" s="66"/>
      <c r="G894" s="63"/>
      <c r="H894" s="67"/>
      <c r="I894" s="68"/>
      <c r="J894" s="68"/>
      <c r="K894" s="32"/>
      <c r="L894" s="75">
        <v>894</v>
      </c>
      <c r="M894" s="75"/>
      <c r="N894" s="70"/>
      <c r="O894" s="77" t="s">
        <v>898</v>
      </c>
      <c r="P894" s="79">
        <v>45125.948622685188</v>
      </c>
      <c r="Q894" s="77" t="s">
        <v>1725</v>
      </c>
      <c r="R894" s="77">
        <v>0</v>
      </c>
      <c r="S894" s="77">
        <v>1</v>
      </c>
      <c r="T894" s="77">
        <v>0</v>
      </c>
      <c r="U894" s="77">
        <v>0</v>
      </c>
      <c r="V894" s="77">
        <v>4</v>
      </c>
      <c r="W894" s="82" t="s">
        <v>5276</v>
      </c>
      <c r="X894" s="80" t="str">
        <f>HYPERLINK("https://www.cartasgpt.com.br/Bradesco_Asset_Management/Carta%20do%20Gestor%20-%202023-07-01")</f>
        <v>https://www.cartasgpt.com.br/Bradesco_Asset_Management/Carta%20do%20Gestor%20-%202023-07-01</v>
      </c>
      <c r="Y894" s="77" t="s">
        <v>6470</v>
      </c>
      <c r="Z894" s="77"/>
      <c r="AA894" s="77"/>
      <c r="AB894" s="77"/>
      <c r="AC894" s="82" t="s">
        <v>7769</v>
      </c>
      <c r="AD894" s="77" t="s">
        <v>7788</v>
      </c>
      <c r="AE894" s="80" t="str">
        <f>HYPERLINK("https://twitter.com/cartasgpt/status/1681435182065152002")</f>
        <v>https://twitter.com/cartasgpt/status/1681435182065152002</v>
      </c>
      <c r="AF894" s="79">
        <v>45125.948622685188</v>
      </c>
      <c r="AG894" s="85">
        <v>45125</v>
      </c>
      <c r="AH894" s="82" t="s">
        <v>8592</v>
      </c>
      <c r="AI894" s="77" t="b">
        <v>0</v>
      </c>
      <c r="AJ894" s="77"/>
      <c r="AK894" s="77"/>
      <c r="AL894" s="77"/>
      <c r="AM894" s="77"/>
      <c r="AN894" s="77"/>
      <c r="AO894" s="77"/>
      <c r="AP894" s="77"/>
      <c r="AQ894" s="77"/>
      <c r="AR894" s="77"/>
      <c r="AS894" s="77"/>
      <c r="AT894" s="77"/>
      <c r="AU894" s="77"/>
      <c r="AV894" s="80" t="str">
        <f>HYPERLINK("https://pbs.twimg.com/profile_images/1664209895703433217/-ERlG8EG_normal.jpg")</f>
        <v>https://pbs.twimg.com/profile_images/1664209895703433217/-ERlG8EG_normal.jpg</v>
      </c>
      <c r="AW894" s="82" t="s">
        <v>12575</v>
      </c>
      <c r="AX894" s="82" t="s">
        <v>15829</v>
      </c>
      <c r="AY894" s="82" t="s">
        <v>15956</v>
      </c>
      <c r="AZ894" s="82" t="s">
        <v>16042</v>
      </c>
      <c r="BA894" s="82" t="s">
        <v>15984</v>
      </c>
      <c r="BB894" s="82" t="s">
        <v>15984</v>
      </c>
      <c r="BC894" s="82" t="s">
        <v>16042</v>
      </c>
      <c r="BD894" s="82" t="s">
        <v>15956</v>
      </c>
      <c r="BE894" s="77"/>
      <c r="BF894" s="77"/>
      <c r="BG894" s="77"/>
      <c r="BH894" s="77"/>
      <c r="BI894" s="77"/>
    </row>
    <row r="895" spans="1:61" x14ac:dyDescent="0.25">
      <c r="A895" s="62" t="s">
        <v>526</v>
      </c>
      <c r="B895" s="62" t="s">
        <v>526</v>
      </c>
      <c r="C895" s="63"/>
      <c r="D895" s="64"/>
      <c r="E895" s="65"/>
      <c r="F895" s="66"/>
      <c r="G895" s="63"/>
      <c r="H895" s="67"/>
      <c r="I895" s="68"/>
      <c r="J895" s="68"/>
      <c r="K895" s="32"/>
      <c r="L895" s="75">
        <v>895</v>
      </c>
      <c r="M895" s="75"/>
      <c r="N895" s="70"/>
      <c r="O895" s="77" t="s">
        <v>898</v>
      </c>
      <c r="P895" s="79">
        <v>45119.497696759259</v>
      </c>
      <c r="Q895" s="77" t="s">
        <v>1726</v>
      </c>
      <c r="R895" s="77">
        <v>0</v>
      </c>
      <c r="S895" s="77">
        <v>0</v>
      </c>
      <c r="T895" s="77">
        <v>0</v>
      </c>
      <c r="U895" s="77">
        <v>0</v>
      </c>
      <c r="V895" s="77">
        <v>10</v>
      </c>
      <c r="W895" s="82" t="s">
        <v>5276</v>
      </c>
      <c r="X895" s="80" t="str">
        <f>HYPERLINK("https://www.cartasgpt.com.br/SulAmerica_Investimentos/Palavras%20do%20Gestor%20-%202023-06-01")</f>
        <v>https://www.cartasgpt.com.br/SulAmerica_Investimentos/Palavras%20do%20Gestor%20-%202023-06-01</v>
      </c>
      <c r="Y895" s="77" t="s">
        <v>6470</v>
      </c>
      <c r="Z895" s="77"/>
      <c r="AA895" s="77"/>
      <c r="AB895" s="77"/>
      <c r="AC895" s="82" t="s">
        <v>7769</v>
      </c>
      <c r="AD895" s="77" t="s">
        <v>7788</v>
      </c>
      <c r="AE895" s="80" t="str">
        <f>HYPERLINK("https://twitter.com/cartasgpt/status/1679097442384396290")</f>
        <v>https://twitter.com/cartasgpt/status/1679097442384396290</v>
      </c>
      <c r="AF895" s="79">
        <v>45119.497696759259</v>
      </c>
      <c r="AG895" s="85">
        <v>45119</v>
      </c>
      <c r="AH895" s="82" t="s">
        <v>8593</v>
      </c>
      <c r="AI895" s="77" t="b">
        <v>0</v>
      </c>
      <c r="AJ895" s="77"/>
      <c r="AK895" s="77"/>
      <c r="AL895" s="77"/>
      <c r="AM895" s="77"/>
      <c r="AN895" s="77"/>
      <c r="AO895" s="77"/>
      <c r="AP895" s="77"/>
      <c r="AQ895" s="77"/>
      <c r="AR895" s="77"/>
      <c r="AS895" s="77"/>
      <c r="AT895" s="77"/>
      <c r="AU895" s="77"/>
      <c r="AV895" s="80" t="str">
        <f>HYPERLINK("https://pbs.twimg.com/profile_images/1664209895703433217/-ERlG8EG_normal.jpg")</f>
        <v>https://pbs.twimg.com/profile_images/1664209895703433217/-ERlG8EG_normal.jpg</v>
      </c>
      <c r="AW895" s="82" t="s">
        <v>12576</v>
      </c>
      <c r="AX895" s="82" t="s">
        <v>15830</v>
      </c>
      <c r="AY895" s="82" t="s">
        <v>15956</v>
      </c>
      <c r="AZ895" s="82" t="s">
        <v>16043</v>
      </c>
      <c r="BA895" s="82" t="s">
        <v>15984</v>
      </c>
      <c r="BB895" s="82" t="s">
        <v>15984</v>
      </c>
      <c r="BC895" s="82" t="s">
        <v>16043</v>
      </c>
      <c r="BD895" s="82" t="s">
        <v>15956</v>
      </c>
      <c r="BE895" s="77"/>
      <c r="BF895" s="77"/>
      <c r="BG895" s="77"/>
      <c r="BH895" s="77"/>
      <c r="BI895" s="77"/>
    </row>
    <row r="896" spans="1:61" x14ac:dyDescent="0.25">
      <c r="A896" s="62" t="s">
        <v>526</v>
      </c>
      <c r="B896" s="62" t="s">
        <v>526</v>
      </c>
      <c r="C896" s="63"/>
      <c r="D896" s="64"/>
      <c r="E896" s="65"/>
      <c r="F896" s="66"/>
      <c r="G896" s="63"/>
      <c r="H896" s="67"/>
      <c r="I896" s="68"/>
      <c r="J896" s="68"/>
      <c r="K896" s="32"/>
      <c r="L896" s="75">
        <v>896</v>
      </c>
      <c r="M896" s="75"/>
      <c r="N896" s="70"/>
      <c r="O896" s="77" t="s">
        <v>898</v>
      </c>
      <c r="P896" s="79">
        <v>45119.49759259259</v>
      </c>
      <c r="Q896" s="77" t="s">
        <v>1727</v>
      </c>
      <c r="R896" s="77">
        <v>0</v>
      </c>
      <c r="S896" s="77">
        <v>0</v>
      </c>
      <c r="T896" s="77">
        <v>0</v>
      </c>
      <c r="U896" s="77">
        <v>0</v>
      </c>
      <c r="V896" s="77">
        <v>8</v>
      </c>
      <c r="W896" s="82" t="s">
        <v>5276</v>
      </c>
      <c r="X896" s="80" t="str">
        <f>HYPERLINK("https://www.cartasgpt.com.br/JGP_Asset_Management/Carta%20Macroeconomica%20-%202023-06-01")</f>
        <v>https://www.cartasgpt.com.br/JGP_Asset_Management/Carta%20Macroeconomica%20-%202023-06-01</v>
      </c>
      <c r="Y896" s="77" t="s">
        <v>6470</v>
      </c>
      <c r="Z896" s="77"/>
      <c r="AA896" s="77"/>
      <c r="AB896" s="77"/>
      <c r="AC896" s="82" t="s">
        <v>7769</v>
      </c>
      <c r="AD896" s="77" t="s">
        <v>7788</v>
      </c>
      <c r="AE896" s="80" t="str">
        <f>HYPERLINK("https://twitter.com/cartasgpt/status/1679097407181602817")</f>
        <v>https://twitter.com/cartasgpt/status/1679097407181602817</v>
      </c>
      <c r="AF896" s="79">
        <v>45119.49759259259</v>
      </c>
      <c r="AG896" s="85">
        <v>45119</v>
      </c>
      <c r="AH896" s="82" t="s">
        <v>8594</v>
      </c>
      <c r="AI896" s="77" t="b">
        <v>0</v>
      </c>
      <c r="AJ896" s="77"/>
      <c r="AK896" s="77"/>
      <c r="AL896" s="77"/>
      <c r="AM896" s="77"/>
      <c r="AN896" s="77"/>
      <c r="AO896" s="77"/>
      <c r="AP896" s="77"/>
      <c r="AQ896" s="77"/>
      <c r="AR896" s="77"/>
      <c r="AS896" s="77"/>
      <c r="AT896" s="77"/>
      <c r="AU896" s="77"/>
      <c r="AV896" s="80" t="str">
        <f>HYPERLINK("https://pbs.twimg.com/profile_images/1664209895703433217/-ERlG8EG_normal.jpg")</f>
        <v>https://pbs.twimg.com/profile_images/1664209895703433217/-ERlG8EG_normal.jpg</v>
      </c>
      <c r="AW896" s="82" t="s">
        <v>12577</v>
      </c>
      <c r="AX896" s="82" t="s">
        <v>15831</v>
      </c>
      <c r="AY896" s="82" t="s">
        <v>15956</v>
      </c>
      <c r="AZ896" s="82" t="s">
        <v>16044</v>
      </c>
      <c r="BA896" s="82" t="s">
        <v>15984</v>
      </c>
      <c r="BB896" s="82" t="s">
        <v>15984</v>
      </c>
      <c r="BC896" s="82" t="s">
        <v>16044</v>
      </c>
      <c r="BD896" s="82" t="s">
        <v>15956</v>
      </c>
      <c r="BE896" s="77"/>
      <c r="BF896" s="77"/>
      <c r="BG896" s="77"/>
      <c r="BH896" s="77"/>
      <c r="BI896" s="77"/>
    </row>
    <row r="897" spans="1:61" x14ac:dyDescent="0.25">
      <c r="A897" s="62" t="s">
        <v>526</v>
      </c>
      <c r="B897" s="62" t="s">
        <v>526</v>
      </c>
      <c r="C897" s="63"/>
      <c r="D897" s="64"/>
      <c r="E897" s="65"/>
      <c r="F897" s="66"/>
      <c r="G897" s="63"/>
      <c r="H897" s="67"/>
      <c r="I897" s="68"/>
      <c r="J897" s="68"/>
      <c r="K897" s="32"/>
      <c r="L897" s="75">
        <v>897</v>
      </c>
      <c r="M897" s="75"/>
      <c r="N897" s="70"/>
      <c r="O897" s="77" t="s">
        <v>898</v>
      </c>
      <c r="P897" s="79">
        <v>45119.497499999998</v>
      </c>
      <c r="Q897" s="77" t="s">
        <v>1728</v>
      </c>
      <c r="R897" s="77">
        <v>0</v>
      </c>
      <c r="S897" s="77">
        <v>0</v>
      </c>
      <c r="T897" s="77">
        <v>0</v>
      </c>
      <c r="U897" s="77">
        <v>0</v>
      </c>
      <c r="V897" s="77">
        <v>8</v>
      </c>
      <c r="W897" s="82" t="s">
        <v>5276</v>
      </c>
      <c r="X897" s="80" t="str">
        <f>HYPERLINK("https://www.cartasgpt.com.br/Verde_Asset_Management/VERDE%20FIC%20FIM%20-%202023-06-01")</f>
        <v>https://www.cartasgpt.com.br/Verde_Asset_Management/VERDE%20FIC%20FIM%20-%202023-06-01</v>
      </c>
      <c r="Y897" s="77" t="s">
        <v>6470</v>
      </c>
      <c r="Z897" s="77"/>
      <c r="AA897" s="77"/>
      <c r="AB897" s="77"/>
      <c r="AC897" s="82" t="s">
        <v>7769</v>
      </c>
      <c r="AD897" s="77" t="s">
        <v>7788</v>
      </c>
      <c r="AE897" s="80" t="str">
        <f>HYPERLINK("https://twitter.com/cartasgpt/status/1679097371869736960")</f>
        <v>https://twitter.com/cartasgpt/status/1679097371869736960</v>
      </c>
      <c r="AF897" s="79">
        <v>45119.497499999998</v>
      </c>
      <c r="AG897" s="85">
        <v>45119</v>
      </c>
      <c r="AH897" s="82" t="s">
        <v>8595</v>
      </c>
      <c r="AI897" s="77" t="b">
        <v>0</v>
      </c>
      <c r="AJ897" s="77"/>
      <c r="AK897" s="77"/>
      <c r="AL897" s="77"/>
      <c r="AM897" s="77"/>
      <c r="AN897" s="77"/>
      <c r="AO897" s="77"/>
      <c r="AP897" s="77"/>
      <c r="AQ897" s="77"/>
      <c r="AR897" s="77"/>
      <c r="AS897" s="77"/>
      <c r="AT897" s="77"/>
      <c r="AU897" s="77"/>
      <c r="AV897" s="80" t="str">
        <f>HYPERLINK("https://pbs.twimg.com/profile_images/1664209895703433217/-ERlG8EG_normal.jpg")</f>
        <v>https://pbs.twimg.com/profile_images/1664209895703433217/-ERlG8EG_normal.jpg</v>
      </c>
      <c r="AW897" s="82" t="s">
        <v>12578</v>
      </c>
      <c r="AX897" s="82" t="s">
        <v>15832</v>
      </c>
      <c r="AY897" s="82" t="s">
        <v>15956</v>
      </c>
      <c r="AZ897" s="82" t="s">
        <v>16045</v>
      </c>
      <c r="BA897" s="82" t="s">
        <v>15984</v>
      </c>
      <c r="BB897" s="82" t="s">
        <v>15984</v>
      </c>
      <c r="BC897" s="82" t="s">
        <v>16045</v>
      </c>
      <c r="BD897" s="82" t="s">
        <v>15956</v>
      </c>
      <c r="BE897" s="77"/>
      <c r="BF897" s="77"/>
      <c r="BG897" s="77"/>
      <c r="BH897" s="77"/>
      <c r="BI897" s="77"/>
    </row>
    <row r="898" spans="1:61" x14ac:dyDescent="0.25">
      <c r="A898" s="62" t="s">
        <v>526</v>
      </c>
      <c r="B898" s="62" t="s">
        <v>526</v>
      </c>
      <c r="C898" s="63"/>
      <c r="D898" s="64"/>
      <c r="E898" s="65"/>
      <c r="F898" s="66"/>
      <c r="G898" s="63"/>
      <c r="H898" s="67"/>
      <c r="I898" s="68"/>
      <c r="J898" s="68"/>
      <c r="K898" s="32"/>
      <c r="L898" s="75">
        <v>898</v>
      </c>
      <c r="M898" s="75"/>
      <c r="N898" s="70"/>
      <c r="O898" s="77" t="s">
        <v>898</v>
      </c>
      <c r="P898" s="79">
        <v>45136.503506944442</v>
      </c>
      <c r="Q898" s="77" t="s">
        <v>1729</v>
      </c>
      <c r="R898" s="77">
        <v>0</v>
      </c>
      <c r="S898" s="77">
        <v>0</v>
      </c>
      <c r="T898" s="77">
        <v>0</v>
      </c>
      <c r="U898" s="77">
        <v>0</v>
      </c>
      <c r="V898" s="77">
        <v>7</v>
      </c>
      <c r="W898" s="82" t="s">
        <v>5276</v>
      </c>
      <c r="X898" s="80" t="str">
        <f>HYPERLINK("https://www.cartasgpt.com.br/IP_Capital/Relatorio%20de%20Gestao%20-%202023-07-01")</f>
        <v>https://www.cartasgpt.com.br/IP_Capital/Relatorio%20de%20Gestao%20-%202023-07-01</v>
      </c>
      <c r="Y898" s="77" t="s">
        <v>6470</v>
      </c>
      <c r="Z898" s="77"/>
      <c r="AA898" s="77"/>
      <c r="AB898" s="77"/>
      <c r="AC898" s="82" t="s">
        <v>7769</v>
      </c>
      <c r="AD898" s="77" t="s">
        <v>7788</v>
      </c>
      <c r="AE898" s="80" t="str">
        <f>HYPERLINK("https://twitter.com/cartasgpt/status/1685260142919761920")</f>
        <v>https://twitter.com/cartasgpt/status/1685260142919761920</v>
      </c>
      <c r="AF898" s="79">
        <v>45136.503506944442</v>
      </c>
      <c r="AG898" s="85">
        <v>45136</v>
      </c>
      <c r="AH898" s="82" t="s">
        <v>8596</v>
      </c>
      <c r="AI898" s="77" t="b">
        <v>0</v>
      </c>
      <c r="AJ898" s="77"/>
      <c r="AK898" s="77"/>
      <c r="AL898" s="77"/>
      <c r="AM898" s="77"/>
      <c r="AN898" s="77"/>
      <c r="AO898" s="77"/>
      <c r="AP898" s="77"/>
      <c r="AQ898" s="77"/>
      <c r="AR898" s="77"/>
      <c r="AS898" s="77"/>
      <c r="AT898" s="77"/>
      <c r="AU898" s="77"/>
      <c r="AV898" s="80" t="str">
        <f>HYPERLINK("https://pbs.twimg.com/profile_images/1664209895703433217/-ERlG8EG_normal.jpg")</f>
        <v>https://pbs.twimg.com/profile_images/1664209895703433217/-ERlG8EG_normal.jpg</v>
      </c>
      <c r="AW898" s="82" t="s">
        <v>12579</v>
      </c>
      <c r="AX898" s="82" t="s">
        <v>15833</v>
      </c>
      <c r="AY898" s="82" t="s">
        <v>15956</v>
      </c>
      <c r="AZ898" s="82" t="s">
        <v>16046</v>
      </c>
      <c r="BA898" s="82" t="s">
        <v>15984</v>
      </c>
      <c r="BB898" s="82" t="s">
        <v>15984</v>
      </c>
      <c r="BC898" s="82" t="s">
        <v>16046</v>
      </c>
      <c r="BD898" s="82" t="s">
        <v>15956</v>
      </c>
      <c r="BE898" s="77"/>
      <c r="BF898" s="77"/>
      <c r="BG898" s="77"/>
      <c r="BH898" s="77"/>
      <c r="BI898" s="77"/>
    </row>
    <row r="899" spans="1:61" x14ac:dyDescent="0.25">
      <c r="A899" s="62" t="s">
        <v>526</v>
      </c>
      <c r="B899" s="62" t="s">
        <v>526</v>
      </c>
      <c r="C899" s="63"/>
      <c r="D899" s="64"/>
      <c r="E899" s="65"/>
      <c r="F899" s="66"/>
      <c r="G899" s="63"/>
      <c r="H899" s="67"/>
      <c r="I899" s="68"/>
      <c r="J899" s="68"/>
      <c r="K899" s="32"/>
      <c r="L899" s="75">
        <v>899</v>
      </c>
      <c r="M899" s="75"/>
      <c r="N899" s="70"/>
      <c r="O899" s="77" t="s">
        <v>898</v>
      </c>
      <c r="P899" s="79">
        <v>45142.428136574075</v>
      </c>
      <c r="Q899" s="77" t="s">
        <v>1730</v>
      </c>
      <c r="R899" s="77">
        <v>0</v>
      </c>
      <c r="S899" s="77">
        <v>0</v>
      </c>
      <c r="T899" s="77">
        <v>0</v>
      </c>
      <c r="U899" s="77">
        <v>0</v>
      </c>
      <c r="V899" s="77">
        <v>14</v>
      </c>
      <c r="W899" s="82" t="s">
        <v>5276</v>
      </c>
      <c r="X899" s="80" t="str">
        <f>HYPERLINK("https://www.cartasgpt.com.br/O3_Capital/Cenario%20Global%20-%202023-07-01")</f>
        <v>https://www.cartasgpt.com.br/O3_Capital/Cenario%20Global%20-%202023-07-01</v>
      </c>
      <c r="Y899" s="77" t="s">
        <v>6470</v>
      </c>
      <c r="Z899" s="77"/>
      <c r="AA899" s="77"/>
      <c r="AB899" s="77"/>
      <c r="AC899" s="82" t="s">
        <v>7769</v>
      </c>
      <c r="AD899" s="77" t="s">
        <v>7788</v>
      </c>
      <c r="AE899" s="80" t="str">
        <f>HYPERLINK("https://twitter.com/cartasgpt/status/1687407158936354816")</f>
        <v>https://twitter.com/cartasgpt/status/1687407158936354816</v>
      </c>
      <c r="AF899" s="79">
        <v>45142.428136574075</v>
      </c>
      <c r="AG899" s="85">
        <v>45142</v>
      </c>
      <c r="AH899" s="82" t="s">
        <v>8597</v>
      </c>
      <c r="AI899" s="77" t="b">
        <v>0</v>
      </c>
      <c r="AJ899" s="77"/>
      <c r="AK899" s="77"/>
      <c r="AL899" s="77"/>
      <c r="AM899" s="77"/>
      <c r="AN899" s="77"/>
      <c r="AO899" s="77"/>
      <c r="AP899" s="77"/>
      <c r="AQ899" s="77"/>
      <c r="AR899" s="77"/>
      <c r="AS899" s="77"/>
      <c r="AT899" s="77"/>
      <c r="AU899" s="77"/>
      <c r="AV899" s="80" t="str">
        <f>HYPERLINK("https://pbs.twimg.com/profile_images/1664209895703433217/-ERlG8EG_normal.jpg")</f>
        <v>https://pbs.twimg.com/profile_images/1664209895703433217/-ERlG8EG_normal.jpg</v>
      </c>
      <c r="AW899" s="82" t="s">
        <v>12580</v>
      </c>
      <c r="AX899" s="82" t="s">
        <v>15834</v>
      </c>
      <c r="AY899" s="82" t="s">
        <v>15956</v>
      </c>
      <c r="AZ899" s="82" t="s">
        <v>16047</v>
      </c>
      <c r="BA899" s="82" t="s">
        <v>15984</v>
      </c>
      <c r="BB899" s="82" t="s">
        <v>15984</v>
      </c>
      <c r="BC899" s="82" t="s">
        <v>16047</v>
      </c>
      <c r="BD899" s="82" t="s">
        <v>15956</v>
      </c>
      <c r="BE899" s="77"/>
      <c r="BF899" s="77"/>
      <c r="BG899" s="77"/>
      <c r="BH899" s="77"/>
      <c r="BI899" s="77"/>
    </row>
    <row r="900" spans="1:61" x14ac:dyDescent="0.25">
      <c r="A900" s="62" t="s">
        <v>526</v>
      </c>
      <c r="B900" s="62" t="s">
        <v>526</v>
      </c>
      <c r="C900" s="63"/>
      <c r="D900" s="64"/>
      <c r="E900" s="65"/>
      <c r="F900" s="66"/>
      <c r="G900" s="63"/>
      <c r="H900" s="67"/>
      <c r="I900" s="68"/>
      <c r="J900" s="68"/>
      <c r="K900" s="32"/>
      <c r="L900" s="75">
        <v>900</v>
      </c>
      <c r="M900" s="75"/>
      <c r="N900" s="70"/>
      <c r="O900" s="77" t="s">
        <v>898</v>
      </c>
      <c r="P900" s="79">
        <v>45142.428055555552</v>
      </c>
      <c r="Q900" s="77" t="s">
        <v>1731</v>
      </c>
      <c r="R900" s="77">
        <v>0</v>
      </c>
      <c r="S900" s="77">
        <v>0</v>
      </c>
      <c r="T900" s="77">
        <v>0</v>
      </c>
      <c r="U900" s="77">
        <v>0</v>
      </c>
      <c r="V900" s="77">
        <v>14</v>
      </c>
      <c r="W900" s="82" t="s">
        <v>5276</v>
      </c>
      <c r="X900" s="80" t="str">
        <f>HYPERLINK("https://www.cartasgpt.com.br/Legacy_Capital/Carta%20Mensal%20-%202023-07-01")</f>
        <v>https://www.cartasgpt.com.br/Legacy_Capital/Carta%20Mensal%20-%202023-07-01</v>
      </c>
      <c r="Y900" s="77" t="s">
        <v>6470</v>
      </c>
      <c r="Z900" s="77"/>
      <c r="AA900" s="77"/>
      <c r="AB900" s="77"/>
      <c r="AC900" s="82" t="s">
        <v>7769</v>
      </c>
      <c r="AD900" s="77" t="s">
        <v>7788</v>
      </c>
      <c r="AE900" s="80" t="str">
        <f>HYPERLINK("https://twitter.com/cartasgpt/status/1687407126279491584")</f>
        <v>https://twitter.com/cartasgpt/status/1687407126279491584</v>
      </c>
      <c r="AF900" s="79">
        <v>45142.428055555552</v>
      </c>
      <c r="AG900" s="85">
        <v>45142</v>
      </c>
      <c r="AH900" s="82" t="s">
        <v>8598</v>
      </c>
      <c r="AI900" s="77" t="b">
        <v>0</v>
      </c>
      <c r="AJ900" s="77"/>
      <c r="AK900" s="77"/>
      <c r="AL900" s="77"/>
      <c r="AM900" s="77"/>
      <c r="AN900" s="77"/>
      <c r="AO900" s="77"/>
      <c r="AP900" s="77"/>
      <c r="AQ900" s="77"/>
      <c r="AR900" s="77"/>
      <c r="AS900" s="77"/>
      <c r="AT900" s="77"/>
      <c r="AU900" s="77"/>
      <c r="AV900" s="80" t="str">
        <f>HYPERLINK("https://pbs.twimg.com/profile_images/1664209895703433217/-ERlG8EG_normal.jpg")</f>
        <v>https://pbs.twimg.com/profile_images/1664209895703433217/-ERlG8EG_normal.jpg</v>
      </c>
      <c r="AW900" s="82" t="s">
        <v>12581</v>
      </c>
      <c r="AX900" s="82" t="s">
        <v>15835</v>
      </c>
      <c r="AY900" s="82" t="s">
        <v>15956</v>
      </c>
      <c r="AZ900" s="82" t="s">
        <v>16048</v>
      </c>
      <c r="BA900" s="82" t="s">
        <v>15984</v>
      </c>
      <c r="BB900" s="82" t="s">
        <v>15984</v>
      </c>
      <c r="BC900" s="82" t="s">
        <v>16048</v>
      </c>
      <c r="BD900" s="82" t="s">
        <v>15956</v>
      </c>
      <c r="BE900" s="77"/>
      <c r="BF900" s="77"/>
      <c r="BG900" s="77"/>
      <c r="BH900" s="77"/>
      <c r="BI900" s="77"/>
    </row>
    <row r="901" spans="1:61" x14ac:dyDescent="0.25">
      <c r="A901" s="62" t="s">
        <v>526</v>
      </c>
      <c r="B901" s="62" t="s">
        <v>526</v>
      </c>
      <c r="C901" s="63"/>
      <c r="D901" s="64"/>
      <c r="E901" s="65"/>
      <c r="F901" s="66"/>
      <c r="G901" s="63"/>
      <c r="H901" s="67"/>
      <c r="I901" s="68"/>
      <c r="J901" s="68"/>
      <c r="K901" s="32"/>
      <c r="L901" s="75">
        <v>901</v>
      </c>
      <c r="M901" s="75"/>
      <c r="N901" s="70"/>
      <c r="O901" s="77" t="s">
        <v>898</v>
      </c>
      <c r="P901" s="79">
        <v>45142.427928240744</v>
      </c>
      <c r="Q901" s="77" t="s">
        <v>1732</v>
      </c>
      <c r="R901" s="77">
        <v>0</v>
      </c>
      <c r="S901" s="77">
        <v>1</v>
      </c>
      <c r="T901" s="77">
        <v>0</v>
      </c>
      <c r="U901" s="77">
        <v>0</v>
      </c>
      <c r="V901" s="77">
        <v>10</v>
      </c>
      <c r="W901" s="82" t="s">
        <v>5276</v>
      </c>
      <c r="X901" s="80" t="str">
        <f>HYPERLINK("https://www.cartasgpt.com.br/Gap_Asset/Relatorio%20de%20Gestao%20-%202023-07-01")</f>
        <v>https://www.cartasgpt.com.br/Gap_Asset/Relatorio%20de%20Gestao%20-%202023-07-01</v>
      </c>
      <c r="Y901" s="77" t="s">
        <v>6470</v>
      </c>
      <c r="Z901" s="77"/>
      <c r="AA901" s="77"/>
      <c r="AB901" s="77"/>
      <c r="AC901" s="82" t="s">
        <v>7769</v>
      </c>
      <c r="AD901" s="77" t="s">
        <v>7788</v>
      </c>
      <c r="AE901" s="80" t="str">
        <f>HYPERLINK("https://twitter.com/cartasgpt/status/1687407083334094849")</f>
        <v>https://twitter.com/cartasgpt/status/1687407083334094849</v>
      </c>
      <c r="AF901" s="79">
        <v>45142.427928240744</v>
      </c>
      <c r="AG901" s="85">
        <v>45142</v>
      </c>
      <c r="AH901" s="82" t="s">
        <v>8599</v>
      </c>
      <c r="AI901" s="77" t="b">
        <v>0</v>
      </c>
      <c r="AJ901" s="77"/>
      <c r="AK901" s="77"/>
      <c r="AL901" s="77"/>
      <c r="AM901" s="77"/>
      <c r="AN901" s="77"/>
      <c r="AO901" s="77"/>
      <c r="AP901" s="77"/>
      <c r="AQ901" s="77"/>
      <c r="AR901" s="77"/>
      <c r="AS901" s="77"/>
      <c r="AT901" s="77"/>
      <c r="AU901" s="77"/>
      <c r="AV901" s="80" t="str">
        <f>HYPERLINK("https://pbs.twimg.com/profile_images/1664209895703433217/-ERlG8EG_normal.jpg")</f>
        <v>https://pbs.twimg.com/profile_images/1664209895703433217/-ERlG8EG_normal.jpg</v>
      </c>
      <c r="AW901" s="82" t="s">
        <v>12582</v>
      </c>
      <c r="AX901" s="82" t="s">
        <v>15836</v>
      </c>
      <c r="AY901" s="82" t="s">
        <v>15956</v>
      </c>
      <c r="AZ901" s="82" t="s">
        <v>16049</v>
      </c>
      <c r="BA901" s="82" t="s">
        <v>15984</v>
      </c>
      <c r="BB901" s="82" t="s">
        <v>15984</v>
      </c>
      <c r="BC901" s="82" t="s">
        <v>16049</v>
      </c>
      <c r="BD901" s="82" t="s">
        <v>15956</v>
      </c>
      <c r="BE901" s="77"/>
      <c r="BF901" s="77"/>
      <c r="BG901" s="77"/>
      <c r="BH901" s="77"/>
      <c r="BI901" s="77"/>
    </row>
    <row r="902" spans="1:61" x14ac:dyDescent="0.25">
      <c r="A902" s="62" t="s">
        <v>526</v>
      </c>
      <c r="B902" s="62" t="s">
        <v>526</v>
      </c>
      <c r="C902" s="63"/>
      <c r="D902" s="64"/>
      <c r="E902" s="65"/>
      <c r="F902" s="66"/>
      <c r="G902" s="63"/>
      <c r="H902" s="67"/>
      <c r="I902" s="68"/>
      <c r="J902" s="68"/>
      <c r="K902" s="32"/>
      <c r="L902" s="75">
        <v>902</v>
      </c>
      <c r="M902" s="75"/>
      <c r="N902" s="70"/>
      <c r="O902" s="77" t="s">
        <v>898</v>
      </c>
      <c r="P902" s="79">
        <v>45140.071909722225</v>
      </c>
      <c r="Q902" s="77" t="s">
        <v>1733</v>
      </c>
      <c r="R902" s="77">
        <v>0</v>
      </c>
      <c r="S902" s="77">
        <v>0</v>
      </c>
      <c r="T902" s="77">
        <v>0</v>
      </c>
      <c r="U902" s="77">
        <v>0</v>
      </c>
      <c r="V902" s="77">
        <v>10</v>
      </c>
      <c r="W902" s="82" t="s">
        <v>5276</v>
      </c>
      <c r="X902" s="80" t="str">
        <f>HYPERLINK("https://www.cartasgpt.com.br/Occam_Brasil/Carta%20Mensal%20-%202023-07-01")</f>
        <v>https://www.cartasgpt.com.br/Occam_Brasil/Carta%20Mensal%20-%202023-07-01</v>
      </c>
      <c r="Y902" s="77" t="s">
        <v>6470</v>
      </c>
      <c r="Z902" s="77"/>
      <c r="AA902" s="77"/>
      <c r="AB902" s="77"/>
      <c r="AC902" s="82" t="s">
        <v>7769</v>
      </c>
      <c r="AD902" s="77" t="s">
        <v>7788</v>
      </c>
      <c r="AE902" s="80" t="str">
        <f>HYPERLINK("https://twitter.com/cartasgpt/status/1686553288739524608")</f>
        <v>https://twitter.com/cartasgpt/status/1686553288739524608</v>
      </c>
      <c r="AF902" s="79">
        <v>45140.071909722225</v>
      </c>
      <c r="AG902" s="85">
        <v>45140</v>
      </c>
      <c r="AH902" s="82" t="s">
        <v>8600</v>
      </c>
      <c r="AI902" s="77" t="b">
        <v>0</v>
      </c>
      <c r="AJ902" s="77"/>
      <c r="AK902" s="77"/>
      <c r="AL902" s="77"/>
      <c r="AM902" s="77"/>
      <c r="AN902" s="77"/>
      <c r="AO902" s="77"/>
      <c r="AP902" s="77"/>
      <c r="AQ902" s="77"/>
      <c r="AR902" s="77"/>
      <c r="AS902" s="77"/>
      <c r="AT902" s="77"/>
      <c r="AU902" s="77"/>
      <c r="AV902" s="80" t="str">
        <f>HYPERLINK("https://pbs.twimg.com/profile_images/1664209895703433217/-ERlG8EG_normal.jpg")</f>
        <v>https://pbs.twimg.com/profile_images/1664209895703433217/-ERlG8EG_normal.jpg</v>
      </c>
      <c r="AW902" s="82" t="s">
        <v>12583</v>
      </c>
      <c r="AX902" s="82" t="s">
        <v>15837</v>
      </c>
      <c r="AY902" s="82" t="s">
        <v>15956</v>
      </c>
      <c r="AZ902" s="82" t="s">
        <v>16050</v>
      </c>
      <c r="BA902" s="82" t="s">
        <v>15984</v>
      </c>
      <c r="BB902" s="82" t="s">
        <v>15984</v>
      </c>
      <c r="BC902" s="82" t="s">
        <v>16050</v>
      </c>
      <c r="BD902" s="82" t="s">
        <v>15956</v>
      </c>
      <c r="BE902" s="77"/>
      <c r="BF902" s="77"/>
      <c r="BG902" s="77"/>
      <c r="BH902" s="77"/>
      <c r="BI902" s="77"/>
    </row>
    <row r="903" spans="1:61" x14ac:dyDescent="0.25">
      <c r="A903" s="62" t="s">
        <v>526</v>
      </c>
      <c r="B903" s="62" t="s">
        <v>526</v>
      </c>
      <c r="C903" s="63"/>
      <c r="D903" s="64"/>
      <c r="E903" s="65"/>
      <c r="F903" s="66"/>
      <c r="G903" s="63"/>
      <c r="H903" s="67"/>
      <c r="I903" s="68"/>
      <c r="J903" s="68"/>
      <c r="K903" s="32"/>
      <c r="L903" s="75">
        <v>903</v>
      </c>
      <c r="M903" s="75"/>
      <c r="N903" s="70"/>
      <c r="O903" s="77" t="s">
        <v>898</v>
      </c>
      <c r="P903" s="79">
        <v>45143.606817129628</v>
      </c>
      <c r="Q903" s="77" t="s">
        <v>1734</v>
      </c>
      <c r="R903" s="77">
        <v>0</v>
      </c>
      <c r="S903" s="77">
        <v>0</v>
      </c>
      <c r="T903" s="77">
        <v>0</v>
      </c>
      <c r="U903" s="77">
        <v>0</v>
      </c>
      <c r="V903" s="77">
        <v>24</v>
      </c>
      <c r="W903" s="82" t="s">
        <v>5276</v>
      </c>
      <c r="X903" s="80" t="str">
        <f>HYPERLINK("https://www.cartasgpt.com.br/BV_Asset/Carta%20do%20Gestor%20-%202023-07-01")</f>
        <v>https://www.cartasgpt.com.br/BV_Asset/Carta%20do%20Gestor%20-%202023-07-01</v>
      </c>
      <c r="Y903" s="77" t="s">
        <v>6470</v>
      </c>
      <c r="Z903" s="77"/>
      <c r="AA903" s="77"/>
      <c r="AB903" s="77"/>
      <c r="AC903" s="82" t="s">
        <v>7769</v>
      </c>
      <c r="AD903" s="77" t="s">
        <v>7788</v>
      </c>
      <c r="AE903" s="80" t="str">
        <f>HYPERLINK("https://twitter.com/cartasgpt/status/1687834298207064064")</f>
        <v>https://twitter.com/cartasgpt/status/1687834298207064064</v>
      </c>
      <c r="AF903" s="79">
        <v>45143.606817129628</v>
      </c>
      <c r="AG903" s="85">
        <v>45143</v>
      </c>
      <c r="AH903" s="82" t="s">
        <v>8601</v>
      </c>
      <c r="AI903" s="77" t="b">
        <v>0</v>
      </c>
      <c r="AJ903" s="77"/>
      <c r="AK903" s="77"/>
      <c r="AL903" s="77"/>
      <c r="AM903" s="77"/>
      <c r="AN903" s="77"/>
      <c r="AO903" s="77"/>
      <c r="AP903" s="77"/>
      <c r="AQ903" s="77"/>
      <c r="AR903" s="77"/>
      <c r="AS903" s="77"/>
      <c r="AT903" s="77"/>
      <c r="AU903" s="77"/>
      <c r="AV903" s="80" t="str">
        <f>HYPERLINK("https://pbs.twimg.com/profile_images/1664209895703433217/-ERlG8EG_normal.jpg")</f>
        <v>https://pbs.twimg.com/profile_images/1664209895703433217/-ERlG8EG_normal.jpg</v>
      </c>
      <c r="AW903" s="82" t="s">
        <v>12584</v>
      </c>
      <c r="AX903" s="82" t="s">
        <v>15838</v>
      </c>
      <c r="AY903" s="82" t="s">
        <v>15956</v>
      </c>
      <c r="AZ903" s="82" t="s">
        <v>16051</v>
      </c>
      <c r="BA903" s="82" t="s">
        <v>15984</v>
      </c>
      <c r="BB903" s="82" t="s">
        <v>15984</v>
      </c>
      <c r="BC903" s="82" t="s">
        <v>16051</v>
      </c>
      <c r="BD903" s="82" t="s">
        <v>15956</v>
      </c>
      <c r="BE903" s="77"/>
      <c r="BF903" s="77"/>
      <c r="BG903" s="77"/>
      <c r="BH903" s="77"/>
      <c r="BI903" s="77"/>
    </row>
    <row r="904" spans="1:61" x14ac:dyDescent="0.25">
      <c r="A904" s="62" t="s">
        <v>527</v>
      </c>
      <c r="B904" s="62" t="s">
        <v>527</v>
      </c>
      <c r="C904" s="63"/>
      <c r="D904" s="64"/>
      <c r="E904" s="65"/>
      <c r="F904" s="66"/>
      <c r="G904" s="63"/>
      <c r="H904" s="67"/>
      <c r="I904" s="68"/>
      <c r="J904" s="68"/>
      <c r="K904" s="32"/>
      <c r="L904" s="75">
        <v>904</v>
      </c>
      <c r="M904" s="75"/>
      <c r="N904" s="70"/>
      <c r="O904" s="77" t="s">
        <v>179</v>
      </c>
      <c r="P904" s="79">
        <v>45182.541689814818</v>
      </c>
      <c r="Q904" s="77" t="s">
        <v>1735</v>
      </c>
      <c r="R904" s="77">
        <v>1</v>
      </c>
      <c r="S904" s="77">
        <v>4</v>
      </c>
      <c r="T904" s="77">
        <v>0</v>
      </c>
      <c r="U904" s="77">
        <v>0</v>
      </c>
      <c r="V904" s="77">
        <v>241</v>
      </c>
      <c r="W904" s="82" t="s">
        <v>5277</v>
      </c>
      <c r="X904" s="77"/>
      <c r="Y904" s="77"/>
      <c r="Z904" s="77"/>
      <c r="AA904" s="77" t="s">
        <v>7136</v>
      </c>
      <c r="AB904" s="77" t="s">
        <v>7742</v>
      </c>
      <c r="AC904" s="82" t="s">
        <v>7750</v>
      </c>
      <c r="AD904" s="77" t="s">
        <v>7788</v>
      </c>
      <c r="AE904" s="80" t="str">
        <f>HYPERLINK("https://twitter.com/drancelmoramos/status/1701943821217468616")</f>
        <v>https://twitter.com/drancelmoramos/status/1701943821217468616</v>
      </c>
      <c r="AF904" s="79">
        <v>45182.541689814818</v>
      </c>
      <c r="AG904" s="85">
        <v>45182</v>
      </c>
      <c r="AH904" s="82" t="s">
        <v>8312</v>
      </c>
      <c r="AI904" s="77" t="b">
        <v>0</v>
      </c>
      <c r="AJ904" s="77"/>
      <c r="AK904" s="77"/>
      <c r="AL904" s="77"/>
      <c r="AM904" s="77"/>
      <c r="AN904" s="77"/>
      <c r="AO904" s="77"/>
      <c r="AP904" s="77"/>
      <c r="AQ904" s="77" t="s">
        <v>11108</v>
      </c>
      <c r="AR904" s="77"/>
      <c r="AS904" s="77"/>
      <c r="AT904" s="77"/>
      <c r="AU904" s="77"/>
      <c r="AV904" s="80" t="str">
        <f>HYPERLINK("https://pbs.twimg.com/media/F5w-N4QXMAANNtM.jpg")</f>
        <v>https://pbs.twimg.com/media/F5w-N4QXMAANNtM.jpg</v>
      </c>
      <c r="AW904" s="82" t="s">
        <v>12585</v>
      </c>
      <c r="AX904" s="82" t="s">
        <v>12585</v>
      </c>
      <c r="AY904" s="77"/>
      <c r="AZ904" s="82" t="s">
        <v>15984</v>
      </c>
      <c r="BA904" s="82" t="s">
        <v>15984</v>
      </c>
      <c r="BB904" s="82" t="s">
        <v>15984</v>
      </c>
      <c r="BC904" s="82" t="s">
        <v>12585</v>
      </c>
      <c r="BD904" s="82" t="s">
        <v>16278</v>
      </c>
      <c r="BE904" s="77"/>
      <c r="BF904" s="77"/>
      <c r="BG904" s="77"/>
      <c r="BH904" s="77"/>
      <c r="BI904" s="77"/>
    </row>
    <row r="905" spans="1:61" x14ac:dyDescent="0.25">
      <c r="A905" s="62" t="s">
        <v>528</v>
      </c>
      <c r="B905" s="62" t="s">
        <v>755</v>
      </c>
      <c r="C905" s="63"/>
      <c r="D905" s="64"/>
      <c r="E905" s="65"/>
      <c r="F905" s="66"/>
      <c r="G905" s="63"/>
      <c r="H905" s="67"/>
      <c r="I905" s="68"/>
      <c r="J905" s="68"/>
      <c r="K905" s="32"/>
      <c r="L905" s="75">
        <v>905</v>
      </c>
      <c r="M905" s="75"/>
      <c r="N905" s="70"/>
      <c r="O905" s="77" t="s">
        <v>895</v>
      </c>
      <c r="P905" s="79">
        <v>45157.039513888885</v>
      </c>
      <c r="Q905" s="77" t="s">
        <v>1736</v>
      </c>
      <c r="R905" s="77">
        <v>0</v>
      </c>
      <c r="S905" s="77">
        <v>0</v>
      </c>
      <c r="T905" s="77">
        <v>0</v>
      </c>
      <c r="U905" s="77">
        <v>0</v>
      </c>
      <c r="V905" s="77">
        <v>3</v>
      </c>
      <c r="W905" s="82" t="s">
        <v>5278</v>
      </c>
      <c r="X905" s="80" t="str">
        <f>HYPERLINK("https://youtube.com/shorts/qchfU9t9Hpc?feature=share")</f>
        <v>https://youtube.com/shorts/qchfU9t9Hpc?feature=share</v>
      </c>
      <c r="Y905" s="77" t="s">
        <v>6480</v>
      </c>
      <c r="Z905" s="77" t="s">
        <v>755</v>
      </c>
      <c r="AA905" s="77"/>
      <c r="AB905" s="77"/>
      <c r="AC905" s="82" t="s">
        <v>7750</v>
      </c>
      <c r="AD905" s="77" t="s">
        <v>7788</v>
      </c>
      <c r="AE905" s="80" t="str">
        <f>HYPERLINK("https://twitter.com/elton_placido/status/1692702145185755430")</f>
        <v>https://twitter.com/elton_placido/status/1692702145185755430</v>
      </c>
      <c r="AF905" s="79">
        <v>45157.039513888885</v>
      </c>
      <c r="AG905" s="85">
        <v>45157</v>
      </c>
      <c r="AH905" s="82" t="s">
        <v>8602</v>
      </c>
      <c r="AI905" s="77" t="b">
        <v>0</v>
      </c>
      <c r="AJ905" s="77"/>
      <c r="AK905" s="77"/>
      <c r="AL905" s="77"/>
      <c r="AM905" s="77"/>
      <c r="AN905" s="77"/>
      <c r="AO905" s="77"/>
      <c r="AP905" s="77"/>
      <c r="AQ905" s="77"/>
      <c r="AR905" s="77"/>
      <c r="AS905" s="77"/>
      <c r="AT905" s="77"/>
      <c r="AU905" s="77"/>
      <c r="AV905" s="80" t="str">
        <f>HYPERLINK("https://pbs.twimg.com/profile_images/1599437576594751492/HMoHuMtB_normal.jpg")</f>
        <v>https://pbs.twimg.com/profile_images/1599437576594751492/HMoHuMtB_normal.jpg</v>
      </c>
      <c r="AW905" s="82" t="s">
        <v>12586</v>
      </c>
      <c r="AX905" s="82" t="s">
        <v>12586</v>
      </c>
      <c r="AY905" s="77"/>
      <c r="AZ905" s="82" t="s">
        <v>15984</v>
      </c>
      <c r="BA905" s="82" t="s">
        <v>15984</v>
      </c>
      <c r="BB905" s="82" t="s">
        <v>15984</v>
      </c>
      <c r="BC905" s="82" t="s">
        <v>12586</v>
      </c>
      <c r="BD905" s="82" t="s">
        <v>16279</v>
      </c>
      <c r="BE905" s="77"/>
      <c r="BF905" s="77"/>
      <c r="BG905" s="77"/>
      <c r="BH905" s="77"/>
      <c r="BI905" s="77"/>
    </row>
    <row r="906" spans="1:61" x14ac:dyDescent="0.25">
      <c r="A906" s="62" t="s">
        <v>528</v>
      </c>
      <c r="B906" s="62" t="s">
        <v>755</v>
      </c>
      <c r="C906" s="63"/>
      <c r="D906" s="64"/>
      <c r="E906" s="65"/>
      <c r="F906" s="66"/>
      <c r="G906" s="63"/>
      <c r="H906" s="67"/>
      <c r="I906" s="68"/>
      <c r="J906" s="68"/>
      <c r="K906" s="32"/>
      <c r="L906" s="75">
        <v>906</v>
      </c>
      <c r="M906" s="75"/>
      <c r="N906" s="70"/>
      <c r="O906" s="77" t="s">
        <v>895</v>
      </c>
      <c r="P906" s="79">
        <v>45191.892858796295</v>
      </c>
      <c r="Q906" s="77" t="s">
        <v>1737</v>
      </c>
      <c r="R906" s="77">
        <v>0</v>
      </c>
      <c r="S906" s="77">
        <v>0</v>
      </c>
      <c r="T906" s="77">
        <v>0</v>
      </c>
      <c r="U906" s="77">
        <v>0</v>
      </c>
      <c r="V906" s="77">
        <v>10</v>
      </c>
      <c r="W906" s="82" t="s">
        <v>5279</v>
      </c>
      <c r="X906" s="80" t="str">
        <f>HYPERLINK("https://youtu.be/n9rVd-yAtZk?si=MlMH4hgi_2QMlaIJ")</f>
        <v>https://youtu.be/n9rVd-yAtZk?si=MlMH4hgi_2QMlaIJ</v>
      </c>
      <c r="Y906" s="77" t="s">
        <v>6472</v>
      </c>
      <c r="Z906" s="77" t="s">
        <v>755</v>
      </c>
      <c r="AA906" s="77"/>
      <c r="AB906" s="77"/>
      <c r="AC906" s="82" t="s">
        <v>7750</v>
      </c>
      <c r="AD906" s="77" t="s">
        <v>7788</v>
      </c>
      <c r="AE906" s="80" t="str">
        <f>HYPERLINK("https://twitter.com/elton_placido/status/1705332571305877897")</f>
        <v>https://twitter.com/elton_placido/status/1705332571305877897</v>
      </c>
      <c r="AF906" s="79">
        <v>45191.892858796295</v>
      </c>
      <c r="AG906" s="85">
        <v>45191</v>
      </c>
      <c r="AH906" s="82" t="s">
        <v>8603</v>
      </c>
      <c r="AI906" s="77" t="b">
        <v>0</v>
      </c>
      <c r="AJ906" s="77"/>
      <c r="AK906" s="77"/>
      <c r="AL906" s="77"/>
      <c r="AM906" s="77"/>
      <c r="AN906" s="77"/>
      <c r="AO906" s="77"/>
      <c r="AP906" s="77"/>
      <c r="AQ906" s="77"/>
      <c r="AR906" s="77"/>
      <c r="AS906" s="77"/>
      <c r="AT906" s="77"/>
      <c r="AU906" s="77"/>
      <c r="AV906" s="80" t="str">
        <f>HYPERLINK("https://pbs.twimg.com/profile_images/1599437576594751492/HMoHuMtB_normal.jpg")</f>
        <v>https://pbs.twimg.com/profile_images/1599437576594751492/HMoHuMtB_normal.jpg</v>
      </c>
      <c r="AW906" s="82" t="s">
        <v>12587</v>
      </c>
      <c r="AX906" s="82" t="s">
        <v>12587</v>
      </c>
      <c r="AY906" s="77"/>
      <c r="AZ906" s="82" t="s">
        <v>15984</v>
      </c>
      <c r="BA906" s="82" t="s">
        <v>15984</v>
      </c>
      <c r="BB906" s="82" t="s">
        <v>15984</v>
      </c>
      <c r="BC906" s="82" t="s">
        <v>12587</v>
      </c>
      <c r="BD906" s="82" t="s">
        <v>16279</v>
      </c>
      <c r="BE906" s="77"/>
      <c r="BF906" s="77"/>
      <c r="BG906" s="77"/>
      <c r="BH906" s="77"/>
      <c r="BI906" s="77"/>
    </row>
    <row r="907" spans="1:61" x14ac:dyDescent="0.25">
      <c r="A907" s="62" t="s">
        <v>528</v>
      </c>
      <c r="B907" s="62" t="s">
        <v>755</v>
      </c>
      <c r="C907" s="63"/>
      <c r="D907" s="64"/>
      <c r="E907" s="65"/>
      <c r="F907" s="66"/>
      <c r="G907" s="63"/>
      <c r="H907" s="67"/>
      <c r="I907" s="68"/>
      <c r="J907" s="68"/>
      <c r="K907" s="32"/>
      <c r="L907" s="75">
        <v>907</v>
      </c>
      <c r="M907" s="75"/>
      <c r="N907" s="70"/>
      <c r="O907" s="77" t="s">
        <v>895</v>
      </c>
      <c r="P907" s="79">
        <v>45197.525335648148</v>
      </c>
      <c r="Q907" s="77" t="s">
        <v>1738</v>
      </c>
      <c r="R907" s="77">
        <v>0</v>
      </c>
      <c r="S907" s="77">
        <v>0</v>
      </c>
      <c r="T907" s="77">
        <v>0</v>
      </c>
      <c r="U907" s="77">
        <v>0</v>
      </c>
      <c r="V907" s="77">
        <v>16</v>
      </c>
      <c r="W907" s="82" t="s">
        <v>5280</v>
      </c>
      <c r="X907" s="80" t="str">
        <f>HYPERLINK("https://youtu.be/6CNfkqTR8ow?si=dV60Mxfn9WcYBqGL")</f>
        <v>https://youtu.be/6CNfkqTR8ow?si=dV60Mxfn9WcYBqGL</v>
      </c>
      <c r="Y907" s="77" t="s">
        <v>6472</v>
      </c>
      <c r="Z907" s="77" t="s">
        <v>755</v>
      </c>
      <c r="AA907" s="77"/>
      <c r="AB907" s="77"/>
      <c r="AC907" s="82" t="s">
        <v>7750</v>
      </c>
      <c r="AD907" s="77" t="s">
        <v>7788</v>
      </c>
      <c r="AE907" s="80" t="str">
        <f>HYPERLINK("https://twitter.com/elton_placido/status/1707373712222072951")</f>
        <v>https://twitter.com/elton_placido/status/1707373712222072951</v>
      </c>
      <c r="AF907" s="79">
        <v>45197.525335648148</v>
      </c>
      <c r="AG907" s="85">
        <v>45197</v>
      </c>
      <c r="AH907" s="82" t="s">
        <v>8604</v>
      </c>
      <c r="AI907" s="77" t="b">
        <v>0</v>
      </c>
      <c r="AJ907" s="77"/>
      <c r="AK907" s="77"/>
      <c r="AL907" s="77"/>
      <c r="AM907" s="77"/>
      <c r="AN907" s="77"/>
      <c r="AO907" s="77"/>
      <c r="AP907" s="77"/>
      <c r="AQ907" s="77"/>
      <c r="AR907" s="77"/>
      <c r="AS907" s="77"/>
      <c r="AT907" s="77"/>
      <c r="AU907" s="77"/>
      <c r="AV907" s="80" t="str">
        <f>HYPERLINK("https://pbs.twimg.com/profile_images/1599437576594751492/HMoHuMtB_normal.jpg")</f>
        <v>https://pbs.twimg.com/profile_images/1599437576594751492/HMoHuMtB_normal.jpg</v>
      </c>
      <c r="AW907" s="82" t="s">
        <v>12588</v>
      </c>
      <c r="AX907" s="82" t="s">
        <v>12588</v>
      </c>
      <c r="AY907" s="77"/>
      <c r="AZ907" s="82" t="s">
        <v>15984</v>
      </c>
      <c r="BA907" s="82" t="s">
        <v>15984</v>
      </c>
      <c r="BB907" s="82" t="s">
        <v>15984</v>
      </c>
      <c r="BC907" s="82" t="s">
        <v>12588</v>
      </c>
      <c r="BD907" s="82" t="s">
        <v>16279</v>
      </c>
      <c r="BE907" s="77"/>
      <c r="BF907" s="77"/>
      <c r="BG907" s="77"/>
      <c r="BH907" s="77"/>
      <c r="BI907" s="77"/>
    </row>
    <row r="908" spans="1:61" x14ac:dyDescent="0.25">
      <c r="A908" s="62" t="s">
        <v>529</v>
      </c>
      <c r="B908" s="62" t="s">
        <v>529</v>
      </c>
      <c r="C908" s="63"/>
      <c r="D908" s="64"/>
      <c r="E908" s="65"/>
      <c r="F908" s="66"/>
      <c r="G908" s="63"/>
      <c r="H908" s="67"/>
      <c r="I908" s="68"/>
      <c r="J908" s="68"/>
      <c r="K908" s="32"/>
      <c r="L908" s="75">
        <v>908</v>
      </c>
      <c r="M908" s="75"/>
      <c r="N908" s="70"/>
      <c r="O908" s="77" t="s">
        <v>179</v>
      </c>
      <c r="P908" s="79">
        <v>45187.538055555553</v>
      </c>
      <c r="Q908" s="77" t="s">
        <v>1739</v>
      </c>
      <c r="R908" s="77">
        <v>6</v>
      </c>
      <c r="S908" s="77">
        <v>42</v>
      </c>
      <c r="T908" s="77">
        <v>3</v>
      </c>
      <c r="U908" s="77">
        <v>2</v>
      </c>
      <c r="V908" s="77">
        <v>7872</v>
      </c>
      <c r="W908" s="82" t="s">
        <v>5281</v>
      </c>
      <c r="X908" s="77"/>
      <c r="Y908" s="77"/>
      <c r="Z908" s="77"/>
      <c r="AA908" s="77" t="s">
        <v>7137</v>
      </c>
      <c r="AB908" s="77" t="s">
        <v>7743</v>
      </c>
      <c r="AC908" s="82" t="s">
        <v>7750</v>
      </c>
      <c r="AD908" s="77" t="s">
        <v>7788</v>
      </c>
      <c r="AE908" s="80" t="str">
        <f>HYPERLINK("https://twitter.com/ricamconsult/status/1703754444926517576")</f>
        <v>https://twitter.com/ricamconsult/status/1703754444926517576</v>
      </c>
      <c r="AF908" s="79">
        <v>45187.538055555553</v>
      </c>
      <c r="AG908" s="85">
        <v>45187</v>
      </c>
      <c r="AH908" s="82" t="s">
        <v>8605</v>
      </c>
      <c r="AI908" s="77" t="b">
        <v>0</v>
      </c>
      <c r="AJ908" s="77"/>
      <c r="AK908" s="77"/>
      <c r="AL908" s="77"/>
      <c r="AM908" s="77"/>
      <c r="AN908" s="77"/>
      <c r="AO908" s="77"/>
      <c r="AP908" s="77"/>
      <c r="AQ908" s="77" t="s">
        <v>11109</v>
      </c>
      <c r="AR908" s="77">
        <v>51166</v>
      </c>
      <c r="AS908" s="77"/>
      <c r="AT908" s="77"/>
      <c r="AU908" s="77"/>
      <c r="AV908" s="80" t="str">
        <f>HYPERLINK("https://pbs.twimg.com/ext_tw_video_thumb/1703754288441229312/pu/img/TrBbg7jeMR2L63Gx.jpg")</f>
        <v>https://pbs.twimg.com/ext_tw_video_thumb/1703754288441229312/pu/img/TrBbg7jeMR2L63Gx.jpg</v>
      </c>
      <c r="AW908" s="82" t="s">
        <v>12589</v>
      </c>
      <c r="AX908" s="82" t="s">
        <v>12589</v>
      </c>
      <c r="AY908" s="77"/>
      <c r="AZ908" s="82" t="s">
        <v>15984</v>
      </c>
      <c r="BA908" s="82" t="s">
        <v>15984</v>
      </c>
      <c r="BB908" s="82" t="s">
        <v>15984</v>
      </c>
      <c r="BC908" s="82" t="s">
        <v>12589</v>
      </c>
      <c r="BD908" s="77">
        <v>160910872</v>
      </c>
      <c r="BE908" s="77"/>
      <c r="BF908" s="77"/>
      <c r="BG908" s="77"/>
      <c r="BH908" s="77"/>
      <c r="BI908" s="77"/>
    </row>
    <row r="909" spans="1:61" x14ac:dyDescent="0.25">
      <c r="A909" s="62" t="s">
        <v>530</v>
      </c>
      <c r="B909" s="62" t="s">
        <v>530</v>
      </c>
      <c r="C909" s="63"/>
      <c r="D909" s="64"/>
      <c r="E909" s="65"/>
      <c r="F909" s="66"/>
      <c r="G909" s="63"/>
      <c r="H909" s="67"/>
      <c r="I909" s="68"/>
      <c r="J909" s="68"/>
      <c r="K909" s="32"/>
      <c r="L909" s="75">
        <v>909</v>
      </c>
      <c r="M909" s="75"/>
      <c r="N909" s="70"/>
      <c r="O909" s="77" t="s">
        <v>179</v>
      </c>
      <c r="P909" s="79">
        <v>45139.98510416667</v>
      </c>
      <c r="Q909" s="77" t="s">
        <v>1740</v>
      </c>
      <c r="R909" s="77">
        <v>0</v>
      </c>
      <c r="S909" s="77">
        <v>0</v>
      </c>
      <c r="T909" s="77">
        <v>0</v>
      </c>
      <c r="U909" s="77">
        <v>0</v>
      </c>
      <c r="V909" s="77">
        <v>54</v>
      </c>
      <c r="W909" s="82" t="s">
        <v>5282</v>
      </c>
      <c r="X909" s="80" t="str">
        <f>HYPERLINK("https://economicnewsbrasil.com.br/2023/08/01/mercado-financeiro-dolar-sobe-1269-e-ibovespa-cai-analise-do-mercado-01-08/")</f>
        <v>https://economicnewsbrasil.com.br/2023/08/01/mercado-financeiro-dolar-sobe-1269-e-ibovespa-cai-analise-do-mercado-01-08/</v>
      </c>
      <c r="Y909" s="77" t="s">
        <v>6470</v>
      </c>
      <c r="Z909" s="77"/>
      <c r="AA909" s="77"/>
      <c r="AB909" s="77"/>
      <c r="AC909" s="82" t="s">
        <v>7770</v>
      </c>
      <c r="AD909" s="77" t="s">
        <v>7788</v>
      </c>
      <c r="AE909" s="80" t="str">
        <f>HYPERLINK("https://twitter.com/economicnewsbr/status/1686521833116381184")</f>
        <v>https://twitter.com/economicnewsbr/status/1686521833116381184</v>
      </c>
      <c r="AF909" s="79">
        <v>45139.98510416667</v>
      </c>
      <c r="AG909" s="85">
        <v>45139</v>
      </c>
      <c r="AH909" s="82" t="s">
        <v>8606</v>
      </c>
      <c r="AI909" s="77" t="b">
        <v>0</v>
      </c>
      <c r="AJ909" s="77"/>
      <c r="AK909" s="77"/>
      <c r="AL909" s="77"/>
      <c r="AM909" s="77"/>
      <c r="AN909" s="77"/>
      <c r="AO909" s="77"/>
      <c r="AP909" s="77"/>
      <c r="AQ909" s="77"/>
      <c r="AR909" s="77"/>
      <c r="AS909" s="77"/>
      <c r="AT909" s="77"/>
      <c r="AU909" s="77"/>
      <c r="AV909" s="80" t="str">
        <f>HYPERLINK("https://pbs.twimg.com/profile_images/1211027151870402560/9JIqaKmf_normal.jpg")</f>
        <v>https://pbs.twimg.com/profile_images/1211027151870402560/9JIqaKmf_normal.jpg</v>
      </c>
      <c r="AW909" s="82" t="s">
        <v>12590</v>
      </c>
      <c r="AX909" s="82" t="s">
        <v>12590</v>
      </c>
      <c r="AY909" s="77"/>
      <c r="AZ909" s="82" t="s">
        <v>15984</v>
      </c>
      <c r="BA909" s="82" t="s">
        <v>15984</v>
      </c>
      <c r="BB909" s="82" t="s">
        <v>15984</v>
      </c>
      <c r="BC909" s="82" t="s">
        <v>12590</v>
      </c>
      <c r="BD909" s="82" t="s">
        <v>16280</v>
      </c>
      <c r="BE909" s="77"/>
      <c r="BF909" s="77"/>
      <c r="BG909" s="77"/>
      <c r="BH909" s="77"/>
      <c r="BI909" s="77"/>
    </row>
    <row r="910" spans="1:61" x14ac:dyDescent="0.25">
      <c r="A910" s="62" t="s">
        <v>530</v>
      </c>
      <c r="B910" s="62" t="s">
        <v>530</v>
      </c>
      <c r="C910" s="63"/>
      <c r="D910" s="64"/>
      <c r="E910" s="65"/>
      <c r="F910" s="66"/>
      <c r="G910" s="63"/>
      <c r="H910" s="67"/>
      <c r="I910" s="68"/>
      <c r="J910" s="68"/>
      <c r="K910" s="32"/>
      <c r="L910" s="75">
        <v>910</v>
      </c>
      <c r="M910" s="75"/>
      <c r="N910" s="70"/>
      <c r="O910" s="77" t="s">
        <v>179</v>
      </c>
      <c r="P910" s="79">
        <v>45139.977870370371</v>
      </c>
      <c r="Q910" s="77" t="s">
        <v>1741</v>
      </c>
      <c r="R910" s="77">
        <v>0</v>
      </c>
      <c r="S910" s="77">
        <v>1</v>
      </c>
      <c r="T910" s="77">
        <v>0</v>
      </c>
      <c r="U910" s="77">
        <v>0</v>
      </c>
      <c r="V910" s="77">
        <v>54</v>
      </c>
      <c r="W910" s="82" t="s">
        <v>5282</v>
      </c>
      <c r="X910" s="80" t="str">
        <f>HYPERLINK("https://economicnewsbrasil.com.br/2023/08/01/mercado-financeiro-dolar-sobe-1269-e-ibovespa-cai-analise-do-mercado-01-08/")</f>
        <v>https://economicnewsbrasil.com.br/2023/08/01/mercado-financeiro-dolar-sobe-1269-e-ibovespa-cai-analise-do-mercado-01-08/</v>
      </c>
      <c r="Y910" s="77" t="s">
        <v>6470</v>
      </c>
      <c r="Z910" s="77"/>
      <c r="AA910" s="77" t="s">
        <v>7138</v>
      </c>
      <c r="AB910" s="77" t="s">
        <v>7742</v>
      </c>
      <c r="AC910" s="82" t="s">
        <v>7770</v>
      </c>
      <c r="AD910" s="77" t="s">
        <v>7788</v>
      </c>
      <c r="AE910" s="80" t="str">
        <f>HYPERLINK("https://twitter.com/economicnewsbr/status/1686519211034591232")</f>
        <v>https://twitter.com/economicnewsbr/status/1686519211034591232</v>
      </c>
      <c r="AF910" s="79">
        <v>45139.977870370371</v>
      </c>
      <c r="AG910" s="85">
        <v>45139</v>
      </c>
      <c r="AH910" s="82" t="s">
        <v>8607</v>
      </c>
      <c r="AI910" s="77" t="b">
        <v>0</v>
      </c>
      <c r="AJ910" s="77"/>
      <c r="AK910" s="77"/>
      <c r="AL910" s="77"/>
      <c r="AM910" s="77"/>
      <c r="AN910" s="77"/>
      <c r="AO910" s="77"/>
      <c r="AP910" s="77"/>
      <c r="AQ910" s="77" t="s">
        <v>11110</v>
      </c>
      <c r="AR910" s="77"/>
      <c r="AS910" s="77"/>
      <c r="AT910" s="77"/>
      <c r="AU910" s="77"/>
      <c r="AV910" s="80" t="str">
        <f>HYPERLINK("https://pbs.twimg.com/media/F2e4SQFWUAASFW5.jpg")</f>
        <v>https://pbs.twimg.com/media/F2e4SQFWUAASFW5.jpg</v>
      </c>
      <c r="AW910" s="82" t="s">
        <v>12591</v>
      </c>
      <c r="AX910" s="82" t="s">
        <v>12591</v>
      </c>
      <c r="AY910" s="77"/>
      <c r="AZ910" s="82" t="s">
        <v>15984</v>
      </c>
      <c r="BA910" s="82" t="s">
        <v>15984</v>
      </c>
      <c r="BB910" s="82" t="s">
        <v>15984</v>
      </c>
      <c r="BC910" s="82" t="s">
        <v>12591</v>
      </c>
      <c r="BD910" s="82" t="s">
        <v>16280</v>
      </c>
      <c r="BE910" s="77"/>
      <c r="BF910" s="77"/>
      <c r="BG910" s="77"/>
      <c r="BH910" s="77"/>
      <c r="BI910" s="77"/>
    </row>
    <row r="911" spans="1:61" x14ac:dyDescent="0.25">
      <c r="A911" s="62" t="s">
        <v>530</v>
      </c>
      <c r="B911" s="62" t="s">
        <v>530</v>
      </c>
      <c r="C911" s="63"/>
      <c r="D911" s="64"/>
      <c r="E911" s="65"/>
      <c r="F911" s="66"/>
      <c r="G911" s="63"/>
      <c r="H911" s="67"/>
      <c r="I911" s="68"/>
      <c r="J911" s="68"/>
      <c r="K911" s="32"/>
      <c r="L911" s="75">
        <v>911</v>
      </c>
      <c r="M911" s="75"/>
      <c r="N911" s="70"/>
      <c r="O911" s="77" t="s">
        <v>179</v>
      </c>
      <c r="P911" s="79">
        <v>45154.957326388889</v>
      </c>
      <c r="Q911" s="77" t="s">
        <v>1742</v>
      </c>
      <c r="R911" s="77">
        <v>0</v>
      </c>
      <c r="S911" s="77">
        <v>0</v>
      </c>
      <c r="T911" s="77">
        <v>1</v>
      </c>
      <c r="U911" s="77">
        <v>0</v>
      </c>
      <c r="V911" s="77">
        <v>25</v>
      </c>
      <c r="W911" s="82" t="s">
        <v>5283</v>
      </c>
      <c r="X911" s="80" t="str">
        <f>HYPERLINK("https://economicnewsbrasil.com.br/2023/08/16/wall-street-em-queda-divergencias-no-fed-impactam-mercado/")</f>
        <v>https://economicnewsbrasil.com.br/2023/08/16/wall-street-em-queda-divergencias-no-fed-impactam-mercado/</v>
      </c>
      <c r="Y911" s="77" t="s">
        <v>6470</v>
      </c>
      <c r="Z911" s="77"/>
      <c r="AA911" s="77" t="s">
        <v>7139</v>
      </c>
      <c r="AB911" s="77" t="s">
        <v>7742</v>
      </c>
      <c r="AC911" s="82" t="s">
        <v>7770</v>
      </c>
      <c r="AD911" s="77" t="s">
        <v>7788</v>
      </c>
      <c r="AE911" s="80" t="str">
        <f>HYPERLINK("https://twitter.com/economicnewsbr/status/1691947585752207461")</f>
        <v>https://twitter.com/economicnewsbr/status/1691947585752207461</v>
      </c>
      <c r="AF911" s="79">
        <v>45154.957326388889</v>
      </c>
      <c r="AG911" s="85">
        <v>45154</v>
      </c>
      <c r="AH911" s="82" t="s">
        <v>8608</v>
      </c>
      <c r="AI911" s="77" t="b">
        <v>0</v>
      </c>
      <c r="AJ911" s="77"/>
      <c r="AK911" s="77"/>
      <c r="AL911" s="77"/>
      <c r="AM911" s="77"/>
      <c r="AN911" s="77"/>
      <c r="AO911" s="77"/>
      <c r="AP911" s="77"/>
      <c r="AQ911" s="77" t="s">
        <v>11111</v>
      </c>
      <c r="AR911" s="77"/>
      <c r="AS911" s="77"/>
      <c r="AT911" s="77"/>
      <c r="AU911" s="77"/>
      <c r="AV911" s="80" t="str">
        <f>HYPERLINK("https://pbs.twimg.com/media/F3sBXOZX0AEvQYN.jpg")</f>
        <v>https://pbs.twimg.com/media/F3sBXOZX0AEvQYN.jpg</v>
      </c>
      <c r="AW911" s="82" t="s">
        <v>12592</v>
      </c>
      <c r="AX911" s="82" t="s">
        <v>12592</v>
      </c>
      <c r="AY911" s="77"/>
      <c r="AZ911" s="82" t="s">
        <v>15984</v>
      </c>
      <c r="BA911" s="82" t="s">
        <v>15984</v>
      </c>
      <c r="BB911" s="82" t="s">
        <v>15984</v>
      </c>
      <c r="BC911" s="82" t="s">
        <v>12592</v>
      </c>
      <c r="BD911" s="82" t="s">
        <v>16280</v>
      </c>
      <c r="BE911" s="77"/>
      <c r="BF911" s="77"/>
      <c r="BG911" s="77"/>
      <c r="BH911" s="77"/>
      <c r="BI911" s="77"/>
    </row>
    <row r="912" spans="1:61" x14ac:dyDescent="0.25">
      <c r="A912" s="62" t="s">
        <v>530</v>
      </c>
      <c r="B912" s="62" t="s">
        <v>530</v>
      </c>
      <c r="C912" s="63"/>
      <c r="D912" s="64"/>
      <c r="E912" s="65"/>
      <c r="F912" s="66"/>
      <c r="G912" s="63"/>
      <c r="H912" s="67"/>
      <c r="I912" s="68"/>
      <c r="J912" s="68"/>
      <c r="K912" s="32"/>
      <c r="L912" s="75">
        <v>912</v>
      </c>
      <c r="M912" s="75"/>
      <c r="N912" s="70"/>
      <c r="O912" s="77" t="s">
        <v>179</v>
      </c>
      <c r="P912" s="79">
        <v>45148.627453703702</v>
      </c>
      <c r="Q912" s="77" t="s">
        <v>1743</v>
      </c>
      <c r="R912" s="77">
        <v>0</v>
      </c>
      <c r="S912" s="77">
        <v>0</v>
      </c>
      <c r="T912" s="77">
        <v>0</v>
      </c>
      <c r="U912" s="77">
        <v>0</v>
      </c>
      <c r="V912" s="77">
        <v>12</v>
      </c>
      <c r="W912" s="82" t="s">
        <v>5284</v>
      </c>
      <c r="X912" s="80" t="str">
        <f>HYPERLINK("https://economicnewsbrasil.com.br/?p=82201")</f>
        <v>https://economicnewsbrasil.com.br/?p=82201</v>
      </c>
      <c r="Y912" s="77" t="s">
        <v>6470</v>
      </c>
      <c r="Z912" s="77"/>
      <c r="AA912" s="77" t="s">
        <v>7140</v>
      </c>
      <c r="AB912" s="77" t="s">
        <v>7742</v>
      </c>
      <c r="AC912" s="82" t="s">
        <v>7770</v>
      </c>
      <c r="AD912" s="77" t="s">
        <v>7788</v>
      </c>
      <c r="AE912" s="80" t="str">
        <f>HYPERLINK("https://twitter.com/economicnewsbr/status/1689653715429658625")</f>
        <v>https://twitter.com/economicnewsbr/status/1689653715429658625</v>
      </c>
      <c r="AF912" s="79">
        <v>45148.627453703702</v>
      </c>
      <c r="AG912" s="85">
        <v>45148</v>
      </c>
      <c r="AH912" s="82" t="s">
        <v>8609</v>
      </c>
      <c r="AI912" s="77" t="b">
        <v>0</v>
      </c>
      <c r="AJ912" s="77"/>
      <c r="AK912" s="77"/>
      <c r="AL912" s="77"/>
      <c r="AM912" s="77"/>
      <c r="AN912" s="77"/>
      <c r="AO912" s="77"/>
      <c r="AP912" s="77"/>
      <c r="AQ912" s="77" t="s">
        <v>11112</v>
      </c>
      <c r="AR912" s="77"/>
      <c r="AS912" s="77"/>
      <c r="AT912" s="77"/>
      <c r="AU912" s="77"/>
      <c r="AV912" s="80" t="str">
        <f>HYPERLINK("https://pbs.twimg.com/media/F3LbGbAa4AAaaVB.jpg")</f>
        <v>https://pbs.twimg.com/media/F3LbGbAa4AAaaVB.jpg</v>
      </c>
      <c r="AW912" s="82" t="s">
        <v>12593</v>
      </c>
      <c r="AX912" s="82" t="s">
        <v>12593</v>
      </c>
      <c r="AY912" s="77"/>
      <c r="AZ912" s="82" t="s">
        <v>15984</v>
      </c>
      <c r="BA912" s="82" t="s">
        <v>15984</v>
      </c>
      <c r="BB912" s="82" t="s">
        <v>15984</v>
      </c>
      <c r="BC912" s="82" t="s">
        <v>12593</v>
      </c>
      <c r="BD912" s="82" t="s">
        <v>16280</v>
      </c>
      <c r="BE912" s="77"/>
      <c r="BF912" s="77"/>
      <c r="BG912" s="77"/>
      <c r="BH912" s="77"/>
      <c r="BI912" s="77"/>
    </row>
    <row r="913" spans="1:61" x14ac:dyDescent="0.25">
      <c r="A913" s="62" t="s">
        <v>530</v>
      </c>
      <c r="B913" s="62" t="s">
        <v>530</v>
      </c>
      <c r="C913" s="63"/>
      <c r="D913" s="64"/>
      <c r="E913" s="65"/>
      <c r="F913" s="66"/>
      <c r="G913" s="63"/>
      <c r="H913" s="67"/>
      <c r="I913" s="68"/>
      <c r="J913" s="68"/>
      <c r="K913" s="32"/>
      <c r="L913" s="75">
        <v>913</v>
      </c>
      <c r="M913" s="75"/>
      <c r="N913" s="70"/>
      <c r="O913" s="77" t="s">
        <v>179</v>
      </c>
      <c r="P913" s="79">
        <v>45169.950023148151</v>
      </c>
      <c r="Q913" s="77" t="s">
        <v>1744</v>
      </c>
      <c r="R913" s="77">
        <v>0</v>
      </c>
      <c r="S913" s="77">
        <v>0</v>
      </c>
      <c r="T913" s="77">
        <v>0</v>
      </c>
      <c r="U913" s="77">
        <v>0</v>
      </c>
      <c r="V913" s="77">
        <v>23</v>
      </c>
      <c r="W913" s="82" t="s">
        <v>5285</v>
      </c>
      <c r="X913" s="80" t="str">
        <f>HYPERLINK("https://economicnewsbrasil.com.br/2023/08/31/mercado-financeiro-dolar-sobe-e-ibovespa-recua-em-153/")</f>
        <v>https://economicnewsbrasil.com.br/2023/08/31/mercado-financeiro-dolar-sobe-e-ibovespa-recua-em-153/</v>
      </c>
      <c r="Y913" s="77" t="s">
        <v>6470</v>
      </c>
      <c r="Z913" s="77"/>
      <c r="AA913" s="77"/>
      <c r="AB913" s="77"/>
      <c r="AC913" s="82" t="s">
        <v>7770</v>
      </c>
      <c r="AD913" s="77" t="s">
        <v>7788</v>
      </c>
      <c r="AE913" s="80" t="str">
        <f>HYPERLINK("https://twitter.com/economicnewsbr/status/1697380755179995388")</f>
        <v>https://twitter.com/economicnewsbr/status/1697380755179995388</v>
      </c>
      <c r="AF913" s="79">
        <v>45169.950023148151</v>
      </c>
      <c r="AG913" s="85">
        <v>45169</v>
      </c>
      <c r="AH913" s="82" t="s">
        <v>8610</v>
      </c>
      <c r="AI913" s="77" t="b">
        <v>0</v>
      </c>
      <c r="AJ913" s="77"/>
      <c r="AK913" s="77"/>
      <c r="AL913" s="77"/>
      <c r="AM913" s="77"/>
      <c r="AN913" s="77"/>
      <c r="AO913" s="77"/>
      <c r="AP913" s="77"/>
      <c r="AQ913" s="77"/>
      <c r="AR913" s="77"/>
      <c r="AS913" s="77"/>
      <c r="AT913" s="77"/>
      <c r="AU913" s="77"/>
      <c r="AV913" s="80" t="str">
        <f>HYPERLINK("https://pbs.twimg.com/profile_images/1211027151870402560/9JIqaKmf_normal.jpg")</f>
        <v>https://pbs.twimg.com/profile_images/1211027151870402560/9JIqaKmf_normal.jpg</v>
      </c>
      <c r="AW913" s="82" t="s">
        <v>12594</v>
      </c>
      <c r="AX913" s="82" t="s">
        <v>12594</v>
      </c>
      <c r="AY913" s="77"/>
      <c r="AZ913" s="82" t="s">
        <v>15984</v>
      </c>
      <c r="BA913" s="82" t="s">
        <v>15984</v>
      </c>
      <c r="BB913" s="82" t="s">
        <v>15984</v>
      </c>
      <c r="BC913" s="82" t="s">
        <v>12594</v>
      </c>
      <c r="BD913" s="82" t="s">
        <v>16280</v>
      </c>
      <c r="BE913" s="77"/>
      <c r="BF913" s="77"/>
      <c r="BG913" s="77"/>
      <c r="BH913" s="77"/>
      <c r="BI913" s="77"/>
    </row>
    <row r="914" spans="1:61" x14ac:dyDescent="0.25">
      <c r="A914" s="62" t="s">
        <v>530</v>
      </c>
      <c r="B914" s="62" t="s">
        <v>530</v>
      </c>
      <c r="C914" s="63"/>
      <c r="D914" s="64"/>
      <c r="E914" s="65"/>
      <c r="F914" s="66"/>
      <c r="G914" s="63"/>
      <c r="H914" s="67"/>
      <c r="I914" s="68"/>
      <c r="J914" s="68"/>
      <c r="K914" s="32"/>
      <c r="L914" s="75">
        <v>914</v>
      </c>
      <c r="M914" s="75"/>
      <c r="N914" s="70"/>
      <c r="O914" s="77" t="s">
        <v>179</v>
      </c>
      <c r="P914" s="79">
        <v>45168.041388888887</v>
      </c>
      <c r="Q914" s="77" t="s">
        <v>1745</v>
      </c>
      <c r="R914" s="77">
        <v>0</v>
      </c>
      <c r="S914" s="77">
        <v>0</v>
      </c>
      <c r="T914" s="77">
        <v>0</v>
      </c>
      <c r="U914" s="77">
        <v>0</v>
      </c>
      <c r="V914" s="77">
        <v>18</v>
      </c>
      <c r="W914" s="82" t="s">
        <v>5286</v>
      </c>
      <c r="X914" s="80" t="str">
        <f>HYPERLINK("https://economicnewsbrasil.com.br/2023/08/29/mercado-financeiro-dolar-em-queda-e-ibovespa-tem-alta-confira-mais/")</f>
        <v>https://economicnewsbrasil.com.br/2023/08/29/mercado-financeiro-dolar-em-queda-e-ibovespa-tem-alta-confira-mais/</v>
      </c>
      <c r="Y914" s="77" t="s">
        <v>6470</v>
      </c>
      <c r="Z914" s="77"/>
      <c r="AA914" s="77"/>
      <c r="AB914" s="77"/>
      <c r="AC914" s="82" t="s">
        <v>7770</v>
      </c>
      <c r="AD914" s="77" t="s">
        <v>7788</v>
      </c>
      <c r="AE914" s="80" t="str">
        <f>HYPERLINK("https://twitter.com/economicnewsbr/status/1696689088537964582")</f>
        <v>https://twitter.com/economicnewsbr/status/1696689088537964582</v>
      </c>
      <c r="AF914" s="79">
        <v>45168.041388888887</v>
      </c>
      <c r="AG914" s="85">
        <v>45168</v>
      </c>
      <c r="AH914" s="82" t="s">
        <v>8611</v>
      </c>
      <c r="AI914" s="77" t="b">
        <v>0</v>
      </c>
      <c r="AJ914" s="77"/>
      <c r="AK914" s="77"/>
      <c r="AL914" s="77"/>
      <c r="AM914" s="77"/>
      <c r="AN914" s="77"/>
      <c r="AO914" s="77"/>
      <c r="AP914" s="77"/>
      <c r="AQ914" s="77"/>
      <c r="AR914" s="77"/>
      <c r="AS914" s="77"/>
      <c r="AT914" s="77"/>
      <c r="AU914" s="77"/>
      <c r="AV914" s="80" t="str">
        <f>HYPERLINK("https://pbs.twimg.com/profile_images/1211027151870402560/9JIqaKmf_normal.jpg")</f>
        <v>https://pbs.twimg.com/profile_images/1211027151870402560/9JIqaKmf_normal.jpg</v>
      </c>
      <c r="AW914" s="82" t="s">
        <v>12595</v>
      </c>
      <c r="AX914" s="82" t="s">
        <v>12595</v>
      </c>
      <c r="AY914" s="77"/>
      <c r="AZ914" s="82" t="s">
        <v>15984</v>
      </c>
      <c r="BA914" s="82" t="s">
        <v>15984</v>
      </c>
      <c r="BB914" s="82" t="s">
        <v>15984</v>
      </c>
      <c r="BC914" s="82" t="s">
        <v>12595</v>
      </c>
      <c r="BD914" s="82" t="s">
        <v>16280</v>
      </c>
      <c r="BE914" s="77"/>
      <c r="BF914" s="77"/>
      <c r="BG914" s="77"/>
      <c r="BH914" s="77"/>
      <c r="BI914" s="77"/>
    </row>
    <row r="915" spans="1:61" x14ac:dyDescent="0.25">
      <c r="A915" s="62" t="s">
        <v>530</v>
      </c>
      <c r="B915" s="62" t="s">
        <v>530</v>
      </c>
      <c r="C915" s="63"/>
      <c r="D915" s="64"/>
      <c r="E915" s="65"/>
      <c r="F915" s="66"/>
      <c r="G915" s="63"/>
      <c r="H915" s="67"/>
      <c r="I915" s="68"/>
      <c r="J915" s="68"/>
      <c r="K915" s="32"/>
      <c r="L915" s="75">
        <v>915</v>
      </c>
      <c r="M915" s="75"/>
      <c r="N915" s="70"/>
      <c r="O915" s="77" t="s">
        <v>179</v>
      </c>
      <c r="P915" s="79">
        <v>45175.925000000003</v>
      </c>
      <c r="Q915" s="77" t="s">
        <v>1746</v>
      </c>
      <c r="R915" s="77">
        <v>0</v>
      </c>
      <c r="S915" s="77">
        <v>0</v>
      </c>
      <c r="T915" s="77">
        <v>0</v>
      </c>
      <c r="U915" s="77">
        <v>0</v>
      </c>
      <c r="V915" s="77">
        <v>10</v>
      </c>
      <c r="W915" s="82" t="s">
        <v>5287</v>
      </c>
      <c r="X915" s="80" t="str">
        <f>HYPERLINK("https://economicnewsbrasil.com.br/2023/09/06/dolar-e-ibovespa-hoje-analise-do-mercado-financeiro-06-09/")</f>
        <v>https://economicnewsbrasil.com.br/2023/09/06/dolar-e-ibovespa-hoje-analise-do-mercado-financeiro-06-09/</v>
      </c>
      <c r="Y915" s="77" t="s">
        <v>6470</v>
      </c>
      <c r="Z915" s="77"/>
      <c r="AA915" s="77" t="s">
        <v>7141</v>
      </c>
      <c r="AB915" s="77" t="s">
        <v>7742</v>
      </c>
      <c r="AC915" s="82" t="s">
        <v>7770</v>
      </c>
      <c r="AD915" s="77" t="s">
        <v>7788</v>
      </c>
      <c r="AE915" s="80" t="str">
        <f>HYPERLINK("https://twitter.com/economicnewsbr/status/1699546015785730376")</f>
        <v>https://twitter.com/economicnewsbr/status/1699546015785730376</v>
      </c>
      <c r="AF915" s="79">
        <v>45175.925000000003</v>
      </c>
      <c r="AG915" s="85">
        <v>45175</v>
      </c>
      <c r="AH915" s="82" t="s">
        <v>8612</v>
      </c>
      <c r="AI915" s="77" t="b">
        <v>0</v>
      </c>
      <c r="AJ915" s="77"/>
      <c r="AK915" s="77"/>
      <c r="AL915" s="77"/>
      <c r="AM915" s="77"/>
      <c r="AN915" s="77"/>
      <c r="AO915" s="77"/>
      <c r="AP915" s="77"/>
      <c r="AQ915" s="77" t="s">
        <v>11113</v>
      </c>
      <c r="AR915" s="77"/>
      <c r="AS915" s="77"/>
      <c r="AT915" s="77"/>
      <c r="AU915" s="77"/>
      <c r="AV915" s="80" t="str">
        <f>HYPERLINK("https://pbs.twimg.com/media/F5YAGFnWAAAycBi.jpg")</f>
        <v>https://pbs.twimg.com/media/F5YAGFnWAAAycBi.jpg</v>
      </c>
      <c r="AW915" s="82" t="s">
        <v>12596</v>
      </c>
      <c r="AX915" s="82" t="s">
        <v>12596</v>
      </c>
      <c r="AY915" s="77"/>
      <c r="AZ915" s="82" t="s">
        <v>15984</v>
      </c>
      <c r="BA915" s="82" t="s">
        <v>15984</v>
      </c>
      <c r="BB915" s="82" t="s">
        <v>15984</v>
      </c>
      <c r="BC915" s="82" t="s">
        <v>12596</v>
      </c>
      <c r="BD915" s="82" t="s">
        <v>16280</v>
      </c>
      <c r="BE915" s="77"/>
      <c r="BF915" s="77"/>
      <c r="BG915" s="77"/>
      <c r="BH915" s="77"/>
      <c r="BI915" s="77"/>
    </row>
    <row r="916" spans="1:61" x14ac:dyDescent="0.25">
      <c r="A916" s="62" t="s">
        <v>530</v>
      </c>
      <c r="B916" s="62" t="s">
        <v>530</v>
      </c>
      <c r="C916" s="63"/>
      <c r="D916" s="64"/>
      <c r="E916" s="65"/>
      <c r="F916" s="66"/>
      <c r="G916" s="63"/>
      <c r="H916" s="67"/>
      <c r="I916" s="68"/>
      <c r="J916" s="68"/>
      <c r="K916" s="32"/>
      <c r="L916" s="75">
        <v>916</v>
      </c>
      <c r="M916" s="75"/>
      <c r="N916" s="70"/>
      <c r="O916" s="77" t="s">
        <v>179</v>
      </c>
      <c r="P916" s="79">
        <v>45175.924525462964</v>
      </c>
      <c r="Q916" s="77" t="s">
        <v>1747</v>
      </c>
      <c r="R916" s="77">
        <v>0</v>
      </c>
      <c r="S916" s="77">
        <v>0</v>
      </c>
      <c r="T916" s="77">
        <v>0</v>
      </c>
      <c r="U916" s="77">
        <v>0</v>
      </c>
      <c r="V916" s="77">
        <v>6</v>
      </c>
      <c r="W916" s="82" t="s">
        <v>5287</v>
      </c>
      <c r="X916" s="80" t="str">
        <f>HYPERLINK("https://economicnewsbrasil.com.br/2023/09/06/dolar-e-ibovespa-hoje-analise-do-mercado-financeiro-06-09/")</f>
        <v>https://economicnewsbrasil.com.br/2023/09/06/dolar-e-ibovespa-hoje-analise-do-mercado-financeiro-06-09/</v>
      </c>
      <c r="Y916" s="77" t="s">
        <v>6470</v>
      </c>
      <c r="Z916" s="77"/>
      <c r="AA916" s="77" t="s">
        <v>7142</v>
      </c>
      <c r="AB916" s="77" t="s">
        <v>7742</v>
      </c>
      <c r="AC916" s="82" t="s">
        <v>7770</v>
      </c>
      <c r="AD916" s="77" t="s">
        <v>7788</v>
      </c>
      <c r="AE916" s="80" t="str">
        <f>HYPERLINK("https://twitter.com/economicnewsbr/status/1699545843269771542")</f>
        <v>https://twitter.com/economicnewsbr/status/1699545843269771542</v>
      </c>
      <c r="AF916" s="79">
        <v>45175.924525462964</v>
      </c>
      <c r="AG916" s="85">
        <v>45175</v>
      </c>
      <c r="AH916" s="82" t="s">
        <v>8613</v>
      </c>
      <c r="AI916" s="77" t="b">
        <v>0</v>
      </c>
      <c r="AJ916" s="77"/>
      <c r="AK916" s="77"/>
      <c r="AL916" s="77"/>
      <c r="AM916" s="77"/>
      <c r="AN916" s="77"/>
      <c r="AO916" s="77"/>
      <c r="AP916" s="77"/>
      <c r="AQ916" s="77" t="s">
        <v>11114</v>
      </c>
      <c r="AR916" s="77"/>
      <c r="AS916" s="77"/>
      <c r="AT916" s="77"/>
      <c r="AU916" s="77"/>
      <c r="AV916" s="80" t="str">
        <f>HYPERLINK("https://pbs.twimg.com/media/F5X_8B9WQAEEfXQ.jpg")</f>
        <v>https://pbs.twimg.com/media/F5X_8B9WQAEEfXQ.jpg</v>
      </c>
      <c r="AW916" s="82" t="s">
        <v>12597</v>
      </c>
      <c r="AX916" s="82" t="s">
        <v>12597</v>
      </c>
      <c r="AY916" s="77"/>
      <c r="AZ916" s="82" t="s">
        <v>15984</v>
      </c>
      <c r="BA916" s="82" t="s">
        <v>15984</v>
      </c>
      <c r="BB916" s="82" t="s">
        <v>15984</v>
      </c>
      <c r="BC916" s="82" t="s">
        <v>12597</v>
      </c>
      <c r="BD916" s="82" t="s">
        <v>16280</v>
      </c>
      <c r="BE916" s="77"/>
      <c r="BF916" s="77"/>
      <c r="BG916" s="77"/>
      <c r="BH916" s="77"/>
      <c r="BI916" s="77"/>
    </row>
    <row r="917" spans="1:61" x14ac:dyDescent="0.25">
      <c r="A917" s="62" t="s">
        <v>530</v>
      </c>
      <c r="B917" s="62" t="s">
        <v>530</v>
      </c>
      <c r="C917" s="63"/>
      <c r="D917" s="64"/>
      <c r="E917" s="65"/>
      <c r="F917" s="66"/>
      <c r="G917" s="63"/>
      <c r="H917" s="67"/>
      <c r="I917" s="68"/>
      <c r="J917" s="68"/>
      <c r="K917" s="32"/>
      <c r="L917" s="75">
        <v>917</v>
      </c>
      <c r="M917" s="75"/>
      <c r="N917" s="70"/>
      <c r="O917" s="77" t="s">
        <v>179</v>
      </c>
      <c r="P917" s="79">
        <v>45183.723993055559</v>
      </c>
      <c r="Q917" s="77" t="s">
        <v>1748</v>
      </c>
      <c r="R917" s="77">
        <v>0</v>
      </c>
      <c r="S917" s="77">
        <v>0</v>
      </c>
      <c r="T917" s="77">
        <v>0</v>
      </c>
      <c r="U917" s="77">
        <v>0</v>
      </c>
      <c r="V917" s="77">
        <v>18</v>
      </c>
      <c r="W917" s="82" t="s">
        <v>5288</v>
      </c>
      <c r="X917" s="80" t="str">
        <f>HYPERLINK("https://economicnewsbrasil.com.br/2023/09/14/citigroup-anuncia-julio-figueroa-como-novo-ceo-na-america-latina/")</f>
        <v>https://economicnewsbrasil.com.br/2023/09/14/citigroup-anuncia-julio-figueroa-como-novo-ceo-na-america-latina/</v>
      </c>
      <c r="Y917" s="77" t="s">
        <v>6470</v>
      </c>
      <c r="Z917" s="77"/>
      <c r="AA917" s="77"/>
      <c r="AB917" s="77"/>
      <c r="AC917" s="82" t="s">
        <v>7770</v>
      </c>
      <c r="AD917" s="77" t="s">
        <v>7788</v>
      </c>
      <c r="AE917" s="80" t="str">
        <f>HYPERLINK("https://twitter.com/economicnewsbr/status/1702372274567881086")</f>
        <v>https://twitter.com/economicnewsbr/status/1702372274567881086</v>
      </c>
      <c r="AF917" s="79">
        <v>45183.723993055559</v>
      </c>
      <c r="AG917" s="85">
        <v>45183</v>
      </c>
      <c r="AH917" s="82" t="s">
        <v>8614</v>
      </c>
      <c r="AI917" s="77" t="b">
        <v>0</v>
      </c>
      <c r="AJ917" s="77"/>
      <c r="AK917" s="77"/>
      <c r="AL917" s="77"/>
      <c r="AM917" s="77"/>
      <c r="AN917" s="77"/>
      <c r="AO917" s="77"/>
      <c r="AP917" s="77"/>
      <c r="AQ917" s="77"/>
      <c r="AR917" s="77"/>
      <c r="AS917" s="77"/>
      <c r="AT917" s="77"/>
      <c r="AU917" s="77"/>
      <c r="AV917" s="80" t="str">
        <f>HYPERLINK("https://pbs.twimg.com/profile_images/1211027151870402560/9JIqaKmf_normal.jpg")</f>
        <v>https://pbs.twimg.com/profile_images/1211027151870402560/9JIqaKmf_normal.jpg</v>
      </c>
      <c r="AW917" s="82" t="s">
        <v>12598</v>
      </c>
      <c r="AX917" s="82" t="s">
        <v>12598</v>
      </c>
      <c r="AY917" s="77"/>
      <c r="AZ917" s="82" t="s">
        <v>15984</v>
      </c>
      <c r="BA917" s="82" t="s">
        <v>15984</v>
      </c>
      <c r="BB917" s="82" t="s">
        <v>15984</v>
      </c>
      <c r="BC917" s="82" t="s">
        <v>12598</v>
      </c>
      <c r="BD917" s="82" t="s">
        <v>16280</v>
      </c>
      <c r="BE917" s="77"/>
      <c r="BF917" s="77"/>
      <c r="BG917" s="77"/>
      <c r="BH917" s="77"/>
      <c r="BI917" s="77"/>
    </row>
    <row r="918" spans="1:61" x14ac:dyDescent="0.25">
      <c r="A918" s="62" t="s">
        <v>530</v>
      </c>
      <c r="B918" s="62" t="s">
        <v>530</v>
      </c>
      <c r="C918" s="63"/>
      <c r="D918" s="64"/>
      <c r="E918" s="65"/>
      <c r="F918" s="66"/>
      <c r="G918" s="63"/>
      <c r="H918" s="67"/>
      <c r="I918" s="68"/>
      <c r="J918" s="68"/>
      <c r="K918" s="32"/>
      <c r="L918" s="75">
        <v>918</v>
      </c>
      <c r="M918" s="75"/>
      <c r="N918" s="70"/>
      <c r="O918" s="77" t="s">
        <v>179</v>
      </c>
      <c r="P918" s="79">
        <v>45181.946284722224</v>
      </c>
      <c r="Q918" s="77" t="s">
        <v>1749</v>
      </c>
      <c r="R918" s="77">
        <v>0</v>
      </c>
      <c r="S918" s="77">
        <v>0</v>
      </c>
      <c r="T918" s="77">
        <v>0</v>
      </c>
      <c r="U918" s="77">
        <v>0</v>
      </c>
      <c r="V918" s="77">
        <v>12</v>
      </c>
      <c r="W918" s="82" t="s">
        <v>5289</v>
      </c>
      <c r="X918" s="80" t="str">
        <f>HYPERLINK("https://economicnewsbrasil.com.br/2023/09/12/mercado-financeiro-alta-do-dolar-e-otimismo-do-ubs-com-o-brasil-12-09/")</f>
        <v>https://economicnewsbrasil.com.br/2023/09/12/mercado-financeiro-alta-do-dolar-e-otimismo-do-ubs-com-o-brasil-12-09/</v>
      </c>
      <c r="Y918" s="77" t="s">
        <v>6470</v>
      </c>
      <c r="Z918" s="77"/>
      <c r="AA918" s="77" t="s">
        <v>7143</v>
      </c>
      <c r="AB918" s="77" t="s">
        <v>7742</v>
      </c>
      <c r="AC918" s="82" t="s">
        <v>7770</v>
      </c>
      <c r="AD918" s="77" t="s">
        <v>7788</v>
      </c>
      <c r="AE918" s="80" t="str">
        <f>HYPERLINK("https://twitter.com/economicnewsbr/status/1701728055746551998")</f>
        <v>https://twitter.com/economicnewsbr/status/1701728055746551998</v>
      </c>
      <c r="AF918" s="79">
        <v>45181.946284722224</v>
      </c>
      <c r="AG918" s="85">
        <v>45181</v>
      </c>
      <c r="AH918" s="82" t="s">
        <v>8615</v>
      </c>
      <c r="AI918" s="77" t="b">
        <v>0</v>
      </c>
      <c r="AJ918" s="77"/>
      <c r="AK918" s="77"/>
      <c r="AL918" s="77"/>
      <c r="AM918" s="77"/>
      <c r="AN918" s="77"/>
      <c r="AO918" s="77"/>
      <c r="AP918" s="77"/>
      <c r="AQ918" s="77" t="s">
        <v>11115</v>
      </c>
      <c r="AR918" s="77"/>
      <c r="AS918" s="77"/>
      <c r="AT918" s="77"/>
      <c r="AU918" s="77"/>
      <c r="AV918" s="80" t="str">
        <f>HYPERLINK("https://pbs.twimg.com/media/F53ApidXAAALKB9.jpg")</f>
        <v>https://pbs.twimg.com/media/F53ApidXAAALKB9.jpg</v>
      </c>
      <c r="AW918" s="82" t="s">
        <v>12599</v>
      </c>
      <c r="AX918" s="82" t="s">
        <v>12599</v>
      </c>
      <c r="AY918" s="77"/>
      <c r="AZ918" s="82" t="s">
        <v>15984</v>
      </c>
      <c r="BA918" s="82" t="s">
        <v>15984</v>
      </c>
      <c r="BB918" s="82" t="s">
        <v>15984</v>
      </c>
      <c r="BC918" s="82" t="s">
        <v>12599</v>
      </c>
      <c r="BD918" s="82" t="s">
        <v>16280</v>
      </c>
      <c r="BE918" s="77"/>
      <c r="BF918" s="77"/>
      <c r="BG918" s="77"/>
      <c r="BH918" s="77"/>
      <c r="BI918" s="77"/>
    </row>
    <row r="919" spans="1:61" x14ac:dyDescent="0.25">
      <c r="A919" s="62" t="s">
        <v>530</v>
      </c>
      <c r="B919" s="62" t="s">
        <v>530</v>
      </c>
      <c r="C919" s="63"/>
      <c r="D919" s="64"/>
      <c r="E919" s="65"/>
      <c r="F919" s="66"/>
      <c r="G919" s="63"/>
      <c r="H919" s="67"/>
      <c r="I919" s="68"/>
      <c r="J919" s="68"/>
      <c r="K919" s="32"/>
      <c r="L919" s="75">
        <v>919</v>
      </c>
      <c r="M919" s="75"/>
      <c r="N919" s="70"/>
      <c r="O919" s="77" t="s">
        <v>179</v>
      </c>
      <c r="P919" s="79">
        <v>45170.315567129626</v>
      </c>
      <c r="Q919" s="77" t="s">
        <v>1750</v>
      </c>
      <c r="R919" s="77">
        <v>0</v>
      </c>
      <c r="S919" s="77">
        <v>0</v>
      </c>
      <c r="T919" s="77">
        <v>0</v>
      </c>
      <c r="U919" s="77">
        <v>0</v>
      </c>
      <c r="V919" s="77">
        <v>24</v>
      </c>
      <c r="W919" s="82" t="s">
        <v>5290</v>
      </c>
      <c r="X919" s="80" t="str">
        <f>HYPERLINK("https://economicnewsbrasil.com.br/?p=86364")</f>
        <v>https://economicnewsbrasil.com.br/?p=86364</v>
      </c>
      <c r="Y919" s="77" t="s">
        <v>6470</v>
      </c>
      <c r="Z919" s="77"/>
      <c r="AA919" s="77"/>
      <c r="AB919" s="77"/>
      <c r="AC919" s="82" t="s">
        <v>7770</v>
      </c>
      <c r="AD919" s="77" t="s">
        <v>7788</v>
      </c>
      <c r="AE919" s="80" t="str">
        <f>HYPERLINK("https://twitter.com/economicnewsbr/status/1697513222935318653")</f>
        <v>https://twitter.com/economicnewsbr/status/1697513222935318653</v>
      </c>
      <c r="AF919" s="79">
        <v>45170.315567129626</v>
      </c>
      <c r="AG919" s="85">
        <v>45170</v>
      </c>
      <c r="AH919" s="82" t="s">
        <v>8616</v>
      </c>
      <c r="AI919" s="77" t="b">
        <v>0</v>
      </c>
      <c r="AJ919" s="77"/>
      <c r="AK919" s="77"/>
      <c r="AL919" s="77"/>
      <c r="AM919" s="77"/>
      <c r="AN919" s="77"/>
      <c r="AO919" s="77"/>
      <c r="AP919" s="77"/>
      <c r="AQ919" s="77"/>
      <c r="AR919" s="77"/>
      <c r="AS919" s="77"/>
      <c r="AT919" s="77"/>
      <c r="AU919" s="77"/>
      <c r="AV919" s="80" t="str">
        <f>HYPERLINK("https://pbs.twimg.com/profile_images/1211027151870402560/9JIqaKmf_normal.jpg")</f>
        <v>https://pbs.twimg.com/profile_images/1211027151870402560/9JIqaKmf_normal.jpg</v>
      </c>
      <c r="AW919" s="82" t="s">
        <v>12600</v>
      </c>
      <c r="AX919" s="82" t="s">
        <v>12600</v>
      </c>
      <c r="AY919" s="77"/>
      <c r="AZ919" s="82" t="s">
        <v>15984</v>
      </c>
      <c r="BA919" s="82" t="s">
        <v>15984</v>
      </c>
      <c r="BB919" s="82" t="s">
        <v>15984</v>
      </c>
      <c r="BC919" s="82" t="s">
        <v>12600</v>
      </c>
      <c r="BD919" s="82" t="s">
        <v>16280</v>
      </c>
      <c r="BE919" s="77"/>
      <c r="BF919" s="77"/>
      <c r="BG919" s="77"/>
      <c r="BH919" s="77"/>
      <c r="BI919" s="77"/>
    </row>
    <row r="920" spans="1:61" x14ac:dyDescent="0.25">
      <c r="A920" s="62" t="s">
        <v>530</v>
      </c>
      <c r="B920" s="62" t="s">
        <v>530</v>
      </c>
      <c r="C920" s="63"/>
      <c r="D920" s="64"/>
      <c r="E920" s="65"/>
      <c r="F920" s="66"/>
      <c r="G920" s="63"/>
      <c r="H920" s="67"/>
      <c r="I920" s="68"/>
      <c r="J920" s="68"/>
      <c r="K920" s="32"/>
      <c r="L920" s="75">
        <v>920</v>
      </c>
      <c r="M920" s="75"/>
      <c r="N920" s="70"/>
      <c r="O920" s="77" t="s">
        <v>179</v>
      </c>
      <c r="P920" s="79">
        <v>45142.985613425924</v>
      </c>
      <c r="Q920" s="77" t="s">
        <v>1751</v>
      </c>
      <c r="R920" s="77">
        <v>0</v>
      </c>
      <c r="S920" s="77">
        <v>0</v>
      </c>
      <c r="T920" s="77">
        <v>0</v>
      </c>
      <c r="U920" s="77">
        <v>0</v>
      </c>
      <c r="V920" s="77">
        <v>30</v>
      </c>
      <c r="W920" s="82" t="s">
        <v>5291</v>
      </c>
      <c r="X920" s="80" t="str">
        <f>HYPERLINK("https://economicnewsbrasil.com.br/2023/08/04/mercado-financeiro-dolar-fecha-em-queda-ibovespa-recua-analise-de-acoes/")</f>
        <v>https://economicnewsbrasil.com.br/2023/08/04/mercado-financeiro-dolar-fecha-em-queda-ibovespa-recua-analise-de-acoes/</v>
      </c>
      <c r="Y920" s="77" t="s">
        <v>6470</v>
      </c>
      <c r="Z920" s="77"/>
      <c r="AA920" s="77" t="s">
        <v>7144</v>
      </c>
      <c r="AB920" s="77" t="s">
        <v>7742</v>
      </c>
      <c r="AC920" s="82" t="s">
        <v>7770</v>
      </c>
      <c r="AD920" s="77" t="s">
        <v>7788</v>
      </c>
      <c r="AE920" s="80" t="str">
        <f>HYPERLINK("https://twitter.com/economicnewsbr/status/1687609178754371584")</f>
        <v>https://twitter.com/economicnewsbr/status/1687609178754371584</v>
      </c>
      <c r="AF920" s="79">
        <v>45142.985613425924</v>
      </c>
      <c r="AG920" s="85">
        <v>45142</v>
      </c>
      <c r="AH920" s="82" t="s">
        <v>8617</v>
      </c>
      <c r="AI920" s="77" t="b">
        <v>0</v>
      </c>
      <c r="AJ920" s="77"/>
      <c r="AK920" s="77"/>
      <c r="AL920" s="77"/>
      <c r="AM920" s="77"/>
      <c r="AN920" s="77"/>
      <c r="AO920" s="77"/>
      <c r="AP920" s="77"/>
      <c r="AQ920" s="77" t="s">
        <v>11116</v>
      </c>
      <c r="AR920" s="77"/>
      <c r="AS920" s="77"/>
      <c r="AT920" s="77"/>
      <c r="AU920" s="77"/>
      <c r="AV920" s="80" t="str">
        <f>HYPERLINK("https://pbs.twimg.com/media/F2uXmrrWMAApkkg.jpg")</f>
        <v>https://pbs.twimg.com/media/F2uXmrrWMAApkkg.jpg</v>
      </c>
      <c r="AW920" s="82" t="s">
        <v>12601</v>
      </c>
      <c r="AX920" s="82" t="s">
        <v>12601</v>
      </c>
      <c r="AY920" s="77"/>
      <c r="AZ920" s="82" t="s">
        <v>15984</v>
      </c>
      <c r="BA920" s="82" t="s">
        <v>15984</v>
      </c>
      <c r="BB920" s="82" t="s">
        <v>15984</v>
      </c>
      <c r="BC920" s="82" t="s">
        <v>12601</v>
      </c>
      <c r="BD920" s="82" t="s">
        <v>16280</v>
      </c>
      <c r="BE920" s="77"/>
      <c r="BF920" s="77"/>
      <c r="BG920" s="77"/>
      <c r="BH920" s="77"/>
      <c r="BI920" s="77"/>
    </row>
    <row r="921" spans="1:61" x14ac:dyDescent="0.25">
      <c r="A921" s="62" t="s">
        <v>530</v>
      </c>
      <c r="B921" s="62" t="s">
        <v>530</v>
      </c>
      <c r="C921" s="63"/>
      <c r="D921" s="64"/>
      <c r="E921" s="65"/>
      <c r="F921" s="66"/>
      <c r="G921" s="63"/>
      <c r="H921" s="67"/>
      <c r="I921" s="68"/>
      <c r="J921" s="68"/>
      <c r="K921" s="32"/>
      <c r="L921" s="75">
        <v>921</v>
      </c>
      <c r="M921" s="75"/>
      <c r="N921" s="70"/>
      <c r="O921" s="77" t="s">
        <v>179</v>
      </c>
      <c r="P921" s="79">
        <v>45183.019259259258</v>
      </c>
      <c r="Q921" s="77" t="s">
        <v>1752</v>
      </c>
      <c r="R921" s="77">
        <v>0</v>
      </c>
      <c r="S921" s="77">
        <v>0</v>
      </c>
      <c r="T921" s="77">
        <v>0</v>
      </c>
      <c r="U921" s="77">
        <v>0</v>
      </c>
      <c r="V921" s="77">
        <v>16</v>
      </c>
      <c r="W921" s="82" t="s">
        <v>5292</v>
      </c>
      <c r="X921" s="80" t="str">
        <f>HYPERLINK("https://economicnewsbrasil.com.br/2023/09/13/mercado-financeiro-13-09-flutuacoes-significativas-e-novidades-economicas/")</f>
        <v>https://economicnewsbrasil.com.br/2023/09/13/mercado-financeiro-13-09-flutuacoes-significativas-e-novidades-economicas/</v>
      </c>
      <c r="Y921" s="77" t="s">
        <v>6470</v>
      </c>
      <c r="Z921" s="77"/>
      <c r="AA921" s="77" t="s">
        <v>7145</v>
      </c>
      <c r="AB921" s="77" t="s">
        <v>7742</v>
      </c>
      <c r="AC921" s="82" t="s">
        <v>7770</v>
      </c>
      <c r="AD921" s="77" t="s">
        <v>7788</v>
      </c>
      <c r="AE921" s="80" t="str">
        <f>HYPERLINK("https://twitter.com/economicnewsbr/status/1702116888921162197")</f>
        <v>https://twitter.com/economicnewsbr/status/1702116888921162197</v>
      </c>
      <c r="AF921" s="79">
        <v>45183.019259259258</v>
      </c>
      <c r="AG921" s="85">
        <v>45183</v>
      </c>
      <c r="AH921" s="82" t="s">
        <v>8618</v>
      </c>
      <c r="AI921" s="77" t="b">
        <v>0</v>
      </c>
      <c r="AJ921" s="77"/>
      <c r="AK921" s="77"/>
      <c r="AL921" s="77"/>
      <c r="AM921" s="77"/>
      <c r="AN921" s="77"/>
      <c r="AO921" s="77"/>
      <c r="AP921" s="77"/>
      <c r="AQ921" s="77" t="s">
        <v>11117</v>
      </c>
      <c r="AR921" s="77"/>
      <c r="AS921" s="77"/>
      <c r="AT921" s="77"/>
      <c r="AU921" s="77"/>
      <c r="AV921" s="80" t="str">
        <f>HYPERLINK("https://pbs.twimg.com/media/F58iSmUW8AA2MF7.jpg")</f>
        <v>https://pbs.twimg.com/media/F58iSmUW8AA2MF7.jpg</v>
      </c>
      <c r="AW921" s="82" t="s">
        <v>12602</v>
      </c>
      <c r="AX921" s="82" t="s">
        <v>12602</v>
      </c>
      <c r="AY921" s="77"/>
      <c r="AZ921" s="82" t="s">
        <v>15984</v>
      </c>
      <c r="BA921" s="82" t="s">
        <v>15984</v>
      </c>
      <c r="BB921" s="82" t="s">
        <v>15984</v>
      </c>
      <c r="BC921" s="82" t="s">
        <v>12602</v>
      </c>
      <c r="BD921" s="82" t="s">
        <v>16280</v>
      </c>
      <c r="BE921" s="77"/>
      <c r="BF921" s="77"/>
      <c r="BG921" s="77"/>
      <c r="BH921" s="77"/>
      <c r="BI921" s="77"/>
    </row>
    <row r="922" spans="1:61" x14ac:dyDescent="0.25">
      <c r="A922" s="62" t="s">
        <v>531</v>
      </c>
      <c r="B922" s="62" t="s">
        <v>531</v>
      </c>
      <c r="C922" s="63"/>
      <c r="D922" s="64"/>
      <c r="E922" s="65"/>
      <c r="F922" s="66"/>
      <c r="G922" s="63"/>
      <c r="H922" s="67"/>
      <c r="I922" s="68"/>
      <c r="J922" s="68"/>
      <c r="K922" s="32"/>
      <c r="L922" s="75">
        <v>922</v>
      </c>
      <c r="M922" s="75"/>
      <c r="N922" s="70"/>
      <c r="O922" s="77" t="s">
        <v>179</v>
      </c>
      <c r="P922" s="79">
        <v>45192.610312500001</v>
      </c>
      <c r="Q922" s="77" t="s">
        <v>1014</v>
      </c>
      <c r="R922" s="77">
        <v>0</v>
      </c>
      <c r="S922" s="77">
        <v>0</v>
      </c>
      <c r="T922" s="77">
        <v>0</v>
      </c>
      <c r="U922" s="77">
        <v>0</v>
      </c>
      <c r="V922" s="77">
        <v>10</v>
      </c>
      <c r="W922" s="82" t="s">
        <v>4849</v>
      </c>
      <c r="X922" s="77"/>
      <c r="Y922" s="77"/>
      <c r="Z922" s="77"/>
      <c r="AA922" s="77"/>
      <c r="AB922" s="77"/>
      <c r="AC922" s="82" t="s">
        <v>7750</v>
      </c>
      <c r="AD922" s="77" t="s">
        <v>7789</v>
      </c>
      <c r="AE922" s="80" t="str">
        <f>HYPERLINK("https://twitter.com/stockdukeoliver/status/1705592570850464076")</f>
        <v>https://twitter.com/stockdukeoliver/status/1705592570850464076</v>
      </c>
      <c r="AF922" s="79">
        <v>45192.610312500001</v>
      </c>
      <c r="AG922" s="85">
        <v>45192</v>
      </c>
      <c r="AH922" s="82" t="s">
        <v>8619</v>
      </c>
      <c r="AI922" s="77"/>
      <c r="AJ922" s="77"/>
      <c r="AK922" s="77"/>
      <c r="AL922" s="77"/>
      <c r="AM922" s="77"/>
      <c r="AN922" s="77"/>
      <c r="AO922" s="77"/>
      <c r="AP922" s="77"/>
      <c r="AQ922" s="77"/>
      <c r="AR922" s="77"/>
      <c r="AS922" s="77"/>
      <c r="AT922" s="77"/>
      <c r="AU922" s="77"/>
      <c r="AV922" s="80" t="str">
        <f>HYPERLINK("https://pbs.twimg.com/profile_images/1699367967769706496/rXrPuSlN_normal.jpg")</f>
        <v>https://pbs.twimg.com/profile_images/1699367967769706496/rXrPuSlN_normal.jpg</v>
      </c>
      <c r="AW922" s="82" t="s">
        <v>12603</v>
      </c>
      <c r="AX922" s="82" t="s">
        <v>12603</v>
      </c>
      <c r="AY922" s="77"/>
      <c r="AZ922" s="82" t="s">
        <v>15984</v>
      </c>
      <c r="BA922" s="82" t="s">
        <v>15984</v>
      </c>
      <c r="BB922" s="82" t="s">
        <v>15984</v>
      </c>
      <c r="BC922" s="82" t="s">
        <v>12603</v>
      </c>
      <c r="BD922" s="82" t="s">
        <v>16281</v>
      </c>
      <c r="BE922" s="77"/>
      <c r="BF922" s="77"/>
      <c r="BG922" s="77"/>
      <c r="BH922" s="77"/>
      <c r="BI922" s="77"/>
    </row>
    <row r="923" spans="1:61" x14ac:dyDescent="0.25">
      <c r="A923" s="62" t="s">
        <v>532</v>
      </c>
      <c r="B923" s="62" t="s">
        <v>532</v>
      </c>
      <c r="C923" s="63"/>
      <c r="D923" s="64"/>
      <c r="E923" s="65"/>
      <c r="F923" s="66"/>
      <c r="G923" s="63"/>
      <c r="H923" s="67"/>
      <c r="I923" s="68"/>
      <c r="J923" s="68"/>
      <c r="K923" s="32"/>
      <c r="L923" s="75">
        <v>923</v>
      </c>
      <c r="M923" s="75"/>
      <c r="N923" s="70"/>
      <c r="O923" s="77" t="s">
        <v>179</v>
      </c>
      <c r="P923" s="79">
        <v>45131.421574074076</v>
      </c>
      <c r="Q923" s="77" t="s">
        <v>1753</v>
      </c>
      <c r="R923" s="77">
        <v>0</v>
      </c>
      <c r="S923" s="77">
        <v>3</v>
      </c>
      <c r="T923" s="77">
        <v>1</v>
      </c>
      <c r="U923" s="77">
        <v>0</v>
      </c>
      <c r="V923" s="77">
        <v>162</v>
      </c>
      <c r="W923" s="82" t="s">
        <v>5293</v>
      </c>
      <c r="X923" s="80" t="str">
        <f>HYPERLINK("https://es.marketscreener.com/noticias/ultimas/El-bolet-n-semanal-del-inversor-Embotellamiento-a-la-vista--44393047/")</f>
        <v>https://es.marketscreener.com/noticias/ultimas/El-bolet-n-semanal-del-inversor-Embotellamiento-a-la-vista--44393047/</v>
      </c>
      <c r="Y923" s="77" t="s">
        <v>6534</v>
      </c>
      <c r="Z923" s="77"/>
      <c r="AA923" s="77" t="s">
        <v>7146</v>
      </c>
      <c r="AB923" s="77" t="s">
        <v>7742</v>
      </c>
      <c r="AC923" s="82" t="s">
        <v>7750</v>
      </c>
      <c r="AD923" s="77" t="s">
        <v>7790</v>
      </c>
      <c r="AE923" s="80" t="str">
        <f>HYPERLINK("https://twitter.com/marketscreener5/status/1683418514768445442")</f>
        <v>https://twitter.com/marketscreener5/status/1683418514768445442</v>
      </c>
      <c r="AF923" s="79">
        <v>45131.421574074076</v>
      </c>
      <c r="AG923" s="85">
        <v>45131</v>
      </c>
      <c r="AH923" s="82" t="s">
        <v>8620</v>
      </c>
      <c r="AI923" s="77" t="b">
        <v>0</v>
      </c>
      <c r="AJ923" s="77"/>
      <c r="AK923" s="77"/>
      <c r="AL923" s="77"/>
      <c r="AM923" s="77"/>
      <c r="AN923" s="77"/>
      <c r="AO923" s="77"/>
      <c r="AP923" s="77"/>
      <c r="AQ923" s="77" t="s">
        <v>11118</v>
      </c>
      <c r="AR923" s="77"/>
      <c r="AS923" s="77"/>
      <c r="AT923" s="77"/>
      <c r="AU923" s="77"/>
      <c r="AV923" s="80" t="str">
        <f>HYPERLINK("https://pbs.twimg.com/media/F1y0NAkX0AAw6sL.jpg")</f>
        <v>https://pbs.twimg.com/media/F1y0NAkX0AAw6sL.jpg</v>
      </c>
      <c r="AW923" s="82" t="s">
        <v>12604</v>
      </c>
      <c r="AX923" s="82" t="s">
        <v>12604</v>
      </c>
      <c r="AY923" s="77"/>
      <c r="AZ923" s="82" t="s">
        <v>15984</v>
      </c>
      <c r="BA923" s="82" t="s">
        <v>15984</v>
      </c>
      <c r="BB923" s="82" t="s">
        <v>15984</v>
      </c>
      <c r="BC923" s="82" t="s">
        <v>12604</v>
      </c>
      <c r="BD923" s="82" t="s">
        <v>16282</v>
      </c>
      <c r="BE923" s="77"/>
      <c r="BF923" s="77"/>
      <c r="BG923" s="77"/>
      <c r="BH923" s="77"/>
      <c r="BI923" s="77"/>
    </row>
    <row r="924" spans="1:61" x14ac:dyDescent="0.25">
      <c r="A924" s="62" t="s">
        <v>532</v>
      </c>
      <c r="B924" s="62" t="s">
        <v>532</v>
      </c>
      <c r="C924" s="63"/>
      <c r="D924" s="64"/>
      <c r="E924" s="65"/>
      <c r="F924" s="66"/>
      <c r="G924" s="63"/>
      <c r="H924" s="67"/>
      <c r="I924" s="68"/>
      <c r="J924" s="68"/>
      <c r="K924" s="32"/>
      <c r="L924" s="75">
        <v>924</v>
      </c>
      <c r="M924" s="75"/>
      <c r="N924" s="70"/>
      <c r="O924" s="77" t="s">
        <v>179</v>
      </c>
      <c r="P924" s="79">
        <v>45138.698020833333</v>
      </c>
      <c r="Q924" s="77" t="s">
        <v>1754</v>
      </c>
      <c r="R924" s="77">
        <v>0</v>
      </c>
      <c r="S924" s="77">
        <v>0</v>
      </c>
      <c r="T924" s="77">
        <v>0</v>
      </c>
      <c r="U924" s="77">
        <v>0</v>
      </c>
      <c r="V924" s="77">
        <v>140</v>
      </c>
      <c r="W924" s="82" t="s">
        <v>5294</v>
      </c>
      <c r="X924" s="80" t="str">
        <f>HYPERLINK("https://es.marketscreener.com/noticias/ultimas/El-bolet-n-semanal-del-inversor-Un-fin-de-semana-de-respiro-antes-del-resto-de-publicaciones--44457762/")</f>
        <v>https://es.marketscreener.com/noticias/ultimas/El-bolet-n-semanal-del-inversor-Un-fin-de-semana-de-respiro-antes-del-resto-de-publicaciones--44457762/</v>
      </c>
      <c r="Y924" s="77" t="s">
        <v>6534</v>
      </c>
      <c r="Z924" s="77"/>
      <c r="AA924" s="77" t="s">
        <v>7147</v>
      </c>
      <c r="AB924" s="77" t="s">
        <v>7742</v>
      </c>
      <c r="AC924" s="82" t="s">
        <v>7750</v>
      </c>
      <c r="AD924" s="77" t="s">
        <v>7790</v>
      </c>
      <c r="AE924" s="80" t="str">
        <f>HYPERLINK("https://twitter.com/marketscreener5/status/1686055409646288898")</f>
        <v>https://twitter.com/marketscreener5/status/1686055409646288898</v>
      </c>
      <c r="AF924" s="79">
        <v>45138.698020833333</v>
      </c>
      <c r="AG924" s="85">
        <v>45138</v>
      </c>
      <c r="AH924" s="82" t="s">
        <v>8621</v>
      </c>
      <c r="AI924" s="77" t="b">
        <v>0</v>
      </c>
      <c r="AJ924" s="77"/>
      <c r="AK924" s="77"/>
      <c r="AL924" s="77"/>
      <c r="AM924" s="77"/>
      <c r="AN924" s="77"/>
      <c r="AO924" s="77"/>
      <c r="AP924" s="77"/>
      <c r="AQ924" s="77" t="s">
        <v>11119</v>
      </c>
      <c r="AR924" s="77"/>
      <c r="AS924" s="77"/>
      <c r="AT924" s="77"/>
      <c r="AU924" s="77"/>
      <c r="AV924" s="80" t="str">
        <f>HYPERLINK("https://pbs.twimg.com/media/F2YScTSWQAAYFFj.jpg")</f>
        <v>https://pbs.twimg.com/media/F2YScTSWQAAYFFj.jpg</v>
      </c>
      <c r="AW924" s="82" t="s">
        <v>12605</v>
      </c>
      <c r="AX924" s="82" t="s">
        <v>12605</v>
      </c>
      <c r="AY924" s="77"/>
      <c r="AZ924" s="82" t="s">
        <v>15984</v>
      </c>
      <c r="BA924" s="82" t="s">
        <v>15984</v>
      </c>
      <c r="BB924" s="82" t="s">
        <v>15984</v>
      </c>
      <c r="BC924" s="82" t="s">
        <v>12605</v>
      </c>
      <c r="BD924" s="82" t="s">
        <v>16282</v>
      </c>
      <c r="BE924" s="77"/>
      <c r="BF924" s="77"/>
      <c r="BG924" s="77"/>
      <c r="BH924" s="77"/>
      <c r="BI924" s="77"/>
    </row>
    <row r="925" spans="1:61" x14ac:dyDescent="0.25">
      <c r="A925" s="62" t="s">
        <v>533</v>
      </c>
      <c r="B925" s="62" t="s">
        <v>533</v>
      </c>
      <c r="C925" s="63"/>
      <c r="D925" s="64"/>
      <c r="E925" s="65"/>
      <c r="F925" s="66"/>
      <c r="G925" s="63"/>
      <c r="H925" s="67"/>
      <c r="I925" s="68"/>
      <c r="J925" s="68"/>
      <c r="K925" s="32"/>
      <c r="L925" s="75">
        <v>925</v>
      </c>
      <c r="M925" s="75"/>
      <c r="N925" s="70"/>
      <c r="O925" s="77" t="s">
        <v>179</v>
      </c>
      <c r="P925" s="79">
        <v>45187.995879629627</v>
      </c>
      <c r="Q925" s="77" t="s">
        <v>1755</v>
      </c>
      <c r="R925" s="77">
        <v>0</v>
      </c>
      <c r="S925" s="77">
        <v>0</v>
      </c>
      <c r="T925" s="77">
        <v>0</v>
      </c>
      <c r="U925" s="77">
        <v>0</v>
      </c>
      <c r="V925" s="77">
        <v>12</v>
      </c>
      <c r="W925" s="82" t="s">
        <v>5295</v>
      </c>
      <c r="X925" s="77"/>
      <c r="Y925" s="77"/>
      <c r="Z925" s="77"/>
      <c r="AA925" s="77"/>
      <c r="AB925" s="77"/>
      <c r="AC925" s="82" t="s">
        <v>7751</v>
      </c>
      <c r="AD925" s="77" t="s">
        <v>7790</v>
      </c>
      <c r="AE925" s="80" t="str">
        <f>HYPERLINK("https://twitter.com/elcryptonauta/status/1703920352706130366")</f>
        <v>https://twitter.com/elcryptonauta/status/1703920352706130366</v>
      </c>
      <c r="AF925" s="79">
        <v>45187.995879629627</v>
      </c>
      <c r="AG925" s="85">
        <v>45187</v>
      </c>
      <c r="AH925" s="82" t="s">
        <v>8622</v>
      </c>
      <c r="AI925" s="77"/>
      <c r="AJ925" s="77"/>
      <c r="AK925" s="77"/>
      <c r="AL925" s="77"/>
      <c r="AM925" s="77"/>
      <c r="AN925" s="77"/>
      <c r="AO925" s="77"/>
      <c r="AP925" s="77"/>
      <c r="AQ925" s="77"/>
      <c r="AR925" s="77"/>
      <c r="AS925" s="77"/>
      <c r="AT925" s="77"/>
      <c r="AU925" s="77"/>
      <c r="AV925" s="80" t="str">
        <f>HYPERLINK("https://pbs.twimg.com/profile_images/1491953077242454023/JkdDI6pg_normal.jpg")</f>
        <v>https://pbs.twimg.com/profile_images/1491953077242454023/JkdDI6pg_normal.jpg</v>
      </c>
      <c r="AW925" s="82" t="s">
        <v>12606</v>
      </c>
      <c r="AX925" s="82" t="s">
        <v>12606</v>
      </c>
      <c r="AY925" s="77"/>
      <c r="AZ925" s="82" t="s">
        <v>15984</v>
      </c>
      <c r="BA925" s="82" t="s">
        <v>15984</v>
      </c>
      <c r="BB925" s="82" t="s">
        <v>15984</v>
      </c>
      <c r="BC925" s="82" t="s">
        <v>12606</v>
      </c>
      <c r="BD925" s="82" t="s">
        <v>16283</v>
      </c>
      <c r="BE925" s="77"/>
      <c r="BF925" s="77"/>
      <c r="BG925" s="77"/>
      <c r="BH925" s="77"/>
      <c r="BI925" s="77"/>
    </row>
    <row r="926" spans="1:61" x14ac:dyDescent="0.25">
      <c r="A926" s="62" t="s">
        <v>534</v>
      </c>
      <c r="B926" s="62" t="s">
        <v>755</v>
      </c>
      <c r="C926" s="63"/>
      <c r="D926" s="64"/>
      <c r="E926" s="65"/>
      <c r="F926" s="66"/>
      <c r="G926" s="63"/>
      <c r="H926" s="67"/>
      <c r="I926" s="68"/>
      <c r="J926" s="68"/>
      <c r="K926" s="32"/>
      <c r="L926" s="75">
        <v>926</v>
      </c>
      <c r="M926" s="75"/>
      <c r="N926" s="70"/>
      <c r="O926" s="77" t="s">
        <v>895</v>
      </c>
      <c r="P926" s="79">
        <v>45190.779907407406</v>
      </c>
      <c r="Q926" s="77" t="s">
        <v>1756</v>
      </c>
      <c r="R926" s="77">
        <v>0</v>
      </c>
      <c r="S926" s="77">
        <v>0</v>
      </c>
      <c r="T926" s="77">
        <v>0</v>
      </c>
      <c r="U926" s="77">
        <v>0</v>
      </c>
      <c r="V926" s="77">
        <v>34</v>
      </c>
      <c r="W926" s="82" t="s">
        <v>5296</v>
      </c>
      <c r="X926" s="80" t="str">
        <f>HYPERLINK("https://youtu.be/lxssi1d-97w?si=iHhbHntxkEok0FPV")</f>
        <v>https://youtu.be/lxssi1d-97w?si=iHhbHntxkEok0FPV</v>
      </c>
      <c r="Y926" s="77" t="s">
        <v>6472</v>
      </c>
      <c r="Z926" s="77" t="s">
        <v>755</v>
      </c>
      <c r="AA926" s="77"/>
      <c r="AB926" s="77"/>
      <c r="AC926" s="82" t="s">
        <v>7750</v>
      </c>
      <c r="AD926" s="77" t="s">
        <v>7788</v>
      </c>
      <c r="AE926" s="80" t="str">
        <f>HYPERLINK("https://twitter.com/udsonloved/status/1704929254129951185")</f>
        <v>https://twitter.com/udsonloved/status/1704929254129951185</v>
      </c>
      <c r="AF926" s="79">
        <v>45190.779907407406</v>
      </c>
      <c r="AG926" s="85">
        <v>45190</v>
      </c>
      <c r="AH926" s="82" t="s">
        <v>8623</v>
      </c>
      <c r="AI926" s="77" t="b">
        <v>0</v>
      </c>
      <c r="AJ926" s="77"/>
      <c r="AK926" s="77"/>
      <c r="AL926" s="77"/>
      <c r="AM926" s="77"/>
      <c r="AN926" s="77"/>
      <c r="AO926" s="77"/>
      <c r="AP926" s="77"/>
      <c r="AQ926" s="77"/>
      <c r="AR926" s="77"/>
      <c r="AS926" s="77"/>
      <c r="AT926" s="77"/>
      <c r="AU926" s="77"/>
      <c r="AV926" s="80" t="str">
        <f>HYPERLINK("https://pbs.twimg.com/profile_images/1697931662754029568/YSDsdrP__normal.jpg")</f>
        <v>https://pbs.twimg.com/profile_images/1697931662754029568/YSDsdrP__normal.jpg</v>
      </c>
      <c r="AW926" s="82" t="s">
        <v>12607</v>
      </c>
      <c r="AX926" s="82" t="s">
        <v>12607</v>
      </c>
      <c r="AY926" s="77"/>
      <c r="AZ926" s="82" t="s">
        <v>15984</v>
      </c>
      <c r="BA926" s="82" t="s">
        <v>15984</v>
      </c>
      <c r="BB926" s="82" t="s">
        <v>15984</v>
      </c>
      <c r="BC926" s="82" t="s">
        <v>12607</v>
      </c>
      <c r="BD926" s="77">
        <v>141730592</v>
      </c>
      <c r="BE926" s="77"/>
      <c r="BF926" s="77"/>
      <c r="BG926" s="77"/>
      <c r="BH926" s="77"/>
      <c r="BI926" s="77"/>
    </row>
    <row r="927" spans="1:61" x14ac:dyDescent="0.25">
      <c r="A927" s="62" t="s">
        <v>535</v>
      </c>
      <c r="B927" s="62" t="s">
        <v>535</v>
      </c>
      <c r="C927" s="63"/>
      <c r="D927" s="64"/>
      <c r="E927" s="65"/>
      <c r="F927" s="66"/>
      <c r="G927" s="63"/>
      <c r="H927" s="67"/>
      <c r="I927" s="68"/>
      <c r="J927" s="68"/>
      <c r="K927" s="32"/>
      <c r="L927" s="75">
        <v>927</v>
      </c>
      <c r="M927" s="75"/>
      <c r="N927" s="70"/>
      <c r="O927" s="77" t="s">
        <v>179</v>
      </c>
      <c r="P927" s="79">
        <v>45194.498067129629</v>
      </c>
      <c r="Q927" s="77" t="s">
        <v>1014</v>
      </c>
      <c r="R927" s="77">
        <v>0</v>
      </c>
      <c r="S927" s="77">
        <v>0</v>
      </c>
      <c r="T927" s="77">
        <v>0</v>
      </c>
      <c r="U927" s="77">
        <v>0</v>
      </c>
      <c r="V927" s="77">
        <v>14</v>
      </c>
      <c r="W927" s="82" t="s">
        <v>4849</v>
      </c>
      <c r="X927" s="77"/>
      <c r="Y927" s="77"/>
      <c r="Z927" s="77"/>
      <c r="AA927" s="77"/>
      <c r="AB927" s="77"/>
      <c r="AC927" s="82" t="s">
        <v>7750</v>
      </c>
      <c r="AD927" s="77" t="s">
        <v>7789</v>
      </c>
      <c r="AE927" s="80" t="str">
        <f>HYPERLINK("https://twitter.com/wealthmindpower/status/1706276669445558366")</f>
        <v>https://twitter.com/wealthmindpower/status/1706276669445558366</v>
      </c>
      <c r="AF927" s="79">
        <v>45194.498067129629</v>
      </c>
      <c r="AG927" s="85">
        <v>45194</v>
      </c>
      <c r="AH927" s="82" t="s">
        <v>8624</v>
      </c>
      <c r="AI927" s="77"/>
      <c r="AJ927" s="77"/>
      <c r="AK927" s="77"/>
      <c r="AL927" s="77"/>
      <c r="AM927" s="77"/>
      <c r="AN927" s="77"/>
      <c r="AO927" s="77"/>
      <c r="AP927" s="77"/>
      <c r="AQ927" s="77"/>
      <c r="AR927" s="77"/>
      <c r="AS927" s="77"/>
      <c r="AT927" s="77"/>
      <c r="AU927" s="77"/>
      <c r="AV927" s="80" t="str">
        <f>HYPERLINK("https://pbs.twimg.com/profile_images/1699367793383088128/cdrTDCNJ_normal.jpg")</f>
        <v>https://pbs.twimg.com/profile_images/1699367793383088128/cdrTDCNJ_normal.jpg</v>
      </c>
      <c r="AW927" s="82" t="s">
        <v>12608</v>
      </c>
      <c r="AX927" s="82" t="s">
        <v>12608</v>
      </c>
      <c r="AY927" s="77"/>
      <c r="AZ927" s="82" t="s">
        <v>15984</v>
      </c>
      <c r="BA927" s="82" t="s">
        <v>15984</v>
      </c>
      <c r="BB927" s="82" t="s">
        <v>15984</v>
      </c>
      <c r="BC927" s="82" t="s">
        <v>12608</v>
      </c>
      <c r="BD927" s="82" t="s">
        <v>16284</v>
      </c>
      <c r="BE927" s="77"/>
      <c r="BF927" s="77"/>
      <c r="BG927" s="77"/>
      <c r="BH927" s="77"/>
      <c r="BI927" s="77"/>
    </row>
    <row r="928" spans="1:61" x14ac:dyDescent="0.25">
      <c r="A928" s="62" t="s">
        <v>536</v>
      </c>
      <c r="B928" s="62" t="s">
        <v>536</v>
      </c>
      <c r="C928" s="63"/>
      <c r="D928" s="64"/>
      <c r="E928" s="65"/>
      <c r="F928" s="66"/>
      <c r="G928" s="63"/>
      <c r="H928" s="67"/>
      <c r="I928" s="68"/>
      <c r="J928" s="68"/>
      <c r="K928" s="32"/>
      <c r="L928" s="75">
        <v>928</v>
      </c>
      <c r="M928" s="75"/>
      <c r="N928" s="70"/>
      <c r="O928" s="77" t="s">
        <v>179</v>
      </c>
      <c r="P928" s="79">
        <v>45131.681967592594</v>
      </c>
      <c r="Q928" s="77" t="s">
        <v>1757</v>
      </c>
      <c r="R928" s="77">
        <v>0</v>
      </c>
      <c r="S928" s="77">
        <v>1</v>
      </c>
      <c r="T928" s="77">
        <v>0</v>
      </c>
      <c r="U928" s="77">
        <v>0</v>
      </c>
      <c r="V928" s="77">
        <v>27</v>
      </c>
      <c r="W928" s="82" t="s">
        <v>5297</v>
      </c>
      <c r="X928" s="80" t="str">
        <f>HYPERLINK("https://youtu.be/BbnM84fzlxw")</f>
        <v>https://youtu.be/BbnM84fzlxw</v>
      </c>
      <c r="Y928" s="77" t="s">
        <v>6472</v>
      </c>
      <c r="Z928" s="77"/>
      <c r="AA928" s="77" t="s">
        <v>7148</v>
      </c>
      <c r="AB928" s="77" t="s">
        <v>7743</v>
      </c>
      <c r="AC928" s="82" t="s">
        <v>7771</v>
      </c>
      <c r="AD928" s="77" t="s">
        <v>7788</v>
      </c>
      <c r="AE928" s="80" t="str">
        <f>HYPERLINK("https://twitter.com/wagnergeremia/status/1683512875489320960")</f>
        <v>https://twitter.com/wagnergeremia/status/1683512875489320960</v>
      </c>
      <c r="AF928" s="79">
        <v>45131.681967592594</v>
      </c>
      <c r="AG928" s="85">
        <v>45131</v>
      </c>
      <c r="AH928" s="82" t="s">
        <v>8625</v>
      </c>
      <c r="AI928" s="77" t="b">
        <v>0</v>
      </c>
      <c r="AJ928" s="77"/>
      <c r="AK928" s="77"/>
      <c r="AL928" s="77"/>
      <c r="AM928" s="77"/>
      <c r="AN928" s="77"/>
      <c r="AO928" s="77"/>
      <c r="AP928" s="77"/>
      <c r="AQ928" s="77" t="s">
        <v>11120</v>
      </c>
      <c r="AR928" s="77">
        <v>11200</v>
      </c>
      <c r="AS928" s="77"/>
      <c r="AT928" s="77"/>
      <c r="AU928" s="77"/>
      <c r="AV928" s="80" t="str">
        <f>HYPERLINK("https://pbs.twimg.com/ext_tw_video_thumb/1683512830987837443/pu/img/B-KU7iEPbN2PyNUr.jpg")</f>
        <v>https://pbs.twimg.com/ext_tw_video_thumb/1683512830987837443/pu/img/B-KU7iEPbN2PyNUr.jpg</v>
      </c>
      <c r="AW928" s="82" t="s">
        <v>12609</v>
      </c>
      <c r="AX928" s="82" t="s">
        <v>12609</v>
      </c>
      <c r="AY928" s="77"/>
      <c r="AZ928" s="82" t="s">
        <v>15984</v>
      </c>
      <c r="BA928" s="82" t="s">
        <v>15984</v>
      </c>
      <c r="BB928" s="82" t="s">
        <v>15984</v>
      </c>
      <c r="BC928" s="82" t="s">
        <v>12609</v>
      </c>
      <c r="BD928" s="77">
        <v>438488077</v>
      </c>
      <c r="BE928" s="77"/>
      <c r="BF928" s="77"/>
      <c r="BG928" s="77"/>
      <c r="BH928" s="77"/>
      <c r="BI928" s="77"/>
    </row>
    <row r="929" spans="1:61" x14ac:dyDescent="0.25">
      <c r="A929" s="62" t="s">
        <v>536</v>
      </c>
      <c r="B929" s="62" t="s">
        <v>536</v>
      </c>
      <c r="C929" s="63"/>
      <c r="D929" s="64"/>
      <c r="E929" s="65"/>
      <c r="F929" s="66"/>
      <c r="G929" s="63"/>
      <c r="H929" s="67"/>
      <c r="I929" s="68"/>
      <c r="J929" s="68"/>
      <c r="K929" s="32"/>
      <c r="L929" s="75">
        <v>929</v>
      </c>
      <c r="M929" s="75"/>
      <c r="N929" s="70"/>
      <c r="O929" s="77" t="s">
        <v>179</v>
      </c>
      <c r="P929" s="79">
        <v>45146.746805555558</v>
      </c>
      <c r="Q929" s="77" t="s">
        <v>1758</v>
      </c>
      <c r="R929" s="77">
        <v>0</v>
      </c>
      <c r="S929" s="77">
        <v>0</v>
      </c>
      <c r="T929" s="77">
        <v>0</v>
      </c>
      <c r="U929" s="77">
        <v>0</v>
      </c>
      <c r="V929" s="77">
        <v>246</v>
      </c>
      <c r="W929" s="82" t="s">
        <v>5298</v>
      </c>
      <c r="X929" s="80" t="str">
        <f>HYPERLINK("https://youtu.be/wOovtaOq_4w")</f>
        <v>https://youtu.be/wOovtaOq_4w</v>
      </c>
      <c r="Y929" s="77" t="s">
        <v>6472</v>
      </c>
      <c r="Z929" s="77"/>
      <c r="AA929" s="77" t="s">
        <v>7149</v>
      </c>
      <c r="AB929" s="77" t="s">
        <v>7743</v>
      </c>
      <c r="AC929" s="82" t="s">
        <v>7771</v>
      </c>
      <c r="AD929" s="77" t="s">
        <v>7788</v>
      </c>
      <c r="AE929" s="80" t="str">
        <f>HYPERLINK("https://twitter.com/wagnergeremia/status/1688972191176527888")</f>
        <v>https://twitter.com/wagnergeremia/status/1688972191176527888</v>
      </c>
      <c r="AF929" s="79">
        <v>45146.746805555558</v>
      </c>
      <c r="AG929" s="85">
        <v>45146</v>
      </c>
      <c r="AH929" s="82" t="s">
        <v>8626</v>
      </c>
      <c r="AI929" s="77" t="b">
        <v>0</v>
      </c>
      <c r="AJ929" s="77"/>
      <c r="AK929" s="77"/>
      <c r="AL929" s="77"/>
      <c r="AM929" s="77"/>
      <c r="AN929" s="77"/>
      <c r="AO929" s="77"/>
      <c r="AP929" s="77"/>
      <c r="AQ929" s="77" t="s">
        <v>11121</v>
      </c>
      <c r="AR929" s="77">
        <v>57300</v>
      </c>
      <c r="AS929" s="77"/>
      <c r="AT929" s="77"/>
      <c r="AU929" s="77"/>
      <c r="AV929" s="80" t="str">
        <f>HYPERLINK("https://pbs.twimg.com/ext_tw_video_thumb/1688972139792109580/pu/img/kLP1m99ME_Tljnfd.jpg")</f>
        <v>https://pbs.twimg.com/ext_tw_video_thumb/1688972139792109580/pu/img/kLP1m99ME_Tljnfd.jpg</v>
      </c>
      <c r="AW929" s="82" t="s">
        <v>12610</v>
      </c>
      <c r="AX929" s="82" t="s">
        <v>12610</v>
      </c>
      <c r="AY929" s="77"/>
      <c r="AZ929" s="82" t="s">
        <v>15984</v>
      </c>
      <c r="BA929" s="82" t="s">
        <v>15984</v>
      </c>
      <c r="BB929" s="82" t="s">
        <v>15984</v>
      </c>
      <c r="BC929" s="82" t="s">
        <v>12610</v>
      </c>
      <c r="BD929" s="77">
        <v>438488077</v>
      </c>
      <c r="BE929" s="77"/>
      <c r="BF929" s="77"/>
      <c r="BG929" s="77"/>
      <c r="BH929" s="77"/>
      <c r="BI929" s="77"/>
    </row>
    <row r="930" spans="1:61" x14ac:dyDescent="0.25">
      <c r="A930" s="62" t="s">
        <v>537</v>
      </c>
      <c r="B930" s="62" t="s">
        <v>537</v>
      </c>
      <c r="C930" s="63"/>
      <c r="D930" s="64"/>
      <c r="E930" s="65"/>
      <c r="F930" s="66"/>
      <c r="G930" s="63"/>
      <c r="H930" s="67"/>
      <c r="I930" s="68"/>
      <c r="J930" s="68"/>
      <c r="K930" s="32"/>
      <c r="L930" s="75">
        <v>930</v>
      </c>
      <c r="M930" s="75"/>
      <c r="N930" s="70"/>
      <c r="O930" s="77" t="s">
        <v>179</v>
      </c>
      <c r="P930" s="79">
        <v>45161.916689814818</v>
      </c>
      <c r="Q930" s="77" t="s">
        <v>1759</v>
      </c>
      <c r="R930" s="77">
        <v>0</v>
      </c>
      <c r="S930" s="77">
        <v>3</v>
      </c>
      <c r="T930" s="77">
        <v>1</v>
      </c>
      <c r="U930" s="77">
        <v>0</v>
      </c>
      <c r="V930" s="77">
        <v>373</v>
      </c>
      <c r="W930" s="82" t="s">
        <v>5299</v>
      </c>
      <c r="X930" s="80" t="str">
        <f>HYPERLINK("https://youtu.be/O2akyQKF27A")</f>
        <v>https://youtu.be/O2akyQKF27A</v>
      </c>
      <c r="Y930" s="77" t="s">
        <v>6472</v>
      </c>
      <c r="Z930" s="77"/>
      <c r="AA930" s="77"/>
      <c r="AB930" s="77"/>
      <c r="AC930" s="82" t="s">
        <v>7750</v>
      </c>
      <c r="AD930" s="77" t="s">
        <v>7788</v>
      </c>
      <c r="AE930" s="80" t="str">
        <f>HYPERLINK("https://twitter.com/porque_com_br/status/1694469570914832836")</f>
        <v>https://twitter.com/porque_com_br/status/1694469570914832836</v>
      </c>
      <c r="AF930" s="79">
        <v>45161.916689814818</v>
      </c>
      <c r="AG930" s="85">
        <v>45161</v>
      </c>
      <c r="AH930" s="82" t="s">
        <v>8627</v>
      </c>
      <c r="AI930" s="77" t="b">
        <v>0</v>
      </c>
      <c r="AJ930" s="77"/>
      <c r="AK930" s="77"/>
      <c r="AL930" s="77"/>
      <c r="AM930" s="77"/>
      <c r="AN930" s="77"/>
      <c r="AO930" s="77"/>
      <c r="AP930" s="77"/>
      <c r="AQ930" s="77"/>
      <c r="AR930" s="77"/>
      <c r="AS930" s="77"/>
      <c r="AT930" s="77"/>
      <c r="AU930" s="77"/>
      <c r="AV930" s="80" t="str">
        <f>HYPERLINK("https://pbs.twimg.com/profile_images/1620590176610156549/gEwbNvth_normal.jpg")</f>
        <v>https://pbs.twimg.com/profile_images/1620590176610156549/gEwbNvth_normal.jpg</v>
      </c>
      <c r="AW930" s="82" t="s">
        <v>12611</v>
      </c>
      <c r="AX930" s="82" t="s">
        <v>12611</v>
      </c>
      <c r="AY930" s="77"/>
      <c r="AZ930" s="82" t="s">
        <v>15984</v>
      </c>
      <c r="BA930" s="82" t="s">
        <v>15984</v>
      </c>
      <c r="BB930" s="82" t="s">
        <v>15984</v>
      </c>
      <c r="BC930" s="82" t="s">
        <v>12611</v>
      </c>
      <c r="BD930" s="77">
        <v>3166145932</v>
      </c>
      <c r="BE930" s="77"/>
      <c r="BF930" s="77"/>
      <c r="BG930" s="77"/>
      <c r="BH930" s="77"/>
      <c r="BI930" s="77"/>
    </row>
    <row r="931" spans="1:61" x14ac:dyDescent="0.25">
      <c r="A931" s="62" t="s">
        <v>538</v>
      </c>
      <c r="B931" s="62" t="s">
        <v>538</v>
      </c>
      <c r="C931" s="63"/>
      <c r="D931" s="64"/>
      <c r="E931" s="65"/>
      <c r="F931" s="66"/>
      <c r="G931" s="63"/>
      <c r="H931" s="67"/>
      <c r="I931" s="68"/>
      <c r="J931" s="68"/>
      <c r="K931" s="32"/>
      <c r="L931" s="75">
        <v>931</v>
      </c>
      <c r="M931" s="75"/>
      <c r="N931" s="70"/>
      <c r="O931" s="77" t="s">
        <v>179</v>
      </c>
      <c r="P931" s="79">
        <v>45191.88622685185</v>
      </c>
      <c r="Q931" s="77" t="s">
        <v>1760</v>
      </c>
      <c r="R931" s="77">
        <v>0</v>
      </c>
      <c r="S931" s="77">
        <v>0</v>
      </c>
      <c r="T931" s="77">
        <v>0</v>
      </c>
      <c r="U931" s="77">
        <v>0</v>
      </c>
      <c r="V931" s="77">
        <v>19</v>
      </c>
      <c r="W931" s="82" t="s">
        <v>5300</v>
      </c>
      <c r="X931" s="77" t="s">
        <v>6465</v>
      </c>
      <c r="Y931" s="77" t="s">
        <v>6535</v>
      </c>
      <c r="Z931" s="77"/>
      <c r="AA931" s="77" t="s">
        <v>7150</v>
      </c>
      <c r="AB931" s="77" t="s">
        <v>7742</v>
      </c>
      <c r="AC931" s="82" t="s">
        <v>7752</v>
      </c>
      <c r="AD931" s="77" t="s">
        <v>7788</v>
      </c>
      <c r="AE931" s="80" t="str">
        <f>HYPERLINK("https://twitter.com/vortxbr/status/1705330168661782753")</f>
        <v>https://twitter.com/vortxbr/status/1705330168661782753</v>
      </c>
      <c r="AF931" s="79">
        <v>45191.88622685185</v>
      </c>
      <c r="AG931" s="85">
        <v>45191</v>
      </c>
      <c r="AH931" s="82" t="s">
        <v>8628</v>
      </c>
      <c r="AI931" s="77" t="b">
        <v>0</v>
      </c>
      <c r="AJ931" s="77"/>
      <c r="AK931" s="77"/>
      <c r="AL931" s="77"/>
      <c r="AM931" s="77"/>
      <c r="AN931" s="77"/>
      <c r="AO931" s="77"/>
      <c r="AP931" s="77"/>
      <c r="AQ931" s="77" t="s">
        <v>11122</v>
      </c>
      <c r="AR931" s="77"/>
      <c r="AS931" s="77"/>
      <c r="AT931" s="77"/>
      <c r="AU931" s="77"/>
      <c r="AV931" s="80" t="str">
        <f>HYPERLINK("https://pbs.twimg.com/media/F6qMv-dWoAAxtr0.jpg")</f>
        <v>https://pbs.twimg.com/media/F6qMv-dWoAAxtr0.jpg</v>
      </c>
      <c r="AW931" s="82" t="s">
        <v>12612</v>
      </c>
      <c r="AX931" s="82" t="s">
        <v>12612</v>
      </c>
      <c r="AY931" s="77"/>
      <c r="AZ931" s="82" t="s">
        <v>15984</v>
      </c>
      <c r="BA931" s="82" t="s">
        <v>15984</v>
      </c>
      <c r="BB931" s="82" t="s">
        <v>15984</v>
      </c>
      <c r="BC931" s="82" t="s">
        <v>12612</v>
      </c>
      <c r="BD931" s="82" t="s">
        <v>16285</v>
      </c>
      <c r="BE931" s="77"/>
      <c r="BF931" s="77"/>
      <c r="BG931" s="77"/>
      <c r="BH931" s="77"/>
      <c r="BI931" s="77"/>
    </row>
    <row r="932" spans="1:61" x14ac:dyDescent="0.25">
      <c r="A932" s="62" t="s">
        <v>539</v>
      </c>
      <c r="B932" s="62" t="s">
        <v>539</v>
      </c>
      <c r="C932" s="63"/>
      <c r="D932" s="64"/>
      <c r="E932" s="65"/>
      <c r="F932" s="66"/>
      <c r="G932" s="63"/>
      <c r="H932" s="67"/>
      <c r="I932" s="68"/>
      <c r="J932" s="68"/>
      <c r="K932" s="32"/>
      <c r="L932" s="75">
        <v>932</v>
      </c>
      <c r="M932" s="75"/>
      <c r="N932" s="70"/>
      <c r="O932" s="77" t="s">
        <v>898</v>
      </c>
      <c r="P932" s="79">
        <v>45183.675567129627</v>
      </c>
      <c r="Q932" s="77" t="s">
        <v>1761</v>
      </c>
      <c r="R932" s="77">
        <v>2</v>
      </c>
      <c r="S932" s="77">
        <v>3</v>
      </c>
      <c r="T932" s="77">
        <v>0</v>
      </c>
      <c r="U932" s="77">
        <v>0</v>
      </c>
      <c r="V932" s="77">
        <v>134</v>
      </c>
      <c r="W932" s="82" t="s">
        <v>5301</v>
      </c>
      <c r="X932" s="80" t="str">
        <f>HYPERLINK("http://bit.ly/futuresTGWG")</f>
        <v>http://bit.ly/futuresTGWG</v>
      </c>
      <c r="Y932" s="77" t="s">
        <v>6468</v>
      </c>
      <c r="Z932" s="77"/>
      <c r="AA932" s="77" t="s">
        <v>7151</v>
      </c>
      <c r="AB932" s="77" t="s">
        <v>7742</v>
      </c>
      <c r="AC932" s="82" t="s">
        <v>7750</v>
      </c>
      <c r="AD932" s="77" t="s">
        <v>7790</v>
      </c>
      <c r="AE932" s="80" t="str">
        <f>HYPERLINK("https://twitter.com/ga4tj/status/1702354727231516845")</f>
        <v>https://twitter.com/ga4tj/status/1702354727231516845</v>
      </c>
      <c r="AF932" s="79">
        <v>45183.675567129627</v>
      </c>
      <c r="AG932" s="85">
        <v>45183</v>
      </c>
      <c r="AH932" s="82" t="s">
        <v>8629</v>
      </c>
      <c r="AI932" s="77" t="b">
        <v>0</v>
      </c>
      <c r="AJ932" s="77"/>
      <c r="AK932" s="77"/>
      <c r="AL932" s="77"/>
      <c r="AM932" s="77"/>
      <c r="AN932" s="77"/>
      <c r="AO932" s="77"/>
      <c r="AP932" s="77"/>
      <c r="AQ932" s="77" t="s">
        <v>11123</v>
      </c>
      <c r="AR932" s="77"/>
      <c r="AS932" s="77"/>
      <c r="AT932" s="77"/>
      <c r="AU932" s="77"/>
      <c r="AV932" s="80" t="str">
        <f>HYPERLINK("https://pbs.twimg.com/media/F5_5l1KWEAAppmC.jpg")</f>
        <v>https://pbs.twimg.com/media/F5_5l1KWEAAppmC.jpg</v>
      </c>
      <c r="AW932" s="82" t="s">
        <v>12613</v>
      </c>
      <c r="AX932" s="82" t="s">
        <v>15839</v>
      </c>
      <c r="AY932" s="82" t="s">
        <v>15957</v>
      </c>
      <c r="AZ932" s="82" t="s">
        <v>15839</v>
      </c>
      <c r="BA932" s="82" t="s">
        <v>15984</v>
      </c>
      <c r="BB932" s="82" t="s">
        <v>15984</v>
      </c>
      <c r="BC932" s="82" t="s">
        <v>15839</v>
      </c>
      <c r="BD932" s="77">
        <v>2716825429</v>
      </c>
      <c r="BE932" s="77"/>
      <c r="BF932" s="77"/>
      <c r="BG932" s="77"/>
      <c r="BH932" s="77"/>
      <c r="BI932" s="77"/>
    </row>
    <row r="933" spans="1:61" x14ac:dyDescent="0.25">
      <c r="A933" s="62" t="s">
        <v>540</v>
      </c>
      <c r="B933" s="62" t="s">
        <v>540</v>
      </c>
      <c r="C933" s="63"/>
      <c r="D933" s="64"/>
      <c r="E933" s="65"/>
      <c r="F933" s="66"/>
      <c r="G933" s="63"/>
      <c r="H933" s="67"/>
      <c r="I933" s="68"/>
      <c r="J933" s="68"/>
      <c r="K933" s="32"/>
      <c r="L933" s="75">
        <v>933</v>
      </c>
      <c r="M933" s="75"/>
      <c r="N933" s="70"/>
      <c r="O933" s="77" t="s">
        <v>898</v>
      </c>
      <c r="P933" s="79">
        <v>45185.942291666666</v>
      </c>
      <c r="Q933" s="77" t="s">
        <v>1762</v>
      </c>
      <c r="R933" s="77">
        <v>0</v>
      </c>
      <c r="S933" s="77">
        <v>1</v>
      </c>
      <c r="T933" s="77">
        <v>0</v>
      </c>
      <c r="U933" s="77">
        <v>0</v>
      </c>
      <c r="V933" s="77">
        <v>43</v>
      </c>
      <c r="W933" s="82" t="s">
        <v>5302</v>
      </c>
      <c r="X933" s="77"/>
      <c r="Y933" s="77"/>
      <c r="Z933" s="77"/>
      <c r="AA933" s="77"/>
      <c r="AB933" s="77"/>
      <c r="AC933" s="82" t="s">
        <v>7751</v>
      </c>
      <c r="AD933" s="77" t="s">
        <v>7788</v>
      </c>
      <c r="AE933" s="80" t="str">
        <f>HYPERLINK("https://twitter.com/economia_cafe/status/1703176157225435268")</f>
        <v>https://twitter.com/economia_cafe/status/1703176157225435268</v>
      </c>
      <c r="AF933" s="79">
        <v>45185.942291666666</v>
      </c>
      <c r="AG933" s="85">
        <v>45185</v>
      </c>
      <c r="AH933" s="82" t="s">
        <v>8630</v>
      </c>
      <c r="AI933" s="77"/>
      <c r="AJ933" s="77"/>
      <c r="AK933" s="77"/>
      <c r="AL933" s="77"/>
      <c r="AM933" s="77"/>
      <c r="AN933" s="77"/>
      <c r="AO933" s="77"/>
      <c r="AP933" s="77"/>
      <c r="AQ933" s="77"/>
      <c r="AR933" s="77"/>
      <c r="AS933" s="77"/>
      <c r="AT933" s="77"/>
      <c r="AU933" s="77"/>
      <c r="AV933" s="80" t="str">
        <f>HYPERLINK("https://pbs.twimg.com/profile_images/1451336986506244102/bbO8dxzF_normal.jpg")</f>
        <v>https://pbs.twimg.com/profile_images/1451336986506244102/bbO8dxzF_normal.jpg</v>
      </c>
      <c r="AW933" s="82" t="s">
        <v>12614</v>
      </c>
      <c r="AX933" s="82" t="s">
        <v>15840</v>
      </c>
      <c r="AY933" s="82" t="s">
        <v>15958</v>
      </c>
      <c r="AZ933" s="82" t="s">
        <v>16052</v>
      </c>
      <c r="BA933" s="82" t="s">
        <v>15984</v>
      </c>
      <c r="BB933" s="82" t="s">
        <v>15984</v>
      </c>
      <c r="BC933" s="82" t="s">
        <v>16052</v>
      </c>
      <c r="BD933" s="82" t="s">
        <v>15958</v>
      </c>
      <c r="BE933" s="77"/>
      <c r="BF933" s="77"/>
      <c r="BG933" s="77"/>
      <c r="BH933" s="77"/>
      <c r="BI933" s="77"/>
    </row>
    <row r="934" spans="1:61" x14ac:dyDescent="0.25">
      <c r="A934" s="62" t="s">
        <v>541</v>
      </c>
      <c r="B934" s="62" t="s">
        <v>541</v>
      </c>
      <c r="C934" s="63"/>
      <c r="D934" s="64"/>
      <c r="E934" s="65"/>
      <c r="F934" s="66"/>
      <c r="G934" s="63"/>
      <c r="H934" s="67"/>
      <c r="I934" s="68"/>
      <c r="J934" s="68"/>
      <c r="K934" s="32"/>
      <c r="L934" s="75">
        <v>934</v>
      </c>
      <c r="M934" s="75"/>
      <c r="N934" s="70"/>
      <c r="O934" s="77" t="s">
        <v>179</v>
      </c>
      <c r="P934" s="79">
        <v>45188.622824074075</v>
      </c>
      <c r="Q934" s="77" t="s">
        <v>1763</v>
      </c>
      <c r="R934" s="77">
        <v>0</v>
      </c>
      <c r="S934" s="77">
        <v>0</v>
      </c>
      <c r="T934" s="77">
        <v>0</v>
      </c>
      <c r="U934" s="77">
        <v>0</v>
      </c>
      <c r="V934" s="77">
        <v>7</v>
      </c>
      <c r="W934" s="82" t="s">
        <v>5303</v>
      </c>
      <c r="X934" s="77"/>
      <c r="Y934" s="77"/>
      <c r="Z934" s="77"/>
      <c r="AA934" s="77" t="s">
        <v>7152</v>
      </c>
      <c r="AB934" s="77" t="s">
        <v>7742</v>
      </c>
      <c r="AC934" s="82" t="s">
        <v>7751</v>
      </c>
      <c r="AD934" s="77" t="s">
        <v>7789</v>
      </c>
      <c r="AE934" s="80" t="str">
        <f>HYPERLINK("https://twitter.com/infohindi009/status/1704147551874863593")</f>
        <v>https://twitter.com/infohindi009/status/1704147551874863593</v>
      </c>
      <c r="AF934" s="79">
        <v>45188.622824074075</v>
      </c>
      <c r="AG934" s="85">
        <v>45188</v>
      </c>
      <c r="AH934" s="82" t="s">
        <v>8631</v>
      </c>
      <c r="AI934" s="77" t="b">
        <v>0</v>
      </c>
      <c r="AJ934" s="77"/>
      <c r="AK934" s="77"/>
      <c r="AL934" s="77"/>
      <c r="AM934" s="77"/>
      <c r="AN934" s="77"/>
      <c r="AO934" s="77"/>
      <c r="AP934" s="77"/>
      <c r="AQ934" s="77" t="s">
        <v>11124</v>
      </c>
      <c r="AR934" s="77"/>
      <c r="AS934" s="77"/>
      <c r="AT934" s="77"/>
      <c r="AU934" s="77"/>
      <c r="AV934" s="80" t="str">
        <f>HYPERLINK("https://pbs.twimg.com/media/F6ZZKTCb0AALCSI.jpg")</f>
        <v>https://pbs.twimg.com/media/F6ZZKTCb0AALCSI.jpg</v>
      </c>
      <c r="AW934" s="82" t="s">
        <v>12615</v>
      </c>
      <c r="AX934" s="82" t="s">
        <v>12615</v>
      </c>
      <c r="AY934" s="77"/>
      <c r="AZ934" s="82" t="s">
        <v>15984</v>
      </c>
      <c r="BA934" s="82" t="s">
        <v>15984</v>
      </c>
      <c r="BB934" s="82" t="s">
        <v>15984</v>
      </c>
      <c r="BC934" s="82" t="s">
        <v>12615</v>
      </c>
      <c r="BD934" s="82" t="s">
        <v>16286</v>
      </c>
      <c r="BE934" s="77"/>
      <c r="BF934" s="77"/>
      <c r="BG934" s="77"/>
      <c r="BH934" s="77"/>
      <c r="BI934" s="77"/>
    </row>
    <row r="935" spans="1:61" x14ac:dyDescent="0.25">
      <c r="A935" s="62" t="s">
        <v>542</v>
      </c>
      <c r="B935" s="62" t="s">
        <v>812</v>
      </c>
      <c r="C935" s="63"/>
      <c r="D935" s="64"/>
      <c r="E935" s="65"/>
      <c r="F935" s="66"/>
      <c r="G935" s="63"/>
      <c r="H935" s="67"/>
      <c r="I935" s="68"/>
      <c r="J935" s="68"/>
      <c r="K935" s="32"/>
      <c r="L935" s="75">
        <v>935</v>
      </c>
      <c r="M935" s="75"/>
      <c r="N935" s="70"/>
      <c r="O935" s="77" t="s">
        <v>895</v>
      </c>
      <c r="P935" s="79">
        <v>45148.923067129632</v>
      </c>
      <c r="Q935" s="77" t="s">
        <v>1764</v>
      </c>
      <c r="R935" s="77">
        <v>3</v>
      </c>
      <c r="S935" s="77">
        <v>25</v>
      </c>
      <c r="T935" s="77">
        <v>2</v>
      </c>
      <c r="U935" s="77">
        <v>0</v>
      </c>
      <c r="V935" s="77">
        <v>2785</v>
      </c>
      <c r="W935" s="82" t="s">
        <v>5304</v>
      </c>
      <c r="X935" s="77"/>
      <c r="Y935" s="77"/>
      <c r="Z935" s="77" t="s">
        <v>812</v>
      </c>
      <c r="AA935" s="77" t="s">
        <v>7153</v>
      </c>
      <c r="AB935" s="77" t="s">
        <v>7747</v>
      </c>
      <c r="AC935" s="82" t="s">
        <v>7752</v>
      </c>
      <c r="AD935" s="77" t="s">
        <v>7788</v>
      </c>
      <c r="AE935" s="80" t="str">
        <f>HYPERLINK("https://twitter.com/andrelenski/status/1689760840403030017")</f>
        <v>https://twitter.com/andrelenski/status/1689760840403030017</v>
      </c>
      <c r="AF935" s="79">
        <v>45148.923067129632</v>
      </c>
      <c r="AG935" s="85">
        <v>45148</v>
      </c>
      <c r="AH935" s="82" t="s">
        <v>8632</v>
      </c>
      <c r="AI935" s="77" t="b">
        <v>0</v>
      </c>
      <c r="AJ935" s="77"/>
      <c r="AK935" s="77"/>
      <c r="AL935" s="77"/>
      <c r="AM935" s="77"/>
      <c r="AN935" s="77"/>
      <c r="AO935" s="77"/>
      <c r="AP935" s="77"/>
      <c r="AQ935" s="77" t="s">
        <v>11125</v>
      </c>
      <c r="AR935" s="77"/>
      <c r="AS935" s="77"/>
      <c r="AT935" s="77"/>
      <c r="AU935" s="77"/>
      <c r="AV935" s="80" t="str">
        <f>HYPERLINK("https://pbs.twimg.com/media/F3M8fHKX0AEGDvf.jpg")</f>
        <v>https://pbs.twimg.com/media/F3M8fHKX0AEGDvf.jpg</v>
      </c>
      <c r="AW935" s="82" t="s">
        <v>12616</v>
      </c>
      <c r="AX935" s="82" t="s">
        <v>12616</v>
      </c>
      <c r="AY935" s="77"/>
      <c r="AZ935" s="82" t="s">
        <v>15984</v>
      </c>
      <c r="BA935" s="82" t="s">
        <v>15984</v>
      </c>
      <c r="BB935" s="82" t="s">
        <v>15984</v>
      </c>
      <c r="BC935" s="82" t="s">
        <v>12616</v>
      </c>
      <c r="BD935" s="82" t="s">
        <v>16287</v>
      </c>
      <c r="BE935" s="77"/>
      <c r="BF935" s="77"/>
      <c r="BG935" s="77"/>
      <c r="BH935" s="77"/>
      <c r="BI935" s="77"/>
    </row>
    <row r="936" spans="1:61" x14ac:dyDescent="0.25">
      <c r="A936" s="62" t="s">
        <v>542</v>
      </c>
      <c r="B936" s="62" t="s">
        <v>812</v>
      </c>
      <c r="C936" s="63"/>
      <c r="D936" s="64"/>
      <c r="E936" s="65"/>
      <c r="F936" s="66"/>
      <c r="G936" s="63"/>
      <c r="H936" s="67"/>
      <c r="I936" s="68"/>
      <c r="J936" s="68"/>
      <c r="K936" s="32"/>
      <c r="L936" s="75">
        <v>936</v>
      </c>
      <c r="M936" s="75"/>
      <c r="N936" s="70"/>
      <c r="O936" s="77" t="s">
        <v>895</v>
      </c>
      <c r="P936" s="79">
        <v>45180.565497685187</v>
      </c>
      <c r="Q936" s="77" t="s">
        <v>1765</v>
      </c>
      <c r="R936" s="77">
        <v>0</v>
      </c>
      <c r="S936" s="77">
        <v>7</v>
      </c>
      <c r="T936" s="77">
        <v>0</v>
      </c>
      <c r="U936" s="77">
        <v>1</v>
      </c>
      <c r="V936" s="77">
        <v>957</v>
      </c>
      <c r="W936" s="82" t="s">
        <v>5305</v>
      </c>
      <c r="X936" s="77"/>
      <c r="Y936" s="77"/>
      <c r="Z936" s="77" t="s">
        <v>812</v>
      </c>
      <c r="AA936" s="77" t="s">
        <v>7154</v>
      </c>
      <c r="AB936" s="77" t="s">
        <v>7742</v>
      </c>
      <c r="AC936" s="82" t="s">
        <v>7752</v>
      </c>
      <c r="AD936" s="77" t="s">
        <v>7788</v>
      </c>
      <c r="AE936" s="80" t="str">
        <f>HYPERLINK("https://twitter.com/andrelenski/status/1701227674746671228")</f>
        <v>https://twitter.com/andrelenski/status/1701227674746671228</v>
      </c>
      <c r="AF936" s="79">
        <v>45180.565497685187</v>
      </c>
      <c r="AG936" s="85">
        <v>45180</v>
      </c>
      <c r="AH936" s="82" t="s">
        <v>8633</v>
      </c>
      <c r="AI936" s="77" t="b">
        <v>0</v>
      </c>
      <c r="AJ936" s="77"/>
      <c r="AK936" s="77"/>
      <c r="AL936" s="77"/>
      <c r="AM936" s="77"/>
      <c r="AN936" s="77"/>
      <c r="AO936" s="77"/>
      <c r="AP936" s="77"/>
      <c r="AQ936" s="77" t="s">
        <v>11126</v>
      </c>
      <c r="AR936" s="77"/>
      <c r="AS936" s="77"/>
      <c r="AT936" s="77"/>
      <c r="AU936" s="77"/>
      <c r="AV936" s="80" t="str">
        <f>HYPERLINK("https://pbs.twimg.com/media/F5v5jSfXQAAPj5m.jpg")</f>
        <v>https://pbs.twimg.com/media/F5v5jSfXQAAPj5m.jpg</v>
      </c>
      <c r="AW936" s="82" t="s">
        <v>12617</v>
      </c>
      <c r="AX936" s="82" t="s">
        <v>12617</v>
      </c>
      <c r="AY936" s="77"/>
      <c r="AZ936" s="82" t="s">
        <v>15984</v>
      </c>
      <c r="BA936" s="82" t="s">
        <v>15984</v>
      </c>
      <c r="BB936" s="82" t="s">
        <v>15984</v>
      </c>
      <c r="BC936" s="82" t="s">
        <v>12617</v>
      </c>
      <c r="BD936" s="82" t="s">
        <v>16287</v>
      </c>
      <c r="BE936" s="77"/>
      <c r="BF936" s="77"/>
      <c r="BG936" s="77"/>
      <c r="BH936" s="77"/>
      <c r="BI936" s="77"/>
    </row>
    <row r="937" spans="1:61" x14ac:dyDescent="0.25">
      <c r="A937" s="62" t="s">
        <v>543</v>
      </c>
      <c r="B937" s="62" t="s">
        <v>543</v>
      </c>
      <c r="C937" s="63"/>
      <c r="D937" s="64"/>
      <c r="E937" s="65"/>
      <c r="F937" s="66"/>
      <c r="G937" s="63"/>
      <c r="H937" s="67"/>
      <c r="I937" s="68"/>
      <c r="J937" s="68"/>
      <c r="K937" s="32"/>
      <c r="L937" s="75">
        <v>937</v>
      </c>
      <c r="M937" s="75"/>
      <c r="N937" s="70"/>
      <c r="O937" s="77" t="s">
        <v>179</v>
      </c>
      <c r="P937" s="79">
        <v>45142.752337962964</v>
      </c>
      <c r="Q937" s="77" t="s">
        <v>1766</v>
      </c>
      <c r="R937" s="77">
        <v>0</v>
      </c>
      <c r="S937" s="77">
        <v>0</v>
      </c>
      <c r="T937" s="77">
        <v>0</v>
      </c>
      <c r="U937" s="77">
        <v>0</v>
      </c>
      <c r="V937" s="77">
        <v>163</v>
      </c>
      <c r="W937" s="82" t="s">
        <v>5076</v>
      </c>
      <c r="X937" s="80" t="str">
        <f>HYPERLINK("https://bit.ly/EUQUEROMW9")</f>
        <v>https://bit.ly/EUQUEROMW9</v>
      </c>
      <c r="Y937" s="77" t="s">
        <v>6468</v>
      </c>
      <c r="Z937" s="77"/>
      <c r="AA937" s="77" t="s">
        <v>7155</v>
      </c>
      <c r="AB937" s="77" t="s">
        <v>7743</v>
      </c>
      <c r="AC937" s="82" t="s">
        <v>7752</v>
      </c>
      <c r="AD937" s="77" t="s">
        <v>7788</v>
      </c>
      <c r="AE937" s="80" t="str">
        <f>HYPERLINK("https://twitter.com/euqueroinvestir/status/1687524644125888529")</f>
        <v>https://twitter.com/euqueroinvestir/status/1687524644125888529</v>
      </c>
      <c r="AF937" s="79">
        <v>45142.752337962964</v>
      </c>
      <c r="AG937" s="85">
        <v>45142</v>
      </c>
      <c r="AH937" s="82" t="s">
        <v>8634</v>
      </c>
      <c r="AI937" s="77" t="b">
        <v>0</v>
      </c>
      <c r="AJ937" s="77"/>
      <c r="AK937" s="77"/>
      <c r="AL937" s="77"/>
      <c r="AM937" s="77"/>
      <c r="AN937" s="77"/>
      <c r="AO937" s="77"/>
      <c r="AP937" s="77"/>
      <c r="AQ937" s="77" t="s">
        <v>11127</v>
      </c>
      <c r="AR937" s="77">
        <v>10928</v>
      </c>
      <c r="AS937" s="77"/>
      <c r="AT937" s="77"/>
      <c r="AU937" s="77"/>
      <c r="AV937" s="80" t="str">
        <f>HYPERLINK("https://pbs.twimg.com/ext_tw_video_thumb/1687524608163844096/pu/img/orEpoKU4RhvEaeLV.jpg")</f>
        <v>https://pbs.twimg.com/ext_tw_video_thumb/1687524608163844096/pu/img/orEpoKU4RhvEaeLV.jpg</v>
      </c>
      <c r="AW937" s="82" t="s">
        <v>12618</v>
      </c>
      <c r="AX937" s="82" t="s">
        <v>12618</v>
      </c>
      <c r="AY937" s="77"/>
      <c r="AZ937" s="82" t="s">
        <v>15984</v>
      </c>
      <c r="BA937" s="82" t="s">
        <v>15984</v>
      </c>
      <c r="BB937" s="82" t="s">
        <v>15984</v>
      </c>
      <c r="BC937" s="82" t="s">
        <v>12618</v>
      </c>
      <c r="BD937" s="77">
        <v>2421006511</v>
      </c>
      <c r="BE937" s="77"/>
      <c r="BF937" s="77"/>
      <c r="BG937" s="77"/>
      <c r="BH937" s="77"/>
      <c r="BI937" s="77"/>
    </row>
    <row r="938" spans="1:61" x14ac:dyDescent="0.25">
      <c r="A938" s="62" t="s">
        <v>544</v>
      </c>
      <c r="B938" s="62" t="s">
        <v>544</v>
      </c>
      <c r="C938" s="63"/>
      <c r="D938" s="64"/>
      <c r="E938" s="65"/>
      <c r="F938" s="66"/>
      <c r="G938" s="63"/>
      <c r="H938" s="67"/>
      <c r="I938" s="68"/>
      <c r="J938" s="68"/>
      <c r="K938" s="32"/>
      <c r="L938" s="75">
        <v>938</v>
      </c>
      <c r="M938" s="75"/>
      <c r="N938" s="70"/>
      <c r="O938" s="77" t="s">
        <v>179</v>
      </c>
      <c r="P938" s="79">
        <v>45168.675208333334</v>
      </c>
      <c r="Q938" s="77" t="s">
        <v>1767</v>
      </c>
      <c r="R938" s="77">
        <v>0</v>
      </c>
      <c r="S938" s="77">
        <v>0</v>
      </c>
      <c r="T938" s="77">
        <v>0</v>
      </c>
      <c r="U938" s="77">
        <v>0</v>
      </c>
      <c r="V938" s="77">
        <v>22</v>
      </c>
      <c r="W938" s="82" t="s">
        <v>5306</v>
      </c>
      <c r="X938" s="77"/>
      <c r="Y938" s="77"/>
      <c r="Z938" s="77"/>
      <c r="AA938" s="77"/>
      <c r="AB938" s="77"/>
      <c r="AC938" s="82" t="s">
        <v>7772</v>
      </c>
      <c r="AD938" s="77" t="s">
        <v>7788</v>
      </c>
      <c r="AE938" s="80" t="str">
        <f>HYPERLINK("https://twitter.com/theinfoveritas/status/1696918779576434696")</f>
        <v>https://twitter.com/theinfoveritas/status/1696918779576434696</v>
      </c>
      <c r="AF938" s="79">
        <v>45168.675208333334</v>
      </c>
      <c r="AG938" s="85">
        <v>45168</v>
      </c>
      <c r="AH938" s="82" t="s">
        <v>8635</v>
      </c>
      <c r="AI938" s="77"/>
      <c r="AJ938" s="77"/>
      <c r="AK938" s="77"/>
      <c r="AL938" s="77"/>
      <c r="AM938" s="77"/>
      <c r="AN938" s="77"/>
      <c r="AO938" s="77"/>
      <c r="AP938" s="77"/>
      <c r="AQ938" s="77"/>
      <c r="AR938" s="77"/>
      <c r="AS938" s="77"/>
      <c r="AT938" s="77"/>
      <c r="AU938" s="77"/>
      <c r="AV938" s="80" t="str">
        <f>HYPERLINK("https://pbs.twimg.com/profile_images/1664096165070028801/PSJeAwx__normal.jpg")</f>
        <v>https://pbs.twimg.com/profile_images/1664096165070028801/PSJeAwx__normal.jpg</v>
      </c>
      <c r="AW938" s="82" t="s">
        <v>12619</v>
      </c>
      <c r="AX938" s="82" t="s">
        <v>12619</v>
      </c>
      <c r="AY938" s="77"/>
      <c r="AZ938" s="82" t="s">
        <v>15984</v>
      </c>
      <c r="BA938" s="82" t="s">
        <v>15984</v>
      </c>
      <c r="BB938" s="82" t="s">
        <v>15984</v>
      </c>
      <c r="BC938" s="82" t="s">
        <v>12619</v>
      </c>
      <c r="BD938" s="82" t="s">
        <v>16288</v>
      </c>
      <c r="BE938" s="77"/>
      <c r="BF938" s="77"/>
      <c r="BG938" s="77"/>
      <c r="BH938" s="77"/>
      <c r="BI938" s="77"/>
    </row>
    <row r="939" spans="1:61" x14ac:dyDescent="0.25">
      <c r="A939" s="62" t="s">
        <v>544</v>
      </c>
      <c r="B939" s="62" t="s">
        <v>544</v>
      </c>
      <c r="C939" s="63"/>
      <c r="D939" s="64"/>
      <c r="E939" s="65"/>
      <c r="F939" s="66"/>
      <c r="G939" s="63"/>
      <c r="H939" s="67"/>
      <c r="I939" s="68"/>
      <c r="J939" s="68"/>
      <c r="K939" s="32"/>
      <c r="L939" s="75">
        <v>939</v>
      </c>
      <c r="M939" s="75"/>
      <c r="N939" s="70"/>
      <c r="O939" s="77" t="s">
        <v>179</v>
      </c>
      <c r="P939" s="79">
        <v>45195.88354166667</v>
      </c>
      <c r="Q939" s="77" t="s">
        <v>1768</v>
      </c>
      <c r="R939" s="77">
        <v>0</v>
      </c>
      <c r="S939" s="77">
        <v>0</v>
      </c>
      <c r="T939" s="77">
        <v>0</v>
      </c>
      <c r="U939" s="77">
        <v>0</v>
      </c>
      <c r="V939" s="77">
        <v>34</v>
      </c>
      <c r="W939" s="82" t="s">
        <v>5307</v>
      </c>
      <c r="X939" s="77"/>
      <c r="Y939" s="77"/>
      <c r="Z939" s="77"/>
      <c r="AA939" s="77"/>
      <c r="AB939" s="77"/>
      <c r="AC939" s="82" t="s">
        <v>7772</v>
      </c>
      <c r="AD939" s="77" t="s">
        <v>7788</v>
      </c>
      <c r="AE939" s="80" t="str">
        <f>HYPERLINK("https://twitter.com/theinfoveritas/status/1706778748945572308")</f>
        <v>https://twitter.com/theinfoveritas/status/1706778748945572308</v>
      </c>
      <c r="AF939" s="79">
        <v>45195.88354166667</v>
      </c>
      <c r="AG939" s="85">
        <v>45195</v>
      </c>
      <c r="AH939" s="82" t="s">
        <v>8636</v>
      </c>
      <c r="AI939" s="77"/>
      <c r="AJ939" s="77"/>
      <c r="AK939" s="77"/>
      <c r="AL939" s="77"/>
      <c r="AM939" s="77"/>
      <c r="AN939" s="77"/>
      <c r="AO939" s="77"/>
      <c r="AP939" s="77"/>
      <c r="AQ939" s="77"/>
      <c r="AR939" s="77"/>
      <c r="AS939" s="77"/>
      <c r="AT939" s="77"/>
      <c r="AU939" s="77"/>
      <c r="AV939" s="80" t="str">
        <f>HYPERLINK("https://pbs.twimg.com/profile_images/1664096165070028801/PSJeAwx__normal.jpg")</f>
        <v>https://pbs.twimg.com/profile_images/1664096165070028801/PSJeAwx__normal.jpg</v>
      </c>
      <c r="AW939" s="82" t="s">
        <v>12620</v>
      </c>
      <c r="AX939" s="82" t="s">
        <v>12620</v>
      </c>
      <c r="AY939" s="77"/>
      <c r="AZ939" s="82" t="s">
        <v>15984</v>
      </c>
      <c r="BA939" s="82" t="s">
        <v>15984</v>
      </c>
      <c r="BB939" s="82" t="s">
        <v>15984</v>
      </c>
      <c r="BC939" s="82" t="s">
        <v>12620</v>
      </c>
      <c r="BD939" s="82" t="s">
        <v>16288</v>
      </c>
      <c r="BE939" s="77"/>
      <c r="BF939" s="77"/>
      <c r="BG939" s="77"/>
      <c r="BH939" s="77"/>
      <c r="BI939" s="77"/>
    </row>
    <row r="940" spans="1:61" x14ac:dyDescent="0.25">
      <c r="A940" s="62" t="s">
        <v>545</v>
      </c>
      <c r="B940" s="62" t="s">
        <v>545</v>
      </c>
      <c r="C940" s="63"/>
      <c r="D940" s="64"/>
      <c r="E940" s="65"/>
      <c r="F940" s="66"/>
      <c r="G940" s="63"/>
      <c r="H940" s="67"/>
      <c r="I940" s="68"/>
      <c r="J940" s="68"/>
      <c r="K940" s="32"/>
      <c r="L940" s="75">
        <v>940</v>
      </c>
      <c r="M940" s="75"/>
      <c r="N940" s="70"/>
      <c r="O940" s="77" t="s">
        <v>179</v>
      </c>
      <c r="P940" s="79">
        <v>45193.807812500003</v>
      </c>
      <c r="Q940" s="77" t="s">
        <v>1014</v>
      </c>
      <c r="R940" s="77">
        <v>0</v>
      </c>
      <c r="S940" s="77">
        <v>0</v>
      </c>
      <c r="T940" s="77">
        <v>0</v>
      </c>
      <c r="U940" s="77">
        <v>0</v>
      </c>
      <c r="V940" s="77">
        <v>19</v>
      </c>
      <c r="W940" s="82" t="s">
        <v>4849</v>
      </c>
      <c r="X940" s="77"/>
      <c r="Y940" s="77"/>
      <c r="Z940" s="77"/>
      <c r="AA940" s="77"/>
      <c r="AB940" s="77"/>
      <c r="AC940" s="82" t="s">
        <v>7750</v>
      </c>
      <c r="AD940" s="77" t="s">
        <v>7789</v>
      </c>
      <c r="AE940" s="80" t="str">
        <f>HYPERLINK("https://twitter.com/mindfulstocks21/status/1706026528503406724")</f>
        <v>https://twitter.com/mindfulstocks21/status/1706026528503406724</v>
      </c>
      <c r="AF940" s="79">
        <v>45193.807812500003</v>
      </c>
      <c r="AG940" s="85">
        <v>45193</v>
      </c>
      <c r="AH940" s="82" t="s">
        <v>8637</v>
      </c>
      <c r="AI940" s="77"/>
      <c r="AJ940" s="77"/>
      <c r="AK940" s="77"/>
      <c r="AL940" s="77"/>
      <c r="AM940" s="77"/>
      <c r="AN940" s="77"/>
      <c r="AO940" s="77"/>
      <c r="AP940" s="77"/>
      <c r="AQ940" s="77"/>
      <c r="AR940" s="77"/>
      <c r="AS940" s="77"/>
      <c r="AT940" s="77"/>
      <c r="AU940" s="77"/>
      <c r="AV940" s="80" t="str">
        <f>HYPERLINK("https://pbs.twimg.com/profile_images/1699368150788104192/dFwuo0Lq_normal.jpg")</f>
        <v>https://pbs.twimg.com/profile_images/1699368150788104192/dFwuo0Lq_normal.jpg</v>
      </c>
      <c r="AW940" s="82" t="s">
        <v>12621</v>
      </c>
      <c r="AX940" s="82" t="s">
        <v>12621</v>
      </c>
      <c r="AY940" s="77"/>
      <c r="AZ940" s="82" t="s">
        <v>15984</v>
      </c>
      <c r="BA940" s="82" t="s">
        <v>15984</v>
      </c>
      <c r="BB940" s="82" t="s">
        <v>15984</v>
      </c>
      <c r="BC940" s="82" t="s">
        <v>12621</v>
      </c>
      <c r="BD940" s="82" t="s">
        <v>16289</v>
      </c>
      <c r="BE940" s="77"/>
      <c r="BF940" s="77"/>
      <c r="BG940" s="77"/>
      <c r="BH940" s="77"/>
      <c r="BI940" s="77"/>
    </row>
    <row r="941" spans="1:61" x14ac:dyDescent="0.25">
      <c r="A941" s="62" t="s">
        <v>546</v>
      </c>
      <c r="B941" s="62" t="s">
        <v>546</v>
      </c>
      <c r="C941" s="63"/>
      <c r="D941" s="64"/>
      <c r="E941" s="65"/>
      <c r="F941" s="66"/>
      <c r="G941" s="63"/>
      <c r="H941" s="67"/>
      <c r="I941" s="68"/>
      <c r="J941" s="68"/>
      <c r="K941" s="32"/>
      <c r="L941" s="75">
        <v>941</v>
      </c>
      <c r="M941" s="75"/>
      <c r="N941" s="70"/>
      <c r="O941" s="77" t="s">
        <v>179</v>
      </c>
      <c r="P941" s="79">
        <v>45187.60328703704</v>
      </c>
      <c r="Q941" s="77" t="s">
        <v>918</v>
      </c>
      <c r="R941" s="77">
        <v>0</v>
      </c>
      <c r="S941" s="77">
        <v>0</v>
      </c>
      <c r="T941" s="77">
        <v>0</v>
      </c>
      <c r="U941" s="77">
        <v>0</v>
      </c>
      <c r="V941" s="77">
        <v>12</v>
      </c>
      <c r="W941" s="82" t="s">
        <v>4815</v>
      </c>
      <c r="X941" s="77"/>
      <c r="Y941" s="77"/>
      <c r="Z941" s="77"/>
      <c r="AA941" s="77"/>
      <c r="AB941" s="77"/>
      <c r="AC941" s="82" t="s">
        <v>7750</v>
      </c>
      <c r="AD941" s="77" t="s">
        <v>7789</v>
      </c>
      <c r="AE941" s="80" t="str">
        <f>HYPERLINK("https://twitter.com/cryptomasterlu/status/1703778083889623225")</f>
        <v>https://twitter.com/cryptomasterlu/status/1703778083889623225</v>
      </c>
      <c r="AF941" s="79">
        <v>45187.60328703704</v>
      </c>
      <c r="AG941" s="85">
        <v>45187</v>
      </c>
      <c r="AH941" s="82" t="s">
        <v>8638</v>
      </c>
      <c r="AI941" s="77"/>
      <c r="AJ941" s="77"/>
      <c r="AK941" s="77"/>
      <c r="AL941" s="77"/>
      <c r="AM941" s="77"/>
      <c r="AN941" s="77"/>
      <c r="AO941" s="77"/>
      <c r="AP941" s="77"/>
      <c r="AQ941" s="77"/>
      <c r="AR941" s="77"/>
      <c r="AS941" s="77"/>
      <c r="AT941" s="77"/>
      <c r="AU941" s="77"/>
      <c r="AV941" s="80" t="str">
        <f>HYPERLINK("https://pbs.twimg.com/profile_images/1699840926200303616/nd6395r0_normal.jpg")</f>
        <v>https://pbs.twimg.com/profile_images/1699840926200303616/nd6395r0_normal.jpg</v>
      </c>
      <c r="AW941" s="82" t="s">
        <v>12622</v>
      </c>
      <c r="AX941" s="82" t="s">
        <v>12622</v>
      </c>
      <c r="AY941" s="77"/>
      <c r="AZ941" s="82" t="s">
        <v>15984</v>
      </c>
      <c r="BA941" s="82" t="s">
        <v>15984</v>
      </c>
      <c r="BB941" s="82" t="s">
        <v>15984</v>
      </c>
      <c r="BC941" s="82" t="s">
        <v>12622</v>
      </c>
      <c r="BD941" s="82" t="s">
        <v>16290</v>
      </c>
      <c r="BE941" s="77"/>
      <c r="BF941" s="77"/>
      <c r="BG941" s="77"/>
      <c r="BH941" s="77"/>
      <c r="BI941" s="77"/>
    </row>
    <row r="942" spans="1:61" x14ac:dyDescent="0.25">
      <c r="A942" s="62" t="s">
        <v>547</v>
      </c>
      <c r="B942" s="62" t="s">
        <v>387</v>
      </c>
      <c r="C942" s="63"/>
      <c r="D942" s="64"/>
      <c r="E942" s="65"/>
      <c r="F942" s="66"/>
      <c r="G942" s="63"/>
      <c r="H942" s="67"/>
      <c r="I942" s="68"/>
      <c r="J942" s="68"/>
      <c r="K942" s="32"/>
      <c r="L942" s="75">
        <v>942</v>
      </c>
      <c r="M942" s="75"/>
      <c r="N942" s="70"/>
      <c r="O942" s="77" t="s">
        <v>897</v>
      </c>
      <c r="P942" s="79">
        <v>45194.983912037038</v>
      </c>
      <c r="Q942" s="77" t="s">
        <v>1769</v>
      </c>
      <c r="R942" s="77">
        <v>1</v>
      </c>
      <c r="S942" s="77">
        <v>0</v>
      </c>
      <c r="T942" s="77">
        <v>0</v>
      </c>
      <c r="U942" s="77">
        <v>0</v>
      </c>
      <c r="V942" s="77"/>
      <c r="W942" s="77"/>
      <c r="X942" s="77"/>
      <c r="Y942" s="77"/>
      <c r="Z942" s="77" t="s">
        <v>387</v>
      </c>
      <c r="AA942" s="77"/>
      <c r="AB942" s="77"/>
      <c r="AC942" s="82" t="s">
        <v>7751</v>
      </c>
      <c r="AD942" s="77" t="s">
        <v>7788</v>
      </c>
      <c r="AE942" s="80" t="str">
        <f>HYPERLINK("https://twitter.com/jonasojunior/status/1706452734054895902")</f>
        <v>https://twitter.com/jonasojunior/status/1706452734054895902</v>
      </c>
      <c r="AF942" s="79">
        <v>45194.983912037038</v>
      </c>
      <c r="AG942" s="85">
        <v>45194</v>
      </c>
      <c r="AH942" s="82" t="s">
        <v>8639</v>
      </c>
      <c r="AI942" s="77"/>
      <c r="AJ942" s="77"/>
      <c r="AK942" s="77"/>
      <c r="AL942" s="77"/>
      <c r="AM942" s="77"/>
      <c r="AN942" s="77"/>
      <c r="AO942" s="77"/>
      <c r="AP942" s="77"/>
      <c r="AQ942" s="77"/>
      <c r="AR942" s="77"/>
      <c r="AS942" s="77"/>
      <c r="AT942" s="77"/>
      <c r="AU942" s="77"/>
      <c r="AV942" s="80" t="str">
        <f>HYPERLINK("https://pbs.twimg.com/profile_images/1587989527423066112/jqh10kv9_normal.jpg")</f>
        <v>https://pbs.twimg.com/profile_images/1587989527423066112/jqh10kv9_normal.jpg</v>
      </c>
      <c r="AW942" s="82" t="s">
        <v>12623</v>
      </c>
      <c r="AX942" s="82" t="s">
        <v>12623</v>
      </c>
      <c r="AY942" s="77"/>
      <c r="AZ942" s="82" t="s">
        <v>15984</v>
      </c>
      <c r="BA942" s="82" t="s">
        <v>15984</v>
      </c>
      <c r="BB942" s="82" t="s">
        <v>15144</v>
      </c>
      <c r="BC942" s="82" t="s">
        <v>15144</v>
      </c>
      <c r="BD942" s="77">
        <v>40508067</v>
      </c>
      <c r="BE942" s="77"/>
      <c r="BF942" s="77"/>
      <c r="BG942" s="77"/>
      <c r="BH942" s="77"/>
      <c r="BI942" s="77"/>
    </row>
    <row r="943" spans="1:61" x14ac:dyDescent="0.25">
      <c r="A943" s="62" t="s">
        <v>547</v>
      </c>
      <c r="B943" s="62" t="s">
        <v>387</v>
      </c>
      <c r="C943" s="63"/>
      <c r="D943" s="64"/>
      <c r="E943" s="65"/>
      <c r="F943" s="66"/>
      <c r="G943" s="63"/>
      <c r="H943" s="67"/>
      <c r="I943" s="68"/>
      <c r="J943" s="68"/>
      <c r="K943" s="32"/>
      <c r="L943" s="75">
        <v>943</v>
      </c>
      <c r="M943" s="75"/>
      <c r="N943" s="70"/>
      <c r="O943" s="77" t="s">
        <v>897</v>
      </c>
      <c r="P943" s="79">
        <v>45197.030243055553</v>
      </c>
      <c r="Q943" s="77" t="s">
        <v>1770</v>
      </c>
      <c r="R943" s="77">
        <v>1</v>
      </c>
      <c r="S943" s="77">
        <v>0</v>
      </c>
      <c r="T943" s="77">
        <v>0</v>
      </c>
      <c r="U943" s="77">
        <v>0</v>
      </c>
      <c r="V943" s="77"/>
      <c r="W943" s="77"/>
      <c r="X943" s="77"/>
      <c r="Y943" s="77"/>
      <c r="Z943" s="77" t="s">
        <v>387</v>
      </c>
      <c r="AA943" s="77"/>
      <c r="AB943" s="77"/>
      <c r="AC943" s="82" t="s">
        <v>7751</v>
      </c>
      <c r="AD943" s="77" t="s">
        <v>7788</v>
      </c>
      <c r="AE943" s="80" t="str">
        <f>HYPERLINK("https://twitter.com/jonasojunior/status/1707194298691735778")</f>
        <v>https://twitter.com/jonasojunior/status/1707194298691735778</v>
      </c>
      <c r="AF943" s="79">
        <v>45197.030243055553</v>
      </c>
      <c r="AG943" s="85">
        <v>45197</v>
      </c>
      <c r="AH943" s="82" t="s">
        <v>8640</v>
      </c>
      <c r="AI943" s="77" t="b">
        <v>0</v>
      </c>
      <c r="AJ943" s="77"/>
      <c r="AK943" s="77"/>
      <c r="AL943" s="77"/>
      <c r="AM943" s="77"/>
      <c r="AN943" s="77"/>
      <c r="AO943" s="77"/>
      <c r="AP943" s="77"/>
      <c r="AQ943" s="77"/>
      <c r="AR943" s="77"/>
      <c r="AS943" s="77"/>
      <c r="AT943" s="77"/>
      <c r="AU943" s="77"/>
      <c r="AV943" s="80" t="str">
        <f>HYPERLINK("https://pbs.twimg.com/profile_images/1587989527423066112/jqh10kv9_normal.jpg")</f>
        <v>https://pbs.twimg.com/profile_images/1587989527423066112/jqh10kv9_normal.jpg</v>
      </c>
      <c r="AW943" s="82" t="s">
        <v>12624</v>
      </c>
      <c r="AX943" s="82" t="s">
        <v>12624</v>
      </c>
      <c r="AY943" s="77"/>
      <c r="AZ943" s="82" t="s">
        <v>15984</v>
      </c>
      <c r="BA943" s="82" t="s">
        <v>15984</v>
      </c>
      <c r="BB943" s="82" t="s">
        <v>15196</v>
      </c>
      <c r="BC943" s="82" t="s">
        <v>15196</v>
      </c>
      <c r="BD943" s="77">
        <v>40508067</v>
      </c>
      <c r="BE943" s="77"/>
      <c r="BF943" s="77"/>
      <c r="BG943" s="77"/>
      <c r="BH943" s="77"/>
      <c r="BI943" s="77"/>
    </row>
    <row r="944" spans="1:61" x14ac:dyDescent="0.25">
      <c r="A944" s="62" t="s">
        <v>548</v>
      </c>
      <c r="B944" s="62" t="s">
        <v>614</v>
      </c>
      <c r="C944" s="63"/>
      <c r="D944" s="64"/>
      <c r="E944" s="65"/>
      <c r="F944" s="66"/>
      <c r="G944" s="63"/>
      <c r="H944" s="67"/>
      <c r="I944" s="68"/>
      <c r="J944" s="68"/>
      <c r="K944" s="32"/>
      <c r="L944" s="75">
        <v>944</v>
      </c>
      <c r="M944" s="75"/>
      <c r="N944" s="70"/>
      <c r="O944" s="77" t="s">
        <v>897</v>
      </c>
      <c r="P944" s="79">
        <v>45194.1406712963</v>
      </c>
      <c r="Q944" s="77" t="s">
        <v>1174</v>
      </c>
      <c r="R944" s="77">
        <v>2</v>
      </c>
      <c r="S944" s="77">
        <v>0</v>
      </c>
      <c r="T944" s="77">
        <v>0</v>
      </c>
      <c r="U944" s="77">
        <v>0</v>
      </c>
      <c r="V944" s="77"/>
      <c r="W944" s="82" t="s">
        <v>4821</v>
      </c>
      <c r="X944" s="77"/>
      <c r="Y944" s="77"/>
      <c r="Z944" s="77" t="s">
        <v>614</v>
      </c>
      <c r="AA944" s="77"/>
      <c r="AB944" s="77"/>
      <c r="AC944" s="82" t="s">
        <v>7751</v>
      </c>
      <c r="AD944" s="77" t="s">
        <v>7790</v>
      </c>
      <c r="AE944" s="80" t="str">
        <f>HYPERLINK("https://twitter.com/ym9496/status/1706147151321976904")</f>
        <v>https://twitter.com/ym9496/status/1706147151321976904</v>
      </c>
      <c r="AF944" s="79">
        <v>45194.1406712963</v>
      </c>
      <c r="AG944" s="85">
        <v>45194</v>
      </c>
      <c r="AH944" s="82" t="s">
        <v>8641</v>
      </c>
      <c r="AI944" s="77" t="b">
        <v>0</v>
      </c>
      <c r="AJ944" s="77"/>
      <c r="AK944" s="77"/>
      <c r="AL944" s="77"/>
      <c r="AM944" s="77"/>
      <c r="AN944" s="77"/>
      <c r="AO944" s="77"/>
      <c r="AP944" s="77"/>
      <c r="AQ944" s="77"/>
      <c r="AR944" s="77"/>
      <c r="AS944" s="77"/>
      <c r="AT944" s="77"/>
      <c r="AU944" s="77"/>
      <c r="AV944" s="80" t="str">
        <f>HYPERLINK("https://pbs.twimg.com/profile_images/1553162944166432768/ZIPEmTYP_normal.png")</f>
        <v>https://pbs.twimg.com/profile_images/1553162944166432768/ZIPEmTYP_normal.png</v>
      </c>
      <c r="AW944" s="82" t="s">
        <v>12625</v>
      </c>
      <c r="AX944" s="82" t="s">
        <v>12625</v>
      </c>
      <c r="AY944" s="77"/>
      <c r="AZ944" s="82" t="s">
        <v>15984</v>
      </c>
      <c r="BA944" s="82" t="s">
        <v>15984</v>
      </c>
      <c r="BB944" s="82" t="s">
        <v>15339</v>
      </c>
      <c r="BC944" s="82" t="s">
        <v>15339</v>
      </c>
      <c r="BD944" s="82" t="s">
        <v>16291</v>
      </c>
      <c r="BE944" s="77"/>
      <c r="BF944" s="77"/>
      <c r="BG944" s="77"/>
      <c r="BH944" s="77"/>
      <c r="BI944" s="77"/>
    </row>
    <row r="945" spans="1:61" x14ac:dyDescent="0.25">
      <c r="A945" s="62" t="s">
        <v>549</v>
      </c>
      <c r="B945" s="62" t="s">
        <v>502</v>
      </c>
      <c r="C945" s="63"/>
      <c r="D945" s="64"/>
      <c r="E945" s="65"/>
      <c r="F945" s="66"/>
      <c r="G945" s="63"/>
      <c r="H945" s="67"/>
      <c r="I945" s="68"/>
      <c r="J945" s="68"/>
      <c r="K945" s="32"/>
      <c r="L945" s="75">
        <v>945</v>
      </c>
      <c r="M945" s="75"/>
      <c r="N945" s="70"/>
      <c r="O945" s="77" t="s">
        <v>897</v>
      </c>
      <c r="P945" s="79">
        <v>45189.843923611108</v>
      </c>
      <c r="Q945" s="77" t="s">
        <v>1118</v>
      </c>
      <c r="R945" s="77">
        <v>12</v>
      </c>
      <c r="S945" s="77">
        <v>0</v>
      </c>
      <c r="T945" s="77">
        <v>0</v>
      </c>
      <c r="U945" s="77">
        <v>0</v>
      </c>
      <c r="V945" s="77"/>
      <c r="W945" s="82" t="s">
        <v>4934</v>
      </c>
      <c r="X945" s="77"/>
      <c r="Y945" s="77"/>
      <c r="Z945" s="77" t="s">
        <v>502</v>
      </c>
      <c r="AA945" s="77"/>
      <c r="AB945" s="77"/>
      <c r="AC945" s="82" t="s">
        <v>7750</v>
      </c>
      <c r="AD945" s="77" t="s">
        <v>7790</v>
      </c>
      <c r="AE945" s="80" t="str">
        <f>HYPERLINK("https://twitter.com/collacerril/status/1704590062871040490")</f>
        <v>https://twitter.com/collacerril/status/1704590062871040490</v>
      </c>
      <c r="AF945" s="79">
        <v>45189.843923611108</v>
      </c>
      <c r="AG945" s="85">
        <v>45189</v>
      </c>
      <c r="AH945" s="82" t="s">
        <v>8642</v>
      </c>
      <c r="AI945" s="77"/>
      <c r="AJ945" s="77"/>
      <c r="AK945" s="77"/>
      <c r="AL945" s="77"/>
      <c r="AM945" s="77"/>
      <c r="AN945" s="77"/>
      <c r="AO945" s="77"/>
      <c r="AP945" s="77"/>
      <c r="AQ945" s="77"/>
      <c r="AR945" s="77"/>
      <c r="AS945" s="77"/>
      <c r="AT945" s="77"/>
      <c r="AU945" s="77"/>
      <c r="AV945" s="80" t="str">
        <f>HYPERLINK("https://pbs.twimg.com/profile_images/1298974384582012934/H38awrrO_normal.jpg")</f>
        <v>https://pbs.twimg.com/profile_images/1298974384582012934/H38awrrO_normal.jpg</v>
      </c>
      <c r="AW945" s="82" t="s">
        <v>12626</v>
      </c>
      <c r="AX945" s="82" t="s">
        <v>12626</v>
      </c>
      <c r="AY945" s="77"/>
      <c r="AZ945" s="82" t="s">
        <v>15984</v>
      </c>
      <c r="BA945" s="82" t="s">
        <v>15984</v>
      </c>
      <c r="BB945" s="82" t="s">
        <v>13287</v>
      </c>
      <c r="BC945" s="82" t="s">
        <v>13287</v>
      </c>
      <c r="BD945" s="77">
        <v>964708386</v>
      </c>
      <c r="BE945" s="77"/>
      <c r="BF945" s="77"/>
      <c r="BG945" s="77"/>
      <c r="BH945" s="77"/>
      <c r="BI945" s="77"/>
    </row>
    <row r="946" spans="1:61" x14ac:dyDescent="0.25">
      <c r="A946" s="62" t="s">
        <v>550</v>
      </c>
      <c r="B946" s="62" t="s">
        <v>813</v>
      </c>
      <c r="C946" s="63"/>
      <c r="D946" s="64"/>
      <c r="E946" s="65"/>
      <c r="F946" s="66"/>
      <c r="G946" s="63"/>
      <c r="H946" s="67"/>
      <c r="I946" s="68"/>
      <c r="J946" s="68"/>
      <c r="K946" s="32"/>
      <c r="L946" s="75">
        <v>946</v>
      </c>
      <c r="M946" s="75"/>
      <c r="N946" s="70"/>
      <c r="O946" s="77" t="s">
        <v>895</v>
      </c>
      <c r="P946" s="79">
        <v>45139.104270833333</v>
      </c>
      <c r="Q946" s="77" t="s">
        <v>1771</v>
      </c>
      <c r="R946" s="77">
        <v>0</v>
      </c>
      <c r="S946" s="77">
        <v>0</v>
      </c>
      <c r="T946" s="77">
        <v>0</v>
      </c>
      <c r="U946" s="77">
        <v>0</v>
      </c>
      <c r="V946" s="77">
        <v>127</v>
      </c>
      <c r="W946" s="82" t="s">
        <v>5308</v>
      </c>
      <c r="X946" s="77"/>
      <c r="Y946" s="77"/>
      <c r="Z946" s="77" t="s">
        <v>813</v>
      </c>
      <c r="AA946" s="77" t="s">
        <v>7156</v>
      </c>
      <c r="AB946" s="77" t="s">
        <v>7742</v>
      </c>
      <c r="AC946" s="82" t="s">
        <v>7751</v>
      </c>
      <c r="AD946" s="77" t="s">
        <v>7788</v>
      </c>
      <c r="AE946" s="80" t="str">
        <f>HYPERLINK("https://twitter.com/_adrianossantos/status/1686202629997592576")</f>
        <v>https://twitter.com/_adrianossantos/status/1686202629997592576</v>
      </c>
      <c r="AF946" s="79">
        <v>45139.104270833333</v>
      </c>
      <c r="AG946" s="85">
        <v>45139</v>
      </c>
      <c r="AH946" s="82" t="s">
        <v>8643</v>
      </c>
      <c r="AI946" s="77" t="b">
        <v>0</v>
      </c>
      <c r="AJ946" s="77"/>
      <c r="AK946" s="77"/>
      <c r="AL946" s="77"/>
      <c r="AM946" s="77"/>
      <c r="AN946" s="77"/>
      <c r="AO946" s="77"/>
      <c r="AP946" s="77"/>
      <c r="AQ946" s="77" t="s">
        <v>11128</v>
      </c>
      <c r="AR946" s="77"/>
      <c r="AS946" s="77"/>
      <c r="AT946" s="77"/>
      <c r="AU946" s="77"/>
      <c r="AV946" s="80" t="str">
        <f>HYPERLINK("https://pbs.twimg.com/media/F2aYWwnX0AACT1m.jpg")</f>
        <v>https://pbs.twimg.com/media/F2aYWwnX0AACT1m.jpg</v>
      </c>
      <c r="AW946" s="82" t="s">
        <v>12627</v>
      </c>
      <c r="AX946" s="82" t="s">
        <v>12627</v>
      </c>
      <c r="AY946" s="77"/>
      <c r="AZ946" s="82" t="s">
        <v>15984</v>
      </c>
      <c r="BA946" s="82" t="s">
        <v>15984</v>
      </c>
      <c r="BB946" s="82" t="s">
        <v>15984</v>
      </c>
      <c r="BC946" s="82" t="s">
        <v>12627</v>
      </c>
      <c r="BD946" s="82" t="s">
        <v>16292</v>
      </c>
      <c r="BE946" s="77"/>
      <c r="BF946" s="77"/>
      <c r="BG946" s="77"/>
      <c r="BH946" s="77"/>
      <c r="BI946" s="77"/>
    </row>
    <row r="947" spans="1:61" x14ac:dyDescent="0.25">
      <c r="A947" s="62" t="s">
        <v>551</v>
      </c>
      <c r="B947" s="62" t="s">
        <v>387</v>
      </c>
      <c r="C947" s="63"/>
      <c r="D947" s="64"/>
      <c r="E947" s="65"/>
      <c r="F947" s="66"/>
      <c r="G947" s="63"/>
      <c r="H947" s="67"/>
      <c r="I947" s="68"/>
      <c r="J947" s="68"/>
      <c r="K947" s="32"/>
      <c r="L947" s="75">
        <v>947</v>
      </c>
      <c r="M947" s="75"/>
      <c r="N947" s="70"/>
      <c r="O947" s="77" t="s">
        <v>897</v>
      </c>
      <c r="P947" s="79">
        <v>45189.475497685184</v>
      </c>
      <c r="Q947" s="77" t="s">
        <v>1772</v>
      </c>
      <c r="R947" s="77">
        <v>1</v>
      </c>
      <c r="S947" s="77">
        <v>0</v>
      </c>
      <c r="T947" s="77">
        <v>0</v>
      </c>
      <c r="U947" s="77">
        <v>0</v>
      </c>
      <c r="V947" s="77"/>
      <c r="W947" s="77"/>
      <c r="X947" s="77"/>
      <c r="Y947" s="77"/>
      <c r="Z947" s="77" t="s">
        <v>387</v>
      </c>
      <c r="AA947" s="77"/>
      <c r="AB947" s="77"/>
      <c r="AC947" s="82" t="s">
        <v>7751</v>
      </c>
      <c r="AD947" s="77" t="s">
        <v>7788</v>
      </c>
      <c r="AE947" s="80" t="str">
        <f>HYPERLINK("https://twitter.com/rafa_oliver_/status/1704456549811322922")</f>
        <v>https://twitter.com/rafa_oliver_/status/1704456549811322922</v>
      </c>
      <c r="AF947" s="79">
        <v>45189.475497685184</v>
      </c>
      <c r="AG947" s="85">
        <v>45189</v>
      </c>
      <c r="AH947" s="82" t="s">
        <v>8644</v>
      </c>
      <c r="AI947" s="77"/>
      <c r="AJ947" s="77"/>
      <c r="AK947" s="77"/>
      <c r="AL947" s="77"/>
      <c r="AM947" s="77"/>
      <c r="AN947" s="77"/>
      <c r="AO947" s="77"/>
      <c r="AP947" s="77"/>
      <c r="AQ947" s="77"/>
      <c r="AR947" s="77"/>
      <c r="AS947" s="77"/>
      <c r="AT947" s="77"/>
      <c r="AU947" s="77"/>
      <c r="AV947" s="80" t="str">
        <f>HYPERLINK("https://pbs.twimg.com/profile_images/1676989637158486016/H8KuXrUr_normal.jpg")</f>
        <v>https://pbs.twimg.com/profile_images/1676989637158486016/H8KuXrUr_normal.jpg</v>
      </c>
      <c r="AW947" s="82" t="s">
        <v>12628</v>
      </c>
      <c r="AX947" s="82" t="s">
        <v>12628</v>
      </c>
      <c r="AY947" s="77"/>
      <c r="AZ947" s="82" t="s">
        <v>15984</v>
      </c>
      <c r="BA947" s="82" t="s">
        <v>15984</v>
      </c>
      <c r="BB947" s="82" t="s">
        <v>14584</v>
      </c>
      <c r="BC947" s="82" t="s">
        <v>14584</v>
      </c>
      <c r="BD947" s="77">
        <v>43869858</v>
      </c>
      <c r="BE947" s="77"/>
      <c r="BF947" s="77"/>
      <c r="BG947" s="77"/>
      <c r="BH947" s="77"/>
      <c r="BI947" s="77"/>
    </row>
    <row r="948" spans="1:61" x14ac:dyDescent="0.25">
      <c r="A948" s="62" t="s">
        <v>552</v>
      </c>
      <c r="B948" s="62" t="s">
        <v>552</v>
      </c>
      <c r="C948" s="63"/>
      <c r="D948" s="64"/>
      <c r="E948" s="65"/>
      <c r="F948" s="66"/>
      <c r="G948" s="63"/>
      <c r="H948" s="67"/>
      <c r="I948" s="68"/>
      <c r="J948" s="68"/>
      <c r="K948" s="32"/>
      <c r="L948" s="75">
        <v>948</v>
      </c>
      <c r="M948" s="75"/>
      <c r="N948" s="70"/>
      <c r="O948" s="77" t="s">
        <v>179</v>
      </c>
      <c r="P948" s="79">
        <v>45154.876435185186</v>
      </c>
      <c r="Q948" s="77" t="s">
        <v>1773</v>
      </c>
      <c r="R948" s="77">
        <v>0</v>
      </c>
      <c r="S948" s="77">
        <v>1</v>
      </c>
      <c r="T948" s="77">
        <v>0</v>
      </c>
      <c r="U948" s="77">
        <v>0</v>
      </c>
      <c r="V948" s="77">
        <v>35</v>
      </c>
      <c r="W948" s="82" t="s">
        <v>5309</v>
      </c>
      <c r="X948" s="80" t="str">
        <f>HYPERLINK("https://www.youtube.com/watch?v=k4Jds7duGzg")</f>
        <v>https://www.youtube.com/watch?v=k4Jds7duGzg</v>
      </c>
      <c r="Y948" s="77" t="s">
        <v>6480</v>
      </c>
      <c r="Z948" s="77"/>
      <c r="AA948" s="77"/>
      <c r="AB948" s="77"/>
      <c r="AC948" s="82" t="s">
        <v>7771</v>
      </c>
      <c r="AD948" s="77" t="s">
        <v>7788</v>
      </c>
      <c r="AE948" s="80" t="str">
        <f>HYPERLINK("https://twitter.com/bpopeconomia/status/1691918271350448523")</f>
        <v>https://twitter.com/bpopeconomia/status/1691918271350448523</v>
      </c>
      <c r="AF948" s="79">
        <v>45154.876435185186</v>
      </c>
      <c r="AG948" s="85">
        <v>45154</v>
      </c>
      <c r="AH948" s="82" t="s">
        <v>8645</v>
      </c>
      <c r="AI948" s="77" t="b">
        <v>0</v>
      </c>
      <c r="AJ948" s="77"/>
      <c r="AK948" s="77"/>
      <c r="AL948" s="77"/>
      <c r="AM948" s="77"/>
      <c r="AN948" s="77"/>
      <c r="AO948" s="77"/>
      <c r="AP948" s="77"/>
      <c r="AQ948" s="77"/>
      <c r="AR948" s="77"/>
      <c r="AS948" s="77"/>
      <c r="AT948" s="77"/>
      <c r="AU948" s="77"/>
      <c r="AV948" s="80" t="str">
        <f>HYPERLINK("https://pbs.twimg.com/profile_images/1608865797509627906/NmQyzXGt_normal.jpg")</f>
        <v>https://pbs.twimg.com/profile_images/1608865797509627906/NmQyzXGt_normal.jpg</v>
      </c>
      <c r="AW948" s="82" t="s">
        <v>12629</v>
      </c>
      <c r="AX948" s="82" t="s">
        <v>12629</v>
      </c>
      <c r="AY948" s="77"/>
      <c r="AZ948" s="82" t="s">
        <v>15984</v>
      </c>
      <c r="BA948" s="82" t="s">
        <v>15984</v>
      </c>
      <c r="BB948" s="82" t="s">
        <v>15984</v>
      </c>
      <c r="BC948" s="82" t="s">
        <v>12629</v>
      </c>
      <c r="BD948" s="82" t="s">
        <v>16293</v>
      </c>
      <c r="BE948" s="77"/>
      <c r="BF948" s="77"/>
      <c r="BG948" s="77"/>
      <c r="BH948" s="77"/>
      <c r="BI948" s="77"/>
    </row>
    <row r="949" spans="1:61" x14ac:dyDescent="0.25">
      <c r="A949" s="62" t="s">
        <v>552</v>
      </c>
      <c r="B949" s="62" t="s">
        <v>552</v>
      </c>
      <c r="C949" s="63"/>
      <c r="D949" s="64"/>
      <c r="E949" s="65"/>
      <c r="F949" s="66"/>
      <c r="G949" s="63"/>
      <c r="H949" s="67"/>
      <c r="I949" s="68"/>
      <c r="J949" s="68"/>
      <c r="K949" s="32"/>
      <c r="L949" s="75">
        <v>949</v>
      </c>
      <c r="M949" s="75"/>
      <c r="N949" s="70"/>
      <c r="O949" s="77" t="s">
        <v>179</v>
      </c>
      <c r="P949" s="79">
        <v>45151.666875000003</v>
      </c>
      <c r="Q949" s="77" t="s">
        <v>1774</v>
      </c>
      <c r="R949" s="77">
        <v>0</v>
      </c>
      <c r="S949" s="77">
        <v>3</v>
      </c>
      <c r="T949" s="77">
        <v>0</v>
      </c>
      <c r="U949" s="77">
        <v>0</v>
      </c>
      <c r="V949" s="77">
        <v>106</v>
      </c>
      <c r="W949" s="82" t="s">
        <v>5310</v>
      </c>
      <c r="X949" s="77"/>
      <c r="Y949" s="77"/>
      <c r="Z949" s="77"/>
      <c r="AA949" s="77" t="s">
        <v>7157</v>
      </c>
      <c r="AB949" s="77" t="s">
        <v>7743</v>
      </c>
      <c r="AC949" s="82" t="s">
        <v>7771</v>
      </c>
      <c r="AD949" s="77" t="s">
        <v>7788</v>
      </c>
      <c r="AE949" s="80" t="str">
        <f>HYPERLINK("https://twitter.com/bpopeconomia/status/1690755165903564800")</f>
        <v>https://twitter.com/bpopeconomia/status/1690755165903564800</v>
      </c>
      <c r="AF949" s="79">
        <v>45151.666875000003</v>
      </c>
      <c r="AG949" s="85">
        <v>45151</v>
      </c>
      <c r="AH949" s="82" t="s">
        <v>8646</v>
      </c>
      <c r="AI949" s="77" t="b">
        <v>0</v>
      </c>
      <c r="AJ949" s="77"/>
      <c r="AK949" s="77"/>
      <c r="AL949" s="77"/>
      <c r="AM949" s="77"/>
      <c r="AN949" s="77"/>
      <c r="AO949" s="77"/>
      <c r="AP949" s="77"/>
      <c r="AQ949" s="77" t="s">
        <v>11129</v>
      </c>
      <c r="AR949" s="77">
        <v>59800</v>
      </c>
      <c r="AS949" s="77"/>
      <c r="AT949" s="77"/>
      <c r="AU949" s="77"/>
      <c r="AV949" s="80" t="str">
        <f>HYPERLINK("https://pbs.twimg.com/ext_tw_video_thumb/1690755108118650881/pu/img/uh7YEwAp6SUO1Bm6.jpg")</f>
        <v>https://pbs.twimg.com/ext_tw_video_thumb/1690755108118650881/pu/img/uh7YEwAp6SUO1Bm6.jpg</v>
      </c>
      <c r="AW949" s="82" t="s">
        <v>12630</v>
      </c>
      <c r="AX949" s="82" t="s">
        <v>12630</v>
      </c>
      <c r="AY949" s="77"/>
      <c r="AZ949" s="82" t="s">
        <v>15984</v>
      </c>
      <c r="BA949" s="82" t="s">
        <v>15984</v>
      </c>
      <c r="BB949" s="82" t="s">
        <v>15984</v>
      </c>
      <c r="BC949" s="82" t="s">
        <v>12630</v>
      </c>
      <c r="BD949" s="82" t="s">
        <v>16293</v>
      </c>
      <c r="BE949" s="77"/>
      <c r="BF949" s="77"/>
      <c r="BG949" s="77"/>
      <c r="BH949" s="77"/>
      <c r="BI949" s="77"/>
    </row>
    <row r="950" spans="1:61" x14ac:dyDescent="0.25">
      <c r="A950" s="62" t="s">
        <v>552</v>
      </c>
      <c r="B950" s="62" t="s">
        <v>552</v>
      </c>
      <c r="C950" s="63"/>
      <c r="D950" s="64"/>
      <c r="E950" s="65"/>
      <c r="F950" s="66"/>
      <c r="G950" s="63"/>
      <c r="H950" s="67"/>
      <c r="I950" s="68"/>
      <c r="J950" s="68"/>
      <c r="K950" s="32"/>
      <c r="L950" s="75">
        <v>950</v>
      </c>
      <c r="M950" s="75"/>
      <c r="N950" s="70"/>
      <c r="O950" s="77" t="s">
        <v>179</v>
      </c>
      <c r="P950" s="79">
        <v>45153.906273148146</v>
      </c>
      <c r="Q950" s="77" t="s">
        <v>1775</v>
      </c>
      <c r="R950" s="77">
        <v>0</v>
      </c>
      <c r="S950" s="77">
        <v>1</v>
      </c>
      <c r="T950" s="77">
        <v>0</v>
      </c>
      <c r="U950" s="77">
        <v>0</v>
      </c>
      <c r="V950" s="77">
        <v>55</v>
      </c>
      <c r="W950" s="82" t="s">
        <v>5311</v>
      </c>
      <c r="X950" s="80" t="str">
        <f>HYPERLINK("https://www.youtube.com/watch?v=bsVGtnc0MQY")</f>
        <v>https://www.youtube.com/watch?v=bsVGtnc0MQY</v>
      </c>
      <c r="Y950" s="77" t="s">
        <v>6480</v>
      </c>
      <c r="Z950" s="77"/>
      <c r="AA950" s="77"/>
      <c r="AB950" s="77"/>
      <c r="AC950" s="82" t="s">
        <v>7771</v>
      </c>
      <c r="AD950" s="77" t="s">
        <v>7788</v>
      </c>
      <c r="AE950" s="80" t="str">
        <f>HYPERLINK("https://twitter.com/bpopeconomia/status/1691566695851147568")</f>
        <v>https://twitter.com/bpopeconomia/status/1691566695851147568</v>
      </c>
      <c r="AF950" s="79">
        <v>45153.906273148146</v>
      </c>
      <c r="AG950" s="85">
        <v>45153</v>
      </c>
      <c r="AH950" s="82" t="s">
        <v>8647</v>
      </c>
      <c r="AI950" s="77" t="b">
        <v>0</v>
      </c>
      <c r="AJ950" s="77"/>
      <c r="AK950" s="77"/>
      <c r="AL950" s="77"/>
      <c r="AM950" s="77"/>
      <c r="AN950" s="77"/>
      <c r="AO950" s="77"/>
      <c r="AP950" s="77"/>
      <c r="AQ950" s="77"/>
      <c r="AR950" s="77"/>
      <c r="AS950" s="77"/>
      <c r="AT950" s="77"/>
      <c r="AU950" s="77"/>
      <c r="AV950" s="80" t="str">
        <f>HYPERLINK("https://pbs.twimg.com/profile_images/1608865797509627906/NmQyzXGt_normal.jpg")</f>
        <v>https://pbs.twimg.com/profile_images/1608865797509627906/NmQyzXGt_normal.jpg</v>
      </c>
      <c r="AW950" s="82" t="s">
        <v>12631</v>
      </c>
      <c r="AX950" s="82" t="s">
        <v>12631</v>
      </c>
      <c r="AY950" s="77"/>
      <c r="AZ950" s="82" t="s">
        <v>15984</v>
      </c>
      <c r="BA950" s="82" t="s">
        <v>15984</v>
      </c>
      <c r="BB950" s="82" t="s">
        <v>15984</v>
      </c>
      <c r="BC950" s="82" t="s">
        <v>12631</v>
      </c>
      <c r="BD950" s="82" t="s">
        <v>16293</v>
      </c>
      <c r="BE950" s="77"/>
      <c r="BF950" s="77"/>
      <c r="BG950" s="77"/>
      <c r="BH950" s="77"/>
      <c r="BI950" s="77"/>
    </row>
    <row r="951" spans="1:61" x14ac:dyDescent="0.25">
      <c r="A951" s="62" t="s">
        <v>553</v>
      </c>
      <c r="B951" s="62" t="s">
        <v>502</v>
      </c>
      <c r="C951" s="63"/>
      <c r="D951" s="64"/>
      <c r="E951" s="65"/>
      <c r="F951" s="66"/>
      <c r="G951" s="63"/>
      <c r="H951" s="67"/>
      <c r="I951" s="68"/>
      <c r="J951" s="68"/>
      <c r="K951" s="32"/>
      <c r="L951" s="75">
        <v>951</v>
      </c>
      <c r="M951" s="75"/>
      <c r="N951" s="70"/>
      <c r="O951" s="77" t="s">
        <v>897</v>
      </c>
      <c r="P951" s="79">
        <v>45189.435949074075</v>
      </c>
      <c r="Q951" s="77" t="s">
        <v>1118</v>
      </c>
      <c r="R951" s="77">
        <v>12</v>
      </c>
      <c r="S951" s="77">
        <v>0</v>
      </c>
      <c r="T951" s="77">
        <v>0</v>
      </c>
      <c r="U951" s="77">
        <v>0</v>
      </c>
      <c r="V951" s="77"/>
      <c r="W951" s="82" t="s">
        <v>4934</v>
      </c>
      <c r="X951" s="77"/>
      <c r="Y951" s="77"/>
      <c r="Z951" s="77" t="s">
        <v>502</v>
      </c>
      <c r="AA951" s="77"/>
      <c r="AB951" s="77"/>
      <c r="AC951" s="82" t="s">
        <v>7750</v>
      </c>
      <c r="AD951" s="77" t="s">
        <v>7790</v>
      </c>
      <c r="AE951" s="80" t="str">
        <f>HYPERLINK("https://twitter.com/lezama14/status/1704442218868605194")</f>
        <v>https://twitter.com/lezama14/status/1704442218868605194</v>
      </c>
      <c r="AF951" s="79">
        <v>45189.435949074075</v>
      </c>
      <c r="AG951" s="85">
        <v>45189</v>
      </c>
      <c r="AH951" s="82" t="s">
        <v>8648</v>
      </c>
      <c r="AI951" s="77"/>
      <c r="AJ951" s="77"/>
      <c r="AK951" s="77"/>
      <c r="AL951" s="77"/>
      <c r="AM951" s="77"/>
      <c r="AN951" s="77"/>
      <c r="AO951" s="77"/>
      <c r="AP951" s="77"/>
      <c r="AQ951" s="77"/>
      <c r="AR951" s="77"/>
      <c r="AS951" s="77"/>
      <c r="AT951" s="77"/>
      <c r="AU951" s="77"/>
      <c r="AV951" s="80" t="str">
        <f>HYPERLINK("https://pbs.twimg.com/profile_images/1640356205326368776/440J5qlA_normal.jpg")</f>
        <v>https://pbs.twimg.com/profile_images/1640356205326368776/440J5qlA_normal.jpg</v>
      </c>
      <c r="AW951" s="82" t="s">
        <v>12632</v>
      </c>
      <c r="AX951" s="82" t="s">
        <v>12632</v>
      </c>
      <c r="AY951" s="77"/>
      <c r="AZ951" s="82" t="s">
        <v>15984</v>
      </c>
      <c r="BA951" s="82" t="s">
        <v>15984</v>
      </c>
      <c r="BB951" s="82" t="s">
        <v>13287</v>
      </c>
      <c r="BC951" s="82" t="s">
        <v>13287</v>
      </c>
      <c r="BD951" s="77">
        <v>568696723</v>
      </c>
      <c r="BE951" s="77"/>
      <c r="BF951" s="77"/>
      <c r="BG951" s="77"/>
      <c r="BH951" s="77"/>
      <c r="BI951" s="77"/>
    </row>
    <row r="952" spans="1:61" x14ac:dyDescent="0.25">
      <c r="A952" s="62" t="s">
        <v>554</v>
      </c>
      <c r="B952" s="62" t="s">
        <v>814</v>
      </c>
      <c r="C952" s="63"/>
      <c r="D952" s="64"/>
      <c r="E952" s="65"/>
      <c r="F952" s="66"/>
      <c r="G952" s="63"/>
      <c r="H952" s="67"/>
      <c r="I952" s="68"/>
      <c r="J952" s="68"/>
      <c r="K952" s="32"/>
      <c r="L952" s="75">
        <v>952</v>
      </c>
      <c r="M952" s="75"/>
      <c r="N952" s="70"/>
      <c r="O952" s="77" t="s">
        <v>895</v>
      </c>
      <c r="P952" s="79">
        <v>45183.310254629629</v>
      </c>
      <c r="Q952" s="77" t="s">
        <v>1776</v>
      </c>
      <c r="R952" s="77">
        <v>8</v>
      </c>
      <c r="S952" s="77">
        <v>39</v>
      </c>
      <c r="T952" s="77">
        <v>3</v>
      </c>
      <c r="U952" s="77">
        <v>0</v>
      </c>
      <c r="V952" s="77">
        <v>2031</v>
      </c>
      <c r="W952" s="82" t="s">
        <v>5312</v>
      </c>
      <c r="X952" s="80" t="str">
        <f>HYPERLINK("https://www.youtube.com/watch?v=oCNXtwK7eB4")</f>
        <v>https://www.youtube.com/watch?v=oCNXtwK7eB4</v>
      </c>
      <c r="Y952" s="77" t="s">
        <v>6480</v>
      </c>
      <c r="Z952" s="77" t="s">
        <v>814</v>
      </c>
      <c r="AA952" s="77"/>
      <c r="AB952" s="77"/>
      <c r="AC952" s="82" t="s">
        <v>7750</v>
      </c>
      <c r="AD952" s="77" t="s">
        <v>7790</v>
      </c>
      <c r="AE952" s="80" t="str">
        <f>HYPERLINK("https://twitter.com/dragonoroplata/status/1702222339126034710")</f>
        <v>https://twitter.com/dragonoroplata/status/1702222339126034710</v>
      </c>
      <c r="AF952" s="79">
        <v>45183.310254629629</v>
      </c>
      <c r="AG952" s="85">
        <v>45183</v>
      </c>
      <c r="AH952" s="82" t="s">
        <v>8649</v>
      </c>
      <c r="AI952" s="77" t="b">
        <v>0</v>
      </c>
      <c r="AJ952" s="77"/>
      <c r="AK952" s="77"/>
      <c r="AL952" s="77"/>
      <c r="AM952" s="77"/>
      <c r="AN952" s="77"/>
      <c r="AO952" s="77"/>
      <c r="AP952" s="77"/>
      <c r="AQ952" s="77"/>
      <c r="AR952" s="77"/>
      <c r="AS952" s="77"/>
      <c r="AT952" s="77"/>
      <c r="AU952" s="77"/>
      <c r="AV952" s="80" t="str">
        <f>HYPERLINK("https://pbs.twimg.com/profile_images/1374861669566930946/73S2-68a_normal.jpg")</f>
        <v>https://pbs.twimg.com/profile_images/1374861669566930946/73S2-68a_normal.jpg</v>
      </c>
      <c r="AW952" s="82" t="s">
        <v>12633</v>
      </c>
      <c r="AX952" s="82" t="s">
        <v>12633</v>
      </c>
      <c r="AY952" s="77"/>
      <c r="AZ952" s="82" t="s">
        <v>15984</v>
      </c>
      <c r="BA952" s="82" t="s">
        <v>15984</v>
      </c>
      <c r="BB952" s="82" t="s">
        <v>15984</v>
      </c>
      <c r="BC952" s="82" t="s">
        <v>12633</v>
      </c>
      <c r="BD952" s="82" t="s">
        <v>16294</v>
      </c>
      <c r="BE952" s="77"/>
      <c r="BF952" s="77"/>
      <c r="BG952" s="77"/>
      <c r="BH952" s="77"/>
      <c r="BI952" s="77"/>
    </row>
    <row r="953" spans="1:61" x14ac:dyDescent="0.25">
      <c r="A953" s="62" t="s">
        <v>555</v>
      </c>
      <c r="B953" s="62" t="s">
        <v>555</v>
      </c>
      <c r="C953" s="63"/>
      <c r="D953" s="64"/>
      <c r="E953" s="65"/>
      <c r="F953" s="66"/>
      <c r="G953" s="63"/>
      <c r="H953" s="67"/>
      <c r="I953" s="68"/>
      <c r="J953" s="68"/>
      <c r="K953" s="32"/>
      <c r="L953" s="75">
        <v>953</v>
      </c>
      <c r="M953" s="75"/>
      <c r="N953" s="70"/>
      <c r="O953" s="77" t="s">
        <v>179</v>
      </c>
      <c r="P953" s="79">
        <v>45169.856134259258</v>
      </c>
      <c r="Q953" s="77" t="s">
        <v>1777</v>
      </c>
      <c r="R953" s="77">
        <v>0</v>
      </c>
      <c r="S953" s="77">
        <v>1</v>
      </c>
      <c r="T953" s="77">
        <v>1</v>
      </c>
      <c r="U953" s="77">
        <v>0</v>
      </c>
      <c r="V953" s="77">
        <v>143</v>
      </c>
      <c r="W953" s="82" t="s">
        <v>5313</v>
      </c>
      <c r="X953" s="77"/>
      <c r="Y953" s="77"/>
      <c r="Z953" s="77"/>
      <c r="AA953" s="77" t="s">
        <v>7158</v>
      </c>
      <c r="AB953" s="77" t="s">
        <v>7743</v>
      </c>
      <c r="AC953" s="82" t="s">
        <v>7750</v>
      </c>
      <c r="AD953" s="77" t="s">
        <v>7788</v>
      </c>
      <c r="AE953" s="80" t="str">
        <f>HYPERLINK("https://twitter.com/kinvoapp/status/1697346732365877349")</f>
        <v>https://twitter.com/kinvoapp/status/1697346732365877349</v>
      </c>
      <c r="AF953" s="79">
        <v>45169.856134259258</v>
      </c>
      <c r="AG953" s="85">
        <v>45169</v>
      </c>
      <c r="AH953" s="82" t="s">
        <v>8650</v>
      </c>
      <c r="AI953" s="77" t="b">
        <v>0</v>
      </c>
      <c r="AJ953" s="77"/>
      <c r="AK953" s="77"/>
      <c r="AL953" s="77"/>
      <c r="AM953" s="77"/>
      <c r="AN953" s="77"/>
      <c r="AO953" s="77"/>
      <c r="AP953" s="77"/>
      <c r="AQ953" s="77" t="s">
        <v>11130</v>
      </c>
      <c r="AR953" s="77">
        <v>66708</v>
      </c>
      <c r="AS953" s="77"/>
      <c r="AT953" s="77"/>
      <c r="AU953" s="77"/>
      <c r="AV953" s="80" t="str">
        <f>HYPERLINK("https://pbs.twimg.com/ext_tw_video_thumb/1697346484373438464/pu/img/6FnSbhBEi5xLQjCw.jpg")</f>
        <v>https://pbs.twimg.com/ext_tw_video_thumb/1697346484373438464/pu/img/6FnSbhBEi5xLQjCw.jpg</v>
      </c>
      <c r="AW953" s="82" t="s">
        <v>12634</v>
      </c>
      <c r="AX953" s="82" t="s">
        <v>12634</v>
      </c>
      <c r="AY953" s="77"/>
      <c r="AZ953" s="82" t="s">
        <v>15984</v>
      </c>
      <c r="BA953" s="82" t="s">
        <v>15984</v>
      </c>
      <c r="BB953" s="82" t="s">
        <v>15984</v>
      </c>
      <c r="BC953" s="82" t="s">
        <v>12634</v>
      </c>
      <c r="BD953" s="82" t="s">
        <v>16295</v>
      </c>
      <c r="BE953" s="77"/>
      <c r="BF953" s="77"/>
      <c r="BG953" s="77"/>
      <c r="BH953" s="77"/>
      <c r="BI953" s="77"/>
    </row>
    <row r="954" spans="1:61" x14ac:dyDescent="0.25">
      <c r="A954" s="62" t="s">
        <v>556</v>
      </c>
      <c r="B954" s="62" t="s">
        <v>614</v>
      </c>
      <c r="C954" s="63"/>
      <c r="D954" s="64"/>
      <c r="E954" s="65"/>
      <c r="F954" s="66"/>
      <c r="G954" s="63"/>
      <c r="H954" s="67"/>
      <c r="I954" s="68"/>
      <c r="J954" s="68"/>
      <c r="K954" s="32"/>
      <c r="L954" s="75">
        <v>954</v>
      </c>
      <c r="M954" s="75"/>
      <c r="N954" s="70"/>
      <c r="O954" s="77" t="s">
        <v>897</v>
      </c>
      <c r="P954" s="79">
        <v>45191.5080787037</v>
      </c>
      <c r="Q954" s="77" t="s">
        <v>1035</v>
      </c>
      <c r="R954" s="77">
        <v>4</v>
      </c>
      <c r="S954" s="77">
        <v>0</v>
      </c>
      <c r="T954" s="77">
        <v>0</v>
      </c>
      <c r="U954" s="77">
        <v>0</v>
      </c>
      <c r="V954" s="77"/>
      <c r="W954" s="82" t="s">
        <v>4821</v>
      </c>
      <c r="X954" s="77"/>
      <c r="Y954" s="77"/>
      <c r="Z954" s="77" t="s">
        <v>614</v>
      </c>
      <c r="AA954" s="77"/>
      <c r="AB954" s="77"/>
      <c r="AC954" s="82" t="s">
        <v>7752</v>
      </c>
      <c r="AD954" s="77" t="s">
        <v>7790</v>
      </c>
      <c r="AE954" s="80" t="str">
        <f>HYPERLINK("https://twitter.com/memoburu1971/status/1705193134886420946")</f>
        <v>https://twitter.com/memoburu1971/status/1705193134886420946</v>
      </c>
      <c r="AF954" s="79">
        <v>45191.5080787037</v>
      </c>
      <c r="AG954" s="85">
        <v>45191</v>
      </c>
      <c r="AH954" s="82" t="s">
        <v>8651</v>
      </c>
      <c r="AI954" s="77" t="b">
        <v>0</v>
      </c>
      <c r="AJ954" s="77"/>
      <c r="AK954" s="77"/>
      <c r="AL954" s="77"/>
      <c r="AM954" s="77"/>
      <c r="AN954" s="77"/>
      <c r="AO954" s="77"/>
      <c r="AP954" s="77"/>
      <c r="AQ954" s="77"/>
      <c r="AR954" s="77"/>
      <c r="AS954" s="77"/>
      <c r="AT954" s="77"/>
      <c r="AU954" s="77"/>
      <c r="AV954" s="80" t="str">
        <f>HYPERLINK("https://pbs.twimg.com/profile_images/1585233383273242624/gncpJtud_normal.jpg")</f>
        <v>https://pbs.twimg.com/profile_images/1585233383273242624/gncpJtud_normal.jpg</v>
      </c>
      <c r="AW954" s="82" t="s">
        <v>12635</v>
      </c>
      <c r="AX954" s="82" t="s">
        <v>12635</v>
      </c>
      <c r="AY954" s="77"/>
      <c r="AZ954" s="82" t="s">
        <v>15984</v>
      </c>
      <c r="BA954" s="82" t="s">
        <v>15984</v>
      </c>
      <c r="BB954" s="82" t="s">
        <v>13021</v>
      </c>
      <c r="BC954" s="82" t="s">
        <v>13021</v>
      </c>
      <c r="BD954" s="82" t="s">
        <v>16296</v>
      </c>
      <c r="BE954" s="77"/>
      <c r="BF954" s="77"/>
      <c r="BG954" s="77"/>
      <c r="BH954" s="77"/>
      <c r="BI954" s="77"/>
    </row>
    <row r="955" spans="1:61" x14ac:dyDescent="0.25">
      <c r="A955" s="62" t="s">
        <v>557</v>
      </c>
      <c r="B955" s="62" t="s">
        <v>557</v>
      </c>
      <c r="C955" s="63"/>
      <c r="D955" s="64"/>
      <c r="E955" s="65"/>
      <c r="F955" s="66"/>
      <c r="G955" s="63"/>
      <c r="H955" s="67"/>
      <c r="I955" s="68"/>
      <c r="J955" s="68"/>
      <c r="K955" s="32"/>
      <c r="L955" s="75">
        <v>955</v>
      </c>
      <c r="M955" s="75"/>
      <c r="N955" s="70"/>
      <c r="O955" s="77" t="s">
        <v>179</v>
      </c>
      <c r="P955" s="79">
        <v>45193.859629629631</v>
      </c>
      <c r="Q955" s="77" t="s">
        <v>1014</v>
      </c>
      <c r="R955" s="77">
        <v>0</v>
      </c>
      <c r="S955" s="77">
        <v>0</v>
      </c>
      <c r="T955" s="77">
        <v>0</v>
      </c>
      <c r="U955" s="77">
        <v>0</v>
      </c>
      <c r="V955" s="77">
        <v>20</v>
      </c>
      <c r="W955" s="82" t="s">
        <v>4849</v>
      </c>
      <c r="X955" s="77"/>
      <c r="Y955" s="77"/>
      <c r="Z955" s="77"/>
      <c r="AA955" s="77"/>
      <c r="AB955" s="77"/>
      <c r="AC955" s="82" t="s">
        <v>7750</v>
      </c>
      <c r="AD955" s="77" t="s">
        <v>7789</v>
      </c>
      <c r="AE955" s="80" t="str">
        <f>HYPERLINK("https://twitter.com/zeninveststrat/status/1706045308386365616")</f>
        <v>https://twitter.com/zeninveststrat/status/1706045308386365616</v>
      </c>
      <c r="AF955" s="79">
        <v>45193.859629629631</v>
      </c>
      <c r="AG955" s="85">
        <v>45193</v>
      </c>
      <c r="AH955" s="82" t="s">
        <v>8652</v>
      </c>
      <c r="AI955" s="77"/>
      <c r="AJ955" s="77"/>
      <c r="AK955" s="77"/>
      <c r="AL955" s="77"/>
      <c r="AM955" s="77"/>
      <c r="AN955" s="77"/>
      <c r="AO955" s="77"/>
      <c r="AP955" s="77"/>
      <c r="AQ955" s="77"/>
      <c r="AR955" s="77"/>
      <c r="AS955" s="77"/>
      <c r="AT955" s="77"/>
      <c r="AU955" s="77"/>
      <c r="AV955" s="80" t="str">
        <f>HYPERLINK("https://pbs.twimg.com/profile_images/1699368314277896192/OByv6nhj_normal.jpg")</f>
        <v>https://pbs.twimg.com/profile_images/1699368314277896192/OByv6nhj_normal.jpg</v>
      </c>
      <c r="AW955" s="82" t="s">
        <v>12636</v>
      </c>
      <c r="AX955" s="82" t="s">
        <v>12636</v>
      </c>
      <c r="AY955" s="77"/>
      <c r="AZ955" s="82" t="s">
        <v>15984</v>
      </c>
      <c r="BA955" s="82" t="s">
        <v>15984</v>
      </c>
      <c r="BB955" s="82" t="s">
        <v>15984</v>
      </c>
      <c r="BC955" s="82" t="s">
        <v>12636</v>
      </c>
      <c r="BD955" s="82" t="s">
        <v>16297</v>
      </c>
      <c r="BE955" s="77"/>
      <c r="BF955" s="77"/>
      <c r="BG955" s="77"/>
      <c r="BH955" s="77"/>
      <c r="BI955" s="77"/>
    </row>
    <row r="956" spans="1:61" x14ac:dyDescent="0.25">
      <c r="A956" s="62" t="s">
        <v>558</v>
      </c>
      <c r="B956" s="62" t="s">
        <v>558</v>
      </c>
      <c r="C956" s="63"/>
      <c r="D956" s="64"/>
      <c r="E956" s="65"/>
      <c r="F956" s="66"/>
      <c r="G956" s="63"/>
      <c r="H956" s="67"/>
      <c r="I956" s="68"/>
      <c r="J956" s="68"/>
      <c r="K956" s="32"/>
      <c r="L956" s="75">
        <v>956</v>
      </c>
      <c r="M956" s="75"/>
      <c r="N956" s="70"/>
      <c r="O956" s="77" t="s">
        <v>179</v>
      </c>
      <c r="P956" s="79">
        <v>45146.665636574071</v>
      </c>
      <c r="Q956" s="77" t="s">
        <v>1778</v>
      </c>
      <c r="R956" s="77">
        <v>0</v>
      </c>
      <c r="S956" s="77">
        <v>1</v>
      </c>
      <c r="T956" s="77">
        <v>6</v>
      </c>
      <c r="U956" s="77">
        <v>0</v>
      </c>
      <c r="V956" s="77">
        <v>123</v>
      </c>
      <c r="W956" s="82" t="s">
        <v>5314</v>
      </c>
      <c r="X956" s="77"/>
      <c r="Y956" s="77"/>
      <c r="Z956" s="77"/>
      <c r="AA956" s="77" t="s">
        <v>7159</v>
      </c>
      <c r="AB956" s="77" t="s">
        <v>7743</v>
      </c>
      <c r="AC956" s="82" t="s">
        <v>7750</v>
      </c>
      <c r="AD956" s="77" t="s">
        <v>7789</v>
      </c>
      <c r="AE956" s="80" t="str">
        <f>HYPERLINK("https://twitter.com/silviodoquental/status/1688942775989891073")</f>
        <v>https://twitter.com/silviodoquental/status/1688942775989891073</v>
      </c>
      <c r="AF956" s="79">
        <v>45146.665636574071</v>
      </c>
      <c r="AG956" s="85">
        <v>45146</v>
      </c>
      <c r="AH956" s="82" t="s">
        <v>8653</v>
      </c>
      <c r="AI956" s="77" t="b">
        <v>0</v>
      </c>
      <c r="AJ956" s="77"/>
      <c r="AK956" s="77"/>
      <c r="AL956" s="77"/>
      <c r="AM956" s="77"/>
      <c r="AN956" s="77"/>
      <c r="AO956" s="77"/>
      <c r="AP956" s="77"/>
      <c r="AQ956" s="77" t="s">
        <v>11131</v>
      </c>
      <c r="AR956" s="77">
        <v>123333</v>
      </c>
      <c r="AS956" s="77"/>
      <c r="AT956" s="77"/>
      <c r="AU956" s="77"/>
      <c r="AV956" s="80" t="str">
        <f>HYPERLINK("https://pbs.twimg.com/ext_tw_video_thumb/1688940982929092608/pu/img/serkkZndB92agHKO.jpg")</f>
        <v>https://pbs.twimg.com/ext_tw_video_thumb/1688940982929092608/pu/img/serkkZndB92agHKO.jpg</v>
      </c>
      <c r="AW956" s="82" t="s">
        <v>12637</v>
      </c>
      <c r="AX956" s="82" t="s">
        <v>12637</v>
      </c>
      <c r="AY956" s="77"/>
      <c r="AZ956" s="82" t="s">
        <v>15984</v>
      </c>
      <c r="BA956" s="82" t="s">
        <v>15984</v>
      </c>
      <c r="BB956" s="82" t="s">
        <v>15984</v>
      </c>
      <c r="BC956" s="82" t="s">
        <v>12637</v>
      </c>
      <c r="BD956" s="77">
        <v>379261685</v>
      </c>
      <c r="BE956" s="77"/>
      <c r="BF956" s="77"/>
      <c r="BG956" s="77"/>
      <c r="BH956" s="77"/>
      <c r="BI956" s="77"/>
    </row>
    <row r="957" spans="1:61" x14ac:dyDescent="0.25">
      <c r="A957" s="62" t="s">
        <v>559</v>
      </c>
      <c r="B957" s="62" t="s">
        <v>559</v>
      </c>
      <c r="C957" s="63"/>
      <c r="D957" s="64"/>
      <c r="E957" s="65"/>
      <c r="F957" s="66"/>
      <c r="G957" s="63"/>
      <c r="H957" s="67"/>
      <c r="I957" s="68"/>
      <c r="J957" s="68"/>
      <c r="K957" s="32"/>
      <c r="L957" s="75">
        <v>957</v>
      </c>
      <c r="M957" s="75"/>
      <c r="N957" s="70"/>
      <c r="O957" s="77" t="s">
        <v>179</v>
      </c>
      <c r="P957" s="79">
        <v>45130.893206018518</v>
      </c>
      <c r="Q957" s="77" t="s">
        <v>1779</v>
      </c>
      <c r="R957" s="77">
        <v>0</v>
      </c>
      <c r="S957" s="77">
        <v>0</v>
      </c>
      <c r="T957" s="77">
        <v>0</v>
      </c>
      <c r="U957" s="77">
        <v>0</v>
      </c>
      <c r="V957" s="77">
        <v>30</v>
      </c>
      <c r="W957" s="82" t="s">
        <v>4839</v>
      </c>
      <c r="X957" s="77"/>
      <c r="Y957" s="77"/>
      <c r="Z957" s="77"/>
      <c r="AA957" s="77" t="s">
        <v>7160</v>
      </c>
      <c r="AB957" s="77" t="s">
        <v>7742</v>
      </c>
      <c r="AC957" s="82" t="s">
        <v>7752</v>
      </c>
      <c r="AD957" s="77" t="s">
        <v>7788</v>
      </c>
      <c r="AE957" s="80" t="str">
        <f>HYPERLINK("https://twitter.com/ocleydsontrader/status/1683227039418003456")</f>
        <v>https://twitter.com/ocleydsontrader/status/1683227039418003456</v>
      </c>
      <c r="AF957" s="79">
        <v>45130.893206018518</v>
      </c>
      <c r="AG957" s="85">
        <v>45130</v>
      </c>
      <c r="AH957" s="82" t="s">
        <v>8654</v>
      </c>
      <c r="AI957" s="77" t="b">
        <v>0</v>
      </c>
      <c r="AJ957" s="77"/>
      <c r="AK957" s="77"/>
      <c r="AL957" s="77"/>
      <c r="AM957" s="77"/>
      <c r="AN957" s="77"/>
      <c r="AO957" s="77"/>
      <c r="AP957" s="77"/>
      <c r="AQ957" s="77" t="s">
        <v>11132</v>
      </c>
      <c r="AR957" s="77"/>
      <c r="AS957" s="77"/>
      <c r="AT957" s="77"/>
      <c r="AU957" s="77"/>
      <c r="AV957" s="80" t="str">
        <f>HYPERLINK("https://pbs.twimg.com/media/F1wGEZyXgAATTEZ.jpg")</f>
        <v>https://pbs.twimg.com/media/F1wGEZyXgAATTEZ.jpg</v>
      </c>
      <c r="AW957" s="82" t="s">
        <v>12638</v>
      </c>
      <c r="AX957" s="82" t="s">
        <v>12638</v>
      </c>
      <c r="AY957" s="77"/>
      <c r="AZ957" s="82" t="s">
        <v>15984</v>
      </c>
      <c r="BA957" s="82" t="s">
        <v>15984</v>
      </c>
      <c r="BB957" s="82" t="s">
        <v>15984</v>
      </c>
      <c r="BC957" s="82" t="s">
        <v>12638</v>
      </c>
      <c r="BD957" s="82" t="s">
        <v>16298</v>
      </c>
      <c r="BE957" s="77"/>
      <c r="BF957" s="77"/>
      <c r="BG957" s="77"/>
      <c r="BH957" s="77"/>
      <c r="BI957" s="77"/>
    </row>
    <row r="958" spans="1:61" x14ac:dyDescent="0.25">
      <c r="A958" s="62" t="s">
        <v>559</v>
      </c>
      <c r="B958" s="62" t="s">
        <v>559</v>
      </c>
      <c r="C958" s="63"/>
      <c r="D958" s="64"/>
      <c r="E958" s="65"/>
      <c r="F958" s="66"/>
      <c r="G958" s="63"/>
      <c r="H958" s="67"/>
      <c r="I958" s="68"/>
      <c r="J958" s="68"/>
      <c r="K958" s="32"/>
      <c r="L958" s="75">
        <v>958</v>
      </c>
      <c r="M958" s="75"/>
      <c r="N958" s="70"/>
      <c r="O958" s="77" t="s">
        <v>179</v>
      </c>
      <c r="P958" s="79">
        <v>45132.479988425926</v>
      </c>
      <c r="Q958" s="77" t="s">
        <v>1780</v>
      </c>
      <c r="R958" s="77">
        <v>0</v>
      </c>
      <c r="S958" s="77">
        <v>0</v>
      </c>
      <c r="T958" s="77">
        <v>0</v>
      </c>
      <c r="U958" s="77">
        <v>0</v>
      </c>
      <c r="V958" s="77">
        <v>14</v>
      </c>
      <c r="W958" s="82" t="s">
        <v>5315</v>
      </c>
      <c r="X958" s="77"/>
      <c r="Y958" s="77"/>
      <c r="Z958" s="77"/>
      <c r="AA958" s="77" t="s">
        <v>7161</v>
      </c>
      <c r="AB958" s="77" t="s">
        <v>7742</v>
      </c>
      <c r="AC958" s="82" t="s">
        <v>7752</v>
      </c>
      <c r="AD958" s="77" t="s">
        <v>7791</v>
      </c>
      <c r="AE958" s="80" t="str">
        <f>HYPERLINK("https://twitter.com/ocleydsontrader/status/1683802067624775681")</f>
        <v>https://twitter.com/ocleydsontrader/status/1683802067624775681</v>
      </c>
      <c r="AF958" s="79">
        <v>45132.479988425926</v>
      </c>
      <c r="AG958" s="85">
        <v>45132</v>
      </c>
      <c r="AH958" s="82" t="s">
        <v>8655</v>
      </c>
      <c r="AI958" s="77" t="b">
        <v>0</v>
      </c>
      <c r="AJ958" s="77"/>
      <c r="AK958" s="77"/>
      <c r="AL958" s="77"/>
      <c r="AM958" s="77"/>
      <c r="AN958" s="77"/>
      <c r="AO958" s="77"/>
      <c r="AP958" s="77"/>
      <c r="AQ958" s="77" t="s">
        <v>11133</v>
      </c>
      <c r="AR958" s="77"/>
      <c r="AS958" s="77"/>
      <c r="AT958" s="77"/>
      <c r="AU958" s="77"/>
      <c r="AV958" s="80" t="str">
        <f>HYPERLINK("https://pbs.twimg.com/media/F14RDjwX0AAcMQL.jpg")</f>
        <v>https://pbs.twimg.com/media/F14RDjwX0AAcMQL.jpg</v>
      </c>
      <c r="AW958" s="82" t="s">
        <v>12639</v>
      </c>
      <c r="AX958" s="82" t="s">
        <v>12639</v>
      </c>
      <c r="AY958" s="77"/>
      <c r="AZ958" s="82" t="s">
        <v>15984</v>
      </c>
      <c r="BA958" s="82" t="s">
        <v>15984</v>
      </c>
      <c r="BB958" s="82" t="s">
        <v>15984</v>
      </c>
      <c r="BC958" s="82" t="s">
        <v>12639</v>
      </c>
      <c r="BD958" s="82" t="s">
        <v>16298</v>
      </c>
      <c r="BE958" s="77"/>
      <c r="BF958" s="77"/>
      <c r="BG958" s="77"/>
      <c r="BH958" s="77"/>
      <c r="BI958" s="77"/>
    </row>
    <row r="959" spans="1:61" x14ac:dyDescent="0.25">
      <c r="A959" s="62" t="s">
        <v>559</v>
      </c>
      <c r="B959" s="62" t="s">
        <v>559</v>
      </c>
      <c r="C959" s="63"/>
      <c r="D959" s="64"/>
      <c r="E959" s="65"/>
      <c r="F959" s="66"/>
      <c r="G959" s="63"/>
      <c r="H959" s="67"/>
      <c r="I959" s="68"/>
      <c r="J959" s="68"/>
      <c r="K959" s="32"/>
      <c r="L959" s="75">
        <v>959</v>
      </c>
      <c r="M959" s="75"/>
      <c r="N959" s="70"/>
      <c r="O959" s="77" t="s">
        <v>179</v>
      </c>
      <c r="P959" s="79">
        <v>45163.108506944445</v>
      </c>
      <c r="Q959" s="77" t="s">
        <v>1781</v>
      </c>
      <c r="R959" s="77">
        <v>0</v>
      </c>
      <c r="S959" s="77">
        <v>0</v>
      </c>
      <c r="T959" s="77">
        <v>0</v>
      </c>
      <c r="U959" s="77">
        <v>0</v>
      </c>
      <c r="V959" s="77">
        <v>17</v>
      </c>
      <c r="W959" s="82" t="s">
        <v>4839</v>
      </c>
      <c r="X959" s="77"/>
      <c r="Y959" s="77"/>
      <c r="Z959" s="77"/>
      <c r="AA959" s="77" t="s">
        <v>7162</v>
      </c>
      <c r="AB959" s="77" t="s">
        <v>7742</v>
      </c>
      <c r="AC959" s="82" t="s">
        <v>7755</v>
      </c>
      <c r="AD959" s="77" t="s">
        <v>7791</v>
      </c>
      <c r="AE959" s="80" t="str">
        <f>HYPERLINK("https://twitter.com/ocleydsontrader/status/1694901471995691160")</f>
        <v>https://twitter.com/ocleydsontrader/status/1694901471995691160</v>
      </c>
      <c r="AF959" s="79">
        <v>45163.108506944445</v>
      </c>
      <c r="AG959" s="85">
        <v>45163</v>
      </c>
      <c r="AH959" s="82" t="s">
        <v>8656</v>
      </c>
      <c r="AI959" s="77" t="b">
        <v>0</v>
      </c>
      <c r="AJ959" s="77"/>
      <c r="AK959" s="77"/>
      <c r="AL959" s="77"/>
      <c r="AM959" s="77"/>
      <c r="AN959" s="77"/>
      <c r="AO959" s="77"/>
      <c r="AP959" s="77"/>
      <c r="AQ959" s="77" t="s">
        <v>11134</v>
      </c>
      <c r="AR959" s="77"/>
      <c r="AS959" s="77"/>
      <c r="AT959" s="77"/>
      <c r="AU959" s="77"/>
      <c r="AV959" s="80" t="str">
        <f>HYPERLINK("https://pbs.twimg.com/media/F4V_58gW0AA_Niv.jpg")</f>
        <v>https://pbs.twimg.com/media/F4V_58gW0AA_Niv.jpg</v>
      </c>
      <c r="AW959" s="82" t="s">
        <v>12640</v>
      </c>
      <c r="AX959" s="82" t="s">
        <v>12640</v>
      </c>
      <c r="AY959" s="77"/>
      <c r="AZ959" s="82" t="s">
        <v>15984</v>
      </c>
      <c r="BA959" s="82" t="s">
        <v>15984</v>
      </c>
      <c r="BB959" s="82" t="s">
        <v>15984</v>
      </c>
      <c r="BC959" s="82" t="s">
        <v>12640</v>
      </c>
      <c r="BD959" s="82" t="s">
        <v>16298</v>
      </c>
      <c r="BE959" s="77"/>
      <c r="BF959" s="77"/>
      <c r="BG959" s="77"/>
      <c r="BH959" s="77"/>
      <c r="BI959" s="77"/>
    </row>
    <row r="960" spans="1:61" x14ac:dyDescent="0.25">
      <c r="A960" s="62" t="s">
        <v>559</v>
      </c>
      <c r="B960" s="62" t="s">
        <v>559</v>
      </c>
      <c r="C960" s="63"/>
      <c r="D960" s="64"/>
      <c r="E960" s="65"/>
      <c r="F960" s="66"/>
      <c r="G960" s="63"/>
      <c r="H960" s="67"/>
      <c r="I960" s="68"/>
      <c r="J960" s="68"/>
      <c r="K960" s="32"/>
      <c r="L960" s="75">
        <v>960</v>
      </c>
      <c r="M960" s="75"/>
      <c r="N960" s="70"/>
      <c r="O960" s="77" t="s">
        <v>179</v>
      </c>
      <c r="P960" s="79">
        <v>45147.518831018519</v>
      </c>
      <c r="Q960" s="77" t="s">
        <v>1782</v>
      </c>
      <c r="R960" s="77">
        <v>0</v>
      </c>
      <c r="S960" s="77">
        <v>1</v>
      </c>
      <c r="T960" s="77">
        <v>0</v>
      </c>
      <c r="U960" s="77">
        <v>0</v>
      </c>
      <c r="V960" s="77">
        <v>113</v>
      </c>
      <c r="W960" s="82" t="s">
        <v>5316</v>
      </c>
      <c r="X960" s="77"/>
      <c r="Y960" s="77"/>
      <c r="Z960" s="77"/>
      <c r="AA960" s="77"/>
      <c r="AB960" s="77"/>
      <c r="AC960" s="82" t="s">
        <v>7752</v>
      </c>
      <c r="AD960" s="77" t="s">
        <v>7788</v>
      </c>
      <c r="AE960" s="80" t="str">
        <f>HYPERLINK("https://twitter.com/ocleydsontrader/status/1689251964469571584")</f>
        <v>https://twitter.com/ocleydsontrader/status/1689251964469571584</v>
      </c>
      <c r="AF960" s="79">
        <v>45147.518831018519</v>
      </c>
      <c r="AG960" s="85">
        <v>45147</v>
      </c>
      <c r="AH960" s="82" t="s">
        <v>8657</v>
      </c>
      <c r="AI960" s="77"/>
      <c r="AJ960" s="77"/>
      <c r="AK960" s="77"/>
      <c r="AL960" s="77"/>
      <c r="AM960" s="77"/>
      <c r="AN960" s="77"/>
      <c r="AO960" s="77"/>
      <c r="AP960" s="77"/>
      <c r="AQ960" s="77"/>
      <c r="AR960" s="77"/>
      <c r="AS960" s="77"/>
      <c r="AT960" s="77"/>
      <c r="AU960" s="77"/>
      <c r="AV960" s="80" t="str">
        <f>HYPERLINK("https://pbs.twimg.com/profile_images/1696562721230147584/BNKa8_PE_normal.jpg")</f>
        <v>https://pbs.twimg.com/profile_images/1696562721230147584/BNKa8_PE_normal.jpg</v>
      </c>
      <c r="AW960" s="82" t="s">
        <v>12641</v>
      </c>
      <c r="AX960" s="82" t="s">
        <v>12641</v>
      </c>
      <c r="AY960" s="77"/>
      <c r="AZ960" s="82" t="s">
        <v>15984</v>
      </c>
      <c r="BA960" s="82" t="s">
        <v>15984</v>
      </c>
      <c r="BB960" s="82" t="s">
        <v>15984</v>
      </c>
      <c r="BC960" s="82" t="s">
        <v>12641</v>
      </c>
      <c r="BD960" s="82" t="s">
        <v>16298</v>
      </c>
      <c r="BE960" s="77"/>
      <c r="BF960" s="77"/>
      <c r="BG960" s="77"/>
      <c r="BH960" s="77"/>
      <c r="BI960" s="77"/>
    </row>
    <row r="961" spans="1:61" x14ac:dyDescent="0.25">
      <c r="A961" s="62" t="s">
        <v>559</v>
      </c>
      <c r="B961" s="62" t="s">
        <v>559</v>
      </c>
      <c r="C961" s="63"/>
      <c r="D961" s="64"/>
      <c r="E961" s="65"/>
      <c r="F961" s="66"/>
      <c r="G961" s="63"/>
      <c r="H961" s="67"/>
      <c r="I961" s="68"/>
      <c r="J961" s="68"/>
      <c r="K961" s="32"/>
      <c r="L961" s="75">
        <v>961</v>
      </c>
      <c r="M961" s="75"/>
      <c r="N961" s="70"/>
      <c r="O961" s="77" t="s">
        <v>179</v>
      </c>
      <c r="P961" s="79">
        <v>45160.576319444444</v>
      </c>
      <c r="Q961" s="77" t="s">
        <v>1783</v>
      </c>
      <c r="R961" s="77">
        <v>0</v>
      </c>
      <c r="S961" s="77">
        <v>0</v>
      </c>
      <c r="T961" s="77">
        <v>0</v>
      </c>
      <c r="U961" s="77">
        <v>0</v>
      </c>
      <c r="V961" s="77">
        <v>70</v>
      </c>
      <c r="W961" s="82" t="s">
        <v>5317</v>
      </c>
      <c r="X961" s="77"/>
      <c r="Y961" s="77"/>
      <c r="Z961" s="77"/>
      <c r="AA961" s="77"/>
      <c r="AB961" s="77"/>
      <c r="AC961" s="82" t="s">
        <v>7752</v>
      </c>
      <c r="AD961" s="77" t="s">
        <v>7788</v>
      </c>
      <c r="AE961" s="80" t="str">
        <f>HYPERLINK("https://twitter.com/ocleydsontrader/status/1693983839721603402")</f>
        <v>https://twitter.com/ocleydsontrader/status/1693983839721603402</v>
      </c>
      <c r="AF961" s="79">
        <v>45160.576319444444</v>
      </c>
      <c r="AG961" s="85">
        <v>45160</v>
      </c>
      <c r="AH961" s="82" t="s">
        <v>8658</v>
      </c>
      <c r="AI961" s="77"/>
      <c r="AJ961" s="77"/>
      <c r="AK961" s="77"/>
      <c r="AL961" s="77"/>
      <c r="AM961" s="77"/>
      <c r="AN961" s="77"/>
      <c r="AO961" s="77"/>
      <c r="AP961" s="77"/>
      <c r="AQ961" s="77"/>
      <c r="AR961" s="77"/>
      <c r="AS961" s="77"/>
      <c r="AT961" s="77"/>
      <c r="AU961" s="77"/>
      <c r="AV961" s="80" t="str">
        <f>HYPERLINK("https://pbs.twimg.com/profile_images/1696562721230147584/BNKa8_PE_normal.jpg")</f>
        <v>https://pbs.twimg.com/profile_images/1696562721230147584/BNKa8_PE_normal.jpg</v>
      </c>
      <c r="AW961" s="82" t="s">
        <v>12642</v>
      </c>
      <c r="AX961" s="82" t="s">
        <v>12642</v>
      </c>
      <c r="AY961" s="77"/>
      <c r="AZ961" s="82" t="s">
        <v>15984</v>
      </c>
      <c r="BA961" s="82" t="s">
        <v>15984</v>
      </c>
      <c r="BB961" s="82" t="s">
        <v>15984</v>
      </c>
      <c r="BC961" s="82" t="s">
        <v>12642</v>
      </c>
      <c r="BD961" s="82" t="s">
        <v>16298</v>
      </c>
      <c r="BE961" s="77"/>
      <c r="BF961" s="77"/>
      <c r="BG961" s="77"/>
      <c r="BH961" s="77"/>
      <c r="BI961" s="77"/>
    </row>
    <row r="962" spans="1:61" x14ac:dyDescent="0.25">
      <c r="A962" s="62" t="s">
        <v>559</v>
      </c>
      <c r="B962" s="62" t="s">
        <v>559</v>
      </c>
      <c r="C962" s="63"/>
      <c r="D962" s="64"/>
      <c r="E962" s="65"/>
      <c r="F962" s="66"/>
      <c r="G962" s="63"/>
      <c r="H962" s="67"/>
      <c r="I962" s="68"/>
      <c r="J962" s="68"/>
      <c r="K962" s="32"/>
      <c r="L962" s="75">
        <v>962</v>
      </c>
      <c r="M962" s="75"/>
      <c r="N962" s="70"/>
      <c r="O962" s="77" t="s">
        <v>179</v>
      </c>
      <c r="P962" s="79">
        <v>45187.492210648146</v>
      </c>
      <c r="Q962" s="77" t="s">
        <v>1784</v>
      </c>
      <c r="R962" s="77">
        <v>0</v>
      </c>
      <c r="S962" s="77">
        <v>0</v>
      </c>
      <c r="T962" s="77">
        <v>0</v>
      </c>
      <c r="U962" s="77">
        <v>0</v>
      </c>
      <c r="V962" s="77">
        <v>12</v>
      </c>
      <c r="W962" s="82" t="s">
        <v>4839</v>
      </c>
      <c r="X962" s="77"/>
      <c r="Y962" s="77"/>
      <c r="Z962" s="77"/>
      <c r="AA962" s="77"/>
      <c r="AB962" s="77"/>
      <c r="AC962" s="82" t="s">
        <v>7752</v>
      </c>
      <c r="AD962" s="77" t="s">
        <v>7788</v>
      </c>
      <c r="AE962" s="80" t="str">
        <f>HYPERLINK("https://twitter.com/ocleydsontrader/status/1703737829115695194")</f>
        <v>https://twitter.com/ocleydsontrader/status/1703737829115695194</v>
      </c>
      <c r="AF962" s="79">
        <v>45187.492210648146</v>
      </c>
      <c r="AG962" s="85">
        <v>45187</v>
      </c>
      <c r="AH962" s="82" t="s">
        <v>8659</v>
      </c>
      <c r="AI962" s="77"/>
      <c r="AJ962" s="77"/>
      <c r="AK962" s="77"/>
      <c r="AL962" s="77"/>
      <c r="AM962" s="77"/>
      <c r="AN962" s="77"/>
      <c r="AO962" s="77"/>
      <c r="AP962" s="77"/>
      <c r="AQ962" s="77"/>
      <c r="AR962" s="77"/>
      <c r="AS962" s="77"/>
      <c r="AT962" s="77"/>
      <c r="AU962" s="77"/>
      <c r="AV962" s="80" t="str">
        <f>HYPERLINK("https://pbs.twimg.com/profile_images/1696562721230147584/BNKa8_PE_normal.jpg")</f>
        <v>https://pbs.twimg.com/profile_images/1696562721230147584/BNKa8_PE_normal.jpg</v>
      </c>
      <c r="AW962" s="82" t="s">
        <v>12643</v>
      </c>
      <c r="AX962" s="82" t="s">
        <v>12643</v>
      </c>
      <c r="AY962" s="77"/>
      <c r="AZ962" s="82" t="s">
        <v>15984</v>
      </c>
      <c r="BA962" s="82" t="s">
        <v>15984</v>
      </c>
      <c r="BB962" s="82" t="s">
        <v>15984</v>
      </c>
      <c r="BC962" s="82" t="s">
        <v>12643</v>
      </c>
      <c r="BD962" s="82" t="s">
        <v>16298</v>
      </c>
      <c r="BE962" s="77"/>
      <c r="BF962" s="77"/>
      <c r="BG962" s="77"/>
      <c r="BH962" s="77"/>
      <c r="BI962" s="77"/>
    </row>
    <row r="963" spans="1:61" x14ac:dyDescent="0.25">
      <c r="A963" s="62" t="s">
        <v>559</v>
      </c>
      <c r="B963" s="62" t="s">
        <v>559</v>
      </c>
      <c r="C963" s="63"/>
      <c r="D963" s="64"/>
      <c r="E963" s="65"/>
      <c r="F963" s="66"/>
      <c r="G963" s="63"/>
      <c r="H963" s="67"/>
      <c r="I963" s="68"/>
      <c r="J963" s="68"/>
      <c r="K963" s="32"/>
      <c r="L963" s="75">
        <v>963</v>
      </c>
      <c r="M963" s="75"/>
      <c r="N963" s="70"/>
      <c r="O963" s="77" t="s">
        <v>179</v>
      </c>
      <c r="P963" s="79">
        <v>45194.496423611112</v>
      </c>
      <c r="Q963" s="77" t="s">
        <v>1785</v>
      </c>
      <c r="R963" s="77">
        <v>0</v>
      </c>
      <c r="S963" s="77">
        <v>0</v>
      </c>
      <c r="T963" s="77">
        <v>0</v>
      </c>
      <c r="U963" s="77">
        <v>0</v>
      </c>
      <c r="V963" s="77">
        <v>48</v>
      </c>
      <c r="W963" s="82" t="s">
        <v>5316</v>
      </c>
      <c r="X963" s="77"/>
      <c r="Y963" s="77"/>
      <c r="Z963" s="77"/>
      <c r="AA963" s="77"/>
      <c r="AB963" s="77"/>
      <c r="AC963" s="82" t="s">
        <v>7752</v>
      </c>
      <c r="AD963" s="77" t="s">
        <v>7788</v>
      </c>
      <c r="AE963" s="80" t="str">
        <f>HYPERLINK("https://twitter.com/ocleydsontrader/status/1706276071342031324")</f>
        <v>https://twitter.com/ocleydsontrader/status/1706276071342031324</v>
      </c>
      <c r="AF963" s="79">
        <v>45194.496423611112</v>
      </c>
      <c r="AG963" s="85">
        <v>45194</v>
      </c>
      <c r="AH963" s="82" t="s">
        <v>8660</v>
      </c>
      <c r="AI963" s="77"/>
      <c r="AJ963" s="77"/>
      <c r="AK963" s="77"/>
      <c r="AL963" s="77"/>
      <c r="AM963" s="77"/>
      <c r="AN963" s="77"/>
      <c r="AO963" s="77"/>
      <c r="AP963" s="77"/>
      <c r="AQ963" s="77"/>
      <c r="AR963" s="77"/>
      <c r="AS963" s="77"/>
      <c r="AT963" s="77"/>
      <c r="AU963" s="77"/>
      <c r="AV963" s="80" t="str">
        <f>HYPERLINK("https://pbs.twimg.com/profile_images/1696562721230147584/BNKa8_PE_normal.jpg")</f>
        <v>https://pbs.twimg.com/profile_images/1696562721230147584/BNKa8_PE_normal.jpg</v>
      </c>
      <c r="AW963" s="82" t="s">
        <v>12644</v>
      </c>
      <c r="AX963" s="82" t="s">
        <v>12644</v>
      </c>
      <c r="AY963" s="77"/>
      <c r="AZ963" s="82" t="s">
        <v>15984</v>
      </c>
      <c r="BA963" s="82" t="s">
        <v>15984</v>
      </c>
      <c r="BB963" s="82" t="s">
        <v>15984</v>
      </c>
      <c r="BC963" s="82" t="s">
        <v>12644</v>
      </c>
      <c r="BD963" s="82" t="s">
        <v>16298</v>
      </c>
      <c r="BE963" s="77"/>
      <c r="BF963" s="77"/>
      <c r="BG963" s="77"/>
      <c r="BH963" s="77"/>
      <c r="BI963" s="77"/>
    </row>
    <row r="964" spans="1:61" x14ac:dyDescent="0.25">
      <c r="A964" s="62" t="s">
        <v>560</v>
      </c>
      <c r="B964" s="62" t="s">
        <v>753</v>
      </c>
      <c r="C964" s="63"/>
      <c r="D964" s="64"/>
      <c r="E964" s="65"/>
      <c r="F964" s="66"/>
      <c r="G964" s="63"/>
      <c r="H964" s="67"/>
      <c r="I964" s="68"/>
      <c r="J964" s="68"/>
      <c r="K964" s="32"/>
      <c r="L964" s="75">
        <v>964</v>
      </c>
      <c r="M964" s="75"/>
      <c r="N964" s="70"/>
      <c r="O964" s="77" t="s">
        <v>899</v>
      </c>
      <c r="P964" s="79">
        <v>45192.057754629626</v>
      </c>
      <c r="Q964" s="77" t="s">
        <v>1116</v>
      </c>
      <c r="R964" s="77">
        <v>10</v>
      </c>
      <c r="S964" s="77">
        <v>0</v>
      </c>
      <c r="T964" s="77">
        <v>0</v>
      </c>
      <c r="U964" s="77">
        <v>0</v>
      </c>
      <c r="V964" s="77"/>
      <c r="W964" s="82" t="s">
        <v>4821</v>
      </c>
      <c r="X964" s="77"/>
      <c r="Y964" s="77"/>
      <c r="Z964" s="77" t="s">
        <v>6566</v>
      </c>
      <c r="AA964" s="77"/>
      <c r="AB964" s="77"/>
      <c r="AC964" s="82" t="s">
        <v>7752</v>
      </c>
      <c r="AD964" s="77" t="s">
        <v>7790</v>
      </c>
      <c r="AE964" s="80" t="str">
        <f>HYPERLINK("https://twitter.com/javeye/status/1705392329262235950")</f>
        <v>https://twitter.com/javeye/status/1705392329262235950</v>
      </c>
      <c r="AF964" s="79">
        <v>45192.057754629626</v>
      </c>
      <c r="AG964" s="85">
        <v>45192</v>
      </c>
      <c r="AH964" s="82" t="s">
        <v>8661</v>
      </c>
      <c r="AI964" s="77"/>
      <c r="AJ964" s="77"/>
      <c r="AK964" s="77"/>
      <c r="AL964" s="77"/>
      <c r="AM964" s="77"/>
      <c r="AN964" s="77"/>
      <c r="AO964" s="77"/>
      <c r="AP964" s="77"/>
      <c r="AQ964" s="77"/>
      <c r="AR964" s="77"/>
      <c r="AS964" s="77"/>
      <c r="AT964" s="77"/>
      <c r="AU964" s="77"/>
      <c r="AV964" s="80" t="str">
        <f>HYPERLINK("https://pbs.twimg.com/profile_images/1111767337353576448/HEeIa5ie_normal.jpg")</f>
        <v>https://pbs.twimg.com/profile_images/1111767337353576448/HEeIa5ie_normal.jpg</v>
      </c>
      <c r="AW964" s="82" t="s">
        <v>12645</v>
      </c>
      <c r="AX964" s="82" t="s">
        <v>12645</v>
      </c>
      <c r="AY964" s="77"/>
      <c r="AZ964" s="82" t="s">
        <v>15984</v>
      </c>
      <c r="BA964" s="82" t="s">
        <v>15984</v>
      </c>
      <c r="BB964" s="82" t="s">
        <v>15303</v>
      </c>
      <c r="BC964" s="82" t="s">
        <v>15303</v>
      </c>
      <c r="BD964" s="77">
        <v>1095934417</v>
      </c>
      <c r="BE964" s="77"/>
      <c r="BF964" s="77"/>
      <c r="BG964" s="77"/>
      <c r="BH964" s="77"/>
      <c r="BI964" s="77"/>
    </row>
    <row r="965" spans="1:61" x14ac:dyDescent="0.25">
      <c r="A965" s="62" t="s">
        <v>560</v>
      </c>
      <c r="B965" s="62" t="s">
        <v>614</v>
      </c>
      <c r="C965" s="63"/>
      <c r="D965" s="64"/>
      <c r="E965" s="65"/>
      <c r="F965" s="66"/>
      <c r="G965" s="63"/>
      <c r="H965" s="67"/>
      <c r="I965" s="68"/>
      <c r="J965" s="68"/>
      <c r="K965" s="32"/>
      <c r="L965" s="75">
        <v>965</v>
      </c>
      <c r="M965" s="75"/>
      <c r="N965" s="70"/>
      <c r="O965" s="77" t="s">
        <v>897</v>
      </c>
      <c r="P965" s="79">
        <v>45192.057754629626</v>
      </c>
      <c r="Q965" s="77" t="s">
        <v>1116</v>
      </c>
      <c r="R965" s="77">
        <v>10</v>
      </c>
      <c r="S965" s="77">
        <v>0</v>
      </c>
      <c r="T965" s="77">
        <v>0</v>
      </c>
      <c r="U965" s="77">
        <v>0</v>
      </c>
      <c r="V965" s="77"/>
      <c r="W965" s="82" t="s">
        <v>4821</v>
      </c>
      <c r="X965" s="77"/>
      <c r="Y965" s="77"/>
      <c r="Z965" s="77" t="s">
        <v>6566</v>
      </c>
      <c r="AA965" s="77"/>
      <c r="AB965" s="77"/>
      <c r="AC965" s="82" t="s">
        <v>7752</v>
      </c>
      <c r="AD965" s="77" t="s">
        <v>7790</v>
      </c>
      <c r="AE965" s="80" t="str">
        <f>HYPERLINK("https://twitter.com/javeye/status/1705392329262235950")</f>
        <v>https://twitter.com/javeye/status/1705392329262235950</v>
      </c>
      <c r="AF965" s="79">
        <v>45192.057754629626</v>
      </c>
      <c r="AG965" s="85">
        <v>45192</v>
      </c>
      <c r="AH965" s="82" t="s">
        <v>8661</v>
      </c>
      <c r="AI965" s="77"/>
      <c r="AJ965" s="77"/>
      <c r="AK965" s="77"/>
      <c r="AL965" s="77"/>
      <c r="AM965" s="77"/>
      <c r="AN965" s="77"/>
      <c r="AO965" s="77"/>
      <c r="AP965" s="77"/>
      <c r="AQ965" s="77"/>
      <c r="AR965" s="77"/>
      <c r="AS965" s="77"/>
      <c r="AT965" s="77"/>
      <c r="AU965" s="77"/>
      <c r="AV965" s="80" t="str">
        <f>HYPERLINK("https://pbs.twimg.com/profile_images/1111767337353576448/HEeIa5ie_normal.jpg")</f>
        <v>https://pbs.twimg.com/profile_images/1111767337353576448/HEeIa5ie_normal.jpg</v>
      </c>
      <c r="AW965" s="82" t="s">
        <v>12645</v>
      </c>
      <c r="AX965" s="82" t="s">
        <v>12645</v>
      </c>
      <c r="AY965" s="77"/>
      <c r="AZ965" s="82" t="s">
        <v>15984</v>
      </c>
      <c r="BA965" s="82" t="s">
        <v>15984</v>
      </c>
      <c r="BB965" s="82" t="s">
        <v>15303</v>
      </c>
      <c r="BC965" s="82" t="s">
        <v>15303</v>
      </c>
      <c r="BD965" s="77">
        <v>1095934417</v>
      </c>
      <c r="BE965" s="77"/>
      <c r="BF965" s="77"/>
      <c r="BG965" s="77"/>
      <c r="BH965" s="77"/>
      <c r="BI965" s="77"/>
    </row>
    <row r="966" spans="1:61" x14ac:dyDescent="0.25">
      <c r="A966" s="62" t="s">
        <v>561</v>
      </c>
      <c r="B966" s="62" t="s">
        <v>561</v>
      </c>
      <c r="C966" s="63"/>
      <c r="D966" s="64"/>
      <c r="E966" s="65"/>
      <c r="F966" s="66"/>
      <c r="G966" s="63"/>
      <c r="H966" s="67"/>
      <c r="I966" s="68"/>
      <c r="J966" s="68"/>
      <c r="K966" s="32"/>
      <c r="L966" s="75">
        <v>966</v>
      </c>
      <c r="M966" s="75"/>
      <c r="N966" s="70"/>
      <c r="O966" s="77" t="s">
        <v>898</v>
      </c>
      <c r="P966" s="79">
        <v>45118.372164351851</v>
      </c>
      <c r="Q966" s="77" t="s">
        <v>1786</v>
      </c>
      <c r="R966" s="77">
        <v>0</v>
      </c>
      <c r="S966" s="77">
        <v>0</v>
      </c>
      <c r="T966" s="77">
        <v>2</v>
      </c>
      <c r="U966" s="77">
        <v>0</v>
      </c>
      <c r="V966" s="77">
        <v>36</v>
      </c>
      <c r="W966" s="82" t="s">
        <v>5318</v>
      </c>
      <c r="X966" s="77"/>
      <c r="Y966" s="77"/>
      <c r="Z966" s="77"/>
      <c r="AA966" s="77"/>
      <c r="AB966" s="77"/>
      <c r="AC966" s="82" t="s">
        <v>7751</v>
      </c>
      <c r="AD966" s="77" t="s">
        <v>7796</v>
      </c>
      <c r="AE966" s="80" t="str">
        <f>HYPERLINK("https://twitter.com/frankbullboss/status/1678689566289457153")</f>
        <v>https://twitter.com/frankbullboss/status/1678689566289457153</v>
      </c>
      <c r="AF966" s="79">
        <v>45118.372164351851</v>
      </c>
      <c r="AG966" s="85">
        <v>45118</v>
      </c>
      <c r="AH966" s="82" t="s">
        <v>8662</v>
      </c>
      <c r="AI966" s="77"/>
      <c r="AJ966" s="77"/>
      <c r="AK966" s="77"/>
      <c r="AL966" s="77"/>
      <c r="AM966" s="77"/>
      <c r="AN966" s="77"/>
      <c r="AO966" s="77"/>
      <c r="AP966" s="77"/>
      <c r="AQ966" s="77"/>
      <c r="AR966" s="77"/>
      <c r="AS966" s="77"/>
      <c r="AT966" s="77"/>
      <c r="AU966" s="77"/>
      <c r="AV966" s="80" t="str">
        <f>HYPERLINK("https://pbs.twimg.com/profile_images/1494436607088369667/s_7vqOIt_normal.jpg")</f>
        <v>https://pbs.twimg.com/profile_images/1494436607088369667/s_7vqOIt_normal.jpg</v>
      </c>
      <c r="AW966" s="82" t="s">
        <v>12646</v>
      </c>
      <c r="AX966" s="82" t="s">
        <v>15841</v>
      </c>
      <c r="AY966" s="82" t="s">
        <v>15959</v>
      </c>
      <c r="AZ966" s="82" t="s">
        <v>16053</v>
      </c>
      <c r="BA966" s="82" t="s">
        <v>15984</v>
      </c>
      <c r="BB966" s="82" t="s">
        <v>15984</v>
      </c>
      <c r="BC966" s="82" t="s">
        <v>16053</v>
      </c>
      <c r="BD966" s="82" t="s">
        <v>15959</v>
      </c>
      <c r="BE966" s="77"/>
      <c r="BF966" s="77"/>
      <c r="BG966" s="77"/>
      <c r="BH966" s="77"/>
      <c r="BI966" s="77"/>
    </row>
    <row r="967" spans="1:61" x14ac:dyDescent="0.25">
      <c r="A967" s="62" t="s">
        <v>562</v>
      </c>
      <c r="B967" s="62" t="s">
        <v>815</v>
      </c>
      <c r="C967" s="63"/>
      <c r="D967" s="64"/>
      <c r="E967" s="65"/>
      <c r="F967" s="66"/>
      <c r="G967" s="63"/>
      <c r="H967" s="67"/>
      <c r="I967" s="68"/>
      <c r="J967" s="68"/>
      <c r="K967" s="32"/>
      <c r="L967" s="75">
        <v>967</v>
      </c>
      <c r="M967" s="75"/>
      <c r="N967" s="70"/>
      <c r="O967" s="77" t="s">
        <v>895</v>
      </c>
      <c r="P967" s="79">
        <v>45194.911921296298</v>
      </c>
      <c r="Q967" s="77" t="s">
        <v>1787</v>
      </c>
      <c r="R967" s="77">
        <v>1</v>
      </c>
      <c r="S967" s="77">
        <v>0</v>
      </c>
      <c r="T967" s="77">
        <v>0</v>
      </c>
      <c r="U967" s="77">
        <v>0</v>
      </c>
      <c r="V967" s="77">
        <v>1777</v>
      </c>
      <c r="W967" s="82" t="s">
        <v>5319</v>
      </c>
      <c r="X967" s="80" t="str">
        <f>HYPERLINK("http://dlvr.it/SwbXDx")</f>
        <v>http://dlvr.it/SwbXDx</v>
      </c>
      <c r="Y967" s="77" t="s">
        <v>6536</v>
      </c>
      <c r="Z967" s="77" t="s">
        <v>6582</v>
      </c>
      <c r="AA967" s="77"/>
      <c r="AB967" s="77"/>
      <c r="AC967" s="82" t="s">
        <v>6536</v>
      </c>
      <c r="AD967" s="77" t="s">
        <v>7790</v>
      </c>
      <c r="AE967" s="80" t="str">
        <f>HYPERLINK("https://twitter.com/ecos365/status/1706426643106185530")</f>
        <v>https://twitter.com/ecos365/status/1706426643106185530</v>
      </c>
      <c r="AF967" s="79">
        <v>45194.911921296298</v>
      </c>
      <c r="AG967" s="85">
        <v>45194</v>
      </c>
      <c r="AH967" s="82" t="s">
        <v>8663</v>
      </c>
      <c r="AI967" s="77" t="b">
        <v>0</v>
      </c>
      <c r="AJ967" s="77"/>
      <c r="AK967" s="77"/>
      <c r="AL967" s="77"/>
      <c r="AM967" s="77"/>
      <c r="AN967" s="77"/>
      <c r="AO967" s="77"/>
      <c r="AP967" s="77"/>
      <c r="AQ967" s="77"/>
      <c r="AR967" s="77"/>
      <c r="AS967" s="77"/>
      <c r="AT967" s="77"/>
      <c r="AU967" s="77"/>
      <c r="AV967" s="80" t="str">
        <f>HYPERLINK("https://pbs.twimg.com/profile_images/1540054895671316482/lea_Icv4_normal.jpg")</f>
        <v>https://pbs.twimg.com/profile_images/1540054895671316482/lea_Icv4_normal.jpg</v>
      </c>
      <c r="AW967" s="82" t="s">
        <v>12647</v>
      </c>
      <c r="AX967" s="82" t="s">
        <v>12647</v>
      </c>
      <c r="AY967" s="77"/>
      <c r="AZ967" s="82" t="s">
        <v>15984</v>
      </c>
      <c r="BA967" s="82" t="s">
        <v>15984</v>
      </c>
      <c r="BB967" s="82" t="s">
        <v>15984</v>
      </c>
      <c r="BC967" s="82" t="s">
        <v>12647</v>
      </c>
      <c r="BD967" s="82" t="s">
        <v>16299</v>
      </c>
      <c r="BE967" s="77"/>
      <c r="BF967" s="77"/>
      <c r="BG967" s="77"/>
      <c r="BH967" s="77"/>
      <c r="BI967" s="77"/>
    </row>
    <row r="968" spans="1:61" x14ac:dyDescent="0.25">
      <c r="A968" s="62" t="s">
        <v>563</v>
      </c>
      <c r="B968" s="62" t="s">
        <v>815</v>
      </c>
      <c r="C968" s="63"/>
      <c r="D968" s="64"/>
      <c r="E968" s="65"/>
      <c r="F968" s="66"/>
      <c r="G968" s="63"/>
      <c r="H968" s="67"/>
      <c r="I968" s="68"/>
      <c r="J968" s="68"/>
      <c r="K968" s="32"/>
      <c r="L968" s="75">
        <v>968</v>
      </c>
      <c r="M968" s="75"/>
      <c r="N968" s="70"/>
      <c r="O968" s="77" t="s">
        <v>899</v>
      </c>
      <c r="P968" s="79">
        <v>45194.912187499998</v>
      </c>
      <c r="Q968" s="77" t="s">
        <v>1788</v>
      </c>
      <c r="R968" s="77">
        <v>1</v>
      </c>
      <c r="S968" s="77">
        <v>0</v>
      </c>
      <c r="T968" s="77">
        <v>0</v>
      </c>
      <c r="U968" s="77">
        <v>0</v>
      </c>
      <c r="V968" s="77"/>
      <c r="W968" s="77"/>
      <c r="X968" s="77"/>
      <c r="Y968" s="77"/>
      <c r="Z968" s="77" t="s">
        <v>6583</v>
      </c>
      <c r="AA968" s="77"/>
      <c r="AB968" s="77"/>
      <c r="AC968" s="82" t="s">
        <v>6536</v>
      </c>
      <c r="AD968" s="77" t="s">
        <v>7790</v>
      </c>
      <c r="AE968" s="80" t="str">
        <f>HYPERLINK("https://twitter.com/rosariotres/status/1706426742074929278")</f>
        <v>https://twitter.com/rosariotres/status/1706426742074929278</v>
      </c>
      <c r="AF968" s="79">
        <v>45194.912187499998</v>
      </c>
      <c r="AG968" s="85">
        <v>45194</v>
      </c>
      <c r="AH968" s="82" t="s">
        <v>8664</v>
      </c>
      <c r="AI968" s="77" t="b">
        <v>0</v>
      </c>
      <c r="AJ968" s="77"/>
      <c r="AK968" s="77"/>
      <c r="AL968" s="77"/>
      <c r="AM968" s="77"/>
      <c r="AN968" s="77"/>
      <c r="AO968" s="77"/>
      <c r="AP968" s="77"/>
      <c r="AQ968" s="77"/>
      <c r="AR968" s="77"/>
      <c r="AS968" s="77"/>
      <c r="AT968" s="77"/>
      <c r="AU968" s="77"/>
      <c r="AV968" s="80" t="str">
        <f>HYPERLINK("https://pbs.twimg.com/profile_images/1135944788539334656/3RaaUBjF_normal.jpg")</f>
        <v>https://pbs.twimg.com/profile_images/1135944788539334656/3RaaUBjF_normal.jpg</v>
      </c>
      <c r="AW968" s="82" t="s">
        <v>12648</v>
      </c>
      <c r="AX968" s="82" t="s">
        <v>12648</v>
      </c>
      <c r="AY968" s="77"/>
      <c r="AZ968" s="82" t="s">
        <v>15984</v>
      </c>
      <c r="BA968" s="82" t="s">
        <v>15984</v>
      </c>
      <c r="BB968" s="82" t="s">
        <v>12647</v>
      </c>
      <c r="BC968" s="82" t="s">
        <v>12647</v>
      </c>
      <c r="BD968" s="77">
        <v>60647069</v>
      </c>
      <c r="BE968" s="77"/>
      <c r="BF968" s="77"/>
      <c r="BG968" s="77"/>
      <c r="BH968" s="77"/>
      <c r="BI968" s="77"/>
    </row>
    <row r="969" spans="1:61" x14ac:dyDescent="0.25">
      <c r="A969" s="62" t="s">
        <v>562</v>
      </c>
      <c r="B969" s="62" t="s">
        <v>562</v>
      </c>
      <c r="C969" s="63"/>
      <c r="D969" s="64"/>
      <c r="E969" s="65"/>
      <c r="F969" s="66"/>
      <c r="G969" s="63"/>
      <c r="H969" s="67"/>
      <c r="I969" s="68"/>
      <c r="J969" s="68"/>
      <c r="K969" s="32"/>
      <c r="L969" s="75">
        <v>969</v>
      </c>
      <c r="M969" s="75"/>
      <c r="N969" s="70"/>
      <c r="O969" s="77" t="s">
        <v>895</v>
      </c>
      <c r="P969" s="79">
        <v>45194.911921296298</v>
      </c>
      <c r="Q969" s="77" t="s">
        <v>1787</v>
      </c>
      <c r="R969" s="77">
        <v>1</v>
      </c>
      <c r="S969" s="77">
        <v>0</v>
      </c>
      <c r="T969" s="77">
        <v>0</v>
      </c>
      <c r="U969" s="77">
        <v>0</v>
      </c>
      <c r="V969" s="77">
        <v>1777</v>
      </c>
      <c r="W969" s="82" t="s">
        <v>5319</v>
      </c>
      <c r="X969" s="80" t="str">
        <f>HYPERLINK("http://dlvr.it/SwbXDx")</f>
        <v>http://dlvr.it/SwbXDx</v>
      </c>
      <c r="Y969" s="77" t="s">
        <v>6536</v>
      </c>
      <c r="Z969" s="77" t="s">
        <v>6582</v>
      </c>
      <c r="AA969" s="77"/>
      <c r="AB969" s="77"/>
      <c r="AC969" s="82" t="s">
        <v>6536</v>
      </c>
      <c r="AD969" s="77" t="s">
        <v>7790</v>
      </c>
      <c r="AE969" s="80" t="str">
        <f>HYPERLINK("https://twitter.com/ecos365/status/1706426643106185530")</f>
        <v>https://twitter.com/ecos365/status/1706426643106185530</v>
      </c>
      <c r="AF969" s="79">
        <v>45194.911921296298</v>
      </c>
      <c r="AG969" s="85">
        <v>45194</v>
      </c>
      <c r="AH969" s="82" t="s">
        <v>8663</v>
      </c>
      <c r="AI969" s="77" t="b">
        <v>0</v>
      </c>
      <c r="AJ969" s="77"/>
      <c r="AK969" s="77"/>
      <c r="AL969" s="77"/>
      <c r="AM969" s="77"/>
      <c r="AN969" s="77"/>
      <c r="AO969" s="77"/>
      <c r="AP969" s="77"/>
      <c r="AQ969" s="77"/>
      <c r="AR969" s="77"/>
      <c r="AS969" s="77"/>
      <c r="AT969" s="77"/>
      <c r="AU969" s="77"/>
      <c r="AV969" s="80" t="str">
        <f>HYPERLINK("https://pbs.twimg.com/profile_images/1540054895671316482/lea_Icv4_normal.jpg")</f>
        <v>https://pbs.twimg.com/profile_images/1540054895671316482/lea_Icv4_normal.jpg</v>
      </c>
      <c r="AW969" s="82" t="s">
        <v>12647</v>
      </c>
      <c r="AX969" s="82" t="s">
        <v>12647</v>
      </c>
      <c r="AY969" s="77"/>
      <c r="AZ969" s="82" t="s">
        <v>15984</v>
      </c>
      <c r="BA969" s="82" t="s">
        <v>15984</v>
      </c>
      <c r="BB969" s="82" t="s">
        <v>15984</v>
      </c>
      <c r="BC969" s="82" t="s">
        <v>12647</v>
      </c>
      <c r="BD969" s="82" t="s">
        <v>16299</v>
      </c>
      <c r="BE969" s="77"/>
      <c r="BF969" s="77"/>
      <c r="BG969" s="77"/>
      <c r="BH969" s="77"/>
      <c r="BI969" s="77"/>
    </row>
    <row r="970" spans="1:61" x14ac:dyDescent="0.25">
      <c r="A970" s="62" t="s">
        <v>563</v>
      </c>
      <c r="B970" s="62" t="s">
        <v>562</v>
      </c>
      <c r="C970" s="63"/>
      <c r="D970" s="64"/>
      <c r="E970" s="65"/>
      <c r="F970" s="66"/>
      <c r="G970" s="63"/>
      <c r="H970" s="67"/>
      <c r="I970" s="68"/>
      <c r="J970" s="68"/>
      <c r="K970" s="32"/>
      <c r="L970" s="75">
        <v>970</v>
      </c>
      <c r="M970" s="75"/>
      <c r="N970" s="70"/>
      <c r="O970" s="77" t="s">
        <v>897</v>
      </c>
      <c r="P970" s="79">
        <v>45194.912187499998</v>
      </c>
      <c r="Q970" s="77" t="s">
        <v>1788</v>
      </c>
      <c r="R970" s="77">
        <v>1</v>
      </c>
      <c r="S970" s="77">
        <v>0</v>
      </c>
      <c r="T970" s="77">
        <v>0</v>
      </c>
      <c r="U970" s="77">
        <v>0</v>
      </c>
      <c r="V970" s="77"/>
      <c r="W970" s="77"/>
      <c r="X970" s="77"/>
      <c r="Y970" s="77"/>
      <c r="Z970" s="77" t="s">
        <v>6583</v>
      </c>
      <c r="AA970" s="77"/>
      <c r="AB970" s="77"/>
      <c r="AC970" s="82" t="s">
        <v>6536</v>
      </c>
      <c r="AD970" s="77" t="s">
        <v>7790</v>
      </c>
      <c r="AE970" s="80" t="str">
        <f>HYPERLINK("https://twitter.com/rosariotres/status/1706426742074929278")</f>
        <v>https://twitter.com/rosariotres/status/1706426742074929278</v>
      </c>
      <c r="AF970" s="79">
        <v>45194.912187499998</v>
      </c>
      <c r="AG970" s="85">
        <v>45194</v>
      </c>
      <c r="AH970" s="82" t="s">
        <v>8664</v>
      </c>
      <c r="AI970" s="77" t="b">
        <v>0</v>
      </c>
      <c r="AJ970" s="77"/>
      <c r="AK970" s="77"/>
      <c r="AL970" s="77"/>
      <c r="AM970" s="77"/>
      <c r="AN970" s="77"/>
      <c r="AO970" s="77"/>
      <c r="AP970" s="77"/>
      <c r="AQ970" s="77"/>
      <c r="AR970" s="77"/>
      <c r="AS970" s="77"/>
      <c r="AT970" s="77"/>
      <c r="AU970" s="77"/>
      <c r="AV970" s="80" t="str">
        <f>HYPERLINK("https://pbs.twimg.com/profile_images/1135944788539334656/3RaaUBjF_normal.jpg")</f>
        <v>https://pbs.twimg.com/profile_images/1135944788539334656/3RaaUBjF_normal.jpg</v>
      </c>
      <c r="AW970" s="82" t="s">
        <v>12648</v>
      </c>
      <c r="AX970" s="82" t="s">
        <v>12648</v>
      </c>
      <c r="AY970" s="77"/>
      <c r="AZ970" s="82" t="s">
        <v>15984</v>
      </c>
      <c r="BA970" s="82" t="s">
        <v>15984</v>
      </c>
      <c r="BB970" s="82" t="s">
        <v>12647</v>
      </c>
      <c r="BC970" s="82" t="s">
        <v>12647</v>
      </c>
      <c r="BD970" s="77">
        <v>60647069</v>
      </c>
      <c r="BE970" s="77"/>
      <c r="BF970" s="77"/>
      <c r="BG970" s="77"/>
      <c r="BH970" s="77"/>
      <c r="BI970" s="77"/>
    </row>
    <row r="971" spans="1:61" x14ac:dyDescent="0.25">
      <c r="A971" s="62" t="s">
        <v>564</v>
      </c>
      <c r="B971" s="62" t="s">
        <v>564</v>
      </c>
      <c r="C971" s="63"/>
      <c r="D971" s="64"/>
      <c r="E971" s="65"/>
      <c r="F971" s="66"/>
      <c r="G971" s="63"/>
      <c r="H971" s="67"/>
      <c r="I971" s="68"/>
      <c r="J971" s="68"/>
      <c r="K971" s="32"/>
      <c r="L971" s="75">
        <v>971</v>
      </c>
      <c r="M971" s="75"/>
      <c r="N971" s="70"/>
      <c r="O971" s="77" t="s">
        <v>898</v>
      </c>
      <c r="P971" s="79">
        <v>45117.767835648148</v>
      </c>
      <c r="Q971" s="77" t="s">
        <v>1789</v>
      </c>
      <c r="R971" s="77">
        <v>1</v>
      </c>
      <c r="S971" s="77">
        <v>5</v>
      </c>
      <c r="T971" s="77">
        <v>0</v>
      </c>
      <c r="U971" s="77">
        <v>0</v>
      </c>
      <c r="V971" s="77">
        <v>294</v>
      </c>
      <c r="W971" s="82" t="s">
        <v>5320</v>
      </c>
      <c r="X971" s="80" t="str">
        <f>HYPERLINK("https://magindiaz.do/el-sector-financiero-en-la-mirilla-tributaria/")</f>
        <v>https://magindiaz.do/el-sector-financiero-en-la-mirilla-tributaria/</v>
      </c>
      <c r="Y971" s="77" t="s">
        <v>6537</v>
      </c>
      <c r="Z971" s="77"/>
      <c r="AA971" s="77"/>
      <c r="AB971" s="77"/>
      <c r="AC971" s="82" t="s">
        <v>7750</v>
      </c>
      <c r="AD971" s="77" t="s">
        <v>7790</v>
      </c>
      <c r="AE971" s="80" t="str">
        <f>HYPERLINK("https://twitter.com/magindiazrd/status/1678470564367704081")</f>
        <v>https://twitter.com/magindiazrd/status/1678470564367704081</v>
      </c>
      <c r="AF971" s="79">
        <v>45117.767835648148</v>
      </c>
      <c r="AG971" s="85">
        <v>45117</v>
      </c>
      <c r="AH971" s="82" t="s">
        <v>8665</v>
      </c>
      <c r="AI971" s="77" t="b">
        <v>0</v>
      </c>
      <c r="AJ971" s="77"/>
      <c r="AK971" s="77"/>
      <c r="AL971" s="77"/>
      <c r="AM971" s="77"/>
      <c r="AN971" s="77"/>
      <c r="AO971" s="77"/>
      <c r="AP971" s="77"/>
      <c r="AQ971" s="77"/>
      <c r="AR971" s="77"/>
      <c r="AS971" s="77"/>
      <c r="AT971" s="77"/>
      <c r="AU971" s="77"/>
      <c r="AV971" s="80" t="str">
        <f>HYPERLINK("https://pbs.twimg.com/profile_images/1348991624966254593/MppPeKy6_normal.jpg")</f>
        <v>https://pbs.twimg.com/profile_images/1348991624966254593/MppPeKy6_normal.jpg</v>
      </c>
      <c r="AW971" s="82" t="s">
        <v>12649</v>
      </c>
      <c r="AX971" s="82" t="s">
        <v>15842</v>
      </c>
      <c r="AY971" s="82" t="s">
        <v>15960</v>
      </c>
      <c r="AZ971" s="82" t="s">
        <v>16054</v>
      </c>
      <c r="BA971" s="82" t="s">
        <v>15984</v>
      </c>
      <c r="BB971" s="82" t="s">
        <v>15984</v>
      </c>
      <c r="BC971" s="82" t="s">
        <v>16054</v>
      </c>
      <c r="BD971" s="82" t="s">
        <v>15960</v>
      </c>
      <c r="BE971" s="77"/>
      <c r="BF971" s="77"/>
      <c r="BG971" s="77"/>
      <c r="BH971" s="77"/>
      <c r="BI971" s="77"/>
    </row>
    <row r="972" spans="1:61" x14ac:dyDescent="0.25">
      <c r="A972" s="62" t="s">
        <v>565</v>
      </c>
      <c r="B972" s="62" t="s">
        <v>565</v>
      </c>
      <c r="C972" s="63"/>
      <c r="D972" s="64"/>
      <c r="E972" s="65"/>
      <c r="F972" s="66"/>
      <c r="G972" s="63"/>
      <c r="H972" s="67"/>
      <c r="I972" s="68"/>
      <c r="J972" s="68"/>
      <c r="K972" s="32"/>
      <c r="L972" s="75">
        <v>972</v>
      </c>
      <c r="M972" s="75"/>
      <c r="N972" s="70"/>
      <c r="O972" s="77" t="s">
        <v>179</v>
      </c>
      <c r="P972" s="79">
        <v>45192.956574074073</v>
      </c>
      <c r="Q972" s="77" t="s">
        <v>1790</v>
      </c>
      <c r="R972" s="77">
        <v>0</v>
      </c>
      <c r="S972" s="77">
        <v>1</v>
      </c>
      <c r="T972" s="77">
        <v>0</v>
      </c>
      <c r="U972" s="77">
        <v>0</v>
      </c>
      <c r="V972" s="77">
        <v>177</v>
      </c>
      <c r="W972" s="82" t="s">
        <v>5321</v>
      </c>
      <c r="X972" s="80" t="str">
        <f>HYPERLINK("https://pipelinevalor.globo.com/negocios/noticia/ex-executivos-do-credit-suisse-abrem-boutique-com-foco-em-techs.ghtml")</f>
        <v>https://pipelinevalor.globo.com/negocios/noticia/ex-executivos-do-credit-suisse-abrem-boutique-com-foco-em-techs.ghtml</v>
      </c>
      <c r="Y972" s="77" t="s">
        <v>6538</v>
      </c>
      <c r="Z972" s="77"/>
      <c r="AA972" s="77"/>
      <c r="AB972" s="77"/>
      <c r="AC972" s="82" t="s">
        <v>7750</v>
      </c>
      <c r="AD972" s="77" t="s">
        <v>7788</v>
      </c>
      <c r="AE972" s="80" t="str">
        <f>HYPERLINK("https://twitter.com/pipelinevalor/status/1705718049536393250")</f>
        <v>https://twitter.com/pipelinevalor/status/1705718049536393250</v>
      </c>
      <c r="AF972" s="79">
        <v>45192.956574074073</v>
      </c>
      <c r="AG972" s="85">
        <v>45192</v>
      </c>
      <c r="AH972" s="82" t="s">
        <v>8666</v>
      </c>
      <c r="AI972" s="77" t="b">
        <v>0</v>
      </c>
      <c r="AJ972" s="77"/>
      <c r="AK972" s="77"/>
      <c r="AL972" s="77"/>
      <c r="AM972" s="77"/>
      <c r="AN972" s="77"/>
      <c r="AO972" s="77"/>
      <c r="AP972" s="77"/>
      <c r="AQ972" s="77"/>
      <c r="AR972" s="77"/>
      <c r="AS972" s="77"/>
      <c r="AT972" s="77"/>
      <c r="AU972" s="77"/>
      <c r="AV972" s="80" t="str">
        <f>HYPERLINK("https://pbs.twimg.com/profile_images/1362407924870623232/rrq7HwoE_normal.jpg")</f>
        <v>https://pbs.twimg.com/profile_images/1362407924870623232/rrq7HwoE_normal.jpg</v>
      </c>
      <c r="AW972" s="82" t="s">
        <v>12650</v>
      </c>
      <c r="AX972" s="82" t="s">
        <v>12650</v>
      </c>
      <c r="AY972" s="77"/>
      <c r="AZ972" s="82" t="s">
        <v>15984</v>
      </c>
      <c r="BA972" s="82" t="s">
        <v>15984</v>
      </c>
      <c r="BB972" s="82" t="s">
        <v>15984</v>
      </c>
      <c r="BC972" s="82" t="s">
        <v>12650</v>
      </c>
      <c r="BD972" s="82" t="s">
        <v>16300</v>
      </c>
      <c r="BE972" s="77"/>
      <c r="BF972" s="77"/>
      <c r="BG972" s="77"/>
      <c r="BH972" s="77"/>
      <c r="BI972" s="77"/>
    </row>
    <row r="973" spans="1:61" x14ac:dyDescent="0.25">
      <c r="A973" s="62" t="s">
        <v>566</v>
      </c>
      <c r="B973" s="62" t="s">
        <v>566</v>
      </c>
      <c r="C973" s="63"/>
      <c r="D973" s="64"/>
      <c r="E973" s="65"/>
      <c r="F973" s="66"/>
      <c r="G973" s="63"/>
      <c r="H973" s="67"/>
      <c r="I973" s="68"/>
      <c r="J973" s="68"/>
      <c r="K973" s="32"/>
      <c r="L973" s="75">
        <v>973</v>
      </c>
      <c r="M973" s="75"/>
      <c r="N973" s="70"/>
      <c r="O973" s="77" t="s">
        <v>898</v>
      </c>
      <c r="P973" s="79">
        <v>45153.736770833333</v>
      </c>
      <c r="Q973" s="77" t="s">
        <v>1791</v>
      </c>
      <c r="R973" s="77">
        <v>0</v>
      </c>
      <c r="S973" s="77">
        <v>0</v>
      </c>
      <c r="T973" s="77">
        <v>1</v>
      </c>
      <c r="U973" s="77">
        <v>0</v>
      </c>
      <c r="V973" s="77">
        <v>61</v>
      </c>
      <c r="W973" s="82" t="s">
        <v>4839</v>
      </c>
      <c r="X973" s="80" t="str">
        <f>HYPERLINK("https://amzn.to/3KLhz43")</f>
        <v>https://amzn.to/3KLhz43</v>
      </c>
      <c r="Y973" s="77" t="s">
        <v>6539</v>
      </c>
      <c r="Z973" s="77"/>
      <c r="AA973" s="77"/>
      <c r="AB973" s="77"/>
      <c r="AC973" s="82" t="s">
        <v>7751</v>
      </c>
      <c r="AD973" s="77" t="s">
        <v>7788</v>
      </c>
      <c r="AE973" s="80" t="str">
        <f>HYPERLINK("https://twitter.com/realpauloborba/status/1691505267316531200")</f>
        <v>https://twitter.com/realpauloborba/status/1691505267316531200</v>
      </c>
      <c r="AF973" s="79">
        <v>45153.736770833333</v>
      </c>
      <c r="AG973" s="85">
        <v>45153</v>
      </c>
      <c r="AH973" s="82" t="s">
        <v>8667</v>
      </c>
      <c r="AI973" s="77" t="b">
        <v>0</v>
      </c>
      <c r="AJ973" s="77"/>
      <c r="AK973" s="77"/>
      <c r="AL973" s="77"/>
      <c r="AM973" s="77"/>
      <c r="AN973" s="77"/>
      <c r="AO973" s="77"/>
      <c r="AP973" s="77"/>
      <c r="AQ973" s="77"/>
      <c r="AR973" s="77"/>
      <c r="AS973" s="77"/>
      <c r="AT973" s="77"/>
      <c r="AU973" s="77"/>
      <c r="AV973" s="80" t="str">
        <f>HYPERLINK("https://pbs.twimg.com/profile_images/1677000136701124608/bkma_mNv_normal.jpg")</f>
        <v>https://pbs.twimg.com/profile_images/1677000136701124608/bkma_mNv_normal.jpg</v>
      </c>
      <c r="AW973" s="82" t="s">
        <v>12651</v>
      </c>
      <c r="AX973" s="82" t="s">
        <v>15843</v>
      </c>
      <c r="AY973" s="82" t="s">
        <v>15961</v>
      </c>
      <c r="AZ973" s="82" t="s">
        <v>16055</v>
      </c>
      <c r="BA973" s="82" t="s">
        <v>15984</v>
      </c>
      <c r="BB973" s="82" t="s">
        <v>15984</v>
      </c>
      <c r="BC973" s="82" t="s">
        <v>16055</v>
      </c>
      <c r="BD973" s="82" t="s">
        <v>15961</v>
      </c>
      <c r="BE973" s="77"/>
      <c r="BF973" s="77"/>
      <c r="BG973" s="77"/>
      <c r="BH973" s="77"/>
      <c r="BI973" s="77"/>
    </row>
    <row r="974" spans="1:61" x14ac:dyDescent="0.25">
      <c r="A974" s="62" t="s">
        <v>566</v>
      </c>
      <c r="B974" s="62" t="s">
        <v>566</v>
      </c>
      <c r="C974" s="63"/>
      <c r="D974" s="64"/>
      <c r="E974" s="65"/>
      <c r="F974" s="66"/>
      <c r="G974" s="63"/>
      <c r="H974" s="67"/>
      <c r="I974" s="68"/>
      <c r="J974" s="68"/>
      <c r="K974" s="32"/>
      <c r="L974" s="75">
        <v>974</v>
      </c>
      <c r="M974" s="75"/>
      <c r="N974" s="70"/>
      <c r="O974" s="77" t="s">
        <v>179</v>
      </c>
      <c r="P974" s="79">
        <v>45160.251018518517</v>
      </c>
      <c r="Q974" s="77" t="s">
        <v>1792</v>
      </c>
      <c r="R974" s="77">
        <v>1</v>
      </c>
      <c r="S974" s="77">
        <v>0</v>
      </c>
      <c r="T974" s="77">
        <v>2</v>
      </c>
      <c r="U974" s="77">
        <v>0</v>
      </c>
      <c r="V974" s="77">
        <v>165</v>
      </c>
      <c r="W974" s="82" t="s">
        <v>4839</v>
      </c>
      <c r="X974" s="77"/>
      <c r="Y974" s="77"/>
      <c r="Z974" s="77"/>
      <c r="AA974" s="77" t="s">
        <v>7163</v>
      </c>
      <c r="AB974" s="77" t="s">
        <v>7742</v>
      </c>
      <c r="AC974" s="82" t="s">
        <v>7750</v>
      </c>
      <c r="AD974" s="77" t="s">
        <v>7788</v>
      </c>
      <c r="AE974" s="80" t="str">
        <f>HYPERLINK("https://twitter.com/realpauloborba/status/1693865955477401739")</f>
        <v>https://twitter.com/realpauloborba/status/1693865955477401739</v>
      </c>
      <c r="AF974" s="79">
        <v>45160.251018518517</v>
      </c>
      <c r="AG974" s="85">
        <v>45160</v>
      </c>
      <c r="AH974" s="82" t="s">
        <v>8668</v>
      </c>
      <c r="AI974" s="77" t="b">
        <v>0</v>
      </c>
      <c r="AJ974" s="77"/>
      <c r="AK974" s="77"/>
      <c r="AL974" s="77"/>
      <c r="AM974" s="77"/>
      <c r="AN974" s="77"/>
      <c r="AO974" s="77"/>
      <c r="AP974" s="77"/>
      <c r="AQ974" s="77" t="s">
        <v>11135</v>
      </c>
      <c r="AR974" s="77"/>
      <c r="AS974" s="77"/>
      <c r="AT974" s="77"/>
      <c r="AU974" s="77"/>
      <c r="AV974" s="80" t="str">
        <f>HYPERLINK("https://pbs.twimg.com/media/F4HR0maa0AAfXPX.jpg")</f>
        <v>https://pbs.twimg.com/media/F4HR0maa0AAfXPX.jpg</v>
      </c>
      <c r="AW974" s="82" t="s">
        <v>12652</v>
      </c>
      <c r="AX974" s="82" t="s">
        <v>12652</v>
      </c>
      <c r="AY974" s="77"/>
      <c r="AZ974" s="82" t="s">
        <v>15984</v>
      </c>
      <c r="BA974" s="82" t="s">
        <v>15984</v>
      </c>
      <c r="BB974" s="82" t="s">
        <v>15984</v>
      </c>
      <c r="BC974" s="82" t="s">
        <v>12652</v>
      </c>
      <c r="BD974" s="82" t="s">
        <v>15961</v>
      </c>
      <c r="BE974" s="77"/>
      <c r="BF974" s="77"/>
      <c r="BG974" s="77"/>
      <c r="BH974" s="77"/>
      <c r="BI974" s="77"/>
    </row>
    <row r="975" spans="1:61" x14ac:dyDescent="0.25">
      <c r="A975" s="62" t="s">
        <v>566</v>
      </c>
      <c r="B975" s="62" t="s">
        <v>566</v>
      </c>
      <c r="C975" s="63"/>
      <c r="D975" s="64"/>
      <c r="E975" s="65"/>
      <c r="F975" s="66"/>
      <c r="G975" s="63"/>
      <c r="H975" s="67"/>
      <c r="I975" s="68"/>
      <c r="J975" s="68"/>
      <c r="K975" s="32"/>
      <c r="L975" s="75">
        <v>975</v>
      </c>
      <c r="M975" s="75"/>
      <c r="N975" s="70"/>
      <c r="O975" s="77" t="s">
        <v>898</v>
      </c>
      <c r="P975" s="79">
        <v>45189.06287037037</v>
      </c>
      <c r="Q975" s="77" t="s">
        <v>1793</v>
      </c>
      <c r="R975" s="77">
        <v>0</v>
      </c>
      <c r="S975" s="77">
        <v>0</v>
      </c>
      <c r="T975" s="77">
        <v>0</v>
      </c>
      <c r="U975" s="77">
        <v>0</v>
      </c>
      <c r="V975" s="77">
        <v>45</v>
      </c>
      <c r="W975" s="82" t="s">
        <v>5322</v>
      </c>
      <c r="X975" s="77"/>
      <c r="Y975" s="77"/>
      <c r="Z975" s="77"/>
      <c r="AA975" s="77"/>
      <c r="AB975" s="77"/>
      <c r="AC975" s="82" t="s">
        <v>7751</v>
      </c>
      <c r="AD975" s="77" t="s">
        <v>7788</v>
      </c>
      <c r="AE975" s="80" t="str">
        <f>HYPERLINK("https://twitter.com/realpauloborba/status/1704307018151198780")</f>
        <v>https://twitter.com/realpauloborba/status/1704307018151198780</v>
      </c>
      <c r="AF975" s="79">
        <v>45189.06287037037</v>
      </c>
      <c r="AG975" s="85">
        <v>45189</v>
      </c>
      <c r="AH975" s="82" t="s">
        <v>8669</v>
      </c>
      <c r="AI975" s="77"/>
      <c r="AJ975" s="77"/>
      <c r="AK975" s="77"/>
      <c r="AL975" s="77"/>
      <c r="AM975" s="77"/>
      <c r="AN975" s="77"/>
      <c r="AO975" s="77"/>
      <c r="AP975" s="77"/>
      <c r="AQ975" s="77"/>
      <c r="AR975" s="77"/>
      <c r="AS975" s="77"/>
      <c r="AT975" s="77"/>
      <c r="AU975" s="77"/>
      <c r="AV975" s="80" t="str">
        <f>HYPERLINK("https://pbs.twimg.com/profile_images/1677000136701124608/bkma_mNv_normal.jpg")</f>
        <v>https://pbs.twimg.com/profile_images/1677000136701124608/bkma_mNv_normal.jpg</v>
      </c>
      <c r="AW975" s="82" t="s">
        <v>12653</v>
      </c>
      <c r="AX975" s="82" t="s">
        <v>15844</v>
      </c>
      <c r="AY975" s="82" t="s">
        <v>15961</v>
      </c>
      <c r="AZ975" s="82" t="s">
        <v>16056</v>
      </c>
      <c r="BA975" s="82" t="s">
        <v>15984</v>
      </c>
      <c r="BB975" s="82" t="s">
        <v>15984</v>
      </c>
      <c r="BC975" s="82" t="s">
        <v>16056</v>
      </c>
      <c r="BD975" s="82" t="s">
        <v>15961</v>
      </c>
      <c r="BE975" s="77"/>
      <c r="BF975" s="77"/>
      <c r="BG975" s="77"/>
      <c r="BH975" s="77"/>
      <c r="BI975" s="77"/>
    </row>
    <row r="976" spans="1:61" x14ac:dyDescent="0.25">
      <c r="A976" s="62" t="s">
        <v>567</v>
      </c>
      <c r="B976" s="62" t="s">
        <v>614</v>
      </c>
      <c r="C976" s="63"/>
      <c r="D976" s="64"/>
      <c r="E976" s="65"/>
      <c r="F976" s="66"/>
      <c r="G976" s="63"/>
      <c r="H976" s="67"/>
      <c r="I976" s="68"/>
      <c r="J976" s="68"/>
      <c r="K976" s="32"/>
      <c r="L976" s="75">
        <v>976</v>
      </c>
      <c r="M976" s="75"/>
      <c r="N976" s="70"/>
      <c r="O976" s="77" t="s">
        <v>897</v>
      </c>
      <c r="P976" s="79">
        <v>45194.998043981483</v>
      </c>
      <c r="Q976" s="77" t="s">
        <v>1114</v>
      </c>
      <c r="R976" s="77">
        <v>5</v>
      </c>
      <c r="S976" s="77">
        <v>0</v>
      </c>
      <c r="T976" s="77">
        <v>0</v>
      </c>
      <c r="U976" s="77">
        <v>0</v>
      </c>
      <c r="V976" s="77"/>
      <c r="W976" s="82" t="s">
        <v>4821</v>
      </c>
      <c r="X976" s="77"/>
      <c r="Y976" s="77"/>
      <c r="Z976" s="77" t="s">
        <v>614</v>
      </c>
      <c r="AA976" s="77"/>
      <c r="AB976" s="77"/>
      <c r="AC976" s="82" t="s">
        <v>7751</v>
      </c>
      <c r="AD976" s="77" t="s">
        <v>7790</v>
      </c>
      <c r="AE976" s="80" t="str">
        <f>HYPERLINK("https://twitter.com/juanpablosecure/status/1706457855069462657")</f>
        <v>https://twitter.com/juanpablosecure/status/1706457855069462657</v>
      </c>
      <c r="AF976" s="79">
        <v>45194.998043981483</v>
      </c>
      <c r="AG976" s="85">
        <v>45194</v>
      </c>
      <c r="AH976" s="82" t="s">
        <v>8670</v>
      </c>
      <c r="AI976" s="77" t="b">
        <v>0</v>
      </c>
      <c r="AJ976" s="77"/>
      <c r="AK976" s="77"/>
      <c r="AL976" s="77"/>
      <c r="AM976" s="77"/>
      <c r="AN976" s="77"/>
      <c r="AO976" s="77"/>
      <c r="AP976" s="77"/>
      <c r="AQ976" s="77"/>
      <c r="AR976" s="77"/>
      <c r="AS976" s="77"/>
      <c r="AT976" s="77"/>
      <c r="AU976" s="77"/>
      <c r="AV976" s="80" t="str">
        <f>HYPERLINK("https://pbs.twimg.com/profile_images/1570593686940950532/ijGTesBn_normal.jpg")</f>
        <v>https://pbs.twimg.com/profile_images/1570593686940950532/ijGTesBn_normal.jpg</v>
      </c>
      <c r="AW976" s="82" t="s">
        <v>12654</v>
      </c>
      <c r="AX976" s="82" t="s">
        <v>12654</v>
      </c>
      <c r="AY976" s="77"/>
      <c r="AZ976" s="82" t="s">
        <v>15984</v>
      </c>
      <c r="BA976" s="82" t="s">
        <v>15984</v>
      </c>
      <c r="BB976" s="82" t="s">
        <v>13072</v>
      </c>
      <c r="BC976" s="82" t="s">
        <v>13072</v>
      </c>
      <c r="BD976" s="82" t="s">
        <v>16301</v>
      </c>
      <c r="BE976" s="77"/>
      <c r="BF976" s="77"/>
      <c r="BG976" s="77"/>
      <c r="BH976" s="77"/>
      <c r="BI976" s="77"/>
    </row>
    <row r="977" spans="1:61" x14ac:dyDescent="0.25">
      <c r="A977" s="62" t="s">
        <v>568</v>
      </c>
      <c r="B977" s="62" t="s">
        <v>568</v>
      </c>
      <c r="C977" s="63"/>
      <c r="D977" s="64"/>
      <c r="E977" s="65"/>
      <c r="F977" s="66"/>
      <c r="G977" s="63"/>
      <c r="H977" s="67"/>
      <c r="I977" s="68"/>
      <c r="J977" s="68"/>
      <c r="K977" s="32"/>
      <c r="L977" s="75">
        <v>977</v>
      </c>
      <c r="M977" s="75"/>
      <c r="N977" s="70"/>
      <c r="O977" s="77" t="s">
        <v>179</v>
      </c>
      <c r="P977" s="79">
        <v>45166.546956018516</v>
      </c>
      <c r="Q977" s="77" t="s">
        <v>1794</v>
      </c>
      <c r="R977" s="77">
        <v>0</v>
      </c>
      <c r="S977" s="77">
        <v>0</v>
      </c>
      <c r="T977" s="77">
        <v>0</v>
      </c>
      <c r="U977" s="77">
        <v>0</v>
      </c>
      <c r="V977" s="77">
        <v>179</v>
      </c>
      <c r="W977" s="82" t="s">
        <v>5323</v>
      </c>
      <c r="X977" s="77"/>
      <c r="Y977" s="77"/>
      <c r="Z977" s="77"/>
      <c r="AA977" s="77" t="s">
        <v>7164</v>
      </c>
      <c r="AB977" s="77" t="s">
        <v>7743</v>
      </c>
      <c r="AC977" s="82" t="s">
        <v>7750</v>
      </c>
      <c r="AD977" s="77" t="s">
        <v>7788</v>
      </c>
      <c r="AE977" s="80" t="str">
        <f>HYPERLINK("https://twitter.com/falkcapital/status/1696147523147010370")</f>
        <v>https://twitter.com/falkcapital/status/1696147523147010370</v>
      </c>
      <c r="AF977" s="79">
        <v>45166.546956018516</v>
      </c>
      <c r="AG977" s="85">
        <v>45166</v>
      </c>
      <c r="AH977" s="82" t="s">
        <v>8671</v>
      </c>
      <c r="AI977" s="77" t="b">
        <v>0</v>
      </c>
      <c r="AJ977" s="77"/>
      <c r="AK977" s="77"/>
      <c r="AL977" s="77"/>
      <c r="AM977" s="77"/>
      <c r="AN977" s="77"/>
      <c r="AO977" s="77"/>
      <c r="AP977" s="77"/>
      <c r="AQ977" s="77" t="s">
        <v>11136</v>
      </c>
      <c r="AR977" s="77">
        <v>19233</v>
      </c>
      <c r="AS977" s="77"/>
      <c r="AT977" s="77"/>
      <c r="AU977" s="77"/>
      <c r="AV977" s="80" t="str">
        <f>HYPERLINK("https://pbs.twimg.com/ext_tw_video_thumb/1696146939694231552/pu/img/i_1FzUko_8bMkY5F.jpg")</f>
        <v>https://pbs.twimg.com/ext_tw_video_thumb/1696146939694231552/pu/img/i_1FzUko_8bMkY5F.jpg</v>
      </c>
      <c r="AW977" s="82" t="s">
        <v>12655</v>
      </c>
      <c r="AX977" s="82" t="s">
        <v>12655</v>
      </c>
      <c r="AY977" s="77"/>
      <c r="AZ977" s="82" t="s">
        <v>15984</v>
      </c>
      <c r="BA977" s="82" t="s">
        <v>15984</v>
      </c>
      <c r="BB977" s="82" t="s">
        <v>15984</v>
      </c>
      <c r="BC977" s="82" t="s">
        <v>12655</v>
      </c>
      <c r="BD977" s="82" t="s">
        <v>16302</v>
      </c>
      <c r="BE977" s="77"/>
      <c r="BF977" s="77"/>
      <c r="BG977" s="77"/>
      <c r="BH977" s="77"/>
      <c r="BI977" s="77"/>
    </row>
    <row r="978" spans="1:61" x14ac:dyDescent="0.25">
      <c r="A978" s="62" t="s">
        <v>568</v>
      </c>
      <c r="B978" s="62" t="s">
        <v>568</v>
      </c>
      <c r="C978" s="63"/>
      <c r="D978" s="64"/>
      <c r="E978" s="65"/>
      <c r="F978" s="66"/>
      <c r="G978" s="63"/>
      <c r="H978" s="67"/>
      <c r="I978" s="68"/>
      <c r="J978" s="68"/>
      <c r="K978" s="32"/>
      <c r="L978" s="75">
        <v>978</v>
      </c>
      <c r="M978" s="75"/>
      <c r="N978" s="70"/>
      <c r="O978" s="77" t="s">
        <v>179</v>
      </c>
      <c r="P978" s="79">
        <v>45173.50104166667</v>
      </c>
      <c r="Q978" s="77" t="s">
        <v>1795</v>
      </c>
      <c r="R978" s="77">
        <v>1</v>
      </c>
      <c r="S978" s="77">
        <v>2</v>
      </c>
      <c r="T978" s="77">
        <v>1</v>
      </c>
      <c r="U978" s="77">
        <v>0</v>
      </c>
      <c r="V978" s="77">
        <v>513</v>
      </c>
      <c r="W978" s="82" t="s">
        <v>5324</v>
      </c>
      <c r="X978" s="77"/>
      <c r="Y978" s="77"/>
      <c r="Z978" s="77"/>
      <c r="AA978" s="77" t="s">
        <v>7165</v>
      </c>
      <c r="AB978" s="77" t="s">
        <v>7743</v>
      </c>
      <c r="AC978" s="82" t="s">
        <v>7750</v>
      </c>
      <c r="AD978" s="77" t="s">
        <v>7788</v>
      </c>
      <c r="AE978" s="80" t="str">
        <f>HYPERLINK("https://twitter.com/falkcapital/status/1698667602988405036")</f>
        <v>https://twitter.com/falkcapital/status/1698667602988405036</v>
      </c>
      <c r="AF978" s="79">
        <v>45173.50104166667</v>
      </c>
      <c r="AG978" s="85">
        <v>45173</v>
      </c>
      <c r="AH978" s="82" t="s">
        <v>8672</v>
      </c>
      <c r="AI978" s="77" t="b">
        <v>0</v>
      </c>
      <c r="AJ978" s="77"/>
      <c r="AK978" s="77"/>
      <c r="AL978" s="77"/>
      <c r="AM978" s="77"/>
      <c r="AN978" s="77"/>
      <c r="AO978" s="77"/>
      <c r="AP978" s="77"/>
      <c r="AQ978" s="77" t="s">
        <v>11137</v>
      </c>
      <c r="AR978" s="77">
        <v>18000</v>
      </c>
      <c r="AS978" s="77"/>
      <c r="AT978" s="77"/>
      <c r="AU978" s="77"/>
      <c r="AV978" s="80" t="str">
        <f>HYPERLINK("https://pbs.twimg.com/ext_tw_video_thumb/1698667363749535744/pu/img/J6eCdlqqWMqxSKFj.jpg")</f>
        <v>https://pbs.twimg.com/ext_tw_video_thumb/1698667363749535744/pu/img/J6eCdlqqWMqxSKFj.jpg</v>
      </c>
      <c r="AW978" s="82" t="s">
        <v>12656</v>
      </c>
      <c r="AX978" s="82" t="s">
        <v>12656</v>
      </c>
      <c r="AY978" s="77"/>
      <c r="AZ978" s="82" t="s">
        <v>15984</v>
      </c>
      <c r="BA978" s="82" t="s">
        <v>15984</v>
      </c>
      <c r="BB978" s="82" t="s">
        <v>15984</v>
      </c>
      <c r="BC978" s="82" t="s">
        <v>12656</v>
      </c>
      <c r="BD978" s="82" t="s">
        <v>16302</v>
      </c>
      <c r="BE978" s="77"/>
      <c r="BF978" s="77"/>
      <c r="BG978" s="77"/>
      <c r="BH978" s="77"/>
      <c r="BI978" s="77"/>
    </row>
    <row r="979" spans="1:61" x14ac:dyDescent="0.25">
      <c r="A979" s="62" t="s">
        <v>568</v>
      </c>
      <c r="B979" s="62" t="s">
        <v>568</v>
      </c>
      <c r="C979" s="63"/>
      <c r="D979" s="64"/>
      <c r="E979" s="65"/>
      <c r="F979" s="66"/>
      <c r="G979" s="63"/>
      <c r="H979" s="67"/>
      <c r="I979" s="68"/>
      <c r="J979" s="68"/>
      <c r="K979" s="32"/>
      <c r="L979" s="75">
        <v>979</v>
      </c>
      <c r="M979" s="75"/>
      <c r="N979" s="70"/>
      <c r="O979" s="77" t="s">
        <v>179</v>
      </c>
      <c r="P979" s="79">
        <v>45168.550937499997</v>
      </c>
      <c r="Q979" s="77" t="s">
        <v>1796</v>
      </c>
      <c r="R979" s="77">
        <v>1</v>
      </c>
      <c r="S979" s="77">
        <v>2</v>
      </c>
      <c r="T979" s="77">
        <v>0</v>
      </c>
      <c r="U979" s="77">
        <v>0</v>
      </c>
      <c r="V979" s="77">
        <v>125</v>
      </c>
      <c r="W979" s="82" t="s">
        <v>5325</v>
      </c>
      <c r="X979" s="77"/>
      <c r="Y979" s="77"/>
      <c r="Z979" s="77"/>
      <c r="AA979" s="77" t="s">
        <v>7166</v>
      </c>
      <c r="AB979" s="77" t="s">
        <v>7743</v>
      </c>
      <c r="AC979" s="82" t="s">
        <v>7750</v>
      </c>
      <c r="AD979" s="77" t="s">
        <v>7788</v>
      </c>
      <c r="AE979" s="80" t="str">
        <f>HYPERLINK("https://twitter.com/falkcapital/status/1696873742591275486")</f>
        <v>https://twitter.com/falkcapital/status/1696873742591275486</v>
      </c>
      <c r="AF979" s="79">
        <v>45168.550937499997</v>
      </c>
      <c r="AG979" s="85">
        <v>45168</v>
      </c>
      <c r="AH979" s="82" t="s">
        <v>8673</v>
      </c>
      <c r="AI979" s="77" t="b">
        <v>0</v>
      </c>
      <c r="AJ979" s="77"/>
      <c r="AK979" s="77"/>
      <c r="AL979" s="77"/>
      <c r="AM979" s="77"/>
      <c r="AN979" s="77"/>
      <c r="AO979" s="77"/>
      <c r="AP979" s="77"/>
      <c r="AQ979" s="77" t="s">
        <v>11138</v>
      </c>
      <c r="AR979" s="77">
        <v>18000</v>
      </c>
      <c r="AS979" s="77"/>
      <c r="AT979" s="77"/>
      <c r="AU979" s="77"/>
      <c r="AV979" s="80" t="str">
        <f>HYPERLINK("https://pbs.twimg.com/ext_tw_video_thumb/1696873216730419200/pu/img/BetP8nZ58qy9Hnim.jpg")</f>
        <v>https://pbs.twimg.com/ext_tw_video_thumb/1696873216730419200/pu/img/BetP8nZ58qy9Hnim.jpg</v>
      </c>
      <c r="AW979" s="82" t="s">
        <v>12657</v>
      </c>
      <c r="AX979" s="82" t="s">
        <v>12657</v>
      </c>
      <c r="AY979" s="77"/>
      <c r="AZ979" s="82" t="s">
        <v>15984</v>
      </c>
      <c r="BA979" s="82" t="s">
        <v>15984</v>
      </c>
      <c r="BB979" s="82" t="s">
        <v>15984</v>
      </c>
      <c r="BC979" s="82" t="s">
        <v>12657</v>
      </c>
      <c r="BD979" s="82" t="s">
        <v>16302</v>
      </c>
      <c r="BE979" s="77"/>
      <c r="BF979" s="77"/>
      <c r="BG979" s="77"/>
      <c r="BH979" s="77"/>
      <c r="BI979" s="77"/>
    </row>
    <row r="980" spans="1:61" x14ac:dyDescent="0.25">
      <c r="A980" s="62" t="s">
        <v>568</v>
      </c>
      <c r="B980" s="62" t="s">
        <v>568</v>
      </c>
      <c r="C980" s="63"/>
      <c r="D980" s="64"/>
      <c r="E980" s="65"/>
      <c r="F980" s="66"/>
      <c r="G980" s="63"/>
      <c r="H980" s="67"/>
      <c r="I980" s="68"/>
      <c r="J980" s="68"/>
      <c r="K980" s="32"/>
      <c r="L980" s="75">
        <v>980</v>
      </c>
      <c r="M980" s="75"/>
      <c r="N980" s="70"/>
      <c r="O980" s="77" t="s">
        <v>179</v>
      </c>
      <c r="P980" s="79">
        <v>45176.059351851851</v>
      </c>
      <c r="Q980" s="77" t="s">
        <v>1797</v>
      </c>
      <c r="R980" s="77">
        <v>1</v>
      </c>
      <c r="S980" s="77">
        <v>2</v>
      </c>
      <c r="T980" s="77">
        <v>0</v>
      </c>
      <c r="U980" s="77">
        <v>0</v>
      </c>
      <c r="V980" s="77">
        <v>69</v>
      </c>
      <c r="W980" s="82" t="s">
        <v>5326</v>
      </c>
      <c r="X980" s="77"/>
      <c r="Y980" s="77"/>
      <c r="Z980" s="77"/>
      <c r="AA980" s="77" t="s">
        <v>7167</v>
      </c>
      <c r="AB980" s="77" t="s">
        <v>7742</v>
      </c>
      <c r="AC980" s="82" t="s">
        <v>7750</v>
      </c>
      <c r="AD980" s="77" t="s">
        <v>7788</v>
      </c>
      <c r="AE980" s="80" t="str">
        <f>HYPERLINK("https://twitter.com/falkcapital/status/1699594701949510044")</f>
        <v>https://twitter.com/falkcapital/status/1699594701949510044</v>
      </c>
      <c r="AF980" s="79">
        <v>45176.059351851851</v>
      </c>
      <c r="AG980" s="85">
        <v>45176</v>
      </c>
      <c r="AH980" s="82" t="s">
        <v>8674</v>
      </c>
      <c r="AI980" s="77" t="b">
        <v>0</v>
      </c>
      <c r="AJ980" s="77"/>
      <c r="AK980" s="77"/>
      <c r="AL980" s="77"/>
      <c r="AM980" s="77"/>
      <c r="AN980" s="77"/>
      <c r="AO980" s="77"/>
      <c r="AP980" s="77"/>
      <c r="AQ980" s="77" t="s">
        <v>11139</v>
      </c>
      <c r="AR980" s="77"/>
      <c r="AS980" s="77"/>
      <c r="AT980" s="77"/>
      <c r="AU980" s="77"/>
      <c r="AV980" s="80" t="str">
        <f>HYPERLINK("https://pbs.twimg.com/media/F5YsEyUXAAAJQQU.jpg")</f>
        <v>https://pbs.twimg.com/media/F5YsEyUXAAAJQQU.jpg</v>
      </c>
      <c r="AW980" s="82" t="s">
        <v>12658</v>
      </c>
      <c r="AX980" s="82" t="s">
        <v>12658</v>
      </c>
      <c r="AY980" s="77"/>
      <c r="AZ980" s="82" t="s">
        <v>15984</v>
      </c>
      <c r="BA980" s="82" t="s">
        <v>15984</v>
      </c>
      <c r="BB980" s="82" t="s">
        <v>15984</v>
      </c>
      <c r="BC980" s="82" t="s">
        <v>12658</v>
      </c>
      <c r="BD980" s="82" t="s">
        <v>16302</v>
      </c>
      <c r="BE980" s="77"/>
      <c r="BF980" s="77"/>
      <c r="BG980" s="77"/>
      <c r="BH980" s="77"/>
      <c r="BI980" s="77"/>
    </row>
    <row r="981" spans="1:61" x14ac:dyDescent="0.25">
      <c r="A981" s="62" t="s">
        <v>568</v>
      </c>
      <c r="B981" s="62" t="s">
        <v>568</v>
      </c>
      <c r="C981" s="63"/>
      <c r="D981" s="64"/>
      <c r="E981" s="65"/>
      <c r="F981" s="66"/>
      <c r="G981" s="63"/>
      <c r="H981" s="67"/>
      <c r="I981" s="68"/>
      <c r="J981" s="68"/>
      <c r="K981" s="32"/>
      <c r="L981" s="75">
        <v>981</v>
      </c>
      <c r="M981" s="75"/>
      <c r="N981" s="70"/>
      <c r="O981" s="77" t="s">
        <v>179</v>
      </c>
      <c r="P981" s="79">
        <v>45187.501643518517</v>
      </c>
      <c r="Q981" s="77" t="s">
        <v>1798</v>
      </c>
      <c r="R981" s="77">
        <v>1</v>
      </c>
      <c r="S981" s="77">
        <v>3</v>
      </c>
      <c r="T981" s="77">
        <v>0</v>
      </c>
      <c r="U981" s="77">
        <v>0</v>
      </c>
      <c r="V981" s="77">
        <v>940</v>
      </c>
      <c r="W981" s="82" t="s">
        <v>5324</v>
      </c>
      <c r="X981" s="77"/>
      <c r="Y981" s="77"/>
      <c r="Z981" s="77"/>
      <c r="AA981" s="77" t="s">
        <v>7168</v>
      </c>
      <c r="AB981" s="77" t="s">
        <v>7743</v>
      </c>
      <c r="AC981" s="82" t="s">
        <v>7750</v>
      </c>
      <c r="AD981" s="77" t="s">
        <v>7788</v>
      </c>
      <c r="AE981" s="80" t="str">
        <f>HYPERLINK("https://twitter.com/falkcapital/status/1703741249360933158")</f>
        <v>https://twitter.com/falkcapital/status/1703741249360933158</v>
      </c>
      <c r="AF981" s="79">
        <v>45187.501643518517</v>
      </c>
      <c r="AG981" s="85">
        <v>45187</v>
      </c>
      <c r="AH981" s="82" t="s">
        <v>8675</v>
      </c>
      <c r="AI981" s="77" t="b">
        <v>0</v>
      </c>
      <c r="AJ981" s="77"/>
      <c r="AK981" s="77"/>
      <c r="AL981" s="77"/>
      <c r="AM981" s="77"/>
      <c r="AN981" s="77"/>
      <c r="AO981" s="77"/>
      <c r="AP981" s="77"/>
      <c r="AQ981" s="77" t="s">
        <v>11140</v>
      </c>
      <c r="AR981" s="77">
        <v>18000</v>
      </c>
      <c r="AS981" s="77"/>
      <c r="AT981" s="77"/>
      <c r="AU981" s="77"/>
      <c r="AV981" s="80" t="str">
        <f>HYPERLINK("https://pbs.twimg.com/ext_tw_video_thumb/1703741141986734080/pu/img/IuT6n1uzl_vdWcKF.jpg")</f>
        <v>https://pbs.twimg.com/ext_tw_video_thumb/1703741141986734080/pu/img/IuT6n1uzl_vdWcKF.jpg</v>
      </c>
      <c r="AW981" s="82" t="s">
        <v>12659</v>
      </c>
      <c r="AX981" s="82" t="s">
        <v>12659</v>
      </c>
      <c r="AY981" s="77"/>
      <c r="AZ981" s="82" t="s">
        <v>15984</v>
      </c>
      <c r="BA981" s="82" t="s">
        <v>15984</v>
      </c>
      <c r="BB981" s="82" t="s">
        <v>15984</v>
      </c>
      <c r="BC981" s="82" t="s">
        <v>12659</v>
      </c>
      <c r="BD981" s="82" t="s">
        <v>16302</v>
      </c>
      <c r="BE981" s="77"/>
      <c r="BF981" s="77"/>
      <c r="BG981" s="77"/>
      <c r="BH981" s="77"/>
      <c r="BI981" s="77"/>
    </row>
    <row r="982" spans="1:61" x14ac:dyDescent="0.25">
      <c r="A982" s="62" t="s">
        <v>568</v>
      </c>
      <c r="B982" s="62" t="s">
        <v>568</v>
      </c>
      <c r="C982" s="63"/>
      <c r="D982" s="64"/>
      <c r="E982" s="65"/>
      <c r="F982" s="66"/>
      <c r="G982" s="63"/>
      <c r="H982" s="67"/>
      <c r="I982" s="68"/>
      <c r="J982" s="68"/>
      <c r="K982" s="32"/>
      <c r="L982" s="75">
        <v>982</v>
      </c>
      <c r="M982" s="75"/>
      <c r="N982" s="70"/>
      <c r="O982" s="77" t="s">
        <v>179</v>
      </c>
      <c r="P982" s="79">
        <v>45194.527986111112</v>
      </c>
      <c r="Q982" s="77" t="s">
        <v>1799</v>
      </c>
      <c r="R982" s="77">
        <v>1</v>
      </c>
      <c r="S982" s="77">
        <v>2</v>
      </c>
      <c r="T982" s="77">
        <v>0</v>
      </c>
      <c r="U982" s="77">
        <v>0</v>
      </c>
      <c r="V982" s="77">
        <v>211</v>
      </c>
      <c r="W982" s="82" t="s">
        <v>5324</v>
      </c>
      <c r="X982" s="77"/>
      <c r="Y982" s="77"/>
      <c r="Z982" s="77"/>
      <c r="AA982" s="77" t="s">
        <v>7169</v>
      </c>
      <c r="AB982" s="77" t="s">
        <v>7743</v>
      </c>
      <c r="AC982" s="82" t="s">
        <v>7750</v>
      </c>
      <c r="AD982" s="77" t="s">
        <v>7788</v>
      </c>
      <c r="AE982" s="80" t="str">
        <f>HYPERLINK("https://twitter.com/falkcapital/status/1706287509301330337")</f>
        <v>https://twitter.com/falkcapital/status/1706287509301330337</v>
      </c>
      <c r="AF982" s="79">
        <v>45194.527986111112</v>
      </c>
      <c r="AG982" s="85">
        <v>45194</v>
      </c>
      <c r="AH982" s="82" t="s">
        <v>8676</v>
      </c>
      <c r="AI982" s="77" t="b">
        <v>0</v>
      </c>
      <c r="AJ982" s="77"/>
      <c r="AK982" s="77"/>
      <c r="AL982" s="77"/>
      <c r="AM982" s="77"/>
      <c r="AN982" s="77"/>
      <c r="AO982" s="77"/>
      <c r="AP982" s="77"/>
      <c r="AQ982" s="77" t="s">
        <v>11141</v>
      </c>
      <c r="AR982" s="77">
        <v>18000</v>
      </c>
      <c r="AS982" s="77"/>
      <c r="AT982" s="77"/>
      <c r="AU982" s="77"/>
      <c r="AV982" s="80" t="str">
        <f>HYPERLINK("https://pbs.twimg.com/ext_tw_video_thumb/1706287461897289728/pu/img/LUHtAg17luvct0XK.jpg")</f>
        <v>https://pbs.twimg.com/ext_tw_video_thumb/1706287461897289728/pu/img/LUHtAg17luvct0XK.jpg</v>
      </c>
      <c r="AW982" s="82" t="s">
        <v>12660</v>
      </c>
      <c r="AX982" s="82" t="s">
        <v>12660</v>
      </c>
      <c r="AY982" s="77"/>
      <c r="AZ982" s="82" t="s">
        <v>15984</v>
      </c>
      <c r="BA982" s="82" t="s">
        <v>15984</v>
      </c>
      <c r="BB982" s="82" t="s">
        <v>15984</v>
      </c>
      <c r="BC982" s="82" t="s">
        <v>12660</v>
      </c>
      <c r="BD982" s="82" t="s">
        <v>16302</v>
      </c>
      <c r="BE982" s="77"/>
      <c r="BF982" s="77"/>
      <c r="BG982" s="77"/>
      <c r="BH982" s="77"/>
      <c r="BI982" s="77"/>
    </row>
    <row r="983" spans="1:61" x14ac:dyDescent="0.25">
      <c r="A983" s="62" t="s">
        <v>568</v>
      </c>
      <c r="B983" s="62" t="s">
        <v>568</v>
      </c>
      <c r="C983" s="63"/>
      <c r="D983" s="64"/>
      <c r="E983" s="65"/>
      <c r="F983" s="66"/>
      <c r="G983" s="63"/>
      <c r="H983" s="67"/>
      <c r="I983" s="68"/>
      <c r="J983" s="68"/>
      <c r="K983" s="32"/>
      <c r="L983" s="75">
        <v>983</v>
      </c>
      <c r="M983" s="75"/>
      <c r="N983" s="70"/>
      <c r="O983" s="77" t="s">
        <v>179</v>
      </c>
      <c r="P983" s="79">
        <v>45180.496655092589</v>
      </c>
      <c r="Q983" s="77" t="s">
        <v>1800</v>
      </c>
      <c r="R983" s="77">
        <v>1</v>
      </c>
      <c r="S983" s="77">
        <v>3</v>
      </c>
      <c r="T983" s="77">
        <v>0</v>
      </c>
      <c r="U983" s="77">
        <v>0</v>
      </c>
      <c r="V983" s="77">
        <v>823</v>
      </c>
      <c r="W983" s="82" t="s">
        <v>5324</v>
      </c>
      <c r="X983" s="77"/>
      <c r="Y983" s="77"/>
      <c r="Z983" s="77"/>
      <c r="AA983" s="77" t="s">
        <v>7170</v>
      </c>
      <c r="AB983" s="77" t="s">
        <v>7743</v>
      </c>
      <c r="AC983" s="82" t="s">
        <v>7750</v>
      </c>
      <c r="AD983" s="77" t="s">
        <v>7788</v>
      </c>
      <c r="AE983" s="80" t="str">
        <f>HYPERLINK("https://twitter.com/falkcapital/status/1701202726904869145")</f>
        <v>https://twitter.com/falkcapital/status/1701202726904869145</v>
      </c>
      <c r="AF983" s="79">
        <v>45180.496655092589</v>
      </c>
      <c r="AG983" s="85">
        <v>45180</v>
      </c>
      <c r="AH983" s="82" t="s">
        <v>8677</v>
      </c>
      <c r="AI983" s="77" t="b">
        <v>0</v>
      </c>
      <c r="AJ983" s="77"/>
      <c r="AK983" s="77"/>
      <c r="AL983" s="77"/>
      <c r="AM983" s="77"/>
      <c r="AN983" s="77"/>
      <c r="AO983" s="77"/>
      <c r="AP983" s="77"/>
      <c r="AQ983" s="77" t="s">
        <v>11142</v>
      </c>
      <c r="AR983" s="77">
        <v>18000</v>
      </c>
      <c r="AS983" s="77"/>
      <c r="AT983" s="77"/>
      <c r="AU983" s="77"/>
      <c r="AV983" s="80" t="str">
        <f>HYPERLINK("https://pbs.twimg.com/ext_tw_video_thumb/1701202630163202048/pu/img/I5s8Wkp5xP7SRvd4.jpg")</f>
        <v>https://pbs.twimg.com/ext_tw_video_thumb/1701202630163202048/pu/img/I5s8Wkp5xP7SRvd4.jpg</v>
      </c>
      <c r="AW983" s="82" t="s">
        <v>12661</v>
      </c>
      <c r="AX983" s="82" t="s">
        <v>12661</v>
      </c>
      <c r="AY983" s="77"/>
      <c r="AZ983" s="82" t="s">
        <v>15984</v>
      </c>
      <c r="BA983" s="82" t="s">
        <v>15984</v>
      </c>
      <c r="BB983" s="82" t="s">
        <v>15984</v>
      </c>
      <c r="BC983" s="82" t="s">
        <v>12661</v>
      </c>
      <c r="BD983" s="82" t="s">
        <v>16302</v>
      </c>
      <c r="BE983" s="77"/>
      <c r="BF983" s="77"/>
      <c r="BG983" s="77"/>
      <c r="BH983" s="77"/>
      <c r="BI983" s="77"/>
    </row>
    <row r="984" spans="1:61" x14ac:dyDescent="0.25">
      <c r="A984" s="62" t="s">
        <v>569</v>
      </c>
      <c r="B984" s="62" t="s">
        <v>569</v>
      </c>
      <c r="C984" s="63"/>
      <c r="D984" s="64"/>
      <c r="E984" s="65"/>
      <c r="F984" s="66"/>
      <c r="G984" s="63"/>
      <c r="H984" s="67"/>
      <c r="I984" s="68"/>
      <c r="J984" s="68"/>
      <c r="K984" s="32"/>
      <c r="L984" s="75">
        <v>984</v>
      </c>
      <c r="M984" s="75"/>
      <c r="N984" s="70"/>
      <c r="O984" s="77" t="s">
        <v>179</v>
      </c>
      <c r="P984" s="79">
        <v>45118.885462962964</v>
      </c>
      <c r="Q984" s="77" t="s">
        <v>1801</v>
      </c>
      <c r="R984" s="77">
        <v>0</v>
      </c>
      <c r="S984" s="77">
        <v>0</v>
      </c>
      <c r="T984" s="77">
        <v>0</v>
      </c>
      <c r="U984" s="77">
        <v>0</v>
      </c>
      <c r="V984" s="77">
        <v>36</v>
      </c>
      <c r="W984" s="82" t="s">
        <v>4995</v>
      </c>
      <c r="X984" s="77"/>
      <c r="Y984" s="77"/>
      <c r="Z984" s="77"/>
      <c r="AA984" s="77" t="s">
        <v>7171</v>
      </c>
      <c r="AB984" s="77" t="s">
        <v>7742</v>
      </c>
      <c r="AC984" s="82" t="s">
        <v>7773</v>
      </c>
      <c r="AD984" s="77" t="s">
        <v>7789</v>
      </c>
      <c r="AE984" s="80" t="str">
        <f>HYPERLINK("https://twitter.com/verodatoapp/status/1678875579167256578")</f>
        <v>https://twitter.com/verodatoapp/status/1678875579167256578</v>
      </c>
      <c r="AF984" s="79">
        <v>45118.885462962964</v>
      </c>
      <c r="AG984" s="85">
        <v>45118</v>
      </c>
      <c r="AH984" s="82" t="s">
        <v>8084</v>
      </c>
      <c r="AI984" s="77" t="b">
        <v>0</v>
      </c>
      <c r="AJ984" s="77"/>
      <c r="AK984" s="77"/>
      <c r="AL984" s="77"/>
      <c r="AM984" s="77"/>
      <c r="AN984" s="77"/>
      <c r="AO984" s="77"/>
      <c r="AP984" s="77"/>
      <c r="AQ984" s="77" t="s">
        <v>11143</v>
      </c>
      <c r="AR984" s="77"/>
      <c r="AS984" s="77"/>
      <c r="AT984" s="77"/>
      <c r="AU984" s="77"/>
      <c r="AV984" s="80" t="str">
        <f>HYPERLINK("https://pbs.twimg.com/media/F0yQcXUWAAA9e3N.png")</f>
        <v>https://pbs.twimg.com/media/F0yQcXUWAAA9e3N.png</v>
      </c>
      <c r="AW984" s="82" t="s">
        <v>12662</v>
      </c>
      <c r="AX984" s="82" t="s">
        <v>12662</v>
      </c>
      <c r="AY984" s="77"/>
      <c r="AZ984" s="82" t="s">
        <v>15984</v>
      </c>
      <c r="BA984" s="82" t="s">
        <v>15984</v>
      </c>
      <c r="BB984" s="82" t="s">
        <v>15984</v>
      </c>
      <c r="BC984" s="82" t="s">
        <v>12662</v>
      </c>
      <c r="BD984" s="77">
        <v>3225287033</v>
      </c>
      <c r="BE984" s="77"/>
      <c r="BF984" s="77"/>
      <c r="BG984" s="77"/>
      <c r="BH984" s="77"/>
      <c r="BI984" s="77"/>
    </row>
    <row r="985" spans="1:61" x14ac:dyDescent="0.25">
      <c r="A985" s="62" t="s">
        <v>569</v>
      </c>
      <c r="B985" s="62" t="s">
        <v>569</v>
      </c>
      <c r="C985" s="63"/>
      <c r="D985" s="64"/>
      <c r="E985" s="65"/>
      <c r="F985" s="66"/>
      <c r="G985" s="63"/>
      <c r="H985" s="67"/>
      <c r="I985" s="68"/>
      <c r="J985" s="68"/>
      <c r="K985" s="32"/>
      <c r="L985" s="75">
        <v>985</v>
      </c>
      <c r="M985" s="75"/>
      <c r="N985" s="70"/>
      <c r="O985" s="77" t="s">
        <v>179</v>
      </c>
      <c r="P985" s="79">
        <v>45117.885474537034</v>
      </c>
      <c r="Q985" s="77" t="s">
        <v>1802</v>
      </c>
      <c r="R985" s="77">
        <v>0</v>
      </c>
      <c r="S985" s="77">
        <v>0</v>
      </c>
      <c r="T985" s="77">
        <v>0</v>
      </c>
      <c r="U985" s="77">
        <v>0</v>
      </c>
      <c r="V985" s="77">
        <v>29</v>
      </c>
      <c r="W985" s="82" t="s">
        <v>4995</v>
      </c>
      <c r="X985" s="77"/>
      <c r="Y985" s="77"/>
      <c r="Z985" s="77"/>
      <c r="AA985" s="77" t="s">
        <v>7172</v>
      </c>
      <c r="AB985" s="77" t="s">
        <v>7742</v>
      </c>
      <c r="AC985" s="82" t="s">
        <v>7773</v>
      </c>
      <c r="AD985" s="77" t="s">
        <v>7789</v>
      </c>
      <c r="AE985" s="80" t="str">
        <f>HYPERLINK("https://twitter.com/verodatoapp/status/1678513192568336387")</f>
        <v>https://twitter.com/verodatoapp/status/1678513192568336387</v>
      </c>
      <c r="AF985" s="79">
        <v>45117.885474537034</v>
      </c>
      <c r="AG985" s="85">
        <v>45117</v>
      </c>
      <c r="AH985" s="82" t="s">
        <v>8083</v>
      </c>
      <c r="AI985" s="77" t="b">
        <v>0</v>
      </c>
      <c r="AJ985" s="77"/>
      <c r="AK985" s="77"/>
      <c r="AL985" s="77"/>
      <c r="AM985" s="77"/>
      <c r="AN985" s="77"/>
      <c r="AO985" s="77"/>
      <c r="AP985" s="77"/>
      <c r="AQ985" s="77" t="s">
        <v>11144</v>
      </c>
      <c r="AR985" s="77"/>
      <c r="AS985" s="77"/>
      <c r="AT985" s="77"/>
      <c r="AU985" s="77"/>
      <c r="AV985" s="80" t="str">
        <f>HYPERLINK("https://pbs.twimg.com/media/F0tG2rvXgAAqGJS.png")</f>
        <v>https://pbs.twimg.com/media/F0tG2rvXgAAqGJS.png</v>
      </c>
      <c r="AW985" s="82" t="s">
        <v>12663</v>
      </c>
      <c r="AX985" s="82" t="s">
        <v>12663</v>
      </c>
      <c r="AY985" s="77"/>
      <c r="AZ985" s="82" t="s">
        <v>15984</v>
      </c>
      <c r="BA985" s="82" t="s">
        <v>15984</v>
      </c>
      <c r="BB985" s="82" t="s">
        <v>15984</v>
      </c>
      <c r="BC985" s="82" t="s">
        <v>12663</v>
      </c>
      <c r="BD985" s="77">
        <v>3225287033</v>
      </c>
      <c r="BE985" s="77"/>
      <c r="BF985" s="77"/>
      <c r="BG985" s="77"/>
      <c r="BH985" s="77"/>
      <c r="BI985" s="77"/>
    </row>
    <row r="986" spans="1:61" x14ac:dyDescent="0.25">
      <c r="A986" s="62" t="s">
        <v>569</v>
      </c>
      <c r="B986" s="62" t="s">
        <v>569</v>
      </c>
      <c r="C986" s="63"/>
      <c r="D986" s="64"/>
      <c r="E986" s="65"/>
      <c r="F986" s="66"/>
      <c r="G986" s="63"/>
      <c r="H986" s="67"/>
      <c r="I986" s="68"/>
      <c r="J986" s="68"/>
      <c r="K986" s="32"/>
      <c r="L986" s="75">
        <v>986</v>
      </c>
      <c r="M986" s="75"/>
      <c r="N986" s="70"/>
      <c r="O986" s="77" t="s">
        <v>179</v>
      </c>
      <c r="P986" s="79">
        <v>45131.885462962964</v>
      </c>
      <c r="Q986" s="77" t="s">
        <v>1803</v>
      </c>
      <c r="R986" s="77">
        <v>0</v>
      </c>
      <c r="S986" s="77">
        <v>0</v>
      </c>
      <c r="T986" s="77">
        <v>1</v>
      </c>
      <c r="U986" s="77">
        <v>0</v>
      </c>
      <c r="V986" s="77">
        <v>13</v>
      </c>
      <c r="W986" s="82" t="s">
        <v>4995</v>
      </c>
      <c r="X986" s="77"/>
      <c r="Y986" s="77"/>
      <c r="Z986" s="77"/>
      <c r="AA986" s="77" t="s">
        <v>7173</v>
      </c>
      <c r="AB986" s="77" t="s">
        <v>7742</v>
      </c>
      <c r="AC986" s="82" t="s">
        <v>7773</v>
      </c>
      <c r="AD986" s="77" t="s">
        <v>7789</v>
      </c>
      <c r="AE986" s="80" t="str">
        <f>HYPERLINK("https://twitter.com/verodatoapp/status/1683586622502195201")</f>
        <v>https://twitter.com/verodatoapp/status/1683586622502195201</v>
      </c>
      <c r="AF986" s="79">
        <v>45131.885462962964</v>
      </c>
      <c r="AG986" s="85">
        <v>45131</v>
      </c>
      <c r="AH986" s="82" t="s">
        <v>8084</v>
      </c>
      <c r="AI986" s="77" t="b">
        <v>0</v>
      </c>
      <c r="AJ986" s="77"/>
      <c r="AK986" s="77"/>
      <c r="AL986" s="77"/>
      <c r="AM986" s="77"/>
      <c r="AN986" s="77"/>
      <c r="AO986" s="77"/>
      <c r="AP986" s="77"/>
      <c r="AQ986" s="77" t="s">
        <v>11145</v>
      </c>
      <c r="AR986" s="77"/>
      <c r="AS986" s="77"/>
      <c r="AT986" s="77"/>
      <c r="AU986" s="77"/>
      <c r="AV986" s="80" t="str">
        <f>HYPERLINK("https://pbs.twimg.com/media/F11NHLFWcAIA1P-.png")</f>
        <v>https://pbs.twimg.com/media/F11NHLFWcAIA1P-.png</v>
      </c>
      <c r="AW986" s="82" t="s">
        <v>12664</v>
      </c>
      <c r="AX986" s="82" t="s">
        <v>12664</v>
      </c>
      <c r="AY986" s="77"/>
      <c r="AZ986" s="82" t="s">
        <v>15984</v>
      </c>
      <c r="BA986" s="82" t="s">
        <v>15984</v>
      </c>
      <c r="BB986" s="82" t="s">
        <v>15984</v>
      </c>
      <c r="BC986" s="82" t="s">
        <v>12664</v>
      </c>
      <c r="BD986" s="77">
        <v>3225287033</v>
      </c>
      <c r="BE986" s="77"/>
      <c r="BF986" s="77"/>
      <c r="BG986" s="77"/>
      <c r="BH986" s="77"/>
      <c r="BI986" s="77"/>
    </row>
    <row r="987" spans="1:61" x14ac:dyDescent="0.25">
      <c r="A987" s="62" t="s">
        <v>569</v>
      </c>
      <c r="B987" s="62" t="s">
        <v>569</v>
      </c>
      <c r="C987" s="63"/>
      <c r="D987" s="64"/>
      <c r="E987" s="65"/>
      <c r="F987" s="66"/>
      <c r="G987" s="63"/>
      <c r="H987" s="67"/>
      <c r="I987" s="68"/>
      <c r="J987" s="68"/>
      <c r="K987" s="32"/>
      <c r="L987" s="75">
        <v>987</v>
      </c>
      <c r="M987" s="75"/>
      <c r="N987" s="70"/>
      <c r="O987" s="77" t="s">
        <v>179</v>
      </c>
      <c r="P987" s="79">
        <v>45128.885462962964</v>
      </c>
      <c r="Q987" s="77" t="s">
        <v>1804</v>
      </c>
      <c r="R987" s="77">
        <v>0</v>
      </c>
      <c r="S987" s="77">
        <v>0</v>
      </c>
      <c r="T987" s="77">
        <v>0</v>
      </c>
      <c r="U987" s="77">
        <v>0</v>
      </c>
      <c r="V987" s="77">
        <v>226</v>
      </c>
      <c r="W987" s="82" t="s">
        <v>4995</v>
      </c>
      <c r="X987" s="77"/>
      <c r="Y987" s="77"/>
      <c r="Z987" s="77"/>
      <c r="AA987" s="77" t="s">
        <v>7174</v>
      </c>
      <c r="AB987" s="77" t="s">
        <v>7742</v>
      </c>
      <c r="AC987" s="82" t="s">
        <v>7773</v>
      </c>
      <c r="AD987" s="77" t="s">
        <v>7789</v>
      </c>
      <c r="AE987" s="80" t="str">
        <f>HYPERLINK("https://twitter.com/verodatoapp/status/1682499458519515137")</f>
        <v>https://twitter.com/verodatoapp/status/1682499458519515137</v>
      </c>
      <c r="AF987" s="79">
        <v>45128.885462962964</v>
      </c>
      <c r="AG987" s="85">
        <v>45128</v>
      </c>
      <c r="AH987" s="82" t="s">
        <v>8084</v>
      </c>
      <c r="AI987" s="77" t="b">
        <v>0</v>
      </c>
      <c r="AJ987" s="77"/>
      <c r="AK987" s="77"/>
      <c r="AL987" s="77"/>
      <c r="AM987" s="77"/>
      <c r="AN987" s="77"/>
      <c r="AO987" s="77"/>
      <c r="AP987" s="77"/>
      <c r="AQ987" s="77" t="s">
        <v>11146</v>
      </c>
      <c r="AR987" s="77"/>
      <c r="AS987" s="77"/>
      <c r="AT987" s="77"/>
      <c r="AU987" s="77"/>
      <c r="AV987" s="80" t="str">
        <f>HYPERLINK("https://pbs.twimg.com/media/F1lwV5mWwAEhkcp.png")</f>
        <v>https://pbs.twimg.com/media/F1lwV5mWwAEhkcp.png</v>
      </c>
      <c r="AW987" s="82" t="s">
        <v>12665</v>
      </c>
      <c r="AX987" s="82" t="s">
        <v>12665</v>
      </c>
      <c r="AY987" s="77"/>
      <c r="AZ987" s="82" t="s">
        <v>15984</v>
      </c>
      <c r="BA987" s="82" t="s">
        <v>15984</v>
      </c>
      <c r="BB987" s="82" t="s">
        <v>15984</v>
      </c>
      <c r="BC987" s="82" t="s">
        <v>12665</v>
      </c>
      <c r="BD987" s="77">
        <v>3225287033</v>
      </c>
      <c r="BE987" s="77"/>
      <c r="BF987" s="77"/>
      <c r="BG987" s="77"/>
      <c r="BH987" s="77"/>
      <c r="BI987" s="77"/>
    </row>
    <row r="988" spans="1:61" x14ac:dyDescent="0.25">
      <c r="A988" s="62" t="s">
        <v>569</v>
      </c>
      <c r="B988" s="62" t="s">
        <v>569</v>
      </c>
      <c r="C988" s="63"/>
      <c r="D988" s="64"/>
      <c r="E988" s="65"/>
      <c r="F988" s="66"/>
      <c r="G988" s="63"/>
      <c r="H988" s="67"/>
      <c r="I988" s="68"/>
      <c r="J988" s="68"/>
      <c r="K988" s="32"/>
      <c r="L988" s="75">
        <v>988</v>
      </c>
      <c r="M988" s="75"/>
      <c r="N988" s="70"/>
      <c r="O988" s="77" t="s">
        <v>179</v>
      </c>
      <c r="P988" s="79">
        <v>45134.885462962964</v>
      </c>
      <c r="Q988" s="77" t="s">
        <v>1805</v>
      </c>
      <c r="R988" s="77">
        <v>0</v>
      </c>
      <c r="S988" s="77">
        <v>0</v>
      </c>
      <c r="T988" s="77">
        <v>0</v>
      </c>
      <c r="U988" s="77">
        <v>0</v>
      </c>
      <c r="V988" s="77">
        <v>26</v>
      </c>
      <c r="W988" s="82" t="s">
        <v>4995</v>
      </c>
      <c r="X988" s="77"/>
      <c r="Y988" s="77"/>
      <c r="Z988" s="77"/>
      <c r="AA988" s="77" t="s">
        <v>7175</v>
      </c>
      <c r="AB988" s="77" t="s">
        <v>7742</v>
      </c>
      <c r="AC988" s="82" t="s">
        <v>7773</v>
      </c>
      <c r="AD988" s="77" t="s">
        <v>7789</v>
      </c>
      <c r="AE988" s="80" t="str">
        <f>HYPERLINK("https://twitter.com/verodatoapp/status/1684673783733297153")</f>
        <v>https://twitter.com/verodatoapp/status/1684673783733297153</v>
      </c>
      <c r="AF988" s="79">
        <v>45134.885462962964</v>
      </c>
      <c r="AG988" s="85">
        <v>45134</v>
      </c>
      <c r="AH988" s="82" t="s">
        <v>8084</v>
      </c>
      <c r="AI988" s="77" t="b">
        <v>0</v>
      </c>
      <c r="AJ988" s="77"/>
      <c r="AK988" s="77"/>
      <c r="AL988" s="77"/>
      <c r="AM988" s="77"/>
      <c r="AN988" s="77"/>
      <c r="AO988" s="77"/>
      <c r="AP988" s="77"/>
      <c r="AQ988" s="77" t="s">
        <v>11147</v>
      </c>
      <c r="AR988" s="77"/>
      <c r="AS988" s="77"/>
      <c r="AT988" s="77"/>
      <c r="AU988" s="77"/>
      <c r="AV988" s="80" t="str">
        <f>HYPERLINK("https://pbs.twimg.com/media/F2Ep4SZWkAAt30n.png")</f>
        <v>https://pbs.twimg.com/media/F2Ep4SZWkAAt30n.png</v>
      </c>
      <c r="AW988" s="82" t="s">
        <v>12666</v>
      </c>
      <c r="AX988" s="82" t="s">
        <v>12666</v>
      </c>
      <c r="AY988" s="77"/>
      <c r="AZ988" s="82" t="s">
        <v>15984</v>
      </c>
      <c r="BA988" s="82" t="s">
        <v>15984</v>
      </c>
      <c r="BB988" s="82" t="s">
        <v>15984</v>
      </c>
      <c r="BC988" s="82" t="s">
        <v>12666</v>
      </c>
      <c r="BD988" s="77">
        <v>3225287033</v>
      </c>
      <c r="BE988" s="77"/>
      <c r="BF988" s="77"/>
      <c r="BG988" s="77"/>
      <c r="BH988" s="77"/>
      <c r="BI988" s="77"/>
    </row>
    <row r="989" spans="1:61" x14ac:dyDescent="0.25">
      <c r="A989" s="62" t="s">
        <v>569</v>
      </c>
      <c r="B989" s="62" t="s">
        <v>569</v>
      </c>
      <c r="C989" s="63"/>
      <c r="D989" s="64"/>
      <c r="E989" s="65"/>
      <c r="F989" s="66"/>
      <c r="G989" s="63"/>
      <c r="H989" s="67"/>
      <c r="I989" s="68"/>
      <c r="J989" s="68"/>
      <c r="K989" s="32"/>
      <c r="L989" s="75">
        <v>989</v>
      </c>
      <c r="M989" s="75"/>
      <c r="N989" s="70"/>
      <c r="O989" s="77" t="s">
        <v>179</v>
      </c>
      <c r="P989" s="79">
        <v>45127.885462962964</v>
      </c>
      <c r="Q989" s="77" t="s">
        <v>1806</v>
      </c>
      <c r="R989" s="77">
        <v>0</v>
      </c>
      <c r="S989" s="77">
        <v>0</v>
      </c>
      <c r="T989" s="77">
        <v>1</v>
      </c>
      <c r="U989" s="77">
        <v>0</v>
      </c>
      <c r="V989" s="77">
        <v>20</v>
      </c>
      <c r="W989" s="82" t="s">
        <v>4995</v>
      </c>
      <c r="X989" s="77"/>
      <c r="Y989" s="77"/>
      <c r="Z989" s="77"/>
      <c r="AA989" s="77" t="s">
        <v>7176</v>
      </c>
      <c r="AB989" s="77" t="s">
        <v>7742</v>
      </c>
      <c r="AC989" s="82" t="s">
        <v>7773</v>
      </c>
      <c r="AD989" s="77" t="s">
        <v>7789</v>
      </c>
      <c r="AE989" s="80" t="str">
        <f>HYPERLINK("https://twitter.com/verodatoapp/status/1682137068141518848")</f>
        <v>https://twitter.com/verodatoapp/status/1682137068141518848</v>
      </c>
      <c r="AF989" s="79">
        <v>45127.885462962964</v>
      </c>
      <c r="AG989" s="85">
        <v>45127</v>
      </c>
      <c r="AH989" s="82" t="s">
        <v>8084</v>
      </c>
      <c r="AI989" s="77" t="b">
        <v>0</v>
      </c>
      <c r="AJ989" s="77"/>
      <c r="AK989" s="77"/>
      <c r="AL989" s="77"/>
      <c r="AM989" s="77"/>
      <c r="AN989" s="77"/>
      <c r="AO989" s="77"/>
      <c r="AP989" s="77"/>
      <c r="AQ989" s="77" t="s">
        <v>11148</v>
      </c>
      <c r="AR989" s="77"/>
      <c r="AS989" s="77"/>
      <c r="AT989" s="77"/>
      <c r="AU989" s="77"/>
      <c r="AV989" s="80" t="str">
        <f>HYPERLINK("https://pbs.twimg.com/media/F1gmv-XWwAMGN6Y.png")</f>
        <v>https://pbs.twimg.com/media/F1gmv-XWwAMGN6Y.png</v>
      </c>
      <c r="AW989" s="82" t="s">
        <v>12667</v>
      </c>
      <c r="AX989" s="82" t="s">
        <v>12667</v>
      </c>
      <c r="AY989" s="77"/>
      <c r="AZ989" s="82" t="s">
        <v>15984</v>
      </c>
      <c r="BA989" s="82" t="s">
        <v>15984</v>
      </c>
      <c r="BB989" s="82" t="s">
        <v>15984</v>
      </c>
      <c r="BC989" s="82" t="s">
        <v>12667</v>
      </c>
      <c r="BD989" s="77">
        <v>3225287033</v>
      </c>
      <c r="BE989" s="77"/>
      <c r="BF989" s="77"/>
      <c r="BG989" s="77"/>
      <c r="BH989" s="77"/>
      <c r="BI989" s="77"/>
    </row>
    <row r="990" spans="1:61" x14ac:dyDescent="0.25">
      <c r="A990" s="62" t="s">
        <v>569</v>
      </c>
      <c r="B990" s="62" t="s">
        <v>569</v>
      </c>
      <c r="C990" s="63"/>
      <c r="D990" s="64"/>
      <c r="E990" s="65"/>
      <c r="F990" s="66"/>
      <c r="G990" s="63"/>
      <c r="H990" s="67"/>
      <c r="I990" s="68"/>
      <c r="J990" s="68"/>
      <c r="K990" s="32"/>
      <c r="L990" s="75">
        <v>990</v>
      </c>
      <c r="M990" s="75"/>
      <c r="N990" s="70"/>
      <c r="O990" s="77" t="s">
        <v>179</v>
      </c>
      <c r="P990" s="79">
        <v>45135.885451388887</v>
      </c>
      <c r="Q990" s="77" t="s">
        <v>1807</v>
      </c>
      <c r="R990" s="77">
        <v>0</v>
      </c>
      <c r="S990" s="77">
        <v>0</v>
      </c>
      <c r="T990" s="77">
        <v>0</v>
      </c>
      <c r="U990" s="77">
        <v>0</v>
      </c>
      <c r="V990" s="77">
        <v>12</v>
      </c>
      <c r="W990" s="82" t="s">
        <v>4995</v>
      </c>
      <c r="X990" s="77"/>
      <c r="Y990" s="77"/>
      <c r="Z990" s="77"/>
      <c r="AA990" s="77" t="s">
        <v>7177</v>
      </c>
      <c r="AB990" s="77" t="s">
        <v>7742</v>
      </c>
      <c r="AC990" s="82" t="s">
        <v>7773</v>
      </c>
      <c r="AD990" s="77" t="s">
        <v>7789</v>
      </c>
      <c r="AE990" s="80" t="str">
        <f>HYPERLINK("https://twitter.com/verodatoapp/status/1685036167358492672")</f>
        <v>https://twitter.com/verodatoapp/status/1685036167358492672</v>
      </c>
      <c r="AF990" s="79">
        <v>45135.885451388887</v>
      </c>
      <c r="AG990" s="85">
        <v>45135</v>
      </c>
      <c r="AH990" s="82" t="s">
        <v>8678</v>
      </c>
      <c r="AI990" s="77" t="b">
        <v>0</v>
      </c>
      <c r="AJ990" s="77"/>
      <c r="AK990" s="77"/>
      <c r="AL990" s="77"/>
      <c r="AM990" s="77"/>
      <c r="AN990" s="77"/>
      <c r="AO990" s="77"/>
      <c r="AP990" s="77"/>
      <c r="AQ990" s="77" t="s">
        <v>11149</v>
      </c>
      <c r="AR990" s="77"/>
      <c r="AS990" s="77"/>
      <c r="AT990" s="77"/>
      <c r="AU990" s="77"/>
      <c r="AV990" s="80" t="str">
        <f>HYPERLINK("https://pbs.twimg.com/media/F2JzdwyWAAE61da.png")</f>
        <v>https://pbs.twimg.com/media/F2JzdwyWAAE61da.png</v>
      </c>
      <c r="AW990" s="82" t="s">
        <v>12668</v>
      </c>
      <c r="AX990" s="82" t="s">
        <v>12668</v>
      </c>
      <c r="AY990" s="77"/>
      <c r="AZ990" s="82" t="s">
        <v>15984</v>
      </c>
      <c r="BA990" s="82" t="s">
        <v>15984</v>
      </c>
      <c r="BB990" s="82" t="s">
        <v>15984</v>
      </c>
      <c r="BC990" s="82" t="s">
        <v>12668</v>
      </c>
      <c r="BD990" s="77">
        <v>3225287033</v>
      </c>
      <c r="BE990" s="77"/>
      <c r="BF990" s="77"/>
      <c r="BG990" s="77"/>
      <c r="BH990" s="77"/>
      <c r="BI990" s="77"/>
    </row>
    <row r="991" spans="1:61" x14ac:dyDescent="0.25">
      <c r="A991" s="62" t="s">
        <v>569</v>
      </c>
      <c r="B991" s="62" t="s">
        <v>569</v>
      </c>
      <c r="C991" s="63"/>
      <c r="D991" s="64"/>
      <c r="E991" s="65"/>
      <c r="F991" s="66"/>
      <c r="G991" s="63"/>
      <c r="H991" s="67"/>
      <c r="I991" s="68"/>
      <c r="J991" s="68"/>
      <c r="K991" s="32"/>
      <c r="L991" s="75">
        <v>991</v>
      </c>
      <c r="M991" s="75"/>
      <c r="N991" s="70"/>
      <c r="O991" s="77" t="s">
        <v>179</v>
      </c>
      <c r="P991" s="79">
        <v>45156.885462962964</v>
      </c>
      <c r="Q991" s="77" t="s">
        <v>1808</v>
      </c>
      <c r="R991" s="77">
        <v>0</v>
      </c>
      <c r="S991" s="77">
        <v>0</v>
      </c>
      <c r="T991" s="77">
        <v>0</v>
      </c>
      <c r="U991" s="77">
        <v>0</v>
      </c>
      <c r="V991" s="77">
        <v>30</v>
      </c>
      <c r="W991" s="82" t="s">
        <v>4995</v>
      </c>
      <c r="X991" s="77"/>
      <c r="Y991" s="77"/>
      <c r="Z991" s="77"/>
      <c r="AA991" s="77" t="s">
        <v>7178</v>
      </c>
      <c r="AB991" s="77" t="s">
        <v>7742</v>
      </c>
      <c r="AC991" s="82" t="s">
        <v>7773</v>
      </c>
      <c r="AD991" s="77" t="s">
        <v>7789</v>
      </c>
      <c r="AE991" s="80" t="str">
        <f>HYPERLINK("https://twitter.com/verodatoapp/status/1692646317648965838")</f>
        <v>https://twitter.com/verodatoapp/status/1692646317648965838</v>
      </c>
      <c r="AF991" s="79">
        <v>45156.885462962964</v>
      </c>
      <c r="AG991" s="85">
        <v>45156</v>
      </c>
      <c r="AH991" s="82" t="s">
        <v>8084</v>
      </c>
      <c r="AI991" s="77" t="b">
        <v>0</v>
      </c>
      <c r="AJ991" s="77"/>
      <c r="AK991" s="77"/>
      <c r="AL991" s="77"/>
      <c r="AM991" s="77"/>
      <c r="AN991" s="77"/>
      <c r="AO991" s="77"/>
      <c r="AP991" s="77"/>
      <c r="AQ991" s="77" t="s">
        <v>11150</v>
      </c>
      <c r="AR991" s="77"/>
      <c r="AS991" s="77"/>
      <c r="AT991" s="77"/>
      <c r="AU991" s="77"/>
      <c r="AV991" s="80" t="str">
        <f>HYPERLINK("https://pbs.twimg.com/media/F318218WYAAQcl7.png")</f>
        <v>https://pbs.twimg.com/media/F318218WYAAQcl7.png</v>
      </c>
      <c r="AW991" s="82" t="s">
        <v>12669</v>
      </c>
      <c r="AX991" s="82" t="s">
        <v>12669</v>
      </c>
      <c r="AY991" s="77"/>
      <c r="AZ991" s="82" t="s">
        <v>15984</v>
      </c>
      <c r="BA991" s="82" t="s">
        <v>15984</v>
      </c>
      <c r="BB991" s="82" t="s">
        <v>15984</v>
      </c>
      <c r="BC991" s="82" t="s">
        <v>12669</v>
      </c>
      <c r="BD991" s="77">
        <v>3225287033</v>
      </c>
      <c r="BE991" s="77"/>
      <c r="BF991" s="77"/>
      <c r="BG991" s="77"/>
      <c r="BH991" s="77"/>
      <c r="BI991" s="77"/>
    </row>
    <row r="992" spans="1:61" x14ac:dyDescent="0.25">
      <c r="A992" s="62" t="s">
        <v>569</v>
      </c>
      <c r="B992" s="62" t="s">
        <v>569</v>
      </c>
      <c r="C992" s="63"/>
      <c r="D992" s="64"/>
      <c r="E992" s="65"/>
      <c r="F992" s="66"/>
      <c r="G992" s="63"/>
      <c r="H992" s="67"/>
      <c r="I992" s="68"/>
      <c r="J992" s="68"/>
      <c r="K992" s="32"/>
      <c r="L992" s="75">
        <v>992</v>
      </c>
      <c r="M992" s="75"/>
      <c r="N992" s="70"/>
      <c r="O992" s="77" t="s">
        <v>179</v>
      </c>
      <c r="P992" s="79">
        <v>45147.885474537034</v>
      </c>
      <c r="Q992" s="77" t="s">
        <v>1809</v>
      </c>
      <c r="R992" s="77">
        <v>0</v>
      </c>
      <c r="S992" s="77">
        <v>0</v>
      </c>
      <c r="T992" s="77">
        <v>1</v>
      </c>
      <c r="U992" s="77">
        <v>0</v>
      </c>
      <c r="V992" s="77">
        <v>158</v>
      </c>
      <c r="W992" s="82" t="s">
        <v>4995</v>
      </c>
      <c r="X992" s="77"/>
      <c r="Y992" s="77"/>
      <c r="Z992" s="77"/>
      <c r="AA992" s="77" t="s">
        <v>7179</v>
      </c>
      <c r="AB992" s="77" t="s">
        <v>7742</v>
      </c>
      <c r="AC992" s="82" t="s">
        <v>7773</v>
      </c>
      <c r="AD992" s="77" t="s">
        <v>7789</v>
      </c>
      <c r="AE992" s="80" t="str">
        <f>HYPERLINK("https://twitter.com/verodatoapp/status/1689384830641872896")</f>
        <v>https://twitter.com/verodatoapp/status/1689384830641872896</v>
      </c>
      <c r="AF992" s="79">
        <v>45147.885474537034</v>
      </c>
      <c r="AG992" s="85">
        <v>45147</v>
      </c>
      <c r="AH992" s="82" t="s">
        <v>8083</v>
      </c>
      <c r="AI992" s="77" t="b">
        <v>0</v>
      </c>
      <c r="AJ992" s="77"/>
      <c r="AK992" s="77"/>
      <c r="AL992" s="77"/>
      <c r="AM992" s="77"/>
      <c r="AN992" s="77"/>
      <c r="AO992" s="77"/>
      <c r="AP992" s="77"/>
      <c r="AQ992" s="77" t="s">
        <v>11151</v>
      </c>
      <c r="AR992" s="77"/>
      <c r="AS992" s="77"/>
      <c r="AT992" s="77"/>
      <c r="AU992" s="77"/>
      <c r="AV992" s="80" t="str">
        <f>HYPERLINK("https://pbs.twimg.com/media/F3HmjRdXsAE9i_X.png")</f>
        <v>https://pbs.twimg.com/media/F3HmjRdXsAE9i_X.png</v>
      </c>
      <c r="AW992" s="82" t="s">
        <v>12670</v>
      </c>
      <c r="AX992" s="82" t="s">
        <v>12670</v>
      </c>
      <c r="AY992" s="77"/>
      <c r="AZ992" s="82" t="s">
        <v>15984</v>
      </c>
      <c r="BA992" s="82" t="s">
        <v>15984</v>
      </c>
      <c r="BB992" s="82" t="s">
        <v>15984</v>
      </c>
      <c r="BC992" s="82" t="s">
        <v>12670</v>
      </c>
      <c r="BD992" s="77">
        <v>3225287033</v>
      </c>
      <c r="BE992" s="77"/>
      <c r="BF992" s="77"/>
      <c r="BG992" s="77"/>
      <c r="BH992" s="77"/>
      <c r="BI992" s="77"/>
    </row>
    <row r="993" spans="1:61" x14ac:dyDescent="0.25">
      <c r="A993" s="62" t="s">
        <v>569</v>
      </c>
      <c r="B993" s="62" t="s">
        <v>569</v>
      </c>
      <c r="C993" s="63"/>
      <c r="D993" s="64"/>
      <c r="E993" s="65"/>
      <c r="F993" s="66"/>
      <c r="G993" s="63"/>
      <c r="H993" s="67"/>
      <c r="I993" s="68"/>
      <c r="J993" s="68"/>
      <c r="K993" s="32"/>
      <c r="L993" s="75">
        <v>993</v>
      </c>
      <c r="M993" s="75"/>
      <c r="N993" s="70"/>
      <c r="O993" s="77" t="s">
        <v>179</v>
      </c>
      <c r="P993" s="79">
        <v>45139.885451388887</v>
      </c>
      <c r="Q993" s="77" t="s">
        <v>1810</v>
      </c>
      <c r="R993" s="77">
        <v>0</v>
      </c>
      <c r="S993" s="77">
        <v>0</v>
      </c>
      <c r="T993" s="77">
        <v>1</v>
      </c>
      <c r="U993" s="77">
        <v>0</v>
      </c>
      <c r="V993" s="77">
        <v>156</v>
      </c>
      <c r="W993" s="82" t="s">
        <v>4995</v>
      </c>
      <c r="X993" s="77"/>
      <c r="Y993" s="77"/>
      <c r="Z993" s="77"/>
      <c r="AA993" s="77" t="s">
        <v>7180</v>
      </c>
      <c r="AB993" s="77" t="s">
        <v>7742</v>
      </c>
      <c r="AC993" s="82" t="s">
        <v>7773</v>
      </c>
      <c r="AD993" s="77" t="s">
        <v>7789</v>
      </c>
      <c r="AE993" s="80" t="str">
        <f>HYPERLINK("https://twitter.com/verodatoapp/status/1686485719496237056")</f>
        <v>https://twitter.com/verodatoapp/status/1686485719496237056</v>
      </c>
      <c r="AF993" s="79">
        <v>45139.885451388887</v>
      </c>
      <c r="AG993" s="85">
        <v>45139</v>
      </c>
      <c r="AH993" s="82" t="s">
        <v>8678</v>
      </c>
      <c r="AI993" s="77" t="b">
        <v>0</v>
      </c>
      <c r="AJ993" s="77"/>
      <c r="AK993" s="77"/>
      <c r="AL993" s="77"/>
      <c r="AM993" s="77"/>
      <c r="AN993" s="77"/>
      <c r="AO993" s="77"/>
      <c r="AP993" s="77"/>
      <c r="AQ993" s="77" t="s">
        <v>11152</v>
      </c>
      <c r="AR993" s="77"/>
      <c r="AS993" s="77"/>
      <c r="AT993" s="77"/>
      <c r="AU993" s="77"/>
      <c r="AV993" s="80" t="str">
        <f>HYPERLINK("https://pbs.twimg.com/media/F2eZ01aaAAEN-Yh.png")</f>
        <v>https://pbs.twimg.com/media/F2eZ01aaAAEN-Yh.png</v>
      </c>
      <c r="AW993" s="82" t="s">
        <v>12671</v>
      </c>
      <c r="AX993" s="82" t="s">
        <v>12671</v>
      </c>
      <c r="AY993" s="77"/>
      <c r="AZ993" s="82" t="s">
        <v>15984</v>
      </c>
      <c r="BA993" s="82" t="s">
        <v>15984</v>
      </c>
      <c r="BB993" s="82" t="s">
        <v>15984</v>
      </c>
      <c r="BC993" s="82" t="s">
        <v>12671</v>
      </c>
      <c r="BD993" s="77">
        <v>3225287033</v>
      </c>
      <c r="BE993" s="77"/>
      <c r="BF993" s="77"/>
      <c r="BG993" s="77"/>
      <c r="BH993" s="77"/>
      <c r="BI993" s="77"/>
    </row>
    <row r="994" spans="1:61" x14ac:dyDescent="0.25">
      <c r="A994" s="62" t="s">
        <v>569</v>
      </c>
      <c r="B994" s="62" t="s">
        <v>569</v>
      </c>
      <c r="C994" s="63"/>
      <c r="D994" s="64"/>
      <c r="E994" s="65"/>
      <c r="F994" s="66"/>
      <c r="G994" s="63"/>
      <c r="H994" s="67"/>
      <c r="I994" s="68"/>
      <c r="J994" s="68"/>
      <c r="K994" s="32"/>
      <c r="L994" s="75">
        <v>994</v>
      </c>
      <c r="M994" s="75"/>
      <c r="N994" s="70"/>
      <c r="O994" s="77" t="s">
        <v>179</v>
      </c>
      <c r="P994" s="79">
        <v>45154.885462962964</v>
      </c>
      <c r="Q994" s="77" t="s">
        <v>1811</v>
      </c>
      <c r="R994" s="77">
        <v>0</v>
      </c>
      <c r="S994" s="77">
        <v>0</v>
      </c>
      <c r="T994" s="77">
        <v>1</v>
      </c>
      <c r="U994" s="77">
        <v>0</v>
      </c>
      <c r="V994" s="77">
        <v>26</v>
      </c>
      <c r="W994" s="82" t="s">
        <v>4995</v>
      </c>
      <c r="X994" s="77"/>
      <c r="Y994" s="77"/>
      <c r="Z994" s="77"/>
      <c r="AA994" s="77" t="s">
        <v>7181</v>
      </c>
      <c r="AB994" s="77" t="s">
        <v>7742</v>
      </c>
      <c r="AC994" s="82" t="s">
        <v>7773</v>
      </c>
      <c r="AD994" s="77" t="s">
        <v>7789</v>
      </c>
      <c r="AE994" s="80" t="str">
        <f>HYPERLINK("https://twitter.com/verodatoapp/status/1691921542815388009")</f>
        <v>https://twitter.com/verodatoapp/status/1691921542815388009</v>
      </c>
      <c r="AF994" s="79">
        <v>45154.885462962964</v>
      </c>
      <c r="AG994" s="85">
        <v>45154</v>
      </c>
      <c r="AH994" s="82" t="s">
        <v>8084</v>
      </c>
      <c r="AI994" s="77" t="b">
        <v>0</v>
      </c>
      <c r="AJ994" s="77"/>
      <c r="AK994" s="77"/>
      <c r="AL994" s="77"/>
      <c r="AM994" s="77"/>
      <c r="AN994" s="77"/>
      <c r="AO994" s="77"/>
      <c r="AP994" s="77"/>
      <c r="AQ994" s="77" t="s">
        <v>11153</v>
      </c>
      <c r="AR994" s="77"/>
      <c r="AS994" s="77"/>
      <c r="AT994" s="77"/>
      <c r="AU994" s="77"/>
      <c r="AV994" s="80" t="str">
        <f>HYPERLINK("https://pbs.twimg.com/media/F3rprW7W8AA-7Rz.png")</f>
        <v>https://pbs.twimg.com/media/F3rprW7W8AA-7Rz.png</v>
      </c>
      <c r="AW994" s="82" t="s">
        <v>12672</v>
      </c>
      <c r="AX994" s="82" t="s">
        <v>12672</v>
      </c>
      <c r="AY994" s="77"/>
      <c r="AZ994" s="82" t="s">
        <v>15984</v>
      </c>
      <c r="BA994" s="82" t="s">
        <v>15984</v>
      </c>
      <c r="BB994" s="82" t="s">
        <v>15984</v>
      </c>
      <c r="BC994" s="82" t="s">
        <v>12672</v>
      </c>
      <c r="BD994" s="77">
        <v>3225287033</v>
      </c>
      <c r="BE994" s="77"/>
      <c r="BF994" s="77"/>
      <c r="BG994" s="77"/>
      <c r="BH994" s="77"/>
      <c r="BI994" s="77"/>
    </row>
    <row r="995" spans="1:61" x14ac:dyDescent="0.25">
      <c r="A995" s="62" t="s">
        <v>569</v>
      </c>
      <c r="B995" s="62" t="s">
        <v>569</v>
      </c>
      <c r="C995" s="63"/>
      <c r="D995" s="64"/>
      <c r="E995" s="65"/>
      <c r="F995" s="66"/>
      <c r="G995" s="63"/>
      <c r="H995" s="67"/>
      <c r="I995" s="68"/>
      <c r="J995" s="68"/>
      <c r="K995" s="32"/>
      <c r="L995" s="75">
        <v>995</v>
      </c>
      <c r="M995" s="75"/>
      <c r="N995" s="70"/>
      <c r="O995" s="77" t="s">
        <v>179</v>
      </c>
      <c r="P995" s="79">
        <v>45145.885451388887</v>
      </c>
      <c r="Q995" s="77" t="s">
        <v>1812</v>
      </c>
      <c r="R995" s="77">
        <v>0</v>
      </c>
      <c r="S995" s="77">
        <v>0</v>
      </c>
      <c r="T995" s="77">
        <v>1</v>
      </c>
      <c r="U995" s="77">
        <v>0</v>
      </c>
      <c r="V995" s="77">
        <v>229</v>
      </c>
      <c r="W995" s="82" t="s">
        <v>4995</v>
      </c>
      <c r="X995" s="77"/>
      <c r="Y995" s="77"/>
      <c r="Z995" s="77"/>
      <c r="AA995" s="77" t="s">
        <v>7182</v>
      </c>
      <c r="AB995" s="77" t="s">
        <v>7742</v>
      </c>
      <c r="AC995" s="82" t="s">
        <v>7773</v>
      </c>
      <c r="AD995" s="77" t="s">
        <v>7789</v>
      </c>
      <c r="AE995" s="80" t="str">
        <f>HYPERLINK("https://twitter.com/verodatoapp/status/1688660045590876160")</f>
        <v>https://twitter.com/verodatoapp/status/1688660045590876160</v>
      </c>
      <c r="AF995" s="79">
        <v>45145.885451388887</v>
      </c>
      <c r="AG995" s="85">
        <v>45145</v>
      </c>
      <c r="AH995" s="82" t="s">
        <v>8678</v>
      </c>
      <c r="AI995" s="77" t="b">
        <v>0</v>
      </c>
      <c r="AJ995" s="77"/>
      <c r="AK995" s="77"/>
      <c r="AL995" s="77"/>
      <c r="AM995" s="77"/>
      <c r="AN995" s="77"/>
      <c r="AO995" s="77"/>
      <c r="AP995" s="77"/>
      <c r="AQ995" s="77" t="s">
        <v>11154</v>
      </c>
      <c r="AR995" s="77"/>
      <c r="AS995" s="77"/>
      <c r="AT995" s="77"/>
      <c r="AU995" s="77"/>
      <c r="AV995" s="80" t="str">
        <f>HYPERLINK("https://pbs.twimg.com/media/F29TXOxXIAAfwgP.png")</f>
        <v>https://pbs.twimg.com/media/F29TXOxXIAAfwgP.png</v>
      </c>
      <c r="AW995" s="82" t="s">
        <v>12673</v>
      </c>
      <c r="AX995" s="82" t="s">
        <v>12673</v>
      </c>
      <c r="AY995" s="77"/>
      <c r="AZ995" s="82" t="s">
        <v>15984</v>
      </c>
      <c r="BA995" s="82" t="s">
        <v>15984</v>
      </c>
      <c r="BB995" s="82" t="s">
        <v>15984</v>
      </c>
      <c r="BC995" s="82" t="s">
        <v>12673</v>
      </c>
      <c r="BD995" s="77">
        <v>3225287033</v>
      </c>
      <c r="BE995" s="77"/>
      <c r="BF995" s="77"/>
      <c r="BG995" s="77"/>
      <c r="BH995" s="77"/>
      <c r="BI995" s="77"/>
    </row>
    <row r="996" spans="1:61" x14ac:dyDescent="0.25">
      <c r="A996" s="62" t="s">
        <v>569</v>
      </c>
      <c r="B996" s="62" t="s">
        <v>569</v>
      </c>
      <c r="C996" s="63"/>
      <c r="D996" s="64"/>
      <c r="E996" s="65"/>
      <c r="F996" s="66"/>
      <c r="G996" s="63"/>
      <c r="H996" s="67"/>
      <c r="I996" s="68"/>
      <c r="J996" s="68"/>
      <c r="K996" s="32"/>
      <c r="L996" s="75">
        <v>996</v>
      </c>
      <c r="M996" s="75"/>
      <c r="N996" s="70"/>
      <c r="O996" s="77" t="s">
        <v>179</v>
      </c>
      <c r="P996" s="79">
        <v>45126.885462962964</v>
      </c>
      <c r="Q996" s="77" t="s">
        <v>1813</v>
      </c>
      <c r="R996" s="77">
        <v>0</v>
      </c>
      <c r="S996" s="77">
        <v>0</v>
      </c>
      <c r="T996" s="77">
        <v>0</v>
      </c>
      <c r="U996" s="77">
        <v>0</v>
      </c>
      <c r="V996" s="77">
        <v>28</v>
      </c>
      <c r="W996" s="82" t="s">
        <v>4995</v>
      </c>
      <c r="X996" s="77"/>
      <c r="Y996" s="77"/>
      <c r="Z996" s="77"/>
      <c r="AA996" s="77" t="s">
        <v>7183</v>
      </c>
      <c r="AB996" s="77" t="s">
        <v>7742</v>
      </c>
      <c r="AC996" s="82" t="s">
        <v>7773</v>
      </c>
      <c r="AD996" s="77" t="s">
        <v>7789</v>
      </c>
      <c r="AE996" s="80" t="str">
        <f>HYPERLINK("https://twitter.com/verodatoapp/status/1681774681508937729")</f>
        <v>https://twitter.com/verodatoapp/status/1681774681508937729</v>
      </c>
      <c r="AF996" s="79">
        <v>45126.885462962964</v>
      </c>
      <c r="AG996" s="85">
        <v>45126</v>
      </c>
      <c r="AH996" s="82" t="s">
        <v>8084</v>
      </c>
      <c r="AI996" s="77" t="b">
        <v>0</v>
      </c>
      <c r="AJ996" s="77"/>
      <c r="AK996" s="77"/>
      <c r="AL996" s="77"/>
      <c r="AM996" s="77"/>
      <c r="AN996" s="77"/>
      <c r="AO996" s="77"/>
      <c r="AP996" s="77"/>
      <c r="AQ996" s="77" t="s">
        <v>11155</v>
      </c>
      <c r="AR996" s="77"/>
      <c r="AS996" s="77"/>
      <c r="AT996" s="77"/>
      <c r="AU996" s="77"/>
      <c r="AV996" s="80" t="str">
        <f>HYPERLINK("https://pbs.twimg.com/media/F1bdKU6XoAUhgCX.png")</f>
        <v>https://pbs.twimg.com/media/F1bdKU6XoAUhgCX.png</v>
      </c>
      <c r="AW996" s="82" t="s">
        <v>12674</v>
      </c>
      <c r="AX996" s="82" t="s">
        <v>12674</v>
      </c>
      <c r="AY996" s="77"/>
      <c r="AZ996" s="82" t="s">
        <v>15984</v>
      </c>
      <c r="BA996" s="82" t="s">
        <v>15984</v>
      </c>
      <c r="BB996" s="82" t="s">
        <v>15984</v>
      </c>
      <c r="BC996" s="82" t="s">
        <v>12674</v>
      </c>
      <c r="BD996" s="77">
        <v>3225287033</v>
      </c>
      <c r="BE996" s="77"/>
      <c r="BF996" s="77"/>
      <c r="BG996" s="77"/>
      <c r="BH996" s="77"/>
      <c r="BI996" s="77"/>
    </row>
    <row r="997" spans="1:61" x14ac:dyDescent="0.25">
      <c r="A997" s="62" t="s">
        <v>569</v>
      </c>
      <c r="B997" s="62" t="s">
        <v>569</v>
      </c>
      <c r="C997" s="63"/>
      <c r="D997" s="64"/>
      <c r="E997" s="65"/>
      <c r="F997" s="66"/>
      <c r="G997" s="63"/>
      <c r="H997" s="67"/>
      <c r="I997" s="68"/>
      <c r="J997" s="68"/>
      <c r="K997" s="32"/>
      <c r="L997" s="75">
        <v>997</v>
      </c>
      <c r="M997" s="75"/>
      <c r="N997" s="70"/>
      <c r="O997" s="77" t="s">
        <v>179</v>
      </c>
      <c r="P997" s="79">
        <v>45145.500162037039</v>
      </c>
      <c r="Q997" s="77" t="s">
        <v>1814</v>
      </c>
      <c r="R997" s="77">
        <v>0</v>
      </c>
      <c r="S997" s="77">
        <v>0</v>
      </c>
      <c r="T997" s="77">
        <v>1</v>
      </c>
      <c r="U997" s="77">
        <v>0</v>
      </c>
      <c r="V997" s="77">
        <v>23</v>
      </c>
      <c r="W997" s="82" t="s">
        <v>4839</v>
      </c>
      <c r="X997" s="77"/>
      <c r="Y997" s="77"/>
      <c r="Z997" s="77"/>
      <c r="AA997" s="77" t="s">
        <v>7184</v>
      </c>
      <c r="AB997" s="77" t="s">
        <v>7742</v>
      </c>
      <c r="AC997" s="82" t="s">
        <v>7773</v>
      </c>
      <c r="AD997" s="77" t="s">
        <v>7789</v>
      </c>
      <c r="AE997" s="80" t="str">
        <f>HYPERLINK("https://twitter.com/verodatoapp/status/1688520420641648641")</f>
        <v>https://twitter.com/verodatoapp/status/1688520420641648641</v>
      </c>
      <c r="AF997" s="79">
        <v>45145.500162037039</v>
      </c>
      <c r="AG997" s="85">
        <v>45145</v>
      </c>
      <c r="AH997" s="82" t="s">
        <v>8679</v>
      </c>
      <c r="AI997" s="77" t="b">
        <v>0</v>
      </c>
      <c r="AJ997" s="77"/>
      <c r="AK997" s="77"/>
      <c r="AL997" s="77"/>
      <c r="AM997" s="77"/>
      <c r="AN997" s="77"/>
      <c r="AO997" s="77"/>
      <c r="AP997" s="77"/>
      <c r="AQ997" s="77" t="s">
        <v>11156</v>
      </c>
      <c r="AR997" s="77"/>
      <c r="AS997" s="77"/>
      <c r="AT997" s="77"/>
      <c r="AU997" s="77"/>
      <c r="AV997" s="80" t="str">
        <f>HYPERLINK("https://pbs.twimg.com/media/F27UX-0XQAAQYVj.jpg")</f>
        <v>https://pbs.twimg.com/media/F27UX-0XQAAQYVj.jpg</v>
      </c>
      <c r="AW997" s="82" t="s">
        <v>12675</v>
      </c>
      <c r="AX997" s="82" t="s">
        <v>12675</v>
      </c>
      <c r="AY997" s="77"/>
      <c r="AZ997" s="82" t="s">
        <v>15984</v>
      </c>
      <c r="BA997" s="82" t="s">
        <v>15984</v>
      </c>
      <c r="BB997" s="82" t="s">
        <v>15984</v>
      </c>
      <c r="BC997" s="82" t="s">
        <v>12675</v>
      </c>
      <c r="BD997" s="77">
        <v>3225287033</v>
      </c>
      <c r="BE997" s="77"/>
      <c r="BF997" s="77"/>
      <c r="BG997" s="77"/>
      <c r="BH997" s="77"/>
      <c r="BI997" s="77"/>
    </row>
    <row r="998" spans="1:61" x14ac:dyDescent="0.25">
      <c r="A998" s="62" t="s">
        <v>569</v>
      </c>
      <c r="B998" s="62" t="s">
        <v>569</v>
      </c>
      <c r="C998" s="63"/>
      <c r="D998" s="64"/>
      <c r="E998" s="65"/>
      <c r="F998" s="66"/>
      <c r="G998" s="63"/>
      <c r="H998" s="67"/>
      <c r="I998" s="68"/>
      <c r="J998" s="68"/>
      <c r="K998" s="32"/>
      <c r="L998" s="75">
        <v>998</v>
      </c>
      <c r="M998" s="75"/>
      <c r="N998" s="70"/>
      <c r="O998" s="77" t="s">
        <v>179</v>
      </c>
      <c r="P998" s="79">
        <v>45125.885462962964</v>
      </c>
      <c r="Q998" s="77" t="s">
        <v>1815</v>
      </c>
      <c r="R998" s="77">
        <v>0</v>
      </c>
      <c r="S998" s="77">
        <v>0</v>
      </c>
      <c r="T998" s="77">
        <v>1</v>
      </c>
      <c r="U998" s="77">
        <v>0</v>
      </c>
      <c r="V998" s="77">
        <v>26</v>
      </c>
      <c r="W998" s="82" t="s">
        <v>4995</v>
      </c>
      <c r="X998" s="77"/>
      <c r="Y998" s="77"/>
      <c r="Z998" s="77"/>
      <c r="AA998" s="77" t="s">
        <v>7185</v>
      </c>
      <c r="AB998" s="77" t="s">
        <v>7742</v>
      </c>
      <c r="AC998" s="82" t="s">
        <v>7773</v>
      </c>
      <c r="AD998" s="77" t="s">
        <v>7789</v>
      </c>
      <c r="AE998" s="80" t="str">
        <f>HYPERLINK("https://twitter.com/verodatoapp/status/1681412293026824206")</f>
        <v>https://twitter.com/verodatoapp/status/1681412293026824206</v>
      </c>
      <c r="AF998" s="79">
        <v>45125.885462962964</v>
      </c>
      <c r="AG998" s="85">
        <v>45125</v>
      </c>
      <c r="AH998" s="82" t="s">
        <v>8084</v>
      </c>
      <c r="AI998" s="77" t="b">
        <v>0</v>
      </c>
      <c r="AJ998" s="77"/>
      <c r="AK998" s="77"/>
      <c r="AL998" s="77"/>
      <c r="AM998" s="77"/>
      <c r="AN998" s="77"/>
      <c r="AO998" s="77"/>
      <c r="AP998" s="77"/>
      <c r="AQ998" s="77" t="s">
        <v>11157</v>
      </c>
      <c r="AR998" s="77"/>
      <c r="AS998" s="77"/>
      <c r="AT998" s="77"/>
      <c r="AU998" s="77"/>
      <c r="AV998" s="80" t="str">
        <f>HYPERLINK("https://pbs.twimg.com/media/F1WTkh2WYAAfIqL.png")</f>
        <v>https://pbs.twimg.com/media/F1WTkh2WYAAfIqL.png</v>
      </c>
      <c r="AW998" s="82" t="s">
        <v>12676</v>
      </c>
      <c r="AX998" s="82" t="s">
        <v>12676</v>
      </c>
      <c r="AY998" s="77"/>
      <c r="AZ998" s="82" t="s">
        <v>15984</v>
      </c>
      <c r="BA998" s="82" t="s">
        <v>15984</v>
      </c>
      <c r="BB998" s="82" t="s">
        <v>15984</v>
      </c>
      <c r="BC998" s="82" t="s">
        <v>12676</v>
      </c>
      <c r="BD998" s="77">
        <v>3225287033</v>
      </c>
      <c r="BE998" s="77"/>
      <c r="BF998" s="77"/>
      <c r="BG998" s="77"/>
      <c r="BH998" s="77"/>
      <c r="BI998" s="77"/>
    </row>
    <row r="999" spans="1:61" x14ac:dyDescent="0.25">
      <c r="A999" s="62" t="s">
        <v>569</v>
      </c>
      <c r="B999" s="62" t="s">
        <v>569</v>
      </c>
      <c r="C999" s="63"/>
      <c r="D999" s="64"/>
      <c r="E999" s="65"/>
      <c r="F999" s="66"/>
      <c r="G999" s="63"/>
      <c r="H999" s="67"/>
      <c r="I999" s="68"/>
      <c r="J999" s="68"/>
      <c r="K999" s="32"/>
      <c r="L999" s="75">
        <v>999</v>
      </c>
      <c r="M999" s="75"/>
      <c r="N999" s="70"/>
      <c r="O999" s="77" t="s">
        <v>179</v>
      </c>
      <c r="P999" s="79">
        <v>45148.885474537034</v>
      </c>
      <c r="Q999" s="77" t="s">
        <v>1816</v>
      </c>
      <c r="R999" s="77">
        <v>0</v>
      </c>
      <c r="S999" s="77">
        <v>0</v>
      </c>
      <c r="T999" s="77">
        <v>0</v>
      </c>
      <c r="U999" s="77">
        <v>0</v>
      </c>
      <c r="V999" s="77">
        <v>153</v>
      </c>
      <c r="W999" s="82" t="s">
        <v>4995</v>
      </c>
      <c r="X999" s="77"/>
      <c r="Y999" s="77"/>
      <c r="Z999" s="77"/>
      <c r="AA999" s="77" t="s">
        <v>7186</v>
      </c>
      <c r="AB999" s="77" t="s">
        <v>7742</v>
      </c>
      <c r="AC999" s="82" t="s">
        <v>7773</v>
      </c>
      <c r="AD999" s="77" t="s">
        <v>7789</v>
      </c>
      <c r="AE999" s="80" t="str">
        <f>HYPERLINK("https://twitter.com/verodatoapp/status/1689747218918428672")</f>
        <v>https://twitter.com/verodatoapp/status/1689747218918428672</v>
      </c>
      <c r="AF999" s="79">
        <v>45148.885474537034</v>
      </c>
      <c r="AG999" s="85">
        <v>45148</v>
      </c>
      <c r="AH999" s="82" t="s">
        <v>8083</v>
      </c>
      <c r="AI999" s="77" t="b">
        <v>0</v>
      </c>
      <c r="AJ999" s="77"/>
      <c r="AK999" s="77"/>
      <c r="AL999" s="77"/>
      <c r="AM999" s="77"/>
      <c r="AN999" s="77"/>
      <c r="AO999" s="77"/>
      <c r="AP999" s="77"/>
      <c r="AQ999" s="77" t="s">
        <v>11158</v>
      </c>
      <c r="AR999" s="77"/>
      <c r="AS999" s="77"/>
      <c r="AT999" s="77"/>
      <c r="AU999" s="77"/>
      <c r="AV999" s="80" t="str">
        <f>HYPERLINK("https://pbs.twimg.com/media/F3MwJCSWoAAAVO9.png")</f>
        <v>https://pbs.twimg.com/media/F3MwJCSWoAAAVO9.png</v>
      </c>
      <c r="AW999" s="82" t="s">
        <v>12677</v>
      </c>
      <c r="AX999" s="82" t="s">
        <v>12677</v>
      </c>
      <c r="AY999" s="77"/>
      <c r="AZ999" s="82" t="s">
        <v>15984</v>
      </c>
      <c r="BA999" s="82" t="s">
        <v>15984</v>
      </c>
      <c r="BB999" s="82" t="s">
        <v>15984</v>
      </c>
      <c r="BC999" s="82" t="s">
        <v>12677</v>
      </c>
      <c r="BD999" s="77">
        <v>3225287033</v>
      </c>
      <c r="BE999" s="77"/>
      <c r="BF999" s="77"/>
      <c r="BG999" s="77"/>
      <c r="BH999" s="77"/>
      <c r="BI999" s="77"/>
    </row>
    <row r="1000" spans="1:61" x14ac:dyDescent="0.25">
      <c r="A1000" s="62" t="s">
        <v>569</v>
      </c>
      <c r="B1000" s="62" t="s">
        <v>569</v>
      </c>
      <c r="C1000" s="63"/>
      <c r="D1000" s="64"/>
      <c r="E1000" s="65"/>
      <c r="F1000" s="66"/>
      <c r="G1000" s="63"/>
      <c r="H1000" s="67"/>
      <c r="I1000" s="68"/>
      <c r="J1000" s="68"/>
      <c r="K1000" s="32"/>
      <c r="L1000" s="75">
        <v>1000</v>
      </c>
      <c r="M1000" s="75"/>
      <c r="N1000" s="70"/>
      <c r="O1000" s="77" t="s">
        <v>179</v>
      </c>
      <c r="P1000" s="79">
        <v>45121.885474537034</v>
      </c>
      <c r="Q1000" s="77" t="s">
        <v>1817</v>
      </c>
      <c r="R1000" s="77">
        <v>0</v>
      </c>
      <c r="S1000" s="77">
        <v>0</v>
      </c>
      <c r="T1000" s="77">
        <v>0</v>
      </c>
      <c r="U1000" s="77">
        <v>0</v>
      </c>
      <c r="V1000" s="77">
        <v>24</v>
      </c>
      <c r="W1000" s="82" t="s">
        <v>4995</v>
      </c>
      <c r="X1000" s="77"/>
      <c r="Y1000" s="77"/>
      <c r="Z1000" s="77"/>
      <c r="AA1000" s="77" t="s">
        <v>7187</v>
      </c>
      <c r="AB1000" s="77" t="s">
        <v>7742</v>
      </c>
      <c r="AC1000" s="82" t="s">
        <v>7773</v>
      </c>
      <c r="AD1000" s="77" t="s">
        <v>7789</v>
      </c>
      <c r="AE1000" s="80" t="str">
        <f>HYPERLINK("https://twitter.com/verodatoapp/status/1679962744601059330")</f>
        <v>https://twitter.com/verodatoapp/status/1679962744601059330</v>
      </c>
      <c r="AF1000" s="79">
        <v>45121.885474537034</v>
      </c>
      <c r="AG1000" s="85">
        <v>45121</v>
      </c>
      <c r="AH1000" s="82" t="s">
        <v>8083</v>
      </c>
      <c r="AI1000" s="77" t="b">
        <v>0</v>
      </c>
      <c r="AJ1000" s="77"/>
      <c r="AK1000" s="77"/>
      <c r="AL1000" s="77"/>
      <c r="AM1000" s="77"/>
      <c r="AN1000" s="77"/>
      <c r="AO1000" s="77"/>
      <c r="AP1000" s="77"/>
      <c r="AQ1000" s="77" t="s">
        <v>11159</v>
      </c>
      <c r="AR1000" s="77"/>
      <c r="AS1000" s="77"/>
      <c r="AT1000" s="77"/>
      <c r="AU1000" s="77"/>
      <c r="AV1000" s="80" t="str">
        <f>HYPERLINK("https://pbs.twimg.com/media/F1BtNrtWIAEPVFW.png")</f>
        <v>https://pbs.twimg.com/media/F1BtNrtWIAEPVFW.png</v>
      </c>
      <c r="AW1000" s="82" t="s">
        <v>12678</v>
      </c>
      <c r="AX1000" s="82" t="s">
        <v>12678</v>
      </c>
      <c r="AY1000" s="77"/>
      <c r="AZ1000" s="82" t="s">
        <v>15984</v>
      </c>
      <c r="BA1000" s="82" t="s">
        <v>15984</v>
      </c>
      <c r="BB1000" s="82" t="s">
        <v>15984</v>
      </c>
      <c r="BC1000" s="82" t="s">
        <v>12678</v>
      </c>
      <c r="BD1000" s="77">
        <v>3225287033</v>
      </c>
      <c r="BE1000" s="77"/>
      <c r="BF1000" s="77"/>
      <c r="BG1000" s="77"/>
      <c r="BH1000" s="77"/>
      <c r="BI1000" s="77"/>
    </row>
    <row r="1001" spans="1:61" x14ac:dyDescent="0.25">
      <c r="A1001" s="62" t="s">
        <v>569</v>
      </c>
      <c r="B1001" s="62" t="s">
        <v>569</v>
      </c>
      <c r="C1001" s="63"/>
      <c r="D1001" s="64"/>
      <c r="E1001" s="65"/>
      <c r="F1001" s="66"/>
      <c r="G1001" s="63"/>
      <c r="H1001" s="67"/>
      <c r="I1001" s="68"/>
      <c r="J1001" s="68"/>
      <c r="K1001" s="32"/>
      <c r="L1001" s="75">
        <v>1001</v>
      </c>
      <c r="M1001" s="75"/>
      <c r="N1001" s="70"/>
      <c r="O1001" s="77" t="s">
        <v>179</v>
      </c>
      <c r="P1001" s="79">
        <v>45146.885462962964</v>
      </c>
      <c r="Q1001" s="77" t="s">
        <v>1818</v>
      </c>
      <c r="R1001" s="77">
        <v>0</v>
      </c>
      <c r="S1001" s="77">
        <v>0</v>
      </c>
      <c r="T1001" s="77">
        <v>0</v>
      </c>
      <c r="U1001" s="77">
        <v>0</v>
      </c>
      <c r="V1001" s="77">
        <v>33</v>
      </c>
      <c r="W1001" s="82" t="s">
        <v>4995</v>
      </c>
      <c r="X1001" s="77"/>
      <c r="Y1001" s="77"/>
      <c r="Z1001" s="77"/>
      <c r="AA1001" s="77" t="s">
        <v>7188</v>
      </c>
      <c r="AB1001" s="77" t="s">
        <v>7742</v>
      </c>
      <c r="AC1001" s="82" t="s">
        <v>7773</v>
      </c>
      <c r="AD1001" s="77" t="s">
        <v>7789</v>
      </c>
      <c r="AE1001" s="80" t="str">
        <f>HYPERLINK("https://twitter.com/verodatoapp/status/1689022436795109376")</f>
        <v>https://twitter.com/verodatoapp/status/1689022436795109376</v>
      </c>
      <c r="AF1001" s="79">
        <v>45146.885462962964</v>
      </c>
      <c r="AG1001" s="85">
        <v>45146</v>
      </c>
      <c r="AH1001" s="82" t="s">
        <v>8084</v>
      </c>
      <c r="AI1001" s="77" t="b">
        <v>0</v>
      </c>
      <c r="AJ1001" s="77"/>
      <c r="AK1001" s="77"/>
      <c r="AL1001" s="77"/>
      <c r="AM1001" s="77"/>
      <c r="AN1001" s="77"/>
      <c r="AO1001" s="77"/>
      <c r="AP1001" s="77"/>
      <c r="AQ1001" s="77" t="s">
        <v>11160</v>
      </c>
      <c r="AR1001" s="77"/>
      <c r="AS1001" s="77"/>
      <c r="AT1001" s="77"/>
      <c r="AU1001" s="77"/>
      <c r="AV1001" s="80" t="str">
        <f>HYPERLINK("https://pbs.twimg.com/media/F3Cc9LbXQAAaF1I.png")</f>
        <v>https://pbs.twimg.com/media/F3Cc9LbXQAAaF1I.png</v>
      </c>
      <c r="AW1001" s="82" t="s">
        <v>12679</v>
      </c>
      <c r="AX1001" s="82" t="s">
        <v>12679</v>
      </c>
      <c r="AY1001" s="77"/>
      <c r="AZ1001" s="82" t="s">
        <v>15984</v>
      </c>
      <c r="BA1001" s="82" t="s">
        <v>15984</v>
      </c>
      <c r="BB1001" s="82" t="s">
        <v>15984</v>
      </c>
      <c r="BC1001" s="82" t="s">
        <v>12679</v>
      </c>
      <c r="BD1001" s="77">
        <v>3225287033</v>
      </c>
      <c r="BE1001" s="77"/>
      <c r="BF1001" s="77"/>
      <c r="BG1001" s="77"/>
      <c r="BH1001" s="77"/>
      <c r="BI1001" s="77"/>
    </row>
    <row r="1002" spans="1:61" x14ac:dyDescent="0.25">
      <c r="A1002" s="62" t="s">
        <v>569</v>
      </c>
      <c r="B1002" s="62" t="s">
        <v>569</v>
      </c>
      <c r="C1002" s="63"/>
      <c r="D1002" s="64"/>
      <c r="E1002" s="65"/>
      <c r="F1002" s="66"/>
      <c r="G1002" s="63"/>
      <c r="H1002" s="67"/>
      <c r="I1002" s="68"/>
      <c r="J1002" s="68"/>
      <c r="K1002" s="32"/>
      <c r="L1002" s="75">
        <v>1002</v>
      </c>
      <c r="M1002" s="75"/>
      <c r="N1002" s="70"/>
      <c r="O1002" s="77" t="s">
        <v>179</v>
      </c>
      <c r="P1002" s="79">
        <v>45152.500138888892</v>
      </c>
      <c r="Q1002" s="77" t="s">
        <v>1819</v>
      </c>
      <c r="R1002" s="77">
        <v>0</v>
      </c>
      <c r="S1002" s="77">
        <v>0</v>
      </c>
      <c r="T1002" s="77">
        <v>1</v>
      </c>
      <c r="U1002" s="77">
        <v>0</v>
      </c>
      <c r="V1002" s="77">
        <v>23</v>
      </c>
      <c r="W1002" s="82" t="s">
        <v>4839</v>
      </c>
      <c r="X1002" s="77"/>
      <c r="Y1002" s="77"/>
      <c r="Z1002" s="77"/>
      <c r="AA1002" s="77" t="s">
        <v>7189</v>
      </c>
      <c r="AB1002" s="77" t="s">
        <v>7742</v>
      </c>
      <c r="AC1002" s="82" t="s">
        <v>7773</v>
      </c>
      <c r="AD1002" s="77" t="s">
        <v>7789</v>
      </c>
      <c r="AE1002" s="80" t="str">
        <f>HYPERLINK("https://twitter.com/verodatoapp/status/1691057129711341569")</f>
        <v>https://twitter.com/verodatoapp/status/1691057129711341569</v>
      </c>
      <c r="AF1002" s="79">
        <v>45152.500138888892</v>
      </c>
      <c r="AG1002" s="85">
        <v>45152</v>
      </c>
      <c r="AH1002" s="82" t="s">
        <v>8680</v>
      </c>
      <c r="AI1002" s="77" t="b">
        <v>0</v>
      </c>
      <c r="AJ1002" s="77"/>
      <c r="AK1002" s="77"/>
      <c r="AL1002" s="77"/>
      <c r="AM1002" s="77"/>
      <c r="AN1002" s="77"/>
      <c r="AO1002" s="77"/>
      <c r="AP1002" s="77"/>
      <c r="AQ1002" s="77" t="s">
        <v>11161</v>
      </c>
      <c r="AR1002" s="77"/>
      <c r="AS1002" s="77"/>
      <c r="AT1002" s="77"/>
      <c r="AU1002" s="77"/>
      <c r="AV1002" s="80" t="str">
        <f>HYPERLINK("https://pbs.twimg.com/media/F3fXf4BWYAAUuEz.jpg")</f>
        <v>https://pbs.twimg.com/media/F3fXf4BWYAAUuEz.jpg</v>
      </c>
      <c r="AW1002" s="82" t="s">
        <v>12680</v>
      </c>
      <c r="AX1002" s="82" t="s">
        <v>12680</v>
      </c>
      <c r="AY1002" s="77"/>
      <c r="AZ1002" s="82" t="s">
        <v>15984</v>
      </c>
      <c r="BA1002" s="82" t="s">
        <v>15984</v>
      </c>
      <c r="BB1002" s="82" t="s">
        <v>15984</v>
      </c>
      <c r="BC1002" s="82" t="s">
        <v>12680</v>
      </c>
      <c r="BD1002" s="77">
        <v>3225287033</v>
      </c>
      <c r="BE1002" s="77"/>
      <c r="BF1002" s="77"/>
      <c r="BG1002" s="77"/>
      <c r="BH1002" s="77"/>
      <c r="BI1002" s="77"/>
    </row>
    <row r="1003" spans="1:61" x14ac:dyDescent="0.25">
      <c r="A1003" s="62" t="s">
        <v>569</v>
      </c>
      <c r="B1003" s="62" t="s">
        <v>569</v>
      </c>
      <c r="C1003" s="63"/>
      <c r="D1003" s="64"/>
      <c r="E1003" s="65"/>
      <c r="F1003" s="66"/>
      <c r="G1003" s="63"/>
      <c r="H1003" s="67"/>
      <c r="I1003" s="68"/>
      <c r="J1003" s="68"/>
      <c r="K1003" s="32"/>
      <c r="L1003" s="75">
        <v>1003</v>
      </c>
      <c r="M1003" s="75"/>
      <c r="N1003" s="70"/>
      <c r="O1003" s="77" t="s">
        <v>179</v>
      </c>
      <c r="P1003" s="79">
        <v>45153.885462962964</v>
      </c>
      <c r="Q1003" s="77" t="s">
        <v>1820</v>
      </c>
      <c r="R1003" s="77">
        <v>0</v>
      </c>
      <c r="S1003" s="77">
        <v>0</v>
      </c>
      <c r="T1003" s="77">
        <v>0</v>
      </c>
      <c r="U1003" s="77">
        <v>0</v>
      </c>
      <c r="V1003" s="77">
        <v>15</v>
      </c>
      <c r="W1003" s="82" t="s">
        <v>4995</v>
      </c>
      <c r="X1003" s="77"/>
      <c r="Y1003" s="77"/>
      <c r="Z1003" s="77"/>
      <c r="AA1003" s="77" t="s">
        <v>7190</v>
      </c>
      <c r="AB1003" s="77" t="s">
        <v>7742</v>
      </c>
      <c r="AC1003" s="82" t="s">
        <v>7773</v>
      </c>
      <c r="AD1003" s="77" t="s">
        <v>7789</v>
      </c>
      <c r="AE1003" s="80" t="str">
        <f>HYPERLINK("https://twitter.com/verodatoapp/status/1691559154391925188")</f>
        <v>https://twitter.com/verodatoapp/status/1691559154391925188</v>
      </c>
      <c r="AF1003" s="79">
        <v>45153.885462962964</v>
      </c>
      <c r="AG1003" s="85">
        <v>45153</v>
      </c>
      <c r="AH1003" s="82" t="s">
        <v>8084</v>
      </c>
      <c r="AI1003" s="77" t="b">
        <v>0</v>
      </c>
      <c r="AJ1003" s="77"/>
      <c r="AK1003" s="77"/>
      <c r="AL1003" s="77"/>
      <c r="AM1003" s="77"/>
      <c r="AN1003" s="77"/>
      <c r="AO1003" s="77"/>
      <c r="AP1003" s="77"/>
      <c r="AQ1003" s="77" t="s">
        <v>11162</v>
      </c>
      <c r="AR1003" s="77"/>
      <c r="AS1003" s="77"/>
      <c r="AT1003" s="77"/>
      <c r="AU1003" s="77"/>
      <c r="AV1003" s="80" t="str">
        <f>HYPERLINK("https://pbs.twimg.com/media/F3mgFmnWgAEcAJR.png")</f>
        <v>https://pbs.twimg.com/media/F3mgFmnWgAEcAJR.png</v>
      </c>
      <c r="AW1003" s="82" t="s">
        <v>12681</v>
      </c>
      <c r="AX1003" s="82" t="s">
        <v>12681</v>
      </c>
      <c r="AY1003" s="77"/>
      <c r="AZ1003" s="82" t="s">
        <v>15984</v>
      </c>
      <c r="BA1003" s="82" t="s">
        <v>15984</v>
      </c>
      <c r="BB1003" s="82" t="s">
        <v>15984</v>
      </c>
      <c r="BC1003" s="82" t="s">
        <v>12681</v>
      </c>
      <c r="BD1003" s="77">
        <v>3225287033</v>
      </c>
      <c r="BE1003" s="77"/>
      <c r="BF1003" s="77"/>
      <c r="BG1003" s="77"/>
      <c r="BH1003" s="77"/>
      <c r="BI1003" s="77"/>
    </row>
    <row r="1004" spans="1:61" x14ac:dyDescent="0.25">
      <c r="A1004" s="62" t="s">
        <v>569</v>
      </c>
      <c r="B1004" s="62" t="s">
        <v>569</v>
      </c>
      <c r="C1004" s="63"/>
      <c r="D1004" s="64"/>
      <c r="E1004" s="65"/>
      <c r="F1004" s="66"/>
      <c r="G1004" s="63"/>
      <c r="H1004" s="67"/>
      <c r="I1004" s="68"/>
      <c r="J1004" s="68"/>
      <c r="K1004" s="32"/>
      <c r="L1004" s="75">
        <v>1004</v>
      </c>
      <c r="M1004" s="75"/>
      <c r="N1004" s="70"/>
      <c r="O1004" s="77" t="s">
        <v>179</v>
      </c>
      <c r="P1004" s="79">
        <v>45152.885451388887</v>
      </c>
      <c r="Q1004" s="77" t="s">
        <v>1821</v>
      </c>
      <c r="R1004" s="77">
        <v>0</v>
      </c>
      <c r="S1004" s="77">
        <v>0</v>
      </c>
      <c r="T1004" s="77">
        <v>0</v>
      </c>
      <c r="U1004" s="77">
        <v>0</v>
      </c>
      <c r="V1004" s="77">
        <v>29</v>
      </c>
      <c r="W1004" s="82" t="s">
        <v>4995</v>
      </c>
      <c r="X1004" s="77"/>
      <c r="Y1004" s="77"/>
      <c r="Z1004" s="77"/>
      <c r="AA1004" s="77" t="s">
        <v>7191</v>
      </c>
      <c r="AB1004" s="77" t="s">
        <v>7742</v>
      </c>
      <c r="AC1004" s="82" t="s">
        <v>7773</v>
      </c>
      <c r="AD1004" s="77" t="s">
        <v>7789</v>
      </c>
      <c r="AE1004" s="80" t="str">
        <f>HYPERLINK("https://twitter.com/verodatoapp/status/1691196761711296512")</f>
        <v>https://twitter.com/verodatoapp/status/1691196761711296512</v>
      </c>
      <c r="AF1004" s="79">
        <v>45152.885451388887</v>
      </c>
      <c r="AG1004" s="85">
        <v>45152</v>
      </c>
      <c r="AH1004" s="82" t="s">
        <v>8678</v>
      </c>
      <c r="AI1004" s="77" t="b">
        <v>0</v>
      </c>
      <c r="AJ1004" s="77"/>
      <c r="AK1004" s="77"/>
      <c r="AL1004" s="77"/>
      <c r="AM1004" s="77"/>
      <c r="AN1004" s="77"/>
      <c r="AO1004" s="77"/>
      <c r="AP1004" s="77"/>
      <c r="AQ1004" s="77" t="s">
        <v>11163</v>
      </c>
      <c r="AR1004" s="77"/>
      <c r="AS1004" s="77"/>
      <c r="AT1004" s="77"/>
      <c r="AU1004" s="77"/>
      <c r="AV1004" s="80" t="str">
        <f>HYPERLINK("https://pbs.twimg.com/media/F3hWfjkXcAAVU1M.png")</f>
        <v>https://pbs.twimg.com/media/F3hWfjkXcAAVU1M.png</v>
      </c>
      <c r="AW1004" s="82" t="s">
        <v>12682</v>
      </c>
      <c r="AX1004" s="82" t="s">
        <v>12682</v>
      </c>
      <c r="AY1004" s="77"/>
      <c r="AZ1004" s="82" t="s">
        <v>15984</v>
      </c>
      <c r="BA1004" s="82" t="s">
        <v>15984</v>
      </c>
      <c r="BB1004" s="82" t="s">
        <v>15984</v>
      </c>
      <c r="BC1004" s="82" t="s">
        <v>12682</v>
      </c>
      <c r="BD1004" s="77">
        <v>3225287033</v>
      </c>
      <c r="BE1004" s="77"/>
      <c r="BF1004" s="77"/>
      <c r="BG1004" s="77"/>
      <c r="BH1004" s="77"/>
      <c r="BI1004" s="77"/>
    </row>
    <row r="1005" spans="1:61" x14ac:dyDescent="0.25">
      <c r="A1005" s="62" t="s">
        <v>569</v>
      </c>
      <c r="B1005" s="62" t="s">
        <v>569</v>
      </c>
      <c r="C1005" s="63"/>
      <c r="D1005" s="64"/>
      <c r="E1005" s="65"/>
      <c r="F1005" s="66"/>
      <c r="G1005" s="63"/>
      <c r="H1005" s="67"/>
      <c r="I1005" s="68"/>
      <c r="J1005" s="68"/>
      <c r="K1005" s="32"/>
      <c r="L1005" s="75">
        <v>1005</v>
      </c>
      <c r="M1005" s="75"/>
      <c r="N1005" s="70"/>
      <c r="O1005" s="77" t="s">
        <v>179</v>
      </c>
      <c r="P1005" s="79">
        <v>45142.885462962964</v>
      </c>
      <c r="Q1005" s="77" t="s">
        <v>1822</v>
      </c>
      <c r="R1005" s="77">
        <v>0</v>
      </c>
      <c r="S1005" s="77">
        <v>0</v>
      </c>
      <c r="T1005" s="77">
        <v>0</v>
      </c>
      <c r="U1005" s="77">
        <v>0</v>
      </c>
      <c r="V1005" s="77">
        <v>198</v>
      </c>
      <c r="W1005" s="82" t="s">
        <v>4995</v>
      </c>
      <c r="X1005" s="77"/>
      <c r="Y1005" s="77"/>
      <c r="Z1005" s="77"/>
      <c r="AA1005" s="77" t="s">
        <v>7192</v>
      </c>
      <c r="AB1005" s="77" t="s">
        <v>7742</v>
      </c>
      <c r="AC1005" s="82" t="s">
        <v>7773</v>
      </c>
      <c r="AD1005" s="77" t="s">
        <v>7789</v>
      </c>
      <c r="AE1005" s="80" t="str">
        <f>HYPERLINK("https://twitter.com/verodatoapp/status/1687572887329243137")</f>
        <v>https://twitter.com/verodatoapp/status/1687572887329243137</v>
      </c>
      <c r="AF1005" s="79">
        <v>45142.885462962964</v>
      </c>
      <c r="AG1005" s="85">
        <v>45142</v>
      </c>
      <c r="AH1005" s="82" t="s">
        <v>8084</v>
      </c>
      <c r="AI1005" s="77" t="b">
        <v>0</v>
      </c>
      <c r="AJ1005" s="77"/>
      <c r="AK1005" s="77"/>
      <c r="AL1005" s="77"/>
      <c r="AM1005" s="77"/>
      <c r="AN1005" s="77"/>
      <c r="AO1005" s="77"/>
      <c r="AP1005" s="77"/>
      <c r="AQ1005" s="77" t="s">
        <v>11164</v>
      </c>
      <c r="AR1005" s="77"/>
      <c r="AS1005" s="77"/>
      <c r="AT1005" s="77"/>
      <c r="AU1005" s="77"/>
      <c r="AV1005" s="80" t="str">
        <f>HYPERLINK("https://pbs.twimg.com/media/F2t2mTTXwAAwJaO.png")</f>
        <v>https://pbs.twimg.com/media/F2t2mTTXwAAwJaO.png</v>
      </c>
      <c r="AW1005" s="82" t="s">
        <v>12683</v>
      </c>
      <c r="AX1005" s="82" t="s">
        <v>12683</v>
      </c>
      <c r="AY1005" s="77"/>
      <c r="AZ1005" s="82" t="s">
        <v>15984</v>
      </c>
      <c r="BA1005" s="82" t="s">
        <v>15984</v>
      </c>
      <c r="BB1005" s="82" t="s">
        <v>15984</v>
      </c>
      <c r="BC1005" s="82" t="s">
        <v>12683</v>
      </c>
      <c r="BD1005" s="77">
        <v>3225287033</v>
      </c>
      <c r="BE1005" s="77"/>
      <c r="BF1005" s="77"/>
      <c r="BG1005" s="77"/>
      <c r="BH1005" s="77"/>
      <c r="BI1005" s="77"/>
    </row>
    <row r="1006" spans="1:61" x14ac:dyDescent="0.25">
      <c r="A1006" s="62" t="s">
        <v>569</v>
      </c>
      <c r="B1006" s="62" t="s">
        <v>569</v>
      </c>
      <c r="C1006" s="63"/>
      <c r="D1006" s="64"/>
      <c r="E1006" s="65"/>
      <c r="F1006" s="66"/>
      <c r="G1006" s="63"/>
      <c r="H1006" s="67"/>
      <c r="I1006" s="68"/>
      <c r="J1006" s="68"/>
      <c r="K1006" s="32"/>
      <c r="L1006" s="75">
        <v>1006</v>
      </c>
      <c r="M1006" s="75"/>
      <c r="N1006" s="70"/>
      <c r="O1006" s="77" t="s">
        <v>179</v>
      </c>
      <c r="P1006" s="79">
        <v>45132.885474537034</v>
      </c>
      <c r="Q1006" s="77" t="s">
        <v>1823</v>
      </c>
      <c r="R1006" s="77">
        <v>0</v>
      </c>
      <c r="S1006" s="77">
        <v>0</v>
      </c>
      <c r="T1006" s="77">
        <v>1</v>
      </c>
      <c r="U1006" s="77">
        <v>0</v>
      </c>
      <c r="V1006" s="77">
        <v>16</v>
      </c>
      <c r="W1006" s="82" t="s">
        <v>4995</v>
      </c>
      <c r="X1006" s="77"/>
      <c r="Y1006" s="77"/>
      <c r="Z1006" s="77"/>
      <c r="AA1006" s="77" t="s">
        <v>7193</v>
      </c>
      <c r="AB1006" s="77" t="s">
        <v>7742</v>
      </c>
      <c r="AC1006" s="82" t="s">
        <v>7773</v>
      </c>
      <c r="AD1006" s="77" t="s">
        <v>7789</v>
      </c>
      <c r="AE1006" s="80" t="str">
        <f>HYPERLINK("https://twitter.com/verodatoapp/status/1683949013458903042")</f>
        <v>https://twitter.com/verodatoapp/status/1683949013458903042</v>
      </c>
      <c r="AF1006" s="79">
        <v>45132.885474537034</v>
      </c>
      <c r="AG1006" s="85">
        <v>45132</v>
      </c>
      <c r="AH1006" s="82" t="s">
        <v>8083</v>
      </c>
      <c r="AI1006" s="77" t="b">
        <v>0</v>
      </c>
      <c r="AJ1006" s="77"/>
      <c r="AK1006" s="77"/>
      <c r="AL1006" s="77"/>
      <c r="AM1006" s="77"/>
      <c r="AN1006" s="77"/>
      <c r="AO1006" s="77"/>
      <c r="AP1006" s="77"/>
      <c r="AQ1006" s="77" t="s">
        <v>11165</v>
      </c>
      <c r="AR1006" s="77"/>
      <c r="AS1006" s="77"/>
      <c r="AT1006" s="77"/>
      <c r="AU1006" s="77"/>
      <c r="AV1006" s="80" t="str">
        <f>HYPERLINK("https://pbs.twimg.com/media/F16WtHFWEAIjulx.png")</f>
        <v>https://pbs.twimg.com/media/F16WtHFWEAIjulx.png</v>
      </c>
      <c r="AW1006" s="82" t="s">
        <v>12684</v>
      </c>
      <c r="AX1006" s="82" t="s">
        <v>12684</v>
      </c>
      <c r="AY1006" s="77"/>
      <c r="AZ1006" s="82" t="s">
        <v>15984</v>
      </c>
      <c r="BA1006" s="82" t="s">
        <v>15984</v>
      </c>
      <c r="BB1006" s="82" t="s">
        <v>15984</v>
      </c>
      <c r="BC1006" s="82" t="s">
        <v>12684</v>
      </c>
      <c r="BD1006" s="77">
        <v>3225287033</v>
      </c>
      <c r="BE1006" s="77"/>
      <c r="BF1006" s="77"/>
      <c r="BG1006" s="77"/>
      <c r="BH1006" s="77"/>
      <c r="BI1006" s="77"/>
    </row>
    <row r="1007" spans="1:61" x14ac:dyDescent="0.25">
      <c r="A1007" s="62" t="s">
        <v>569</v>
      </c>
      <c r="B1007" s="62" t="s">
        <v>569</v>
      </c>
      <c r="C1007" s="63"/>
      <c r="D1007" s="64"/>
      <c r="E1007" s="65"/>
      <c r="F1007" s="66"/>
      <c r="G1007" s="63"/>
      <c r="H1007" s="67"/>
      <c r="I1007" s="68"/>
      <c r="J1007" s="68"/>
      <c r="K1007" s="32"/>
      <c r="L1007" s="75">
        <v>1007</v>
      </c>
      <c r="M1007" s="75"/>
      <c r="N1007" s="70"/>
      <c r="O1007" s="77" t="s">
        <v>179</v>
      </c>
      <c r="P1007" s="79">
        <v>45155.885474537034</v>
      </c>
      <c r="Q1007" s="77" t="s">
        <v>1824</v>
      </c>
      <c r="R1007" s="77">
        <v>0</v>
      </c>
      <c r="S1007" s="77">
        <v>0</v>
      </c>
      <c r="T1007" s="77">
        <v>0</v>
      </c>
      <c r="U1007" s="77">
        <v>0</v>
      </c>
      <c r="V1007" s="77">
        <v>26</v>
      </c>
      <c r="W1007" s="82" t="s">
        <v>4995</v>
      </c>
      <c r="X1007" s="77"/>
      <c r="Y1007" s="77"/>
      <c r="Z1007" s="77"/>
      <c r="AA1007" s="77" t="s">
        <v>7194</v>
      </c>
      <c r="AB1007" s="77" t="s">
        <v>7742</v>
      </c>
      <c r="AC1007" s="82" t="s">
        <v>7773</v>
      </c>
      <c r="AD1007" s="77" t="s">
        <v>7789</v>
      </c>
      <c r="AE1007" s="80" t="str">
        <f>HYPERLINK("https://twitter.com/verodatoapp/status/1692283932279029766")</f>
        <v>https://twitter.com/verodatoapp/status/1692283932279029766</v>
      </c>
      <c r="AF1007" s="79">
        <v>45155.885474537034</v>
      </c>
      <c r="AG1007" s="85">
        <v>45155</v>
      </c>
      <c r="AH1007" s="82" t="s">
        <v>8083</v>
      </c>
      <c r="AI1007" s="77" t="b">
        <v>0</v>
      </c>
      <c r="AJ1007" s="77"/>
      <c r="AK1007" s="77"/>
      <c r="AL1007" s="77"/>
      <c r="AM1007" s="77"/>
      <c r="AN1007" s="77"/>
      <c r="AO1007" s="77"/>
      <c r="AP1007" s="77"/>
      <c r="AQ1007" s="77" t="s">
        <v>11166</v>
      </c>
      <c r="AR1007" s="77"/>
      <c r="AS1007" s="77"/>
      <c r="AT1007" s="77"/>
      <c r="AU1007" s="77"/>
      <c r="AV1007" s="80" t="str">
        <f>HYPERLINK("https://pbs.twimg.com/media/F3wzROcWgAcaf6g.png")</f>
        <v>https://pbs.twimg.com/media/F3wzROcWgAcaf6g.png</v>
      </c>
      <c r="AW1007" s="82" t="s">
        <v>12685</v>
      </c>
      <c r="AX1007" s="82" t="s">
        <v>12685</v>
      </c>
      <c r="AY1007" s="77"/>
      <c r="AZ1007" s="82" t="s">
        <v>15984</v>
      </c>
      <c r="BA1007" s="82" t="s">
        <v>15984</v>
      </c>
      <c r="BB1007" s="82" t="s">
        <v>15984</v>
      </c>
      <c r="BC1007" s="82" t="s">
        <v>12685</v>
      </c>
      <c r="BD1007" s="77">
        <v>3225287033</v>
      </c>
      <c r="BE1007" s="77"/>
      <c r="BF1007" s="77"/>
      <c r="BG1007" s="77"/>
      <c r="BH1007" s="77"/>
      <c r="BI1007" s="77"/>
    </row>
    <row r="1008" spans="1:61" x14ac:dyDescent="0.25">
      <c r="A1008" s="62" t="s">
        <v>569</v>
      </c>
      <c r="B1008" s="62" t="s">
        <v>569</v>
      </c>
      <c r="C1008" s="63"/>
      <c r="D1008" s="64"/>
      <c r="E1008" s="65"/>
      <c r="F1008" s="66"/>
      <c r="G1008" s="63"/>
      <c r="H1008" s="67"/>
      <c r="I1008" s="68"/>
      <c r="J1008" s="68"/>
      <c r="K1008" s="32"/>
      <c r="L1008" s="75">
        <v>1008</v>
      </c>
      <c r="M1008" s="75"/>
      <c r="N1008" s="70"/>
      <c r="O1008" s="77" t="s">
        <v>179</v>
      </c>
      <c r="P1008" s="79">
        <v>45138.500243055554</v>
      </c>
      <c r="Q1008" s="77" t="s">
        <v>1825</v>
      </c>
      <c r="R1008" s="77">
        <v>0</v>
      </c>
      <c r="S1008" s="77">
        <v>1</v>
      </c>
      <c r="T1008" s="77">
        <v>1</v>
      </c>
      <c r="U1008" s="77">
        <v>0</v>
      </c>
      <c r="V1008" s="77">
        <v>305</v>
      </c>
      <c r="W1008" s="82" t="s">
        <v>4839</v>
      </c>
      <c r="X1008" s="77"/>
      <c r="Y1008" s="77"/>
      <c r="Z1008" s="77"/>
      <c r="AA1008" s="77" t="s">
        <v>7195</v>
      </c>
      <c r="AB1008" s="77" t="s">
        <v>7742</v>
      </c>
      <c r="AC1008" s="82" t="s">
        <v>7773</v>
      </c>
      <c r="AD1008" s="77" t="s">
        <v>7789</v>
      </c>
      <c r="AE1008" s="80" t="str">
        <f>HYPERLINK("https://twitter.com/verodatoapp/status/1685983735856918528")</f>
        <v>https://twitter.com/verodatoapp/status/1685983735856918528</v>
      </c>
      <c r="AF1008" s="79">
        <v>45138.500243055554</v>
      </c>
      <c r="AG1008" s="85">
        <v>45138</v>
      </c>
      <c r="AH1008" s="82" t="s">
        <v>8681</v>
      </c>
      <c r="AI1008" s="77" t="b">
        <v>0</v>
      </c>
      <c r="AJ1008" s="77"/>
      <c r="AK1008" s="77"/>
      <c r="AL1008" s="77"/>
      <c r="AM1008" s="77"/>
      <c r="AN1008" s="77"/>
      <c r="AO1008" s="77"/>
      <c r="AP1008" s="77"/>
      <c r="AQ1008" s="77" t="s">
        <v>11167</v>
      </c>
      <c r="AR1008" s="77"/>
      <c r="AS1008" s="77"/>
      <c r="AT1008" s="77"/>
      <c r="AU1008" s="77"/>
      <c r="AV1008" s="80" t="str">
        <f>HYPERLINK("https://pbs.twimg.com/media/F2XRRdoXoAER4tG.jpg")</f>
        <v>https://pbs.twimg.com/media/F2XRRdoXoAER4tG.jpg</v>
      </c>
      <c r="AW1008" s="82" t="s">
        <v>12686</v>
      </c>
      <c r="AX1008" s="82" t="s">
        <v>12686</v>
      </c>
      <c r="AY1008" s="77"/>
      <c r="AZ1008" s="82" t="s">
        <v>15984</v>
      </c>
      <c r="BA1008" s="82" t="s">
        <v>15984</v>
      </c>
      <c r="BB1008" s="82" t="s">
        <v>15984</v>
      </c>
      <c r="BC1008" s="82" t="s">
        <v>12686</v>
      </c>
      <c r="BD1008" s="77">
        <v>3225287033</v>
      </c>
      <c r="BE1008" s="77"/>
      <c r="BF1008" s="77"/>
      <c r="BG1008" s="77"/>
      <c r="BH1008" s="77"/>
      <c r="BI1008" s="77"/>
    </row>
    <row r="1009" spans="1:61" x14ac:dyDescent="0.25">
      <c r="A1009" s="62" t="s">
        <v>569</v>
      </c>
      <c r="B1009" s="62" t="s">
        <v>569</v>
      </c>
      <c r="C1009" s="63"/>
      <c r="D1009" s="64"/>
      <c r="E1009" s="65"/>
      <c r="F1009" s="66"/>
      <c r="G1009" s="63"/>
      <c r="H1009" s="67"/>
      <c r="I1009" s="68"/>
      <c r="J1009" s="68"/>
      <c r="K1009" s="32"/>
      <c r="L1009" s="75">
        <v>1009</v>
      </c>
      <c r="M1009" s="75"/>
      <c r="N1009" s="70"/>
      <c r="O1009" s="77" t="s">
        <v>179</v>
      </c>
      <c r="P1009" s="79">
        <v>45160.885462962964</v>
      </c>
      <c r="Q1009" s="77" t="s">
        <v>1826</v>
      </c>
      <c r="R1009" s="77">
        <v>0</v>
      </c>
      <c r="S1009" s="77">
        <v>0</v>
      </c>
      <c r="T1009" s="77">
        <v>1</v>
      </c>
      <c r="U1009" s="77">
        <v>0</v>
      </c>
      <c r="V1009" s="77">
        <v>27</v>
      </c>
      <c r="W1009" s="82" t="s">
        <v>4995</v>
      </c>
      <c r="X1009" s="77"/>
      <c r="Y1009" s="77"/>
      <c r="Z1009" s="77"/>
      <c r="AA1009" s="77" t="s">
        <v>7196</v>
      </c>
      <c r="AB1009" s="77" t="s">
        <v>7742</v>
      </c>
      <c r="AC1009" s="82" t="s">
        <v>7773</v>
      </c>
      <c r="AD1009" s="77" t="s">
        <v>7789</v>
      </c>
      <c r="AE1009" s="80" t="str">
        <f>HYPERLINK("https://twitter.com/verodatoapp/status/1694095867035181309")</f>
        <v>https://twitter.com/verodatoapp/status/1694095867035181309</v>
      </c>
      <c r="AF1009" s="79">
        <v>45160.885462962964</v>
      </c>
      <c r="AG1009" s="85">
        <v>45160</v>
      </c>
      <c r="AH1009" s="82" t="s">
        <v>8084</v>
      </c>
      <c r="AI1009" s="77" t="b">
        <v>0</v>
      </c>
      <c r="AJ1009" s="77"/>
      <c r="AK1009" s="77"/>
      <c r="AL1009" s="77"/>
      <c r="AM1009" s="77"/>
      <c r="AN1009" s="77"/>
      <c r="AO1009" s="77"/>
      <c r="AP1009" s="77"/>
      <c r="AQ1009" s="77" t="s">
        <v>11168</v>
      </c>
      <c r="AR1009" s="77"/>
      <c r="AS1009" s="77"/>
      <c r="AT1009" s="77"/>
      <c r="AU1009" s="77"/>
      <c r="AV1009" s="80" t="str">
        <f>HYPERLINK("https://pbs.twimg.com/media/F4KjNt3WQAAgSfI.png")</f>
        <v>https://pbs.twimg.com/media/F4KjNt3WQAAgSfI.png</v>
      </c>
      <c r="AW1009" s="82" t="s">
        <v>12687</v>
      </c>
      <c r="AX1009" s="82" t="s">
        <v>12687</v>
      </c>
      <c r="AY1009" s="77"/>
      <c r="AZ1009" s="82" t="s">
        <v>15984</v>
      </c>
      <c r="BA1009" s="82" t="s">
        <v>15984</v>
      </c>
      <c r="BB1009" s="82" t="s">
        <v>15984</v>
      </c>
      <c r="BC1009" s="82" t="s">
        <v>12687</v>
      </c>
      <c r="BD1009" s="77">
        <v>3225287033</v>
      </c>
      <c r="BE1009" s="77"/>
      <c r="BF1009" s="77"/>
      <c r="BG1009" s="77"/>
      <c r="BH1009" s="77"/>
      <c r="BI1009" s="77"/>
    </row>
    <row r="1010" spans="1:61" x14ac:dyDescent="0.25">
      <c r="A1010" s="62" t="s">
        <v>569</v>
      </c>
      <c r="B1010" s="62" t="s">
        <v>569</v>
      </c>
      <c r="C1010" s="63"/>
      <c r="D1010" s="64"/>
      <c r="E1010" s="65"/>
      <c r="F1010" s="66"/>
      <c r="G1010" s="63"/>
      <c r="H1010" s="67"/>
      <c r="I1010" s="68"/>
      <c r="J1010" s="68"/>
      <c r="K1010" s="32"/>
      <c r="L1010" s="75">
        <v>1010</v>
      </c>
      <c r="M1010" s="75"/>
      <c r="N1010" s="70"/>
      <c r="O1010" s="77" t="s">
        <v>179</v>
      </c>
      <c r="P1010" s="79">
        <v>45163.885462962964</v>
      </c>
      <c r="Q1010" s="77" t="s">
        <v>1827</v>
      </c>
      <c r="R1010" s="77">
        <v>0</v>
      </c>
      <c r="S1010" s="77">
        <v>0</v>
      </c>
      <c r="T1010" s="77">
        <v>0</v>
      </c>
      <c r="U1010" s="77">
        <v>0</v>
      </c>
      <c r="V1010" s="77">
        <v>37</v>
      </c>
      <c r="W1010" s="82" t="s">
        <v>4995</v>
      </c>
      <c r="X1010" s="77"/>
      <c r="Y1010" s="77"/>
      <c r="Z1010" s="77"/>
      <c r="AA1010" s="77" t="s">
        <v>7197</v>
      </c>
      <c r="AB1010" s="77" t="s">
        <v>7742</v>
      </c>
      <c r="AC1010" s="82" t="s">
        <v>7773</v>
      </c>
      <c r="AD1010" s="77" t="s">
        <v>7789</v>
      </c>
      <c r="AE1010" s="80" t="str">
        <f>HYPERLINK("https://twitter.com/verodatoapp/status/1695183032825602116")</f>
        <v>https://twitter.com/verodatoapp/status/1695183032825602116</v>
      </c>
      <c r="AF1010" s="79">
        <v>45163.885462962964</v>
      </c>
      <c r="AG1010" s="85">
        <v>45163</v>
      </c>
      <c r="AH1010" s="82" t="s">
        <v>8084</v>
      </c>
      <c r="AI1010" s="77" t="b">
        <v>0</v>
      </c>
      <c r="AJ1010" s="77"/>
      <c r="AK1010" s="77"/>
      <c r="AL1010" s="77"/>
      <c r="AM1010" s="77"/>
      <c r="AN1010" s="77"/>
      <c r="AO1010" s="77"/>
      <c r="AP1010" s="77"/>
      <c r="AQ1010" s="77" t="s">
        <v>11169</v>
      </c>
      <c r="AR1010" s="77"/>
      <c r="AS1010" s="77"/>
      <c r="AT1010" s="77"/>
      <c r="AU1010" s="77"/>
      <c r="AV1010" s="80" t="str">
        <f>HYPERLINK("https://pbs.twimg.com/media/F4Z__GRWkAEcJcr.png")</f>
        <v>https://pbs.twimg.com/media/F4Z__GRWkAEcJcr.png</v>
      </c>
      <c r="AW1010" s="82" t="s">
        <v>12688</v>
      </c>
      <c r="AX1010" s="82" t="s">
        <v>12688</v>
      </c>
      <c r="AY1010" s="77"/>
      <c r="AZ1010" s="82" t="s">
        <v>15984</v>
      </c>
      <c r="BA1010" s="82" t="s">
        <v>15984</v>
      </c>
      <c r="BB1010" s="82" t="s">
        <v>15984</v>
      </c>
      <c r="BC1010" s="82" t="s">
        <v>12688</v>
      </c>
      <c r="BD1010" s="77">
        <v>3225287033</v>
      </c>
      <c r="BE1010" s="77"/>
      <c r="BF1010" s="77"/>
      <c r="BG1010" s="77"/>
      <c r="BH1010" s="77"/>
      <c r="BI1010" s="77"/>
    </row>
    <row r="1011" spans="1:61" x14ac:dyDescent="0.25">
      <c r="A1011" s="62" t="s">
        <v>569</v>
      </c>
      <c r="B1011" s="62" t="s">
        <v>569</v>
      </c>
      <c r="C1011" s="63"/>
      <c r="D1011" s="64"/>
      <c r="E1011" s="65"/>
      <c r="F1011" s="66"/>
      <c r="G1011" s="63"/>
      <c r="H1011" s="67"/>
      <c r="I1011" s="68"/>
      <c r="J1011" s="68"/>
      <c r="K1011" s="32"/>
      <c r="L1011" s="75">
        <v>1011</v>
      </c>
      <c r="M1011" s="75"/>
      <c r="N1011" s="70"/>
      <c r="O1011" s="77" t="s">
        <v>179</v>
      </c>
      <c r="P1011" s="79">
        <v>45124.885462962964</v>
      </c>
      <c r="Q1011" s="77" t="s">
        <v>1828</v>
      </c>
      <c r="R1011" s="77">
        <v>0</v>
      </c>
      <c r="S1011" s="77">
        <v>0</v>
      </c>
      <c r="T1011" s="77">
        <v>0</v>
      </c>
      <c r="U1011" s="77">
        <v>0</v>
      </c>
      <c r="V1011" s="77">
        <v>20</v>
      </c>
      <c r="W1011" s="82" t="s">
        <v>4995</v>
      </c>
      <c r="X1011" s="77"/>
      <c r="Y1011" s="77"/>
      <c r="Z1011" s="77"/>
      <c r="AA1011" s="77" t="s">
        <v>7198</v>
      </c>
      <c r="AB1011" s="77" t="s">
        <v>7742</v>
      </c>
      <c r="AC1011" s="82" t="s">
        <v>7773</v>
      </c>
      <c r="AD1011" s="77" t="s">
        <v>7789</v>
      </c>
      <c r="AE1011" s="80" t="str">
        <f>HYPERLINK("https://twitter.com/verodatoapp/status/1681049907208105986")</f>
        <v>https://twitter.com/verodatoapp/status/1681049907208105986</v>
      </c>
      <c r="AF1011" s="79">
        <v>45124.885462962964</v>
      </c>
      <c r="AG1011" s="85">
        <v>45124</v>
      </c>
      <c r="AH1011" s="82" t="s">
        <v>8084</v>
      </c>
      <c r="AI1011" s="77" t="b">
        <v>0</v>
      </c>
      <c r="AJ1011" s="77"/>
      <c r="AK1011" s="77"/>
      <c r="AL1011" s="77"/>
      <c r="AM1011" s="77"/>
      <c r="AN1011" s="77"/>
      <c r="AO1011" s="77"/>
      <c r="AP1011" s="77"/>
      <c r="AQ1011" s="77" t="s">
        <v>11170</v>
      </c>
      <c r="AR1011" s="77"/>
      <c r="AS1011" s="77"/>
      <c r="AT1011" s="77"/>
      <c r="AU1011" s="77"/>
      <c r="AV1011" s="80" t="str">
        <f>HYPERLINK("https://pbs.twimg.com/media/F1RJ-4sXwAAoCas.png")</f>
        <v>https://pbs.twimg.com/media/F1RJ-4sXwAAoCas.png</v>
      </c>
      <c r="AW1011" s="82" t="s">
        <v>12689</v>
      </c>
      <c r="AX1011" s="82" t="s">
        <v>12689</v>
      </c>
      <c r="AY1011" s="77"/>
      <c r="AZ1011" s="82" t="s">
        <v>15984</v>
      </c>
      <c r="BA1011" s="82" t="s">
        <v>15984</v>
      </c>
      <c r="BB1011" s="82" t="s">
        <v>15984</v>
      </c>
      <c r="BC1011" s="82" t="s">
        <v>12689</v>
      </c>
      <c r="BD1011" s="77">
        <v>3225287033</v>
      </c>
      <c r="BE1011" s="77"/>
      <c r="BF1011" s="77"/>
      <c r="BG1011" s="77"/>
      <c r="BH1011" s="77"/>
      <c r="BI1011" s="77"/>
    </row>
    <row r="1012" spans="1:61" x14ac:dyDescent="0.25">
      <c r="A1012" s="62" t="s">
        <v>569</v>
      </c>
      <c r="B1012" s="62" t="s">
        <v>569</v>
      </c>
      <c r="C1012" s="63"/>
      <c r="D1012" s="64"/>
      <c r="E1012" s="65"/>
      <c r="F1012" s="66"/>
      <c r="G1012" s="63"/>
      <c r="H1012" s="67"/>
      <c r="I1012" s="68"/>
      <c r="J1012" s="68"/>
      <c r="K1012" s="32"/>
      <c r="L1012" s="75">
        <v>1012</v>
      </c>
      <c r="M1012" s="75"/>
      <c r="N1012" s="70"/>
      <c r="O1012" s="77" t="s">
        <v>179</v>
      </c>
      <c r="P1012" s="79">
        <v>45161.885462962964</v>
      </c>
      <c r="Q1012" s="77" t="s">
        <v>1829</v>
      </c>
      <c r="R1012" s="77">
        <v>0</v>
      </c>
      <c r="S1012" s="77">
        <v>0</v>
      </c>
      <c r="T1012" s="77">
        <v>0</v>
      </c>
      <c r="U1012" s="77">
        <v>0</v>
      </c>
      <c r="V1012" s="77">
        <v>39</v>
      </c>
      <c r="W1012" s="82" t="s">
        <v>4995</v>
      </c>
      <c r="X1012" s="77"/>
      <c r="Y1012" s="77"/>
      <c r="Z1012" s="77"/>
      <c r="AA1012" s="77" t="s">
        <v>7199</v>
      </c>
      <c r="AB1012" s="77" t="s">
        <v>7742</v>
      </c>
      <c r="AC1012" s="82" t="s">
        <v>7773</v>
      </c>
      <c r="AD1012" s="77" t="s">
        <v>7789</v>
      </c>
      <c r="AE1012" s="80" t="str">
        <f>HYPERLINK("https://twitter.com/verodatoapp/status/1694458255047626778")</f>
        <v>https://twitter.com/verodatoapp/status/1694458255047626778</v>
      </c>
      <c r="AF1012" s="79">
        <v>45161.885462962964</v>
      </c>
      <c r="AG1012" s="85">
        <v>45161</v>
      </c>
      <c r="AH1012" s="82" t="s">
        <v>8084</v>
      </c>
      <c r="AI1012" s="77" t="b">
        <v>0</v>
      </c>
      <c r="AJ1012" s="77"/>
      <c r="AK1012" s="77"/>
      <c r="AL1012" s="77"/>
      <c r="AM1012" s="77"/>
      <c r="AN1012" s="77"/>
      <c r="AO1012" s="77"/>
      <c r="AP1012" s="77"/>
      <c r="AQ1012" s="77" t="s">
        <v>11171</v>
      </c>
      <c r="AR1012" s="77"/>
      <c r="AS1012" s="77"/>
      <c r="AT1012" s="77"/>
      <c r="AU1012" s="77"/>
      <c r="AV1012" s="80" t="str">
        <f>HYPERLINK("https://pbs.twimg.com/media/F4PszelWgAALnzr.png")</f>
        <v>https://pbs.twimg.com/media/F4PszelWgAALnzr.png</v>
      </c>
      <c r="AW1012" s="82" t="s">
        <v>12690</v>
      </c>
      <c r="AX1012" s="82" t="s">
        <v>12690</v>
      </c>
      <c r="AY1012" s="77"/>
      <c r="AZ1012" s="82" t="s">
        <v>15984</v>
      </c>
      <c r="BA1012" s="82" t="s">
        <v>15984</v>
      </c>
      <c r="BB1012" s="82" t="s">
        <v>15984</v>
      </c>
      <c r="BC1012" s="82" t="s">
        <v>12690</v>
      </c>
      <c r="BD1012" s="77">
        <v>3225287033</v>
      </c>
      <c r="BE1012" s="77"/>
      <c r="BF1012" s="77"/>
      <c r="BG1012" s="77"/>
      <c r="BH1012" s="77"/>
      <c r="BI1012" s="77"/>
    </row>
    <row r="1013" spans="1:61" x14ac:dyDescent="0.25">
      <c r="A1013" s="62" t="s">
        <v>569</v>
      </c>
      <c r="B1013" s="62" t="s">
        <v>569</v>
      </c>
      <c r="C1013" s="63"/>
      <c r="D1013" s="64"/>
      <c r="E1013" s="65"/>
      <c r="F1013" s="66"/>
      <c r="G1013" s="63"/>
      <c r="H1013" s="67"/>
      <c r="I1013" s="68"/>
      <c r="J1013" s="68"/>
      <c r="K1013" s="32"/>
      <c r="L1013" s="75">
        <v>1013</v>
      </c>
      <c r="M1013" s="75"/>
      <c r="N1013" s="70"/>
      <c r="O1013" s="77" t="s">
        <v>179</v>
      </c>
      <c r="P1013" s="79">
        <v>45149.885451388887</v>
      </c>
      <c r="Q1013" s="77" t="s">
        <v>1830</v>
      </c>
      <c r="R1013" s="77">
        <v>0</v>
      </c>
      <c r="S1013" s="77">
        <v>0</v>
      </c>
      <c r="T1013" s="77">
        <v>1</v>
      </c>
      <c r="U1013" s="77">
        <v>0</v>
      </c>
      <c r="V1013" s="77">
        <v>32</v>
      </c>
      <c r="W1013" s="82" t="s">
        <v>4995</v>
      </c>
      <c r="X1013" s="77"/>
      <c r="Y1013" s="77"/>
      <c r="Z1013" s="77"/>
      <c r="AA1013" s="77" t="s">
        <v>7200</v>
      </c>
      <c r="AB1013" s="77" t="s">
        <v>7742</v>
      </c>
      <c r="AC1013" s="82" t="s">
        <v>7773</v>
      </c>
      <c r="AD1013" s="77" t="s">
        <v>7789</v>
      </c>
      <c r="AE1013" s="80" t="str">
        <f>HYPERLINK("https://twitter.com/verodatoapp/status/1690109597745385473")</f>
        <v>https://twitter.com/verodatoapp/status/1690109597745385473</v>
      </c>
      <c r="AF1013" s="79">
        <v>45149.885451388887</v>
      </c>
      <c r="AG1013" s="85">
        <v>45149</v>
      </c>
      <c r="AH1013" s="82" t="s">
        <v>8678</v>
      </c>
      <c r="AI1013" s="77" t="b">
        <v>0</v>
      </c>
      <c r="AJ1013" s="77"/>
      <c r="AK1013" s="77"/>
      <c r="AL1013" s="77"/>
      <c r="AM1013" s="77"/>
      <c r="AN1013" s="77"/>
      <c r="AO1013" s="77"/>
      <c r="AP1013" s="77"/>
      <c r="AQ1013" s="77" t="s">
        <v>11172</v>
      </c>
      <c r="AR1013" s="77"/>
      <c r="AS1013" s="77"/>
      <c r="AT1013" s="77"/>
      <c r="AU1013" s="77"/>
      <c r="AV1013" s="80" t="str">
        <f>HYPERLINK("https://pbs.twimg.com/media/F3R5uT0XwAEPK8n.png")</f>
        <v>https://pbs.twimg.com/media/F3R5uT0XwAEPK8n.png</v>
      </c>
      <c r="AW1013" s="82" t="s">
        <v>12691</v>
      </c>
      <c r="AX1013" s="82" t="s">
        <v>12691</v>
      </c>
      <c r="AY1013" s="77"/>
      <c r="AZ1013" s="82" t="s">
        <v>15984</v>
      </c>
      <c r="BA1013" s="82" t="s">
        <v>15984</v>
      </c>
      <c r="BB1013" s="82" t="s">
        <v>15984</v>
      </c>
      <c r="BC1013" s="82" t="s">
        <v>12691</v>
      </c>
      <c r="BD1013" s="77">
        <v>3225287033</v>
      </c>
      <c r="BE1013" s="77"/>
      <c r="BF1013" s="77"/>
      <c r="BG1013" s="77"/>
      <c r="BH1013" s="77"/>
      <c r="BI1013" s="77"/>
    </row>
    <row r="1014" spans="1:61" x14ac:dyDescent="0.25">
      <c r="A1014" s="62" t="s">
        <v>569</v>
      </c>
      <c r="B1014" s="62" t="s">
        <v>569</v>
      </c>
      <c r="C1014" s="63"/>
      <c r="D1014" s="64"/>
      <c r="E1014" s="65"/>
      <c r="F1014" s="66"/>
      <c r="G1014" s="63"/>
      <c r="H1014" s="67"/>
      <c r="I1014" s="68"/>
      <c r="J1014" s="68"/>
      <c r="K1014" s="32"/>
      <c r="L1014" s="75">
        <v>1014</v>
      </c>
      <c r="M1014" s="75"/>
      <c r="N1014" s="70"/>
      <c r="O1014" s="77" t="s">
        <v>179</v>
      </c>
      <c r="P1014" s="79">
        <v>45162.885474537034</v>
      </c>
      <c r="Q1014" s="77" t="s">
        <v>1831</v>
      </c>
      <c r="R1014" s="77">
        <v>0</v>
      </c>
      <c r="S1014" s="77">
        <v>0</v>
      </c>
      <c r="T1014" s="77">
        <v>1</v>
      </c>
      <c r="U1014" s="77">
        <v>0</v>
      </c>
      <c r="V1014" s="77">
        <v>36</v>
      </c>
      <c r="W1014" s="82" t="s">
        <v>4995</v>
      </c>
      <c r="X1014" s="77"/>
      <c r="Y1014" s="77"/>
      <c r="Z1014" s="77"/>
      <c r="AA1014" s="77" t="s">
        <v>7201</v>
      </c>
      <c r="AB1014" s="77" t="s">
        <v>7742</v>
      </c>
      <c r="AC1014" s="82" t="s">
        <v>7773</v>
      </c>
      <c r="AD1014" s="77" t="s">
        <v>7789</v>
      </c>
      <c r="AE1014" s="80" t="str">
        <f>HYPERLINK("https://twitter.com/verodatoapp/status/1694820648999125208")</f>
        <v>https://twitter.com/verodatoapp/status/1694820648999125208</v>
      </c>
      <c r="AF1014" s="79">
        <v>45162.885474537034</v>
      </c>
      <c r="AG1014" s="85">
        <v>45162</v>
      </c>
      <c r="AH1014" s="82" t="s">
        <v>8083</v>
      </c>
      <c r="AI1014" s="77" t="b">
        <v>0</v>
      </c>
      <c r="AJ1014" s="77"/>
      <c r="AK1014" s="77"/>
      <c r="AL1014" s="77"/>
      <c r="AM1014" s="77"/>
      <c r="AN1014" s="77"/>
      <c r="AO1014" s="77"/>
      <c r="AP1014" s="77"/>
      <c r="AQ1014" s="77" t="s">
        <v>11173</v>
      </c>
      <c r="AR1014" s="77"/>
      <c r="AS1014" s="77"/>
      <c r="AT1014" s="77"/>
      <c r="AU1014" s="77"/>
      <c r="AV1014" s="80" t="str">
        <f>HYPERLINK("https://pbs.twimg.com/media/F4U2ZjpXUAErN38.png")</f>
        <v>https://pbs.twimg.com/media/F4U2ZjpXUAErN38.png</v>
      </c>
      <c r="AW1014" s="82" t="s">
        <v>12692</v>
      </c>
      <c r="AX1014" s="82" t="s">
        <v>12692</v>
      </c>
      <c r="AY1014" s="77"/>
      <c r="AZ1014" s="82" t="s">
        <v>15984</v>
      </c>
      <c r="BA1014" s="82" t="s">
        <v>15984</v>
      </c>
      <c r="BB1014" s="82" t="s">
        <v>15984</v>
      </c>
      <c r="BC1014" s="82" t="s">
        <v>12692</v>
      </c>
      <c r="BD1014" s="77">
        <v>3225287033</v>
      </c>
      <c r="BE1014" s="77"/>
      <c r="BF1014" s="77"/>
      <c r="BG1014" s="77"/>
      <c r="BH1014" s="77"/>
      <c r="BI1014" s="77"/>
    </row>
    <row r="1015" spans="1:61" x14ac:dyDescent="0.25">
      <c r="A1015" s="62" t="s">
        <v>569</v>
      </c>
      <c r="B1015" s="62" t="s">
        <v>569</v>
      </c>
      <c r="C1015" s="63"/>
      <c r="D1015" s="64"/>
      <c r="E1015" s="65"/>
      <c r="F1015" s="66"/>
      <c r="G1015" s="63"/>
      <c r="H1015" s="67"/>
      <c r="I1015" s="68"/>
      <c r="J1015" s="68"/>
      <c r="K1015" s="32"/>
      <c r="L1015" s="75">
        <v>1015</v>
      </c>
      <c r="M1015" s="75"/>
      <c r="N1015" s="70"/>
      <c r="O1015" s="77" t="s">
        <v>179</v>
      </c>
      <c r="P1015" s="79">
        <v>45138.885451388887</v>
      </c>
      <c r="Q1015" s="77" t="s">
        <v>1832</v>
      </c>
      <c r="R1015" s="77">
        <v>0</v>
      </c>
      <c r="S1015" s="77">
        <v>0</v>
      </c>
      <c r="T1015" s="77">
        <v>0</v>
      </c>
      <c r="U1015" s="77">
        <v>0</v>
      </c>
      <c r="V1015" s="77">
        <v>30</v>
      </c>
      <c r="W1015" s="82" t="s">
        <v>4995</v>
      </c>
      <c r="X1015" s="77"/>
      <c r="Y1015" s="77"/>
      <c r="Z1015" s="77"/>
      <c r="AA1015" s="77" t="s">
        <v>7202</v>
      </c>
      <c r="AB1015" s="77" t="s">
        <v>7742</v>
      </c>
      <c r="AC1015" s="82" t="s">
        <v>7773</v>
      </c>
      <c r="AD1015" s="77" t="s">
        <v>7789</v>
      </c>
      <c r="AE1015" s="80" t="str">
        <f>HYPERLINK("https://twitter.com/verodatoapp/status/1686123331034996737")</f>
        <v>https://twitter.com/verodatoapp/status/1686123331034996737</v>
      </c>
      <c r="AF1015" s="79">
        <v>45138.885451388887</v>
      </c>
      <c r="AG1015" s="85">
        <v>45138</v>
      </c>
      <c r="AH1015" s="82" t="s">
        <v>8678</v>
      </c>
      <c r="AI1015" s="77" t="b">
        <v>0</v>
      </c>
      <c r="AJ1015" s="77"/>
      <c r="AK1015" s="77"/>
      <c r="AL1015" s="77"/>
      <c r="AM1015" s="77"/>
      <c r="AN1015" s="77"/>
      <c r="AO1015" s="77"/>
      <c r="AP1015" s="77"/>
      <c r="AQ1015" s="77" t="s">
        <v>11174</v>
      </c>
      <c r="AR1015" s="77"/>
      <c r="AS1015" s="77"/>
      <c r="AT1015" s="77"/>
      <c r="AU1015" s="77"/>
      <c r="AV1015" s="80" t="str">
        <f>HYPERLINK("https://pbs.twimg.com/media/F2ZQPAnWkAAf9Fa.png")</f>
        <v>https://pbs.twimg.com/media/F2ZQPAnWkAAf9Fa.png</v>
      </c>
      <c r="AW1015" s="82" t="s">
        <v>12693</v>
      </c>
      <c r="AX1015" s="82" t="s">
        <v>12693</v>
      </c>
      <c r="AY1015" s="77"/>
      <c r="AZ1015" s="82" t="s">
        <v>15984</v>
      </c>
      <c r="BA1015" s="82" t="s">
        <v>15984</v>
      </c>
      <c r="BB1015" s="82" t="s">
        <v>15984</v>
      </c>
      <c r="BC1015" s="82" t="s">
        <v>12693</v>
      </c>
      <c r="BD1015" s="77">
        <v>3225287033</v>
      </c>
      <c r="BE1015" s="77"/>
      <c r="BF1015" s="77"/>
      <c r="BG1015" s="77"/>
      <c r="BH1015" s="77"/>
      <c r="BI1015" s="77"/>
    </row>
    <row r="1016" spans="1:61" x14ac:dyDescent="0.25">
      <c r="A1016" s="62" t="s">
        <v>569</v>
      </c>
      <c r="B1016" s="62" t="s">
        <v>569</v>
      </c>
      <c r="C1016" s="63"/>
      <c r="D1016" s="64"/>
      <c r="E1016" s="65"/>
      <c r="F1016" s="66"/>
      <c r="G1016" s="63"/>
      <c r="H1016" s="67"/>
      <c r="I1016" s="68"/>
      <c r="J1016" s="68"/>
      <c r="K1016" s="32"/>
      <c r="L1016" s="75">
        <v>1016</v>
      </c>
      <c r="M1016" s="75"/>
      <c r="N1016" s="70"/>
      <c r="O1016" s="77" t="s">
        <v>179</v>
      </c>
      <c r="P1016" s="79">
        <v>45119.885474537034</v>
      </c>
      <c r="Q1016" s="77" t="s">
        <v>1833</v>
      </c>
      <c r="R1016" s="77">
        <v>0</v>
      </c>
      <c r="S1016" s="77">
        <v>0</v>
      </c>
      <c r="T1016" s="77">
        <v>0</v>
      </c>
      <c r="U1016" s="77">
        <v>0</v>
      </c>
      <c r="V1016" s="77">
        <v>16</v>
      </c>
      <c r="W1016" s="82" t="s">
        <v>4995</v>
      </c>
      <c r="X1016" s="77"/>
      <c r="Y1016" s="77"/>
      <c r="Z1016" s="77"/>
      <c r="AA1016" s="77" t="s">
        <v>7203</v>
      </c>
      <c r="AB1016" s="77" t="s">
        <v>7742</v>
      </c>
      <c r="AC1016" s="82" t="s">
        <v>7773</v>
      </c>
      <c r="AD1016" s="77" t="s">
        <v>7789</v>
      </c>
      <c r="AE1016" s="80" t="str">
        <f>HYPERLINK("https://twitter.com/verodatoapp/status/1679237970551877635")</f>
        <v>https://twitter.com/verodatoapp/status/1679237970551877635</v>
      </c>
      <c r="AF1016" s="79">
        <v>45119.885474537034</v>
      </c>
      <c r="AG1016" s="85">
        <v>45119</v>
      </c>
      <c r="AH1016" s="82" t="s">
        <v>8083</v>
      </c>
      <c r="AI1016" s="77" t="b">
        <v>0</v>
      </c>
      <c r="AJ1016" s="77"/>
      <c r="AK1016" s="77"/>
      <c r="AL1016" s="77"/>
      <c r="AM1016" s="77"/>
      <c r="AN1016" s="77"/>
      <c r="AO1016" s="77"/>
      <c r="AP1016" s="77"/>
      <c r="AQ1016" s="77" t="s">
        <v>11175</v>
      </c>
      <c r="AR1016" s="77"/>
      <c r="AS1016" s="77"/>
      <c r="AT1016" s="77"/>
      <c r="AU1016" s="77"/>
      <c r="AV1016" s="80" t="str">
        <f>HYPERLINK("https://pbs.twimg.com/media/F03aCT5WcAIGflA.png")</f>
        <v>https://pbs.twimg.com/media/F03aCT5WcAIGflA.png</v>
      </c>
      <c r="AW1016" s="82" t="s">
        <v>12694</v>
      </c>
      <c r="AX1016" s="82" t="s">
        <v>12694</v>
      </c>
      <c r="AY1016" s="77"/>
      <c r="AZ1016" s="82" t="s">
        <v>15984</v>
      </c>
      <c r="BA1016" s="82" t="s">
        <v>15984</v>
      </c>
      <c r="BB1016" s="82" t="s">
        <v>15984</v>
      </c>
      <c r="BC1016" s="82" t="s">
        <v>12694</v>
      </c>
      <c r="BD1016" s="77">
        <v>3225287033</v>
      </c>
      <c r="BE1016" s="77"/>
      <c r="BF1016" s="77"/>
      <c r="BG1016" s="77"/>
      <c r="BH1016" s="77"/>
      <c r="BI1016" s="77"/>
    </row>
    <row r="1017" spans="1:61" x14ac:dyDescent="0.25">
      <c r="A1017" s="62" t="s">
        <v>569</v>
      </c>
      <c r="B1017" s="62" t="s">
        <v>569</v>
      </c>
      <c r="C1017" s="63"/>
      <c r="D1017" s="64"/>
      <c r="E1017" s="65"/>
      <c r="F1017" s="66"/>
      <c r="G1017" s="63"/>
      <c r="H1017" s="67"/>
      <c r="I1017" s="68"/>
      <c r="J1017" s="68"/>
      <c r="K1017" s="32"/>
      <c r="L1017" s="75">
        <v>1017</v>
      </c>
      <c r="M1017" s="75"/>
      <c r="N1017" s="70"/>
      <c r="O1017" s="77" t="s">
        <v>179</v>
      </c>
      <c r="P1017" s="79">
        <v>45166.500162037039</v>
      </c>
      <c r="Q1017" s="77" t="s">
        <v>1834</v>
      </c>
      <c r="R1017" s="77">
        <v>0</v>
      </c>
      <c r="S1017" s="77">
        <v>0</v>
      </c>
      <c r="T1017" s="77">
        <v>1</v>
      </c>
      <c r="U1017" s="77">
        <v>0</v>
      </c>
      <c r="V1017" s="77">
        <v>17</v>
      </c>
      <c r="W1017" s="82" t="s">
        <v>4839</v>
      </c>
      <c r="X1017" s="77"/>
      <c r="Y1017" s="77"/>
      <c r="Z1017" s="77"/>
      <c r="AA1017" s="77" t="s">
        <v>7204</v>
      </c>
      <c r="AB1017" s="77" t="s">
        <v>7742</v>
      </c>
      <c r="AC1017" s="82" t="s">
        <v>7773</v>
      </c>
      <c r="AD1017" s="77" t="s">
        <v>7789</v>
      </c>
      <c r="AE1017" s="80" t="str">
        <f>HYPERLINK("https://twitter.com/verodatoapp/status/1696130565877977222")</f>
        <v>https://twitter.com/verodatoapp/status/1696130565877977222</v>
      </c>
      <c r="AF1017" s="79">
        <v>45166.500162037039</v>
      </c>
      <c r="AG1017" s="85">
        <v>45166</v>
      </c>
      <c r="AH1017" s="82" t="s">
        <v>8679</v>
      </c>
      <c r="AI1017" s="77" t="b">
        <v>0</v>
      </c>
      <c r="AJ1017" s="77"/>
      <c r="AK1017" s="77"/>
      <c r="AL1017" s="77"/>
      <c r="AM1017" s="77"/>
      <c r="AN1017" s="77"/>
      <c r="AO1017" s="77"/>
      <c r="AP1017" s="77"/>
      <c r="AQ1017" s="77" t="s">
        <v>11176</v>
      </c>
      <c r="AR1017" s="77"/>
      <c r="AS1017" s="77"/>
      <c r="AT1017" s="77"/>
      <c r="AU1017" s="77"/>
      <c r="AV1017" s="80" t="str">
        <f>HYPERLINK("https://pbs.twimg.com/media/F4ndwtqXgAAhYn9.jpg")</f>
        <v>https://pbs.twimg.com/media/F4ndwtqXgAAhYn9.jpg</v>
      </c>
      <c r="AW1017" s="82" t="s">
        <v>12695</v>
      </c>
      <c r="AX1017" s="82" t="s">
        <v>12695</v>
      </c>
      <c r="AY1017" s="77"/>
      <c r="AZ1017" s="82" t="s">
        <v>15984</v>
      </c>
      <c r="BA1017" s="82" t="s">
        <v>15984</v>
      </c>
      <c r="BB1017" s="82" t="s">
        <v>15984</v>
      </c>
      <c r="BC1017" s="82" t="s">
        <v>12695</v>
      </c>
      <c r="BD1017" s="77">
        <v>3225287033</v>
      </c>
      <c r="BE1017" s="77"/>
      <c r="BF1017" s="77"/>
      <c r="BG1017" s="77"/>
      <c r="BH1017" s="77"/>
      <c r="BI1017" s="77"/>
    </row>
    <row r="1018" spans="1:61" x14ac:dyDescent="0.25">
      <c r="A1018" s="62" t="s">
        <v>569</v>
      </c>
      <c r="B1018" s="62" t="s">
        <v>569</v>
      </c>
      <c r="C1018" s="63"/>
      <c r="D1018" s="64"/>
      <c r="E1018" s="65"/>
      <c r="F1018" s="66"/>
      <c r="G1018" s="63"/>
      <c r="H1018" s="67"/>
      <c r="I1018" s="68"/>
      <c r="J1018" s="68"/>
      <c r="K1018" s="32"/>
      <c r="L1018" s="75">
        <v>1018</v>
      </c>
      <c r="M1018" s="75"/>
      <c r="N1018" s="70"/>
      <c r="O1018" s="77" t="s">
        <v>179</v>
      </c>
      <c r="P1018" s="79">
        <v>45133.885474537034</v>
      </c>
      <c r="Q1018" s="77" t="s">
        <v>1835</v>
      </c>
      <c r="R1018" s="77">
        <v>0</v>
      </c>
      <c r="S1018" s="77">
        <v>0</v>
      </c>
      <c r="T1018" s="77">
        <v>1</v>
      </c>
      <c r="U1018" s="77">
        <v>0</v>
      </c>
      <c r="V1018" s="77">
        <v>15</v>
      </c>
      <c r="W1018" s="82" t="s">
        <v>4995</v>
      </c>
      <c r="X1018" s="77"/>
      <c r="Y1018" s="77"/>
      <c r="Z1018" s="77"/>
      <c r="AA1018" s="77" t="s">
        <v>7205</v>
      </c>
      <c r="AB1018" s="77" t="s">
        <v>7742</v>
      </c>
      <c r="AC1018" s="82" t="s">
        <v>7773</v>
      </c>
      <c r="AD1018" s="77" t="s">
        <v>7789</v>
      </c>
      <c r="AE1018" s="80" t="str">
        <f>HYPERLINK("https://twitter.com/verodatoapp/status/1684311400439590913")</f>
        <v>https://twitter.com/verodatoapp/status/1684311400439590913</v>
      </c>
      <c r="AF1018" s="79">
        <v>45133.885474537034</v>
      </c>
      <c r="AG1018" s="85">
        <v>45133</v>
      </c>
      <c r="AH1018" s="82" t="s">
        <v>8083</v>
      </c>
      <c r="AI1018" s="77" t="b">
        <v>0</v>
      </c>
      <c r="AJ1018" s="77"/>
      <c r="AK1018" s="77"/>
      <c r="AL1018" s="77"/>
      <c r="AM1018" s="77"/>
      <c r="AN1018" s="77"/>
      <c r="AO1018" s="77"/>
      <c r="AP1018" s="77"/>
      <c r="AQ1018" s="77" t="s">
        <v>11177</v>
      </c>
      <c r="AR1018" s="77"/>
      <c r="AS1018" s="77"/>
      <c r="AT1018" s="77"/>
      <c r="AU1018" s="77"/>
      <c r="AV1018" s="80" t="str">
        <f>HYPERLINK("https://pbs.twimg.com/media/F1_gSw3XoAA-Zxy.png")</f>
        <v>https://pbs.twimg.com/media/F1_gSw3XoAA-Zxy.png</v>
      </c>
      <c r="AW1018" s="82" t="s">
        <v>12696</v>
      </c>
      <c r="AX1018" s="82" t="s">
        <v>12696</v>
      </c>
      <c r="AY1018" s="77"/>
      <c r="AZ1018" s="82" t="s">
        <v>15984</v>
      </c>
      <c r="BA1018" s="82" t="s">
        <v>15984</v>
      </c>
      <c r="BB1018" s="82" t="s">
        <v>15984</v>
      </c>
      <c r="BC1018" s="82" t="s">
        <v>12696</v>
      </c>
      <c r="BD1018" s="77">
        <v>3225287033</v>
      </c>
      <c r="BE1018" s="77"/>
      <c r="BF1018" s="77"/>
      <c r="BG1018" s="77"/>
      <c r="BH1018" s="77"/>
      <c r="BI1018" s="77"/>
    </row>
    <row r="1019" spans="1:61" x14ac:dyDescent="0.25">
      <c r="A1019" s="62" t="s">
        <v>569</v>
      </c>
      <c r="B1019" s="62" t="s">
        <v>569</v>
      </c>
      <c r="C1019" s="63"/>
      <c r="D1019" s="64"/>
      <c r="E1019" s="65"/>
      <c r="F1019" s="66"/>
      <c r="G1019" s="63"/>
      <c r="H1019" s="67"/>
      <c r="I1019" s="68"/>
      <c r="J1019" s="68"/>
      <c r="K1019" s="32"/>
      <c r="L1019" s="75">
        <v>1019</v>
      </c>
      <c r="M1019" s="75"/>
      <c r="N1019" s="70"/>
      <c r="O1019" s="77" t="s">
        <v>179</v>
      </c>
      <c r="P1019" s="79">
        <v>45180.500173611108</v>
      </c>
      <c r="Q1019" s="77" t="s">
        <v>1836</v>
      </c>
      <c r="R1019" s="77">
        <v>0</v>
      </c>
      <c r="S1019" s="77">
        <v>0</v>
      </c>
      <c r="T1019" s="77">
        <v>1</v>
      </c>
      <c r="U1019" s="77">
        <v>0</v>
      </c>
      <c r="V1019" s="77">
        <v>137</v>
      </c>
      <c r="W1019" s="82" t="s">
        <v>4839</v>
      </c>
      <c r="X1019" s="77"/>
      <c r="Y1019" s="77"/>
      <c r="Z1019" s="77"/>
      <c r="AA1019" s="77" t="s">
        <v>7206</v>
      </c>
      <c r="AB1019" s="77" t="s">
        <v>7742</v>
      </c>
      <c r="AC1019" s="82" t="s">
        <v>7773</v>
      </c>
      <c r="AD1019" s="77" t="s">
        <v>7789</v>
      </c>
      <c r="AE1019" s="80" t="str">
        <f>HYPERLINK("https://twitter.com/verodatoapp/status/1701204002908549446")</f>
        <v>https://twitter.com/verodatoapp/status/1701204002908549446</v>
      </c>
      <c r="AF1019" s="79">
        <v>45180.500173611108</v>
      </c>
      <c r="AG1019" s="85">
        <v>45180</v>
      </c>
      <c r="AH1019" s="82" t="s">
        <v>8682</v>
      </c>
      <c r="AI1019" s="77" t="b">
        <v>0</v>
      </c>
      <c r="AJ1019" s="77"/>
      <c r="AK1019" s="77"/>
      <c r="AL1019" s="77"/>
      <c r="AM1019" s="77"/>
      <c r="AN1019" s="77"/>
      <c r="AO1019" s="77"/>
      <c r="AP1019" s="77"/>
      <c r="AQ1019" s="77" t="s">
        <v>11178</v>
      </c>
      <c r="AR1019" s="77"/>
      <c r="AS1019" s="77"/>
      <c r="AT1019" s="77"/>
      <c r="AU1019" s="77"/>
      <c r="AV1019" s="80" t="str">
        <f>HYPERLINK("https://pbs.twimg.com/media/F5vkBpIXYAAwjY8.jpg")</f>
        <v>https://pbs.twimg.com/media/F5vkBpIXYAAwjY8.jpg</v>
      </c>
      <c r="AW1019" s="82" t="s">
        <v>12697</v>
      </c>
      <c r="AX1019" s="82" t="s">
        <v>12697</v>
      </c>
      <c r="AY1019" s="77"/>
      <c r="AZ1019" s="82" t="s">
        <v>15984</v>
      </c>
      <c r="BA1019" s="82" t="s">
        <v>15984</v>
      </c>
      <c r="BB1019" s="82" t="s">
        <v>15984</v>
      </c>
      <c r="BC1019" s="82" t="s">
        <v>12697</v>
      </c>
      <c r="BD1019" s="77">
        <v>3225287033</v>
      </c>
      <c r="BE1019" s="77"/>
      <c r="BF1019" s="77"/>
      <c r="BG1019" s="77"/>
      <c r="BH1019" s="77"/>
      <c r="BI1019" s="77"/>
    </row>
    <row r="1020" spans="1:61" x14ac:dyDescent="0.25">
      <c r="A1020" s="62" t="s">
        <v>569</v>
      </c>
      <c r="B1020" s="62" t="s">
        <v>569</v>
      </c>
      <c r="C1020" s="63"/>
      <c r="D1020" s="64"/>
      <c r="E1020" s="65"/>
      <c r="F1020" s="66"/>
      <c r="G1020" s="63"/>
      <c r="H1020" s="67"/>
      <c r="I1020" s="68"/>
      <c r="J1020" s="68"/>
      <c r="K1020" s="32"/>
      <c r="L1020" s="75">
        <v>1020</v>
      </c>
      <c r="M1020" s="75"/>
      <c r="N1020" s="70"/>
      <c r="O1020" s="77" t="s">
        <v>179</v>
      </c>
      <c r="P1020" s="79">
        <v>45159.885462962964</v>
      </c>
      <c r="Q1020" s="77" t="s">
        <v>1837</v>
      </c>
      <c r="R1020" s="77">
        <v>0</v>
      </c>
      <c r="S1020" s="77">
        <v>0</v>
      </c>
      <c r="T1020" s="77">
        <v>1</v>
      </c>
      <c r="U1020" s="77">
        <v>0</v>
      </c>
      <c r="V1020" s="77">
        <v>33</v>
      </c>
      <c r="W1020" s="82" t="s">
        <v>4995</v>
      </c>
      <c r="X1020" s="77"/>
      <c r="Y1020" s="77"/>
      <c r="Z1020" s="77"/>
      <c r="AA1020" s="77" t="s">
        <v>7207</v>
      </c>
      <c r="AB1020" s="77" t="s">
        <v>7742</v>
      </c>
      <c r="AC1020" s="82" t="s">
        <v>7773</v>
      </c>
      <c r="AD1020" s="77" t="s">
        <v>7789</v>
      </c>
      <c r="AE1020" s="80" t="str">
        <f>HYPERLINK("https://twitter.com/verodatoapp/status/1693733481140937032")</f>
        <v>https://twitter.com/verodatoapp/status/1693733481140937032</v>
      </c>
      <c r="AF1020" s="79">
        <v>45159.885462962964</v>
      </c>
      <c r="AG1020" s="85">
        <v>45159</v>
      </c>
      <c r="AH1020" s="82" t="s">
        <v>8084</v>
      </c>
      <c r="AI1020" s="77" t="b">
        <v>0</v>
      </c>
      <c r="AJ1020" s="77"/>
      <c r="AK1020" s="77"/>
      <c r="AL1020" s="77"/>
      <c r="AM1020" s="77"/>
      <c r="AN1020" s="77"/>
      <c r="AO1020" s="77"/>
      <c r="AP1020" s="77"/>
      <c r="AQ1020" s="77" t="s">
        <v>11179</v>
      </c>
      <c r="AR1020" s="77"/>
      <c r="AS1020" s="77"/>
      <c r="AT1020" s="77"/>
      <c r="AU1020" s="77"/>
      <c r="AV1020" s="80" t="str">
        <f>HYPERLINK("https://pbs.twimg.com/media/F4FZoDiW4AE9L3W.png")</f>
        <v>https://pbs.twimg.com/media/F4FZoDiW4AE9L3W.png</v>
      </c>
      <c r="AW1020" s="82" t="s">
        <v>12698</v>
      </c>
      <c r="AX1020" s="82" t="s">
        <v>12698</v>
      </c>
      <c r="AY1020" s="77"/>
      <c r="AZ1020" s="82" t="s">
        <v>15984</v>
      </c>
      <c r="BA1020" s="82" t="s">
        <v>15984</v>
      </c>
      <c r="BB1020" s="82" t="s">
        <v>15984</v>
      </c>
      <c r="BC1020" s="82" t="s">
        <v>12698</v>
      </c>
      <c r="BD1020" s="77">
        <v>3225287033</v>
      </c>
      <c r="BE1020" s="77"/>
      <c r="BF1020" s="77"/>
      <c r="BG1020" s="77"/>
      <c r="BH1020" s="77"/>
      <c r="BI1020" s="77"/>
    </row>
    <row r="1021" spans="1:61" x14ac:dyDescent="0.25">
      <c r="A1021" s="62" t="s">
        <v>569</v>
      </c>
      <c r="B1021" s="62" t="s">
        <v>569</v>
      </c>
      <c r="C1021" s="63"/>
      <c r="D1021" s="64"/>
      <c r="E1021" s="65"/>
      <c r="F1021" s="66"/>
      <c r="G1021" s="63"/>
      <c r="H1021" s="67"/>
      <c r="I1021" s="68"/>
      <c r="J1021" s="68"/>
      <c r="K1021" s="32"/>
      <c r="L1021" s="75">
        <v>1021</v>
      </c>
      <c r="M1021" s="75"/>
      <c r="N1021" s="70"/>
      <c r="O1021" s="77" t="s">
        <v>179</v>
      </c>
      <c r="P1021" s="79">
        <v>45187.500185185185</v>
      </c>
      <c r="Q1021" s="77" t="s">
        <v>1838</v>
      </c>
      <c r="R1021" s="77">
        <v>0</v>
      </c>
      <c r="S1021" s="77">
        <v>0</v>
      </c>
      <c r="T1021" s="77">
        <v>1</v>
      </c>
      <c r="U1021" s="77">
        <v>0</v>
      </c>
      <c r="V1021" s="77">
        <v>257</v>
      </c>
      <c r="W1021" s="82" t="s">
        <v>4839</v>
      </c>
      <c r="X1021" s="77"/>
      <c r="Y1021" s="77"/>
      <c r="Z1021" s="77"/>
      <c r="AA1021" s="77" t="s">
        <v>7208</v>
      </c>
      <c r="AB1021" s="77" t="s">
        <v>7742</v>
      </c>
      <c r="AC1021" s="82" t="s">
        <v>7773</v>
      </c>
      <c r="AD1021" s="77" t="s">
        <v>7789</v>
      </c>
      <c r="AE1021" s="80" t="str">
        <f>HYPERLINK("https://twitter.com/verodatoapp/status/1703740722879357418")</f>
        <v>https://twitter.com/verodatoapp/status/1703740722879357418</v>
      </c>
      <c r="AF1021" s="79">
        <v>45187.500185185185</v>
      </c>
      <c r="AG1021" s="85">
        <v>45187</v>
      </c>
      <c r="AH1021" s="82" t="s">
        <v>8683</v>
      </c>
      <c r="AI1021" s="77" t="b">
        <v>0</v>
      </c>
      <c r="AJ1021" s="77"/>
      <c r="AK1021" s="77"/>
      <c r="AL1021" s="77"/>
      <c r="AM1021" s="77"/>
      <c r="AN1021" s="77"/>
      <c r="AO1021" s="77"/>
      <c r="AP1021" s="77"/>
      <c r="AQ1021" s="77" t="s">
        <v>11180</v>
      </c>
      <c r="AR1021" s="77"/>
      <c r="AS1021" s="77"/>
      <c r="AT1021" s="77"/>
      <c r="AU1021" s="77"/>
      <c r="AV1021" s="80" t="str">
        <f>HYPERLINK("https://pbs.twimg.com/media/F6TnKLdWYAAa0XV.jpg")</f>
        <v>https://pbs.twimg.com/media/F6TnKLdWYAAa0XV.jpg</v>
      </c>
      <c r="AW1021" s="82" t="s">
        <v>12699</v>
      </c>
      <c r="AX1021" s="82" t="s">
        <v>12699</v>
      </c>
      <c r="AY1021" s="77"/>
      <c r="AZ1021" s="82" t="s">
        <v>15984</v>
      </c>
      <c r="BA1021" s="82" t="s">
        <v>15984</v>
      </c>
      <c r="BB1021" s="82" t="s">
        <v>15984</v>
      </c>
      <c r="BC1021" s="82" t="s">
        <v>12699</v>
      </c>
      <c r="BD1021" s="77">
        <v>3225287033</v>
      </c>
      <c r="BE1021" s="77"/>
      <c r="BF1021" s="77"/>
      <c r="BG1021" s="77"/>
      <c r="BH1021" s="77"/>
      <c r="BI1021" s="77"/>
    </row>
    <row r="1022" spans="1:61" x14ac:dyDescent="0.25">
      <c r="A1022" s="62" t="s">
        <v>569</v>
      </c>
      <c r="B1022" s="62" t="s">
        <v>569</v>
      </c>
      <c r="C1022" s="63"/>
      <c r="D1022" s="64"/>
      <c r="E1022" s="65"/>
      <c r="F1022" s="66"/>
      <c r="G1022" s="63"/>
      <c r="H1022" s="67"/>
      <c r="I1022" s="68"/>
      <c r="J1022" s="68"/>
      <c r="K1022" s="32"/>
      <c r="L1022" s="75">
        <v>1022</v>
      </c>
      <c r="M1022" s="75"/>
      <c r="N1022" s="70"/>
      <c r="O1022" s="77" t="s">
        <v>179</v>
      </c>
      <c r="P1022" s="79">
        <v>45159.500208333331</v>
      </c>
      <c r="Q1022" s="77" t="s">
        <v>1839</v>
      </c>
      <c r="R1022" s="77">
        <v>0</v>
      </c>
      <c r="S1022" s="77">
        <v>0</v>
      </c>
      <c r="T1022" s="77">
        <v>1</v>
      </c>
      <c r="U1022" s="77">
        <v>0</v>
      </c>
      <c r="V1022" s="77">
        <v>30</v>
      </c>
      <c r="W1022" s="82" t="s">
        <v>4839</v>
      </c>
      <c r="X1022" s="77"/>
      <c r="Y1022" s="77"/>
      <c r="Z1022" s="77"/>
      <c r="AA1022" s="77" t="s">
        <v>7209</v>
      </c>
      <c r="AB1022" s="77" t="s">
        <v>7742</v>
      </c>
      <c r="AC1022" s="82" t="s">
        <v>7773</v>
      </c>
      <c r="AD1022" s="77" t="s">
        <v>7789</v>
      </c>
      <c r="AE1022" s="80" t="str">
        <f>HYPERLINK("https://twitter.com/verodatoapp/status/1693593868460052493")</f>
        <v>https://twitter.com/verodatoapp/status/1693593868460052493</v>
      </c>
      <c r="AF1022" s="79">
        <v>45159.500208333331</v>
      </c>
      <c r="AG1022" s="85">
        <v>45159</v>
      </c>
      <c r="AH1022" s="82" t="s">
        <v>8684</v>
      </c>
      <c r="AI1022" s="77" t="b">
        <v>0</v>
      </c>
      <c r="AJ1022" s="77"/>
      <c r="AK1022" s="77"/>
      <c r="AL1022" s="77"/>
      <c r="AM1022" s="77"/>
      <c r="AN1022" s="77"/>
      <c r="AO1022" s="77"/>
      <c r="AP1022" s="77"/>
      <c r="AQ1022" s="77" t="s">
        <v>11181</v>
      </c>
      <c r="AR1022" s="77"/>
      <c r="AS1022" s="77"/>
      <c r="AT1022" s="77"/>
      <c r="AU1022" s="77"/>
      <c r="AV1022" s="80" t="str">
        <f>HYPERLINK("https://pbs.twimg.com/media/F4DaphGWwAA6D4g.jpg")</f>
        <v>https://pbs.twimg.com/media/F4DaphGWwAA6D4g.jpg</v>
      </c>
      <c r="AW1022" s="82" t="s">
        <v>12700</v>
      </c>
      <c r="AX1022" s="82" t="s">
        <v>12700</v>
      </c>
      <c r="AY1022" s="77"/>
      <c r="AZ1022" s="82" t="s">
        <v>15984</v>
      </c>
      <c r="BA1022" s="82" t="s">
        <v>15984</v>
      </c>
      <c r="BB1022" s="82" t="s">
        <v>15984</v>
      </c>
      <c r="BC1022" s="82" t="s">
        <v>12700</v>
      </c>
      <c r="BD1022" s="77">
        <v>3225287033</v>
      </c>
      <c r="BE1022" s="77"/>
      <c r="BF1022" s="77"/>
      <c r="BG1022" s="77"/>
      <c r="BH1022" s="77"/>
      <c r="BI1022" s="77"/>
    </row>
    <row r="1023" spans="1:61" x14ac:dyDescent="0.25">
      <c r="A1023" s="62" t="s">
        <v>569</v>
      </c>
      <c r="B1023" s="62" t="s">
        <v>569</v>
      </c>
      <c r="C1023" s="63"/>
      <c r="D1023" s="64"/>
      <c r="E1023" s="65"/>
      <c r="F1023" s="66"/>
      <c r="G1023" s="63"/>
      <c r="H1023" s="67"/>
      <c r="I1023" s="68"/>
      <c r="J1023" s="68"/>
      <c r="K1023" s="32"/>
      <c r="L1023" s="75">
        <v>1023</v>
      </c>
      <c r="M1023" s="75"/>
      <c r="N1023" s="70"/>
      <c r="O1023" s="77" t="s">
        <v>179</v>
      </c>
      <c r="P1023" s="79">
        <v>45140.885451388887</v>
      </c>
      <c r="Q1023" s="77" t="s">
        <v>1840</v>
      </c>
      <c r="R1023" s="77">
        <v>0</v>
      </c>
      <c r="S1023" s="77">
        <v>0</v>
      </c>
      <c r="T1023" s="77">
        <v>1</v>
      </c>
      <c r="U1023" s="77">
        <v>0</v>
      </c>
      <c r="V1023" s="77">
        <v>193</v>
      </c>
      <c r="W1023" s="82" t="s">
        <v>4995</v>
      </c>
      <c r="X1023" s="77"/>
      <c r="Y1023" s="77"/>
      <c r="Z1023" s="77"/>
      <c r="AA1023" s="77" t="s">
        <v>7210</v>
      </c>
      <c r="AB1023" s="77" t="s">
        <v>7742</v>
      </c>
      <c r="AC1023" s="82" t="s">
        <v>7773</v>
      </c>
      <c r="AD1023" s="77" t="s">
        <v>7789</v>
      </c>
      <c r="AE1023" s="80" t="str">
        <f>HYPERLINK("https://twitter.com/verodatoapp/status/1686848108146094080")</f>
        <v>https://twitter.com/verodatoapp/status/1686848108146094080</v>
      </c>
      <c r="AF1023" s="79">
        <v>45140.885451388887</v>
      </c>
      <c r="AG1023" s="85">
        <v>45140</v>
      </c>
      <c r="AH1023" s="82" t="s">
        <v>8678</v>
      </c>
      <c r="AI1023" s="77" t="b">
        <v>0</v>
      </c>
      <c r="AJ1023" s="77"/>
      <c r="AK1023" s="77"/>
      <c r="AL1023" s="77"/>
      <c r="AM1023" s="77"/>
      <c r="AN1023" s="77"/>
      <c r="AO1023" s="77"/>
      <c r="AP1023" s="77"/>
      <c r="AQ1023" s="77" t="s">
        <v>11182</v>
      </c>
      <c r="AR1023" s="77"/>
      <c r="AS1023" s="77"/>
      <c r="AT1023" s="77"/>
      <c r="AU1023" s="77"/>
      <c r="AV1023" s="80" t="str">
        <f>HYPERLINK("https://pbs.twimg.com/media/F2jjamsXMAEE4SD.png")</f>
        <v>https://pbs.twimg.com/media/F2jjamsXMAEE4SD.png</v>
      </c>
      <c r="AW1023" s="82" t="s">
        <v>12701</v>
      </c>
      <c r="AX1023" s="82" t="s">
        <v>12701</v>
      </c>
      <c r="AY1023" s="77"/>
      <c r="AZ1023" s="82" t="s">
        <v>15984</v>
      </c>
      <c r="BA1023" s="82" t="s">
        <v>15984</v>
      </c>
      <c r="BB1023" s="82" t="s">
        <v>15984</v>
      </c>
      <c r="BC1023" s="82" t="s">
        <v>12701</v>
      </c>
      <c r="BD1023" s="77">
        <v>3225287033</v>
      </c>
      <c r="BE1023" s="77"/>
      <c r="BF1023" s="77"/>
      <c r="BG1023" s="77"/>
      <c r="BH1023" s="77"/>
      <c r="BI1023" s="77"/>
    </row>
    <row r="1024" spans="1:61" x14ac:dyDescent="0.25">
      <c r="A1024" s="62" t="s">
        <v>569</v>
      </c>
      <c r="B1024" s="62" t="s">
        <v>569</v>
      </c>
      <c r="C1024" s="63"/>
      <c r="D1024" s="64"/>
      <c r="E1024" s="65"/>
      <c r="F1024" s="66"/>
      <c r="G1024" s="63"/>
      <c r="H1024" s="67"/>
      <c r="I1024" s="68"/>
      <c r="J1024" s="68"/>
      <c r="K1024" s="32"/>
      <c r="L1024" s="75">
        <v>1024</v>
      </c>
      <c r="M1024" s="75"/>
      <c r="N1024" s="70"/>
      <c r="O1024" s="77" t="s">
        <v>179</v>
      </c>
      <c r="P1024" s="79">
        <v>45120.885474537034</v>
      </c>
      <c r="Q1024" s="77" t="s">
        <v>1841</v>
      </c>
      <c r="R1024" s="77">
        <v>0</v>
      </c>
      <c r="S1024" s="77">
        <v>0</v>
      </c>
      <c r="T1024" s="77">
        <v>0</v>
      </c>
      <c r="U1024" s="77">
        <v>0</v>
      </c>
      <c r="V1024" s="77">
        <v>30</v>
      </c>
      <c r="W1024" s="82" t="s">
        <v>4995</v>
      </c>
      <c r="X1024" s="77"/>
      <c r="Y1024" s="77"/>
      <c r="Z1024" s="77"/>
      <c r="AA1024" s="77" t="s">
        <v>7211</v>
      </c>
      <c r="AB1024" s="77" t="s">
        <v>7742</v>
      </c>
      <c r="AC1024" s="82" t="s">
        <v>7773</v>
      </c>
      <c r="AD1024" s="77" t="s">
        <v>7789</v>
      </c>
      <c r="AE1024" s="80" t="str">
        <f>HYPERLINK("https://twitter.com/verodatoapp/status/1679600357796708353")</f>
        <v>https://twitter.com/verodatoapp/status/1679600357796708353</v>
      </c>
      <c r="AF1024" s="79">
        <v>45120.885474537034</v>
      </c>
      <c r="AG1024" s="85">
        <v>45120</v>
      </c>
      <c r="AH1024" s="82" t="s">
        <v>8083</v>
      </c>
      <c r="AI1024" s="77" t="b">
        <v>0</v>
      </c>
      <c r="AJ1024" s="77"/>
      <c r="AK1024" s="77"/>
      <c r="AL1024" s="77"/>
      <c r="AM1024" s="77"/>
      <c r="AN1024" s="77"/>
      <c r="AO1024" s="77"/>
      <c r="AP1024" s="77"/>
      <c r="AQ1024" s="77" t="s">
        <v>11183</v>
      </c>
      <c r="AR1024" s="77"/>
      <c r="AS1024" s="77"/>
      <c r="AT1024" s="77"/>
      <c r="AU1024" s="77"/>
      <c r="AV1024" s="80" t="str">
        <f>HYPERLINK("https://pbs.twimg.com/media/F08jn_uXwAI17j5.png")</f>
        <v>https://pbs.twimg.com/media/F08jn_uXwAI17j5.png</v>
      </c>
      <c r="AW1024" s="82" t="s">
        <v>12702</v>
      </c>
      <c r="AX1024" s="82" t="s">
        <v>12702</v>
      </c>
      <c r="AY1024" s="77"/>
      <c r="AZ1024" s="82" t="s">
        <v>15984</v>
      </c>
      <c r="BA1024" s="82" t="s">
        <v>15984</v>
      </c>
      <c r="BB1024" s="82" t="s">
        <v>15984</v>
      </c>
      <c r="BC1024" s="82" t="s">
        <v>12702</v>
      </c>
      <c r="BD1024" s="77">
        <v>3225287033</v>
      </c>
      <c r="BE1024" s="77"/>
      <c r="BF1024" s="77"/>
      <c r="BG1024" s="77"/>
      <c r="BH1024" s="77"/>
      <c r="BI1024" s="77"/>
    </row>
    <row r="1025" spans="1:61" x14ac:dyDescent="0.25">
      <c r="A1025" s="62" t="s">
        <v>569</v>
      </c>
      <c r="B1025" s="62" t="s">
        <v>569</v>
      </c>
      <c r="C1025" s="63"/>
      <c r="D1025" s="64"/>
      <c r="E1025" s="65"/>
      <c r="F1025" s="66"/>
      <c r="G1025" s="63"/>
      <c r="H1025" s="67"/>
      <c r="I1025" s="68"/>
      <c r="J1025" s="68"/>
      <c r="K1025" s="32"/>
      <c r="L1025" s="75">
        <v>1025</v>
      </c>
      <c r="M1025" s="75"/>
      <c r="N1025" s="70"/>
      <c r="O1025" s="77" t="s">
        <v>179</v>
      </c>
      <c r="P1025" s="79">
        <v>45194.500219907408</v>
      </c>
      <c r="Q1025" s="77" t="s">
        <v>1842</v>
      </c>
      <c r="R1025" s="77">
        <v>0</v>
      </c>
      <c r="S1025" s="77">
        <v>0</v>
      </c>
      <c r="T1025" s="77">
        <v>1</v>
      </c>
      <c r="U1025" s="77">
        <v>0</v>
      </c>
      <c r="V1025" s="77">
        <v>14</v>
      </c>
      <c r="W1025" s="82" t="s">
        <v>4839</v>
      </c>
      <c r="X1025" s="77"/>
      <c r="Y1025" s="77"/>
      <c r="Z1025" s="77"/>
      <c r="AA1025" s="77" t="s">
        <v>7212</v>
      </c>
      <c r="AB1025" s="77" t="s">
        <v>7742</v>
      </c>
      <c r="AC1025" s="82" t="s">
        <v>7773</v>
      </c>
      <c r="AD1025" s="77" t="s">
        <v>7789</v>
      </c>
      <c r="AE1025" s="80" t="str">
        <f>HYPERLINK("https://twitter.com/verodatoapp/status/1706277446973088069")</f>
        <v>https://twitter.com/verodatoapp/status/1706277446973088069</v>
      </c>
      <c r="AF1025" s="79">
        <v>45194.500219907408</v>
      </c>
      <c r="AG1025" s="85">
        <v>45194</v>
      </c>
      <c r="AH1025" s="82" t="s">
        <v>8685</v>
      </c>
      <c r="AI1025" s="77" t="b">
        <v>0</v>
      </c>
      <c r="AJ1025" s="77"/>
      <c r="AK1025" s="77"/>
      <c r="AL1025" s="77"/>
      <c r="AM1025" s="77"/>
      <c r="AN1025" s="77"/>
      <c r="AO1025" s="77"/>
      <c r="AP1025" s="77"/>
      <c r="AQ1025" s="77" t="s">
        <v>11184</v>
      </c>
      <c r="AR1025" s="77"/>
      <c r="AS1025" s="77"/>
      <c r="AT1025" s="77"/>
      <c r="AU1025" s="77"/>
      <c r="AV1025" s="80" t="str">
        <f>HYPERLINK("https://pbs.twimg.com/media/F63qS7QWUAAkHzq.jpg")</f>
        <v>https://pbs.twimg.com/media/F63qS7QWUAAkHzq.jpg</v>
      </c>
      <c r="AW1025" s="82" t="s">
        <v>12703</v>
      </c>
      <c r="AX1025" s="82" t="s">
        <v>12703</v>
      </c>
      <c r="AY1025" s="77"/>
      <c r="AZ1025" s="82" t="s">
        <v>15984</v>
      </c>
      <c r="BA1025" s="82" t="s">
        <v>15984</v>
      </c>
      <c r="BB1025" s="82" t="s">
        <v>15984</v>
      </c>
      <c r="BC1025" s="82" t="s">
        <v>12703</v>
      </c>
      <c r="BD1025" s="77">
        <v>3225287033</v>
      </c>
      <c r="BE1025" s="77"/>
      <c r="BF1025" s="77"/>
      <c r="BG1025" s="77"/>
      <c r="BH1025" s="77"/>
      <c r="BI1025" s="77"/>
    </row>
    <row r="1026" spans="1:61" x14ac:dyDescent="0.25">
      <c r="A1026" s="62" t="s">
        <v>569</v>
      </c>
      <c r="B1026" s="62" t="s">
        <v>569</v>
      </c>
      <c r="C1026" s="63"/>
      <c r="D1026" s="64"/>
      <c r="E1026" s="65"/>
      <c r="F1026" s="66"/>
      <c r="G1026" s="63"/>
      <c r="H1026" s="67"/>
      <c r="I1026" s="68"/>
      <c r="J1026" s="68"/>
      <c r="K1026" s="32"/>
      <c r="L1026" s="75">
        <v>1026</v>
      </c>
      <c r="M1026" s="75"/>
      <c r="N1026" s="70"/>
      <c r="O1026" s="77" t="s">
        <v>179</v>
      </c>
      <c r="P1026" s="79">
        <v>45173.500185185185</v>
      </c>
      <c r="Q1026" s="77" t="s">
        <v>1843</v>
      </c>
      <c r="R1026" s="77">
        <v>0</v>
      </c>
      <c r="S1026" s="77">
        <v>0</v>
      </c>
      <c r="T1026" s="77">
        <v>1</v>
      </c>
      <c r="U1026" s="77">
        <v>0</v>
      </c>
      <c r="V1026" s="77">
        <v>13</v>
      </c>
      <c r="W1026" s="82" t="s">
        <v>4839</v>
      </c>
      <c r="X1026" s="77"/>
      <c r="Y1026" s="77"/>
      <c r="Z1026" s="77"/>
      <c r="AA1026" s="77" t="s">
        <v>7213</v>
      </c>
      <c r="AB1026" s="77" t="s">
        <v>7742</v>
      </c>
      <c r="AC1026" s="82" t="s">
        <v>7773</v>
      </c>
      <c r="AD1026" s="77" t="s">
        <v>7789</v>
      </c>
      <c r="AE1026" s="80" t="str">
        <f>HYPERLINK("https://twitter.com/verodatoapp/status/1698667292458922196")</f>
        <v>https://twitter.com/verodatoapp/status/1698667292458922196</v>
      </c>
      <c r="AF1026" s="79">
        <v>45173.500185185185</v>
      </c>
      <c r="AG1026" s="85">
        <v>45173</v>
      </c>
      <c r="AH1026" s="82" t="s">
        <v>8683</v>
      </c>
      <c r="AI1026" s="77" t="b">
        <v>0</v>
      </c>
      <c r="AJ1026" s="77"/>
      <c r="AK1026" s="77"/>
      <c r="AL1026" s="77"/>
      <c r="AM1026" s="77"/>
      <c r="AN1026" s="77"/>
      <c r="AO1026" s="77"/>
      <c r="AP1026" s="77"/>
      <c r="AQ1026" s="77" t="s">
        <v>11185</v>
      </c>
      <c r="AR1026" s="77"/>
      <c r="AS1026" s="77"/>
      <c r="AT1026" s="77"/>
      <c r="AU1026" s="77"/>
      <c r="AV1026" s="80" t="str">
        <f>HYPERLINK("https://pbs.twimg.com/media/F5Lg5onWAAAhjY1.jpg")</f>
        <v>https://pbs.twimg.com/media/F5Lg5onWAAAhjY1.jpg</v>
      </c>
      <c r="AW1026" s="82" t="s">
        <v>12704</v>
      </c>
      <c r="AX1026" s="82" t="s">
        <v>12704</v>
      </c>
      <c r="AY1026" s="77"/>
      <c r="AZ1026" s="82" t="s">
        <v>15984</v>
      </c>
      <c r="BA1026" s="82" t="s">
        <v>15984</v>
      </c>
      <c r="BB1026" s="82" t="s">
        <v>15984</v>
      </c>
      <c r="BC1026" s="82" t="s">
        <v>12704</v>
      </c>
      <c r="BD1026" s="77">
        <v>3225287033</v>
      </c>
      <c r="BE1026" s="77"/>
      <c r="BF1026" s="77"/>
      <c r="BG1026" s="77"/>
      <c r="BH1026" s="77"/>
      <c r="BI1026" s="77"/>
    </row>
    <row r="1027" spans="1:61" x14ac:dyDescent="0.25">
      <c r="A1027" s="62" t="s">
        <v>569</v>
      </c>
      <c r="B1027" s="62" t="s">
        <v>569</v>
      </c>
      <c r="C1027" s="63"/>
      <c r="D1027" s="64"/>
      <c r="E1027" s="65"/>
      <c r="F1027" s="66"/>
      <c r="G1027" s="63"/>
      <c r="H1027" s="67"/>
      <c r="I1027" s="68"/>
      <c r="J1027" s="68"/>
      <c r="K1027" s="32"/>
      <c r="L1027" s="75">
        <v>1027</v>
      </c>
      <c r="M1027" s="75"/>
      <c r="N1027" s="70"/>
      <c r="O1027" s="77" t="s">
        <v>179</v>
      </c>
      <c r="P1027" s="79">
        <v>45141.885462962964</v>
      </c>
      <c r="Q1027" s="77" t="s">
        <v>1844</v>
      </c>
      <c r="R1027" s="77">
        <v>0</v>
      </c>
      <c r="S1027" s="77">
        <v>1</v>
      </c>
      <c r="T1027" s="77">
        <v>1</v>
      </c>
      <c r="U1027" s="77">
        <v>0</v>
      </c>
      <c r="V1027" s="77">
        <v>390</v>
      </c>
      <c r="W1027" s="82" t="s">
        <v>4995</v>
      </c>
      <c r="X1027" s="77"/>
      <c r="Y1027" s="77"/>
      <c r="Z1027" s="77"/>
      <c r="AA1027" s="77" t="s">
        <v>7214</v>
      </c>
      <c r="AB1027" s="77" t="s">
        <v>7742</v>
      </c>
      <c r="AC1027" s="82" t="s">
        <v>7773</v>
      </c>
      <c r="AD1027" s="77" t="s">
        <v>7789</v>
      </c>
      <c r="AE1027" s="80" t="str">
        <f>HYPERLINK("https://twitter.com/verodatoapp/status/1687210499757191174")</f>
        <v>https://twitter.com/verodatoapp/status/1687210499757191174</v>
      </c>
      <c r="AF1027" s="79">
        <v>45141.885462962964</v>
      </c>
      <c r="AG1027" s="85">
        <v>45141</v>
      </c>
      <c r="AH1027" s="82" t="s">
        <v>8084</v>
      </c>
      <c r="AI1027" s="77" t="b">
        <v>0</v>
      </c>
      <c r="AJ1027" s="77"/>
      <c r="AK1027" s="77"/>
      <c r="AL1027" s="77"/>
      <c r="AM1027" s="77"/>
      <c r="AN1027" s="77"/>
      <c r="AO1027" s="77"/>
      <c r="AP1027" s="77"/>
      <c r="AQ1027" s="77" t="s">
        <v>11186</v>
      </c>
      <c r="AR1027" s="77"/>
      <c r="AS1027" s="77"/>
      <c r="AT1027" s="77"/>
      <c r="AU1027" s="77"/>
      <c r="AV1027" s="80" t="str">
        <f>HYPERLINK("https://pbs.twimg.com/media/F2otAkiXYAAW5kl.png")</f>
        <v>https://pbs.twimg.com/media/F2otAkiXYAAW5kl.png</v>
      </c>
      <c r="AW1027" s="82" t="s">
        <v>12705</v>
      </c>
      <c r="AX1027" s="82" t="s">
        <v>12705</v>
      </c>
      <c r="AY1027" s="77"/>
      <c r="AZ1027" s="82" t="s">
        <v>15984</v>
      </c>
      <c r="BA1027" s="82" t="s">
        <v>15984</v>
      </c>
      <c r="BB1027" s="82" t="s">
        <v>15984</v>
      </c>
      <c r="BC1027" s="82" t="s">
        <v>12705</v>
      </c>
      <c r="BD1027" s="77">
        <v>3225287033</v>
      </c>
      <c r="BE1027" s="77"/>
      <c r="BF1027" s="77"/>
      <c r="BG1027" s="77"/>
      <c r="BH1027" s="77"/>
      <c r="BI1027" s="77"/>
    </row>
    <row r="1028" spans="1:61" x14ac:dyDescent="0.25">
      <c r="A1028" s="62" t="s">
        <v>569</v>
      </c>
      <c r="B1028" s="62" t="s">
        <v>569</v>
      </c>
      <c r="C1028" s="63"/>
      <c r="D1028" s="64"/>
      <c r="E1028" s="65"/>
      <c r="F1028" s="66"/>
      <c r="G1028" s="63"/>
      <c r="H1028" s="67"/>
      <c r="I1028" s="68"/>
      <c r="J1028" s="68"/>
      <c r="K1028" s="32"/>
      <c r="L1028" s="75">
        <v>1028</v>
      </c>
      <c r="M1028" s="75"/>
      <c r="N1028" s="70"/>
      <c r="O1028" s="77" t="s">
        <v>179</v>
      </c>
      <c r="P1028" s="79">
        <v>45124.542071759257</v>
      </c>
      <c r="Q1028" s="77" t="s">
        <v>1845</v>
      </c>
      <c r="R1028" s="77">
        <v>0</v>
      </c>
      <c r="S1028" s="77">
        <v>0</v>
      </c>
      <c r="T1028" s="77">
        <v>1</v>
      </c>
      <c r="U1028" s="77">
        <v>0</v>
      </c>
      <c r="V1028" s="77">
        <v>64</v>
      </c>
      <c r="W1028" s="82" t="s">
        <v>4839</v>
      </c>
      <c r="X1028" s="77"/>
      <c r="Y1028" s="77"/>
      <c r="Z1028" s="77"/>
      <c r="AA1028" s="77" t="s">
        <v>7215</v>
      </c>
      <c r="AB1028" s="77" t="s">
        <v>7742</v>
      </c>
      <c r="AC1028" s="82" t="s">
        <v>7773</v>
      </c>
      <c r="AD1028" s="77" t="s">
        <v>7789</v>
      </c>
      <c r="AE1028" s="80" t="str">
        <f>HYPERLINK("https://twitter.com/verodatoapp/status/1680925464817283073")</f>
        <v>https://twitter.com/verodatoapp/status/1680925464817283073</v>
      </c>
      <c r="AF1028" s="79">
        <v>45124.542071759257</v>
      </c>
      <c r="AG1028" s="85">
        <v>45124</v>
      </c>
      <c r="AH1028" s="82" t="s">
        <v>8686</v>
      </c>
      <c r="AI1028" s="77" t="b">
        <v>0</v>
      </c>
      <c r="AJ1028" s="77"/>
      <c r="AK1028" s="77"/>
      <c r="AL1028" s="77"/>
      <c r="AM1028" s="77"/>
      <c r="AN1028" s="77"/>
      <c r="AO1028" s="77"/>
      <c r="AP1028" s="77"/>
      <c r="AQ1028" s="77" t="s">
        <v>11187</v>
      </c>
      <c r="AR1028" s="77"/>
      <c r="AS1028" s="77"/>
      <c r="AT1028" s="77"/>
      <c r="AU1028" s="77"/>
      <c r="AV1028" s="80" t="str">
        <f>HYPERLINK("https://pbs.twimg.com/media/F1PYzRxWAAE7iN2.jpg")</f>
        <v>https://pbs.twimg.com/media/F1PYzRxWAAE7iN2.jpg</v>
      </c>
      <c r="AW1028" s="82" t="s">
        <v>12706</v>
      </c>
      <c r="AX1028" s="82" t="s">
        <v>12706</v>
      </c>
      <c r="AY1028" s="77"/>
      <c r="AZ1028" s="82" t="s">
        <v>15984</v>
      </c>
      <c r="BA1028" s="82" t="s">
        <v>15984</v>
      </c>
      <c r="BB1028" s="82" t="s">
        <v>15984</v>
      </c>
      <c r="BC1028" s="82" t="s">
        <v>12706</v>
      </c>
      <c r="BD1028" s="77">
        <v>3225287033</v>
      </c>
      <c r="BE1028" s="77"/>
      <c r="BF1028" s="77"/>
      <c r="BG1028" s="77"/>
      <c r="BH1028" s="77"/>
      <c r="BI1028" s="77"/>
    </row>
    <row r="1029" spans="1:61" x14ac:dyDescent="0.25">
      <c r="A1029" s="62" t="s">
        <v>570</v>
      </c>
      <c r="B1029" s="62" t="s">
        <v>570</v>
      </c>
      <c r="C1029" s="63"/>
      <c r="D1029" s="64"/>
      <c r="E1029" s="65"/>
      <c r="F1029" s="66"/>
      <c r="G1029" s="63"/>
      <c r="H1029" s="67"/>
      <c r="I1029" s="68"/>
      <c r="J1029" s="68"/>
      <c r="K1029" s="32"/>
      <c r="L1029" s="75">
        <v>1029</v>
      </c>
      <c r="M1029" s="75"/>
      <c r="N1029" s="70"/>
      <c r="O1029" s="77" t="s">
        <v>179</v>
      </c>
      <c r="P1029" s="79">
        <v>45124.480682870373</v>
      </c>
      <c r="Q1029" s="77" t="s">
        <v>1846</v>
      </c>
      <c r="R1029" s="77">
        <v>0</v>
      </c>
      <c r="S1029" s="77">
        <v>0</v>
      </c>
      <c r="T1029" s="77">
        <v>0</v>
      </c>
      <c r="U1029" s="77">
        <v>0</v>
      </c>
      <c r="V1029" s="77">
        <v>11</v>
      </c>
      <c r="W1029" s="82" t="s">
        <v>5327</v>
      </c>
      <c r="X1029" s="80" t="str">
        <f>HYPERLINK("https://www.instagram.com/reel/Cuy_fJaraOH/?igshid=MjA3NmNkZWY5Yg==")</f>
        <v>https://www.instagram.com/reel/Cuy_fJaraOH/?igshid=MjA3NmNkZWY5Yg==</v>
      </c>
      <c r="Y1029" s="77" t="s">
        <v>6469</v>
      </c>
      <c r="Z1029" s="77"/>
      <c r="AA1029" s="77"/>
      <c r="AB1029" s="77"/>
      <c r="AC1029" s="82" t="s">
        <v>7752</v>
      </c>
      <c r="AD1029" s="77" t="s">
        <v>7788</v>
      </c>
      <c r="AE1029" s="80" t="str">
        <f>HYPERLINK("https://twitter.com/wit_invest/status/1680903219487158272")</f>
        <v>https://twitter.com/wit_invest/status/1680903219487158272</v>
      </c>
      <c r="AF1029" s="79">
        <v>45124.480682870373</v>
      </c>
      <c r="AG1029" s="85">
        <v>45124</v>
      </c>
      <c r="AH1029" s="82" t="s">
        <v>8687</v>
      </c>
      <c r="AI1029" s="77" t="b">
        <v>0</v>
      </c>
      <c r="AJ1029" s="77"/>
      <c r="AK1029" s="77"/>
      <c r="AL1029" s="77"/>
      <c r="AM1029" s="77"/>
      <c r="AN1029" s="77"/>
      <c r="AO1029" s="77"/>
      <c r="AP1029" s="77"/>
      <c r="AQ1029" s="77"/>
      <c r="AR1029" s="77"/>
      <c r="AS1029" s="77"/>
      <c r="AT1029" s="77"/>
      <c r="AU1029" s="77"/>
      <c r="AV1029" s="80" t="str">
        <f>HYPERLINK("https://pbs.twimg.com/profile_images/1499082215203868675/HTKhXXIs_normal.png")</f>
        <v>https://pbs.twimg.com/profile_images/1499082215203868675/HTKhXXIs_normal.png</v>
      </c>
      <c r="AW1029" s="82" t="s">
        <v>12707</v>
      </c>
      <c r="AX1029" s="82" t="s">
        <v>12707</v>
      </c>
      <c r="AY1029" s="77"/>
      <c r="AZ1029" s="82" t="s">
        <v>15984</v>
      </c>
      <c r="BA1029" s="82" t="s">
        <v>15984</v>
      </c>
      <c r="BB1029" s="82" t="s">
        <v>15984</v>
      </c>
      <c r="BC1029" s="82" t="s">
        <v>12707</v>
      </c>
      <c r="BD1029" s="82" t="s">
        <v>16303</v>
      </c>
      <c r="BE1029" s="77"/>
      <c r="BF1029" s="77"/>
      <c r="BG1029" s="77"/>
      <c r="BH1029" s="77"/>
      <c r="BI1029" s="77"/>
    </row>
    <row r="1030" spans="1:61" x14ac:dyDescent="0.25">
      <c r="A1030" s="62" t="s">
        <v>570</v>
      </c>
      <c r="B1030" s="62" t="s">
        <v>570</v>
      </c>
      <c r="C1030" s="63"/>
      <c r="D1030" s="64"/>
      <c r="E1030" s="65"/>
      <c r="F1030" s="66"/>
      <c r="G1030" s="63"/>
      <c r="H1030" s="67"/>
      <c r="I1030" s="68"/>
      <c r="J1030" s="68"/>
      <c r="K1030" s="32"/>
      <c r="L1030" s="75">
        <v>1030</v>
      </c>
      <c r="M1030" s="75"/>
      <c r="N1030" s="70"/>
      <c r="O1030" s="77" t="s">
        <v>179</v>
      </c>
      <c r="P1030" s="79">
        <v>45133.479525462964</v>
      </c>
      <c r="Q1030" s="77" t="s">
        <v>1847</v>
      </c>
      <c r="R1030" s="77">
        <v>0</v>
      </c>
      <c r="S1030" s="77">
        <v>0</v>
      </c>
      <c r="T1030" s="77">
        <v>0</v>
      </c>
      <c r="U1030" s="77">
        <v>0</v>
      </c>
      <c r="V1030" s="77">
        <v>19</v>
      </c>
      <c r="W1030" s="82" t="s">
        <v>5328</v>
      </c>
      <c r="X1030" s="80" t="str">
        <f>HYPERLINK("https://www.instagram.com/reel/CvKKtCoP84q/?igshid=MTc4MmM1YmI2Ng==")</f>
        <v>https://www.instagram.com/reel/CvKKtCoP84q/?igshid=MTc4MmM1YmI2Ng==</v>
      </c>
      <c r="Y1030" s="77" t="s">
        <v>6469</v>
      </c>
      <c r="Z1030" s="77"/>
      <c r="AA1030" s="77"/>
      <c r="AB1030" s="77"/>
      <c r="AC1030" s="82" t="s">
        <v>7752</v>
      </c>
      <c r="AD1030" s="77" t="s">
        <v>7788</v>
      </c>
      <c r="AE1030" s="80" t="str">
        <f>HYPERLINK("https://twitter.com/wit_invest/status/1684164289467121665")</f>
        <v>https://twitter.com/wit_invest/status/1684164289467121665</v>
      </c>
      <c r="AF1030" s="79">
        <v>45133.479525462964</v>
      </c>
      <c r="AG1030" s="85">
        <v>45133</v>
      </c>
      <c r="AH1030" s="82" t="s">
        <v>8688</v>
      </c>
      <c r="AI1030" s="77" t="b">
        <v>0</v>
      </c>
      <c r="AJ1030" s="77"/>
      <c r="AK1030" s="77"/>
      <c r="AL1030" s="77"/>
      <c r="AM1030" s="77"/>
      <c r="AN1030" s="77"/>
      <c r="AO1030" s="77"/>
      <c r="AP1030" s="77"/>
      <c r="AQ1030" s="77"/>
      <c r="AR1030" s="77"/>
      <c r="AS1030" s="77"/>
      <c r="AT1030" s="77"/>
      <c r="AU1030" s="77"/>
      <c r="AV1030" s="80" t="str">
        <f>HYPERLINK("https://pbs.twimg.com/profile_images/1499082215203868675/HTKhXXIs_normal.png")</f>
        <v>https://pbs.twimg.com/profile_images/1499082215203868675/HTKhXXIs_normal.png</v>
      </c>
      <c r="AW1030" s="82" t="s">
        <v>12708</v>
      </c>
      <c r="AX1030" s="82" t="s">
        <v>12708</v>
      </c>
      <c r="AY1030" s="77"/>
      <c r="AZ1030" s="82" t="s">
        <v>15984</v>
      </c>
      <c r="BA1030" s="82" t="s">
        <v>15984</v>
      </c>
      <c r="BB1030" s="82" t="s">
        <v>15984</v>
      </c>
      <c r="BC1030" s="82" t="s">
        <v>12708</v>
      </c>
      <c r="BD1030" s="82" t="s">
        <v>16303</v>
      </c>
      <c r="BE1030" s="77"/>
      <c r="BF1030" s="77"/>
      <c r="BG1030" s="77"/>
      <c r="BH1030" s="77"/>
      <c r="BI1030" s="77"/>
    </row>
    <row r="1031" spans="1:61" x14ac:dyDescent="0.25">
      <c r="A1031" s="62" t="s">
        <v>570</v>
      </c>
      <c r="B1031" s="62" t="s">
        <v>570</v>
      </c>
      <c r="C1031" s="63"/>
      <c r="D1031" s="64"/>
      <c r="E1031" s="65"/>
      <c r="F1031" s="66"/>
      <c r="G1031" s="63"/>
      <c r="H1031" s="67"/>
      <c r="I1031" s="68"/>
      <c r="J1031" s="68"/>
      <c r="K1031" s="32"/>
      <c r="L1031" s="75">
        <v>1031</v>
      </c>
      <c r="M1031" s="75"/>
      <c r="N1031" s="70"/>
      <c r="O1031" s="77" t="s">
        <v>179</v>
      </c>
      <c r="P1031" s="79">
        <v>45135.461493055554</v>
      </c>
      <c r="Q1031" s="77" t="s">
        <v>1848</v>
      </c>
      <c r="R1031" s="77">
        <v>0</v>
      </c>
      <c r="S1031" s="77">
        <v>0</v>
      </c>
      <c r="T1031" s="77">
        <v>0</v>
      </c>
      <c r="U1031" s="77">
        <v>0</v>
      </c>
      <c r="V1031" s="77">
        <v>48</v>
      </c>
      <c r="W1031" s="82" t="s">
        <v>5329</v>
      </c>
      <c r="X1031" s="80" t="str">
        <f>HYPERLINK("https://www.instagram.com/reel/CvPRP3YMEMI/?igshid=MTc4MmM1YmI2Ng==")</f>
        <v>https://www.instagram.com/reel/CvPRP3YMEMI/?igshid=MTc4MmM1YmI2Ng==</v>
      </c>
      <c r="Y1031" s="77" t="s">
        <v>6469</v>
      </c>
      <c r="Z1031" s="77"/>
      <c r="AA1031" s="77"/>
      <c r="AB1031" s="77"/>
      <c r="AC1031" s="82" t="s">
        <v>7752</v>
      </c>
      <c r="AD1031" s="77" t="s">
        <v>7788</v>
      </c>
      <c r="AE1031" s="80" t="str">
        <f>HYPERLINK("https://twitter.com/wit_invest/status/1684882531353542656")</f>
        <v>https://twitter.com/wit_invest/status/1684882531353542656</v>
      </c>
      <c r="AF1031" s="79">
        <v>45135.461493055554</v>
      </c>
      <c r="AG1031" s="85">
        <v>45135</v>
      </c>
      <c r="AH1031" s="82" t="s">
        <v>8689</v>
      </c>
      <c r="AI1031" s="77" t="b">
        <v>0</v>
      </c>
      <c r="AJ1031" s="77"/>
      <c r="AK1031" s="77"/>
      <c r="AL1031" s="77"/>
      <c r="AM1031" s="77"/>
      <c r="AN1031" s="77"/>
      <c r="AO1031" s="77"/>
      <c r="AP1031" s="77"/>
      <c r="AQ1031" s="77"/>
      <c r="AR1031" s="77"/>
      <c r="AS1031" s="77"/>
      <c r="AT1031" s="77"/>
      <c r="AU1031" s="77"/>
      <c r="AV1031" s="80" t="str">
        <f>HYPERLINK("https://pbs.twimg.com/profile_images/1499082215203868675/HTKhXXIs_normal.png")</f>
        <v>https://pbs.twimg.com/profile_images/1499082215203868675/HTKhXXIs_normal.png</v>
      </c>
      <c r="AW1031" s="82" t="s">
        <v>12709</v>
      </c>
      <c r="AX1031" s="82" t="s">
        <v>12709</v>
      </c>
      <c r="AY1031" s="77"/>
      <c r="AZ1031" s="82" t="s">
        <v>15984</v>
      </c>
      <c r="BA1031" s="82" t="s">
        <v>15984</v>
      </c>
      <c r="BB1031" s="82" t="s">
        <v>15984</v>
      </c>
      <c r="BC1031" s="82" t="s">
        <v>12709</v>
      </c>
      <c r="BD1031" s="82" t="s">
        <v>16303</v>
      </c>
      <c r="BE1031" s="77"/>
      <c r="BF1031" s="77"/>
      <c r="BG1031" s="77"/>
      <c r="BH1031" s="77"/>
      <c r="BI1031" s="77"/>
    </row>
    <row r="1032" spans="1:61" x14ac:dyDescent="0.25">
      <c r="A1032" s="62" t="s">
        <v>570</v>
      </c>
      <c r="B1032" s="62" t="s">
        <v>570</v>
      </c>
      <c r="C1032" s="63"/>
      <c r="D1032" s="64"/>
      <c r="E1032" s="65"/>
      <c r="F1032" s="66"/>
      <c r="G1032" s="63"/>
      <c r="H1032" s="67"/>
      <c r="I1032" s="68"/>
      <c r="J1032" s="68"/>
      <c r="K1032" s="32"/>
      <c r="L1032" s="75">
        <v>1032</v>
      </c>
      <c r="M1032" s="75"/>
      <c r="N1032" s="70"/>
      <c r="O1032" s="77" t="s">
        <v>179</v>
      </c>
      <c r="P1032" s="79">
        <v>45138.455717592595</v>
      </c>
      <c r="Q1032" s="77" t="s">
        <v>1849</v>
      </c>
      <c r="R1032" s="77">
        <v>0</v>
      </c>
      <c r="S1032" s="77">
        <v>0</v>
      </c>
      <c r="T1032" s="77">
        <v>0</v>
      </c>
      <c r="U1032" s="77">
        <v>0</v>
      </c>
      <c r="V1032" s="77">
        <v>38</v>
      </c>
      <c r="W1032" s="82" t="s">
        <v>5330</v>
      </c>
      <c r="X1032" s="80" t="str">
        <f>HYPERLINK("https://www.instagram.com/reel/CvW-2_KJ5hQ/?igshid=MTc4MmM1YmI2Ng==")</f>
        <v>https://www.instagram.com/reel/CvW-2_KJ5hQ/?igshid=MTc4MmM1YmI2Ng==</v>
      </c>
      <c r="Y1032" s="77" t="s">
        <v>6469</v>
      </c>
      <c r="Z1032" s="77"/>
      <c r="AA1032" s="77"/>
      <c r="AB1032" s="77"/>
      <c r="AC1032" s="82" t="s">
        <v>7752</v>
      </c>
      <c r="AD1032" s="77" t="s">
        <v>7788</v>
      </c>
      <c r="AE1032" s="80" t="str">
        <f>HYPERLINK("https://twitter.com/wit_invest/status/1685967600759554048")</f>
        <v>https://twitter.com/wit_invest/status/1685967600759554048</v>
      </c>
      <c r="AF1032" s="79">
        <v>45138.455717592595</v>
      </c>
      <c r="AG1032" s="85">
        <v>45138</v>
      </c>
      <c r="AH1032" s="82" t="s">
        <v>8690</v>
      </c>
      <c r="AI1032" s="77" t="b">
        <v>0</v>
      </c>
      <c r="AJ1032" s="77"/>
      <c r="AK1032" s="77"/>
      <c r="AL1032" s="77"/>
      <c r="AM1032" s="77"/>
      <c r="AN1032" s="77"/>
      <c r="AO1032" s="77"/>
      <c r="AP1032" s="77"/>
      <c r="AQ1032" s="77"/>
      <c r="AR1032" s="77"/>
      <c r="AS1032" s="77"/>
      <c r="AT1032" s="77"/>
      <c r="AU1032" s="77"/>
      <c r="AV1032" s="80" t="str">
        <f>HYPERLINK("https://pbs.twimg.com/profile_images/1499082215203868675/HTKhXXIs_normal.png")</f>
        <v>https://pbs.twimg.com/profile_images/1499082215203868675/HTKhXXIs_normal.png</v>
      </c>
      <c r="AW1032" s="82" t="s">
        <v>12710</v>
      </c>
      <c r="AX1032" s="82" t="s">
        <v>12710</v>
      </c>
      <c r="AY1032" s="77"/>
      <c r="AZ1032" s="82" t="s">
        <v>15984</v>
      </c>
      <c r="BA1032" s="82" t="s">
        <v>15984</v>
      </c>
      <c r="BB1032" s="82" t="s">
        <v>15984</v>
      </c>
      <c r="BC1032" s="82" t="s">
        <v>12710</v>
      </c>
      <c r="BD1032" s="82" t="s">
        <v>16303</v>
      </c>
      <c r="BE1032" s="77"/>
      <c r="BF1032" s="77"/>
      <c r="BG1032" s="77"/>
      <c r="BH1032" s="77"/>
      <c r="BI1032" s="77"/>
    </row>
    <row r="1033" spans="1:61" x14ac:dyDescent="0.25">
      <c r="A1033" s="62" t="s">
        <v>570</v>
      </c>
      <c r="B1033" s="62" t="s">
        <v>570</v>
      </c>
      <c r="C1033" s="63"/>
      <c r="D1033" s="64"/>
      <c r="E1033" s="65"/>
      <c r="F1033" s="66"/>
      <c r="G1033" s="63"/>
      <c r="H1033" s="67"/>
      <c r="I1033" s="68"/>
      <c r="J1033" s="68"/>
      <c r="K1033" s="32"/>
      <c r="L1033" s="75">
        <v>1033</v>
      </c>
      <c r="M1033" s="75"/>
      <c r="N1033" s="70"/>
      <c r="O1033" s="77" t="s">
        <v>179</v>
      </c>
      <c r="P1033" s="79">
        <v>45119.493460648147</v>
      </c>
      <c r="Q1033" s="77" t="s">
        <v>1850</v>
      </c>
      <c r="R1033" s="77">
        <v>0</v>
      </c>
      <c r="S1033" s="77">
        <v>0</v>
      </c>
      <c r="T1033" s="77">
        <v>0</v>
      </c>
      <c r="U1033" s="77">
        <v>0</v>
      </c>
      <c r="V1033" s="77">
        <v>16</v>
      </c>
      <c r="W1033" s="82" t="s">
        <v>5331</v>
      </c>
      <c r="X1033" s="80" t="str">
        <f>HYPERLINK("https://www.instagram.com/reel/CumKCEDR9hw/?igshid=NjZiM2M3MzIxNA==")</f>
        <v>https://www.instagram.com/reel/CumKCEDR9hw/?igshid=NjZiM2M3MzIxNA==</v>
      </c>
      <c r="Y1033" s="77" t="s">
        <v>6469</v>
      </c>
      <c r="Z1033" s="77"/>
      <c r="AA1033" s="77"/>
      <c r="AB1033" s="77"/>
      <c r="AC1033" s="82" t="s">
        <v>7752</v>
      </c>
      <c r="AD1033" s="77" t="s">
        <v>7788</v>
      </c>
      <c r="AE1033" s="80" t="str">
        <f>HYPERLINK("https://twitter.com/wit_invest/status/1679095908057661441")</f>
        <v>https://twitter.com/wit_invest/status/1679095908057661441</v>
      </c>
      <c r="AF1033" s="79">
        <v>45119.493460648147</v>
      </c>
      <c r="AG1033" s="85">
        <v>45119</v>
      </c>
      <c r="AH1033" s="82" t="s">
        <v>8691</v>
      </c>
      <c r="AI1033" s="77" t="b">
        <v>0</v>
      </c>
      <c r="AJ1033" s="77"/>
      <c r="AK1033" s="77"/>
      <c r="AL1033" s="77"/>
      <c r="AM1033" s="77"/>
      <c r="AN1033" s="77"/>
      <c r="AO1033" s="77"/>
      <c r="AP1033" s="77"/>
      <c r="AQ1033" s="77"/>
      <c r="AR1033" s="77"/>
      <c r="AS1033" s="77"/>
      <c r="AT1033" s="77"/>
      <c r="AU1033" s="77"/>
      <c r="AV1033" s="80" t="str">
        <f>HYPERLINK("https://pbs.twimg.com/profile_images/1499082215203868675/HTKhXXIs_normal.png")</f>
        <v>https://pbs.twimg.com/profile_images/1499082215203868675/HTKhXXIs_normal.png</v>
      </c>
      <c r="AW1033" s="82" t="s">
        <v>12711</v>
      </c>
      <c r="AX1033" s="82" t="s">
        <v>12711</v>
      </c>
      <c r="AY1033" s="77"/>
      <c r="AZ1033" s="82" t="s">
        <v>15984</v>
      </c>
      <c r="BA1033" s="82" t="s">
        <v>15984</v>
      </c>
      <c r="BB1033" s="82" t="s">
        <v>15984</v>
      </c>
      <c r="BC1033" s="82" t="s">
        <v>12711</v>
      </c>
      <c r="BD1033" s="82" t="s">
        <v>16303</v>
      </c>
      <c r="BE1033" s="77"/>
      <c r="BF1033" s="77"/>
      <c r="BG1033" s="77"/>
      <c r="BH1033" s="77"/>
      <c r="BI1033" s="77"/>
    </row>
    <row r="1034" spans="1:61" x14ac:dyDescent="0.25">
      <c r="A1034" s="62" t="s">
        <v>570</v>
      </c>
      <c r="B1034" s="62" t="s">
        <v>570</v>
      </c>
      <c r="C1034" s="63"/>
      <c r="D1034" s="64"/>
      <c r="E1034" s="65"/>
      <c r="F1034" s="66"/>
      <c r="G1034" s="63"/>
      <c r="H1034" s="67"/>
      <c r="I1034" s="68"/>
      <c r="J1034" s="68"/>
      <c r="K1034" s="32"/>
      <c r="L1034" s="75">
        <v>1034</v>
      </c>
      <c r="M1034" s="75"/>
      <c r="N1034" s="70"/>
      <c r="O1034" s="77" t="s">
        <v>179</v>
      </c>
      <c r="P1034" s="79">
        <v>45141.482939814814</v>
      </c>
      <c r="Q1034" s="77" t="s">
        <v>1851</v>
      </c>
      <c r="R1034" s="77">
        <v>0</v>
      </c>
      <c r="S1034" s="77">
        <v>0</v>
      </c>
      <c r="T1034" s="77">
        <v>0</v>
      </c>
      <c r="U1034" s="77">
        <v>0</v>
      </c>
      <c r="V1034" s="77">
        <v>33</v>
      </c>
      <c r="W1034" s="82" t="s">
        <v>5332</v>
      </c>
      <c r="X1034" s="80" t="str">
        <f>HYPERLINK("https://www.instagram.com/reel/CvexkZ9unRX/?igshid=MTc4MmM1YmI2Ng==")</f>
        <v>https://www.instagram.com/reel/CvexkZ9unRX/?igshid=MTc4MmM1YmI2Ng==</v>
      </c>
      <c r="Y1034" s="77" t="s">
        <v>6469</v>
      </c>
      <c r="Z1034" s="77"/>
      <c r="AA1034" s="77"/>
      <c r="AB1034" s="77"/>
      <c r="AC1034" s="82" t="s">
        <v>7752</v>
      </c>
      <c r="AD1034" s="77" t="s">
        <v>7788</v>
      </c>
      <c r="AE1034" s="80" t="str">
        <f>HYPERLINK("https://twitter.com/wit_invest/status/1687064630294716416")</f>
        <v>https://twitter.com/wit_invest/status/1687064630294716416</v>
      </c>
      <c r="AF1034" s="79">
        <v>45141.482939814814</v>
      </c>
      <c r="AG1034" s="85">
        <v>45141</v>
      </c>
      <c r="AH1034" s="82" t="s">
        <v>8692</v>
      </c>
      <c r="AI1034" s="77" t="b">
        <v>0</v>
      </c>
      <c r="AJ1034" s="77"/>
      <c r="AK1034" s="77"/>
      <c r="AL1034" s="77"/>
      <c r="AM1034" s="77"/>
      <c r="AN1034" s="77"/>
      <c r="AO1034" s="77"/>
      <c r="AP1034" s="77"/>
      <c r="AQ1034" s="77"/>
      <c r="AR1034" s="77"/>
      <c r="AS1034" s="77"/>
      <c r="AT1034" s="77"/>
      <c r="AU1034" s="77"/>
      <c r="AV1034" s="80" t="str">
        <f>HYPERLINK("https://pbs.twimg.com/profile_images/1499082215203868675/HTKhXXIs_normal.png")</f>
        <v>https://pbs.twimg.com/profile_images/1499082215203868675/HTKhXXIs_normal.png</v>
      </c>
      <c r="AW1034" s="82" t="s">
        <v>12712</v>
      </c>
      <c r="AX1034" s="82" t="s">
        <v>12712</v>
      </c>
      <c r="AY1034" s="77"/>
      <c r="AZ1034" s="82" t="s">
        <v>15984</v>
      </c>
      <c r="BA1034" s="82" t="s">
        <v>15984</v>
      </c>
      <c r="BB1034" s="82" t="s">
        <v>15984</v>
      </c>
      <c r="BC1034" s="82" t="s">
        <v>12712</v>
      </c>
      <c r="BD1034" s="82" t="s">
        <v>16303</v>
      </c>
      <c r="BE1034" s="77"/>
      <c r="BF1034" s="77"/>
      <c r="BG1034" s="77"/>
      <c r="BH1034" s="77"/>
      <c r="BI1034" s="77"/>
    </row>
    <row r="1035" spans="1:61" x14ac:dyDescent="0.25">
      <c r="A1035" s="62" t="s">
        <v>570</v>
      </c>
      <c r="B1035" s="62" t="s">
        <v>570</v>
      </c>
      <c r="C1035" s="63"/>
      <c r="D1035" s="64"/>
      <c r="E1035" s="65"/>
      <c r="F1035" s="66"/>
      <c r="G1035" s="63"/>
      <c r="H1035" s="67"/>
      <c r="I1035" s="68"/>
      <c r="J1035" s="68"/>
      <c r="K1035" s="32"/>
      <c r="L1035" s="75">
        <v>1035</v>
      </c>
      <c r="M1035" s="75"/>
      <c r="N1035" s="70"/>
      <c r="O1035" s="77" t="s">
        <v>179</v>
      </c>
      <c r="P1035" s="79">
        <v>45140.485243055555</v>
      </c>
      <c r="Q1035" s="77" t="s">
        <v>1852</v>
      </c>
      <c r="R1035" s="77">
        <v>0</v>
      </c>
      <c r="S1035" s="77">
        <v>0</v>
      </c>
      <c r="T1035" s="77">
        <v>0</v>
      </c>
      <c r="U1035" s="77">
        <v>0</v>
      </c>
      <c r="V1035" s="77">
        <v>44</v>
      </c>
      <c r="W1035" s="82" t="s">
        <v>5333</v>
      </c>
      <c r="X1035" s="80" t="str">
        <f>HYPERLINK("https://www.instagram.com/reel/CvcNRFEM7oU/?igshid=MTc4MmM1YmI2Ng==")</f>
        <v>https://www.instagram.com/reel/CvcNRFEM7oU/?igshid=MTc4MmM1YmI2Ng==</v>
      </c>
      <c r="Y1035" s="77" t="s">
        <v>6469</v>
      </c>
      <c r="Z1035" s="77"/>
      <c r="AA1035" s="77"/>
      <c r="AB1035" s="77"/>
      <c r="AC1035" s="82" t="s">
        <v>7752</v>
      </c>
      <c r="AD1035" s="77" t="s">
        <v>7788</v>
      </c>
      <c r="AE1035" s="80" t="str">
        <f>HYPERLINK("https://twitter.com/wit_invest/status/1686703077284343808")</f>
        <v>https://twitter.com/wit_invest/status/1686703077284343808</v>
      </c>
      <c r="AF1035" s="79">
        <v>45140.485243055555</v>
      </c>
      <c r="AG1035" s="85">
        <v>45140</v>
      </c>
      <c r="AH1035" s="82" t="s">
        <v>8693</v>
      </c>
      <c r="AI1035" s="77" t="b">
        <v>0</v>
      </c>
      <c r="AJ1035" s="77"/>
      <c r="AK1035" s="77"/>
      <c r="AL1035" s="77"/>
      <c r="AM1035" s="77"/>
      <c r="AN1035" s="77"/>
      <c r="AO1035" s="77"/>
      <c r="AP1035" s="77"/>
      <c r="AQ1035" s="77"/>
      <c r="AR1035" s="77"/>
      <c r="AS1035" s="77"/>
      <c r="AT1035" s="77"/>
      <c r="AU1035" s="77"/>
      <c r="AV1035" s="80" t="str">
        <f>HYPERLINK("https://pbs.twimg.com/profile_images/1499082215203868675/HTKhXXIs_normal.png")</f>
        <v>https://pbs.twimg.com/profile_images/1499082215203868675/HTKhXXIs_normal.png</v>
      </c>
      <c r="AW1035" s="82" t="s">
        <v>12713</v>
      </c>
      <c r="AX1035" s="82" t="s">
        <v>12713</v>
      </c>
      <c r="AY1035" s="77"/>
      <c r="AZ1035" s="82" t="s">
        <v>15984</v>
      </c>
      <c r="BA1035" s="82" t="s">
        <v>15984</v>
      </c>
      <c r="BB1035" s="82" t="s">
        <v>15984</v>
      </c>
      <c r="BC1035" s="82" t="s">
        <v>12713</v>
      </c>
      <c r="BD1035" s="82" t="s">
        <v>16303</v>
      </c>
      <c r="BE1035" s="77"/>
      <c r="BF1035" s="77"/>
      <c r="BG1035" s="77"/>
      <c r="BH1035" s="77"/>
      <c r="BI1035" s="77"/>
    </row>
    <row r="1036" spans="1:61" x14ac:dyDescent="0.25">
      <c r="A1036" s="62" t="s">
        <v>570</v>
      </c>
      <c r="B1036" s="62" t="s">
        <v>570</v>
      </c>
      <c r="C1036" s="63"/>
      <c r="D1036" s="64"/>
      <c r="E1036" s="65"/>
      <c r="F1036" s="66"/>
      <c r="G1036" s="63"/>
      <c r="H1036" s="67"/>
      <c r="I1036" s="68"/>
      <c r="J1036" s="68"/>
      <c r="K1036" s="32"/>
      <c r="L1036" s="75">
        <v>1036</v>
      </c>
      <c r="M1036" s="75"/>
      <c r="N1036" s="70"/>
      <c r="O1036" s="77" t="s">
        <v>179</v>
      </c>
      <c r="P1036" s="79">
        <v>45148.474189814813</v>
      </c>
      <c r="Q1036" s="77" t="s">
        <v>1853</v>
      </c>
      <c r="R1036" s="77">
        <v>0</v>
      </c>
      <c r="S1036" s="77">
        <v>0</v>
      </c>
      <c r="T1036" s="77">
        <v>0</v>
      </c>
      <c r="U1036" s="77">
        <v>0</v>
      </c>
      <c r="V1036" s="77">
        <v>36</v>
      </c>
      <c r="W1036" s="82" t="s">
        <v>5334</v>
      </c>
      <c r="X1036" s="80" t="str">
        <f>HYPERLINK("https://www.instagram.com/reel/Cvwx2VAu9Y_/?igshid=MTc4MmM1YmI2Ng==")</f>
        <v>https://www.instagram.com/reel/Cvwx2VAu9Y_/?igshid=MTc4MmM1YmI2Ng==</v>
      </c>
      <c r="Y1036" s="77" t="s">
        <v>6469</v>
      </c>
      <c r="Z1036" s="77"/>
      <c r="AA1036" s="77"/>
      <c r="AB1036" s="77"/>
      <c r="AC1036" s="82" t="s">
        <v>7752</v>
      </c>
      <c r="AD1036" s="77" t="s">
        <v>7788</v>
      </c>
      <c r="AE1036" s="80" t="str">
        <f>HYPERLINK("https://twitter.com/wit_invest/status/1689598172731965440")</f>
        <v>https://twitter.com/wit_invest/status/1689598172731965440</v>
      </c>
      <c r="AF1036" s="79">
        <v>45148.474189814813</v>
      </c>
      <c r="AG1036" s="85">
        <v>45148</v>
      </c>
      <c r="AH1036" s="82" t="s">
        <v>8694</v>
      </c>
      <c r="AI1036" s="77" t="b">
        <v>0</v>
      </c>
      <c r="AJ1036" s="77"/>
      <c r="AK1036" s="77"/>
      <c r="AL1036" s="77"/>
      <c r="AM1036" s="77"/>
      <c r="AN1036" s="77"/>
      <c r="AO1036" s="77"/>
      <c r="AP1036" s="77"/>
      <c r="AQ1036" s="77"/>
      <c r="AR1036" s="77"/>
      <c r="AS1036" s="77"/>
      <c r="AT1036" s="77"/>
      <c r="AU1036" s="77"/>
      <c r="AV1036" s="80" t="str">
        <f>HYPERLINK("https://pbs.twimg.com/profile_images/1499082215203868675/HTKhXXIs_normal.png")</f>
        <v>https://pbs.twimg.com/profile_images/1499082215203868675/HTKhXXIs_normal.png</v>
      </c>
      <c r="AW1036" s="82" t="s">
        <v>12714</v>
      </c>
      <c r="AX1036" s="82" t="s">
        <v>12714</v>
      </c>
      <c r="AY1036" s="77"/>
      <c r="AZ1036" s="82" t="s">
        <v>15984</v>
      </c>
      <c r="BA1036" s="82" t="s">
        <v>15984</v>
      </c>
      <c r="BB1036" s="82" t="s">
        <v>15984</v>
      </c>
      <c r="BC1036" s="82" t="s">
        <v>12714</v>
      </c>
      <c r="BD1036" s="82" t="s">
        <v>16303</v>
      </c>
      <c r="BE1036" s="77"/>
      <c r="BF1036" s="77"/>
      <c r="BG1036" s="77"/>
      <c r="BH1036" s="77"/>
      <c r="BI1036" s="77"/>
    </row>
    <row r="1037" spans="1:61" x14ac:dyDescent="0.25">
      <c r="A1037" s="62" t="s">
        <v>570</v>
      </c>
      <c r="B1037" s="62" t="s">
        <v>570</v>
      </c>
      <c r="C1037" s="63"/>
      <c r="D1037" s="64"/>
      <c r="E1037" s="65"/>
      <c r="F1037" s="66"/>
      <c r="G1037" s="63"/>
      <c r="H1037" s="67"/>
      <c r="I1037" s="68"/>
      <c r="J1037" s="68"/>
      <c r="K1037" s="32"/>
      <c r="L1037" s="75">
        <v>1037</v>
      </c>
      <c r="M1037" s="75"/>
      <c r="N1037" s="70"/>
      <c r="O1037" s="77" t="s">
        <v>179</v>
      </c>
      <c r="P1037" s="79">
        <v>45154.467824074076</v>
      </c>
      <c r="Q1037" s="77" t="s">
        <v>1854</v>
      </c>
      <c r="R1037" s="77">
        <v>0</v>
      </c>
      <c r="S1037" s="77">
        <v>0</v>
      </c>
      <c r="T1037" s="77">
        <v>0</v>
      </c>
      <c r="U1037" s="77">
        <v>0</v>
      </c>
      <c r="V1037" s="77">
        <v>10</v>
      </c>
      <c r="W1037" s="82" t="s">
        <v>5335</v>
      </c>
      <c r="X1037" s="80" t="str">
        <f>HYPERLINK("https://www.instagram.com/reel/CwANlzEPFaQ/?igshid=MTc4MmM1YmI2Ng==")</f>
        <v>https://www.instagram.com/reel/CwANlzEPFaQ/?igshid=MTc4MmM1YmI2Ng==</v>
      </c>
      <c r="Y1037" s="77" t="s">
        <v>6469</v>
      </c>
      <c r="Z1037" s="77"/>
      <c r="AA1037" s="77"/>
      <c r="AB1037" s="77"/>
      <c r="AC1037" s="82" t="s">
        <v>7752</v>
      </c>
      <c r="AD1037" s="77" t="s">
        <v>7788</v>
      </c>
      <c r="AE1037" s="80" t="str">
        <f>HYPERLINK("https://twitter.com/wit_invest/status/1691770192257257760")</f>
        <v>https://twitter.com/wit_invest/status/1691770192257257760</v>
      </c>
      <c r="AF1037" s="79">
        <v>45154.467824074076</v>
      </c>
      <c r="AG1037" s="85">
        <v>45154</v>
      </c>
      <c r="AH1037" s="82" t="s">
        <v>8695</v>
      </c>
      <c r="AI1037" s="77" t="b">
        <v>0</v>
      </c>
      <c r="AJ1037" s="77"/>
      <c r="AK1037" s="77"/>
      <c r="AL1037" s="77"/>
      <c r="AM1037" s="77"/>
      <c r="AN1037" s="77"/>
      <c r="AO1037" s="77"/>
      <c r="AP1037" s="77"/>
      <c r="AQ1037" s="77"/>
      <c r="AR1037" s="77"/>
      <c r="AS1037" s="77"/>
      <c r="AT1037" s="77"/>
      <c r="AU1037" s="77"/>
      <c r="AV1037" s="80" t="str">
        <f>HYPERLINK("https://pbs.twimg.com/profile_images/1499082215203868675/HTKhXXIs_normal.png")</f>
        <v>https://pbs.twimg.com/profile_images/1499082215203868675/HTKhXXIs_normal.png</v>
      </c>
      <c r="AW1037" s="82" t="s">
        <v>12715</v>
      </c>
      <c r="AX1037" s="82" t="s">
        <v>12715</v>
      </c>
      <c r="AY1037" s="77"/>
      <c r="AZ1037" s="82" t="s">
        <v>15984</v>
      </c>
      <c r="BA1037" s="82" t="s">
        <v>15984</v>
      </c>
      <c r="BB1037" s="82" t="s">
        <v>15984</v>
      </c>
      <c r="BC1037" s="82" t="s">
        <v>12715</v>
      </c>
      <c r="BD1037" s="82" t="s">
        <v>16303</v>
      </c>
      <c r="BE1037" s="77"/>
      <c r="BF1037" s="77"/>
      <c r="BG1037" s="77"/>
      <c r="BH1037" s="77"/>
      <c r="BI1037" s="77"/>
    </row>
    <row r="1038" spans="1:61" x14ac:dyDescent="0.25">
      <c r="A1038" s="62" t="s">
        <v>570</v>
      </c>
      <c r="B1038" s="62" t="s">
        <v>570</v>
      </c>
      <c r="C1038" s="63"/>
      <c r="D1038" s="64"/>
      <c r="E1038" s="65"/>
      <c r="F1038" s="66"/>
      <c r="G1038" s="63"/>
      <c r="H1038" s="67"/>
      <c r="I1038" s="68"/>
      <c r="J1038" s="68"/>
      <c r="K1038" s="32"/>
      <c r="L1038" s="75">
        <v>1038</v>
      </c>
      <c r="M1038" s="75"/>
      <c r="N1038" s="70"/>
      <c r="O1038" s="77" t="s">
        <v>179</v>
      </c>
      <c r="P1038" s="79">
        <v>45134.475115740737</v>
      </c>
      <c r="Q1038" s="77" t="s">
        <v>1855</v>
      </c>
      <c r="R1038" s="77">
        <v>0</v>
      </c>
      <c r="S1038" s="77">
        <v>0</v>
      </c>
      <c r="T1038" s="77">
        <v>0</v>
      </c>
      <c r="U1038" s="77">
        <v>0</v>
      </c>
      <c r="V1038" s="77">
        <v>24</v>
      </c>
      <c r="W1038" s="82" t="s">
        <v>5336</v>
      </c>
      <c r="X1038" s="80" t="str">
        <f>HYPERLINK("https://www.instagram.com/reel/CvMu4Uexk7L/?igshid=MTc4MmM1YmI2Ng==")</f>
        <v>https://www.instagram.com/reel/CvMu4Uexk7L/?igshid=MTc4MmM1YmI2Ng==</v>
      </c>
      <c r="Y1038" s="77" t="s">
        <v>6469</v>
      </c>
      <c r="Z1038" s="77"/>
      <c r="AA1038" s="77"/>
      <c r="AB1038" s="77"/>
      <c r="AC1038" s="82" t="s">
        <v>7752</v>
      </c>
      <c r="AD1038" s="77" t="s">
        <v>7788</v>
      </c>
      <c r="AE1038" s="80" t="str">
        <f>HYPERLINK("https://twitter.com/wit_invest/status/1684525080125079553")</f>
        <v>https://twitter.com/wit_invest/status/1684525080125079553</v>
      </c>
      <c r="AF1038" s="79">
        <v>45134.475115740737</v>
      </c>
      <c r="AG1038" s="85">
        <v>45134</v>
      </c>
      <c r="AH1038" s="82" t="s">
        <v>8696</v>
      </c>
      <c r="AI1038" s="77" t="b">
        <v>0</v>
      </c>
      <c r="AJ1038" s="77"/>
      <c r="AK1038" s="77"/>
      <c r="AL1038" s="77"/>
      <c r="AM1038" s="77"/>
      <c r="AN1038" s="77"/>
      <c r="AO1038" s="77"/>
      <c r="AP1038" s="77"/>
      <c r="AQ1038" s="77"/>
      <c r="AR1038" s="77"/>
      <c r="AS1038" s="77"/>
      <c r="AT1038" s="77"/>
      <c r="AU1038" s="77"/>
      <c r="AV1038" s="80" t="str">
        <f>HYPERLINK("https://pbs.twimg.com/profile_images/1499082215203868675/HTKhXXIs_normal.png")</f>
        <v>https://pbs.twimg.com/profile_images/1499082215203868675/HTKhXXIs_normal.png</v>
      </c>
      <c r="AW1038" s="82" t="s">
        <v>12716</v>
      </c>
      <c r="AX1038" s="82" t="s">
        <v>12716</v>
      </c>
      <c r="AY1038" s="77"/>
      <c r="AZ1038" s="82" t="s">
        <v>15984</v>
      </c>
      <c r="BA1038" s="82" t="s">
        <v>15984</v>
      </c>
      <c r="BB1038" s="82" t="s">
        <v>15984</v>
      </c>
      <c r="BC1038" s="82" t="s">
        <v>12716</v>
      </c>
      <c r="BD1038" s="82" t="s">
        <v>16303</v>
      </c>
      <c r="BE1038" s="77"/>
      <c r="BF1038" s="77"/>
      <c r="BG1038" s="77"/>
      <c r="BH1038" s="77"/>
      <c r="BI1038" s="77"/>
    </row>
    <row r="1039" spans="1:61" x14ac:dyDescent="0.25">
      <c r="A1039" s="62" t="s">
        <v>570</v>
      </c>
      <c r="B1039" s="62" t="s">
        <v>570</v>
      </c>
      <c r="C1039" s="63"/>
      <c r="D1039" s="64"/>
      <c r="E1039" s="65"/>
      <c r="F1039" s="66"/>
      <c r="G1039" s="63"/>
      <c r="H1039" s="67"/>
      <c r="I1039" s="68"/>
      <c r="J1039" s="68"/>
      <c r="K1039" s="32"/>
      <c r="L1039" s="75">
        <v>1039</v>
      </c>
      <c r="M1039" s="75"/>
      <c r="N1039" s="70"/>
      <c r="O1039" s="77" t="s">
        <v>179</v>
      </c>
      <c r="P1039" s="79">
        <v>45126.501273148147</v>
      </c>
      <c r="Q1039" s="77" t="s">
        <v>1856</v>
      </c>
      <c r="R1039" s="77">
        <v>0</v>
      </c>
      <c r="S1039" s="77">
        <v>0</v>
      </c>
      <c r="T1039" s="77">
        <v>0</v>
      </c>
      <c r="U1039" s="77">
        <v>0</v>
      </c>
      <c r="V1039" s="77">
        <v>17</v>
      </c>
      <c r="W1039" s="82" t="s">
        <v>5337</v>
      </c>
      <c r="X1039" s="80" t="str">
        <f>HYPERLINK("https://www.instagram.com/reel/Cu4MlQaAHjg/?igshid=MjA3NmNkZWY5Yg==")</f>
        <v>https://www.instagram.com/reel/Cu4MlQaAHjg/?igshid=MjA3NmNkZWY5Yg==</v>
      </c>
      <c r="Y1039" s="77" t="s">
        <v>6469</v>
      </c>
      <c r="Z1039" s="77"/>
      <c r="AA1039" s="77"/>
      <c r="AB1039" s="77"/>
      <c r="AC1039" s="82" t="s">
        <v>7752</v>
      </c>
      <c r="AD1039" s="77" t="s">
        <v>7788</v>
      </c>
      <c r="AE1039" s="80" t="str">
        <f>HYPERLINK("https://twitter.com/wit_invest/status/1681635456935510016")</f>
        <v>https://twitter.com/wit_invest/status/1681635456935510016</v>
      </c>
      <c r="AF1039" s="79">
        <v>45126.501273148147</v>
      </c>
      <c r="AG1039" s="85">
        <v>45126</v>
      </c>
      <c r="AH1039" s="82" t="s">
        <v>8697</v>
      </c>
      <c r="AI1039" s="77" t="b">
        <v>0</v>
      </c>
      <c r="AJ1039" s="77"/>
      <c r="AK1039" s="77"/>
      <c r="AL1039" s="77"/>
      <c r="AM1039" s="77"/>
      <c r="AN1039" s="77"/>
      <c r="AO1039" s="77"/>
      <c r="AP1039" s="77"/>
      <c r="AQ1039" s="77"/>
      <c r="AR1039" s="77"/>
      <c r="AS1039" s="77"/>
      <c r="AT1039" s="77"/>
      <c r="AU1039" s="77"/>
      <c r="AV1039" s="80" t="str">
        <f>HYPERLINK("https://pbs.twimg.com/profile_images/1499082215203868675/HTKhXXIs_normal.png")</f>
        <v>https://pbs.twimg.com/profile_images/1499082215203868675/HTKhXXIs_normal.png</v>
      </c>
      <c r="AW1039" s="82" t="s">
        <v>12717</v>
      </c>
      <c r="AX1039" s="82" t="s">
        <v>12717</v>
      </c>
      <c r="AY1039" s="77"/>
      <c r="AZ1039" s="82" t="s">
        <v>15984</v>
      </c>
      <c r="BA1039" s="82" t="s">
        <v>15984</v>
      </c>
      <c r="BB1039" s="82" t="s">
        <v>15984</v>
      </c>
      <c r="BC1039" s="82" t="s">
        <v>12717</v>
      </c>
      <c r="BD1039" s="82" t="s">
        <v>16303</v>
      </c>
      <c r="BE1039" s="77"/>
      <c r="BF1039" s="77"/>
      <c r="BG1039" s="77"/>
      <c r="BH1039" s="77"/>
      <c r="BI1039" s="77"/>
    </row>
    <row r="1040" spans="1:61" x14ac:dyDescent="0.25">
      <c r="A1040" s="62" t="s">
        <v>570</v>
      </c>
      <c r="B1040" s="62" t="s">
        <v>570</v>
      </c>
      <c r="C1040" s="63"/>
      <c r="D1040" s="64"/>
      <c r="E1040" s="65"/>
      <c r="F1040" s="66"/>
      <c r="G1040" s="63"/>
      <c r="H1040" s="67"/>
      <c r="I1040" s="68"/>
      <c r="J1040" s="68"/>
      <c r="K1040" s="32"/>
      <c r="L1040" s="75">
        <v>1040</v>
      </c>
      <c r="M1040" s="75"/>
      <c r="N1040" s="70"/>
      <c r="O1040" s="77" t="s">
        <v>179</v>
      </c>
      <c r="P1040" s="79">
        <v>45155.440972222219</v>
      </c>
      <c r="Q1040" s="77" t="s">
        <v>1857</v>
      </c>
      <c r="R1040" s="77">
        <v>0</v>
      </c>
      <c r="S1040" s="77">
        <v>0</v>
      </c>
      <c r="T1040" s="77">
        <v>0</v>
      </c>
      <c r="U1040" s="77">
        <v>0</v>
      </c>
      <c r="V1040" s="77">
        <v>43</v>
      </c>
      <c r="W1040" s="82" t="s">
        <v>5338</v>
      </c>
      <c r="X1040" s="80" t="str">
        <f>HYPERLINK("https://www.instagram.com/reel/CwCt99uxfmP/?igshid=MTc4MmM1YmI2Ng==")</f>
        <v>https://www.instagram.com/reel/CwCt99uxfmP/?igshid=MTc4MmM1YmI2Ng==</v>
      </c>
      <c r="Y1040" s="77" t="s">
        <v>6469</v>
      </c>
      <c r="Z1040" s="77"/>
      <c r="AA1040" s="77"/>
      <c r="AB1040" s="77"/>
      <c r="AC1040" s="82" t="s">
        <v>7752</v>
      </c>
      <c r="AD1040" s="77" t="s">
        <v>7788</v>
      </c>
      <c r="AE1040" s="80" t="str">
        <f>HYPERLINK("https://twitter.com/wit_invest/status/1692122853267697697")</f>
        <v>https://twitter.com/wit_invest/status/1692122853267697697</v>
      </c>
      <c r="AF1040" s="79">
        <v>45155.440972222219</v>
      </c>
      <c r="AG1040" s="85">
        <v>45155</v>
      </c>
      <c r="AH1040" s="82" t="s">
        <v>8698</v>
      </c>
      <c r="AI1040" s="77" t="b">
        <v>0</v>
      </c>
      <c r="AJ1040" s="77"/>
      <c r="AK1040" s="77"/>
      <c r="AL1040" s="77"/>
      <c r="AM1040" s="77"/>
      <c r="AN1040" s="77"/>
      <c r="AO1040" s="77"/>
      <c r="AP1040" s="77"/>
      <c r="AQ1040" s="77"/>
      <c r="AR1040" s="77"/>
      <c r="AS1040" s="77"/>
      <c r="AT1040" s="77"/>
      <c r="AU1040" s="77"/>
      <c r="AV1040" s="80" t="str">
        <f>HYPERLINK("https://pbs.twimg.com/profile_images/1499082215203868675/HTKhXXIs_normal.png")</f>
        <v>https://pbs.twimg.com/profile_images/1499082215203868675/HTKhXXIs_normal.png</v>
      </c>
      <c r="AW1040" s="82" t="s">
        <v>12718</v>
      </c>
      <c r="AX1040" s="82" t="s">
        <v>12718</v>
      </c>
      <c r="AY1040" s="77"/>
      <c r="AZ1040" s="82" t="s">
        <v>15984</v>
      </c>
      <c r="BA1040" s="82" t="s">
        <v>15984</v>
      </c>
      <c r="BB1040" s="82" t="s">
        <v>15984</v>
      </c>
      <c r="BC1040" s="82" t="s">
        <v>12718</v>
      </c>
      <c r="BD1040" s="82" t="s">
        <v>16303</v>
      </c>
      <c r="BE1040" s="77"/>
      <c r="BF1040" s="77"/>
      <c r="BG1040" s="77"/>
      <c r="BH1040" s="77"/>
      <c r="BI1040" s="77"/>
    </row>
    <row r="1041" spans="1:61" x14ac:dyDescent="0.25">
      <c r="A1041" s="62" t="s">
        <v>570</v>
      </c>
      <c r="B1041" s="62" t="s">
        <v>570</v>
      </c>
      <c r="C1041" s="63"/>
      <c r="D1041" s="64"/>
      <c r="E1041" s="65"/>
      <c r="F1041" s="66"/>
      <c r="G1041" s="63"/>
      <c r="H1041" s="67"/>
      <c r="I1041" s="68"/>
      <c r="J1041" s="68"/>
      <c r="K1041" s="32"/>
      <c r="L1041" s="75">
        <v>1041</v>
      </c>
      <c r="M1041" s="75"/>
      <c r="N1041" s="70"/>
      <c r="O1041" s="77" t="s">
        <v>179</v>
      </c>
      <c r="P1041" s="79">
        <v>45127.480451388888</v>
      </c>
      <c r="Q1041" s="77" t="s">
        <v>1858</v>
      </c>
      <c r="R1041" s="77">
        <v>0</v>
      </c>
      <c r="S1041" s="77">
        <v>0</v>
      </c>
      <c r="T1041" s="77">
        <v>0</v>
      </c>
      <c r="U1041" s="77">
        <v>0</v>
      </c>
      <c r="V1041" s="77">
        <v>20</v>
      </c>
      <c r="W1041" s="82" t="s">
        <v>5335</v>
      </c>
      <c r="X1041" s="80" t="str">
        <f>HYPERLINK("https://www.instagram.com/reel/Cu6uQUGN_zt/?igshid=MjA3NmNkZWY5Yg==")</f>
        <v>https://www.instagram.com/reel/Cu6uQUGN_zt/?igshid=MjA3NmNkZWY5Yg==</v>
      </c>
      <c r="Y1041" s="77" t="s">
        <v>6469</v>
      </c>
      <c r="Z1041" s="77"/>
      <c r="AA1041" s="77"/>
      <c r="AB1041" s="77"/>
      <c r="AC1041" s="82" t="s">
        <v>7752</v>
      </c>
      <c r="AD1041" s="77" t="s">
        <v>7788</v>
      </c>
      <c r="AE1041" s="80" t="str">
        <f>HYPERLINK("https://twitter.com/wit_invest/status/1681990297989857281")</f>
        <v>https://twitter.com/wit_invest/status/1681990297989857281</v>
      </c>
      <c r="AF1041" s="79">
        <v>45127.480451388888</v>
      </c>
      <c r="AG1041" s="85">
        <v>45127</v>
      </c>
      <c r="AH1041" s="82" t="s">
        <v>8699</v>
      </c>
      <c r="AI1041" s="77" t="b">
        <v>0</v>
      </c>
      <c r="AJ1041" s="77"/>
      <c r="AK1041" s="77"/>
      <c r="AL1041" s="77"/>
      <c r="AM1041" s="77"/>
      <c r="AN1041" s="77"/>
      <c r="AO1041" s="77"/>
      <c r="AP1041" s="77"/>
      <c r="AQ1041" s="77"/>
      <c r="AR1041" s="77"/>
      <c r="AS1041" s="77"/>
      <c r="AT1041" s="77"/>
      <c r="AU1041" s="77"/>
      <c r="AV1041" s="80" t="str">
        <f>HYPERLINK("https://pbs.twimg.com/profile_images/1499082215203868675/HTKhXXIs_normal.png")</f>
        <v>https://pbs.twimg.com/profile_images/1499082215203868675/HTKhXXIs_normal.png</v>
      </c>
      <c r="AW1041" s="82" t="s">
        <v>12719</v>
      </c>
      <c r="AX1041" s="82" t="s">
        <v>12719</v>
      </c>
      <c r="AY1041" s="77"/>
      <c r="AZ1041" s="82" t="s">
        <v>15984</v>
      </c>
      <c r="BA1041" s="82" t="s">
        <v>15984</v>
      </c>
      <c r="BB1041" s="82" t="s">
        <v>15984</v>
      </c>
      <c r="BC1041" s="82" t="s">
        <v>12719</v>
      </c>
      <c r="BD1041" s="82" t="s">
        <v>16303</v>
      </c>
      <c r="BE1041" s="77"/>
      <c r="BF1041" s="77"/>
      <c r="BG1041" s="77"/>
      <c r="BH1041" s="77"/>
      <c r="BI1041" s="77"/>
    </row>
    <row r="1042" spans="1:61" x14ac:dyDescent="0.25">
      <c r="A1042" s="62" t="s">
        <v>570</v>
      </c>
      <c r="B1042" s="62" t="s">
        <v>570</v>
      </c>
      <c r="C1042" s="63"/>
      <c r="D1042" s="64"/>
      <c r="E1042" s="65"/>
      <c r="F1042" s="66"/>
      <c r="G1042" s="63"/>
      <c r="H1042" s="67"/>
      <c r="I1042" s="68"/>
      <c r="J1042" s="68"/>
      <c r="K1042" s="32"/>
      <c r="L1042" s="75">
        <v>1042</v>
      </c>
      <c r="M1042" s="75"/>
      <c r="N1042" s="70"/>
      <c r="O1042" s="77" t="s">
        <v>179</v>
      </c>
      <c r="P1042" s="79">
        <v>45156.497013888889</v>
      </c>
      <c r="Q1042" s="77" t="s">
        <v>1859</v>
      </c>
      <c r="R1042" s="77">
        <v>0</v>
      </c>
      <c r="S1042" s="77">
        <v>0</v>
      </c>
      <c r="T1042" s="77">
        <v>0</v>
      </c>
      <c r="U1042" s="77">
        <v>0</v>
      </c>
      <c r="V1042" s="77">
        <v>18</v>
      </c>
      <c r="W1042" s="82" t="s">
        <v>5339</v>
      </c>
      <c r="X1042" s="80" t="str">
        <f>HYPERLINK("https://www.instagram.com/reel/CwFb23CuLHG/?igshid=MTc4MmM1YmI2Ng==")</f>
        <v>https://www.instagram.com/reel/CwFb23CuLHG/?igshid=MTc4MmM1YmI2Ng==</v>
      </c>
      <c r="Y1042" s="77" t="s">
        <v>6469</v>
      </c>
      <c r="Z1042" s="77"/>
      <c r="AA1042" s="77"/>
      <c r="AB1042" s="77"/>
      <c r="AC1042" s="82" t="s">
        <v>7752</v>
      </c>
      <c r="AD1042" s="77" t="s">
        <v>7788</v>
      </c>
      <c r="AE1042" s="80" t="str">
        <f>HYPERLINK("https://twitter.com/wit_invest/status/1692505549403730210")</f>
        <v>https://twitter.com/wit_invest/status/1692505549403730210</v>
      </c>
      <c r="AF1042" s="79">
        <v>45156.497013888889</v>
      </c>
      <c r="AG1042" s="85">
        <v>45156</v>
      </c>
      <c r="AH1042" s="82" t="s">
        <v>8700</v>
      </c>
      <c r="AI1042" s="77" t="b">
        <v>0</v>
      </c>
      <c r="AJ1042" s="77"/>
      <c r="AK1042" s="77"/>
      <c r="AL1042" s="77"/>
      <c r="AM1042" s="77"/>
      <c r="AN1042" s="77"/>
      <c r="AO1042" s="77"/>
      <c r="AP1042" s="77"/>
      <c r="AQ1042" s="77"/>
      <c r="AR1042" s="77"/>
      <c r="AS1042" s="77"/>
      <c r="AT1042" s="77"/>
      <c r="AU1042" s="77"/>
      <c r="AV1042" s="80" t="str">
        <f>HYPERLINK("https://pbs.twimg.com/profile_images/1499082215203868675/HTKhXXIs_normal.png")</f>
        <v>https://pbs.twimg.com/profile_images/1499082215203868675/HTKhXXIs_normal.png</v>
      </c>
      <c r="AW1042" s="82" t="s">
        <v>12720</v>
      </c>
      <c r="AX1042" s="82" t="s">
        <v>12720</v>
      </c>
      <c r="AY1042" s="77"/>
      <c r="AZ1042" s="82" t="s">
        <v>15984</v>
      </c>
      <c r="BA1042" s="82" t="s">
        <v>15984</v>
      </c>
      <c r="BB1042" s="82" t="s">
        <v>15984</v>
      </c>
      <c r="BC1042" s="82" t="s">
        <v>12720</v>
      </c>
      <c r="BD1042" s="82" t="s">
        <v>16303</v>
      </c>
      <c r="BE1042" s="77"/>
      <c r="BF1042" s="77"/>
      <c r="BG1042" s="77"/>
      <c r="BH1042" s="77"/>
      <c r="BI1042" s="77"/>
    </row>
    <row r="1043" spans="1:61" x14ac:dyDescent="0.25">
      <c r="A1043" s="62" t="s">
        <v>570</v>
      </c>
      <c r="B1043" s="62" t="s">
        <v>570</v>
      </c>
      <c r="C1043" s="63"/>
      <c r="D1043" s="64"/>
      <c r="E1043" s="65"/>
      <c r="F1043" s="66"/>
      <c r="G1043" s="63"/>
      <c r="H1043" s="67"/>
      <c r="I1043" s="68"/>
      <c r="J1043" s="68"/>
      <c r="K1043" s="32"/>
      <c r="L1043" s="75">
        <v>1043</v>
      </c>
      <c r="M1043" s="75"/>
      <c r="N1043" s="70"/>
      <c r="O1043" s="77" t="s">
        <v>179</v>
      </c>
      <c r="P1043" s="79">
        <v>45132.463726851849</v>
      </c>
      <c r="Q1043" s="77" t="s">
        <v>1860</v>
      </c>
      <c r="R1043" s="77">
        <v>0</v>
      </c>
      <c r="S1043" s="77">
        <v>0</v>
      </c>
      <c r="T1043" s="77">
        <v>0</v>
      </c>
      <c r="U1043" s="77">
        <v>0</v>
      </c>
      <c r="V1043" s="77">
        <v>21</v>
      </c>
      <c r="W1043" s="82" t="s">
        <v>5340</v>
      </c>
      <c r="X1043" s="80" t="str">
        <f>HYPERLINK("https://www.instagram.com/reel/CvHjXfMsKKf/?igshid=MjA3NmNkZWY5Yg==")</f>
        <v>https://www.instagram.com/reel/CvHjXfMsKKf/?igshid=MjA3NmNkZWY5Yg==</v>
      </c>
      <c r="Y1043" s="77" t="s">
        <v>6469</v>
      </c>
      <c r="Z1043" s="77"/>
      <c r="AA1043" s="77"/>
      <c r="AB1043" s="77"/>
      <c r="AC1043" s="82" t="s">
        <v>7752</v>
      </c>
      <c r="AD1043" s="77" t="s">
        <v>7788</v>
      </c>
      <c r="AE1043" s="80" t="str">
        <f>HYPERLINK("https://twitter.com/wit_invest/status/1683796175294537732")</f>
        <v>https://twitter.com/wit_invest/status/1683796175294537732</v>
      </c>
      <c r="AF1043" s="79">
        <v>45132.463726851849</v>
      </c>
      <c r="AG1043" s="85">
        <v>45132</v>
      </c>
      <c r="AH1043" s="82" t="s">
        <v>8701</v>
      </c>
      <c r="AI1043" s="77" t="b">
        <v>0</v>
      </c>
      <c r="AJ1043" s="77"/>
      <c r="AK1043" s="77"/>
      <c r="AL1043" s="77"/>
      <c r="AM1043" s="77"/>
      <c r="AN1043" s="77"/>
      <c r="AO1043" s="77"/>
      <c r="AP1043" s="77"/>
      <c r="AQ1043" s="77"/>
      <c r="AR1043" s="77"/>
      <c r="AS1043" s="77"/>
      <c r="AT1043" s="77"/>
      <c r="AU1043" s="77"/>
      <c r="AV1043" s="80" t="str">
        <f>HYPERLINK("https://pbs.twimg.com/profile_images/1499082215203868675/HTKhXXIs_normal.png")</f>
        <v>https://pbs.twimg.com/profile_images/1499082215203868675/HTKhXXIs_normal.png</v>
      </c>
      <c r="AW1043" s="82" t="s">
        <v>12721</v>
      </c>
      <c r="AX1043" s="82" t="s">
        <v>12721</v>
      </c>
      <c r="AY1043" s="77"/>
      <c r="AZ1043" s="82" t="s">
        <v>15984</v>
      </c>
      <c r="BA1043" s="82" t="s">
        <v>15984</v>
      </c>
      <c r="BB1043" s="82" t="s">
        <v>15984</v>
      </c>
      <c r="BC1043" s="82" t="s">
        <v>12721</v>
      </c>
      <c r="BD1043" s="82" t="s">
        <v>16303</v>
      </c>
      <c r="BE1043" s="77"/>
      <c r="BF1043" s="77"/>
      <c r="BG1043" s="77"/>
      <c r="BH1043" s="77"/>
      <c r="BI1043" s="77"/>
    </row>
    <row r="1044" spans="1:61" x14ac:dyDescent="0.25">
      <c r="A1044" s="62" t="s">
        <v>570</v>
      </c>
      <c r="B1044" s="62" t="s">
        <v>570</v>
      </c>
      <c r="C1044" s="63"/>
      <c r="D1044" s="64"/>
      <c r="E1044" s="65"/>
      <c r="F1044" s="66"/>
      <c r="G1044" s="63"/>
      <c r="H1044" s="67"/>
      <c r="I1044" s="68"/>
      <c r="J1044" s="68"/>
      <c r="K1044" s="32"/>
      <c r="L1044" s="75">
        <v>1044</v>
      </c>
      <c r="M1044" s="75"/>
      <c r="N1044" s="70"/>
      <c r="O1044" s="77" t="s">
        <v>179</v>
      </c>
      <c r="P1044" s="79">
        <v>45166.485324074078</v>
      </c>
      <c r="Q1044" s="77" t="s">
        <v>1861</v>
      </c>
      <c r="R1044" s="77">
        <v>0</v>
      </c>
      <c r="S1044" s="77">
        <v>0</v>
      </c>
      <c r="T1044" s="77">
        <v>0</v>
      </c>
      <c r="U1044" s="77">
        <v>0</v>
      </c>
      <c r="V1044" s="77">
        <v>17</v>
      </c>
      <c r="W1044" s="82" t="s">
        <v>5341</v>
      </c>
      <c r="X1044" s="80" t="str">
        <f>HYPERLINK("https://www.instagram.com/reel/CwfKBMuMg98/?igshid=MTc4MmM1YmI2Ng==")</f>
        <v>https://www.instagram.com/reel/CwfKBMuMg98/?igshid=MTc4MmM1YmI2Ng==</v>
      </c>
      <c r="Y1044" s="77" t="s">
        <v>6469</v>
      </c>
      <c r="Z1044" s="77"/>
      <c r="AA1044" s="77"/>
      <c r="AB1044" s="77"/>
      <c r="AC1044" s="82" t="s">
        <v>7752</v>
      </c>
      <c r="AD1044" s="77" t="s">
        <v>7788</v>
      </c>
      <c r="AE1044" s="80" t="str">
        <f>HYPERLINK("https://twitter.com/wit_invest/status/1696125191229698076")</f>
        <v>https://twitter.com/wit_invest/status/1696125191229698076</v>
      </c>
      <c r="AF1044" s="79">
        <v>45166.485324074078</v>
      </c>
      <c r="AG1044" s="85">
        <v>45166</v>
      </c>
      <c r="AH1044" s="82" t="s">
        <v>8702</v>
      </c>
      <c r="AI1044" s="77" t="b">
        <v>0</v>
      </c>
      <c r="AJ1044" s="77"/>
      <c r="AK1044" s="77"/>
      <c r="AL1044" s="77"/>
      <c r="AM1044" s="77"/>
      <c r="AN1044" s="77"/>
      <c r="AO1044" s="77"/>
      <c r="AP1044" s="77"/>
      <c r="AQ1044" s="77"/>
      <c r="AR1044" s="77"/>
      <c r="AS1044" s="77"/>
      <c r="AT1044" s="77"/>
      <c r="AU1044" s="77"/>
      <c r="AV1044" s="80" t="str">
        <f>HYPERLINK("https://pbs.twimg.com/profile_images/1499082215203868675/HTKhXXIs_normal.png")</f>
        <v>https://pbs.twimg.com/profile_images/1499082215203868675/HTKhXXIs_normal.png</v>
      </c>
      <c r="AW1044" s="82" t="s">
        <v>12722</v>
      </c>
      <c r="AX1044" s="82" t="s">
        <v>12722</v>
      </c>
      <c r="AY1044" s="77"/>
      <c r="AZ1044" s="82" t="s">
        <v>15984</v>
      </c>
      <c r="BA1044" s="82" t="s">
        <v>15984</v>
      </c>
      <c r="BB1044" s="82" t="s">
        <v>15984</v>
      </c>
      <c r="BC1044" s="82" t="s">
        <v>12722</v>
      </c>
      <c r="BD1044" s="82" t="s">
        <v>16303</v>
      </c>
      <c r="BE1044" s="77"/>
      <c r="BF1044" s="77"/>
      <c r="BG1044" s="77"/>
      <c r="BH1044" s="77"/>
      <c r="BI1044" s="77"/>
    </row>
    <row r="1045" spans="1:61" x14ac:dyDescent="0.25">
      <c r="A1045" s="62" t="s">
        <v>570</v>
      </c>
      <c r="B1045" s="62" t="s">
        <v>570</v>
      </c>
      <c r="C1045" s="63"/>
      <c r="D1045" s="64"/>
      <c r="E1045" s="65"/>
      <c r="F1045" s="66"/>
      <c r="G1045" s="63"/>
      <c r="H1045" s="67"/>
      <c r="I1045" s="68"/>
      <c r="J1045" s="68"/>
      <c r="K1045" s="32"/>
      <c r="L1045" s="75">
        <v>1045</v>
      </c>
      <c r="M1045" s="75"/>
      <c r="N1045" s="70"/>
      <c r="O1045" s="77" t="s">
        <v>179</v>
      </c>
      <c r="P1045" s="79">
        <v>45182.48164351852</v>
      </c>
      <c r="Q1045" s="77" t="s">
        <v>1862</v>
      </c>
      <c r="R1045" s="77">
        <v>0</v>
      </c>
      <c r="S1045" s="77">
        <v>0</v>
      </c>
      <c r="T1045" s="77">
        <v>0</v>
      </c>
      <c r="U1045" s="77">
        <v>0</v>
      </c>
      <c r="V1045" s="77">
        <v>27</v>
      </c>
      <c r="W1045" s="82" t="s">
        <v>5342</v>
      </c>
      <c r="X1045" s="80" t="str">
        <f>HYPERLINK("https://www.instagram.com/reel/CxIWGfLusSi/?igshid=MTc4MmM1YmI2Ng==")</f>
        <v>https://www.instagram.com/reel/CxIWGfLusSi/?igshid=MTc4MmM1YmI2Ng==</v>
      </c>
      <c r="Y1045" s="77" t="s">
        <v>6469</v>
      </c>
      <c r="Z1045" s="77"/>
      <c r="AA1045" s="77"/>
      <c r="AB1045" s="77"/>
      <c r="AC1045" s="82" t="s">
        <v>7752</v>
      </c>
      <c r="AD1045" s="77" t="s">
        <v>7788</v>
      </c>
      <c r="AE1045" s="80" t="str">
        <f>HYPERLINK("https://twitter.com/wit_invest/status/1701922062980219258")</f>
        <v>https://twitter.com/wit_invest/status/1701922062980219258</v>
      </c>
      <c r="AF1045" s="79">
        <v>45182.48164351852</v>
      </c>
      <c r="AG1045" s="85">
        <v>45182</v>
      </c>
      <c r="AH1045" s="82" t="s">
        <v>8703</v>
      </c>
      <c r="AI1045" s="77" t="b">
        <v>0</v>
      </c>
      <c r="AJ1045" s="77"/>
      <c r="AK1045" s="77"/>
      <c r="AL1045" s="77"/>
      <c r="AM1045" s="77"/>
      <c r="AN1045" s="77"/>
      <c r="AO1045" s="77"/>
      <c r="AP1045" s="77"/>
      <c r="AQ1045" s="77"/>
      <c r="AR1045" s="77"/>
      <c r="AS1045" s="77"/>
      <c r="AT1045" s="77"/>
      <c r="AU1045" s="77"/>
      <c r="AV1045" s="80" t="str">
        <f>HYPERLINK("https://pbs.twimg.com/profile_images/1499082215203868675/HTKhXXIs_normal.png")</f>
        <v>https://pbs.twimg.com/profile_images/1499082215203868675/HTKhXXIs_normal.png</v>
      </c>
      <c r="AW1045" s="82" t="s">
        <v>12723</v>
      </c>
      <c r="AX1045" s="82" t="s">
        <v>12723</v>
      </c>
      <c r="AY1045" s="77"/>
      <c r="AZ1045" s="82" t="s">
        <v>15984</v>
      </c>
      <c r="BA1045" s="82" t="s">
        <v>15984</v>
      </c>
      <c r="BB1045" s="82" t="s">
        <v>15984</v>
      </c>
      <c r="BC1045" s="82" t="s">
        <v>12723</v>
      </c>
      <c r="BD1045" s="82" t="s">
        <v>16303</v>
      </c>
      <c r="BE1045" s="77"/>
      <c r="BF1045" s="77"/>
      <c r="BG1045" s="77"/>
      <c r="BH1045" s="77"/>
      <c r="BI1045" s="77"/>
    </row>
    <row r="1046" spans="1:61" x14ac:dyDescent="0.25">
      <c r="A1046" s="62" t="s">
        <v>570</v>
      </c>
      <c r="B1046" s="62" t="s">
        <v>570</v>
      </c>
      <c r="C1046" s="63"/>
      <c r="D1046" s="64"/>
      <c r="E1046" s="65"/>
      <c r="F1046" s="66"/>
      <c r="G1046" s="63"/>
      <c r="H1046" s="67"/>
      <c r="I1046" s="68"/>
      <c r="J1046" s="68"/>
      <c r="K1046" s="32"/>
      <c r="L1046" s="75">
        <v>1046</v>
      </c>
      <c r="M1046" s="75"/>
      <c r="N1046" s="70"/>
      <c r="O1046" s="77" t="s">
        <v>179</v>
      </c>
      <c r="P1046" s="79">
        <v>45159.490300925929</v>
      </c>
      <c r="Q1046" s="77" t="s">
        <v>1863</v>
      </c>
      <c r="R1046" s="77">
        <v>0</v>
      </c>
      <c r="S1046" s="77">
        <v>0</v>
      </c>
      <c r="T1046" s="77">
        <v>0</v>
      </c>
      <c r="U1046" s="77">
        <v>0</v>
      </c>
      <c r="V1046" s="77">
        <v>83</v>
      </c>
      <c r="W1046" s="82" t="s">
        <v>5330</v>
      </c>
      <c r="X1046" s="80" t="str">
        <f>HYPERLINK("https://www.instagram.com/reel/CwNIvsLr6QD/?igshid=MTc4MmM1YmI2Ng==")</f>
        <v>https://www.instagram.com/reel/CwNIvsLr6QD/?igshid=MTc4MmM1YmI2Ng==</v>
      </c>
      <c r="Y1046" s="77" t="s">
        <v>6469</v>
      </c>
      <c r="Z1046" s="77"/>
      <c r="AA1046" s="77"/>
      <c r="AB1046" s="77"/>
      <c r="AC1046" s="82" t="s">
        <v>7752</v>
      </c>
      <c r="AD1046" s="77" t="s">
        <v>7788</v>
      </c>
      <c r="AE1046" s="80" t="str">
        <f>HYPERLINK("https://twitter.com/wit_invest/status/1693590277963874688")</f>
        <v>https://twitter.com/wit_invest/status/1693590277963874688</v>
      </c>
      <c r="AF1046" s="79">
        <v>45159.490300925929</v>
      </c>
      <c r="AG1046" s="85">
        <v>45159</v>
      </c>
      <c r="AH1046" s="82" t="s">
        <v>8704</v>
      </c>
      <c r="AI1046" s="77" t="b">
        <v>0</v>
      </c>
      <c r="AJ1046" s="77"/>
      <c r="AK1046" s="77"/>
      <c r="AL1046" s="77"/>
      <c r="AM1046" s="77"/>
      <c r="AN1046" s="77"/>
      <c r="AO1046" s="77"/>
      <c r="AP1046" s="77"/>
      <c r="AQ1046" s="77"/>
      <c r="AR1046" s="77"/>
      <c r="AS1046" s="77"/>
      <c r="AT1046" s="77"/>
      <c r="AU1046" s="77"/>
      <c r="AV1046" s="80" t="str">
        <f>HYPERLINK("https://pbs.twimg.com/profile_images/1499082215203868675/HTKhXXIs_normal.png")</f>
        <v>https://pbs.twimg.com/profile_images/1499082215203868675/HTKhXXIs_normal.png</v>
      </c>
      <c r="AW1046" s="82" t="s">
        <v>12724</v>
      </c>
      <c r="AX1046" s="82" t="s">
        <v>12724</v>
      </c>
      <c r="AY1046" s="77"/>
      <c r="AZ1046" s="82" t="s">
        <v>15984</v>
      </c>
      <c r="BA1046" s="82" t="s">
        <v>15984</v>
      </c>
      <c r="BB1046" s="82" t="s">
        <v>15984</v>
      </c>
      <c r="BC1046" s="82" t="s">
        <v>12724</v>
      </c>
      <c r="BD1046" s="82" t="s">
        <v>16303</v>
      </c>
      <c r="BE1046" s="77"/>
      <c r="BF1046" s="77"/>
      <c r="BG1046" s="77"/>
      <c r="BH1046" s="77"/>
      <c r="BI1046" s="77"/>
    </row>
    <row r="1047" spans="1:61" x14ac:dyDescent="0.25">
      <c r="A1047" s="62" t="s">
        <v>570</v>
      </c>
      <c r="B1047" s="62" t="s">
        <v>570</v>
      </c>
      <c r="C1047" s="63"/>
      <c r="D1047" s="64"/>
      <c r="E1047" s="65"/>
      <c r="F1047" s="66"/>
      <c r="G1047" s="63"/>
      <c r="H1047" s="67"/>
      <c r="I1047" s="68"/>
      <c r="J1047" s="68"/>
      <c r="K1047" s="32"/>
      <c r="L1047" s="75">
        <v>1047</v>
      </c>
      <c r="M1047" s="75"/>
      <c r="N1047" s="70"/>
      <c r="O1047" s="77" t="s">
        <v>179</v>
      </c>
      <c r="P1047" s="79">
        <v>45167.487129629626</v>
      </c>
      <c r="Q1047" s="77" t="s">
        <v>1864</v>
      </c>
      <c r="R1047" s="77">
        <v>0</v>
      </c>
      <c r="S1047" s="77">
        <v>0</v>
      </c>
      <c r="T1047" s="77">
        <v>0</v>
      </c>
      <c r="U1047" s="77">
        <v>0</v>
      </c>
      <c r="V1047" s="77">
        <v>14</v>
      </c>
      <c r="W1047" s="82" t="s">
        <v>5343</v>
      </c>
      <c r="X1047" s="80" t="str">
        <f>HYPERLINK("https://www.instagram.com/reel/CwhvBCiN7T3/?igshid=MTc4MmM1YmI2Ng==")</f>
        <v>https://www.instagram.com/reel/CwhvBCiN7T3/?igshid=MTc4MmM1YmI2Ng==</v>
      </c>
      <c r="Y1047" s="77" t="s">
        <v>6469</v>
      </c>
      <c r="Z1047" s="77"/>
      <c r="AA1047" s="77"/>
      <c r="AB1047" s="77"/>
      <c r="AC1047" s="82" t="s">
        <v>7752</v>
      </c>
      <c r="AD1047" s="77" t="s">
        <v>7788</v>
      </c>
      <c r="AE1047" s="80" t="str">
        <f>HYPERLINK("https://twitter.com/wit_invest/status/1696488231938789701")</f>
        <v>https://twitter.com/wit_invest/status/1696488231938789701</v>
      </c>
      <c r="AF1047" s="79">
        <v>45167.487129629626</v>
      </c>
      <c r="AG1047" s="85">
        <v>45167</v>
      </c>
      <c r="AH1047" s="82" t="s">
        <v>8705</v>
      </c>
      <c r="AI1047" s="77" t="b">
        <v>0</v>
      </c>
      <c r="AJ1047" s="77"/>
      <c r="AK1047" s="77"/>
      <c r="AL1047" s="77"/>
      <c r="AM1047" s="77"/>
      <c r="AN1047" s="77"/>
      <c r="AO1047" s="77"/>
      <c r="AP1047" s="77"/>
      <c r="AQ1047" s="77"/>
      <c r="AR1047" s="77"/>
      <c r="AS1047" s="77"/>
      <c r="AT1047" s="77"/>
      <c r="AU1047" s="77"/>
      <c r="AV1047" s="80" t="str">
        <f>HYPERLINK("https://pbs.twimg.com/profile_images/1499082215203868675/HTKhXXIs_normal.png")</f>
        <v>https://pbs.twimg.com/profile_images/1499082215203868675/HTKhXXIs_normal.png</v>
      </c>
      <c r="AW1047" s="82" t="s">
        <v>12725</v>
      </c>
      <c r="AX1047" s="82" t="s">
        <v>12725</v>
      </c>
      <c r="AY1047" s="77"/>
      <c r="AZ1047" s="82" t="s">
        <v>15984</v>
      </c>
      <c r="BA1047" s="82" t="s">
        <v>15984</v>
      </c>
      <c r="BB1047" s="82" t="s">
        <v>15984</v>
      </c>
      <c r="BC1047" s="82" t="s">
        <v>12725</v>
      </c>
      <c r="BD1047" s="82" t="s">
        <v>16303</v>
      </c>
      <c r="BE1047" s="77"/>
      <c r="BF1047" s="77"/>
      <c r="BG1047" s="77"/>
      <c r="BH1047" s="77"/>
      <c r="BI1047" s="77"/>
    </row>
    <row r="1048" spans="1:61" x14ac:dyDescent="0.25">
      <c r="A1048" s="62" t="s">
        <v>570</v>
      </c>
      <c r="B1048" s="62" t="s">
        <v>570</v>
      </c>
      <c r="C1048" s="63"/>
      <c r="D1048" s="64"/>
      <c r="E1048" s="65"/>
      <c r="F1048" s="66"/>
      <c r="G1048" s="63"/>
      <c r="H1048" s="67"/>
      <c r="I1048" s="68"/>
      <c r="J1048" s="68"/>
      <c r="K1048" s="32"/>
      <c r="L1048" s="75">
        <v>1048</v>
      </c>
      <c r="M1048" s="75"/>
      <c r="N1048" s="70"/>
      <c r="O1048" s="77" t="s">
        <v>179</v>
      </c>
      <c r="P1048" s="79">
        <v>45187.449826388889</v>
      </c>
      <c r="Q1048" s="77" t="s">
        <v>1865</v>
      </c>
      <c r="R1048" s="77">
        <v>0</v>
      </c>
      <c r="S1048" s="77">
        <v>0</v>
      </c>
      <c r="T1048" s="77">
        <v>0</v>
      </c>
      <c r="U1048" s="77">
        <v>0</v>
      </c>
      <c r="V1048" s="77">
        <v>118</v>
      </c>
      <c r="W1048" s="82" t="s">
        <v>5344</v>
      </c>
      <c r="X1048" s="80" t="str">
        <f>HYPERLINK("https://www.instagram.com/reel/CxVI7xYOGr4/?igshid=MTc4MmM1YmI2Ng==")</f>
        <v>https://www.instagram.com/reel/CxVI7xYOGr4/?igshid=MTc4MmM1YmI2Ng==</v>
      </c>
      <c r="Y1048" s="77" t="s">
        <v>6469</v>
      </c>
      <c r="Z1048" s="77"/>
      <c r="AA1048" s="77"/>
      <c r="AB1048" s="77"/>
      <c r="AC1048" s="82" t="s">
        <v>7752</v>
      </c>
      <c r="AD1048" s="77" t="s">
        <v>7788</v>
      </c>
      <c r="AE1048" s="80" t="str">
        <f>HYPERLINK("https://twitter.com/wit_invest/status/1703722470094586156")</f>
        <v>https://twitter.com/wit_invest/status/1703722470094586156</v>
      </c>
      <c r="AF1048" s="79">
        <v>45187.449826388889</v>
      </c>
      <c r="AG1048" s="85">
        <v>45187</v>
      </c>
      <c r="AH1048" s="82" t="s">
        <v>8706</v>
      </c>
      <c r="AI1048" s="77" t="b">
        <v>0</v>
      </c>
      <c r="AJ1048" s="77"/>
      <c r="AK1048" s="77"/>
      <c r="AL1048" s="77"/>
      <c r="AM1048" s="77"/>
      <c r="AN1048" s="77"/>
      <c r="AO1048" s="77"/>
      <c r="AP1048" s="77"/>
      <c r="AQ1048" s="77"/>
      <c r="AR1048" s="77"/>
      <c r="AS1048" s="77"/>
      <c r="AT1048" s="77"/>
      <c r="AU1048" s="77"/>
      <c r="AV1048" s="80" t="str">
        <f>HYPERLINK("https://pbs.twimg.com/profile_images/1499082215203868675/HTKhXXIs_normal.png")</f>
        <v>https://pbs.twimg.com/profile_images/1499082215203868675/HTKhXXIs_normal.png</v>
      </c>
      <c r="AW1048" s="82" t="s">
        <v>12726</v>
      </c>
      <c r="AX1048" s="82" t="s">
        <v>12726</v>
      </c>
      <c r="AY1048" s="77"/>
      <c r="AZ1048" s="82" t="s">
        <v>15984</v>
      </c>
      <c r="BA1048" s="82" t="s">
        <v>15984</v>
      </c>
      <c r="BB1048" s="82" t="s">
        <v>15984</v>
      </c>
      <c r="BC1048" s="82" t="s">
        <v>12726</v>
      </c>
      <c r="BD1048" s="82" t="s">
        <v>16303</v>
      </c>
      <c r="BE1048" s="77"/>
      <c r="BF1048" s="77"/>
      <c r="BG1048" s="77"/>
      <c r="BH1048" s="77"/>
      <c r="BI1048" s="77"/>
    </row>
    <row r="1049" spans="1:61" x14ac:dyDescent="0.25">
      <c r="A1049" s="62" t="s">
        <v>570</v>
      </c>
      <c r="B1049" s="62" t="s">
        <v>570</v>
      </c>
      <c r="C1049" s="63"/>
      <c r="D1049" s="64"/>
      <c r="E1049" s="65"/>
      <c r="F1049" s="66"/>
      <c r="G1049" s="63"/>
      <c r="H1049" s="67"/>
      <c r="I1049" s="68"/>
      <c r="J1049" s="68"/>
      <c r="K1049" s="32"/>
      <c r="L1049" s="75">
        <v>1049</v>
      </c>
      <c r="M1049" s="75"/>
      <c r="N1049" s="70"/>
      <c r="O1049" s="77" t="s">
        <v>179</v>
      </c>
      <c r="P1049" s="79">
        <v>45142.456041666665</v>
      </c>
      <c r="Q1049" s="77" t="s">
        <v>1866</v>
      </c>
      <c r="R1049" s="77">
        <v>0</v>
      </c>
      <c r="S1049" s="77">
        <v>0</v>
      </c>
      <c r="T1049" s="77">
        <v>0</v>
      </c>
      <c r="U1049" s="77">
        <v>0</v>
      </c>
      <c r="V1049" s="77">
        <v>26</v>
      </c>
      <c r="W1049" s="82" t="s">
        <v>5345</v>
      </c>
      <c r="X1049" s="80" t="str">
        <f>HYPERLINK("https://www.instagram.com/reel/CvhR7tdvp7c/?igshid=MTc4MmM1YmI2Ng==")</f>
        <v>https://www.instagram.com/reel/CvhR7tdvp7c/?igshid=MTc4MmM1YmI2Ng==</v>
      </c>
      <c r="Y1049" s="77" t="s">
        <v>6469</v>
      </c>
      <c r="Z1049" s="77"/>
      <c r="AA1049" s="77"/>
      <c r="AB1049" s="77"/>
      <c r="AC1049" s="82" t="s">
        <v>7752</v>
      </c>
      <c r="AD1049" s="77" t="s">
        <v>7788</v>
      </c>
      <c r="AE1049" s="80" t="str">
        <f>HYPERLINK("https://twitter.com/wit_invest/status/1687417269360455681")</f>
        <v>https://twitter.com/wit_invest/status/1687417269360455681</v>
      </c>
      <c r="AF1049" s="79">
        <v>45142.456041666665</v>
      </c>
      <c r="AG1049" s="85">
        <v>45142</v>
      </c>
      <c r="AH1049" s="82" t="s">
        <v>8707</v>
      </c>
      <c r="AI1049" s="77" t="b">
        <v>0</v>
      </c>
      <c r="AJ1049" s="77"/>
      <c r="AK1049" s="77"/>
      <c r="AL1049" s="77"/>
      <c r="AM1049" s="77"/>
      <c r="AN1049" s="77"/>
      <c r="AO1049" s="77"/>
      <c r="AP1049" s="77"/>
      <c r="AQ1049" s="77"/>
      <c r="AR1049" s="77"/>
      <c r="AS1049" s="77"/>
      <c r="AT1049" s="77"/>
      <c r="AU1049" s="77"/>
      <c r="AV1049" s="80" t="str">
        <f>HYPERLINK("https://pbs.twimg.com/profile_images/1499082215203868675/HTKhXXIs_normal.png")</f>
        <v>https://pbs.twimg.com/profile_images/1499082215203868675/HTKhXXIs_normal.png</v>
      </c>
      <c r="AW1049" s="82" t="s">
        <v>12727</v>
      </c>
      <c r="AX1049" s="82" t="s">
        <v>12727</v>
      </c>
      <c r="AY1049" s="77"/>
      <c r="AZ1049" s="82" t="s">
        <v>15984</v>
      </c>
      <c r="BA1049" s="82" t="s">
        <v>15984</v>
      </c>
      <c r="BB1049" s="82" t="s">
        <v>15984</v>
      </c>
      <c r="BC1049" s="82" t="s">
        <v>12727</v>
      </c>
      <c r="BD1049" s="82" t="s">
        <v>16303</v>
      </c>
      <c r="BE1049" s="77"/>
      <c r="BF1049" s="77"/>
      <c r="BG1049" s="77"/>
      <c r="BH1049" s="77"/>
      <c r="BI1049" s="77"/>
    </row>
    <row r="1050" spans="1:61" x14ac:dyDescent="0.25">
      <c r="A1050" s="62" t="s">
        <v>571</v>
      </c>
      <c r="B1050" s="62" t="s">
        <v>571</v>
      </c>
      <c r="C1050" s="63"/>
      <c r="D1050" s="64"/>
      <c r="E1050" s="65"/>
      <c r="F1050" s="66"/>
      <c r="G1050" s="63"/>
      <c r="H1050" s="67"/>
      <c r="I1050" s="68"/>
      <c r="J1050" s="68"/>
      <c r="K1050" s="32"/>
      <c r="L1050" s="75">
        <v>1050</v>
      </c>
      <c r="M1050" s="75"/>
      <c r="N1050" s="70"/>
      <c r="O1050" s="77" t="s">
        <v>179</v>
      </c>
      <c r="P1050" s="79">
        <v>45188.517152777778</v>
      </c>
      <c r="Q1050" s="77" t="s">
        <v>1867</v>
      </c>
      <c r="R1050" s="77">
        <v>0</v>
      </c>
      <c r="S1050" s="77">
        <v>1</v>
      </c>
      <c r="T1050" s="77">
        <v>0</v>
      </c>
      <c r="U1050" s="77">
        <v>0</v>
      </c>
      <c r="V1050" s="77">
        <v>10</v>
      </c>
      <c r="W1050" s="82" t="s">
        <v>5346</v>
      </c>
      <c r="X1050" s="77"/>
      <c r="Y1050" s="77"/>
      <c r="Z1050" s="77"/>
      <c r="AA1050" s="77" t="s">
        <v>7216</v>
      </c>
      <c r="AB1050" s="77" t="s">
        <v>7742</v>
      </c>
      <c r="AC1050" s="82" t="s">
        <v>7750</v>
      </c>
      <c r="AD1050" s="77" t="s">
        <v>7788</v>
      </c>
      <c r="AE1050" s="80" t="str">
        <f>HYPERLINK("https://twitter.com/6trading_/status/1704109256041980277")</f>
        <v>https://twitter.com/6trading_/status/1704109256041980277</v>
      </c>
      <c r="AF1050" s="79">
        <v>45188.517152777778</v>
      </c>
      <c r="AG1050" s="85">
        <v>45188</v>
      </c>
      <c r="AH1050" s="82" t="s">
        <v>8708</v>
      </c>
      <c r="AI1050" s="77" t="b">
        <v>0</v>
      </c>
      <c r="AJ1050" s="77"/>
      <c r="AK1050" s="77"/>
      <c r="AL1050" s="77"/>
      <c r="AM1050" s="77"/>
      <c r="AN1050" s="77"/>
      <c r="AO1050" s="77"/>
      <c r="AP1050" s="77"/>
      <c r="AQ1050" s="77" t="s">
        <v>11188</v>
      </c>
      <c r="AR1050" s="77"/>
      <c r="AS1050" s="77"/>
      <c r="AT1050" s="77"/>
      <c r="AU1050" s="77"/>
      <c r="AV1050" s="80" t="str">
        <f>HYPERLINK("https://pbs.twimg.com/media/F6Y14IQWUAA4NfC.png")</f>
        <v>https://pbs.twimg.com/media/F6Y14IQWUAA4NfC.png</v>
      </c>
      <c r="AW1050" s="82" t="s">
        <v>12728</v>
      </c>
      <c r="AX1050" s="82" t="s">
        <v>12728</v>
      </c>
      <c r="AY1050" s="77"/>
      <c r="AZ1050" s="82" t="s">
        <v>15984</v>
      </c>
      <c r="BA1050" s="82" t="s">
        <v>15984</v>
      </c>
      <c r="BB1050" s="82" t="s">
        <v>15984</v>
      </c>
      <c r="BC1050" s="82" t="s">
        <v>12728</v>
      </c>
      <c r="BD1050" s="82" t="s">
        <v>16304</v>
      </c>
      <c r="BE1050" s="77"/>
      <c r="BF1050" s="77"/>
      <c r="BG1050" s="77"/>
      <c r="BH1050" s="77"/>
      <c r="BI1050" s="77"/>
    </row>
    <row r="1051" spans="1:61" x14ac:dyDescent="0.25">
      <c r="A1051" s="62" t="s">
        <v>572</v>
      </c>
      <c r="B1051" s="62" t="s">
        <v>572</v>
      </c>
      <c r="C1051" s="63"/>
      <c r="D1051" s="64"/>
      <c r="E1051" s="65"/>
      <c r="F1051" s="66"/>
      <c r="G1051" s="63"/>
      <c r="H1051" s="67"/>
      <c r="I1051" s="68"/>
      <c r="J1051" s="68"/>
      <c r="K1051" s="32"/>
      <c r="L1051" s="75">
        <v>1051</v>
      </c>
      <c r="M1051" s="75"/>
      <c r="N1051" s="70"/>
      <c r="O1051" s="77" t="s">
        <v>898</v>
      </c>
      <c r="P1051" s="79">
        <v>45170.718993055554</v>
      </c>
      <c r="Q1051" s="77" t="s">
        <v>1868</v>
      </c>
      <c r="R1051" s="77">
        <v>0</v>
      </c>
      <c r="S1051" s="77">
        <v>0</v>
      </c>
      <c r="T1051" s="77">
        <v>0</v>
      </c>
      <c r="U1051" s="77">
        <v>0</v>
      </c>
      <c r="V1051" s="77">
        <v>375</v>
      </c>
      <c r="W1051" s="82" t="s">
        <v>5347</v>
      </c>
      <c r="X1051" s="77"/>
      <c r="Y1051" s="77"/>
      <c r="Z1051" s="77"/>
      <c r="AA1051" s="77"/>
      <c r="AB1051" s="77"/>
      <c r="AC1051" s="82" t="s">
        <v>7750</v>
      </c>
      <c r="AD1051" s="77" t="s">
        <v>7790</v>
      </c>
      <c r="AE1051" s="80" t="str">
        <f>HYPERLINK("https://twitter.com/unlamoficial/status/1697659420757385468")</f>
        <v>https://twitter.com/unlamoficial/status/1697659420757385468</v>
      </c>
      <c r="AF1051" s="79">
        <v>45170.718993055554</v>
      </c>
      <c r="AG1051" s="85">
        <v>45170</v>
      </c>
      <c r="AH1051" s="82" t="s">
        <v>8709</v>
      </c>
      <c r="AI1051" s="77"/>
      <c r="AJ1051" s="77"/>
      <c r="AK1051" s="77"/>
      <c r="AL1051" s="77"/>
      <c r="AM1051" s="77"/>
      <c r="AN1051" s="77"/>
      <c r="AO1051" s="77"/>
      <c r="AP1051" s="77"/>
      <c r="AQ1051" s="77"/>
      <c r="AR1051" s="77"/>
      <c r="AS1051" s="77"/>
      <c r="AT1051" s="77"/>
      <c r="AU1051" s="77"/>
      <c r="AV1051" s="80" t="str">
        <f>HYPERLINK("https://pbs.twimg.com/profile_images/1674484858486136849/WrzkTMAr_normal.jpg")</f>
        <v>https://pbs.twimg.com/profile_images/1674484858486136849/WrzkTMAr_normal.jpg</v>
      </c>
      <c r="AW1051" s="82" t="s">
        <v>12729</v>
      </c>
      <c r="AX1051" s="82" t="s">
        <v>15845</v>
      </c>
      <c r="AY1051" s="82" t="s">
        <v>15962</v>
      </c>
      <c r="AZ1051" s="82" t="s">
        <v>16057</v>
      </c>
      <c r="BA1051" s="82" t="s">
        <v>15984</v>
      </c>
      <c r="BB1051" s="82" t="s">
        <v>15984</v>
      </c>
      <c r="BC1051" s="82" t="s">
        <v>16057</v>
      </c>
      <c r="BD1051" s="82" t="s">
        <v>15962</v>
      </c>
      <c r="BE1051" s="77"/>
      <c r="BF1051" s="77"/>
      <c r="BG1051" s="77"/>
      <c r="BH1051" s="77"/>
      <c r="BI1051" s="77"/>
    </row>
    <row r="1052" spans="1:61" x14ac:dyDescent="0.25">
      <c r="A1052" s="62" t="s">
        <v>573</v>
      </c>
      <c r="B1052" s="62" t="s">
        <v>573</v>
      </c>
      <c r="C1052" s="63"/>
      <c r="D1052" s="64"/>
      <c r="E1052" s="65"/>
      <c r="F1052" s="66"/>
      <c r="G1052" s="63"/>
      <c r="H1052" s="67"/>
      <c r="I1052" s="68"/>
      <c r="J1052" s="68"/>
      <c r="K1052" s="32"/>
      <c r="L1052" s="75">
        <v>1052</v>
      </c>
      <c r="M1052" s="75"/>
      <c r="N1052" s="70"/>
      <c r="O1052" s="77" t="s">
        <v>179</v>
      </c>
      <c r="P1052" s="79">
        <v>45193.28528935185</v>
      </c>
      <c r="Q1052" s="77" t="s">
        <v>1014</v>
      </c>
      <c r="R1052" s="77">
        <v>0</v>
      </c>
      <c r="S1052" s="77">
        <v>0</v>
      </c>
      <c r="T1052" s="77">
        <v>0</v>
      </c>
      <c r="U1052" s="77">
        <v>0</v>
      </c>
      <c r="V1052" s="77">
        <v>10</v>
      </c>
      <c r="W1052" s="82" t="s">
        <v>4849</v>
      </c>
      <c r="X1052" s="77"/>
      <c r="Y1052" s="77"/>
      <c r="Z1052" s="77"/>
      <c r="AA1052" s="77"/>
      <c r="AB1052" s="77"/>
      <c r="AC1052" s="82" t="s">
        <v>7750</v>
      </c>
      <c r="AD1052" s="77" t="s">
        <v>7789</v>
      </c>
      <c r="AE1052" s="80" t="str">
        <f>HYPERLINK("https://twitter.com/psych_stock/status/1705837171255419033")</f>
        <v>https://twitter.com/psych_stock/status/1705837171255419033</v>
      </c>
      <c r="AF1052" s="79">
        <v>45193.28528935185</v>
      </c>
      <c r="AG1052" s="85">
        <v>45193</v>
      </c>
      <c r="AH1052" s="82" t="s">
        <v>8710</v>
      </c>
      <c r="AI1052" s="77"/>
      <c r="AJ1052" s="77"/>
      <c r="AK1052" s="77"/>
      <c r="AL1052" s="77"/>
      <c r="AM1052" s="77"/>
      <c r="AN1052" s="77"/>
      <c r="AO1052" s="77"/>
      <c r="AP1052" s="77"/>
      <c r="AQ1052" s="77"/>
      <c r="AR1052" s="77"/>
      <c r="AS1052" s="77"/>
      <c r="AT1052" s="77"/>
      <c r="AU1052" s="77"/>
      <c r="AV1052" s="80" t="str">
        <f>HYPERLINK("https://pbs.twimg.com/profile_images/1699367781999706112/iB48F52b_normal.jpg")</f>
        <v>https://pbs.twimg.com/profile_images/1699367781999706112/iB48F52b_normal.jpg</v>
      </c>
      <c r="AW1052" s="82" t="s">
        <v>12730</v>
      </c>
      <c r="AX1052" s="82" t="s">
        <v>12730</v>
      </c>
      <c r="AY1052" s="77"/>
      <c r="AZ1052" s="82" t="s">
        <v>15984</v>
      </c>
      <c r="BA1052" s="82" t="s">
        <v>15984</v>
      </c>
      <c r="BB1052" s="82" t="s">
        <v>15984</v>
      </c>
      <c r="BC1052" s="82" t="s">
        <v>12730</v>
      </c>
      <c r="BD1052" s="82" t="s">
        <v>16305</v>
      </c>
      <c r="BE1052" s="77"/>
      <c r="BF1052" s="77"/>
      <c r="BG1052" s="77"/>
      <c r="BH1052" s="77"/>
      <c r="BI1052" s="77"/>
    </row>
    <row r="1053" spans="1:61" x14ac:dyDescent="0.25">
      <c r="A1053" s="62" t="s">
        <v>574</v>
      </c>
      <c r="B1053" s="62" t="s">
        <v>816</v>
      </c>
      <c r="C1053" s="63"/>
      <c r="D1053" s="64"/>
      <c r="E1053" s="65"/>
      <c r="F1053" s="66"/>
      <c r="G1053" s="63"/>
      <c r="H1053" s="67"/>
      <c r="I1053" s="68"/>
      <c r="J1053" s="68"/>
      <c r="K1053" s="32"/>
      <c r="L1053" s="75">
        <v>1053</v>
      </c>
      <c r="M1053" s="75"/>
      <c r="N1053" s="70"/>
      <c r="O1053" s="77" t="s">
        <v>895</v>
      </c>
      <c r="P1053" s="79">
        <v>45152.833391203705</v>
      </c>
      <c r="Q1053" s="77" t="s">
        <v>1869</v>
      </c>
      <c r="R1053" s="77">
        <v>0</v>
      </c>
      <c r="S1053" s="77">
        <v>0</v>
      </c>
      <c r="T1053" s="77">
        <v>0</v>
      </c>
      <c r="U1053" s="77">
        <v>0</v>
      </c>
      <c r="V1053" s="77">
        <v>10</v>
      </c>
      <c r="W1053" s="82" t="s">
        <v>5348</v>
      </c>
      <c r="X1053" s="77"/>
      <c r="Y1053" s="77"/>
      <c r="Z1053" s="77" t="s">
        <v>6584</v>
      </c>
      <c r="AA1053" s="77"/>
      <c r="AB1053" s="77"/>
      <c r="AC1053" s="82" t="s">
        <v>7750</v>
      </c>
      <c r="AD1053" s="77" t="s">
        <v>7788</v>
      </c>
      <c r="AE1053" s="80" t="str">
        <f>HYPERLINK("https://twitter.com/paulotec96/status/1691177895597604864")</f>
        <v>https://twitter.com/paulotec96/status/1691177895597604864</v>
      </c>
      <c r="AF1053" s="79">
        <v>45152.833391203705</v>
      </c>
      <c r="AG1053" s="85">
        <v>45152</v>
      </c>
      <c r="AH1053" s="82" t="s">
        <v>8711</v>
      </c>
      <c r="AI1053" s="77"/>
      <c r="AJ1053" s="77"/>
      <c r="AK1053" s="77"/>
      <c r="AL1053" s="77"/>
      <c r="AM1053" s="77"/>
      <c r="AN1053" s="77"/>
      <c r="AO1053" s="77"/>
      <c r="AP1053" s="77"/>
      <c r="AQ1053" s="77"/>
      <c r="AR1053" s="77"/>
      <c r="AS1053" s="77"/>
      <c r="AT1053" s="77"/>
      <c r="AU1053" s="77"/>
      <c r="AV1053" s="80" t="str">
        <f>HYPERLINK("https://pbs.twimg.com/profile_images/1174153558658310148/mbX5fAp5_normal.jpg")</f>
        <v>https://pbs.twimg.com/profile_images/1174153558658310148/mbX5fAp5_normal.jpg</v>
      </c>
      <c r="AW1053" s="82" t="s">
        <v>12731</v>
      </c>
      <c r="AX1053" s="82" t="s">
        <v>12731</v>
      </c>
      <c r="AY1053" s="77"/>
      <c r="AZ1053" s="82" t="s">
        <v>15984</v>
      </c>
      <c r="BA1053" s="82" t="s">
        <v>15984</v>
      </c>
      <c r="BB1053" s="82" t="s">
        <v>15984</v>
      </c>
      <c r="BC1053" s="82" t="s">
        <v>12731</v>
      </c>
      <c r="BD1053" s="82" t="s">
        <v>16306</v>
      </c>
      <c r="BE1053" s="77"/>
      <c r="BF1053" s="77"/>
      <c r="BG1053" s="77"/>
      <c r="BH1053" s="77"/>
      <c r="BI1053" s="77"/>
    </row>
    <row r="1054" spans="1:61" x14ac:dyDescent="0.25">
      <c r="A1054" s="62" t="s">
        <v>574</v>
      </c>
      <c r="B1054" s="62" t="s">
        <v>787</v>
      </c>
      <c r="C1054" s="63"/>
      <c r="D1054" s="64"/>
      <c r="E1054" s="65"/>
      <c r="F1054" s="66"/>
      <c r="G1054" s="63"/>
      <c r="H1054" s="67"/>
      <c r="I1054" s="68"/>
      <c r="J1054" s="68"/>
      <c r="K1054" s="32"/>
      <c r="L1054" s="75">
        <v>1054</v>
      </c>
      <c r="M1054" s="75"/>
      <c r="N1054" s="70"/>
      <c r="O1054" s="77" t="s">
        <v>895</v>
      </c>
      <c r="P1054" s="79">
        <v>45152.833391203705</v>
      </c>
      <c r="Q1054" s="77" t="s">
        <v>1869</v>
      </c>
      <c r="R1054" s="77">
        <v>0</v>
      </c>
      <c r="S1054" s="77">
        <v>0</v>
      </c>
      <c r="T1054" s="77">
        <v>0</v>
      </c>
      <c r="U1054" s="77">
        <v>0</v>
      </c>
      <c r="V1054" s="77">
        <v>10</v>
      </c>
      <c r="W1054" s="82" t="s">
        <v>5348</v>
      </c>
      <c r="X1054" s="77"/>
      <c r="Y1054" s="77"/>
      <c r="Z1054" s="77" t="s">
        <v>6584</v>
      </c>
      <c r="AA1054" s="77"/>
      <c r="AB1054" s="77"/>
      <c r="AC1054" s="82" t="s">
        <v>7750</v>
      </c>
      <c r="AD1054" s="77" t="s">
        <v>7788</v>
      </c>
      <c r="AE1054" s="80" t="str">
        <f>HYPERLINK("https://twitter.com/paulotec96/status/1691177895597604864")</f>
        <v>https://twitter.com/paulotec96/status/1691177895597604864</v>
      </c>
      <c r="AF1054" s="79">
        <v>45152.833391203705</v>
      </c>
      <c r="AG1054" s="85">
        <v>45152</v>
      </c>
      <c r="AH1054" s="82" t="s">
        <v>8711</v>
      </c>
      <c r="AI1054" s="77"/>
      <c r="AJ1054" s="77"/>
      <c r="AK1054" s="77"/>
      <c r="AL1054" s="77"/>
      <c r="AM1054" s="77"/>
      <c r="AN1054" s="77"/>
      <c r="AO1054" s="77"/>
      <c r="AP1054" s="77"/>
      <c r="AQ1054" s="77"/>
      <c r="AR1054" s="77"/>
      <c r="AS1054" s="77"/>
      <c r="AT1054" s="77"/>
      <c r="AU1054" s="77"/>
      <c r="AV1054" s="80" t="str">
        <f>HYPERLINK("https://pbs.twimg.com/profile_images/1174153558658310148/mbX5fAp5_normal.jpg")</f>
        <v>https://pbs.twimg.com/profile_images/1174153558658310148/mbX5fAp5_normal.jpg</v>
      </c>
      <c r="AW1054" s="82" t="s">
        <v>12731</v>
      </c>
      <c r="AX1054" s="82" t="s">
        <v>12731</v>
      </c>
      <c r="AY1054" s="77"/>
      <c r="AZ1054" s="82" t="s">
        <v>15984</v>
      </c>
      <c r="BA1054" s="82" t="s">
        <v>15984</v>
      </c>
      <c r="BB1054" s="82" t="s">
        <v>15984</v>
      </c>
      <c r="BC1054" s="82" t="s">
        <v>12731</v>
      </c>
      <c r="BD1054" s="82" t="s">
        <v>16306</v>
      </c>
      <c r="BE1054" s="77"/>
      <c r="BF1054" s="77"/>
      <c r="BG1054" s="77"/>
      <c r="BH1054" s="77"/>
      <c r="BI1054" s="77"/>
    </row>
    <row r="1055" spans="1:61" x14ac:dyDescent="0.25">
      <c r="A1055" s="62" t="s">
        <v>575</v>
      </c>
      <c r="B1055" s="62" t="s">
        <v>575</v>
      </c>
      <c r="C1055" s="63"/>
      <c r="D1055" s="64"/>
      <c r="E1055" s="65"/>
      <c r="F1055" s="66"/>
      <c r="G1055" s="63"/>
      <c r="H1055" s="67"/>
      <c r="I1055" s="68"/>
      <c r="J1055" s="68"/>
      <c r="K1055" s="32"/>
      <c r="L1055" s="75">
        <v>1055</v>
      </c>
      <c r="M1055" s="75"/>
      <c r="N1055" s="70"/>
      <c r="O1055" s="77" t="s">
        <v>179</v>
      </c>
      <c r="P1055" s="79">
        <v>45120.539143518516</v>
      </c>
      <c r="Q1055" s="77" t="s">
        <v>1870</v>
      </c>
      <c r="R1055" s="77">
        <v>26</v>
      </c>
      <c r="S1055" s="77">
        <v>20</v>
      </c>
      <c r="T1055" s="77">
        <v>1</v>
      </c>
      <c r="U1055" s="77">
        <v>1</v>
      </c>
      <c r="V1055" s="77">
        <v>394</v>
      </c>
      <c r="W1055" s="82" t="s">
        <v>5349</v>
      </c>
      <c r="X1055" s="77"/>
      <c r="Y1055" s="77"/>
      <c r="Z1055" s="77"/>
      <c r="AA1055" s="77"/>
      <c r="AB1055" s="77"/>
      <c r="AC1055" s="82" t="s">
        <v>7750</v>
      </c>
      <c r="AD1055" s="77" t="s">
        <v>7789</v>
      </c>
      <c r="AE1055" s="80" t="str">
        <f>HYPERLINK("https://twitter.com/combsandream/status/1679474850715553792")</f>
        <v>https://twitter.com/combsandream/status/1679474850715553792</v>
      </c>
      <c r="AF1055" s="79">
        <v>45120.539143518516</v>
      </c>
      <c r="AG1055" s="85">
        <v>45120</v>
      </c>
      <c r="AH1055" s="82" t="s">
        <v>8712</v>
      </c>
      <c r="AI1055" s="77"/>
      <c r="AJ1055" s="77"/>
      <c r="AK1055" s="77"/>
      <c r="AL1055" s="77"/>
      <c r="AM1055" s="77"/>
      <c r="AN1055" s="77"/>
      <c r="AO1055" s="77"/>
      <c r="AP1055" s="77"/>
      <c r="AQ1055" s="77"/>
      <c r="AR1055" s="77"/>
      <c r="AS1055" s="77"/>
      <c r="AT1055" s="77"/>
      <c r="AU1055" s="77"/>
      <c r="AV1055" s="80" t="str">
        <f>HYPERLINK("https://pbs.twimg.com/profile_images/1520436949554716672/9Jk2BvHB_normal.jpg")</f>
        <v>https://pbs.twimg.com/profile_images/1520436949554716672/9Jk2BvHB_normal.jpg</v>
      </c>
      <c r="AW1055" s="82" t="s">
        <v>12732</v>
      </c>
      <c r="AX1055" s="82" t="s">
        <v>12732</v>
      </c>
      <c r="AY1055" s="77"/>
      <c r="AZ1055" s="82" t="s">
        <v>15984</v>
      </c>
      <c r="BA1055" s="82" t="s">
        <v>15984</v>
      </c>
      <c r="BB1055" s="82" t="s">
        <v>15984</v>
      </c>
      <c r="BC1055" s="82" t="s">
        <v>12732</v>
      </c>
      <c r="BD1055" s="77">
        <v>3029805290</v>
      </c>
      <c r="BE1055" s="77"/>
      <c r="BF1055" s="77"/>
      <c r="BG1055" s="77"/>
      <c r="BH1055" s="77"/>
      <c r="BI1055" s="77"/>
    </row>
    <row r="1056" spans="1:61" x14ac:dyDescent="0.25">
      <c r="A1056" s="62" t="s">
        <v>576</v>
      </c>
      <c r="B1056" s="62" t="s">
        <v>576</v>
      </c>
      <c r="C1056" s="63"/>
      <c r="D1056" s="64"/>
      <c r="E1056" s="65"/>
      <c r="F1056" s="66"/>
      <c r="G1056" s="63"/>
      <c r="H1056" s="67"/>
      <c r="I1056" s="68"/>
      <c r="J1056" s="68"/>
      <c r="K1056" s="32"/>
      <c r="L1056" s="75">
        <v>1056</v>
      </c>
      <c r="M1056" s="75"/>
      <c r="N1056" s="70"/>
      <c r="O1056" s="77" t="s">
        <v>179</v>
      </c>
      <c r="P1056" s="79">
        <v>45163.01258101852</v>
      </c>
      <c r="Q1056" s="77" t="s">
        <v>1871</v>
      </c>
      <c r="R1056" s="77">
        <v>0</v>
      </c>
      <c r="S1056" s="77">
        <v>1</v>
      </c>
      <c r="T1056" s="77">
        <v>0</v>
      </c>
      <c r="U1056" s="77">
        <v>0</v>
      </c>
      <c r="V1056" s="77">
        <v>33</v>
      </c>
      <c r="W1056" s="82" t="s">
        <v>5350</v>
      </c>
      <c r="X1056" s="80" t="str">
        <f>HYPERLINK("https://youtu.be/uKX_ljPsFFE?si=9iLTdX6i8QLAb7dy")</f>
        <v>https://youtu.be/uKX_ljPsFFE?si=9iLTdX6i8QLAb7dy</v>
      </c>
      <c r="Y1056" s="77" t="s">
        <v>6472</v>
      </c>
      <c r="Z1056" s="77"/>
      <c r="AA1056" s="77"/>
      <c r="AB1056" s="77"/>
      <c r="AC1056" s="82" t="s">
        <v>7750</v>
      </c>
      <c r="AD1056" s="77" t="s">
        <v>7788</v>
      </c>
      <c r="AE1056" s="80" t="str">
        <f>HYPERLINK("https://twitter.com/lucaspereira_ef/status/1694866710019309643")</f>
        <v>https://twitter.com/lucaspereira_ef/status/1694866710019309643</v>
      </c>
      <c r="AF1056" s="79">
        <v>45163.01258101852</v>
      </c>
      <c r="AG1056" s="85">
        <v>45163</v>
      </c>
      <c r="AH1056" s="82" t="s">
        <v>8713</v>
      </c>
      <c r="AI1056" s="77" t="b">
        <v>0</v>
      </c>
      <c r="AJ1056" s="77"/>
      <c r="AK1056" s="77"/>
      <c r="AL1056" s="77"/>
      <c r="AM1056" s="77"/>
      <c r="AN1056" s="77"/>
      <c r="AO1056" s="77"/>
      <c r="AP1056" s="77"/>
      <c r="AQ1056" s="77"/>
      <c r="AR1056" s="77"/>
      <c r="AS1056" s="77"/>
      <c r="AT1056" s="77"/>
      <c r="AU1056" s="77"/>
      <c r="AV1056" s="80" t="str">
        <f>HYPERLINK("https://pbs.twimg.com/profile_images/1628185029837832193/Qb7BI_Jj_normal.jpg")</f>
        <v>https://pbs.twimg.com/profile_images/1628185029837832193/Qb7BI_Jj_normal.jpg</v>
      </c>
      <c r="AW1056" s="82" t="s">
        <v>12733</v>
      </c>
      <c r="AX1056" s="82" t="s">
        <v>12733</v>
      </c>
      <c r="AY1056" s="77"/>
      <c r="AZ1056" s="82" t="s">
        <v>15984</v>
      </c>
      <c r="BA1056" s="82" t="s">
        <v>15984</v>
      </c>
      <c r="BB1056" s="82" t="s">
        <v>15984</v>
      </c>
      <c r="BC1056" s="82" t="s">
        <v>12733</v>
      </c>
      <c r="BD1056" s="82" t="s">
        <v>16307</v>
      </c>
      <c r="BE1056" s="77"/>
      <c r="BF1056" s="77"/>
      <c r="BG1056" s="77"/>
      <c r="BH1056" s="77"/>
      <c r="BI1056" s="77"/>
    </row>
    <row r="1057" spans="1:61" x14ac:dyDescent="0.25">
      <c r="A1057" s="62" t="s">
        <v>576</v>
      </c>
      <c r="B1057" s="62" t="s">
        <v>576</v>
      </c>
      <c r="C1057" s="63"/>
      <c r="D1057" s="64"/>
      <c r="E1057" s="65"/>
      <c r="F1057" s="66"/>
      <c r="G1057" s="63"/>
      <c r="H1057" s="67"/>
      <c r="I1057" s="68"/>
      <c r="J1057" s="68"/>
      <c r="K1057" s="32"/>
      <c r="L1057" s="75">
        <v>1057</v>
      </c>
      <c r="M1057" s="75"/>
      <c r="N1057" s="70"/>
      <c r="O1057" s="77" t="s">
        <v>179</v>
      </c>
      <c r="P1057" s="79">
        <v>45180.012245370373</v>
      </c>
      <c r="Q1057" s="77" t="s">
        <v>1872</v>
      </c>
      <c r="R1057" s="77">
        <v>0</v>
      </c>
      <c r="S1057" s="77">
        <v>1</v>
      </c>
      <c r="T1057" s="77">
        <v>0</v>
      </c>
      <c r="U1057" s="77">
        <v>0</v>
      </c>
      <c r="V1057" s="77">
        <v>66</v>
      </c>
      <c r="W1057" s="82" t="s">
        <v>5351</v>
      </c>
      <c r="X1057" s="80" t="str">
        <f>HYPERLINK("https://youtu.be/-mU1zA5hmZ8?si=420QhbrmkAfWR8sp")</f>
        <v>https://youtu.be/-mU1zA5hmZ8?si=420QhbrmkAfWR8sp</v>
      </c>
      <c r="Y1057" s="77" t="s">
        <v>6472</v>
      </c>
      <c r="Z1057" s="77"/>
      <c r="AA1057" s="77"/>
      <c r="AB1057" s="77"/>
      <c r="AC1057" s="82" t="s">
        <v>7750</v>
      </c>
      <c r="AD1057" s="77" t="s">
        <v>7788</v>
      </c>
      <c r="AE1057" s="80" t="str">
        <f>HYPERLINK("https://twitter.com/lucaspereira_ef/status/1701027181499949466")</f>
        <v>https://twitter.com/lucaspereira_ef/status/1701027181499949466</v>
      </c>
      <c r="AF1057" s="79">
        <v>45180.012245370373</v>
      </c>
      <c r="AG1057" s="85">
        <v>45180</v>
      </c>
      <c r="AH1057" s="82" t="s">
        <v>8714</v>
      </c>
      <c r="AI1057" s="77" t="b">
        <v>0</v>
      </c>
      <c r="AJ1057" s="77"/>
      <c r="AK1057" s="77"/>
      <c r="AL1057" s="77"/>
      <c r="AM1057" s="77"/>
      <c r="AN1057" s="77"/>
      <c r="AO1057" s="77"/>
      <c r="AP1057" s="77"/>
      <c r="AQ1057" s="77"/>
      <c r="AR1057" s="77"/>
      <c r="AS1057" s="77"/>
      <c r="AT1057" s="77"/>
      <c r="AU1057" s="77"/>
      <c r="AV1057" s="80" t="str">
        <f>HYPERLINK("https://pbs.twimg.com/profile_images/1628185029837832193/Qb7BI_Jj_normal.jpg")</f>
        <v>https://pbs.twimg.com/profile_images/1628185029837832193/Qb7BI_Jj_normal.jpg</v>
      </c>
      <c r="AW1057" s="82" t="s">
        <v>12734</v>
      </c>
      <c r="AX1057" s="82" t="s">
        <v>12734</v>
      </c>
      <c r="AY1057" s="77"/>
      <c r="AZ1057" s="82" t="s">
        <v>15984</v>
      </c>
      <c r="BA1057" s="82" t="s">
        <v>15984</v>
      </c>
      <c r="BB1057" s="82" t="s">
        <v>15984</v>
      </c>
      <c r="BC1057" s="82" t="s">
        <v>12734</v>
      </c>
      <c r="BD1057" s="82" t="s">
        <v>16307</v>
      </c>
      <c r="BE1057" s="77"/>
      <c r="BF1057" s="77"/>
      <c r="BG1057" s="77"/>
      <c r="BH1057" s="77"/>
      <c r="BI1057" s="77"/>
    </row>
    <row r="1058" spans="1:61" x14ac:dyDescent="0.25">
      <c r="A1058" s="62" t="s">
        <v>577</v>
      </c>
      <c r="B1058" s="62" t="s">
        <v>755</v>
      </c>
      <c r="C1058" s="63"/>
      <c r="D1058" s="64"/>
      <c r="E1058" s="65"/>
      <c r="F1058" s="66"/>
      <c r="G1058" s="63"/>
      <c r="H1058" s="67"/>
      <c r="I1058" s="68"/>
      <c r="J1058" s="68"/>
      <c r="K1058" s="32"/>
      <c r="L1058" s="75">
        <v>1058</v>
      </c>
      <c r="M1058" s="75"/>
      <c r="N1058" s="70"/>
      <c r="O1058" s="77" t="s">
        <v>895</v>
      </c>
      <c r="P1058" s="79">
        <v>45123.944479166668</v>
      </c>
      <c r="Q1058" s="77" t="s">
        <v>1873</v>
      </c>
      <c r="R1058" s="77">
        <v>0</v>
      </c>
      <c r="S1058" s="77">
        <v>1</v>
      </c>
      <c r="T1058" s="77">
        <v>0</v>
      </c>
      <c r="U1058" s="77">
        <v>0</v>
      </c>
      <c r="V1058" s="77">
        <v>30</v>
      </c>
      <c r="W1058" s="82" t="s">
        <v>5352</v>
      </c>
      <c r="X1058" s="80" t="str">
        <f>HYPERLINK("https://youtu.be/0ai2OxxRQc0")</f>
        <v>https://youtu.be/0ai2OxxRQc0</v>
      </c>
      <c r="Y1058" s="77" t="s">
        <v>6472</v>
      </c>
      <c r="Z1058" s="77" t="s">
        <v>755</v>
      </c>
      <c r="AA1058" s="77"/>
      <c r="AB1058" s="77"/>
      <c r="AC1058" s="82" t="s">
        <v>7750</v>
      </c>
      <c r="AD1058" s="77" t="s">
        <v>7788</v>
      </c>
      <c r="AE1058" s="80" t="str">
        <f>HYPERLINK("https://twitter.com/mariosfmartins/status/1680708906236911618")</f>
        <v>https://twitter.com/mariosfmartins/status/1680708906236911618</v>
      </c>
      <c r="AF1058" s="79">
        <v>45123.944479166668</v>
      </c>
      <c r="AG1058" s="85">
        <v>45123</v>
      </c>
      <c r="AH1058" s="82" t="s">
        <v>8715</v>
      </c>
      <c r="AI1058" s="77" t="b">
        <v>0</v>
      </c>
      <c r="AJ1058" s="77"/>
      <c r="AK1058" s="77"/>
      <c r="AL1058" s="77"/>
      <c r="AM1058" s="77"/>
      <c r="AN1058" s="77"/>
      <c r="AO1058" s="77"/>
      <c r="AP1058" s="77"/>
      <c r="AQ1058" s="77"/>
      <c r="AR1058" s="77"/>
      <c r="AS1058" s="77"/>
      <c r="AT1058" s="77"/>
      <c r="AU1058" s="77"/>
      <c r="AV1058" s="80" t="str">
        <f>HYPERLINK("https://pbs.twimg.com/profile_images/1677494855541444608/f4DsITbm_normal.jpg")</f>
        <v>https://pbs.twimg.com/profile_images/1677494855541444608/f4DsITbm_normal.jpg</v>
      </c>
      <c r="AW1058" s="82" t="s">
        <v>12735</v>
      </c>
      <c r="AX1058" s="82" t="s">
        <v>12735</v>
      </c>
      <c r="AY1058" s="77"/>
      <c r="AZ1058" s="82" t="s">
        <v>15984</v>
      </c>
      <c r="BA1058" s="82" t="s">
        <v>15984</v>
      </c>
      <c r="BB1058" s="82" t="s">
        <v>15984</v>
      </c>
      <c r="BC1058" s="82" t="s">
        <v>12735</v>
      </c>
      <c r="BD1058" s="77">
        <v>124866712</v>
      </c>
      <c r="BE1058" s="77"/>
      <c r="BF1058" s="77"/>
      <c r="BG1058" s="77"/>
      <c r="BH1058" s="77"/>
      <c r="BI1058" s="77"/>
    </row>
    <row r="1059" spans="1:61" x14ac:dyDescent="0.25">
      <c r="A1059" s="62" t="s">
        <v>578</v>
      </c>
      <c r="B1059" s="62" t="s">
        <v>817</v>
      </c>
      <c r="C1059" s="63"/>
      <c r="D1059" s="64"/>
      <c r="E1059" s="65"/>
      <c r="F1059" s="66"/>
      <c r="G1059" s="63"/>
      <c r="H1059" s="67"/>
      <c r="I1059" s="68"/>
      <c r="J1059" s="68"/>
      <c r="K1059" s="32"/>
      <c r="L1059" s="75">
        <v>1059</v>
      </c>
      <c r="M1059" s="75"/>
      <c r="N1059" s="70"/>
      <c r="O1059" s="77" t="s">
        <v>899</v>
      </c>
      <c r="P1059" s="79">
        <v>45187.965694444443</v>
      </c>
      <c r="Q1059" s="77" t="s">
        <v>1874</v>
      </c>
      <c r="R1059" s="77">
        <v>1</v>
      </c>
      <c r="S1059" s="77">
        <v>0</v>
      </c>
      <c r="T1059" s="77">
        <v>0</v>
      </c>
      <c r="U1059" s="77">
        <v>0</v>
      </c>
      <c r="V1059" s="77"/>
      <c r="W1059" s="82" t="s">
        <v>4821</v>
      </c>
      <c r="X1059" s="77"/>
      <c r="Y1059" s="77"/>
      <c r="Z1059" s="77" t="s">
        <v>6585</v>
      </c>
      <c r="AA1059" s="77"/>
      <c r="AB1059" s="77"/>
      <c r="AC1059" s="82" t="s">
        <v>7750</v>
      </c>
      <c r="AD1059" s="77" t="s">
        <v>7790</v>
      </c>
      <c r="AE1059" s="80" t="str">
        <f>HYPERLINK("https://twitter.com/ricardocipago/status/1703909416519487555")</f>
        <v>https://twitter.com/ricardocipago/status/1703909416519487555</v>
      </c>
      <c r="AF1059" s="79">
        <v>45187.965694444443</v>
      </c>
      <c r="AG1059" s="85">
        <v>45187</v>
      </c>
      <c r="AH1059" s="82" t="s">
        <v>8716</v>
      </c>
      <c r="AI1059" s="77" t="b">
        <v>1</v>
      </c>
      <c r="AJ1059" s="77"/>
      <c r="AK1059" s="77"/>
      <c r="AL1059" s="77"/>
      <c r="AM1059" s="77"/>
      <c r="AN1059" s="77"/>
      <c r="AO1059" s="77"/>
      <c r="AP1059" s="77"/>
      <c r="AQ1059" s="77"/>
      <c r="AR1059" s="77"/>
      <c r="AS1059" s="77"/>
      <c r="AT1059" s="77"/>
      <c r="AU1059" s="77"/>
      <c r="AV1059" s="80" t="str">
        <f>HYPERLINK("https://pbs.twimg.com/profile_images/2163214386/CAMARA_KODAK_051_normal.JPG")</f>
        <v>https://pbs.twimg.com/profile_images/2163214386/CAMARA_KODAK_051_normal.JPG</v>
      </c>
      <c r="AW1059" s="82" t="s">
        <v>12736</v>
      </c>
      <c r="AX1059" s="82" t="s">
        <v>12736</v>
      </c>
      <c r="AY1059" s="77"/>
      <c r="AZ1059" s="82" t="s">
        <v>15984</v>
      </c>
      <c r="BA1059" s="82" t="s">
        <v>15984</v>
      </c>
      <c r="BB1059" s="82" t="s">
        <v>13070</v>
      </c>
      <c r="BC1059" s="82" t="s">
        <v>13070</v>
      </c>
      <c r="BD1059" s="77">
        <v>181354522</v>
      </c>
      <c r="BE1059" s="77"/>
      <c r="BF1059" s="77"/>
      <c r="BG1059" s="77"/>
      <c r="BH1059" s="77"/>
      <c r="BI1059" s="77"/>
    </row>
    <row r="1060" spans="1:61" x14ac:dyDescent="0.25">
      <c r="A1060" s="62" t="s">
        <v>578</v>
      </c>
      <c r="B1060" s="62" t="s">
        <v>614</v>
      </c>
      <c r="C1060" s="63"/>
      <c r="D1060" s="64"/>
      <c r="E1060" s="65"/>
      <c r="F1060" s="66"/>
      <c r="G1060" s="63"/>
      <c r="H1060" s="67"/>
      <c r="I1060" s="68"/>
      <c r="J1060" s="68"/>
      <c r="K1060" s="32"/>
      <c r="L1060" s="75">
        <v>1060</v>
      </c>
      <c r="M1060" s="75"/>
      <c r="N1060" s="70"/>
      <c r="O1060" s="77" t="s">
        <v>897</v>
      </c>
      <c r="P1060" s="79">
        <v>45187.965694444443</v>
      </c>
      <c r="Q1060" s="77" t="s">
        <v>1874</v>
      </c>
      <c r="R1060" s="77">
        <v>1</v>
      </c>
      <c r="S1060" s="77">
        <v>0</v>
      </c>
      <c r="T1060" s="77">
        <v>0</v>
      </c>
      <c r="U1060" s="77">
        <v>0</v>
      </c>
      <c r="V1060" s="77"/>
      <c r="W1060" s="82" t="s">
        <v>4821</v>
      </c>
      <c r="X1060" s="77"/>
      <c r="Y1060" s="77"/>
      <c r="Z1060" s="77" t="s">
        <v>6585</v>
      </c>
      <c r="AA1060" s="77"/>
      <c r="AB1060" s="77"/>
      <c r="AC1060" s="82" t="s">
        <v>7750</v>
      </c>
      <c r="AD1060" s="77" t="s">
        <v>7790</v>
      </c>
      <c r="AE1060" s="80" t="str">
        <f>HYPERLINK("https://twitter.com/ricardocipago/status/1703909416519487555")</f>
        <v>https://twitter.com/ricardocipago/status/1703909416519487555</v>
      </c>
      <c r="AF1060" s="79">
        <v>45187.965694444443</v>
      </c>
      <c r="AG1060" s="85">
        <v>45187</v>
      </c>
      <c r="AH1060" s="82" t="s">
        <v>8716</v>
      </c>
      <c r="AI1060" s="77" t="b">
        <v>1</v>
      </c>
      <c r="AJ1060" s="77"/>
      <c r="AK1060" s="77"/>
      <c r="AL1060" s="77"/>
      <c r="AM1060" s="77"/>
      <c r="AN1060" s="77"/>
      <c r="AO1060" s="77"/>
      <c r="AP1060" s="77"/>
      <c r="AQ1060" s="77"/>
      <c r="AR1060" s="77"/>
      <c r="AS1060" s="77"/>
      <c r="AT1060" s="77"/>
      <c r="AU1060" s="77"/>
      <c r="AV1060" s="80" t="str">
        <f>HYPERLINK("https://pbs.twimg.com/profile_images/2163214386/CAMARA_KODAK_051_normal.JPG")</f>
        <v>https://pbs.twimg.com/profile_images/2163214386/CAMARA_KODAK_051_normal.JPG</v>
      </c>
      <c r="AW1060" s="82" t="s">
        <v>12736</v>
      </c>
      <c r="AX1060" s="82" t="s">
        <v>12736</v>
      </c>
      <c r="AY1060" s="77"/>
      <c r="AZ1060" s="82" t="s">
        <v>15984</v>
      </c>
      <c r="BA1060" s="82" t="s">
        <v>15984</v>
      </c>
      <c r="BB1060" s="82" t="s">
        <v>13070</v>
      </c>
      <c r="BC1060" s="82" t="s">
        <v>13070</v>
      </c>
      <c r="BD1060" s="77">
        <v>181354522</v>
      </c>
      <c r="BE1060" s="77"/>
      <c r="BF1060" s="77"/>
      <c r="BG1060" s="77"/>
      <c r="BH1060" s="77"/>
      <c r="BI1060" s="77"/>
    </row>
    <row r="1061" spans="1:61" x14ac:dyDescent="0.25">
      <c r="A1061" s="62" t="s">
        <v>578</v>
      </c>
      <c r="B1061" s="62" t="s">
        <v>614</v>
      </c>
      <c r="C1061" s="63"/>
      <c r="D1061" s="64"/>
      <c r="E1061" s="65"/>
      <c r="F1061" s="66"/>
      <c r="G1061" s="63"/>
      <c r="H1061" s="67"/>
      <c r="I1061" s="68"/>
      <c r="J1061" s="68"/>
      <c r="K1061" s="32"/>
      <c r="L1061" s="75">
        <v>1061</v>
      </c>
      <c r="M1061" s="75"/>
      <c r="N1061" s="70"/>
      <c r="O1061" s="77" t="s">
        <v>897</v>
      </c>
      <c r="P1061" s="79">
        <v>45191.513437499998</v>
      </c>
      <c r="Q1061" s="77" t="s">
        <v>1035</v>
      </c>
      <c r="R1061" s="77">
        <v>4</v>
      </c>
      <c r="S1061" s="77">
        <v>0</v>
      </c>
      <c r="T1061" s="77">
        <v>0</v>
      </c>
      <c r="U1061" s="77">
        <v>0</v>
      </c>
      <c r="V1061" s="77"/>
      <c r="W1061" s="82" t="s">
        <v>4821</v>
      </c>
      <c r="X1061" s="77"/>
      <c r="Y1061" s="77"/>
      <c r="Z1061" s="77" t="s">
        <v>614</v>
      </c>
      <c r="AA1061" s="77"/>
      <c r="AB1061" s="77"/>
      <c r="AC1061" s="82" t="s">
        <v>7750</v>
      </c>
      <c r="AD1061" s="77" t="s">
        <v>7790</v>
      </c>
      <c r="AE1061" s="80" t="str">
        <f>HYPERLINK("https://twitter.com/ricardocipago/status/1705195075943199138")</f>
        <v>https://twitter.com/ricardocipago/status/1705195075943199138</v>
      </c>
      <c r="AF1061" s="79">
        <v>45191.513437499998</v>
      </c>
      <c r="AG1061" s="85">
        <v>45191</v>
      </c>
      <c r="AH1061" s="82" t="s">
        <v>8717</v>
      </c>
      <c r="AI1061" s="77" t="b">
        <v>1</v>
      </c>
      <c r="AJ1061" s="77"/>
      <c r="AK1061" s="77"/>
      <c r="AL1061" s="77"/>
      <c r="AM1061" s="77"/>
      <c r="AN1061" s="77"/>
      <c r="AO1061" s="77"/>
      <c r="AP1061" s="77"/>
      <c r="AQ1061" s="77"/>
      <c r="AR1061" s="77"/>
      <c r="AS1061" s="77"/>
      <c r="AT1061" s="77"/>
      <c r="AU1061" s="77"/>
      <c r="AV1061" s="80" t="str">
        <f>HYPERLINK("https://pbs.twimg.com/profile_images/2163214386/CAMARA_KODAK_051_normal.JPG")</f>
        <v>https://pbs.twimg.com/profile_images/2163214386/CAMARA_KODAK_051_normal.JPG</v>
      </c>
      <c r="AW1061" s="82" t="s">
        <v>12737</v>
      </c>
      <c r="AX1061" s="82" t="s">
        <v>12737</v>
      </c>
      <c r="AY1061" s="77"/>
      <c r="AZ1061" s="82" t="s">
        <v>15984</v>
      </c>
      <c r="BA1061" s="82" t="s">
        <v>15984</v>
      </c>
      <c r="BB1061" s="82" t="s">
        <v>13021</v>
      </c>
      <c r="BC1061" s="82" t="s">
        <v>13021</v>
      </c>
      <c r="BD1061" s="77">
        <v>181354522</v>
      </c>
      <c r="BE1061" s="77"/>
      <c r="BF1061" s="77"/>
      <c r="BG1061" s="77"/>
      <c r="BH1061" s="77"/>
      <c r="BI1061" s="77"/>
    </row>
    <row r="1062" spans="1:61" x14ac:dyDescent="0.25">
      <c r="A1062" s="62" t="s">
        <v>578</v>
      </c>
      <c r="B1062" s="62" t="s">
        <v>753</v>
      </c>
      <c r="C1062" s="63"/>
      <c r="D1062" s="64"/>
      <c r="E1062" s="65"/>
      <c r="F1062" s="66"/>
      <c r="G1062" s="63"/>
      <c r="H1062" s="67"/>
      <c r="I1062" s="68"/>
      <c r="J1062" s="68"/>
      <c r="K1062" s="32"/>
      <c r="L1062" s="75">
        <v>1062</v>
      </c>
      <c r="M1062" s="75"/>
      <c r="N1062" s="70"/>
      <c r="O1062" s="77" t="s">
        <v>899</v>
      </c>
      <c r="P1062" s="79">
        <v>45192.036493055559</v>
      </c>
      <c r="Q1062" s="77" t="s">
        <v>1116</v>
      </c>
      <c r="R1062" s="77">
        <v>10</v>
      </c>
      <c r="S1062" s="77">
        <v>0</v>
      </c>
      <c r="T1062" s="77">
        <v>0</v>
      </c>
      <c r="U1062" s="77">
        <v>0</v>
      </c>
      <c r="V1062" s="77"/>
      <c r="W1062" s="82" t="s">
        <v>4821</v>
      </c>
      <c r="X1062" s="77"/>
      <c r="Y1062" s="77"/>
      <c r="Z1062" s="77" t="s">
        <v>6566</v>
      </c>
      <c r="AA1062" s="77"/>
      <c r="AB1062" s="77"/>
      <c r="AC1062" s="82" t="s">
        <v>7750</v>
      </c>
      <c r="AD1062" s="77" t="s">
        <v>7790</v>
      </c>
      <c r="AE1062" s="80" t="str">
        <f>HYPERLINK("https://twitter.com/ricardocipago/status/1705384624430698676")</f>
        <v>https://twitter.com/ricardocipago/status/1705384624430698676</v>
      </c>
      <c r="AF1062" s="79">
        <v>45192.036493055559</v>
      </c>
      <c r="AG1062" s="85">
        <v>45192</v>
      </c>
      <c r="AH1062" s="82" t="s">
        <v>8718</v>
      </c>
      <c r="AI1062" s="77"/>
      <c r="AJ1062" s="77"/>
      <c r="AK1062" s="77"/>
      <c r="AL1062" s="77"/>
      <c r="AM1062" s="77"/>
      <c r="AN1062" s="77"/>
      <c r="AO1062" s="77"/>
      <c r="AP1062" s="77"/>
      <c r="AQ1062" s="77"/>
      <c r="AR1062" s="77"/>
      <c r="AS1062" s="77"/>
      <c r="AT1062" s="77"/>
      <c r="AU1062" s="77"/>
      <c r="AV1062" s="80" t="str">
        <f>HYPERLINK("https://pbs.twimg.com/profile_images/2163214386/CAMARA_KODAK_051_normal.JPG")</f>
        <v>https://pbs.twimg.com/profile_images/2163214386/CAMARA_KODAK_051_normal.JPG</v>
      </c>
      <c r="AW1062" s="82" t="s">
        <v>12738</v>
      </c>
      <c r="AX1062" s="82" t="s">
        <v>12738</v>
      </c>
      <c r="AY1062" s="77"/>
      <c r="AZ1062" s="82" t="s">
        <v>15984</v>
      </c>
      <c r="BA1062" s="82" t="s">
        <v>15984</v>
      </c>
      <c r="BB1062" s="82" t="s">
        <v>15303</v>
      </c>
      <c r="BC1062" s="82" t="s">
        <v>15303</v>
      </c>
      <c r="BD1062" s="77">
        <v>181354522</v>
      </c>
      <c r="BE1062" s="77"/>
      <c r="BF1062" s="77"/>
      <c r="BG1062" s="77"/>
      <c r="BH1062" s="77"/>
      <c r="BI1062" s="77"/>
    </row>
    <row r="1063" spans="1:61" x14ac:dyDescent="0.25">
      <c r="A1063" s="62" t="s">
        <v>578</v>
      </c>
      <c r="B1063" s="62" t="s">
        <v>614</v>
      </c>
      <c r="C1063" s="63"/>
      <c r="D1063" s="64"/>
      <c r="E1063" s="65"/>
      <c r="F1063" s="66"/>
      <c r="G1063" s="63"/>
      <c r="H1063" s="67"/>
      <c r="I1063" s="68"/>
      <c r="J1063" s="68"/>
      <c r="K1063" s="32"/>
      <c r="L1063" s="75">
        <v>1063</v>
      </c>
      <c r="M1063" s="75"/>
      <c r="N1063" s="70"/>
      <c r="O1063" s="77" t="s">
        <v>897</v>
      </c>
      <c r="P1063" s="79">
        <v>45192.036493055559</v>
      </c>
      <c r="Q1063" s="77" t="s">
        <v>1116</v>
      </c>
      <c r="R1063" s="77">
        <v>10</v>
      </c>
      <c r="S1063" s="77">
        <v>0</v>
      </c>
      <c r="T1063" s="77">
        <v>0</v>
      </c>
      <c r="U1063" s="77">
        <v>0</v>
      </c>
      <c r="V1063" s="77"/>
      <c r="W1063" s="82" t="s">
        <v>4821</v>
      </c>
      <c r="X1063" s="77"/>
      <c r="Y1063" s="77"/>
      <c r="Z1063" s="77" t="s">
        <v>6566</v>
      </c>
      <c r="AA1063" s="77"/>
      <c r="AB1063" s="77"/>
      <c r="AC1063" s="82" t="s">
        <v>7750</v>
      </c>
      <c r="AD1063" s="77" t="s">
        <v>7790</v>
      </c>
      <c r="AE1063" s="80" t="str">
        <f>HYPERLINK("https://twitter.com/ricardocipago/status/1705384624430698676")</f>
        <v>https://twitter.com/ricardocipago/status/1705384624430698676</v>
      </c>
      <c r="AF1063" s="79">
        <v>45192.036493055559</v>
      </c>
      <c r="AG1063" s="85">
        <v>45192</v>
      </c>
      <c r="AH1063" s="82" t="s">
        <v>8718</v>
      </c>
      <c r="AI1063" s="77"/>
      <c r="AJ1063" s="77"/>
      <c r="AK1063" s="77"/>
      <c r="AL1063" s="77"/>
      <c r="AM1063" s="77"/>
      <c r="AN1063" s="77"/>
      <c r="AO1063" s="77"/>
      <c r="AP1063" s="77"/>
      <c r="AQ1063" s="77"/>
      <c r="AR1063" s="77"/>
      <c r="AS1063" s="77"/>
      <c r="AT1063" s="77"/>
      <c r="AU1063" s="77"/>
      <c r="AV1063" s="80" t="str">
        <f>HYPERLINK("https://pbs.twimg.com/profile_images/2163214386/CAMARA_KODAK_051_normal.JPG")</f>
        <v>https://pbs.twimg.com/profile_images/2163214386/CAMARA_KODAK_051_normal.JPG</v>
      </c>
      <c r="AW1063" s="82" t="s">
        <v>12738</v>
      </c>
      <c r="AX1063" s="82" t="s">
        <v>12738</v>
      </c>
      <c r="AY1063" s="77"/>
      <c r="AZ1063" s="82" t="s">
        <v>15984</v>
      </c>
      <c r="BA1063" s="82" t="s">
        <v>15984</v>
      </c>
      <c r="BB1063" s="82" t="s">
        <v>15303</v>
      </c>
      <c r="BC1063" s="82" t="s">
        <v>15303</v>
      </c>
      <c r="BD1063" s="77">
        <v>181354522</v>
      </c>
      <c r="BE1063" s="77"/>
      <c r="BF1063" s="77"/>
      <c r="BG1063" s="77"/>
      <c r="BH1063" s="77"/>
      <c r="BI1063" s="77"/>
    </row>
    <row r="1064" spans="1:61" x14ac:dyDescent="0.25">
      <c r="A1064" s="62" t="s">
        <v>578</v>
      </c>
      <c r="B1064" s="62" t="s">
        <v>614</v>
      </c>
      <c r="C1064" s="63"/>
      <c r="D1064" s="64"/>
      <c r="E1064" s="65"/>
      <c r="F1064" s="66"/>
      <c r="G1064" s="63"/>
      <c r="H1064" s="67"/>
      <c r="I1064" s="68"/>
      <c r="J1064" s="68"/>
      <c r="K1064" s="32"/>
      <c r="L1064" s="75">
        <v>1064</v>
      </c>
      <c r="M1064" s="75"/>
      <c r="N1064" s="70"/>
      <c r="O1064" s="77" t="s">
        <v>897</v>
      </c>
      <c r="P1064" s="79">
        <v>45190.063344907408</v>
      </c>
      <c r="Q1064" s="77" t="s">
        <v>1569</v>
      </c>
      <c r="R1064" s="77">
        <v>4</v>
      </c>
      <c r="S1064" s="77">
        <v>0</v>
      </c>
      <c r="T1064" s="77">
        <v>0</v>
      </c>
      <c r="U1064" s="77">
        <v>0</v>
      </c>
      <c r="V1064" s="77"/>
      <c r="W1064" s="82" t="s">
        <v>4821</v>
      </c>
      <c r="X1064" s="77"/>
      <c r="Y1064" s="77"/>
      <c r="Z1064" s="77" t="s">
        <v>614</v>
      </c>
      <c r="AA1064" s="77"/>
      <c r="AB1064" s="77"/>
      <c r="AC1064" s="82" t="s">
        <v>7750</v>
      </c>
      <c r="AD1064" s="77" t="s">
        <v>7790</v>
      </c>
      <c r="AE1064" s="80" t="str">
        <f>HYPERLINK("https://twitter.com/ricardocipago/status/1704669577324425309")</f>
        <v>https://twitter.com/ricardocipago/status/1704669577324425309</v>
      </c>
      <c r="AF1064" s="79">
        <v>45190.063344907408</v>
      </c>
      <c r="AG1064" s="85">
        <v>45190</v>
      </c>
      <c r="AH1064" s="82" t="s">
        <v>8719</v>
      </c>
      <c r="AI1064" s="77"/>
      <c r="AJ1064" s="77"/>
      <c r="AK1064" s="77"/>
      <c r="AL1064" s="77"/>
      <c r="AM1064" s="77"/>
      <c r="AN1064" s="77"/>
      <c r="AO1064" s="77"/>
      <c r="AP1064" s="77"/>
      <c r="AQ1064" s="77"/>
      <c r="AR1064" s="77"/>
      <c r="AS1064" s="77"/>
      <c r="AT1064" s="77"/>
      <c r="AU1064" s="77"/>
      <c r="AV1064" s="80" t="str">
        <f>HYPERLINK("https://pbs.twimg.com/profile_images/2163214386/CAMARA_KODAK_051_normal.JPG")</f>
        <v>https://pbs.twimg.com/profile_images/2163214386/CAMARA_KODAK_051_normal.JPG</v>
      </c>
      <c r="AW1064" s="82" t="s">
        <v>12739</v>
      </c>
      <c r="AX1064" s="82" t="s">
        <v>12739</v>
      </c>
      <c r="AY1064" s="77"/>
      <c r="AZ1064" s="82" t="s">
        <v>15984</v>
      </c>
      <c r="BA1064" s="82" t="s">
        <v>15984</v>
      </c>
      <c r="BB1064" s="82" t="s">
        <v>15301</v>
      </c>
      <c r="BC1064" s="82" t="s">
        <v>15301</v>
      </c>
      <c r="BD1064" s="77">
        <v>181354522</v>
      </c>
      <c r="BE1064" s="77"/>
      <c r="BF1064" s="77"/>
      <c r="BG1064" s="77"/>
      <c r="BH1064" s="77"/>
      <c r="BI1064" s="77"/>
    </row>
    <row r="1065" spans="1:61" x14ac:dyDescent="0.25">
      <c r="A1065" s="62" t="s">
        <v>578</v>
      </c>
      <c r="B1065" s="62" t="s">
        <v>614</v>
      </c>
      <c r="C1065" s="63"/>
      <c r="D1065" s="64"/>
      <c r="E1065" s="65"/>
      <c r="F1065" s="66"/>
      <c r="G1065" s="63"/>
      <c r="H1065" s="67"/>
      <c r="I1065" s="68"/>
      <c r="J1065" s="68"/>
      <c r="K1065" s="32"/>
      <c r="L1065" s="75">
        <v>1065</v>
      </c>
      <c r="M1065" s="75"/>
      <c r="N1065" s="70"/>
      <c r="O1065" s="77" t="s">
        <v>897</v>
      </c>
      <c r="P1065" s="79">
        <v>45194.489490740743</v>
      </c>
      <c r="Q1065" s="77" t="s">
        <v>1175</v>
      </c>
      <c r="R1065" s="77">
        <v>3</v>
      </c>
      <c r="S1065" s="77">
        <v>0</v>
      </c>
      <c r="T1065" s="77">
        <v>0</v>
      </c>
      <c r="U1065" s="77">
        <v>0</v>
      </c>
      <c r="V1065" s="77"/>
      <c r="W1065" s="82" t="s">
        <v>4821</v>
      </c>
      <c r="X1065" s="77"/>
      <c r="Y1065" s="77"/>
      <c r="Z1065" s="77" t="s">
        <v>614</v>
      </c>
      <c r="AA1065" s="77"/>
      <c r="AB1065" s="77"/>
      <c r="AC1065" s="82" t="s">
        <v>7750</v>
      </c>
      <c r="AD1065" s="77" t="s">
        <v>7790</v>
      </c>
      <c r="AE1065" s="80" t="str">
        <f>HYPERLINK("https://twitter.com/ricardocipago/status/1706273558517690738")</f>
        <v>https://twitter.com/ricardocipago/status/1706273558517690738</v>
      </c>
      <c r="AF1065" s="79">
        <v>45194.489490740743</v>
      </c>
      <c r="AG1065" s="85">
        <v>45194</v>
      </c>
      <c r="AH1065" s="82" t="s">
        <v>8720</v>
      </c>
      <c r="AI1065" s="77" t="b">
        <v>1</v>
      </c>
      <c r="AJ1065" s="77"/>
      <c r="AK1065" s="77"/>
      <c r="AL1065" s="77"/>
      <c r="AM1065" s="77"/>
      <c r="AN1065" s="77"/>
      <c r="AO1065" s="77"/>
      <c r="AP1065" s="77"/>
      <c r="AQ1065" s="77"/>
      <c r="AR1065" s="77"/>
      <c r="AS1065" s="77"/>
      <c r="AT1065" s="77"/>
      <c r="AU1065" s="77"/>
      <c r="AV1065" s="80" t="str">
        <f>HYPERLINK("https://pbs.twimg.com/profile_images/2163214386/CAMARA_KODAK_051_normal.JPG")</f>
        <v>https://pbs.twimg.com/profile_images/2163214386/CAMARA_KODAK_051_normal.JPG</v>
      </c>
      <c r="AW1065" s="82" t="s">
        <v>12740</v>
      </c>
      <c r="AX1065" s="82" t="s">
        <v>12740</v>
      </c>
      <c r="AY1065" s="77"/>
      <c r="AZ1065" s="82" t="s">
        <v>15984</v>
      </c>
      <c r="BA1065" s="82" t="s">
        <v>15984</v>
      </c>
      <c r="BB1065" s="82" t="s">
        <v>13241</v>
      </c>
      <c r="BC1065" s="82" t="s">
        <v>13241</v>
      </c>
      <c r="BD1065" s="77">
        <v>181354522</v>
      </c>
      <c r="BE1065" s="77"/>
      <c r="BF1065" s="77"/>
      <c r="BG1065" s="77"/>
      <c r="BH1065" s="77"/>
      <c r="BI1065" s="77"/>
    </row>
    <row r="1066" spans="1:61" x14ac:dyDescent="0.25">
      <c r="A1066" s="62" t="s">
        <v>579</v>
      </c>
      <c r="B1066" s="62" t="s">
        <v>579</v>
      </c>
      <c r="C1066" s="63"/>
      <c r="D1066" s="64"/>
      <c r="E1066" s="65"/>
      <c r="F1066" s="66"/>
      <c r="G1066" s="63"/>
      <c r="H1066" s="67"/>
      <c r="I1066" s="68"/>
      <c r="J1066" s="68"/>
      <c r="K1066" s="32"/>
      <c r="L1066" s="75">
        <v>1066</v>
      </c>
      <c r="M1066" s="75"/>
      <c r="N1066" s="70"/>
      <c r="O1066" s="77" t="s">
        <v>179</v>
      </c>
      <c r="P1066" s="79">
        <v>45139.652777777781</v>
      </c>
      <c r="Q1066" s="77" t="s">
        <v>1875</v>
      </c>
      <c r="R1066" s="77">
        <v>2</v>
      </c>
      <c r="S1066" s="77">
        <v>5</v>
      </c>
      <c r="T1066" s="77">
        <v>0</v>
      </c>
      <c r="U1066" s="77">
        <v>0</v>
      </c>
      <c r="V1066" s="77">
        <v>350</v>
      </c>
      <c r="W1066" s="82" t="s">
        <v>5353</v>
      </c>
      <c r="X1066" s="80" t="str">
        <f>HYPERLINK("https://economiamainstream.com.br/artigo/introducao-a-macroeconomia-da-politica-fiscal-gastos-do-governo/")</f>
        <v>https://economiamainstream.com.br/artigo/introducao-a-macroeconomia-da-politica-fiscal-gastos-do-governo/</v>
      </c>
      <c r="Y1066" s="77" t="s">
        <v>6470</v>
      </c>
      <c r="Z1066" s="77"/>
      <c r="AA1066" s="77" t="s">
        <v>7217</v>
      </c>
      <c r="AB1066" s="77" t="s">
        <v>7742</v>
      </c>
      <c r="AC1066" s="82" t="s">
        <v>7750</v>
      </c>
      <c r="AD1066" s="77" t="s">
        <v>7788</v>
      </c>
      <c r="AE1066" s="80" t="str">
        <f>HYPERLINK("https://twitter.com/economainstream/status/1686401400056729600")</f>
        <v>https://twitter.com/economainstream/status/1686401400056729600</v>
      </c>
      <c r="AF1066" s="79">
        <v>45139.652777777781</v>
      </c>
      <c r="AG1066" s="85">
        <v>45139</v>
      </c>
      <c r="AH1066" s="82" t="s">
        <v>7858</v>
      </c>
      <c r="AI1066" s="77" t="b">
        <v>0</v>
      </c>
      <c r="AJ1066" s="77"/>
      <c r="AK1066" s="77"/>
      <c r="AL1066" s="77"/>
      <c r="AM1066" s="77"/>
      <c r="AN1066" s="77"/>
      <c r="AO1066" s="77"/>
      <c r="AP1066" s="77"/>
      <c r="AQ1066" s="77" t="s">
        <v>11189</v>
      </c>
      <c r="AR1066" s="77"/>
      <c r="AS1066" s="77"/>
      <c r="AT1066" s="77"/>
      <c r="AU1066" s="77"/>
      <c r="AV1066" s="80" t="str">
        <f>HYPERLINK("https://pbs.twimg.com/media/F2U1xYyXgAABcJs.jpg")</f>
        <v>https://pbs.twimg.com/media/F2U1xYyXgAABcJs.jpg</v>
      </c>
      <c r="AW1066" s="82" t="s">
        <v>12741</v>
      </c>
      <c r="AX1066" s="82" t="s">
        <v>12741</v>
      </c>
      <c r="AY1066" s="77"/>
      <c r="AZ1066" s="82" t="s">
        <v>15984</v>
      </c>
      <c r="BA1066" s="82" t="s">
        <v>15984</v>
      </c>
      <c r="BB1066" s="82" t="s">
        <v>15984</v>
      </c>
      <c r="BC1066" s="82" t="s">
        <v>12741</v>
      </c>
      <c r="BD1066" s="82" t="s">
        <v>16308</v>
      </c>
      <c r="BE1066" s="77"/>
      <c r="BF1066" s="77"/>
      <c r="BG1066" s="77"/>
      <c r="BH1066" s="77"/>
      <c r="BI1066" s="77"/>
    </row>
    <row r="1067" spans="1:61" x14ac:dyDescent="0.25">
      <c r="A1067" s="62" t="s">
        <v>580</v>
      </c>
      <c r="B1067" s="62" t="s">
        <v>818</v>
      </c>
      <c r="C1067" s="63"/>
      <c r="D1067" s="64"/>
      <c r="E1067" s="65"/>
      <c r="F1067" s="66"/>
      <c r="G1067" s="63"/>
      <c r="H1067" s="67"/>
      <c r="I1067" s="68"/>
      <c r="J1067" s="68"/>
      <c r="K1067" s="32"/>
      <c r="L1067" s="75">
        <v>1067</v>
      </c>
      <c r="M1067" s="75"/>
      <c r="N1067" s="70"/>
      <c r="O1067" s="77" t="s">
        <v>895</v>
      </c>
      <c r="P1067" s="79">
        <v>45149.343761574077</v>
      </c>
      <c r="Q1067" s="77" t="s">
        <v>1876</v>
      </c>
      <c r="R1067" s="77">
        <v>0</v>
      </c>
      <c r="S1067" s="77">
        <v>1</v>
      </c>
      <c r="T1067" s="77">
        <v>0</v>
      </c>
      <c r="U1067" s="77">
        <v>0</v>
      </c>
      <c r="V1067" s="77">
        <v>267</v>
      </c>
      <c r="W1067" s="82" t="s">
        <v>5354</v>
      </c>
      <c r="X1067" s="80" t="str">
        <f>HYPERLINK("https://macroeconomia.urjcx.urjc.es/")</f>
        <v>https://macroeconomia.urjcx.urjc.es/</v>
      </c>
      <c r="Y1067" s="77" t="s">
        <v>6540</v>
      </c>
      <c r="Z1067" s="77" t="s">
        <v>6586</v>
      </c>
      <c r="AA1067" s="77" t="s">
        <v>7218</v>
      </c>
      <c r="AB1067" s="77" t="s">
        <v>7743</v>
      </c>
      <c r="AC1067" s="82" t="s">
        <v>7761</v>
      </c>
      <c r="AD1067" s="77" t="s">
        <v>7790</v>
      </c>
      <c r="AE1067" s="80" t="str">
        <f>HYPERLINK("https://twitter.com/urjconline/status/1689913296747425792")</f>
        <v>https://twitter.com/urjconline/status/1689913296747425792</v>
      </c>
      <c r="AF1067" s="79">
        <v>45149.343761574077</v>
      </c>
      <c r="AG1067" s="85">
        <v>45149</v>
      </c>
      <c r="AH1067" s="82" t="s">
        <v>8721</v>
      </c>
      <c r="AI1067" s="77" t="b">
        <v>0</v>
      </c>
      <c r="AJ1067" s="77"/>
      <c r="AK1067" s="77"/>
      <c r="AL1067" s="77"/>
      <c r="AM1067" s="77"/>
      <c r="AN1067" s="77"/>
      <c r="AO1067" s="77"/>
      <c r="AP1067" s="77"/>
      <c r="AQ1067" s="77" t="s">
        <v>11190</v>
      </c>
      <c r="AR1067" s="77">
        <v>8766</v>
      </c>
      <c r="AS1067" s="77"/>
      <c r="AT1067" s="77"/>
      <c r="AU1067" s="77"/>
      <c r="AV1067" s="80" t="str">
        <f>HYPERLINK("https://pbs.twimg.com/ext_tw_video_thumb/1689912129812307969/pu/img/KcdAXk4v0E0mTLlN.jpg")</f>
        <v>https://pbs.twimg.com/ext_tw_video_thumb/1689912129812307969/pu/img/KcdAXk4v0E0mTLlN.jpg</v>
      </c>
      <c r="AW1067" s="82" t="s">
        <v>12742</v>
      </c>
      <c r="AX1067" s="82" t="s">
        <v>12742</v>
      </c>
      <c r="AY1067" s="77"/>
      <c r="AZ1067" s="82" t="s">
        <v>15984</v>
      </c>
      <c r="BA1067" s="82" t="s">
        <v>15984</v>
      </c>
      <c r="BB1067" s="82" t="s">
        <v>15984</v>
      </c>
      <c r="BC1067" s="82" t="s">
        <v>12742</v>
      </c>
      <c r="BD1067" s="77">
        <v>2294248922</v>
      </c>
      <c r="BE1067" s="77"/>
      <c r="BF1067" s="77"/>
      <c r="BG1067" s="77"/>
      <c r="BH1067" s="77"/>
      <c r="BI1067" s="77"/>
    </row>
    <row r="1068" spans="1:61" x14ac:dyDescent="0.25">
      <c r="A1068" s="62" t="s">
        <v>580</v>
      </c>
      <c r="B1068" s="62" t="s">
        <v>818</v>
      </c>
      <c r="C1068" s="63"/>
      <c r="D1068" s="64"/>
      <c r="E1068" s="65"/>
      <c r="F1068" s="66"/>
      <c r="G1068" s="63"/>
      <c r="H1068" s="67"/>
      <c r="I1068" s="68"/>
      <c r="J1068" s="68"/>
      <c r="K1068" s="32"/>
      <c r="L1068" s="75">
        <v>1068</v>
      </c>
      <c r="M1068" s="75"/>
      <c r="N1068" s="70"/>
      <c r="O1068" s="77" t="s">
        <v>895</v>
      </c>
      <c r="P1068" s="79">
        <v>45176.250567129631</v>
      </c>
      <c r="Q1068" s="77" t="s">
        <v>1877</v>
      </c>
      <c r="R1068" s="77">
        <v>0</v>
      </c>
      <c r="S1068" s="77">
        <v>0</v>
      </c>
      <c r="T1068" s="77">
        <v>0</v>
      </c>
      <c r="U1068" s="77">
        <v>1</v>
      </c>
      <c r="V1068" s="77">
        <v>2175</v>
      </c>
      <c r="W1068" s="82" t="s">
        <v>5355</v>
      </c>
      <c r="X1068" s="80" t="str">
        <f>HYPERLINK("https://macroeconomia.urjcx.urjc.es/")</f>
        <v>https://macroeconomia.urjcx.urjc.es/</v>
      </c>
      <c r="Y1068" s="77" t="s">
        <v>6540</v>
      </c>
      <c r="Z1068" s="77" t="s">
        <v>6587</v>
      </c>
      <c r="AA1068" s="77" t="s">
        <v>7219</v>
      </c>
      <c r="AB1068" s="77" t="s">
        <v>7743</v>
      </c>
      <c r="AC1068" s="82" t="s">
        <v>7761</v>
      </c>
      <c r="AD1068" s="77" t="s">
        <v>7790</v>
      </c>
      <c r="AE1068" s="80" t="str">
        <f>HYPERLINK("https://twitter.com/urjconline/status/1699663996859691147")</f>
        <v>https://twitter.com/urjconline/status/1699663996859691147</v>
      </c>
      <c r="AF1068" s="79">
        <v>45176.250567129631</v>
      </c>
      <c r="AG1068" s="85">
        <v>45176</v>
      </c>
      <c r="AH1068" s="82" t="s">
        <v>8722</v>
      </c>
      <c r="AI1068" s="77" t="b">
        <v>0</v>
      </c>
      <c r="AJ1068" s="77"/>
      <c r="AK1068" s="77"/>
      <c r="AL1068" s="77"/>
      <c r="AM1068" s="77"/>
      <c r="AN1068" s="77"/>
      <c r="AO1068" s="77"/>
      <c r="AP1068" s="77"/>
      <c r="AQ1068" s="77" t="s">
        <v>11191</v>
      </c>
      <c r="AR1068" s="77">
        <v>8766</v>
      </c>
      <c r="AS1068" s="77"/>
      <c r="AT1068" s="77"/>
      <c r="AU1068" s="77"/>
      <c r="AV1068" s="80" t="str">
        <f>HYPERLINK("https://pbs.twimg.com/ext_tw_video_thumb/1699662589758722048/pu/img/8Qk8uaNL6YrsDEQh.jpg")</f>
        <v>https://pbs.twimg.com/ext_tw_video_thumb/1699662589758722048/pu/img/8Qk8uaNL6YrsDEQh.jpg</v>
      </c>
      <c r="AW1068" s="82" t="s">
        <v>12743</v>
      </c>
      <c r="AX1068" s="82" t="s">
        <v>12743</v>
      </c>
      <c r="AY1068" s="77"/>
      <c r="AZ1068" s="82" t="s">
        <v>15984</v>
      </c>
      <c r="BA1068" s="82" t="s">
        <v>15984</v>
      </c>
      <c r="BB1068" s="82" t="s">
        <v>15984</v>
      </c>
      <c r="BC1068" s="82" t="s">
        <v>12743</v>
      </c>
      <c r="BD1068" s="77">
        <v>2294248922</v>
      </c>
      <c r="BE1068" s="77"/>
      <c r="BF1068" s="77"/>
      <c r="BG1068" s="77"/>
      <c r="BH1068" s="77"/>
      <c r="BI1068" s="77"/>
    </row>
    <row r="1069" spans="1:61" x14ac:dyDescent="0.25">
      <c r="A1069" s="62" t="s">
        <v>580</v>
      </c>
      <c r="B1069" s="62" t="s">
        <v>818</v>
      </c>
      <c r="C1069" s="63"/>
      <c r="D1069" s="64"/>
      <c r="E1069" s="65"/>
      <c r="F1069" s="66"/>
      <c r="G1069" s="63"/>
      <c r="H1069" s="67"/>
      <c r="I1069" s="68"/>
      <c r="J1069" s="68"/>
      <c r="K1069" s="32"/>
      <c r="L1069" s="75">
        <v>1069</v>
      </c>
      <c r="M1069" s="75"/>
      <c r="N1069" s="70"/>
      <c r="O1069" s="77" t="s">
        <v>895</v>
      </c>
      <c r="P1069" s="79">
        <v>45181.303437499999</v>
      </c>
      <c r="Q1069" s="77" t="s">
        <v>1878</v>
      </c>
      <c r="R1069" s="77">
        <v>1</v>
      </c>
      <c r="S1069" s="77">
        <v>2</v>
      </c>
      <c r="T1069" s="77">
        <v>0</v>
      </c>
      <c r="U1069" s="77">
        <v>0</v>
      </c>
      <c r="V1069" s="77">
        <v>295</v>
      </c>
      <c r="W1069" s="82" t="s">
        <v>5354</v>
      </c>
      <c r="X1069" s="80" t="str">
        <f>HYPERLINK("http://macroeconomia.urjcx.urjc.es")</f>
        <v>http://macroeconomia.urjcx.urjc.es</v>
      </c>
      <c r="Y1069" s="77" t="s">
        <v>6540</v>
      </c>
      <c r="Z1069" s="77" t="s">
        <v>6588</v>
      </c>
      <c r="AA1069" s="77" t="s">
        <v>7220</v>
      </c>
      <c r="AB1069" s="77" t="s">
        <v>7743</v>
      </c>
      <c r="AC1069" s="82" t="s">
        <v>7761</v>
      </c>
      <c r="AD1069" s="77" t="s">
        <v>7790</v>
      </c>
      <c r="AE1069" s="80" t="str">
        <f>HYPERLINK("https://twitter.com/urjconline/status/1701495094094774503")</f>
        <v>https://twitter.com/urjconline/status/1701495094094774503</v>
      </c>
      <c r="AF1069" s="79">
        <v>45181.303437499999</v>
      </c>
      <c r="AG1069" s="85">
        <v>45181</v>
      </c>
      <c r="AH1069" s="82" t="s">
        <v>8723</v>
      </c>
      <c r="AI1069" s="77" t="b">
        <v>0</v>
      </c>
      <c r="AJ1069" s="77"/>
      <c r="AK1069" s="77"/>
      <c r="AL1069" s="77"/>
      <c r="AM1069" s="77"/>
      <c r="AN1069" s="77"/>
      <c r="AO1069" s="77"/>
      <c r="AP1069" s="77"/>
      <c r="AQ1069" s="77" t="s">
        <v>11192</v>
      </c>
      <c r="AR1069" s="77">
        <v>8766</v>
      </c>
      <c r="AS1069" s="77"/>
      <c r="AT1069" s="77"/>
      <c r="AU1069" s="77"/>
      <c r="AV1069" s="80" t="str">
        <f>HYPERLINK("https://pbs.twimg.com/ext_tw_video_thumb/1701494966797676544/pu/img/WJ4Vw_mGo1gfTm6Q.jpg")</f>
        <v>https://pbs.twimg.com/ext_tw_video_thumb/1701494966797676544/pu/img/WJ4Vw_mGo1gfTm6Q.jpg</v>
      </c>
      <c r="AW1069" s="82" t="s">
        <v>12744</v>
      </c>
      <c r="AX1069" s="82" t="s">
        <v>12744</v>
      </c>
      <c r="AY1069" s="77"/>
      <c r="AZ1069" s="82" t="s">
        <v>15984</v>
      </c>
      <c r="BA1069" s="82" t="s">
        <v>15984</v>
      </c>
      <c r="BB1069" s="82" t="s">
        <v>15984</v>
      </c>
      <c r="BC1069" s="82" t="s">
        <v>12744</v>
      </c>
      <c r="BD1069" s="77">
        <v>2294248922</v>
      </c>
      <c r="BE1069" s="77"/>
      <c r="BF1069" s="77"/>
      <c r="BG1069" s="77"/>
      <c r="BH1069" s="77"/>
      <c r="BI1069" s="77"/>
    </row>
    <row r="1070" spans="1:61" x14ac:dyDescent="0.25">
      <c r="A1070" s="62" t="s">
        <v>580</v>
      </c>
      <c r="B1070" s="62" t="s">
        <v>819</v>
      </c>
      <c r="C1070" s="63"/>
      <c r="D1070" s="64"/>
      <c r="E1070" s="65"/>
      <c r="F1070" s="66"/>
      <c r="G1070" s="63"/>
      <c r="H1070" s="67"/>
      <c r="I1070" s="68"/>
      <c r="J1070" s="68"/>
      <c r="K1070" s="32"/>
      <c r="L1070" s="75">
        <v>1070</v>
      </c>
      <c r="M1070" s="75"/>
      <c r="N1070" s="70"/>
      <c r="O1070" s="77" t="s">
        <v>895</v>
      </c>
      <c r="P1070" s="79">
        <v>45141.340405092589</v>
      </c>
      <c r="Q1070" s="77" t="s">
        <v>1879</v>
      </c>
      <c r="R1070" s="77">
        <v>0</v>
      </c>
      <c r="S1070" s="77">
        <v>1</v>
      </c>
      <c r="T1070" s="77">
        <v>0</v>
      </c>
      <c r="U1070" s="77">
        <v>0</v>
      </c>
      <c r="V1070" s="77">
        <v>276</v>
      </c>
      <c r="W1070" s="82" t="s">
        <v>5354</v>
      </c>
      <c r="X1070" s="80" t="str">
        <f>HYPERLINK("https://macroeconomia.urjcx.urjc.es/")</f>
        <v>https://macroeconomia.urjcx.urjc.es/</v>
      </c>
      <c r="Y1070" s="77" t="s">
        <v>6540</v>
      </c>
      <c r="Z1070" s="77" t="s">
        <v>6589</v>
      </c>
      <c r="AA1070" s="77" t="s">
        <v>7221</v>
      </c>
      <c r="AB1070" s="77" t="s">
        <v>7743</v>
      </c>
      <c r="AC1070" s="82" t="s">
        <v>7761</v>
      </c>
      <c r="AD1070" s="77" t="s">
        <v>7790</v>
      </c>
      <c r="AE1070" s="80" t="str">
        <f>HYPERLINK("https://twitter.com/urjconline/status/1687012975364689920")</f>
        <v>https://twitter.com/urjconline/status/1687012975364689920</v>
      </c>
      <c r="AF1070" s="79">
        <v>45141.340405092589</v>
      </c>
      <c r="AG1070" s="85">
        <v>45141</v>
      </c>
      <c r="AH1070" s="82" t="s">
        <v>8724</v>
      </c>
      <c r="AI1070" s="77" t="b">
        <v>0</v>
      </c>
      <c r="AJ1070" s="77"/>
      <c r="AK1070" s="77"/>
      <c r="AL1070" s="77"/>
      <c r="AM1070" s="77"/>
      <c r="AN1070" s="77"/>
      <c r="AO1070" s="77"/>
      <c r="AP1070" s="77"/>
      <c r="AQ1070" s="77" t="s">
        <v>11193</v>
      </c>
      <c r="AR1070" s="77">
        <v>8766</v>
      </c>
      <c r="AS1070" s="77"/>
      <c r="AT1070" s="77"/>
      <c r="AU1070" s="77"/>
      <c r="AV1070" s="80" t="str">
        <f>HYPERLINK("https://pbs.twimg.com/ext_tw_video_thumb/1687011781988769792/pu/img/R6SdaJcmCizpVoVe.jpg")</f>
        <v>https://pbs.twimg.com/ext_tw_video_thumb/1687011781988769792/pu/img/R6SdaJcmCizpVoVe.jpg</v>
      </c>
      <c r="AW1070" s="82" t="s">
        <v>12745</v>
      </c>
      <c r="AX1070" s="82" t="s">
        <v>12745</v>
      </c>
      <c r="AY1070" s="77"/>
      <c r="AZ1070" s="82" t="s">
        <v>15984</v>
      </c>
      <c r="BA1070" s="82" t="s">
        <v>15984</v>
      </c>
      <c r="BB1070" s="82" t="s">
        <v>15984</v>
      </c>
      <c r="BC1070" s="82" t="s">
        <v>12745</v>
      </c>
      <c r="BD1070" s="77">
        <v>2294248922</v>
      </c>
      <c r="BE1070" s="77"/>
      <c r="BF1070" s="77"/>
      <c r="BG1070" s="77"/>
      <c r="BH1070" s="77"/>
      <c r="BI1070" s="77"/>
    </row>
    <row r="1071" spans="1:61" x14ac:dyDescent="0.25">
      <c r="A1071" s="62" t="s">
        <v>580</v>
      </c>
      <c r="B1071" s="62" t="s">
        <v>819</v>
      </c>
      <c r="C1071" s="63"/>
      <c r="D1071" s="64"/>
      <c r="E1071" s="65"/>
      <c r="F1071" s="66"/>
      <c r="G1071" s="63"/>
      <c r="H1071" s="67"/>
      <c r="I1071" s="68"/>
      <c r="J1071" s="68"/>
      <c r="K1071" s="32"/>
      <c r="L1071" s="75">
        <v>1071</v>
      </c>
      <c r="M1071" s="75"/>
      <c r="N1071" s="70"/>
      <c r="O1071" s="77" t="s">
        <v>895</v>
      </c>
      <c r="P1071" s="79">
        <v>45149.343761574077</v>
      </c>
      <c r="Q1071" s="77" t="s">
        <v>1876</v>
      </c>
      <c r="R1071" s="77">
        <v>0</v>
      </c>
      <c r="S1071" s="77">
        <v>1</v>
      </c>
      <c r="T1071" s="77">
        <v>0</v>
      </c>
      <c r="U1071" s="77">
        <v>0</v>
      </c>
      <c r="V1071" s="77">
        <v>267</v>
      </c>
      <c r="W1071" s="82" t="s">
        <v>5354</v>
      </c>
      <c r="X1071" s="80" t="str">
        <f>HYPERLINK("https://macroeconomia.urjcx.urjc.es/")</f>
        <v>https://macroeconomia.urjcx.urjc.es/</v>
      </c>
      <c r="Y1071" s="77" t="s">
        <v>6540</v>
      </c>
      <c r="Z1071" s="77" t="s">
        <v>6586</v>
      </c>
      <c r="AA1071" s="77" t="s">
        <v>7218</v>
      </c>
      <c r="AB1071" s="77" t="s">
        <v>7743</v>
      </c>
      <c r="AC1071" s="82" t="s">
        <v>7761</v>
      </c>
      <c r="AD1071" s="77" t="s">
        <v>7790</v>
      </c>
      <c r="AE1071" s="80" t="str">
        <f>HYPERLINK("https://twitter.com/urjconline/status/1689913296747425792")</f>
        <v>https://twitter.com/urjconline/status/1689913296747425792</v>
      </c>
      <c r="AF1071" s="79">
        <v>45149.343761574077</v>
      </c>
      <c r="AG1071" s="85">
        <v>45149</v>
      </c>
      <c r="AH1071" s="82" t="s">
        <v>8721</v>
      </c>
      <c r="AI1071" s="77" t="b">
        <v>0</v>
      </c>
      <c r="AJ1071" s="77"/>
      <c r="AK1071" s="77"/>
      <c r="AL1071" s="77"/>
      <c r="AM1071" s="77"/>
      <c r="AN1071" s="77"/>
      <c r="AO1071" s="77"/>
      <c r="AP1071" s="77"/>
      <c r="AQ1071" s="77" t="s">
        <v>11190</v>
      </c>
      <c r="AR1071" s="77">
        <v>8766</v>
      </c>
      <c r="AS1071" s="77"/>
      <c r="AT1071" s="77"/>
      <c r="AU1071" s="77"/>
      <c r="AV1071" s="80" t="str">
        <f>HYPERLINK("https://pbs.twimg.com/ext_tw_video_thumb/1689912129812307969/pu/img/KcdAXk4v0E0mTLlN.jpg")</f>
        <v>https://pbs.twimg.com/ext_tw_video_thumb/1689912129812307969/pu/img/KcdAXk4v0E0mTLlN.jpg</v>
      </c>
      <c r="AW1071" s="82" t="s">
        <v>12742</v>
      </c>
      <c r="AX1071" s="82" t="s">
        <v>12742</v>
      </c>
      <c r="AY1071" s="77"/>
      <c r="AZ1071" s="82" t="s">
        <v>15984</v>
      </c>
      <c r="BA1071" s="82" t="s">
        <v>15984</v>
      </c>
      <c r="BB1071" s="82" t="s">
        <v>15984</v>
      </c>
      <c r="BC1071" s="82" t="s">
        <v>12742</v>
      </c>
      <c r="BD1071" s="77">
        <v>2294248922</v>
      </c>
      <c r="BE1071" s="77"/>
      <c r="BF1071" s="77"/>
      <c r="BG1071" s="77"/>
      <c r="BH1071" s="77"/>
      <c r="BI1071" s="77"/>
    </row>
    <row r="1072" spans="1:61" x14ac:dyDescent="0.25">
      <c r="A1072" s="62" t="s">
        <v>580</v>
      </c>
      <c r="B1072" s="62" t="s">
        <v>819</v>
      </c>
      <c r="C1072" s="63"/>
      <c r="D1072" s="64"/>
      <c r="E1072" s="65"/>
      <c r="F1072" s="66"/>
      <c r="G1072" s="63"/>
      <c r="H1072" s="67"/>
      <c r="I1072" s="68"/>
      <c r="J1072" s="68"/>
      <c r="K1072" s="32"/>
      <c r="L1072" s="75">
        <v>1072</v>
      </c>
      <c r="M1072" s="75"/>
      <c r="N1072" s="70"/>
      <c r="O1072" s="77" t="s">
        <v>895</v>
      </c>
      <c r="P1072" s="79">
        <v>45152.343784722223</v>
      </c>
      <c r="Q1072" s="77" t="s">
        <v>1880</v>
      </c>
      <c r="R1072" s="77">
        <v>0</v>
      </c>
      <c r="S1072" s="77">
        <v>0</v>
      </c>
      <c r="T1072" s="77">
        <v>0</v>
      </c>
      <c r="U1072" s="77">
        <v>0</v>
      </c>
      <c r="V1072" s="77">
        <v>259</v>
      </c>
      <c r="W1072" s="82" t="s">
        <v>5354</v>
      </c>
      <c r="X1072" s="80" t="str">
        <f>HYPERLINK("https://macroeconomia.urjcx.urjc.es/")</f>
        <v>https://macroeconomia.urjcx.urjc.es/</v>
      </c>
      <c r="Y1072" s="77" t="s">
        <v>6540</v>
      </c>
      <c r="Z1072" s="77" t="s">
        <v>6589</v>
      </c>
      <c r="AA1072" s="77" t="s">
        <v>7222</v>
      </c>
      <c r="AB1072" s="77" t="s">
        <v>7743</v>
      </c>
      <c r="AC1072" s="82" t="s">
        <v>7761</v>
      </c>
      <c r="AD1072" s="77" t="s">
        <v>7790</v>
      </c>
      <c r="AE1072" s="80" t="str">
        <f>HYPERLINK("https://twitter.com/urjconline/status/1691000467218673664")</f>
        <v>https://twitter.com/urjconline/status/1691000467218673664</v>
      </c>
      <c r="AF1072" s="79">
        <v>45152.343784722223</v>
      </c>
      <c r="AG1072" s="85">
        <v>45152</v>
      </c>
      <c r="AH1072" s="82" t="s">
        <v>8725</v>
      </c>
      <c r="AI1072" s="77" t="b">
        <v>0</v>
      </c>
      <c r="AJ1072" s="77"/>
      <c r="AK1072" s="77"/>
      <c r="AL1072" s="77"/>
      <c r="AM1072" s="77"/>
      <c r="AN1072" s="77"/>
      <c r="AO1072" s="77"/>
      <c r="AP1072" s="77"/>
      <c r="AQ1072" s="77" t="s">
        <v>11194</v>
      </c>
      <c r="AR1072" s="77">
        <v>8766</v>
      </c>
      <c r="AS1072" s="77"/>
      <c r="AT1072" s="77"/>
      <c r="AU1072" s="77"/>
      <c r="AV1072" s="80" t="str">
        <f>HYPERLINK("https://pbs.twimg.com/ext_tw_video_thumb/1690999286329159680/pu/img/UZqPqKR6Gc8CjC0U.jpg")</f>
        <v>https://pbs.twimg.com/ext_tw_video_thumb/1690999286329159680/pu/img/UZqPqKR6Gc8CjC0U.jpg</v>
      </c>
      <c r="AW1072" s="82" t="s">
        <v>12746</v>
      </c>
      <c r="AX1072" s="82" t="s">
        <v>12746</v>
      </c>
      <c r="AY1072" s="77"/>
      <c r="AZ1072" s="82" t="s">
        <v>15984</v>
      </c>
      <c r="BA1072" s="82" t="s">
        <v>15984</v>
      </c>
      <c r="BB1072" s="82" t="s">
        <v>15984</v>
      </c>
      <c r="BC1072" s="82" t="s">
        <v>12746</v>
      </c>
      <c r="BD1072" s="77">
        <v>2294248922</v>
      </c>
      <c r="BE1072" s="77"/>
      <c r="BF1072" s="77"/>
      <c r="BG1072" s="77"/>
      <c r="BH1072" s="77"/>
      <c r="BI1072" s="77"/>
    </row>
    <row r="1073" spans="1:61" x14ac:dyDescent="0.25">
      <c r="A1073" s="62" t="s">
        <v>580</v>
      </c>
      <c r="B1073" s="62" t="s">
        <v>819</v>
      </c>
      <c r="C1073" s="63"/>
      <c r="D1073" s="64"/>
      <c r="E1073" s="65"/>
      <c r="F1073" s="66"/>
      <c r="G1073" s="63"/>
      <c r="H1073" s="67"/>
      <c r="I1073" s="68"/>
      <c r="J1073" s="68"/>
      <c r="K1073" s="32"/>
      <c r="L1073" s="75">
        <v>1073</v>
      </c>
      <c r="M1073" s="75"/>
      <c r="N1073" s="70"/>
      <c r="O1073" s="77" t="s">
        <v>895</v>
      </c>
      <c r="P1073" s="79">
        <v>45176.250567129631</v>
      </c>
      <c r="Q1073" s="77" t="s">
        <v>1877</v>
      </c>
      <c r="R1073" s="77">
        <v>0</v>
      </c>
      <c r="S1073" s="77">
        <v>0</v>
      </c>
      <c r="T1073" s="77">
        <v>0</v>
      </c>
      <c r="U1073" s="77">
        <v>1</v>
      </c>
      <c r="V1073" s="77">
        <v>2175</v>
      </c>
      <c r="W1073" s="82" t="s">
        <v>5355</v>
      </c>
      <c r="X1073" s="80" t="str">
        <f>HYPERLINK("https://macroeconomia.urjcx.urjc.es/")</f>
        <v>https://macroeconomia.urjcx.urjc.es/</v>
      </c>
      <c r="Y1073" s="77" t="s">
        <v>6540</v>
      </c>
      <c r="Z1073" s="77" t="s">
        <v>6587</v>
      </c>
      <c r="AA1073" s="77" t="s">
        <v>7219</v>
      </c>
      <c r="AB1073" s="77" t="s">
        <v>7743</v>
      </c>
      <c r="AC1073" s="82" t="s">
        <v>7761</v>
      </c>
      <c r="AD1073" s="77" t="s">
        <v>7790</v>
      </c>
      <c r="AE1073" s="80" t="str">
        <f>HYPERLINK("https://twitter.com/urjconline/status/1699663996859691147")</f>
        <v>https://twitter.com/urjconline/status/1699663996859691147</v>
      </c>
      <c r="AF1073" s="79">
        <v>45176.250567129631</v>
      </c>
      <c r="AG1073" s="85">
        <v>45176</v>
      </c>
      <c r="AH1073" s="82" t="s">
        <v>8722</v>
      </c>
      <c r="AI1073" s="77" t="b">
        <v>0</v>
      </c>
      <c r="AJ1073" s="77"/>
      <c r="AK1073" s="77"/>
      <c r="AL1073" s="77"/>
      <c r="AM1073" s="77"/>
      <c r="AN1073" s="77"/>
      <c r="AO1073" s="77"/>
      <c r="AP1073" s="77"/>
      <c r="AQ1073" s="77" t="s">
        <v>11191</v>
      </c>
      <c r="AR1073" s="77">
        <v>8766</v>
      </c>
      <c r="AS1073" s="77"/>
      <c r="AT1073" s="77"/>
      <c r="AU1073" s="77"/>
      <c r="AV1073" s="80" t="str">
        <f>HYPERLINK("https://pbs.twimg.com/ext_tw_video_thumb/1699662589758722048/pu/img/8Qk8uaNL6YrsDEQh.jpg")</f>
        <v>https://pbs.twimg.com/ext_tw_video_thumb/1699662589758722048/pu/img/8Qk8uaNL6YrsDEQh.jpg</v>
      </c>
      <c r="AW1073" s="82" t="s">
        <v>12743</v>
      </c>
      <c r="AX1073" s="82" t="s">
        <v>12743</v>
      </c>
      <c r="AY1073" s="77"/>
      <c r="AZ1073" s="82" t="s">
        <v>15984</v>
      </c>
      <c r="BA1073" s="82" t="s">
        <v>15984</v>
      </c>
      <c r="BB1073" s="82" t="s">
        <v>15984</v>
      </c>
      <c r="BC1073" s="82" t="s">
        <v>12743</v>
      </c>
      <c r="BD1073" s="77">
        <v>2294248922</v>
      </c>
      <c r="BE1073" s="77"/>
      <c r="BF1073" s="77"/>
      <c r="BG1073" s="77"/>
      <c r="BH1073" s="77"/>
      <c r="BI1073" s="77"/>
    </row>
    <row r="1074" spans="1:61" x14ac:dyDescent="0.25">
      <c r="A1074" s="62" t="s">
        <v>580</v>
      </c>
      <c r="B1074" s="62" t="s">
        <v>819</v>
      </c>
      <c r="C1074" s="63"/>
      <c r="D1074" s="64"/>
      <c r="E1074" s="65"/>
      <c r="F1074" s="66"/>
      <c r="G1074" s="63"/>
      <c r="H1074" s="67"/>
      <c r="I1074" s="68"/>
      <c r="J1074" s="68"/>
      <c r="K1074" s="32"/>
      <c r="L1074" s="75">
        <v>1074</v>
      </c>
      <c r="M1074" s="75"/>
      <c r="N1074" s="70"/>
      <c r="O1074" s="77" t="s">
        <v>895</v>
      </c>
      <c r="P1074" s="79">
        <v>45134.585925925923</v>
      </c>
      <c r="Q1074" s="77" t="s">
        <v>1881</v>
      </c>
      <c r="R1074" s="77">
        <v>0</v>
      </c>
      <c r="S1074" s="77">
        <v>1</v>
      </c>
      <c r="T1074" s="77">
        <v>0</v>
      </c>
      <c r="U1074" s="77">
        <v>0</v>
      </c>
      <c r="V1074" s="77">
        <v>396</v>
      </c>
      <c r="W1074" s="82" t="s">
        <v>5356</v>
      </c>
      <c r="X1074" s="80" t="str">
        <f>HYPERLINK("https://macroeconomia.urjcx.urjc.es/")</f>
        <v>https://macroeconomia.urjcx.urjc.es/</v>
      </c>
      <c r="Y1074" s="77" t="s">
        <v>6540</v>
      </c>
      <c r="Z1074" s="77" t="s">
        <v>6589</v>
      </c>
      <c r="AA1074" s="77" t="s">
        <v>7223</v>
      </c>
      <c r="AB1074" s="77" t="s">
        <v>7743</v>
      </c>
      <c r="AC1074" s="82" t="s">
        <v>7761</v>
      </c>
      <c r="AD1074" s="77" t="s">
        <v>7790</v>
      </c>
      <c r="AE1074" s="80" t="str">
        <f>HYPERLINK("https://twitter.com/urjconline/status/1684565235351556100")</f>
        <v>https://twitter.com/urjconline/status/1684565235351556100</v>
      </c>
      <c r="AF1074" s="79">
        <v>45134.585925925923</v>
      </c>
      <c r="AG1074" s="85">
        <v>45134</v>
      </c>
      <c r="AH1074" s="82" t="s">
        <v>8726</v>
      </c>
      <c r="AI1074" s="77" t="b">
        <v>0</v>
      </c>
      <c r="AJ1074" s="77"/>
      <c r="AK1074" s="77"/>
      <c r="AL1074" s="77"/>
      <c r="AM1074" s="77"/>
      <c r="AN1074" s="77"/>
      <c r="AO1074" s="77"/>
      <c r="AP1074" s="77"/>
      <c r="AQ1074" s="77" t="s">
        <v>11195</v>
      </c>
      <c r="AR1074" s="77">
        <v>8766</v>
      </c>
      <c r="AS1074" s="77"/>
      <c r="AT1074" s="77"/>
      <c r="AU1074" s="77"/>
      <c r="AV1074" s="80" t="str">
        <f>HYPERLINK("https://pbs.twimg.com/ext_tw_video_thumb/1684564295076691971/pu/img/ykCzJ9GVWnbIV_6o.jpg")</f>
        <v>https://pbs.twimg.com/ext_tw_video_thumb/1684564295076691971/pu/img/ykCzJ9GVWnbIV_6o.jpg</v>
      </c>
      <c r="AW1074" s="82" t="s">
        <v>12747</v>
      </c>
      <c r="AX1074" s="82" t="s">
        <v>12747</v>
      </c>
      <c r="AY1074" s="77"/>
      <c r="AZ1074" s="82" t="s">
        <v>15984</v>
      </c>
      <c r="BA1074" s="82" t="s">
        <v>15984</v>
      </c>
      <c r="BB1074" s="82" t="s">
        <v>15984</v>
      </c>
      <c r="BC1074" s="82" t="s">
        <v>12747</v>
      </c>
      <c r="BD1074" s="77">
        <v>2294248922</v>
      </c>
      <c r="BE1074" s="77"/>
      <c r="BF1074" s="77"/>
      <c r="BG1074" s="77"/>
      <c r="BH1074" s="77"/>
      <c r="BI1074" s="77"/>
    </row>
    <row r="1075" spans="1:61" x14ac:dyDescent="0.25">
      <c r="A1075" s="62" t="s">
        <v>580</v>
      </c>
      <c r="B1075" s="62" t="s">
        <v>819</v>
      </c>
      <c r="C1075" s="63"/>
      <c r="D1075" s="64"/>
      <c r="E1075" s="65"/>
      <c r="F1075" s="66"/>
      <c r="G1075" s="63"/>
      <c r="H1075" s="67"/>
      <c r="I1075" s="68"/>
      <c r="J1075" s="68"/>
      <c r="K1075" s="32"/>
      <c r="L1075" s="75">
        <v>1075</v>
      </c>
      <c r="M1075" s="75"/>
      <c r="N1075" s="70"/>
      <c r="O1075" s="77" t="s">
        <v>895</v>
      </c>
      <c r="P1075" s="79">
        <v>45181.303437499999</v>
      </c>
      <c r="Q1075" s="77" t="s">
        <v>1878</v>
      </c>
      <c r="R1075" s="77">
        <v>1</v>
      </c>
      <c r="S1075" s="77">
        <v>2</v>
      </c>
      <c r="T1075" s="77">
        <v>0</v>
      </c>
      <c r="U1075" s="77">
        <v>0</v>
      </c>
      <c r="V1075" s="77">
        <v>295</v>
      </c>
      <c r="W1075" s="82" t="s">
        <v>5354</v>
      </c>
      <c r="X1075" s="80" t="str">
        <f>HYPERLINK("http://macroeconomia.urjcx.urjc.es")</f>
        <v>http://macroeconomia.urjcx.urjc.es</v>
      </c>
      <c r="Y1075" s="77" t="s">
        <v>6540</v>
      </c>
      <c r="Z1075" s="77" t="s">
        <v>6588</v>
      </c>
      <c r="AA1075" s="77" t="s">
        <v>7220</v>
      </c>
      <c r="AB1075" s="77" t="s">
        <v>7743</v>
      </c>
      <c r="AC1075" s="82" t="s">
        <v>7761</v>
      </c>
      <c r="AD1075" s="77" t="s">
        <v>7790</v>
      </c>
      <c r="AE1075" s="80" t="str">
        <f>HYPERLINK("https://twitter.com/urjconline/status/1701495094094774503")</f>
        <v>https://twitter.com/urjconline/status/1701495094094774503</v>
      </c>
      <c r="AF1075" s="79">
        <v>45181.303437499999</v>
      </c>
      <c r="AG1075" s="85">
        <v>45181</v>
      </c>
      <c r="AH1075" s="82" t="s">
        <v>8723</v>
      </c>
      <c r="AI1075" s="77" t="b">
        <v>0</v>
      </c>
      <c r="AJ1075" s="77"/>
      <c r="AK1075" s="77"/>
      <c r="AL1075" s="77"/>
      <c r="AM1075" s="77"/>
      <c r="AN1075" s="77"/>
      <c r="AO1075" s="77"/>
      <c r="AP1075" s="77"/>
      <c r="AQ1075" s="77" t="s">
        <v>11192</v>
      </c>
      <c r="AR1075" s="77">
        <v>8766</v>
      </c>
      <c r="AS1075" s="77"/>
      <c r="AT1075" s="77"/>
      <c r="AU1075" s="77"/>
      <c r="AV1075" s="80" t="str">
        <f>HYPERLINK("https://pbs.twimg.com/ext_tw_video_thumb/1701494966797676544/pu/img/WJ4Vw_mGo1gfTm6Q.jpg")</f>
        <v>https://pbs.twimg.com/ext_tw_video_thumb/1701494966797676544/pu/img/WJ4Vw_mGo1gfTm6Q.jpg</v>
      </c>
      <c r="AW1075" s="82" t="s">
        <v>12744</v>
      </c>
      <c r="AX1075" s="82" t="s">
        <v>12744</v>
      </c>
      <c r="AY1075" s="77"/>
      <c r="AZ1075" s="82" t="s">
        <v>15984</v>
      </c>
      <c r="BA1075" s="82" t="s">
        <v>15984</v>
      </c>
      <c r="BB1075" s="82" t="s">
        <v>15984</v>
      </c>
      <c r="BC1075" s="82" t="s">
        <v>12744</v>
      </c>
      <c r="BD1075" s="77">
        <v>2294248922</v>
      </c>
      <c r="BE1075" s="77"/>
      <c r="BF1075" s="77"/>
      <c r="BG1075" s="77"/>
      <c r="BH1075" s="77"/>
      <c r="BI1075" s="77"/>
    </row>
    <row r="1076" spans="1:61" x14ac:dyDescent="0.25">
      <c r="A1076" s="62" t="s">
        <v>580</v>
      </c>
      <c r="B1076" s="62" t="s">
        <v>820</v>
      </c>
      <c r="C1076" s="63"/>
      <c r="D1076" s="64"/>
      <c r="E1076" s="65"/>
      <c r="F1076" s="66"/>
      <c r="G1076" s="63"/>
      <c r="H1076" s="67"/>
      <c r="I1076" s="68"/>
      <c r="J1076" s="68"/>
      <c r="K1076" s="32"/>
      <c r="L1076" s="75">
        <v>1076</v>
      </c>
      <c r="M1076" s="75"/>
      <c r="N1076" s="70"/>
      <c r="O1076" s="77" t="s">
        <v>895</v>
      </c>
      <c r="P1076" s="79">
        <v>45141.340405092589</v>
      </c>
      <c r="Q1076" s="77" t="s">
        <v>1879</v>
      </c>
      <c r="R1076" s="77">
        <v>0</v>
      </c>
      <c r="S1076" s="77">
        <v>1</v>
      </c>
      <c r="T1076" s="77">
        <v>0</v>
      </c>
      <c r="U1076" s="77">
        <v>0</v>
      </c>
      <c r="V1076" s="77">
        <v>276</v>
      </c>
      <c r="W1076" s="82" t="s">
        <v>5354</v>
      </c>
      <c r="X1076" s="80" t="str">
        <f>HYPERLINK("https://macroeconomia.urjcx.urjc.es/")</f>
        <v>https://macroeconomia.urjcx.urjc.es/</v>
      </c>
      <c r="Y1076" s="77" t="s">
        <v>6540</v>
      </c>
      <c r="Z1076" s="77" t="s">
        <v>6589</v>
      </c>
      <c r="AA1076" s="77" t="s">
        <v>7221</v>
      </c>
      <c r="AB1076" s="77" t="s">
        <v>7743</v>
      </c>
      <c r="AC1076" s="82" t="s">
        <v>7761</v>
      </c>
      <c r="AD1076" s="77" t="s">
        <v>7790</v>
      </c>
      <c r="AE1076" s="80" t="str">
        <f>HYPERLINK("https://twitter.com/urjconline/status/1687012975364689920")</f>
        <v>https://twitter.com/urjconline/status/1687012975364689920</v>
      </c>
      <c r="AF1076" s="79">
        <v>45141.340405092589</v>
      </c>
      <c r="AG1076" s="85">
        <v>45141</v>
      </c>
      <c r="AH1076" s="82" t="s">
        <v>8724</v>
      </c>
      <c r="AI1076" s="77" t="b">
        <v>0</v>
      </c>
      <c r="AJ1076" s="77"/>
      <c r="AK1076" s="77"/>
      <c r="AL1076" s="77"/>
      <c r="AM1076" s="77"/>
      <c r="AN1076" s="77"/>
      <c r="AO1076" s="77"/>
      <c r="AP1076" s="77"/>
      <c r="AQ1076" s="77" t="s">
        <v>11193</v>
      </c>
      <c r="AR1076" s="77">
        <v>8766</v>
      </c>
      <c r="AS1076" s="77"/>
      <c r="AT1076" s="77"/>
      <c r="AU1076" s="77"/>
      <c r="AV1076" s="80" t="str">
        <f>HYPERLINK("https://pbs.twimg.com/ext_tw_video_thumb/1687011781988769792/pu/img/R6SdaJcmCizpVoVe.jpg")</f>
        <v>https://pbs.twimg.com/ext_tw_video_thumb/1687011781988769792/pu/img/R6SdaJcmCizpVoVe.jpg</v>
      </c>
      <c r="AW1076" s="82" t="s">
        <v>12745</v>
      </c>
      <c r="AX1076" s="82" t="s">
        <v>12745</v>
      </c>
      <c r="AY1076" s="77"/>
      <c r="AZ1076" s="82" t="s">
        <v>15984</v>
      </c>
      <c r="BA1076" s="82" t="s">
        <v>15984</v>
      </c>
      <c r="BB1076" s="82" t="s">
        <v>15984</v>
      </c>
      <c r="BC1076" s="82" t="s">
        <v>12745</v>
      </c>
      <c r="BD1076" s="77">
        <v>2294248922</v>
      </c>
      <c r="BE1076" s="77"/>
      <c r="BF1076" s="77"/>
      <c r="BG1076" s="77"/>
      <c r="BH1076" s="77"/>
      <c r="BI1076" s="77"/>
    </row>
    <row r="1077" spans="1:61" x14ac:dyDescent="0.25">
      <c r="A1077" s="62" t="s">
        <v>580</v>
      </c>
      <c r="B1077" s="62" t="s">
        <v>820</v>
      </c>
      <c r="C1077" s="63"/>
      <c r="D1077" s="64"/>
      <c r="E1077" s="65"/>
      <c r="F1077" s="66"/>
      <c r="G1077" s="63"/>
      <c r="H1077" s="67"/>
      <c r="I1077" s="68"/>
      <c r="J1077" s="68"/>
      <c r="K1077" s="32"/>
      <c r="L1077" s="75">
        <v>1077</v>
      </c>
      <c r="M1077" s="75"/>
      <c r="N1077" s="70"/>
      <c r="O1077" s="77" t="s">
        <v>895</v>
      </c>
      <c r="P1077" s="79">
        <v>45149.343761574077</v>
      </c>
      <c r="Q1077" s="77" t="s">
        <v>1876</v>
      </c>
      <c r="R1077" s="77">
        <v>0</v>
      </c>
      <c r="S1077" s="77">
        <v>1</v>
      </c>
      <c r="T1077" s="77">
        <v>0</v>
      </c>
      <c r="U1077" s="77">
        <v>0</v>
      </c>
      <c r="V1077" s="77">
        <v>267</v>
      </c>
      <c r="W1077" s="82" t="s">
        <v>5354</v>
      </c>
      <c r="X1077" s="80" t="str">
        <f>HYPERLINK("https://macroeconomia.urjcx.urjc.es/")</f>
        <v>https://macroeconomia.urjcx.urjc.es/</v>
      </c>
      <c r="Y1077" s="77" t="s">
        <v>6540</v>
      </c>
      <c r="Z1077" s="77" t="s">
        <v>6586</v>
      </c>
      <c r="AA1077" s="77" t="s">
        <v>7218</v>
      </c>
      <c r="AB1077" s="77" t="s">
        <v>7743</v>
      </c>
      <c r="AC1077" s="82" t="s">
        <v>7761</v>
      </c>
      <c r="AD1077" s="77" t="s">
        <v>7790</v>
      </c>
      <c r="AE1077" s="80" t="str">
        <f>HYPERLINK("https://twitter.com/urjconline/status/1689913296747425792")</f>
        <v>https://twitter.com/urjconline/status/1689913296747425792</v>
      </c>
      <c r="AF1077" s="79">
        <v>45149.343761574077</v>
      </c>
      <c r="AG1077" s="85">
        <v>45149</v>
      </c>
      <c r="AH1077" s="82" t="s">
        <v>8721</v>
      </c>
      <c r="AI1077" s="77" t="b">
        <v>0</v>
      </c>
      <c r="AJ1077" s="77"/>
      <c r="AK1077" s="77"/>
      <c r="AL1077" s="77"/>
      <c r="AM1077" s="77"/>
      <c r="AN1077" s="77"/>
      <c r="AO1077" s="77"/>
      <c r="AP1077" s="77"/>
      <c r="AQ1077" s="77" t="s">
        <v>11190</v>
      </c>
      <c r="AR1077" s="77">
        <v>8766</v>
      </c>
      <c r="AS1077" s="77"/>
      <c r="AT1077" s="77"/>
      <c r="AU1077" s="77"/>
      <c r="AV1077" s="80" t="str">
        <f>HYPERLINK("https://pbs.twimg.com/ext_tw_video_thumb/1689912129812307969/pu/img/KcdAXk4v0E0mTLlN.jpg")</f>
        <v>https://pbs.twimg.com/ext_tw_video_thumb/1689912129812307969/pu/img/KcdAXk4v0E0mTLlN.jpg</v>
      </c>
      <c r="AW1077" s="82" t="s">
        <v>12742</v>
      </c>
      <c r="AX1077" s="82" t="s">
        <v>12742</v>
      </c>
      <c r="AY1077" s="77"/>
      <c r="AZ1077" s="82" t="s">
        <v>15984</v>
      </c>
      <c r="BA1077" s="82" t="s">
        <v>15984</v>
      </c>
      <c r="BB1077" s="82" t="s">
        <v>15984</v>
      </c>
      <c r="BC1077" s="82" t="s">
        <v>12742</v>
      </c>
      <c r="BD1077" s="77">
        <v>2294248922</v>
      </c>
      <c r="BE1077" s="77"/>
      <c r="BF1077" s="77"/>
      <c r="BG1077" s="77"/>
      <c r="BH1077" s="77"/>
      <c r="BI1077" s="77"/>
    </row>
    <row r="1078" spans="1:61" x14ac:dyDescent="0.25">
      <c r="A1078" s="62" t="s">
        <v>580</v>
      </c>
      <c r="B1078" s="62" t="s">
        <v>820</v>
      </c>
      <c r="C1078" s="63"/>
      <c r="D1078" s="64"/>
      <c r="E1078" s="65"/>
      <c r="F1078" s="66"/>
      <c r="G1078" s="63"/>
      <c r="H1078" s="67"/>
      <c r="I1078" s="68"/>
      <c r="J1078" s="68"/>
      <c r="K1078" s="32"/>
      <c r="L1078" s="75">
        <v>1078</v>
      </c>
      <c r="M1078" s="75"/>
      <c r="N1078" s="70"/>
      <c r="O1078" s="77" t="s">
        <v>895</v>
      </c>
      <c r="P1078" s="79">
        <v>45152.343784722223</v>
      </c>
      <c r="Q1078" s="77" t="s">
        <v>1880</v>
      </c>
      <c r="R1078" s="77">
        <v>0</v>
      </c>
      <c r="S1078" s="77">
        <v>0</v>
      </c>
      <c r="T1078" s="77">
        <v>0</v>
      </c>
      <c r="U1078" s="77">
        <v>0</v>
      </c>
      <c r="V1078" s="77">
        <v>259</v>
      </c>
      <c r="W1078" s="82" t="s">
        <v>5354</v>
      </c>
      <c r="X1078" s="80" t="str">
        <f>HYPERLINK("https://macroeconomia.urjcx.urjc.es/")</f>
        <v>https://macroeconomia.urjcx.urjc.es/</v>
      </c>
      <c r="Y1078" s="77" t="s">
        <v>6540</v>
      </c>
      <c r="Z1078" s="77" t="s">
        <v>6589</v>
      </c>
      <c r="AA1078" s="77" t="s">
        <v>7222</v>
      </c>
      <c r="AB1078" s="77" t="s">
        <v>7743</v>
      </c>
      <c r="AC1078" s="82" t="s">
        <v>7761</v>
      </c>
      <c r="AD1078" s="77" t="s">
        <v>7790</v>
      </c>
      <c r="AE1078" s="80" t="str">
        <f>HYPERLINK("https://twitter.com/urjconline/status/1691000467218673664")</f>
        <v>https://twitter.com/urjconline/status/1691000467218673664</v>
      </c>
      <c r="AF1078" s="79">
        <v>45152.343784722223</v>
      </c>
      <c r="AG1078" s="85">
        <v>45152</v>
      </c>
      <c r="AH1078" s="82" t="s">
        <v>8725</v>
      </c>
      <c r="AI1078" s="77" t="b">
        <v>0</v>
      </c>
      <c r="AJ1078" s="77"/>
      <c r="AK1078" s="77"/>
      <c r="AL1078" s="77"/>
      <c r="AM1078" s="77"/>
      <c r="AN1078" s="77"/>
      <c r="AO1078" s="77"/>
      <c r="AP1078" s="77"/>
      <c r="AQ1078" s="77" t="s">
        <v>11194</v>
      </c>
      <c r="AR1078" s="77">
        <v>8766</v>
      </c>
      <c r="AS1078" s="77"/>
      <c r="AT1078" s="77"/>
      <c r="AU1078" s="77"/>
      <c r="AV1078" s="80" t="str">
        <f>HYPERLINK("https://pbs.twimg.com/ext_tw_video_thumb/1690999286329159680/pu/img/UZqPqKR6Gc8CjC0U.jpg")</f>
        <v>https://pbs.twimg.com/ext_tw_video_thumb/1690999286329159680/pu/img/UZqPqKR6Gc8CjC0U.jpg</v>
      </c>
      <c r="AW1078" s="82" t="s">
        <v>12746</v>
      </c>
      <c r="AX1078" s="82" t="s">
        <v>12746</v>
      </c>
      <c r="AY1078" s="77"/>
      <c r="AZ1078" s="82" t="s">
        <v>15984</v>
      </c>
      <c r="BA1078" s="82" t="s">
        <v>15984</v>
      </c>
      <c r="BB1078" s="82" t="s">
        <v>15984</v>
      </c>
      <c r="BC1078" s="82" t="s">
        <v>12746</v>
      </c>
      <c r="BD1078" s="77">
        <v>2294248922</v>
      </c>
      <c r="BE1078" s="77"/>
      <c r="BF1078" s="77"/>
      <c r="BG1078" s="77"/>
      <c r="BH1078" s="77"/>
      <c r="BI1078" s="77"/>
    </row>
    <row r="1079" spans="1:61" x14ac:dyDescent="0.25">
      <c r="A1079" s="62" t="s">
        <v>580</v>
      </c>
      <c r="B1079" s="62" t="s">
        <v>820</v>
      </c>
      <c r="C1079" s="63"/>
      <c r="D1079" s="64"/>
      <c r="E1079" s="65"/>
      <c r="F1079" s="66"/>
      <c r="G1079" s="63"/>
      <c r="H1079" s="67"/>
      <c r="I1079" s="68"/>
      <c r="J1079" s="68"/>
      <c r="K1079" s="32"/>
      <c r="L1079" s="75">
        <v>1079</v>
      </c>
      <c r="M1079" s="75"/>
      <c r="N1079" s="70"/>
      <c r="O1079" s="77" t="s">
        <v>895</v>
      </c>
      <c r="P1079" s="79">
        <v>45160.350729166668</v>
      </c>
      <c r="Q1079" s="77" t="s">
        <v>1882</v>
      </c>
      <c r="R1079" s="77">
        <v>0</v>
      </c>
      <c r="S1079" s="77">
        <v>1</v>
      </c>
      <c r="T1079" s="77">
        <v>0</v>
      </c>
      <c r="U1079" s="77">
        <v>0</v>
      </c>
      <c r="V1079" s="77">
        <v>299</v>
      </c>
      <c r="W1079" s="82" t="s">
        <v>5354</v>
      </c>
      <c r="X1079" s="80" t="str">
        <f>HYPERLINK("https://macroeconomia.urjcx.urjc.es/")</f>
        <v>https://macroeconomia.urjcx.urjc.es/</v>
      </c>
      <c r="Y1079" s="77" t="s">
        <v>6540</v>
      </c>
      <c r="Z1079" s="77" t="s">
        <v>820</v>
      </c>
      <c r="AA1079" s="77" t="s">
        <v>7224</v>
      </c>
      <c r="AB1079" s="77" t="s">
        <v>7743</v>
      </c>
      <c r="AC1079" s="82" t="s">
        <v>7761</v>
      </c>
      <c r="AD1079" s="77" t="s">
        <v>7790</v>
      </c>
      <c r="AE1079" s="80" t="str">
        <f>HYPERLINK("https://twitter.com/urjconline/status/1693902086176395652")</f>
        <v>https://twitter.com/urjconline/status/1693902086176395652</v>
      </c>
      <c r="AF1079" s="79">
        <v>45160.350729166668</v>
      </c>
      <c r="AG1079" s="85">
        <v>45160</v>
      </c>
      <c r="AH1079" s="82" t="s">
        <v>8727</v>
      </c>
      <c r="AI1079" s="77" t="b">
        <v>0</v>
      </c>
      <c r="AJ1079" s="77"/>
      <c r="AK1079" s="77"/>
      <c r="AL1079" s="77"/>
      <c r="AM1079" s="77"/>
      <c r="AN1079" s="77"/>
      <c r="AO1079" s="77"/>
      <c r="AP1079" s="77"/>
      <c r="AQ1079" s="77" t="s">
        <v>11196</v>
      </c>
      <c r="AR1079" s="77">
        <v>8766</v>
      </c>
      <c r="AS1079" s="77"/>
      <c r="AT1079" s="77"/>
      <c r="AU1079" s="77"/>
      <c r="AV1079" s="80" t="str">
        <f>HYPERLINK("https://pbs.twimg.com/ext_tw_video_thumb/1693900881199091713/pu/img/wM_1xG9l56fmU54E.jpg")</f>
        <v>https://pbs.twimg.com/ext_tw_video_thumb/1693900881199091713/pu/img/wM_1xG9l56fmU54E.jpg</v>
      </c>
      <c r="AW1079" s="82" t="s">
        <v>12748</v>
      </c>
      <c r="AX1079" s="82" t="s">
        <v>12748</v>
      </c>
      <c r="AY1079" s="77"/>
      <c r="AZ1079" s="82" t="s">
        <v>15984</v>
      </c>
      <c r="BA1079" s="82" t="s">
        <v>15984</v>
      </c>
      <c r="BB1079" s="82" t="s">
        <v>15984</v>
      </c>
      <c r="BC1079" s="82" t="s">
        <v>12748</v>
      </c>
      <c r="BD1079" s="77">
        <v>2294248922</v>
      </c>
      <c r="BE1079" s="77"/>
      <c r="BF1079" s="77"/>
      <c r="BG1079" s="77"/>
      <c r="BH1079" s="77"/>
      <c r="BI1079" s="77"/>
    </row>
    <row r="1080" spans="1:61" x14ac:dyDescent="0.25">
      <c r="A1080" s="62" t="s">
        <v>580</v>
      </c>
      <c r="B1080" s="62" t="s">
        <v>820</v>
      </c>
      <c r="C1080" s="63"/>
      <c r="D1080" s="64"/>
      <c r="E1080" s="65"/>
      <c r="F1080" s="66"/>
      <c r="G1080" s="63"/>
      <c r="H1080" s="67"/>
      <c r="I1080" s="68"/>
      <c r="J1080" s="68"/>
      <c r="K1080" s="32"/>
      <c r="L1080" s="75">
        <v>1080</v>
      </c>
      <c r="M1080" s="75"/>
      <c r="N1080" s="70"/>
      <c r="O1080" s="77" t="s">
        <v>895</v>
      </c>
      <c r="P1080" s="79">
        <v>45168.354270833333</v>
      </c>
      <c r="Q1080" s="77" t="s">
        <v>1883</v>
      </c>
      <c r="R1080" s="77">
        <v>0</v>
      </c>
      <c r="S1080" s="77">
        <v>0</v>
      </c>
      <c r="T1080" s="77">
        <v>0</v>
      </c>
      <c r="U1080" s="77">
        <v>0</v>
      </c>
      <c r="V1080" s="77">
        <v>252</v>
      </c>
      <c r="W1080" s="82" t="s">
        <v>5354</v>
      </c>
      <c r="X1080" s="80" t="str">
        <f>HYPERLINK("https://macroeconomia.urjcx.urjc.es/")</f>
        <v>https://macroeconomia.urjcx.urjc.es/</v>
      </c>
      <c r="Y1080" s="77" t="s">
        <v>6540</v>
      </c>
      <c r="Z1080" s="77" t="s">
        <v>820</v>
      </c>
      <c r="AA1080" s="77" t="s">
        <v>7225</v>
      </c>
      <c r="AB1080" s="77" t="s">
        <v>7743</v>
      </c>
      <c r="AC1080" s="82" t="s">
        <v>7761</v>
      </c>
      <c r="AD1080" s="77" t="s">
        <v>7790</v>
      </c>
      <c r="AE1080" s="80" t="str">
        <f>HYPERLINK("https://twitter.com/urjconline/status/1696802472646353294")</f>
        <v>https://twitter.com/urjconline/status/1696802472646353294</v>
      </c>
      <c r="AF1080" s="79">
        <v>45168.354270833333</v>
      </c>
      <c r="AG1080" s="85">
        <v>45168</v>
      </c>
      <c r="AH1080" s="82" t="s">
        <v>8728</v>
      </c>
      <c r="AI1080" s="77" t="b">
        <v>0</v>
      </c>
      <c r="AJ1080" s="77"/>
      <c r="AK1080" s="77"/>
      <c r="AL1080" s="77"/>
      <c r="AM1080" s="77"/>
      <c r="AN1080" s="77"/>
      <c r="AO1080" s="77"/>
      <c r="AP1080" s="77"/>
      <c r="AQ1080" s="77" t="s">
        <v>11197</v>
      </c>
      <c r="AR1080" s="77">
        <v>40640</v>
      </c>
      <c r="AS1080" s="77"/>
      <c r="AT1080" s="77"/>
      <c r="AU1080" s="77"/>
      <c r="AV1080" s="80" t="str">
        <f>HYPERLINK("https://pbs.twimg.com/ext_tw_video_thumb/1696801236417220608/pu/img/2DUs91F93aPmh1Jx.jpg")</f>
        <v>https://pbs.twimg.com/ext_tw_video_thumb/1696801236417220608/pu/img/2DUs91F93aPmh1Jx.jpg</v>
      </c>
      <c r="AW1080" s="82" t="s">
        <v>12749</v>
      </c>
      <c r="AX1080" s="82" t="s">
        <v>12749</v>
      </c>
      <c r="AY1080" s="77"/>
      <c r="AZ1080" s="82" t="s">
        <v>15984</v>
      </c>
      <c r="BA1080" s="82" t="s">
        <v>15984</v>
      </c>
      <c r="BB1080" s="82" t="s">
        <v>15984</v>
      </c>
      <c r="BC1080" s="82" t="s">
        <v>12749</v>
      </c>
      <c r="BD1080" s="77">
        <v>2294248922</v>
      </c>
      <c r="BE1080" s="77"/>
      <c r="BF1080" s="77"/>
      <c r="BG1080" s="77"/>
      <c r="BH1080" s="77"/>
      <c r="BI1080" s="77"/>
    </row>
    <row r="1081" spans="1:61" x14ac:dyDescent="0.25">
      <c r="A1081" s="62" t="s">
        <v>580</v>
      </c>
      <c r="B1081" s="62" t="s">
        <v>820</v>
      </c>
      <c r="C1081" s="63"/>
      <c r="D1081" s="64"/>
      <c r="E1081" s="65"/>
      <c r="F1081" s="66"/>
      <c r="G1081" s="63"/>
      <c r="H1081" s="67"/>
      <c r="I1081" s="68"/>
      <c r="J1081" s="68"/>
      <c r="K1081" s="32"/>
      <c r="L1081" s="75">
        <v>1081</v>
      </c>
      <c r="M1081" s="75"/>
      <c r="N1081" s="70"/>
      <c r="O1081" s="77" t="s">
        <v>895</v>
      </c>
      <c r="P1081" s="79">
        <v>45176.250567129631</v>
      </c>
      <c r="Q1081" s="77" t="s">
        <v>1877</v>
      </c>
      <c r="R1081" s="77">
        <v>0</v>
      </c>
      <c r="S1081" s="77">
        <v>0</v>
      </c>
      <c r="T1081" s="77">
        <v>0</v>
      </c>
      <c r="U1081" s="77">
        <v>1</v>
      </c>
      <c r="V1081" s="77">
        <v>2175</v>
      </c>
      <c r="W1081" s="82" t="s">
        <v>5355</v>
      </c>
      <c r="X1081" s="80" t="str">
        <f>HYPERLINK("https://macroeconomia.urjcx.urjc.es/")</f>
        <v>https://macroeconomia.urjcx.urjc.es/</v>
      </c>
      <c r="Y1081" s="77" t="s">
        <v>6540</v>
      </c>
      <c r="Z1081" s="77" t="s">
        <v>6587</v>
      </c>
      <c r="AA1081" s="77" t="s">
        <v>7219</v>
      </c>
      <c r="AB1081" s="77" t="s">
        <v>7743</v>
      </c>
      <c r="AC1081" s="82" t="s">
        <v>7761</v>
      </c>
      <c r="AD1081" s="77" t="s">
        <v>7790</v>
      </c>
      <c r="AE1081" s="80" t="str">
        <f>HYPERLINK("https://twitter.com/urjconline/status/1699663996859691147")</f>
        <v>https://twitter.com/urjconline/status/1699663996859691147</v>
      </c>
      <c r="AF1081" s="79">
        <v>45176.250567129631</v>
      </c>
      <c r="AG1081" s="85">
        <v>45176</v>
      </c>
      <c r="AH1081" s="82" t="s">
        <v>8722</v>
      </c>
      <c r="AI1081" s="77" t="b">
        <v>0</v>
      </c>
      <c r="AJ1081" s="77"/>
      <c r="AK1081" s="77"/>
      <c r="AL1081" s="77"/>
      <c r="AM1081" s="77"/>
      <c r="AN1081" s="77"/>
      <c r="AO1081" s="77"/>
      <c r="AP1081" s="77"/>
      <c r="AQ1081" s="77" t="s">
        <v>11191</v>
      </c>
      <c r="AR1081" s="77">
        <v>8766</v>
      </c>
      <c r="AS1081" s="77"/>
      <c r="AT1081" s="77"/>
      <c r="AU1081" s="77"/>
      <c r="AV1081" s="80" t="str">
        <f>HYPERLINK("https://pbs.twimg.com/ext_tw_video_thumb/1699662589758722048/pu/img/8Qk8uaNL6YrsDEQh.jpg")</f>
        <v>https://pbs.twimg.com/ext_tw_video_thumb/1699662589758722048/pu/img/8Qk8uaNL6YrsDEQh.jpg</v>
      </c>
      <c r="AW1081" s="82" t="s">
        <v>12743</v>
      </c>
      <c r="AX1081" s="82" t="s">
        <v>12743</v>
      </c>
      <c r="AY1081" s="77"/>
      <c r="AZ1081" s="82" t="s">
        <v>15984</v>
      </c>
      <c r="BA1081" s="82" t="s">
        <v>15984</v>
      </c>
      <c r="BB1081" s="82" t="s">
        <v>15984</v>
      </c>
      <c r="BC1081" s="82" t="s">
        <v>12743</v>
      </c>
      <c r="BD1081" s="77">
        <v>2294248922</v>
      </c>
      <c r="BE1081" s="77"/>
      <c r="BF1081" s="77"/>
      <c r="BG1081" s="77"/>
      <c r="BH1081" s="77"/>
      <c r="BI1081" s="77"/>
    </row>
    <row r="1082" spans="1:61" x14ac:dyDescent="0.25">
      <c r="A1082" s="62" t="s">
        <v>580</v>
      </c>
      <c r="B1082" s="62" t="s">
        <v>820</v>
      </c>
      <c r="C1082" s="63"/>
      <c r="D1082" s="64"/>
      <c r="E1082" s="65"/>
      <c r="F1082" s="66"/>
      <c r="G1082" s="63"/>
      <c r="H1082" s="67"/>
      <c r="I1082" s="68"/>
      <c r="J1082" s="68"/>
      <c r="K1082" s="32"/>
      <c r="L1082" s="75">
        <v>1082</v>
      </c>
      <c r="M1082" s="75"/>
      <c r="N1082" s="70"/>
      <c r="O1082" s="77" t="s">
        <v>895</v>
      </c>
      <c r="P1082" s="79">
        <v>45134.585925925923</v>
      </c>
      <c r="Q1082" s="77" t="s">
        <v>1881</v>
      </c>
      <c r="R1082" s="77">
        <v>0</v>
      </c>
      <c r="S1082" s="77">
        <v>1</v>
      </c>
      <c r="T1082" s="77">
        <v>0</v>
      </c>
      <c r="U1082" s="77">
        <v>0</v>
      </c>
      <c r="V1082" s="77">
        <v>396</v>
      </c>
      <c r="W1082" s="82" t="s">
        <v>5356</v>
      </c>
      <c r="X1082" s="80" t="str">
        <f>HYPERLINK("https://macroeconomia.urjcx.urjc.es/")</f>
        <v>https://macroeconomia.urjcx.urjc.es/</v>
      </c>
      <c r="Y1082" s="77" t="s">
        <v>6540</v>
      </c>
      <c r="Z1082" s="77" t="s">
        <v>6589</v>
      </c>
      <c r="AA1082" s="77" t="s">
        <v>7223</v>
      </c>
      <c r="AB1082" s="77" t="s">
        <v>7743</v>
      </c>
      <c r="AC1082" s="82" t="s">
        <v>7761</v>
      </c>
      <c r="AD1082" s="77" t="s">
        <v>7790</v>
      </c>
      <c r="AE1082" s="80" t="str">
        <f>HYPERLINK("https://twitter.com/urjconline/status/1684565235351556100")</f>
        <v>https://twitter.com/urjconline/status/1684565235351556100</v>
      </c>
      <c r="AF1082" s="79">
        <v>45134.585925925923</v>
      </c>
      <c r="AG1082" s="85">
        <v>45134</v>
      </c>
      <c r="AH1082" s="82" t="s">
        <v>8726</v>
      </c>
      <c r="AI1082" s="77" t="b">
        <v>0</v>
      </c>
      <c r="AJ1082" s="77"/>
      <c r="AK1082" s="77"/>
      <c r="AL1082" s="77"/>
      <c r="AM1082" s="77"/>
      <c r="AN1082" s="77"/>
      <c r="AO1082" s="77"/>
      <c r="AP1082" s="77"/>
      <c r="AQ1082" s="77" t="s">
        <v>11195</v>
      </c>
      <c r="AR1082" s="77">
        <v>8766</v>
      </c>
      <c r="AS1082" s="77"/>
      <c r="AT1082" s="77"/>
      <c r="AU1082" s="77"/>
      <c r="AV1082" s="80" t="str">
        <f>HYPERLINK("https://pbs.twimg.com/ext_tw_video_thumb/1684564295076691971/pu/img/ykCzJ9GVWnbIV_6o.jpg")</f>
        <v>https://pbs.twimg.com/ext_tw_video_thumb/1684564295076691971/pu/img/ykCzJ9GVWnbIV_6o.jpg</v>
      </c>
      <c r="AW1082" s="82" t="s">
        <v>12747</v>
      </c>
      <c r="AX1082" s="82" t="s">
        <v>12747</v>
      </c>
      <c r="AY1082" s="77"/>
      <c r="AZ1082" s="82" t="s">
        <v>15984</v>
      </c>
      <c r="BA1082" s="82" t="s">
        <v>15984</v>
      </c>
      <c r="BB1082" s="82" t="s">
        <v>15984</v>
      </c>
      <c r="BC1082" s="82" t="s">
        <v>12747</v>
      </c>
      <c r="BD1082" s="77">
        <v>2294248922</v>
      </c>
      <c r="BE1082" s="77"/>
      <c r="BF1082" s="77"/>
      <c r="BG1082" s="77"/>
      <c r="BH1082" s="77"/>
      <c r="BI1082" s="77"/>
    </row>
    <row r="1083" spans="1:61" x14ac:dyDescent="0.25">
      <c r="A1083" s="62" t="s">
        <v>580</v>
      </c>
      <c r="B1083" s="62" t="s">
        <v>820</v>
      </c>
      <c r="C1083" s="63"/>
      <c r="D1083" s="64"/>
      <c r="E1083" s="65"/>
      <c r="F1083" s="66"/>
      <c r="G1083" s="63"/>
      <c r="H1083" s="67"/>
      <c r="I1083" s="68"/>
      <c r="J1083" s="68"/>
      <c r="K1083" s="32"/>
      <c r="L1083" s="75">
        <v>1083</v>
      </c>
      <c r="M1083" s="75"/>
      <c r="N1083" s="70"/>
      <c r="O1083" s="77" t="s">
        <v>895</v>
      </c>
      <c r="P1083" s="79">
        <v>45181.303437499999</v>
      </c>
      <c r="Q1083" s="77" t="s">
        <v>1878</v>
      </c>
      <c r="R1083" s="77">
        <v>1</v>
      </c>
      <c r="S1083" s="77">
        <v>2</v>
      </c>
      <c r="T1083" s="77">
        <v>0</v>
      </c>
      <c r="U1083" s="77">
        <v>0</v>
      </c>
      <c r="V1083" s="77">
        <v>295</v>
      </c>
      <c r="W1083" s="82" t="s">
        <v>5354</v>
      </c>
      <c r="X1083" s="80" t="str">
        <f>HYPERLINK("http://macroeconomia.urjcx.urjc.es")</f>
        <v>http://macroeconomia.urjcx.urjc.es</v>
      </c>
      <c r="Y1083" s="77" t="s">
        <v>6540</v>
      </c>
      <c r="Z1083" s="77" t="s">
        <v>6588</v>
      </c>
      <c r="AA1083" s="77" t="s">
        <v>7220</v>
      </c>
      <c r="AB1083" s="77" t="s">
        <v>7743</v>
      </c>
      <c r="AC1083" s="82" t="s">
        <v>7761</v>
      </c>
      <c r="AD1083" s="77" t="s">
        <v>7790</v>
      </c>
      <c r="AE1083" s="80" t="str">
        <f>HYPERLINK("https://twitter.com/urjconline/status/1701495094094774503")</f>
        <v>https://twitter.com/urjconline/status/1701495094094774503</v>
      </c>
      <c r="AF1083" s="79">
        <v>45181.303437499999</v>
      </c>
      <c r="AG1083" s="85">
        <v>45181</v>
      </c>
      <c r="AH1083" s="82" t="s">
        <v>8723</v>
      </c>
      <c r="AI1083" s="77" t="b">
        <v>0</v>
      </c>
      <c r="AJ1083" s="77"/>
      <c r="AK1083" s="77"/>
      <c r="AL1083" s="77"/>
      <c r="AM1083" s="77"/>
      <c r="AN1083" s="77"/>
      <c r="AO1083" s="77"/>
      <c r="AP1083" s="77"/>
      <c r="AQ1083" s="77" t="s">
        <v>11192</v>
      </c>
      <c r="AR1083" s="77">
        <v>8766</v>
      </c>
      <c r="AS1083" s="77"/>
      <c r="AT1083" s="77"/>
      <c r="AU1083" s="77"/>
      <c r="AV1083" s="80" t="str">
        <f>HYPERLINK("https://pbs.twimg.com/ext_tw_video_thumb/1701494966797676544/pu/img/WJ4Vw_mGo1gfTm6Q.jpg")</f>
        <v>https://pbs.twimg.com/ext_tw_video_thumb/1701494966797676544/pu/img/WJ4Vw_mGo1gfTm6Q.jpg</v>
      </c>
      <c r="AW1083" s="82" t="s">
        <v>12744</v>
      </c>
      <c r="AX1083" s="82" t="s">
        <v>12744</v>
      </c>
      <c r="AY1083" s="77"/>
      <c r="AZ1083" s="82" t="s">
        <v>15984</v>
      </c>
      <c r="BA1083" s="82" t="s">
        <v>15984</v>
      </c>
      <c r="BB1083" s="82" t="s">
        <v>15984</v>
      </c>
      <c r="BC1083" s="82" t="s">
        <v>12744</v>
      </c>
      <c r="BD1083" s="77">
        <v>2294248922</v>
      </c>
      <c r="BE1083" s="77"/>
      <c r="BF1083" s="77"/>
      <c r="BG1083" s="77"/>
      <c r="BH1083" s="77"/>
      <c r="BI1083" s="77"/>
    </row>
    <row r="1084" spans="1:61" x14ac:dyDescent="0.25">
      <c r="A1084" s="62" t="s">
        <v>581</v>
      </c>
      <c r="B1084" s="62" t="s">
        <v>581</v>
      </c>
      <c r="C1084" s="63"/>
      <c r="D1084" s="64"/>
      <c r="E1084" s="65"/>
      <c r="F1084" s="66"/>
      <c r="G1084" s="63"/>
      <c r="H1084" s="67"/>
      <c r="I1084" s="68"/>
      <c r="J1084" s="68"/>
      <c r="K1084" s="32"/>
      <c r="L1084" s="75">
        <v>1084</v>
      </c>
      <c r="M1084" s="75"/>
      <c r="N1084" s="70"/>
      <c r="O1084" s="77" t="s">
        <v>179</v>
      </c>
      <c r="P1084" s="79">
        <v>45145.651099537034</v>
      </c>
      <c r="Q1084" s="77" t="s">
        <v>1884</v>
      </c>
      <c r="R1084" s="77">
        <v>1</v>
      </c>
      <c r="S1084" s="77">
        <v>3</v>
      </c>
      <c r="T1084" s="77">
        <v>1</v>
      </c>
      <c r="U1084" s="77">
        <v>0</v>
      </c>
      <c r="V1084" s="77">
        <v>390</v>
      </c>
      <c r="W1084" s="82" t="s">
        <v>5357</v>
      </c>
      <c r="X1084" s="77"/>
      <c r="Y1084" s="77"/>
      <c r="Z1084" s="77"/>
      <c r="AA1084" s="77" t="s">
        <v>7226</v>
      </c>
      <c r="AB1084" s="77" t="s">
        <v>7743</v>
      </c>
      <c r="AC1084" s="82" t="s">
        <v>7750</v>
      </c>
      <c r="AD1084" s="77" t="s">
        <v>7788</v>
      </c>
      <c r="AE1084" s="80" t="str">
        <f>HYPERLINK("https://twitter.com/girlishgiggle/status/1688575118576951296")</f>
        <v>https://twitter.com/girlishgiggle/status/1688575118576951296</v>
      </c>
      <c r="AF1084" s="79">
        <v>45145.651099537034</v>
      </c>
      <c r="AG1084" s="85">
        <v>45145</v>
      </c>
      <c r="AH1084" s="82" t="s">
        <v>8729</v>
      </c>
      <c r="AI1084" s="77" t="b">
        <v>0</v>
      </c>
      <c r="AJ1084" s="77"/>
      <c r="AK1084" s="77"/>
      <c r="AL1084" s="77"/>
      <c r="AM1084" s="77"/>
      <c r="AN1084" s="77"/>
      <c r="AO1084" s="77"/>
      <c r="AP1084" s="77"/>
      <c r="AQ1084" s="77" t="s">
        <v>11198</v>
      </c>
      <c r="AR1084" s="77">
        <v>133466</v>
      </c>
      <c r="AS1084" s="77"/>
      <c r="AT1084" s="77"/>
      <c r="AU1084" s="77"/>
      <c r="AV1084" s="80" t="str">
        <f>HYPERLINK("https://pbs.twimg.com/ext_tw_video_thumb/1688573563656077312/pu/img/GFMga6TXJ6QlCd0q.jpg")</f>
        <v>https://pbs.twimg.com/ext_tw_video_thumb/1688573563656077312/pu/img/GFMga6TXJ6QlCd0q.jpg</v>
      </c>
      <c r="AW1084" s="82" t="s">
        <v>12750</v>
      </c>
      <c r="AX1084" s="82" t="s">
        <v>12750</v>
      </c>
      <c r="AY1084" s="77"/>
      <c r="AZ1084" s="82" t="s">
        <v>15984</v>
      </c>
      <c r="BA1084" s="82" t="s">
        <v>15984</v>
      </c>
      <c r="BB1084" s="82" t="s">
        <v>15984</v>
      </c>
      <c r="BC1084" s="82" t="s">
        <v>12750</v>
      </c>
      <c r="BD1084" s="77">
        <v>488477453</v>
      </c>
      <c r="BE1084" s="77"/>
      <c r="BF1084" s="77"/>
      <c r="BG1084" s="77"/>
      <c r="BH1084" s="77"/>
      <c r="BI1084" s="77"/>
    </row>
    <row r="1085" spans="1:61" x14ac:dyDescent="0.25">
      <c r="A1085" s="62" t="s">
        <v>582</v>
      </c>
      <c r="B1085" s="62" t="s">
        <v>582</v>
      </c>
      <c r="C1085" s="63"/>
      <c r="D1085" s="64"/>
      <c r="E1085" s="65"/>
      <c r="F1085" s="66"/>
      <c r="G1085" s="63"/>
      <c r="H1085" s="67"/>
      <c r="I1085" s="68"/>
      <c r="J1085" s="68"/>
      <c r="K1085" s="32"/>
      <c r="L1085" s="75">
        <v>1085</v>
      </c>
      <c r="M1085" s="75"/>
      <c r="N1085" s="70"/>
      <c r="O1085" s="77" t="s">
        <v>898</v>
      </c>
      <c r="P1085" s="79">
        <v>45130.508402777778</v>
      </c>
      <c r="Q1085" s="77" t="s">
        <v>1885</v>
      </c>
      <c r="R1085" s="77">
        <v>0</v>
      </c>
      <c r="S1085" s="77">
        <v>0</v>
      </c>
      <c r="T1085" s="77">
        <v>0</v>
      </c>
      <c r="U1085" s="77">
        <v>0</v>
      </c>
      <c r="V1085" s="77">
        <v>16</v>
      </c>
      <c r="W1085" s="82" t="s">
        <v>5358</v>
      </c>
      <c r="X1085" s="77"/>
      <c r="Y1085" s="77"/>
      <c r="Z1085" s="77"/>
      <c r="AA1085" s="77"/>
      <c r="AB1085" s="77"/>
      <c r="AC1085" s="82" t="s">
        <v>7752</v>
      </c>
      <c r="AD1085" s="77" t="s">
        <v>7796</v>
      </c>
      <c r="AE1085" s="80" t="str">
        <f>HYPERLINK("https://twitter.com/ataorienta/status/1683087589425774593")</f>
        <v>https://twitter.com/ataorienta/status/1683087589425774593</v>
      </c>
      <c r="AF1085" s="79">
        <v>45130.508402777778</v>
      </c>
      <c r="AG1085" s="85">
        <v>45130</v>
      </c>
      <c r="AH1085" s="82" t="s">
        <v>8730</v>
      </c>
      <c r="AI1085" s="77"/>
      <c r="AJ1085" s="77"/>
      <c r="AK1085" s="77"/>
      <c r="AL1085" s="77"/>
      <c r="AM1085" s="77"/>
      <c r="AN1085" s="77"/>
      <c r="AO1085" s="77"/>
      <c r="AP1085" s="77"/>
      <c r="AQ1085" s="77"/>
      <c r="AR1085" s="77"/>
      <c r="AS1085" s="77"/>
      <c r="AT1085" s="77"/>
      <c r="AU1085" s="77"/>
      <c r="AV1085" s="80" t="str">
        <f>HYPERLINK("https://pbs.twimg.com/profile_images/1693679843404062720/q3ecO34__normal.png")</f>
        <v>https://pbs.twimg.com/profile_images/1693679843404062720/q3ecO34__normal.png</v>
      </c>
      <c r="AW1085" s="82" t="s">
        <v>12751</v>
      </c>
      <c r="AX1085" s="82" t="s">
        <v>15846</v>
      </c>
      <c r="AY1085" s="82" t="s">
        <v>15963</v>
      </c>
      <c r="AZ1085" s="82" t="s">
        <v>16058</v>
      </c>
      <c r="BA1085" s="82" t="s">
        <v>15984</v>
      </c>
      <c r="BB1085" s="82" t="s">
        <v>15984</v>
      </c>
      <c r="BC1085" s="82" t="s">
        <v>16058</v>
      </c>
      <c r="BD1085" s="82" t="s">
        <v>15963</v>
      </c>
      <c r="BE1085" s="77"/>
      <c r="BF1085" s="77"/>
      <c r="BG1085" s="77"/>
      <c r="BH1085" s="77"/>
      <c r="BI1085" s="77"/>
    </row>
    <row r="1086" spans="1:61" x14ac:dyDescent="0.25">
      <c r="A1086" s="62" t="s">
        <v>582</v>
      </c>
      <c r="B1086" s="62" t="s">
        <v>582</v>
      </c>
      <c r="C1086" s="63"/>
      <c r="D1086" s="64"/>
      <c r="E1086" s="65"/>
      <c r="F1086" s="66"/>
      <c r="G1086" s="63"/>
      <c r="H1086" s="67"/>
      <c r="I1086" s="68"/>
      <c r="J1086" s="68"/>
      <c r="K1086" s="32"/>
      <c r="L1086" s="75">
        <v>1086</v>
      </c>
      <c r="M1086" s="75"/>
      <c r="N1086" s="70"/>
      <c r="O1086" s="77" t="s">
        <v>898</v>
      </c>
      <c r="P1086" s="79">
        <v>45131.488206018519</v>
      </c>
      <c r="Q1086" s="77" t="s">
        <v>1886</v>
      </c>
      <c r="R1086" s="77">
        <v>0</v>
      </c>
      <c r="S1086" s="77">
        <v>0</v>
      </c>
      <c r="T1086" s="77">
        <v>0</v>
      </c>
      <c r="U1086" s="77">
        <v>0</v>
      </c>
      <c r="V1086" s="77">
        <v>12</v>
      </c>
      <c r="W1086" s="82" t="s">
        <v>5359</v>
      </c>
      <c r="X1086" s="77"/>
      <c r="Y1086" s="77"/>
      <c r="Z1086" s="77"/>
      <c r="AA1086" s="77"/>
      <c r="AB1086" s="77"/>
      <c r="AC1086" s="82" t="s">
        <v>7752</v>
      </c>
      <c r="AD1086" s="77" t="s">
        <v>7796</v>
      </c>
      <c r="AE1086" s="80" t="str">
        <f>HYPERLINK("https://twitter.com/ataorienta/status/1683442659560390656")</f>
        <v>https://twitter.com/ataorienta/status/1683442659560390656</v>
      </c>
      <c r="AF1086" s="79">
        <v>45131.488206018519</v>
      </c>
      <c r="AG1086" s="85">
        <v>45131</v>
      </c>
      <c r="AH1086" s="82" t="s">
        <v>8731</v>
      </c>
      <c r="AI1086" s="77"/>
      <c r="AJ1086" s="77"/>
      <c r="AK1086" s="77"/>
      <c r="AL1086" s="77"/>
      <c r="AM1086" s="77"/>
      <c r="AN1086" s="77"/>
      <c r="AO1086" s="77"/>
      <c r="AP1086" s="77"/>
      <c r="AQ1086" s="77"/>
      <c r="AR1086" s="77"/>
      <c r="AS1086" s="77"/>
      <c r="AT1086" s="77"/>
      <c r="AU1086" s="77"/>
      <c r="AV1086" s="80" t="str">
        <f>HYPERLINK("https://pbs.twimg.com/profile_images/1693679843404062720/q3ecO34__normal.png")</f>
        <v>https://pbs.twimg.com/profile_images/1693679843404062720/q3ecO34__normal.png</v>
      </c>
      <c r="AW1086" s="82" t="s">
        <v>12752</v>
      </c>
      <c r="AX1086" s="82" t="s">
        <v>15847</v>
      </c>
      <c r="AY1086" s="82" t="s">
        <v>15963</v>
      </c>
      <c r="AZ1086" s="82" t="s">
        <v>16059</v>
      </c>
      <c r="BA1086" s="82" t="s">
        <v>15984</v>
      </c>
      <c r="BB1086" s="82" t="s">
        <v>15984</v>
      </c>
      <c r="BC1086" s="82" t="s">
        <v>16059</v>
      </c>
      <c r="BD1086" s="82" t="s">
        <v>15963</v>
      </c>
      <c r="BE1086" s="77"/>
      <c r="BF1086" s="77"/>
      <c r="BG1086" s="77"/>
      <c r="BH1086" s="77"/>
      <c r="BI1086" s="77"/>
    </row>
    <row r="1087" spans="1:61" x14ac:dyDescent="0.25">
      <c r="A1087" s="62" t="s">
        <v>582</v>
      </c>
      <c r="B1087" s="62" t="s">
        <v>582</v>
      </c>
      <c r="C1087" s="63"/>
      <c r="D1087" s="64"/>
      <c r="E1087" s="65"/>
      <c r="F1087" s="66"/>
      <c r="G1087" s="63"/>
      <c r="H1087" s="67"/>
      <c r="I1087" s="68"/>
      <c r="J1087" s="68"/>
      <c r="K1087" s="32"/>
      <c r="L1087" s="75">
        <v>1087</v>
      </c>
      <c r="M1087" s="75"/>
      <c r="N1087" s="70"/>
      <c r="O1087" s="77" t="s">
        <v>898</v>
      </c>
      <c r="P1087" s="79">
        <v>45138.497789351852</v>
      </c>
      <c r="Q1087" s="77" t="s">
        <v>1886</v>
      </c>
      <c r="R1087" s="77">
        <v>0</v>
      </c>
      <c r="S1087" s="77">
        <v>0</v>
      </c>
      <c r="T1087" s="77">
        <v>0</v>
      </c>
      <c r="U1087" s="77">
        <v>0</v>
      </c>
      <c r="V1087" s="77">
        <v>10</v>
      </c>
      <c r="W1087" s="82" t="s">
        <v>5359</v>
      </c>
      <c r="X1087" s="77"/>
      <c r="Y1087" s="77"/>
      <c r="Z1087" s="77"/>
      <c r="AA1087" s="77"/>
      <c r="AB1087" s="77"/>
      <c r="AC1087" s="82" t="s">
        <v>7752</v>
      </c>
      <c r="AD1087" s="77" t="s">
        <v>7796</v>
      </c>
      <c r="AE1087" s="80" t="str">
        <f>HYPERLINK("https://twitter.com/ataorienta/status/1685982848778420224")</f>
        <v>https://twitter.com/ataorienta/status/1685982848778420224</v>
      </c>
      <c r="AF1087" s="79">
        <v>45138.497789351852</v>
      </c>
      <c r="AG1087" s="85">
        <v>45138</v>
      </c>
      <c r="AH1087" s="82" t="s">
        <v>8732</v>
      </c>
      <c r="AI1087" s="77"/>
      <c r="AJ1087" s="77"/>
      <c r="AK1087" s="77"/>
      <c r="AL1087" s="77"/>
      <c r="AM1087" s="77"/>
      <c r="AN1087" s="77"/>
      <c r="AO1087" s="77"/>
      <c r="AP1087" s="77"/>
      <c r="AQ1087" s="77"/>
      <c r="AR1087" s="77"/>
      <c r="AS1087" s="77"/>
      <c r="AT1087" s="77"/>
      <c r="AU1087" s="77"/>
      <c r="AV1087" s="80" t="str">
        <f>HYPERLINK("https://pbs.twimg.com/profile_images/1693679843404062720/q3ecO34__normal.png")</f>
        <v>https://pbs.twimg.com/profile_images/1693679843404062720/q3ecO34__normal.png</v>
      </c>
      <c r="AW1087" s="82" t="s">
        <v>12753</v>
      </c>
      <c r="AX1087" s="82" t="s">
        <v>15848</v>
      </c>
      <c r="AY1087" s="82" t="s">
        <v>15963</v>
      </c>
      <c r="AZ1087" s="82" t="s">
        <v>16060</v>
      </c>
      <c r="BA1087" s="82" t="s">
        <v>15984</v>
      </c>
      <c r="BB1087" s="82" t="s">
        <v>15984</v>
      </c>
      <c r="BC1087" s="82" t="s">
        <v>16060</v>
      </c>
      <c r="BD1087" s="82" t="s">
        <v>15963</v>
      </c>
      <c r="BE1087" s="77"/>
      <c r="BF1087" s="77"/>
      <c r="BG1087" s="77"/>
      <c r="BH1087" s="77"/>
      <c r="BI1087" s="77"/>
    </row>
    <row r="1088" spans="1:61" x14ac:dyDescent="0.25">
      <c r="A1088" s="62" t="s">
        <v>582</v>
      </c>
      <c r="B1088" s="62" t="s">
        <v>582</v>
      </c>
      <c r="C1088" s="63"/>
      <c r="D1088" s="64"/>
      <c r="E1088" s="65"/>
      <c r="F1088" s="66"/>
      <c r="G1088" s="63"/>
      <c r="H1088" s="67"/>
      <c r="I1088" s="68"/>
      <c r="J1088" s="68"/>
      <c r="K1088" s="32"/>
      <c r="L1088" s="75">
        <v>1088</v>
      </c>
      <c r="M1088" s="75"/>
      <c r="N1088" s="70"/>
      <c r="O1088" s="77" t="s">
        <v>898</v>
      </c>
      <c r="P1088" s="79">
        <v>45137.493657407409</v>
      </c>
      <c r="Q1088" s="77" t="s">
        <v>1887</v>
      </c>
      <c r="R1088" s="77">
        <v>0</v>
      </c>
      <c r="S1088" s="77">
        <v>0</v>
      </c>
      <c r="T1088" s="77">
        <v>0</v>
      </c>
      <c r="U1088" s="77">
        <v>0</v>
      </c>
      <c r="V1088" s="77">
        <v>10</v>
      </c>
      <c r="W1088" s="82" t="s">
        <v>5360</v>
      </c>
      <c r="X1088" s="77"/>
      <c r="Y1088" s="77"/>
      <c r="Z1088" s="77"/>
      <c r="AA1088" s="77"/>
      <c r="AB1088" s="77"/>
      <c r="AC1088" s="82" t="s">
        <v>7752</v>
      </c>
      <c r="AD1088" s="77" t="s">
        <v>7796</v>
      </c>
      <c r="AE1088" s="80" t="str">
        <f>HYPERLINK("https://twitter.com/ataorienta/status/1685618963382718464")</f>
        <v>https://twitter.com/ataorienta/status/1685618963382718464</v>
      </c>
      <c r="AF1088" s="79">
        <v>45137.493657407409</v>
      </c>
      <c r="AG1088" s="85">
        <v>45137</v>
      </c>
      <c r="AH1088" s="82" t="s">
        <v>8733</v>
      </c>
      <c r="AI1088" s="77"/>
      <c r="AJ1088" s="77"/>
      <c r="AK1088" s="77"/>
      <c r="AL1088" s="77"/>
      <c r="AM1088" s="77"/>
      <c r="AN1088" s="77"/>
      <c r="AO1088" s="77"/>
      <c r="AP1088" s="77"/>
      <c r="AQ1088" s="77"/>
      <c r="AR1088" s="77"/>
      <c r="AS1088" s="77"/>
      <c r="AT1088" s="77"/>
      <c r="AU1088" s="77"/>
      <c r="AV1088" s="80" t="str">
        <f>HYPERLINK("https://pbs.twimg.com/profile_images/1693679843404062720/q3ecO34__normal.png")</f>
        <v>https://pbs.twimg.com/profile_images/1693679843404062720/q3ecO34__normal.png</v>
      </c>
      <c r="AW1088" s="82" t="s">
        <v>12754</v>
      </c>
      <c r="AX1088" s="82" t="s">
        <v>15849</v>
      </c>
      <c r="AY1088" s="82" t="s">
        <v>15963</v>
      </c>
      <c r="AZ1088" s="82" t="s">
        <v>16061</v>
      </c>
      <c r="BA1088" s="82" t="s">
        <v>15984</v>
      </c>
      <c r="BB1088" s="82" t="s">
        <v>15984</v>
      </c>
      <c r="BC1088" s="82" t="s">
        <v>16061</v>
      </c>
      <c r="BD1088" s="82" t="s">
        <v>15963</v>
      </c>
      <c r="BE1088" s="77"/>
      <c r="BF1088" s="77"/>
      <c r="BG1088" s="77"/>
      <c r="BH1088" s="77"/>
      <c r="BI1088" s="77"/>
    </row>
    <row r="1089" spans="1:61" x14ac:dyDescent="0.25">
      <c r="A1089" s="62" t="s">
        <v>582</v>
      </c>
      <c r="B1089" s="62" t="s">
        <v>582</v>
      </c>
      <c r="C1089" s="63"/>
      <c r="D1089" s="64"/>
      <c r="E1089" s="65"/>
      <c r="F1089" s="66"/>
      <c r="G1089" s="63"/>
      <c r="H1089" s="67"/>
      <c r="I1089" s="68"/>
      <c r="J1089" s="68"/>
      <c r="K1089" s="32"/>
      <c r="L1089" s="75">
        <v>1089</v>
      </c>
      <c r="M1089" s="75"/>
      <c r="N1089" s="70"/>
      <c r="O1089" s="77" t="s">
        <v>898</v>
      </c>
      <c r="P1089" s="79">
        <v>45151.590763888889</v>
      </c>
      <c r="Q1089" s="77" t="s">
        <v>1888</v>
      </c>
      <c r="R1089" s="77">
        <v>0</v>
      </c>
      <c r="S1089" s="77">
        <v>0</v>
      </c>
      <c r="T1089" s="77">
        <v>0</v>
      </c>
      <c r="U1089" s="77">
        <v>0</v>
      </c>
      <c r="V1089" s="77">
        <v>16</v>
      </c>
      <c r="W1089" s="82" t="s">
        <v>5361</v>
      </c>
      <c r="X1089" s="77"/>
      <c r="Y1089" s="77"/>
      <c r="Z1089" s="77"/>
      <c r="AA1089" s="77"/>
      <c r="AB1089" s="77"/>
      <c r="AC1089" s="82" t="s">
        <v>7752</v>
      </c>
      <c r="AD1089" s="77" t="s">
        <v>7796</v>
      </c>
      <c r="AE1089" s="80" t="str">
        <f>HYPERLINK("https://twitter.com/ataorienta/status/1690727584160530432")</f>
        <v>https://twitter.com/ataorienta/status/1690727584160530432</v>
      </c>
      <c r="AF1089" s="79">
        <v>45151.590763888889</v>
      </c>
      <c r="AG1089" s="85">
        <v>45151</v>
      </c>
      <c r="AH1089" s="82" t="s">
        <v>8734</v>
      </c>
      <c r="AI1089" s="77"/>
      <c r="AJ1089" s="77"/>
      <c r="AK1089" s="77"/>
      <c r="AL1089" s="77"/>
      <c r="AM1089" s="77"/>
      <c r="AN1089" s="77"/>
      <c r="AO1089" s="77"/>
      <c r="AP1089" s="77"/>
      <c r="AQ1089" s="77"/>
      <c r="AR1089" s="77"/>
      <c r="AS1089" s="77"/>
      <c r="AT1089" s="77"/>
      <c r="AU1089" s="77"/>
      <c r="AV1089" s="80" t="str">
        <f>HYPERLINK("https://pbs.twimg.com/profile_images/1693679843404062720/q3ecO34__normal.png")</f>
        <v>https://pbs.twimg.com/profile_images/1693679843404062720/q3ecO34__normal.png</v>
      </c>
      <c r="AW1089" s="82" t="s">
        <v>12755</v>
      </c>
      <c r="AX1089" s="82" t="s">
        <v>15850</v>
      </c>
      <c r="AY1089" s="82" t="s">
        <v>15963</v>
      </c>
      <c r="AZ1089" s="82" t="s">
        <v>16062</v>
      </c>
      <c r="BA1089" s="82" t="s">
        <v>15984</v>
      </c>
      <c r="BB1089" s="82" t="s">
        <v>15984</v>
      </c>
      <c r="BC1089" s="82" t="s">
        <v>16062</v>
      </c>
      <c r="BD1089" s="82" t="s">
        <v>15963</v>
      </c>
      <c r="BE1089" s="77"/>
      <c r="BF1089" s="77"/>
      <c r="BG1089" s="77"/>
      <c r="BH1089" s="77"/>
      <c r="BI1089" s="77"/>
    </row>
    <row r="1090" spans="1:61" x14ac:dyDescent="0.25">
      <c r="A1090" s="62" t="s">
        <v>582</v>
      </c>
      <c r="B1090" s="62" t="s">
        <v>582</v>
      </c>
      <c r="C1090" s="63"/>
      <c r="D1090" s="64"/>
      <c r="E1090" s="65"/>
      <c r="F1090" s="66"/>
      <c r="G1090" s="63"/>
      <c r="H1090" s="67"/>
      <c r="I1090" s="68"/>
      <c r="J1090" s="68"/>
      <c r="K1090" s="32"/>
      <c r="L1090" s="75">
        <v>1090</v>
      </c>
      <c r="M1090" s="75"/>
      <c r="N1090" s="70"/>
      <c r="O1090" s="77" t="s">
        <v>898</v>
      </c>
      <c r="P1090" s="79">
        <v>45150.562013888892</v>
      </c>
      <c r="Q1090" s="77" t="s">
        <v>1886</v>
      </c>
      <c r="R1090" s="77">
        <v>0</v>
      </c>
      <c r="S1090" s="77">
        <v>0</v>
      </c>
      <c r="T1090" s="77">
        <v>0</v>
      </c>
      <c r="U1090" s="77">
        <v>0</v>
      </c>
      <c r="V1090" s="77">
        <v>12</v>
      </c>
      <c r="W1090" s="82" t="s">
        <v>5359</v>
      </c>
      <c r="X1090" s="77"/>
      <c r="Y1090" s="77"/>
      <c r="Z1090" s="77"/>
      <c r="AA1090" s="77"/>
      <c r="AB1090" s="77"/>
      <c r="AC1090" s="82" t="s">
        <v>7752</v>
      </c>
      <c r="AD1090" s="77" t="s">
        <v>7796</v>
      </c>
      <c r="AE1090" s="80" t="str">
        <f>HYPERLINK("https://twitter.com/ataorienta/status/1690354774087020544")</f>
        <v>https://twitter.com/ataorienta/status/1690354774087020544</v>
      </c>
      <c r="AF1090" s="79">
        <v>45150.562013888892</v>
      </c>
      <c r="AG1090" s="85">
        <v>45150</v>
      </c>
      <c r="AH1090" s="82" t="s">
        <v>8340</v>
      </c>
      <c r="AI1090" s="77"/>
      <c r="AJ1090" s="77"/>
      <c r="AK1090" s="77"/>
      <c r="AL1090" s="77"/>
      <c r="AM1090" s="77"/>
      <c r="AN1090" s="77"/>
      <c r="AO1090" s="77"/>
      <c r="AP1090" s="77"/>
      <c r="AQ1090" s="77"/>
      <c r="AR1090" s="77"/>
      <c r="AS1090" s="77"/>
      <c r="AT1090" s="77"/>
      <c r="AU1090" s="77"/>
      <c r="AV1090" s="80" t="str">
        <f>HYPERLINK("https://pbs.twimg.com/profile_images/1693679843404062720/q3ecO34__normal.png")</f>
        <v>https://pbs.twimg.com/profile_images/1693679843404062720/q3ecO34__normal.png</v>
      </c>
      <c r="AW1090" s="82" t="s">
        <v>12756</v>
      </c>
      <c r="AX1090" s="82" t="s">
        <v>15851</v>
      </c>
      <c r="AY1090" s="82" t="s">
        <v>15963</v>
      </c>
      <c r="AZ1090" s="82" t="s">
        <v>16063</v>
      </c>
      <c r="BA1090" s="82" t="s">
        <v>15984</v>
      </c>
      <c r="BB1090" s="82" t="s">
        <v>15984</v>
      </c>
      <c r="BC1090" s="82" t="s">
        <v>16063</v>
      </c>
      <c r="BD1090" s="82" t="s">
        <v>15963</v>
      </c>
      <c r="BE1090" s="77"/>
      <c r="BF1090" s="77"/>
      <c r="BG1090" s="77"/>
      <c r="BH1090" s="77"/>
      <c r="BI1090" s="77"/>
    </row>
    <row r="1091" spans="1:61" x14ac:dyDescent="0.25">
      <c r="A1091" s="62" t="s">
        <v>582</v>
      </c>
      <c r="B1091" s="62" t="s">
        <v>582</v>
      </c>
      <c r="C1091" s="63"/>
      <c r="D1091" s="64"/>
      <c r="E1091" s="65"/>
      <c r="F1091" s="66"/>
      <c r="G1091" s="63"/>
      <c r="H1091" s="67"/>
      <c r="I1091" s="68"/>
      <c r="J1091" s="68"/>
      <c r="K1091" s="32"/>
      <c r="L1091" s="75">
        <v>1091</v>
      </c>
      <c r="M1091" s="75"/>
      <c r="N1091" s="70"/>
      <c r="O1091" s="77" t="s">
        <v>898</v>
      </c>
      <c r="P1091" s="79">
        <v>45143.632106481484</v>
      </c>
      <c r="Q1091" s="77" t="s">
        <v>1889</v>
      </c>
      <c r="R1091" s="77">
        <v>0</v>
      </c>
      <c r="S1091" s="77">
        <v>0</v>
      </c>
      <c r="T1091" s="77">
        <v>0</v>
      </c>
      <c r="U1091" s="77">
        <v>0</v>
      </c>
      <c r="V1091" s="77">
        <v>10</v>
      </c>
      <c r="W1091" s="82" t="s">
        <v>5362</v>
      </c>
      <c r="X1091" s="77"/>
      <c r="Y1091" s="77"/>
      <c r="Z1091" s="77"/>
      <c r="AA1091" s="77"/>
      <c r="AB1091" s="77"/>
      <c r="AC1091" s="82" t="s">
        <v>7752</v>
      </c>
      <c r="AD1091" s="77" t="s">
        <v>7796</v>
      </c>
      <c r="AE1091" s="80" t="str">
        <f>HYPERLINK("https://twitter.com/ataorienta/status/1687843461318209536")</f>
        <v>https://twitter.com/ataorienta/status/1687843461318209536</v>
      </c>
      <c r="AF1091" s="79">
        <v>45143.632106481484</v>
      </c>
      <c r="AG1091" s="85">
        <v>45143</v>
      </c>
      <c r="AH1091" s="82" t="s">
        <v>8735</v>
      </c>
      <c r="AI1091" s="77"/>
      <c r="AJ1091" s="77"/>
      <c r="AK1091" s="77"/>
      <c r="AL1091" s="77"/>
      <c r="AM1091" s="77"/>
      <c r="AN1091" s="77"/>
      <c r="AO1091" s="77"/>
      <c r="AP1091" s="77"/>
      <c r="AQ1091" s="77"/>
      <c r="AR1091" s="77"/>
      <c r="AS1091" s="77"/>
      <c r="AT1091" s="77"/>
      <c r="AU1091" s="77"/>
      <c r="AV1091" s="80" t="str">
        <f>HYPERLINK("https://pbs.twimg.com/profile_images/1693679843404062720/q3ecO34__normal.png")</f>
        <v>https://pbs.twimg.com/profile_images/1693679843404062720/q3ecO34__normal.png</v>
      </c>
      <c r="AW1091" s="82" t="s">
        <v>12757</v>
      </c>
      <c r="AX1091" s="82" t="s">
        <v>15852</v>
      </c>
      <c r="AY1091" s="82" t="s">
        <v>15963</v>
      </c>
      <c r="AZ1091" s="82" t="s">
        <v>16064</v>
      </c>
      <c r="BA1091" s="82" t="s">
        <v>15984</v>
      </c>
      <c r="BB1091" s="82" t="s">
        <v>15984</v>
      </c>
      <c r="BC1091" s="82" t="s">
        <v>16064</v>
      </c>
      <c r="BD1091" s="82" t="s">
        <v>15963</v>
      </c>
      <c r="BE1091" s="77"/>
      <c r="BF1091" s="77"/>
      <c r="BG1091" s="77"/>
      <c r="BH1091" s="77"/>
      <c r="BI1091" s="77"/>
    </row>
    <row r="1092" spans="1:61" x14ac:dyDescent="0.25">
      <c r="A1092" s="62" t="s">
        <v>582</v>
      </c>
      <c r="B1092" s="62" t="s">
        <v>582</v>
      </c>
      <c r="C1092" s="63"/>
      <c r="D1092" s="64"/>
      <c r="E1092" s="65"/>
      <c r="F1092" s="66"/>
      <c r="G1092" s="63"/>
      <c r="H1092" s="67"/>
      <c r="I1092" s="68"/>
      <c r="J1092" s="68"/>
      <c r="K1092" s="32"/>
      <c r="L1092" s="75">
        <v>1092</v>
      </c>
      <c r="M1092" s="75"/>
      <c r="N1092" s="70"/>
      <c r="O1092" s="77" t="s">
        <v>898</v>
      </c>
      <c r="P1092" s="79">
        <v>45152.544062499997</v>
      </c>
      <c r="Q1092" s="77" t="s">
        <v>1886</v>
      </c>
      <c r="R1092" s="77">
        <v>0</v>
      </c>
      <c r="S1092" s="77">
        <v>0</v>
      </c>
      <c r="T1092" s="77">
        <v>0</v>
      </c>
      <c r="U1092" s="77">
        <v>0</v>
      </c>
      <c r="V1092" s="77">
        <v>6</v>
      </c>
      <c r="W1092" s="82" t="s">
        <v>5359</v>
      </c>
      <c r="X1092" s="77"/>
      <c r="Y1092" s="77"/>
      <c r="Z1092" s="77"/>
      <c r="AA1092" s="77"/>
      <c r="AB1092" s="77"/>
      <c r="AC1092" s="82" t="s">
        <v>7752</v>
      </c>
      <c r="AD1092" s="77" t="s">
        <v>7796</v>
      </c>
      <c r="AE1092" s="80" t="str">
        <f>HYPERLINK("https://twitter.com/ataorienta/status/1691073045392158720")</f>
        <v>https://twitter.com/ataorienta/status/1691073045392158720</v>
      </c>
      <c r="AF1092" s="79">
        <v>45152.544062499997</v>
      </c>
      <c r="AG1092" s="85">
        <v>45152</v>
      </c>
      <c r="AH1092" s="82" t="s">
        <v>8736</v>
      </c>
      <c r="AI1092" s="77"/>
      <c r="AJ1092" s="77"/>
      <c r="AK1092" s="77"/>
      <c r="AL1092" s="77"/>
      <c r="AM1092" s="77"/>
      <c r="AN1092" s="77"/>
      <c r="AO1092" s="77"/>
      <c r="AP1092" s="77"/>
      <c r="AQ1092" s="77"/>
      <c r="AR1092" s="77"/>
      <c r="AS1092" s="77"/>
      <c r="AT1092" s="77"/>
      <c r="AU1092" s="77"/>
      <c r="AV1092" s="80" t="str">
        <f>HYPERLINK("https://pbs.twimg.com/profile_images/1693679843404062720/q3ecO34__normal.png")</f>
        <v>https://pbs.twimg.com/profile_images/1693679843404062720/q3ecO34__normal.png</v>
      </c>
      <c r="AW1092" s="82" t="s">
        <v>12758</v>
      </c>
      <c r="AX1092" s="82" t="s">
        <v>15853</v>
      </c>
      <c r="AY1092" s="82" t="s">
        <v>15963</v>
      </c>
      <c r="AZ1092" s="82" t="s">
        <v>16065</v>
      </c>
      <c r="BA1092" s="82" t="s">
        <v>15984</v>
      </c>
      <c r="BB1092" s="82" t="s">
        <v>15984</v>
      </c>
      <c r="BC1092" s="82" t="s">
        <v>16065</v>
      </c>
      <c r="BD1092" s="82" t="s">
        <v>15963</v>
      </c>
      <c r="BE1092" s="77"/>
      <c r="BF1092" s="77"/>
      <c r="BG1092" s="77"/>
      <c r="BH1092" s="77"/>
      <c r="BI1092" s="77"/>
    </row>
    <row r="1093" spans="1:61" x14ac:dyDescent="0.25">
      <c r="A1093" s="62" t="s">
        <v>582</v>
      </c>
      <c r="B1093" s="62" t="s">
        <v>582</v>
      </c>
      <c r="C1093" s="63"/>
      <c r="D1093" s="64"/>
      <c r="E1093" s="65"/>
      <c r="F1093" s="66"/>
      <c r="G1093" s="63"/>
      <c r="H1093" s="67"/>
      <c r="I1093" s="68"/>
      <c r="J1093" s="68"/>
      <c r="K1093" s="32"/>
      <c r="L1093" s="75">
        <v>1093</v>
      </c>
      <c r="M1093" s="75"/>
      <c r="N1093" s="70"/>
      <c r="O1093" s="77" t="s">
        <v>898</v>
      </c>
      <c r="P1093" s="79">
        <v>45153.510833333334</v>
      </c>
      <c r="Q1093" s="77" t="s">
        <v>1886</v>
      </c>
      <c r="R1093" s="77">
        <v>0</v>
      </c>
      <c r="S1093" s="77">
        <v>0</v>
      </c>
      <c r="T1093" s="77">
        <v>0</v>
      </c>
      <c r="U1093" s="77">
        <v>0</v>
      </c>
      <c r="V1093" s="77">
        <v>9</v>
      </c>
      <c r="W1093" s="82" t="s">
        <v>5359</v>
      </c>
      <c r="X1093" s="77"/>
      <c r="Y1093" s="77"/>
      <c r="Z1093" s="77"/>
      <c r="AA1093" s="77"/>
      <c r="AB1093" s="77"/>
      <c r="AC1093" s="82" t="s">
        <v>7752</v>
      </c>
      <c r="AD1093" s="77" t="s">
        <v>7796</v>
      </c>
      <c r="AE1093" s="80" t="str">
        <f>HYPERLINK("https://twitter.com/ataorienta/status/1691423393055121411")</f>
        <v>https://twitter.com/ataorienta/status/1691423393055121411</v>
      </c>
      <c r="AF1093" s="79">
        <v>45153.510833333334</v>
      </c>
      <c r="AG1093" s="85">
        <v>45153</v>
      </c>
      <c r="AH1093" s="82" t="s">
        <v>8737</v>
      </c>
      <c r="AI1093" s="77"/>
      <c r="AJ1093" s="77"/>
      <c r="AK1093" s="77"/>
      <c r="AL1093" s="77"/>
      <c r="AM1093" s="77"/>
      <c r="AN1093" s="77"/>
      <c r="AO1093" s="77"/>
      <c r="AP1093" s="77"/>
      <c r="AQ1093" s="77"/>
      <c r="AR1093" s="77"/>
      <c r="AS1093" s="77"/>
      <c r="AT1093" s="77"/>
      <c r="AU1093" s="77"/>
      <c r="AV1093" s="80" t="str">
        <f>HYPERLINK("https://pbs.twimg.com/profile_images/1693679843404062720/q3ecO34__normal.png")</f>
        <v>https://pbs.twimg.com/profile_images/1693679843404062720/q3ecO34__normal.png</v>
      </c>
      <c r="AW1093" s="82" t="s">
        <v>12759</v>
      </c>
      <c r="AX1093" s="82" t="s">
        <v>15854</v>
      </c>
      <c r="AY1093" s="82" t="s">
        <v>15963</v>
      </c>
      <c r="AZ1093" s="82" t="s">
        <v>16066</v>
      </c>
      <c r="BA1093" s="82" t="s">
        <v>15984</v>
      </c>
      <c r="BB1093" s="82" t="s">
        <v>15984</v>
      </c>
      <c r="BC1093" s="82" t="s">
        <v>16066</v>
      </c>
      <c r="BD1093" s="82" t="s">
        <v>15963</v>
      </c>
      <c r="BE1093" s="77"/>
      <c r="BF1093" s="77"/>
      <c r="BG1093" s="77"/>
      <c r="BH1093" s="77"/>
      <c r="BI1093" s="77"/>
    </row>
    <row r="1094" spans="1:61" x14ac:dyDescent="0.25">
      <c r="A1094" s="62" t="s">
        <v>582</v>
      </c>
      <c r="B1094" s="62" t="s">
        <v>582</v>
      </c>
      <c r="C1094" s="63"/>
      <c r="D1094" s="64"/>
      <c r="E1094" s="65"/>
      <c r="F1094" s="66"/>
      <c r="G1094" s="63"/>
      <c r="H1094" s="67"/>
      <c r="I1094" s="68"/>
      <c r="J1094" s="68"/>
      <c r="K1094" s="32"/>
      <c r="L1094" s="75">
        <v>1094</v>
      </c>
      <c r="M1094" s="75"/>
      <c r="N1094" s="70"/>
      <c r="O1094" s="77" t="s">
        <v>898</v>
      </c>
      <c r="P1094" s="79">
        <v>45150.493067129632</v>
      </c>
      <c r="Q1094" s="77" t="s">
        <v>1890</v>
      </c>
      <c r="R1094" s="77">
        <v>0</v>
      </c>
      <c r="S1094" s="77">
        <v>0</v>
      </c>
      <c r="T1094" s="77">
        <v>0</v>
      </c>
      <c r="U1094" s="77">
        <v>0</v>
      </c>
      <c r="V1094" s="77">
        <v>14</v>
      </c>
      <c r="W1094" s="82" t="s">
        <v>5363</v>
      </c>
      <c r="X1094" s="77"/>
      <c r="Y1094" s="77"/>
      <c r="Z1094" s="77"/>
      <c r="AA1094" s="77"/>
      <c r="AB1094" s="77"/>
      <c r="AC1094" s="82" t="s">
        <v>7752</v>
      </c>
      <c r="AD1094" s="77" t="s">
        <v>7796</v>
      </c>
      <c r="AE1094" s="80" t="str">
        <f>HYPERLINK("https://twitter.com/ataorienta/status/1690329792493531136")</f>
        <v>https://twitter.com/ataorienta/status/1690329792493531136</v>
      </c>
      <c r="AF1094" s="79">
        <v>45150.493067129632</v>
      </c>
      <c r="AG1094" s="85">
        <v>45150</v>
      </c>
      <c r="AH1094" s="82" t="s">
        <v>8738</v>
      </c>
      <c r="AI1094" s="77"/>
      <c r="AJ1094" s="77"/>
      <c r="AK1094" s="77"/>
      <c r="AL1094" s="77"/>
      <c r="AM1094" s="77"/>
      <c r="AN1094" s="77"/>
      <c r="AO1094" s="77"/>
      <c r="AP1094" s="77"/>
      <c r="AQ1094" s="77"/>
      <c r="AR1094" s="77"/>
      <c r="AS1094" s="77"/>
      <c r="AT1094" s="77"/>
      <c r="AU1094" s="77"/>
      <c r="AV1094" s="80" t="str">
        <f>HYPERLINK("https://pbs.twimg.com/profile_images/1693679843404062720/q3ecO34__normal.png")</f>
        <v>https://pbs.twimg.com/profile_images/1693679843404062720/q3ecO34__normal.png</v>
      </c>
      <c r="AW1094" s="82" t="s">
        <v>12760</v>
      </c>
      <c r="AX1094" s="82" t="s">
        <v>15855</v>
      </c>
      <c r="AY1094" s="82" t="s">
        <v>15963</v>
      </c>
      <c r="AZ1094" s="82" t="s">
        <v>16067</v>
      </c>
      <c r="BA1094" s="82" t="s">
        <v>15984</v>
      </c>
      <c r="BB1094" s="82" t="s">
        <v>15984</v>
      </c>
      <c r="BC1094" s="82" t="s">
        <v>16067</v>
      </c>
      <c r="BD1094" s="82" t="s">
        <v>15963</v>
      </c>
      <c r="BE1094" s="77"/>
      <c r="BF1094" s="77"/>
      <c r="BG1094" s="77"/>
      <c r="BH1094" s="77"/>
      <c r="BI1094" s="77"/>
    </row>
    <row r="1095" spans="1:61" x14ac:dyDescent="0.25">
      <c r="A1095" s="62" t="s">
        <v>582</v>
      </c>
      <c r="B1095" s="62" t="s">
        <v>582</v>
      </c>
      <c r="C1095" s="63"/>
      <c r="D1095" s="64"/>
      <c r="E1095" s="65"/>
      <c r="F1095" s="66"/>
      <c r="G1095" s="63"/>
      <c r="H1095" s="67"/>
      <c r="I1095" s="68"/>
      <c r="J1095" s="68"/>
      <c r="K1095" s="32"/>
      <c r="L1095" s="75">
        <v>1095</v>
      </c>
      <c r="M1095" s="75"/>
      <c r="N1095" s="70"/>
      <c r="O1095" s="77" t="s">
        <v>898</v>
      </c>
      <c r="P1095" s="79">
        <v>45164.539074074077</v>
      </c>
      <c r="Q1095" s="77" t="s">
        <v>1888</v>
      </c>
      <c r="R1095" s="77">
        <v>0</v>
      </c>
      <c r="S1095" s="77">
        <v>1</v>
      </c>
      <c r="T1095" s="77">
        <v>0</v>
      </c>
      <c r="U1095" s="77">
        <v>0</v>
      </c>
      <c r="V1095" s="77">
        <v>30</v>
      </c>
      <c r="W1095" s="82" t="s">
        <v>5361</v>
      </c>
      <c r="X1095" s="77"/>
      <c r="Y1095" s="77"/>
      <c r="Z1095" s="77"/>
      <c r="AA1095" s="77"/>
      <c r="AB1095" s="77"/>
      <c r="AC1095" s="82" t="s">
        <v>7752</v>
      </c>
      <c r="AD1095" s="77" t="s">
        <v>7796</v>
      </c>
      <c r="AE1095" s="80" t="str">
        <f>HYPERLINK("https://twitter.com/ataorienta/status/1695419892004954592")</f>
        <v>https://twitter.com/ataorienta/status/1695419892004954592</v>
      </c>
      <c r="AF1095" s="79">
        <v>45164.539074074077</v>
      </c>
      <c r="AG1095" s="85">
        <v>45164</v>
      </c>
      <c r="AH1095" s="82" t="s">
        <v>8739</v>
      </c>
      <c r="AI1095" s="77"/>
      <c r="AJ1095" s="77"/>
      <c r="AK1095" s="77"/>
      <c r="AL1095" s="77"/>
      <c r="AM1095" s="77"/>
      <c r="AN1095" s="77"/>
      <c r="AO1095" s="77"/>
      <c r="AP1095" s="77"/>
      <c r="AQ1095" s="77"/>
      <c r="AR1095" s="77"/>
      <c r="AS1095" s="77"/>
      <c r="AT1095" s="77"/>
      <c r="AU1095" s="77"/>
      <c r="AV1095" s="80" t="str">
        <f>HYPERLINK("https://pbs.twimg.com/profile_images/1693679843404062720/q3ecO34__normal.png")</f>
        <v>https://pbs.twimg.com/profile_images/1693679843404062720/q3ecO34__normal.png</v>
      </c>
      <c r="AW1095" s="82" t="s">
        <v>12761</v>
      </c>
      <c r="AX1095" s="82" t="s">
        <v>15856</v>
      </c>
      <c r="AY1095" s="82" t="s">
        <v>15963</v>
      </c>
      <c r="AZ1095" s="82" t="s">
        <v>16068</v>
      </c>
      <c r="BA1095" s="82" t="s">
        <v>15984</v>
      </c>
      <c r="BB1095" s="82" t="s">
        <v>15984</v>
      </c>
      <c r="BC1095" s="82" t="s">
        <v>16068</v>
      </c>
      <c r="BD1095" s="82" t="s">
        <v>15963</v>
      </c>
      <c r="BE1095" s="77"/>
      <c r="BF1095" s="77"/>
      <c r="BG1095" s="77"/>
      <c r="BH1095" s="77"/>
      <c r="BI1095" s="77"/>
    </row>
    <row r="1096" spans="1:61" x14ac:dyDescent="0.25">
      <c r="A1096" s="62" t="s">
        <v>582</v>
      </c>
      <c r="B1096" s="62" t="s">
        <v>582</v>
      </c>
      <c r="C1096" s="63"/>
      <c r="D1096" s="64"/>
      <c r="E1096" s="65"/>
      <c r="F1096" s="66"/>
      <c r="G1096" s="63"/>
      <c r="H1096" s="67"/>
      <c r="I1096" s="68"/>
      <c r="J1096" s="68"/>
      <c r="K1096" s="32"/>
      <c r="L1096" s="75">
        <v>1096</v>
      </c>
      <c r="M1096" s="75"/>
      <c r="N1096" s="70"/>
      <c r="O1096" s="77" t="s">
        <v>898</v>
      </c>
      <c r="P1096" s="79">
        <v>45166.648576388892</v>
      </c>
      <c r="Q1096" s="77" t="s">
        <v>1886</v>
      </c>
      <c r="R1096" s="77">
        <v>0</v>
      </c>
      <c r="S1096" s="77">
        <v>0</v>
      </c>
      <c r="T1096" s="77">
        <v>0</v>
      </c>
      <c r="U1096" s="77">
        <v>0</v>
      </c>
      <c r="V1096" s="77">
        <v>18</v>
      </c>
      <c r="W1096" s="82" t="s">
        <v>5359</v>
      </c>
      <c r="X1096" s="77"/>
      <c r="Y1096" s="77"/>
      <c r="Z1096" s="77"/>
      <c r="AA1096" s="77"/>
      <c r="AB1096" s="77"/>
      <c r="AC1096" s="82" t="s">
        <v>7752</v>
      </c>
      <c r="AD1096" s="77" t="s">
        <v>7796</v>
      </c>
      <c r="AE1096" s="80" t="str">
        <f>HYPERLINK("https://twitter.com/ataorienta/status/1696184351862501424")</f>
        <v>https://twitter.com/ataorienta/status/1696184351862501424</v>
      </c>
      <c r="AF1096" s="79">
        <v>45166.648576388892</v>
      </c>
      <c r="AG1096" s="85">
        <v>45166</v>
      </c>
      <c r="AH1096" s="82" t="s">
        <v>8740</v>
      </c>
      <c r="AI1096" s="77"/>
      <c r="AJ1096" s="77"/>
      <c r="AK1096" s="77"/>
      <c r="AL1096" s="77"/>
      <c r="AM1096" s="77"/>
      <c r="AN1096" s="77"/>
      <c r="AO1096" s="77"/>
      <c r="AP1096" s="77"/>
      <c r="AQ1096" s="77"/>
      <c r="AR1096" s="77"/>
      <c r="AS1096" s="77"/>
      <c r="AT1096" s="77"/>
      <c r="AU1096" s="77"/>
      <c r="AV1096" s="80" t="str">
        <f>HYPERLINK("https://pbs.twimg.com/profile_images/1693679843404062720/q3ecO34__normal.png")</f>
        <v>https://pbs.twimg.com/profile_images/1693679843404062720/q3ecO34__normal.png</v>
      </c>
      <c r="AW1096" s="82" t="s">
        <v>12762</v>
      </c>
      <c r="AX1096" s="82" t="s">
        <v>15857</v>
      </c>
      <c r="AY1096" s="82" t="s">
        <v>15963</v>
      </c>
      <c r="AZ1096" s="82" t="s">
        <v>16069</v>
      </c>
      <c r="BA1096" s="82" t="s">
        <v>15984</v>
      </c>
      <c r="BB1096" s="82" t="s">
        <v>15984</v>
      </c>
      <c r="BC1096" s="82" t="s">
        <v>16069</v>
      </c>
      <c r="BD1096" s="82" t="s">
        <v>15963</v>
      </c>
      <c r="BE1096" s="77"/>
      <c r="BF1096" s="77"/>
      <c r="BG1096" s="77"/>
      <c r="BH1096" s="77"/>
      <c r="BI1096" s="77"/>
    </row>
    <row r="1097" spans="1:61" x14ac:dyDescent="0.25">
      <c r="A1097" s="62" t="s">
        <v>582</v>
      </c>
      <c r="B1097" s="62" t="s">
        <v>582</v>
      </c>
      <c r="C1097" s="63"/>
      <c r="D1097" s="64"/>
      <c r="E1097" s="65"/>
      <c r="F1097" s="66"/>
      <c r="G1097" s="63"/>
      <c r="H1097" s="67"/>
      <c r="I1097" s="68"/>
      <c r="J1097" s="68"/>
      <c r="K1097" s="32"/>
      <c r="L1097" s="75">
        <v>1097</v>
      </c>
      <c r="M1097" s="75"/>
      <c r="N1097" s="70"/>
      <c r="O1097" s="77" t="s">
        <v>898</v>
      </c>
      <c r="P1097" s="79">
        <v>45178.521435185183</v>
      </c>
      <c r="Q1097" s="77" t="s">
        <v>1889</v>
      </c>
      <c r="R1097" s="77">
        <v>0</v>
      </c>
      <c r="S1097" s="77">
        <v>1</v>
      </c>
      <c r="T1097" s="77">
        <v>0</v>
      </c>
      <c r="U1097" s="77">
        <v>0</v>
      </c>
      <c r="V1097" s="77">
        <v>38</v>
      </c>
      <c r="W1097" s="82" t="s">
        <v>5362</v>
      </c>
      <c r="X1097" s="77"/>
      <c r="Y1097" s="77"/>
      <c r="Z1097" s="77"/>
      <c r="AA1097" s="77"/>
      <c r="AB1097" s="77"/>
      <c r="AC1097" s="82" t="s">
        <v>7752</v>
      </c>
      <c r="AD1097" s="77" t="s">
        <v>7796</v>
      </c>
      <c r="AE1097" s="80" t="str">
        <f>HYPERLINK("https://twitter.com/ataorienta/status/1700486929546936718")</f>
        <v>https://twitter.com/ataorienta/status/1700486929546936718</v>
      </c>
      <c r="AF1097" s="79">
        <v>45178.521435185183</v>
      </c>
      <c r="AG1097" s="85">
        <v>45178</v>
      </c>
      <c r="AH1097" s="82" t="s">
        <v>8741</v>
      </c>
      <c r="AI1097" s="77"/>
      <c r="AJ1097" s="77"/>
      <c r="AK1097" s="77"/>
      <c r="AL1097" s="77"/>
      <c r="AM1097" s="77"/>
      <c r="AN1097" s="77"/>
      <c r="AO1097" s="77"/>
      <c r="AP1097" s="77"/>
      <c r="AQ1097" s="77"/>
      <c r="AR1097" s="77"/>
      <c r="AS1097" s="77"/>
      <c r="AT1097" s="77"/>
      <c r="AU1097" s="77"/>
      <c r="AV1097" s="80" t="str">
        <f>HYPERLINK("https://pbs.twimg.com/profile_images/1693679843404062720/q3ecO34__normal.png")</f>
        <v>https://pbs.twimg.com/profile_images/1693679843404062720/q3ecO34__normal.png</v>
      </c>
      <c r="AW1097" s="82" t="s">
        <v>12763</v>
      </c>
      <c r="AX1097" s="82" t="s">
        <v>15858</v>
      </c>
      <c r="AY1097" s="82" t="s">
        <v>15963</v>
      </c>
      <c r="AZ1097" s="82" t="s">
        <v>16070</v>
      </c>
      <c r="BA1097" s="82" t="s">
        <v>15984</v>
      </c>
      <c r="BB1097" s="82" t="s">
        <v>15984</v>
      </c>
      <c r="BC1097" s="82" t="s">
        <v>16070</v>
      </c>
      <c r="BD1097" s="82" t="s">
        <v>15963</v>
      </c>
      <c r="BE1097" s="77"/>
      <c r="BF1097" s="77"/>
      <c r="BG1097" s="77"/>
      <c r="BH1097" s="77"/>
      <c r="BI1097" s="77"/>
    </row>
    <row r="1098" spans="1:61" x14ac:dyDescent="0.25">
      <c r="A1098" s="62" t="s">
        <v>582</v>
      </c>
      <c r="B1098" s="62" t="s">
        <v>582</v>
      </c>
      <c r="C1098" s="63"/>
      <c r="D1098" s="64"/>
      <c r="E1098" s="65"/>
      <c r="F1098" s="66"/>
      <c r="G1098" s="63"/>
      <c r="H1098" s="67"/>
      <c r="I1098" s="68"/>
      <c r="J1098" s="68"/>
      <c r="K1098" s="32"/>
      <c r="L1098" s="75">
        <v>1098</v>
      </c>
      <c r="M1098" s="75"/>
      <c r="N1098" s="70"/>
      <c r="O1098" s="77" t="s">
        <v>898</v>
      </c>
      <c r="P1098" s="79">
        <v>45176.522453703707</v>
      </c>
      <c r="Q1098" s="77" t="s">
        <v>1889</v>
      </c>
      <c r="R1098" s="77">
        <v>0</v>
      </c>
      <c r="S1098" s="77">
        <v>0</v>
      </c>
      <c r="T1098" s="77">
        <v>0</v>
      </c>
      <c r="U1098" s="77">
        <v>0</v>
      </c>
      <c r="V1098" s="77">
        <v>15</v>
      </c>
      <c r="W1098" s="82" t="s">
        <v>5362</v>
      </c>
      <c r="X1098" s="77"/>
      <c r="Y1098" s="77"/>
      <c r="Z1098" s="77"/>
      <c r="AA1098" s="77"/>
      <c r="AB1098" s="77"/>
      <c r="AC1098" s="82" t="s">
        <v>7752</v>
      </c>
      <c r="AD1098" s="77" t="s">
        <v>7796</v>
      </c>
      <c r="AE1098" s="80" t="str">
        <f>HYPERLINK("https://twitter.com/ataorienta/status/1699762525372325954")</f>
        <v>https://twitter.com/ataorienta/status/1699762525372325954</v>
      </c>
      <c r="AF1098" s="79">
        <v>45176.522453703707</v>
      </c>
      <c r="AG1098" s="85">
        <v>45176</v>
      </c>
      <c r="AH1098" s="82" t="s">
        <v>8742</v>
      </c>
      <c r="AI1098" s="77"/>
      <c r="AJ1098" s="77"/>
      <c r="AK1098" s="77"/>
      <c r="AL1098" s="77"/>
      <c r="AM1098" s="77"/>
      <c r="AN1098" s="77"/>
      <c r="AO1098" s="77"/>
      <c r="AP1098" s="77"/>
      <c r="AQ1098" s="77"/>
      <c r="AR1098" s="77"/>
      <c r="AS1098" s="77"/>
      <c r="AT1098" s="77"/>
      <c r="AU1098" s="77"/>
      <c r="AV1098" s="80" t="str">
        <f>HYPERLINK("https://pbs.twimg.com/profile_images/1693679843404062720/q3ecO34__normal.png")</f>
        <v>https://pbs.twimg.com/profile_images/1693679843404062720/q3ecO34__normal.png</v>
      </c>
      <c r="AW1098" s="82" t="s">
        <v>12764</v>
      </c>
      <c r="AX1098" s="82" t="s">
        <v>15859</v>
      </c>
      <c r="AY1098" s="82" t="s">
        <v>15963</v>
      </c>
      <c r="AZ1098" s="82" t="s">
        <v>16071</v>
      </c>
      <c r="BA1098" s="82" t="s">
        <v>15984</v>
      </c>
      <c r="BB1098" s="82" t="s">
        <v>15984</v>
      </c>
      <c r="BC1098" s="82" t="s">
        <v>16071</v>
      </c>
      <c r="BD1098" s="82" t="s">
        <v>15963</v>
      </c>
      <c r="BE1098" s="77"/>
      <c r="BF1098" s="77"/>
      <c r="BG1098" s="77"/>
      <c r="BH1098" s="77"/>
      <c r="BI1098" s="77"/>
    </row>
    <row r="1099" spans="1:61" x14ac:dyDescent="0.25">
      <c r="A1099" s="62" t="s">
        <v>582</v>
      </c>
      <c r="B1099" s="62" t="s">
        <v>582</v>
      </c>
      <c r="C1099" s="63"/>
      <c r="D1099" s="64"/>
      <c r="E1099" s="65"/>
      <c r="F1099" s="66"/>
      <c r="G1099" s="63"/>
      <c r="H1099" s="67"/>
      <c r="I1099" s="68"/>
      <c r="J1099" s="68"/>
      <c r="K1099" s="32"/>
      <c r="L1099" s="75">
        <v>1099</v>
      </c>
      <c r="M1099" s="75"/>
      <c r="N1099" s="70"/>
      <c r="O1099" s="77" t="s">
        <v>898</v>
      </c>
      <c r="P1099" s="79">
        <v>45145.496967592589</v>
      </c>
      <c r="Q1099" s="77" t="s">
        <v>1891</v>
      </c>
      <c r="R1099" s="77">
        <v>0</v>
      </c>
      <c r="S1099" s="77">
        <v>0</v>
      </c>
      <c r="T1099" s="77">
        <v>0</v>
      </c>
      <c r="U1099" s="77">
        <v>0</v>
      </c>
      <c r="V1099" s="77">
        <v>3</v>
      </c>
      <c r="W1099" s="82" t="s">
        <v>5364</v>
      </c>
      <c r="X1099" s="77"/>
      <c r="Y1099" s="77"/>
      <c r="Z1099" s="77"/>
      <c r="AA1099" s="77"/>
      <c r="AB1099" s="77"/>
      <c r="AC1099" s="82" t="s">
        <v>7752</v>
      </c>
      <c r="AD1099" s="77" t="s">
        <v>7796</v>
      </c>
      <c r="AE1099" s="80" t="str">
        <f>HYPERLINK("https://twitter.com/ataorienta/status/1688519263865225216")</f>
        <v>https://twitter.com/ataorienta/status/1688519263865225216</v>
      </c>
      <c r="AF1099" s="79">
        <v>45145.496967592589</v>
      </c>
      <c r="AG1099" s="85">
        <v>45145</v>
      </c>
      <c r="AH1099" s="82" t="s">
        <v>8743</v>
      </c>
      <c r="AI1099" s="77"/>
      <c r="AJ1099" s="77"/>
      <c r="AK1099" s="77"/>
      <c r="AL1099" s="77"/>
      <c r="AM1099" s="77"/>
      <c r="AN1099" s="77"/>
      <c r="AO1099" s="77"/>
      <c r="AP1099" s="77"/>
      <c r="AQ1099" s="77"/>
      <c r="AR1099" s="77"/>
      <c r="AS1099" s="77"/>
      <c r="AT1099" s="77"/>
      <c r="AU1099" s="77"/>
      <c r="AV1099" s="80" t="str">
        <f>HYPERLINK("https://pbs.twimg.com/profile_images/1693679843404062720/q3ecO34__normal.png")</f>
        <v>https://pbs.twimg.com/profile_images/1693679843404062720/q3ecO34__normal.png</v>
      </c>
      <c r="AW1099" s="82" t="s">
        <v>12765</v>
      </c>
      <c r="AX1099" s="82" t="s">
        <v>15860</v>
      </c>
      <c r="AY1099" s="82" t="s">
        <v>15963</v>
      </c>
      <c r="AZ1099" s="82" t="s">
        <v>16072</v>
      </c>
      <c r="BA1099" s="82" t="s">
        <v>15984</v>
      </c>
      <c r="BB1099" s="82" t="s">
        <v>15984</v>
      </c>
      <c r="BC1099" s="82" t="s">
        <v>16072</v>
      </c>
      <c r="BD1099" s="82" t="s">
        <v>15963</v>
      </c>
      <c r="BE1099" s="77"/>
      <c r="BF1099" s="77"/>
      <c r="BG1099" s="77"/>
      <c r="BH1099" s="77"/>
      <c r="BI1099" s="77"/>
    </row>
    <row r="1100" spans="1:61" x14ac:dyDescent="0.25">
      <c r="A1100" s="62" t="s">
        <v>582</v>
      </c>
      <c r="B1100" s="62" t="s">
        <v>582</v>
      </c>
      <c r="C1100" s="63"/>
      <c r="D1100" s="64"/>
      <c r="E1100" s="65"/>
      <c r="F1100" s="66"/>
      <c r="G1100" s="63"/>
      <c r="H1100" s="67"/>
      <c r="I1100" s="68"/>
      <c r="J1100" s="68"/>
      <c r="K1100" s="32"/>
      <c r="L1100" s="75">
        <v>1100</v>
      </c>
      <c r="M1100" s="75"/>
      <c r="N1100" s="70"/>
      <c r="O1100" s="77" t="s">
        <v>898</v>
      </c>
      <c r="P1100" s="79">
        <v>45187.491087962961</v>
      </c>
      <c r="Q1100" s="77" t="s">
        <v>1886</v>
      </c>
      <c r="R1100" s="77">
        <v>0</v>
      </c>
      <c r="S1100" s="77">
        <v>0</v>
      </c>
      <c r="T1100" s="77">
        <v>0</v>
      </c>
      <c r="U1100" s="77">
        <v>0</v>
      </c>
      <c r="V1100" s="77">
        <v>9</v>
      </c>
      <c r="W1100" s="82" t="s">
        <v>5359</v>
      </c>
      <c r="X1100" s="77"/>
      <c r="Y1100" s="77"/>
      <c r="Z1100" s="77"/>
      <c r="AA1100" s="77"/>
      <c r="AB1100" s="77"/>
      <c r="AC1100" s="82" t="s">
        <v>7752</v>
      </c>
      <c r="AD1100" s="77" t="s">
        <v>7796</v>
      </c>
      <c r="AE1100" s="80" t="str">
        <f>HYPERLINK("https://twitter.com/ataorienta/status/1703737424197664796")</f>
        <v>https://twitter.com/ataorienta/status/1703737424197664796</v>
      </c>
      <c r="AF1100" s="79">
        <v>45187.491087962961</v>
      </c>
      <c r="AG1100" s="85">
        <v>45187</v>
      </c>
      <c r="AH1100" s="82" t="s">
        <v>8744</v>
      </c>
      <c r="AI1100" s="77"/>
      <c r="AJ1100" s="77"/>
      <c r="AK1100" s="77"/>
      <c r="AL1100" s="77"/>
      <c r="AM1100" s="77"/>
      <c r="AN1100" s="77"/>
      <c r="AO1100" s="77"/>
      <c r="AP1100" s="77"/>
      <c r="AQ1100" s="77"/>
      <c r="AR1100" s="77"/>
      <c r="AS1100" s="77"/>
      <c r="AT1100" s="77"/>
      <c r="AU1100" s="77"/>
      <c r="AV1100" s="80" t="str">
        <f>HYPERLINK("https://pbs.twimg.com/profile_images/1693679843404062720/q3ecO34__normal.png")</f>
        <v>https://pbs.twimg.com/profile_images/1693679843404062720/q3ecO34__normal.png</v>
      </c>
      <c r="AW1100" s="82" t="s">
        <v>12766</v>
      </c>
      <c r="AX1100" s="82" t="s">
        <v>15861</v>
      </c>
      <c r="AY1100" s="82" t="s">
        <v>15963</v>
      </c>
      <c r="AZ1100" s="82" t="s">
        <v>16073</v>
      </c>
      <c r="BA1100" s="82" t="s">
        <v>15984</v>
      </c>
      <c r="BB1100" s="82" t="s">
        <v>15984</v>
      </c>
      <c r="BC1100" s="82" t="s">
        <v>16073</v>
      </c>
      <c r="BD1100" s="82" t="s">
        <v>15963</v>
      </c>
      <c r="BE1100" s="77"/>
      <c r="BF1100" s="77"/>
      <c r="BG1100" s="77"/>
      <c r="BH1100" s="77"/>
      <c r="BI1100" s="77"/>
    </row>
    <row r="1101" spans="1:61" x14ac:dyDescent="0.25">
      <c r="A1101" s="62" t="s">
        <v>582</v>
      </c>
      <c r="B1101" s="62" t="s">
        <v>582</v>
      </c>
      <c r="C1101" s="63"/>
      <c r="D1101" s="64"/>
      <c r="E1101" s="65"/>
      <c r="F1101" s="66"/>
      <c r="G1101" s="63"/>
      <c r="H1101" s="67"/>
      <c r="I1101" s="68"/>
      <c r="J1101" s="68"/>
      <c r="K1101" s="32"/>
      <c r="L1101" s="75">
        <v>1101</v>
      </c>
      <c r="M1101" s="75"/>
      <c r="N1101" s="70"/>
      <c r="O1101" s="77" t="s">
        <v>898</v>
      </c>
      <c r="P1101" s="79">
        <v>45159.497372685182</v>
      </c>
      <c r="Q1101" s="77" t="s">
        <v>1886</v>
      </c>
      <c r="R1101" s="77">
        <v>0</v>
      </c>
      <c r="S1101" s="77">
        <v>0</v>
      </c>
      <c r="T1101" s="77">
        <v>0</v>
      </c>
      <c r="U1101" s="77">
        <v>0</v>
      </c>
      <c r="V1101" s="77">
        <v>7</v>
      </c>
      <c r="W1101" s="82" t="s">
        <v>5359</v>
      </c>
      <c r="X1101" s="77"/>
      <c r="Y1101" s="77"/>
      <c r="Z1101" s="77"/>
      <c r="AA1101" s="77"/>
      <c r="AB1101" s="77"/>
      <c r="AC1101" s="82" t="s">
        <v>7752</v>
      </c>
      <c r="AD1101" s="77" t="s">
        <v>7796</v>
      </c>
      <c r="AE1101" s="80" t="str">
        <f>HYPERLINK("https://twitter.com/ataorienta/status/1693592842336125287")</f>
        <v>https://twitter.com/ataorienta/status/1693592842336125287</v>
      </c>
      <c r="AF1101" s="79">
        <v>45159.497372685182</v>
      </c>
      <c r="AG1101" s="85">
        <v>45159</v>
      </c>
      <c r="AH1101" s="82" t="s">
        <v>8745</v>
      </c>
      <c r="AI1101" s="77"/>
      <c r="AJ1101" s="77"/>
      <c r="AK1101" s="77"/>
      <c r="AL1101" s="77"/>
      <c r="AM1101" s="77"/>
      <c r="AN1101" s="77"/>
      <c r="AO1101" s="77"/>
      <c r="AP1101" s="77"/>
      <c r="AQ1101" s="77"/>
      <c r="AR1101" s="77"/>
      <c r="AS1101" s="77"/>
      <c r="AT1101" s="77"/>
      <c r="AU1101" s="77"/>
      <c r="AV1101" s="80" t="str">
        <f>HYPERLINK("https://pbs.twimg.com/profile_images/1693679843404062720/q3ecO34__normal.png")</f>
        <v>https://pbs.twimg.com/profile_images/1693679843404062720/q3ecO34__normal.png</v>
      </c>
      <c r="AW1101" s="82" t="s">
        <v>12767</v>
      </c>
      <c r="AX1101" s="82" t="s">
        <v>15862</v>
      </c>
      <c r="AY1101" s="82" t="s">
        <v>15963</v>
      </c>
      <c r="AZ1101" s="82" t="s">
        <v>16074</v>
      </c>
      <c r="BA1101" s="82" t="s">
        <v>15984</v>
      </c>
      <c r="BB1101" s="82" t="s">
        <v>15984</v>
      </c>
      <c r="BC1101" s="82" t="s">
        <v>16074</v>
      </c>
      <c r="BD1101" s="82" t="s">
        <v>15963</v>
      </c>
      <c r="BE1101" s="77"/>
      <c r="BF1101" s="77"/>
      <c r="BG1101" s="77"/>
      <c r="BH1101" s="77"/>
      <c r="BI1101" s="77"/>
    </row>
    <row r="1102" spans="1:61" x14ac:dyDescent="0.25">
      <c r="A1102" s="62" t="s">
        <v>582</v>
      </c>
      <c r="B1102" s="62" t="s">
        <v>582</v>
      </c>
      <c r="C1102" s="63"/>
      <c r="D1102" s="64"/>
      <c r="E1102" s="65"/>
      <c r="F1102" s="66"/>
      <c r="G1102" s="63"/>
      <c r="H1102" s="67"/>
      <c r="I1102" s="68"/>
      <c r="J1102" s="68"/>
      <c r="K1102" s="32"/>
      <c r="L1102" s="75">
        <v>1102</v>
      </c>
      <c r="M1102" s="75"/>
      <c r="N1102" s="70"/>
      <c r="O1102" s="77" t="s">
        <v>898</v>
      </c>
      <c r="P1102" s="79">
        <v>45184.931284722225</v>
      </c>
      <c r="Q1102" s="77" t="s">
        <v>1890</v>
      </c>
      <c r="R1102" s="77">
        <v>0</v>
      </c>
      <c r="S1102" s="77">
        <v>1</v>
      </c>
      <c r="T1102" s="77">
        <v>0</v>
      </c>
      <c r="U1102" s="77">
        <v>0</v>
      </c>
      <c r="V1102" s="77">
        <v>18</v>
      </c>
      <c r="W1102" s="82" t="s">
        <v>5363</v>
      </c>
      <c r="X1102" s="77"/>
      <c r="Y1102" s="77"/>
      <c r="Z1102" s="77"/>
      <c r="AA1102" s="77"/>
      <c r="AB1102" s="77"/>
      <c r="AC1102" s="82" t="s">
        <v>7752</v>
      </c>
      <c r="AD1102" s="77" t="s">
        <v>7796</v>
      </c>
      <c r="AE1102" s="80" t="str">
        <f>HYPERLINK("https://twitter.com/ataorienta/status/1702809781222654191")</f>
        <v>https://twitter.com/ataorienta/status/1702809781222654191</v>
      </c>
      <c r="AF1102" s="79">
        <v>45184.931284722225</v>
      </c>
      <c r="AG1102" s="85">
        <v>45184</v>
      </c>
      <c r="AH1102" s="82" t="s">
        <v>8746</v>
      </c>
      <c r="AI1102" s="77"/>
      <c r="AJ1102" s="77"/>
      <c r="AK1102" s="77"/>
      <c r="AL1102" s="77"/>
      <c r="AM1102" s="77"/>
      <c r="AN1102" s="77"/>
      <c r="AO1102" s="77"/>
      <c r="AP1102" s="77"/>
      <c r="AQ1102" s="77"/>
      <c r="AR1102" s="77"/>
      <c r="AS1102" s="77"/>
      <c r="AT1102" s="77"/>
      <c r="AU1102" s="77"/>
      <c r="AV1102" s="80" t="str">
        <f>HYPERLINK("https://pbs.twimg.com/profile_images/1693679843404062720/q3ecO34__normal.png")</f>
        <v>https://pbs.twimg.com/profile_images/1693679843404062720/q3ecO34__normal.png</v>
      </c>
      <c r="AW1102" s="82" t="s">
        <v>12768</v>
      </c>
      <c r="AX1102" s="82" t="s">
        <v>15863</v>
      </c>
      <c r="AY1102" s="82" t="s">
        <v>15963</v>
      </c>
      <c r="AZ1102" s="82" t="s">
        <v>16075</v>
      </c>
      <c r="BA1102" s="82" t="s">
        <v>15984</v>
      </c>
      <c r="BB1102" s="82" t="s">
        <v>15984</v>
      </c>
      <c r="BC1102" s="82" t="s">
        <v>16075</v>
      </c>
      <c r="BD1102" s="82" t="s">
        <v>15963</v>
      </c>
      <c r="BE1102" s="77"/>
      <c r="BF1102" s="77"/>
      <c r="BG1102" s="77"/>
      <c r="BH1102" s="77"/>
      <c r="BI1102" s="77"/>
    </row>
    <row r="1103" spans="1:61" x14ac:dyDescent="0.25">
      <c r="A1103" s="62" t="s">
        <v>582</v>
      </c>
      <c r="B1103" s="62" t="s">
        <v>582</v>
      </c>
      <c r="C1103" s="63"/>
      <c r="D1103" s="64"/>
      <c r="E1103" s="65"/>
      <c r="F1103" s="66"/>
      <c r="G1103" s="63"/>
      <c r="H1103" s="67"/>
      <c r="I1103" s="68"/>
      <c r="J1103" s="68"/>
      <c r="K1103" s="32"/>
      <c r="L1103" s="75">
        <v>1103</v>
      </c>
      <c r="M1103" s="75"/>
      <c r="N1103" s="70"/>
      <c r="O1103" s="77" t="s">
        <v>898</v>
      </c>
      <c r="P1103" s="79">
        <v>45191.911747685182</v>
      </c>
      <c r="Q1103" s="77" t="s">
        <v>1892</v>
      </c>
      <c r="R1103" s="77">
        <v>0</v>
      </c>
      <c r="S1103" s="77">
        <v>0</v>
      </c>
      <c r="T1103" s="77">
        <v>0</v>
      </c>
      <c r="U1103" s="77">
        <v>0</v>
      </c>
      <c r="V1103" s="77">
        <v>21</v>
      </c>
      <c r="W1103" s="82" t="s">
        <v>5365</v>
      </c>
      <c r="X1103" s="77"/>
      <c r="Y1103" s="77"/>
      <c r="Z1103" s="77"/>
      <c r="AA1103" s="77"/>
      <c r="AB1103" s="77"/>
      <c r="AC1103" s="82" t="s">
        <v>7752</v>
      </c>
      <c r="AD1103" s="77" t="s">
        <v>7796</v>
      </c>
      <c r="AE1103" s="80" t="str">
        <f>HYPERLINK("https://twitter.com/ataorienta/status/1705339418003795974")</f>
        <v>https://twitter.com/ataorienta/status/1705339418003795974</v>
      </c>
      <c r="AF1103" s="79">
        <v>45191.911747685182</v>
      </c>
      <c r="AG1103" s="85">
        <v>45191</v>
      </c>
      <c r="AH1103" s="82" t="s">
        <v>8747</v>
      </c>
      <c r="AI1103" s="77"/>
      <c r="AJ1103" s="77"/>
      <c r="AK1103" s="77"/>
      <c r="AL1103" s="77"/>
      <c r="AM1103" s="77"/>
      <c r="AN1103" s="77"/>
      <c r="AO1103" s="77"/>
      <c r="AP1103" s="77"/>
      <c r="AQ1103" s="77"/>
      <c r="AR1103" s="77"/>
      <c r="AS1103" s="77"/>
      <c r="AT1103" s="77"/>
      <c r="AU1103" s="77"/>
      <c r="AV1103" s="80" t="str">
        <f>HYPERLINK("https://pbs.twimg.com/profile_images/1693679843404062720/q3ecO34__normal.png")</f>
        <v>https://pbs.twimg.com/profile_images/1693679843404062720/q3ecO34__normal.png</v>
      </c>
      <c r="AW1103" s="82" t="s">
        <v>12769</v>
      </c>
      <c r="AX1103" s="82" t="s">
        <v>15864</v>
      </c>
      <c r="AY1103" s="82" t="s">
        <v>15963</v>
      </c>
      <c r="AZ1103" s="82" t="s">
        <v>16076</v>
      </c>
      <c r="BA1103" s="82" t="s">
        <v>15984</v>
      </c>
      <c r="BB1103" s="82" t="s">
        <v>15984</v>
      </c>
      <c r="BC1103" s="82" t="s">
        <v>16076</v>
      </c>
      <c r="BD1103" s="82" t="s">
        <v>15963</v>
      </c>
      <c r="BE1103" s="77"/>
      <c r="BF1103" s="77"/>
      <c r="BG1103" s="77"/>
      <c r="BH1103" s="77"/>
      <c r="BI1103" s="77"/>
    </row>
    <row r="1104" spans="1:61" x14ac:dyDescent="0.25">
      <c r="A1104" s="62" t="s">
        <v>582</v>
      </c>
      <c r="B1104" s="62" t="s">
        <v>582</v>
      </c>
      <c r="C1104" s="63"/>
      <c r="D1104" s="64"/>
      <c r="E1104" s="65"/>
      <c r="F1104" s="66"/>
      <c r="G1104" s="63"/>
      <c r="H1104" s="67"/>
      <c r="I1104" s="68"/>
      <c r="J1104" s="68"/>
      <c r="K1104" s="32"/>
      <c r="L1104" s="75">
        <v>1104</v>
      </c>
      <c r="M1104" s="75"/>
      <c r="N1104" s="70"/>
      <c r="O1104" s="77" t="s">
        <v>898</v>
      </c>
      <c r="P1104" s="79">
        <v>45171.509710648148</v>
      </c>
      <c r="Q1104" s="77" t="s">
        <v>1889</v>
      </c>
      <c r="R1104" s="77">
        <v>0</v>
      </c>
      <c r="S1104" s="77">
        <v>0</v>
      </c>
      <c r="T1104" s="77">
        <v>0</v>
      </c>
      <c r="U1104" s="77">
        <v>0</v>
      </c>
      <c r="V1104" s="77">
        <v>20</v>
      </c>
      <c r="W1104" s="82" t="s">
        <v>5362</v>
      </c>
      <c r="X1104" s="77"/>
      <c r="Y1104" s="77"/>
      <c r="Z1104" s="77"/>
      <c r="AA1104" s="77"/>
      <c r="AB1104" s="77"/>
      <c r="AC1104" s="82" t="s">
        <v>7752</v>
      </c>
      <c r="AD1104" s="77" t="s">
        <v>7796</v>
      </c>
      <c r="AE1104" s="80" t="str">
        <f>HYPERLINK("https://twitter.com/ataorienta/status/1697945965339054460")</f>
        <v>https://twitter.com/ataorienta/status/1697945965339054460</v>
      </c>
      <c r="AF1104" s="79">
        <v>45171.509710648148</v>
      </c>
      <c r="AG1104" s="85">
        <v>45171</v>
      </c>
      <c r="AH1104" s="82" t="s">
        <v>8748</v>
      </c>
      <c r="AI1104" s="77"/>
      <c r="AJ1104" s="77"/>
      <c r="AK1104" s="77"/>
      <c r="AL1104" s="77"/>
      <c r="AM1104" s="77"/>
      <c r="AN1104" s="77"/>
      <c r="AO1104" s="77"/>
      <c r="AP1104" s="77"/>
      <c r="AQ1104" s="77"/>
      <c r="AR1104" s="77"/>
      <c r="AS1104" s="77"/>
      <c r="AT1104" s="77"/>
      <c r="AU1104" s="77"/>
      <c r="AV1104" s="80" t="str">
        <f>HYPERLINK("https://pbs.twimg.com/profile_images/1693679843404062720/q3ecO34__normal.png")</f>
        <v>https://pbs.twimg.com/profile_images/1693679843404062720/q3ecO34__normal.png</v>
      </c>
      <c r="AW1104" s="82" t="s">
        <v>12770</v>
      </c>
      <c r="AX1104" s="82" t="s">
        <v>15865</v>
      </c>
      <c r="AY1104" s="82" t="s">
        <v>15963</v>
      </c>
      <c r="AZ1104" s="82" t="s">
        <v>16077</v>
      </c>
      <c r="BA1104" s="82" t="s">
        <v>15984</v>
      </c>
      <c r="BB1104" s="82" t="s">
        <v>15984</v>
      </c>
      <c r="BC1104" s="82" t="s">
        <v>16077</v>
      </c>
      <c r="BD1104" s="82" t="s">
        <v>15963</v>
      </c>
      <c r="BE1104" s="77"/>
      <c r="BF1104" s="77"/>
      <c r="BG1104" s="77"/>
      <c r="BH1104" s="77"/>
      <c r="BI1104" s="77"/>
    </row>
    <row r="1105" spans="1:61" x14ac:dyDescent="0.25">
      <c r="A1105" s="62" t="s">
        <v>582</v>
      </c>
      <c r="B1105" s="62" t="s">
        <v>582</v>
      </c>
      <c r="C1105" s="63"/>
      <c r="D1105" s="64"/>
      <c r="E1105" s="65"/>
      <c r="F1105" s="66"/>
      <c r="G1105" s="63"/>
      <c r="H1105" s="67"/>
      <c r="I1105" s="68"/>
      <c r="J1105" s="68"/>
      <c r="K1105" s="32"/>
      <c r="L1105" s="75">
        <v>1105</v>
      </c>
      <c r="M1105" s="75"/>
      <c r="N1105" s="70"/>
      <c r="O1105" s="77" t="s">
        <v>898</v>
      </c>
      <c r="P1105" s="79">
        <v>45192.915949074071</v>
      </c>
      <c r="Q1105" s="77" t="s">
        <v>1889</v>
      </c>
      <c r="R1105" s="77">
        <v>0</v>
      </c>
      <c r="S1105" s="77">
        <v>0</v>
      </c>
      <c r="T1105" s="77">
        <v>0</v>
      </c>
      <c r="U1105" s="77">
        <v>0</v>
      </c>
      <c r="V1105" s="77">
        <v>30</v>
      </c>
      <c r="W1105" s="82" t="s">
        <v>5362</v>
      </c>
      <c r="X1105" s="77"/>
      <c r="Y1105" s="77"/>
      <c r="Z1105" s="77"/>
      <c r="AA1105" s="77"/>
      <c r="AB1105" s="77"/>
      <c r="AC1105" s="82" t="s">
        <v>7752</v>
      </c>
      <c r="AD1105" s="77" t="s">
        <v>7796</v>
      </c>
      <c r="AE1105" s="80" t="str">
        <f>HYPERLINK("https://twitter.com/ataorienta/status/1705703326996721786")</f>
        <v>https://twitter.com/ataorienta/status/1705703326996721786</v>
      </c>
      <c r="AF1105" s="79">
        <v>45192.915949074071</v>
      </c>
      <c r="AG1105" s="85">
        <v>45192</v>
      </c>
      <c r="AH1105" s="82" t="s">
        <v>8749</v>
      </c>
      <c r="AI1105" s="77"/>
      <c r="AJ1105" s="77"/>
      <c r="AK1105" s="77"/>
      <c r="AL1105" s="77"/>
      <c r="AM1105" s="77"/>
      <c r="AN1105" s="77"/>
      <c r="AO1105" s="77"/>
      <c r="AP1105" s="77"/>
      <c r="AQ1105" s="77"/>
      <c r="AR1105" s="77"/>
      <c r="AS1105" s="77"/>
      <c r="AT1105" s="77"/>
      <c r="AU1105" s="77"/>
      <c r="AV1105" s="80" t="str">
        <f>HYPERLINK("https://pbs.twimg.com/profile_images/1693679843404062720/q3ecO34__normal.png")</f>
        <v>https://pbs.twimg.com/profile_images/1693679843404062720/q3ecO34__normal.png</v>
      </c>
      <c r="AW1105" s="82" t="s">
        <v>12771</v>
      </c>
      <c r="AX1105" s="82" t="s">
        <v>15866</v>
      </c>
      <c r="AY1105" s="82" t="s">
        <v>15963</v>
      </c>
      <c r="AZ1105" s="82" t="s">
        <v>16078</v>
      </c>
      <c r="BA1105" s="82" t="s">
        <v>15984</v>
      </c>
      <c r="BB1105" s="82" t="s">
        <v>15984</v>
      </c>
      <c r="BC1105" s="82" t="s">
        <v>16078</v>
      </c>
      <c r="BD1105" s="82" t="s">
        <v>15963</v>
      </c>
      <c r="BE1105" s="77"/>
      <c r="BF1105" s="77"/>
      <c r="BG1105" s="77"/>
      <c r="BH1105" s="77"/>
      <c r="BI1105" s="77"/>
    </row>
    <row r="1106" spans="1:61" x14ac:dyDescent="0.25">
      <c r="A1106" s="62" t="s">
        <v>582</v>
      </c>
      <c r="B1106" s="62" t="s">
        <v>582</v>
      </c>
      <c r="C1106" s="63"/>
      <c r="D1106" s="64"/>
      <c r="E1106" s="65"/>
      <c r="F1106" s="66"/>
      <c r="G1106" s="63"/>
      <c r="H1106" s="67"/>
      <c r="I1106" s="68"/>
      <c r="J1106" s="68"/>
      <c r="K1106" s="32"/>
      <c r="L1106" s="75">
        <v>1106</v>
      </c>
      <c r="M1106" s="75"/>
      <c r="N1106" s="70"/>
      <c r="O1106" s="77" t="s">
        <v>898</v>
      </c>
      <c r="P1106" s="79">
        <v>45173.490659722222</v>
      </c>
      <c r="Q1106" s="77" t="s">
        <v>1890</v>
      </c>
      <c r="R1106" s="77">
        <v>0</v>
      </c>
      <c r="S1106" s="77">
        <v>0</v>
      </c>
      <c r="T1106" s="77">
        <v>0</v>
      </c>
      <c r="U1106" s="77">
        <v>0</v>
      </c>
      <c r="V1106" s="77">
        <v>16</v>
      </c>
      <c r="W1106" s="82" t="s">
        <v>5363</v>
      </c>
      <c r="X1106" s="77"/>
      <c r="Y1106" s="77"/>
      <c r="Z1106" s="77"/>
      <c r="AA1106" s="77"/>
      <c r="AB1106" s="77"/>
      <c r="AC1106" s="82" t="s">
        <v>7752</v>
      </c>
      <c r="AD1106" s="77" t="s">
        <v>7796</v>
      </c>
      <c r="AE1106" s="80" t="str">
        <f>HYPERLINK("https://twitter.com/ataorienta/status/1698663838428656065")</f>
        <v>https://twitter.com/ataorienta/status/1698663838428656065</v>
      </c>
      <c r="AF1106" s="79">
        <v>45173.490659722222</v>
      </c>
      <c r="AG1106" s="85">
        <v>45173</v>
      </c>
      <c r="AH1106" s="82" t="s">
        <v>8750</v>
      </c>
      <c r="AI1106" s="77"/>
      <c r="AJ1106" s="77"/>
      <c r="AK1106" s="77"/>
      <c r="AL1106" s="77"/>
      <c r="AM1106" s="77"/>
      <c r="AN1106" s="77"/>
      <c r="AO1106" s="77"/>
      <c r="AP1106" s="77"/>
      <c r="AQ1106" s="77"/>
      <c r="AR1106" s="77"/>
      <c r="AS1106" s="77"/>
      <c r="AT1106" s="77"/>
      <c r="AU1106" s="77"/>
      <c r="AV1106" s="80" t="str">
        <f>HYPERLINK("https://pbs.twimg.com/profile_images/1693679843404062720/q3ecO34__normal.png")</f>
        <v>https://pbs.twimg.com/profile_images/1693679843404062720/q3ecO34__normal.png</v>
      </c>
      <c r="AW1106" s="82" t="s">
        <v>12772</v>
      </c>
      <c r="AX1106" s="82" t="s">
        <v>15867</v>
      </c>
      <c r="AY1106" s="82" t="s">
        <v>15963</v>
      </c>
      <c r="AZ1106" s="82" t="s">
        <v>16079</v>
      </c>
      <c r="BA1106" s="82" t="s">
        <v>15984</v>
      </c>
      <c r="BB1106" s="82" t="s">
        <v>15984</v>
      </c>
      <c r="BC1106" s="82" t="s">
        <v>16079</v>
      </c>
      <c r="BD1106" s="82" t="s">
        <v>15963</v>
      </c>
      <c r="BE1106" s="77"/>
      <c r="BF1106" s="77"/>
      <c r="BG1106" s="77"/>
      <c r="BH1106" s="77"/>
      <c r="BI1106" s="77"/>
    </row>
    <row r="1107" spans="1:61" x14ac:dyDescent="0.25">
      <c r="A1107" s="62" t="s">
        <v>582</v>
      </c>
      <c r="B1107" s="62" t="s">
        <v>582</v>
      </c>
      <c r="C1107" s="63"/>
      <c r="D1107" s="64"/>
      <c r="E1107" s="65"/>
      <c r="F1107" s="66"/>
      <c r="G1107" s="63"/>
      <c r="H1107" s="67"/>
      <c r="I1107" s="68"/>
      <c r="J1107" s="68"/>
      <c r="K1107" s="32"/>
      <c r="L1107" s="75">
        <v>1107</v>
      </c>
      <c r="M1107" s="75"/>
      <c r="N1107" s="70"/>
      <c r="O1107" s="77" t="s">
        <v>898</v>
      </c>
      <c r="P1107" s="79">
        <v>45124.503969907404</v>
      </c>
      <c r="Q1107" s="77" t="s">
        <v>1886</v>
      </c>
      <c r="R1107" s="77">
        <v>0</v>
      </c>
      <c r="S1107" s="77">
        <v>0</v>
      </c>
      <c r="T1107" s="77">
        <v>0</v>
      </c>
      <c r="U1107" s="77">
        <v>0</v>
      </c>
      <c r="V1107" s="77">
        <v>10</v>
      </c>
      <c r="W1107" s="82" t="s">
        <v>5359</v>
      </c>
      <c r="X1107" s="77"/>
      <c r="Y1107" s="77"/>
      <c r="Z1107" s="77"/>
      <c r="AA1107" s="77"/>
      <c r="AB1107" s="77"/>
      <c r="AC1107" s="82" t="s">
        <v>7752</v>
      </c>
      <c r="AD1107" s="77" t="s">
        <v>7796</v>
      </c>
      <c r="AE1107" s="80" t="str">
        <f>HYPERLINK("https://twitter.com/ataorienta/status/1680911655981531136")</f>
        <v>https://twitter.com/ataorienta/status/1680911655981531136</v>
      </c>
      <c r="AF1107" s="79">
        <v>45124.503969907404</v>
      </c>
      <c r="AG1107" s="85">
        <v>45124</v>
      </c>
      <c r="AH1107" s="82" t="s">
        <v>8751</v>
      </c>
      <c r="AI1107" s="77"/>
      <c r="AJ1107" s="77"/>
      <c r="AK1107" s="77"/>
      <c r="AL1107" s="77"/>
      <c r="AM1107" s="77"/>
      <c r="AN1107" s="77"/>
      <c r="AO1107" s="77"/>
      <c r="AP1107" s="77"/>
      <c r="AQ1107" s="77"/>
      <c r="AR1107" s="77"/>
      <c r="AS1107" s="77"/>
      <c r="AT1107" s="77"/>
      <c r="AU1107" s="77"/>
      <c r="AV1107" s="80" t="str">
        <f>HYPERLINK("https://pbs.twimg.com/profile_images/1693679843404062720/q3ecO34__normal.png")</f>
        <v>https://pbs.twimg.com/profile_images/1693679843404062720/q3ecO34__normal.png</v>
      </c>
      <c r="AW1107" s="82" t="s">
        <v>12773</v>
      </c>
      <c r="AX1107" s="82" t="s">
        <v>15868</v>
      </c>
      <c r="AY1107" s="82" t="s">
        <v>15963</v>
      </c>
      <c r="AZ1107" s="82" t="s">
        <v>16080</v>
      </c>
      <c r="BA1107" s="82" t="s">
        <v>15984</v>
      </c>
      <c r="BB1107" s="82" t="s">
        <v>15984</v>
      </c>
      <c r="BC1107" s="82" t="s">
        <v>16080</v>
      </c>
      <c r="BD1107" s="82" t="s">
        <v>15963</v>
      </c>
      <c r="BE1107" s="77"/>
      <c r="BF1107" s="77"/>
      <c r="BG1107" s="77"/>
      <c r="BH1107" s="77"/>
      <c r="BI1107" s="77"/>
    </row>
    <row r="1108" spans="1:61" x14ac:dyDescent="0.25">
      <c r="A1108" s="62" t="s">
        <v>582</v>
      </c>
      <c r="B1108" s="62" t="s">
        <v>582</v>
      </c>
      <c r="C1108" s="63"/>
      <c r="D1108" s="64"/>
      <c r="E1108" s="65"/>
      <c r="F1108" s="66"/>
      <c r="G1108" s="63"/>
      <c r="H1108" s="67"/>
      <c r="I1108" s="68"/>
      <c r="J1108" s="68"/>
      <c r="K1108" s="32"/>
      <c r="L1108" s="75">
        <v>1108</v>
      </c>
      <c r="M1108" s="75"/>
      <c r="N1108" s="70"/>
      <c r="O1108" s="77" t="s">
        <v>898</v>
      </c>
      <c r="P1108" s="79">
        <v>45194.509201388886</v>
      </c>
      <c r="Q1108" s="77" t="s">
        <v>1891</v>
      </c>
      <c r="R1108" s="77">
        <v>0</v>
      </c>
      <c r="S1108" s="77">
        <v>1</v>
      </c>
      <c r="T1108" s="77">
        <v>0</v>
      </c>
      <c r="U1108" s="77">
        <v>0</v>
      </c>
      <c r="V1108" s="77">
        <v>16</v>
      </c>
      <c r="W1108" s="82" t="s">
        <v>5364</v>
      </c>
      <c r="X1108" s="77"/>
      <c r="Y1108" s="77"/>
      <c r="Z1108" s="77"/>
      <c r="AA1108" s="77"/>
      <c r="AB1108" s="77"/>
      <c r="AC1108" s="82" t="s">
        <v>7752</v>
      </c>
      <c r="AD1108" s="77" t="s">
        <v>7796</v>
      </c>
      <c r="AE1108" s="80" t="str">
        <f>HYPERLINK("https://twitter.com/ataorienta/status/1706280702222733415")</f>
        <v>https://twitter.com/ataorienta/status/1706280702222733415</v>
      </c>
      <c r="AF1108" s="79">
        <v>45194.509201388886</v>
      </c>
      <c r="AG1108" s="85">
        <v>45194</v>
      </c>
      <c r="AH1108" s="82" t="s">
        <v>8752</v>
      </c>
      <c r="AI1108" s="77"/>
      <c r="AJ1108" s="77"/>
      <c r="AK1108" s="77"/>
      <c r="AL1108" s="77"/>
      <c r="AM1108" s="77"/>
      <c r="AN1108" s="77"/>
      <c r="AO1108" s="77"/>
      <c r="AP1108" s="77"/>
      <c r="AQ1108" s="77"/>
      <c r="AR1108" s="77"/>
      <c r="AS1108" s="77"/>
      <c r="AT1108" s="77"/>
      <c r="AU1108" s="77"/>
      <c r="AV1108" s="80" t="str">
        <f>HYPERLINK("https://pbs.twimg.com/profile_images/1693679843404062720/q3ecO34__normal.png")</f>
        <v>https://pbs.twimg.com/profile_images/1693679843404062720/q3ecO34__normal.png</v>
      </c>
      <c r="AW1108" s="82" t="s">
        <v>12774</v>
      </c>
      <c r="AX1108" s="82" t="s">
        <v>15869</v>
      </c>
      <c r="AY1108" s="82" t="s">
        <v>15963</v>
      </c>
      <c r="AZ1108" s="82" t="s">
        <v>16081</v>
      </c>
      <c r="BA1108" s="82" t="s">
        <v>15984</v>
      </c>
      <c r="BB1108" s="82" t="s">
        <v>15984</v>
      </c>
      <c r="BC1108" s="82" t="s">
        <v>16081</v>
      </c>
      <c r="BD1108" s="82" t="s">
        <v>15963</v>
      </c>
      <c r="BE1108" s="77"/>
      <c r="BF1108" s="77"/>
      <c r="BG1108" s="77"/>
      <c r="BH1108" s="77"/>
      <c r="BI1108" s="77"/>
    </row>
    <row r="1109" spans="1:61" x14ac:dyDescent="0.25">
      <c r="A1109" s="62" t="s">
        <v>582</v>
      </c>
      <c r="B1109" s="62" t="s">
        <v>582</v>
      </c>
      <c r="C1109" s="63"/>
      <c r="D1109" s="64"/>
      <c r="E1109" s="65"/>
      <c r="F1109" s="66"/>
      <c r="G1109" s="63"/>
      <c r="H1109" s="67"/>
      <c r="I1109" s="68"/>
      <c r="J1109" s="68"/>
      <c r="K1109" s="32"/>
      <c r="L1109" s="75">
        <v>1109</v>
      </c>
      <c r="M1109" s="75"/>
      <c r="N1109" s="70"/>
      <c r="O1109" s="77" t="s">
        <v>898</v>
      </c>
      <c r="P1109" s="79">
        <v>45180.508333333331</v>
      </c>
      <c r="Q1109" s="77" t="s">
        <v>1890</v>
      </c>
      <c r="R1109" s="77">
        <v>0</v>
      </c>
      <c r="S1109" s="77">
        <v>0</v>
      </c>
      <c r="T1109" s="77">
        <v>0</v>
      </c>
      <c r="U1109" s="77">
        <v>0</v>
      </c>
      <c r="V1109" s="77">
        <v>15</v>
      </c>
      <c r="W1109" s="82" t="s">
        <v>5363</v>
      </c>
      <c r="X1109" s="77"/>
      <c r="Y1109" s="77"/>
      <c r="Z1109" s="77"/>
      <c r="AA1109" s="77"/>
      <c r="AB1109" s="77"/>
      <c r="AC1109" s="82" t="s">
        <v>7752</v>
      </c>
      <c r="AD1109" s="77" t="s">
        <v>7796</v>
      </c>
      <c r="AE1109" s="80" t="str">
        <f>HYPERLINK("https://twitter.com/ataorienta/status/1701206958684901660")</f>
        <v>https://twitter.com/ataorienta/status/1701206958684901660</v>
      </c>
      <c r="AF1109" s="79">
        <v>45180.508333333331</v>
      </c>
      <c r="AG1109" s="85">
        <v>45180</v>
      </c>
      <c r="AH1109" s="82" t="s">
        <v>8753</v>
      </c>
      <c r="AI1109" s="77"/>
      <c r="AJ1109" s="77"/>
      <c r="AK1109" s="77"/>
      <c r="AL1109" s="77"/>
      <c r="AM1109" s="77"/>
      <c r="AN1109" s="77"/>
      <c r="AO1109" s="77"/>
      <c r="AP1109" s="77"/>
      <c r="AQ1109" s="77"/>
      <c r="AR1109" s="77"/>
      <c r="AS1109" s="77"/>
      <c r="AT1109" s="77"/>
      <c r="AU1109" s="77"/>
      <c r="AV1109" s="80" t="str">
        <f>HYPERLINK("https://pbs.twimg.com/profile_images/1693679843404062720/q3ecO34__normal.png")</f>
        <v>https://pbs.twimg.com/profile_images/1693679843404062720/q3ecO34__normal.png</v>
      </c>
      <c r="AW1109" s="82" t="s">
        <v>12775</v>
      </c>
      <c r="AX1109" s="82" t="s">
        <v>15870</v>
      </c>
      <c r="AY1109" s="82" t="s">
        <v>15963</v>
      </c>
      <c r="AZ1109" s="82" t="s">
        <v>16082</v>
      </c>
      <c r="BA1109" s="82" t="s">
        <v>15984</v>
      </c>
      <c r="BB1109" s="82" t="s">
        <v>15984</v>
      </c>
      <c r="BC1109" s="82" t="s">
        <v>16082</v>
      </c>
      <c r="BD1109" s="82" t="s">
        <v>15963</v>
      </c>
      <c r="BE1109" s="77"/>
      <c r="BF1109" s="77"/>
      <c r="BG1109" s="77"/>
      <c r="BH1109" s="77"/>
      <c r="BI1109" s="77"/>
    </row>
    <row r="1110" spans="1:61" x14ac:dyDescent="0.25">
      <c r="A1110" s="62" t="s">
        <v>583</v>
      </c>
      <c r="B1110" s="62" t="s">
        <v>583</v>
      </c>
      <c r="C1110" s="63"/>
      <c r="D1110" s="64"/>
      <c r="E1110" s="65"/>
      <c r="F1110" s="66"/>
      <c r="G1110" s="63"/>
      <c r="H1110" s="67"/>
      <c r="I1110" s="68"/>
      <c r="J1110" s="68"/>
      <c r="K1110" s="32"/>
      <c r="L1110" s="75">
        <v>1110</v>
      </c>
      <c r="M1110" s="75"/>
      <c r="N1110" s="70"/>
      <c r="O1110" s="77" t="s">
        <v>179</v>
      </c>
      <c r="P1110" s="79">
        <v>45118.747986111113</v>
      </c>
      <c r="Q1110" s="77" t="s">
        <v>1893</v>
      </c>
      <c r="R1110" s="77">
        <v>1</v>
      </c>
      <c r="S1110" s="77">
        <v>1</v>
      </c>
      <c r="T1110" s="77">
        <v>0</v>
      </c>
      <c r="U1110" s="77">
        <v>0</v>
      </c>
      <c r="V1110" s="77">
        <v>9</v>
      </c>
      <c r="W1110" s="82" t="s">
        <v>5366</v>
      </c>
      <c r="X1110" s="80" t="str">
        <f>HYPERLINK("https://www.comlucro.com.br/como-fazer-um-plano-de-trading-eficiente/")</f>
        <v>https://www.comlucro.com.br/como-fazer-um-plano-de-trading-eficiente/</v>
      </c>
      <c r="Y1110" s="77" t="s">
        <v>6470</v>
      </c>
      <c r="Z1110" s="77"/>
      <c r="AA1110" s="77" t="s">
        <v>7227</v>
      </c>
      <c r="AB1110" s="77" t="s">
        <v>7742</v>
      </c>
      <c r="AC1110" s="82" t="s">
        <v>7750</v>
      </c>
      <c r="AD1110" s="77" t="s">
        <v>7791</v>
      </c>
      <c r="AE1110" s="80" t="str">
        <f>HYPERLINK("https://twitter.com/canalcomlucro/status/1678825758288932873")</f>
        <v>https://twitter.com/canalcomlucro/status/1678825758288932873</v>
      </c>
      <c r="AF1110" s="79">
        <v>45118.747986111113</v>
      </c>
      <c r="AG1110" s="85">
        <v>45118</v>
      </c>
      <c r="AH1110" s="82" t="s">
        <v>8754</v>
      </c>
      <c r="AI1110" s="77" t="b">
        <v>0</v>
      </c>
      <c r="AJ1110" s="77"/>
      <c r="AK1110" s="77"/>
      <c r="AL1110" s="77"/>
      <c r="AM1110" s="77"/>
      <c r="AN1110" s="77"/>
      <c r="AO1110" s="77"/>
      <c r="AP1110" s="77"/>
      <c r="AQ1110" s="77" t="s">
        <v>11199</v>
      </c>
      <c r="AR1110" s="77"/>
      <c r="AS1110" s="77"/>
      <c r="AT1110" s="77"/>
      <c r="AU1110" s="77"/>
      <c r="AV1110" s="80" t="str">
        <f>HYPERLINK("https://pbs.twimg.com/media/F0xjH1UWcBQ1fpW.jpg")</f>
        <v>https://pbs.twimg.com/media/F0xjH1UWcBQ1fpW.jpg</v>
      </c>
      <c r="AW1110" s="82" t="s">
        <v>12776</v>
      </c>
      <c r="AX1110" s="82" t="s">
        <v>12776</v>
      </c>
      <c r="AY1110" s="77"/>
      <c r="AZ1110" s="82" t="s">
        <v>15984</v>
      </c>
      <c r="BA1110" s="82" t="s">
        <v>15984</v>
      </c>
      <c r="BB1110" s="82" t="s">
        <v>15984</v>
      </c>
      <c r="BC1110" s="82" t="s">
        <v>12776</v>
      </c>
      <c r="BD1110" s="82" t="s">
        <v>16309</v>
      </c>
      <c r="BE1110" s="77"/>
      <c r="BF1110" s="77"/>
      <c r="BG1110" s="77"/>
      <c r="BH1110" s="77"/>
      <c r="BI1110" s="77"/>
    </row>
    <row r="1111" spans="1:61" x14ac:dyDescent="0.25">
      <c r="A1111" s="62" t="s">
        <v>583</v>
      </c>
      <c r="B1111" s="62" t="s">
        <v>583</v>
      </c>
      <c r="C1111" s="63"/>
      <c r="D1111" s="64"/>
      <c r="E1111" s="65"/>
      <c r="F1111" s="66"/>
      <c r="G1111" s="63"/>
      <c r="H1111" s="67"/>
      <c r="I1111" s="68"/>
      <c r="J1111" s="68"/>
      <c r="K1111" s="32"/>
      <c r="L1111" s="75">
        <v>1111</v>
      </c>
      <c r="M1111" s="75"/>
      <c r="N1111" s="70"/>
      <c r="O1111" s="77" t="s">
        <v>179</v>
      </c>
      <c r="P1111" s="79">
        <v>45118.747349537036</v>
      </c>
      <c r="Q1111" s="77" t="s">
        <v>1894</v>
      </c>
      <c r="R1111" s="77">
        <v>1</v>
      </c>
      <c r="S1111" s="77">
        <v>1</v>
      </c>
      <c r="T1111" s="77">
        <v>0</v>
      </c>
      <c r="U1111" s="77">
        <v>0</v>
      </c>
      <c r="V1111" s="77">
        <v>11</v>
      </c>
      <c r="W1111" s="82" t="s">
        <v>5367</v>
      </c>
      <c r="X1111" s="80" t="str">
        <f>HYPERLINK("https://www.comlucro.com.br/gestao-de-risco-durante-o-trade-como-se-tornar-um-trader-lucrativo/")</f>
        <v>https://www.comlucro.com.br/gestao-de-risco-durante-o-trade-como-se-tornar-um-trader-lucrativo/</v>
      </c>
      <c r="Y1111" s="77" t="s">
        <v>6470</v>
      </c>
      <c r="Z1111" s="77"/>
      <c r="AA1111" s="77" t="s">
        <v>7228</v>
      </c>
      <c r="AB1111" s="77" t="s">
        <v>7742</v>
      </c>
      <c r="AC1111" s="82" t="s">
        <v>7750</v>
      </c>
      <c r="AD1111" s="77" t="s">
        <v>7791</v>
      </c>
      <c r="AE1111" s="80" t="str">
        <f>HYPERLINK("https://twitter.com/canalcomlucro/status/1678825525576384512")</f>
        <v>https://twitter.com/canalcomlucro/status/1678825525576384512</v>
      </c>
      <c r="AF1111" s="79">
        <v>45118.747349537036</v>
      </c>
      <c r="AG1111" s="85">
        <v>45118</v>
      </c>
      <c r="AH1111" s="82" t="s">
        <v>8755</v>
      </c>
      <c r="AI1111" s="77" t="b">
        <v>0</v>
      </c>
      <c r="AJ1111" s="77"/>
      <c r="AK1111" s="77"/>
      <c r="AL1111" s="77"/>
      <c r="AM1111" s="77"/>
      <c r="AN1111" s="77"/>
      <c r="AO1111" s="77"/>
      <c r="AP1111" s="77"/>
      <c r="AQ1111" s="77" t="s">
        <v>11200</v>
      </c>
      <c r="AR1111" s="77"/>
      <c r="AS1111" s="77"/>
      <c r="AT1111" s="77"/>
      <c r="AU1111" s="77"/>
      <c r="AV1111" s="80" t="str">
        <f>HYPERLINK("https://pbs.twimg.com/media/F0xi6WzWcAQIvKe.jpg")</f>
        <v>https://pbs.twimg.com/media/F0xi6WzWcAQIvKe.jpg</v>
      </c>
      <c r="AW1111" s="82" t="s">
        <v>12777</v>
      </c>
      <c r="AX1111" s="82" t="s">
        <v>12777</v>
      </c>
      <c r="AY1111" s="77"/>
      <c r="AZ1111" s="82" t="s">
        <v>15984</v>
      </c>
      <c r="BA1111" s="82" t="s">
        <v>15984</v>
      </c>
      <c r="BB1111" s="82" t="s">
        <v>15984</v>
      </c>
      <c r="BC1111" s="82" t="s">
        <v>12777</v>
      </c>
      <c r="BD1111" s="82" t="s">
        <v>16309</v>
      </c>
      <c r="BE1111" s="77"/>
      <c r="BF1111" s="77"/>
      <c r="BG1111" s="77"/>
      <c r="BH1111" s="77"/>
      <c r="BI1111" s="77"/>
    </row>
    <row r="1112" spans="1:61" x14ac:dyDescent="0.25">
      <c r="A1112" s="62" t="s">
        <v>583</v>
      </c>
      <c r="B1112" s="62" t="s">
        <v>583</v>
      </c>
      <c r="C1112" s="63"/>
      <c r="D1112" s="64"/>
      <c r="E1112" s="65"/>
      <c r="F1112" s="66"/>
      <c r="G1112" s="63"/>
      <c r="H1112" s="67"/>
      <c r="I1112" s="68"/>
      <c r="J1112" s="68"/>
      <c r="K1112" s="32"/>
      <c r="L1112" s="75">
        <v>1112</v>
      </c>
      <c r="M1112" s="75"/>
      <c r="N1112" s="70"/>
      <c r="O1112" s="77" t="s">
        <v>179</v>
      </c>
      <c r="P1112" s="79">
        <v>45120.741805555554</v>
      </c>
      <c r="Q1112" s="77" t="s">
        <v>1895</v>
      </c>
      <c r="R1112" s="77">
        <v>1</v>
      </c>
      <c r="S1112" s="77">
        <v>2</v>
      </c>
      <c r="T1112" s="77">
        <v>0</v>
      </c>
      <c r="U1112" s="77">
        <v>0</v>
      </c>
      <c r="V1112" s="77">
        <v>20</v>
      </c>
      <c r="W1112" s="82" t="s">
        <v>5368</v>
      </c>
      <c r="X1112" s="80" t="str">
        <f>HYPERLINK("https://www.comlucro.com.br/golden-cross-cruzamento-de-ouro-na-analise-tecnica-um-guia-completo/")</f>
        <v>https://www.comlucro.com.br/golden-cross-cruzamento-de-ouro-na-analise-tecnica-um-guia-completo/</v>
      </c>
      <c r="Y1112" s="77" t="s">
        <v>6470</v>
      </c>
      <c r="Z1112" s="77"/>
      <c r="AA1112" s="77" t="s">
        <v>7229</v>
      </c>
      <c r="AB1112" s="77" t="s">
        <v>7742</v>
      </c>
      <c r="AC1112" s="82" t="s">
        <v>7750</v>
      </c>
      <c r="AD1112" s="77" t="s">
        <v>7791</v>
      </c>
      <c r="AE1112" s="80" t="str">
        <f>HYPERLINK("https://twitter.com/canalcomlucro/status/1679548294207250437")</f>
        <v>https://twitter.com/canalcomlucro/status/1679548294207250437</v>
      </c>
      <c r="AF1112" s="79">
        <v>45120.741805555554</v>
      </c>
      <c r="AG1112" s="85">
        <v>45120</v>
      </c>
      <c r="AH1112" s="82" t="s">
        <v>8756</v>
      </c>
      <c r="AI1112" s="77" t="b">
        <v>0</v>
      </c>
      <c r="AJ1112" s="77"/>
      <c r="AK1112" s="77"/>
      <c r="AL1112" s="77"/>
      <c r="AM1112" s="77"/>
      <c r="AN1112" s="77"/>
      <c r="AO1112" s="77"/>
      <c r="AP1112" s="77"/>
      <c r="AQ1112" s="77" t="s">
        <v>11201</v>
      </c>
      <c r="AR1112" s="77"/>
      <c r="AS1112" s="77"/>
      <c r="AT1112" s="77"/>
      <c r="AU1112" s="77"/>
      <c r="AV1112" s="80" t="str">
        <f>HYPERLINK("https://pbs.twimg.com/media/F070QnjWYAEMN7p.jpg")</f>
        <v>https://pbs.twimg.com/media/F070QnjWYAEMN7p.jpg</v>
      </c>
      <c r="AW1112" s="82" t="s">
        <v>12778</v>
      </c>
      <c r="AX1112" s="82" t="s">
        <v>12778</v>
      </c>
      <c r="AY1112" s="77"/>
      <c r="AZ1112" s="82" t="s">
        <v>15984</v>
      </c>
      <c r="BA1112" s="82" t="s">
        <v>15984</v>
      </c>
      <c r="BB1112" s="82" t="s">
        <v>15984</v>
      </c>
      <c r="BC1112" s="82" t="s">
        <v>12778</v>
      </c>
      <c r="BD1112" s="82" t="s">
        <v>16309</v>
      </c>
      <c r="BE1112" s="77"/>
      <c r="BF1112" s="77"/>
      <c r="BG1112" s="77"/>
      <c r="BH1112" s="77"/>
      <c r="BI1112" s="77"/>
    </row>
    <row r="1113" spans="1:61" x14ac:dyDescent="0.25">
      <c r="A1113" s="62" t="s">
        <v>583</v>
      </c>
      <c r="B1113" s="62" t="s">
        <v>583</v>
      </c>
      <c r="C1113" s="63"/>
      <c r="D1113" s="64"/>
      <c r="E1113" s="65"/>
      <c r="F1113" s="66"/>
      <c r="G1113" s="63"/>
      <c r="H1113" s="67"/>
      <c r="I1113" s="68"/>
      <c r="J1113" s="68"/>
      <c r="K1113" s="32"/>
      <c r="L1113" s="75">
        <v>1113</v>
      </c>
      <c r="M1113" s="75"/>
      <c r="N1113" s="70"/>
      <c r="O1113" s="77" t="s">
        <v>179</v>
      </c>
      <c r="P1113" s="79">
        <v>45120.741238425922</v>
      </c>
      <c r="Q1113" s="77" t="s">
        <v>1896</v>
      </c>
      <c r="R1113" s="77">
        <v>1</v>
      </c>
      <c r="S1113" s="77">
        <v>2</v>
      </c>
      <c r="T1113" s="77">
        <v>0</v>
      </c>
      <c r="U1113" s="77">
        <v>0</v>
      </c>
      <c r="V1113" s="77">
        <v>18</v>
      </c>
      <c r="W1113" s="82" t="s">
        <v>5369</v>
      </c>
      <c r="X1113" s="80" t="str">
        <f>HYPERLINK("https://www.comlucro.com.br/death-cross-cruzamento-da-morte-na-analise-tecnica-um-guia-completo/")</f>
        <v>https://www.comlucro.com.br/death-cross-cruzamento-da-morte-na-analise-tecnica-um-guia-completo/</v>
      </c>
      <c r="Y1113" s="77" t="s">
        <v>6470</v>
      </c>
      <c r="Z1113" s="77"/>
      <c r="AA1113" s="77" t="s">
        <v>7230</v>
      </c>
      <c r="AB1113" s="77" t="s">
        <v>7742</v>
      </c>
      <c r="AC1113" s="82" t="s">
        <v>7750</v>
      </c>
      <c r="AD1113" s="77" t="s">
        <v>7791</v>
      </c>
      <c r="AE1113" s="80" t="str">
        <f>HYPERLINK("https://twitter.com/canalcomlucro/status/1679548087344168960")</f>
        <v>https://twitter.com/canalcomlucro/status/1679548087344168960</v>
      </c>
      <c r="AF1113" s="79">
        <v>45120.741238425922</v>
      </c>
      <c r="AG1113" s="85">
        <v>45120</v>
      </c>
      <c r="AH1113" s="82" t="s">
        <v>8757</v>
      </c>
      <c r="AI1113" s="77" t="b">
        <v>0</v>
      </c>
      <c r="AJ1113" s="77"/>
      <c r="AK1113" s="77"/>
      <c r="AL1113" s="77"/>
      <c r="AM1113" s="77"/>
      <c r="AN1113" s="77"/>
      <c r="AO1113" s="77"/>
      <c r="AP1113" s="77"/>
      <c r="AQ1113" s="77" t="s">
        <v>11202</v>
      </c>
      <c r="AR1113" s="77"/>
      <c r="AS1113" s="77"/>
      <c r="AT1113" s="77"/>
      <c r="AU1113" s="77"/>
      <c r="AV1113" s="80" t="str">
        <f>HYPERLINK("https://pbs.twimg.com/media/F070FCfWIAYCBMw.jpg")</f>
        <v>https://pbs.twimg.com/media/F070FCfWIAYCBMw.jpg</v>
      </c>
      <c r="AW1113" s="82" t="s">
        <v>12779</v>
      </c>
      <c r="AX1113" s="82" t="s">
        <v>12779</v>
      </c>
      <c r="AY1113" s="77"/>
      <c r="AZ1113" s="82" t="s">
        <v>15984</v>
      </c>
      <c r="BA1113" s="82" t="s">
        <v>15984</v>
      </c>
      <c r="BB1113" s="82" t="s">
        <v>15984</v>
      </c>
      <c r="BC1113" s="82" t="s">
        <v>12779</v>
      </c>
      <c r="BD1113" s="82" t="s">
        <v>16309</v>
      </c>
      <c r="BE1113" s="77"/>
      <c r="BF1113" s="77"/>
      <c r="BG1113" s="77"/>
      <c r="BH1113" s="77"/>
      <c r="BI1113" s="77"/>
    </row>
    <row r="1114" spans="1:61" x14ac:dyDescent="0.25">
      <c r="A1114" s="62" t="s">
        <v>583</v>
      </c>
      <c r="B1114" s="62" t="s">
        <v>583</v>
      </c>
      <c r="C1114" s="63"/>
      <c r="D1114" s="64"/>
      <c r="E1114" s="65"/>
      <c r="F1114" s="66"/>
      <c r="G1114" s="63"/>
      <c r="H1114" s="67"/>
      <c r="I1114" s="68"/>
      <c r="J1114" s="68"/>
      <c r="K1114" s="32"/>
      <c r="L1114" s="75">
        <v>1114</v>
      </c>
      <c r="M1114" s="75"/>
      <c r="N1114" s="70"/>
      <c r="O1114" s="77" t="s">
        <v>179</v>
      </c>
      <c r="P1114" s="79">
        <v>45120.671539351853</v>
      </c>
      <c r="Q1114" s="77" t="s">
        <v>1897</v>
      </c>
      <c r="R1114" s="77">
        <v>1</v>
      </c>
      <c r="S1114" s="77">
        <v>2</v>
      </c>
      <c r="T1114" s="77">
        <v>0</v>
      </c>
      <c r="U1114" s="77">
        <v>0</v>
      </c>
      <c r="V1114" s="77">
        <v>16</v>
      </c>
      <c r="W1114" s="82" t="s">
        <v>5370</v>
      </c>
      <c r="X1114" s="80" t="str">
        <f>HYPERLINK("https://www.comlucro.com.br/teoria-de-dow-entendendo-seus-principios-e-aplicacoes-no-mercado-financeiro/")</f>
        <v>https://www.comlucro.com.br/teoria-de-dow-entendendo-seus-principios-e-aplicacoes-no-mercado-financeiro/</v>
      </c>
      <c r="Y1114" s="77" t="s">
        <v>6470</v>
      </c>
      <c r="Z1114" s="77"/>
      <c r="AA1114" s="77" t="s">
        <v>7231</v>
      </c>
      <c r="AB1114" s="77" t="s">
        <v>7742</v>
      </c>
      <c r="AC1114" s="82" t="s">
        <v>7750</v>
      </c>
      <c r="AD1114" s="77" t="s">
        <v>7791</v>
      </c>
      <c r="AE1114" s="80" t="str">
        <f>HYPERLINK("https://twitter.com/canalcomlucro/status/1679522831833485315")</f>
        <v>https://twitter.com/canalcomlucro/status/1679522831833485315</v>
      </c>
      <c r="AF1114" s="79">
        <v>45120.671539351853</v>
      </c>
      <c r="AG1114" s="85">
        <v>45120</v>
      </c>
      <c r="AH1114" s="82" t="s">
        <v>8758</v>
      </c>
      <c r="AI1114" s="77" t="b">
        <v>0</v>
      </c>
      <c r="AJ1114" s="77"/>
      <c r="AK1114" s="77"/>
      <c r="AL1114" s="77"/>
      <c r="AM1114" s="77"/>
      <c r="AN1114" s="77"/>
      <c r="AO1114" s="77"/>
      <c r="AP1114" s="77"/>
      <c r="AQ1114" s="77" t="s">
        <v>11203</v>
      </c>
      <c r="AR1114" s="77"/>
      <c r="AS1114" s="77"/>
      <c r="AT1114" s="77"/>
      <c r="AU1114" s="77"/>
      <c r="AV1114" s="80" t="str">
        <f>HYPERLINK("https://pbs.twimg.com/media/F07dG4RWcAMJwMe.jpg")</f>
        <v>https://pbs.twimg.com/media/F07dG4RWcAMJwMe.jpg</v>
      </c>
      <c r="AW1114" s="82" t="s">
        <v>12780</v>
      </c>
      <c r="AX1114" s="82" t="s">
        <v>12780</v>
      </c>
      <c r="AY1114" s="77"/>
      <c r="AZ1114" s="82" t="s">
        <v>15984</v>
      </c>
      <c r="BA1114" s="82" t="s">
        <v>15984</v>
      </c>
      <c r="BB1114" s="82" t="s">
        <v>15984</v>
      </c>
      <c r="BC1114" s="82" t="s">
        <v>12780</v>
      </c>
      <c r="BD1114" s="82" t="s">
        <v>16309</v>
      </c>
      <c r="BE1114" s="77"/>
      <c r="BF1114" s="77"/>
      <c r="BG1114" s="77"/>
      <c r="BH1114" s="77"/>
      <c r="BI1114" s="77"/>
    </row>
    <row r="1115" spans="1:61" x14ac:dyDescent="0.25">
      <c r="A1115" s="62" t="s">
        <v>583</v>
      </c>
      <c r="B1115" s="62" t="s">
        <v>583</v>
      </c>
      <c r="C1115" s="63"/>
      <c r="D1115" s="64"/>
      <c r="E1115" s="65"/>
      <c r="F1115" s="66"/>
      <c r="G1115" s="63"/>
      <c r="H1115" s="67"/>
      <c r="I1115" s="68"/>
      <c r="J1115" s="68"/>
      <c r="K1115" s="32"/>
      <c r="L1115" s="75">
        <v>1115</v>
      </c>
      <c r="M1115" s="75"/>
      <c r="N1115" s="70"/>
      <c r="O1115" s="77" t="s">
        <v>179</v>
      </c>
      <c r="P1115" s="79">
        <v>45141.777986111112</v>
      </c>
      <c r="Q1115" s="77" t="s">
        <v>1898</v>
      </c>
      <c r="R1115" s="77">
        <v>1</v>
      </c>
      <c r="S1115" s="77">
        <v>3</v>
      </c>
      <c r="T1115" s="77">
        <v>0</v>
      </c>
      <c r="U1115" s="77">
        <v>0</v>
      </c>
      <c r="V1115" s="77">
        <v>14</v>
      </c>
      <c r="W1115" s="82" t="s">
        <v>5371</v>
      </c>
      <c r="X1115" s="80" t="str">
        <f>HYPERLINK("https://www.comlucro.com.br/analise-tecnica/barras-ou-velas-candlestick/harami-de-alta-bullish-harami/")</f>
        <v>https://www.comlucro.com.br/analise-tecnica/barras-ou-velas-candlestick/harami-de-alta-bullish-harami/</v>
      </c>
      <c r="Y1115" s="77" t="s">
        <v>6470</v>
      </c>
      <c r="Z1115" s="77"/>
      <c r="AA1115" s="77" t="s">
        <v>7232</v>
      </c>
      <c r="AB1115" s="77" t="s">
        <v>7742</v>
      </c>
      <c r="AC1115" s="82" t="s">
        <v>7750</v>
      </c>
      <c r="AD1115" s="77" t="s">
        <v>7791</v>
      </c>
      <c r="AE1115" s="80" t="str">
        <f>HYPERLINK("https://twitter.com/canalcomlucro/status/1687171549738995712")</f>
        <v>https://twitter.com/canalcomlucro/status/1687171549738995712</v>
      </c>
      <c r="AF1115" s="79">
        <v>45141.777986111112</v>
      </c>
      <c r="AG1115" s="85">
        <v>45141</v>
      </c>
      <c r="AH1115" s="82" t="s">
        <v>8759</v>
      </c>
      <c r="AI1115" s="77" t="b">
        <v>0</v>
      </c>
      <c r="AJ1115" s="77"/>
      <c r="AK1115" s="77"/>
      <c r="AL1115" s="77"/>
      <c r="AM1115" s="77"/>
      <c r="AN1115" s="77"/>
      <c r="AO1115" s="77"/>
      <c r="AP1115" s="77"/>
      <c r="AQ1115" s="77" t="s">
        <v>11204</v>
      </c>
      <c r="AR1115" s="77"/>
      <c r="AS1115" s="77"/>
      <c r="AT1115" s="77"/>
      <c r="AU1115" s="77"/>
      <c r="AV1115" s="80" t="str">
        <f>HYPERLINK("https://pbs.twimg.com/media/F2oJk_uW4AAG6ap.jpg")</f>
        <v>https://pbs.twimg.com/media/F2oJk_uW4AAG6ap.jpg</v>
      </c>
      <c r="AW1115" s="82" t="s">
        <v>12781</v>
      </c>
      <c r="AX1115" s="82" t="s">
        <v>12781</v>
      </c>
      <c r="AY1115" s="77"/>
      <c r="AZ1115" s="82" t="s">
        <v>15984</v>
      </c>
      <c r="BA1115" s="82" t="s">
        <v>15984</v>
      </c>
      <c r="BB1115" s="82" t="s">
        <v>15984</v>
      </c>
      <c r="BC1115" s="82" t="s">
        <v>12781</v>
      </c>
      <c r="BD1115" s="82" t="s">
        <v>16309</v>
      </c>
      <c r="BE1115" s="77"/>
      <c r="BF1115" s="77"/>
      <c r="BG1115" s="77"/>
      <c r="BH1115" s="77"/>
      <c r="BI1115" s="77"/>
    </row>
    <row r="1116" spans="1:61" x14ac:dyDescent="0.25">
      <c r="A1116" s="62" t="s">
        <v>583</v>
      </c>
      <c r="B1116" s="62" t="s">
        <v>583</v>
      </c>
      <c r="C1116" s="63"/>
      <c r="D1116" s="64"/>
      <c r="E1116" s="65"/>
      <c r="F1116" s="66"/>
      <c r="G1116" s="63"/>
      <c r="H1116" s="67"/>
      <c r="I1116" s="68"/>
      <c r="J1116" s="68"/>
      <c r="K1116" s="32"/>
      <c r="L1116" s="75">
        <v>1116</v>
      </c>
      <c r="M1116" s="75"/>
      <c r="N1116" s="70"/>
      <c r="O1116" s="77" t="s">
        <v>179</v>
      </c>
      <c r="P1116" s="79">
        <v>45141.746817129628</v>
      </c>
      <c r="Q1116" s="77" t="s">
        <v>1899</v>
      </c>
      <c r="R1116" s="77">
        <v>1</v>
      </c>
      <c r="S1116" s="77">
        <v>3</v>
      </c>
      <c r="T1116" s="77">
        <v>0</v>
      </c>
      <c r="U1116" s="77">
        <v>0</v>
      </c>
      <c r="V1116" s="77">
        <v>16</v>
      </c>
      <c r="W1116" s="82" t="s">
        <v>5372</v>
      </c>
      <c r="X1116" s="80" t="str">
        <f>HYPERLINK("https://www.comlucro.com.br/analise-tecnica/barras-ou-velas-candlestick/estrela-cadente-shooting-star/")</f>
        <v>https://www.comlucro.com.br/analise-tecnica/barras-ou-velas-candlestick/estrela-cadente-shooting-star/</v>
      </c>
      <c r="Y1116" s="77" t="s">
        <v>6470</v>
      </c>
      <c r="Z1116" s="77"/>
      <c r="AA1116" s="77" t="s">
        <v>7233</v>
      </c>
      <c r="AB1116" s="77" t="s">
        <v>7742</v>
      </c>
      <c r="AC1116" s="82" t="s">
        <v>7750</v>
      </c>
      <c r="AD1116" s="77" t="s">
        <v>7791</v>
      </c>
      <c r="AE1116" s="80" t="str">
        <f>HYPERLINK("https://twitter.com/canalcomlucro/status/1687160255170400256")</f>
        <v>https://twitter.com/canalcomlucro/status/1687160255170400256</v>
      </c>
      <c r="AF1116" s="79">
        <v>45141.746817129628</v>
      </c>
      <c r="AG1116" s="85">
        <v>45141</v>
      </c>
      <c r="AH1116" s="82" t="s">
        <v>8760</v>
      </c>
      <c r="AI1116" s="77" t="b">
        <v>0</v>
      </c>
      <c r="AJ1116" s="77"/>
      <c r="AK1116" s="77"/>
      <c r="AL1116" s="77"/>
      <c r="AM1116" s="77"/>
      <c r="AN1116" s="77"/>
      <c r="AO1116" s="77"/>
      <c r="AP1116" s="77"/>
      <c r="AQ1116" s="77" t="s">
        <v>11205</v>
      </c>
      <c r="AR1116" s="77"/>
      <c r="AS1116" s="77"/>
      <c r="AT1116" s="77"/>
      <c r="AU1116" s="77"/>
      <c r="AV1116" s="80" t="str">
        <f>HYPERLINK("https://pbs.twimg.com/media/F2n_Th2XQA4DUp-.jpg")</f>
        <v>https://pbs.twimg.com/media/F2n_Th2XQA4DUp-.jpg</v>
      </c>
      <c r="AW1116" s="82" t="s">
        <v>12782</v>
      </c>
      <c r="AX1116" s="82" t="s">
        <v>12782</v>
      </c>
      <c r="AY1116" s="77"/>
      <c r="AZ1116" s="82" t="s">
        <v>15984</v>
      </c>
      <c r="BA1116" s="82" t="s">
        <v>15984</v>
      </c>
      <c r="BB1116" s="82" t="s">
        <v>15984</v>
      </c>
      <c r="BC1116" s="82" t="s">
        <v>12782</v>
      </c>
      <c r="BD1116" s="82" t="s">
        <v>16309</v>
      </c>
      <c r="BE1116" s="77"/>
      <c r="BF1116" s="77"/>
      <c r="BG1116" s="77"/>
      <c r="BH1116" s="77"/>
      <c r="BI1116" s="77"/>
    </row>
    <row r="1117" spans="1:61" x14ac:dyDescent="0.25">
      <c r="A1117" s="62" t="s">
        <v>583</v>
      </c>
      <c r="B1117" s="62" t="s">
        <v>583</v>
      </c>
      <c r="C1117" s="63"/>
      <c r="D1117" s="64"/>
      <c r="E1117" s="65"/>
      <c r="F1117" s="66"/>
      <c r="G1117" s="63"/>
      <c r="H1117" s="67"/>
      <c r="I1117" s="68"/>
      <c r="J1117" s="68"/>
      <c r="K1117" s="32"/>
      <c r="L1117" s="75">
        <v>1117</v>
      </c>
      <c r="M1117" s="75"/>
      <c r="N1117" s="70"/>
      <c r="O1117" s="77" t="s">
        <v>179</v>
      </c>
      <c r="P1117" s="79">
        <v>45129.77065972222</v>
      </c>
      <c r="Q1117" s="77" t="s">
        <v>1900</v>
      </c>
      <c r="R1117" s="77">
        <v>1</v>
      </c>
      <c r="S1117" s="77">
        <v>3</v>
      </c>
      <c r="T1117" s="77">
        <v>0</v>
      </c>
      <c r="U1117" s="77">
        <v>0</v>
      </c>
      <c r="V1117" s="77">
        <v>18</v>
      </c>
      <c r="W1117" s="82" t="s">
        <v>5373</v>
      </c>
      <c r="X1117" s="80" t="str">
        <f>HYPERLINK("https://www.comlucro.com.br/obrigatorio-saber/barras-ou-velas-candlestick/")</f>
        <v>https://www.comlucro.com.br/obrigatorio-saber/barras-ou-velas-candlestick/</v>
      </c>
      <c r="Y1117" s="77" t="s">
        <v>6470</v>
      </c>
      <c r="Z1117" s="77"/>
      <c r="AA1117" s="77" t="s">
        <v>7234</v>
      </c>
      <c r="AB1117" s="77" t="s">
        <v>7742</v>
      </c>
      <c r="AC1117" s="82" t="s">
        <v>7750</v>
      </c>
      <c r="AD1117" s="77" t="s">
        <v>7788</v>
      </c>
      <c r="AE1117" s="80" t="str">
        <f>HYPERLINK("https://twitter.com/canalcomlucro/status/1682820239778631680")</f>
        <v>https://twitter.com/canalcomlucro/status/1682820239778631680</v>
      </c>
      <c r="AF1117" s="79">
        <v>45129.77065972222</v>
      </c>
      <c r="AG1117" s="85">
        <v>45129</v>
      </c>
      <c r="AH1117" s="82" t="s">
        <v>8761</v>
      </c>
      <c r="AI1117" s="77" t="b">
        <v>0</v>
      </c>
      <c r="AJ1117" s="77"/>
      <c r="AK1117" s="77"/>
      <c r="AL1117" s="77"/>
      <c r="AM1117" s="77"/>
      <c r="AN1117" s="77"/>
      <c r="AO1117" s="77"/>
      <c r="AP1117" s="77"/>
      <c r="AQ1117" s="77" t="s">
        <v>11206</v>
      </c>
      <c r="AR1117" s="77"/>
      <c r="AS1117" s="77"/>
      <c r="AT1117" s="77"/>
      <c r="AU1117" s="77"/>
      <c r="AV1117" s="80" t="str">
        <f>HYPERLINK("https://pbs.twimg.com/media/F1qUFSTWAAY4Itg.jpg")</f>
        <v>https://pbs.twimg.com/media/F1qUFSTWAAY4Itg.jpg</v>
      </c>
      <c r="AW1117" s="82" t="s">
        <v>12783</v>
      </c>
      <c r="AX1117" s="82" t="s">
        <v>12783</v>
      </c>
      <c r="AY1117" s="77"/>
      <c r="AZ1117" s="82" t="s">
        <v>15984</v>
      </c>
      <c r="BA1117" s="82" t="s">
        <v>15984</v>
      </c>
      <c r="BB1117" s="82" t="s">
        <v>15984</v>
      </c>
      <c r="BC1117" s="82" t="s">
        <v>12783</v>
      </c>
      <c r="BD1117" s="82" t="s">
        <v>16309</v>
      </c>
      <c r="BE1117" s="77"/>
      <c r="BF1117" s="77"/>
      <c r="BG1117" s="77"/>
      <c r="BH1117" s="77"/>
      <c r="BI1117" s="77"/>
    </row>
    <row r="1118" spans="1:61" x14ac:dyDescent="0.25">
      <c r="A1118" s="62" t="s">
        <v>583</v>
      </c>
      <c r="B1118" s="62" t="s">
        <v>583</v>
      </c>
      <c r="C1118" s="63"/>
      <c r="D1118" s="64"/>
      <c r="E1118" s="65"/>
      <c r="F1118" s="66"/>
      <c r="G1118" s="63"/>
      <c r="H1118" s="67"/>
      <c r="I1118" s="68"/>
      <c r="J1118" s="68"/>
      <c r="K1118" s="32"/>
      <c r="L1118" s="75">
        <v>1118</v>
      </c>
      <c r="M1118" s="75"/>
      <c r="N1118" s="70"/>
      <c r="O1118" s="77" t="s">
        <v>179</v>
      </c>
      <c r="P1118" s="79">
        <v>45129.768587962964</v>
      </c>
      <c r="Q1118" s="77" t="s">
        <v>1901</v>
      </c>
      <c r="R1118" s="77">
        <v>1</v>
      </c>
      <c r="S1118" s="77">
        <v>2</v>
      </c>
      <c r="T1118" s="77">
        <v>0</v>
      </c>
      <c r="U1118" s="77">
        <v>0</v>
      </c>
      <c r="V1118" s="77">
        <v>13</v>
      </c>
      <c r="W1118" s="82" t="s">
        <v>5374</v>
      </c>
      <c r="X1118" s="80" t="str">
        <f>HYPERLINK("https://www.comlucro.com.br/obrigatorio-saber/barras-ou-velas-candlestick/")</f>
        <v>https://www.comlucro.com.br/obrigatorio-saber/barras-ou-velas-candlestick/</v>
      </c>
      <c r="Y1118" s="77" t="s">
        <v>6470</v>
      </c>
      <c r="Z1118" s="77"/>
      <c r="AA1118" s="77" t="s">
        <v>7235</v>
      </c>
      <c r="AB1118" s="77" t="s">
        <v>7742</v>
      </c>
      <c r="AC1118" s="82" t="s">
        <v>7750</v>
      </c>
      <c r="AD1118" s="77" t="s">
        <v>7788</v>
      </c>
      <c r="AE1118" s="80" t="str">
        <f>HYPERLINK("https://twitter.com/canalcomlucro/status/1682819490680127488")</f>
        <v>https://twitter.com/canalcomlucro/status/1682819490680127488</v>
      </c>
      <c r="AF1118" s="79">
        <v>45129.768587962964</v>
      </c>
      <c r="AG1118" s="85">
        <v>45129</v>
      </c>
      <c r="AH1118" s="82" t="s">
        <v>8762</v>
      </c>
      <c r="AI1118" s="77" t="b">
        <v>0</v>
      </c>
      <c r="AJ1118" s="77"/>
      <c r="AK1118" s="77"/>
      <c r="AL1118" s="77"/>
      <c r="AM1118" s="77"/>
      <c r="AN1118" s="77"/>
      <c r="AO1118" s="77"/>
      <c r="AP1118" s="77"/>
      <c r="AQ1118" s="77" t="s">
        <v>11207</v>
      </c>
      <c r="AR1118" s="77"/>
      <c r="AS1118" s="77"/>
      <c r="AT1118" s="77"/>
      <c r="AU1118" s="77"/>
      <c r="AV1118" s="80" t="str">
        <f>HYPERLINK("https://pbs.twimg.com/media/F1qTYGRWcAAMU4T.jpg")</f>
        <v>https://pbs.twimg.com/media/F1qTYGRWcAAMU4T.jpg</v>
      </c>
      <c r="AW1118" s="82" t="s">
        <v>12784</v>
      </c>
      <c r="AX1118" s="82" t="s">
        <v>12784</v>
      </c>
      <c r="AY1118" s="77"/>
      <c r="AZ1118" s="82" t="s">
        <v>15984</v>
      </c>
      <c r="BA1118" s="82" t="s">
        <v>15984</v>
      </c>
      <c r="BB1118" s="82" t="s">
        <v>15984</v>
      </c>
      <c r="BC1118" s="82" t="s">
        <v>12784</v>
      </c>
      <c r="BD1118" s="82" t="s">
        <v>16309</v>
      </c>
      <c r="BE1118" s="77"/>
      <c r="BF1118" s="77"/>
      <c r="BG1118" s="77"/>
      <c r="BH1118" s="77"/>
      <c r="BI1118" s="77"/>
    </row>
    <row r="1119" spans="1:61" x14ac:dyDescent="0.25">
      <c r="A1119" s="62" t="s">
        <v>583</v>
      </c>
      <c r="B1119" s="62" t="s">
        <v>583</v>
      </c>
      <c r="C1119" s="63"/>
      <c r="D1119" s="64"/>
      <c r="E1119" s="65"/>
      <c r="F1119" s="66"/>
      <c r="G1119" s="63"/>
      <c r="H1119" s="67"/>
      <c r="I1119" s="68"/>
      <c r="J1119" s="68"/>
      <c r="K1119" s="32"/>
      <c r="L1119" s="75">
        <v>1119</v>
      </c>
      <c r="M1119" s="75"/>
      <c r="N1119" s="70"/>
      <c r="O1119" s="77" t="s">
        <v>179</v>
      </c>
      <c r="P1119" s="79">
        <v>45129.685613425929</v>
      </c>
      <c r="Q1119" s="77" t="s">
        <v>1902</v>
      </c>
      <c r="R1119" s="77">
        <v>1</v>
      </c>
      <c r="S1119" s="77">
        <v>2</v>
      </c>
      <c r="T1119" s="77">
        <v>0</v>
      </c>
      <c r="U1119" s="77">
        <v>0</v>
      </c>
      <c r="V1119" s="77">
        <v>16</v>
      </c>
      <c r="W1119" s="82" t="s">
        <v>5373</v>
      </c>
      <c r="X1119" s="80" t="str">
        <f>HYPERLINK("https://www.comlucro.com.br/obrigatorio-saber/barras-ou-velas-candlestick/")</f>
        <v>https://www.comlucro.com.br/obrigatorio-saber/barras-ou-velas-candlestick/</v>
      </c>
      <c r="Y1119" s="77" t="s">
        <v>6470</v>
      </c>
      <c r="Z1119" s="77"/>
      <c r="AA1119" s="77" t="s">
        <v>7236</v>
      </c>
      <c r="AB1119" s="77" t="s">
        <v>7742</v>
      </c>
      <c r="AC1119" s="82" t="s">
        <v>7750</v>
      </c>
      <c r="AD1119" s="77" t="s">
        <v>7788</v>
      </c>
      <c r="AE1119" s="80" t="str">
        <f>HYPERLINK("https://twitter.com/canalcomlucro/status/1682789423430107138")</f>
        <v>https://twitter.com/canalcomlucro/status/1682789423430107138</v>
      </c>
      <c r="AF1119" s="79">
        <v>45129.685613425929</v>
      </c>
      <c r="AG1119" s="85">
        <v>45129</v>
      </c>
      <c r="AH1119" s="82" t="s">
        <v>8763</v>
      </c>
      <c r="AI1119" s="77" t="b">
        <v>0</v>
      </c>
      <c r="AJ1119" s="77"/>
      <c r="AK1119" s="77"/>
      <c r="AL1119" s="77"/>
      <c r="AM1119" s="77"/>
      <c r="AN1119" s="77"/>
      <c r="AO1119" s="77"/>
      <c r="AP1119" s="77"/>
      <c r="AQ1119" s="77" t="s">
        <v>11208</v>
      </c>
      <c r="AR1119" s="77"/>
      <c r="AS1119" s="77"/>
      <c r="AT1119" s="77"/>
      <c r="AU1119" s="77"/>
      <c r="AV1119" s="80" t="str">
        <f>HYPERLINK("https://pbs.twimg.com/media/F1p4DwMXoAMO-b_.jpg")</f>
        <v>https://pbs.twimg.com/media/F1p4DwMXoAMO-b_.jpg</v>
      </c>
      <c r="AW1119" s="82" t="s">
        <v>12785</v>
      </c>
      <c r="AX1119" s="82" t="s">
        <v>12785</v>
      </c>
      <c r="AY1119" s="77"/>
      <c r="AZ1119" s="82" t="s">
        <v>15984</v>
      </c>
      <c r="BA1119" s="82" t="s">
        <v>15984</v>
      </c>
      <c r="BB1119" s="82" t="s">
        <v>15984</v>
      </c>
      <c r="BC1119" s="82" t="s">
        <v>12785</v>
      </c>
      <c r="BD1119" s="82" t="s">
        <v>16309</v>
      </c>
      <c r="BE1119" s="77"/>
      <c r="BF1119" s="77"/>
      <c r="BG1119" s="77"/>
      <c r="BH1119" s="77"/>
      <c r="BI1119" s="77"/>
    </row>
    <row r="1120" spans="1:61" x14ac:dyDescent="0.25">
      <c r="A1120" s="62" t="s">
        <v>583</v>
      </c>
      <c r="B1120" s="62" t="s">
        <v>583</v>
      </c>
      <c r="C1120" s="63"/>
      <c r="D1120" s="64"/>
      <c r="E1120" s="65"/>
      <c r="F1120" s="66"/>
      <c r="G1120" s="63"/>
      <c r="H1120" s="67"/>
      <c r="I1120" s="68"/>
      <c r="J1120" s="68"/>
      <c r="K1120" s="32"/>
      <c r="L1120" s="75">
        <v>1120</v>
      </c>
      <c r="M1120" s="75"/>
      <c r="N1120" s="70"/>
      <c r="O1120" s="77" t="s">
        <v>179</v>
      </c>
      <c r="P1120" s="79">
        <v>45129.685069444444</v>
      </c>
      <c r="Q1120" s="77" t="s">
        <v>1903</v>
      </c>
      <c r="R1120" s="77">
        <v>1</v>
      </c>
      <c r="S1120" s="77">
        <v>2</v>
      </c>
      <c r="T1120" s="77">
        <v>0</v>
      </c>
      <c r="U1120" s="77">
        <v>0</v>
      </c>
      <c r="V1120" s="77">
        <v>14</v>
      </c>
      <c r="W1120" s="82" t="s">
        <v>5373</v>
      </c>
      <c r="X1120" s="80" t="str">
        <f>HYPERLINK("https://www.comlucro.com.br/obrigatorio-saber/barras-ou-velas-candlestick/")</f>
        <v>https://www.comlucro.com.br/obrigatorio-saber/barras-ou-velas-candlestick/</v>
      </c>
      <c r="Y1120" s="77" t="s">
        <v>6470</v>
      </c>
      <c r="Z1120" s="77"/>
      <c r="AA1120" s="77" t="s">
        <v>7237</v>
      </c>
      <c r="AB1120" s="77" t="s">
        <v>7742</v>
      </c>
      <c r="AC1120" s="82" t="s">
        <v>7750</v>
      </c>
      <c r="AD1120" s="77" t="s">
        <v>7788</v>
      </c>
      <c r="AE1120" s="80" t="str">
        <f>HYPERLINK("https://twitter.com/canalcomlucro/status/1682789224343322625")</f>
        <v>https://twitter.com/canalcomlucro/status/1682789224343322625</v>
      </c>
      <c r="AF1120" s="79">
        <v>45129.685069444444</v>
      </c>
      <c r="AG1120" s="85">
        <v>45129</v>
      </c>
      <c r="AH1120" s="82" t="s">
        <v>8764</v>
      </c>
      <c r="AI1120" s="77" t="b">
        <v>0</v>
      </c>
      <c r="AJ1120" s="77"/>
      <c r="AK1120" s="77"/>
      <c r="AL1120" s="77"/>
      <c r="AM1120" s="77"/>
      <c r="AN1120" s="77"/>
      <c r="AO1120" s="77"/>
      <c r="AP1120" s="77"/>
      <c r="AQ1120" s="77" t="s">
        <v>11209</v>
      </c>
      <c r="AR1120" s="77"/>
      <c r="AS1120" s="77"/>
      <c r="AT1120" s="77"/>
      <c r="AU1120" s="77"/>
      <c r="AV1120" s="80" t="str">
        <f>HYPERLINK("https://pbs.twimg.com/media/F1p318cXoAAs9IC.jpg")</f>
        <v>https://pbs.twimg.com/media/F1p318cXoAAs9IC.jpg</v>
      </c>
      <c r="AW1120" s="82" t="s">
        <v>12786</v>
      </c>
      <c r="AX1120" s="82" t="s">
        <v>12786</v>
      </c>
      <c r="AY1120" s="77"/>
      <c r="AZ1120" s="82" t="s">
        <v>15984</v>
      </c>
      <c r="BA1120" s="82" t="s">
        <v>15984</v>
      </c>
      <c r="BB1120" s="82" t="s">
        <v>15984</v>
      </c>
      <c r="BC1120" s="82" t="s">
        <v>12786</v>
      </c>
      <c r="BD1120" s="82" t="s">
        <v>16309</v>
      </c>
      <c r="BE1120" s="77"/>
      <c r="BF1120" s="77"/>
      <c r="BG1120" s="77"/>
      <c r="BH1120" s="77"/>
      <c r="BI1120" s="77"/>
    </row>
    <row r="1121" spans="1:61" x14ac:dyDescent="0.25">
      <c r="A1121" s="62" t="s">
        <v>583</v>
      </c>
      <c r="B1121" s="62" t="s">
        <v>583</v>
      </c>
      <c r="C1121" s="63"/>
      <c r="D1121" s="64"/>
      <c r="E1121" s="65"/>
      <c r="F1121" s="66"/>
      <c r="G1121" s="63"/>
      <c r="H1121" s="67"/>
      <c r="I1121" s="68"/>
      <c r="J1121" s="68"/>
      <c r="K1121" s="32"/>
      <c r="L1121" s="75">
        <v>1121</v>
      </c>
      <c r="M1121" s="75"/>
      <c r="N1121" s="70"/>
      <c r="O1121" s="77" t="s">
        <v>179</v>
      </c>
      <c r="P1121" s="79">
        <v>45129.684444444443</v>
      </c>
      <c r="Q1121" s="77" t="s">
        <v>1904</v>
      </c>
      <c r="R1121" s="77">
        <v>1</v>
      </c>
      <c r="S1121" s="77">
        <v>2</v>
      </c>
      <c r="T1121" s="77">
        <v>0</v>
      </c>
      <c r="U1121" s="77">
        <v>0</v>
      </c>
      <c r="V1121" s="77">
        <v>12</v>
      </c>
      <c r="W1121" s="82" t="s">
        <v>5373</v>
      </c>
      <c r="X1121" s="80" t="str">
        <f>HYPERLINK("https://www.comlucro.com.br/obrigatorio-saber/barras-ou-velas-candlestick/")</f>
        <v>https://www.comlucro.com.br/obrigatorio-saber/barras-ou-velas-candlestick/</v>
      </c>
      <c r="Y1121" s="77" t="s">
        <v>6470</v>
      </c>
      <c r="Z1121" s="77"/>
      <c r="AA1121" s="77" t="s">
        <v>7238</v>
      </c>
      <c r="AB1121" s="77" t="s">
        <v>7742</v>
      </c>
      <c r="AC1121" s="82" t="s">
        <v>7750</v>
      </c>
      <c r="AD1121" s="77" t="s">
        <v>7788</v>
      </c>
      <c r="AE1121" s="80" t="str">
        <f>HYPERLINK("https://twitter.com/canalcomlucro/status/1682788997859270656")</f>
        <v>https://twitter.com/canalcomlucro/status/1682788997859270656</v>
      </c>
      <c r="AF1121" s="79">
        <v>45129.684444444443</v>
      </c>
      <c r="AG1121" s="85">
        <v>45129</v>
      </c>
      <c r="AH1121" s="82" t="s">
        <v>8765</v>
      </c>
      <c r="AI1121" s="77" t="b">
        <v>0</v>
      </c>
      <c r="AJ1121" s="77"/>
      <c r="AK1121" s="77"/>
      <c r="AL1121" s="77"/>
      <c r="AM1121" s="77"/>
      <c r="AN1121" s="77"/>
      <c r="AO1121" s="77"/>
      <c r="AP1121" s="77"/>
      <c r="AQ1121" s="77" t="s">
        <v>11210</v>
      </c>
      <c r="AR1121" s="77"/>
      <c r="AS1121" s="77"/>
      <c r="AT1121" s="77"/>
      <c r="AU1121" s="77"/>
      <c r="AV1121" s="80" t="str">
        <f>HYPERLINK("https://pbs.twimg.com/media/F1p3nzOWwAAL98B.jpg")</f>
        <v>https://pbs.twimg.com/media/F1p3nzOWwAAL98B.jpg</v>
      </c>
      <c r="AW1121" s="82" t="s">
        <v>12787</v>
      </c>
      <c r="AX1121" s="82" t="s">
        <v>12787</v>
      </c>
      <c r="AY1121" s="77"/>
      <c r="AZ1121" s="82" t="s">
        <v>15984</v>
      </c>
      <c r="BA1121" s="82" t="s">
        <v>15984</v>
      </c>
      <c r="BB1121" s="82" t="s">
        <v>15984</v>
      </c>
      <c r="BC1121" s="82" t="s">
        <v>12787</v>
      </c>
      <c r="BD1121" s="82" t="s">
        <v>16309</v>
      </c>
      <c r="BE1121" s="77"/>
      <c r="BF1121" s="77"/>
      <c r="BG1121" s="77"/>
      <c r="BH1121" s="77"/>
      <c r="BI1121" s="77"/>
    </row>
    <row r="1122" spans="1:61" x14ac:dyDescent="0.25">
      <c r="A1122" s="62" t="s">
        <v>583</v>
      </c>
      <c r="B1122" s="62" t="s">
        <v>583</v>
      </c>
      <c r="C1122" s="63"/>
      <c r="D1122" s="64"/>
      <c r="E1122" s="65"/>
      <c r="F1122" s="66"/>
      <c r="G1122" s="63"/>
      <c r="H1122" s="67"/>
      <c r="I1122" s="68"/>
      <c r="J1122" s="68"/>
      <c r="K1122" s="32"/>
      <c r="L1122" s="75">
        <v>1122</v>
      </c>
      <c r="M1122" s="75"/>
      <c r="N1122" s="70"/>
      <c r="O1122" s="77" t="s">
        <v>179</v>
      </c>
      <c r="P1122" s="79">
        <v>45129.68346064815</v>
      </c>
      <c r="Q1122" s="77" t="s">
        <v>1905</v>
      </c>
      <c r="R1122" s="77">
        <v>1</v>
      </c>
      <c r="S1122" s="77">
        <v>2</v>
      </c>
      <c r="T1122" s="77">
        <v>0</v>
      </c>
      <c r="U1122" s="77">
        <v>0</v>
      </c>
      <c r="V1122" s="77">
        <v>12</v>
      </c>
      <c r="W1122" s="82" t="s">
        <v>5373</v>
      </c>
      <c r="X1122" s="80" t="str">
        <f>HYPERLINK("https://www.comlucro.com.br/obrigatorio-saber/barras-ou-velas-candlestick/")</f>
        <v>https://www.comlucro.com.br/obrigatorio-saber/barras-ou-velas-candlestick/</v>
      </c>
      <c r="Y1122" s="77" t="s">
        <v>6470</v>
      </c>
      <c r="Z1122" s="77"/>
      <c r="AA1122" s="77" t="s">
        <v>7239</v>
      </c>
      <c r="AB1122" s="77" t="s">
        <v>7742</v>
      </c>
      <c r="AC1122" s="82" t="s">
        <v>7750</v>
      </c>
      <c r="AD1122" s="77" t="s">
        <v>7788</v>
      </c>
      <c r="AE1122" s="80" t="str">
        <f>HYPERLINK("https://twitter.com/canalcomlucro/status/1682788642505228288")</f>
        <v>https://twitter.com/canalcomlucro/status/1682788642505228288</v>
      </c>
      <c r="AF1122" s="79">
        <v>45129.68346064815</v>
      </c>
      <c r="AG1122" s="85">
        <v>45129</v>
      </c>
      <c r="AH1122" s="82" t="s">
        <v>8766</v>
      </c>
      <c r="AI1122" s="77" t="b">
        <v>0</v>
      </c>
      <c r="AJ1122" s="77"/>
      <c r="AK1122" s="77"/>
      <c r="AL1122" s="77"/>
      <c r="AM1122" s="77"/>
      <c r="AN1122" s="77"/>
      <c r="AO1122" s="77"/>
      <c r="AP1122" s="77"/>
      <c r="AQ1122" s="77" t="s">
        <v>11211</v>
      </c>
      <c r="AR1122" s="77"/>
      <c r="AS1122" s="77"/>
      <c r="AT1122" s="77"/>
      <c r="AU1122" s="77"/>
      <c r="AV1122" s="80" t="str">
        <f>HYPERLINK("https://pbs.twimg.com/media/F1p3PF5XgAU-02C.jpg")</f>
        <v>https://pbs.twimg.com/media/F1p3PF5XgAU-02C.jpg</v>
      </c>
      <c r="AW1122" s="82" t="s">
        <v>12788</v>
      </c>
      <c r="AX1122" s="82" t="s">
        <v>12788</v>
      </c>
      <c r="AY1122" s="77"/>
      <c r="AZ1122" s="82" t="s">
        <v>15984</v>
      </c>
      <c r="BA1122" s="82" t="s">
        <v>15984</v>
      </c>
      <c r="BB1122" s="82" t="s">
        <v>15984</v>
      </c>
      <c r="BC1122" s="82" t="s">
        <v>12788</v>
      </c>
      <c r="BD1122" s="82" t="s">
        <v>16309</v>
      </c>
      <c r="BE1122" s="77"/>
      <c r="BF1122" s="77"/>
      <c r="BG1122" s="77"/>
      <c r="BH1122" s="77"/>
      <c r="BI1122" s="77"/>
    </row>
    <row r="1123" spans="1:61" x14ac:dyDescent="0.25">
      <c r="A1123" s="62" t="s">
        <v>583</v>
      </c>
      <c r="B1123" s="62" t="s">
        <v>583</v>
      </c>
      <c r="C1123" s="63"/>
      <c r="D1123" s="64"/>
      <c r="E1123" s="65"/>
      <c r="F1123" s="66"/>
      <c r="G1123" s="63"/>
      <c r="H1123" s="67"/>
      <c r="I1123" s="68"/>
      <c r="J1123" s="68"/>
      <c r="K1123" s="32"/>
      <c r="L1123" s="75">
        <v>1123</v>
      </c>
      <c r="M1123" s="75"/>
      <c r="N1123" s="70"/>
      <c r="O1123" s="77" t="s">
        <v>179</v>
      </c>
      <c r="P1123" s="79">
        <v>45129.68277777778</v>
      </c>
      <c r="Q1123" s="77" t="s">
        <v>1906</v>
      </c>
      <c r="R1123" s="77">
        <v>1</v>
      </c>
      <c r="S1123" s="77">
        <v>2</v>
      </c>
      <c r="T1123" s="77">
        <v>0</v>
      </c>
      <c r="U1123" s="77">
        <v>0</v>
      </c>
      <c r="V1123" s="77">
        <v>10</v>
      </c>
      <c r="W1123" s="82" t="s">
        <v>5373</v>
      </c>
      <c r="X1123" s="80" t="str">
        <f>HYPERLINK("https://www.comlucro.com.br/obrigatorio-saber/barras-ou-velas-candlestick/")</f>
        <v>https://www.comlucro.com.br/obrigatorio-saber/barras-ou-velas-candlestick/</v>
      </c>
      <c r="Y1123" s="77" t="s">
        <v>6470</v>
      </c>
      <c r="Z1123" s="77"/>
      <c r="AA1123" s="77" t="s">
        <v>7240</v>
      </c>
      <c r="AB1123" s="77" t="s">
        <v>7742</v>
      </c>
      <c r="AC1123" s="82" t="s">
        <v>7750</v>
      </c>
      <c r="AD1123" s="77" t="s">
        <v>7788</v>
      </c>
      <c r="AE1123" s="80" t="str">
        <f>HYPERLINK("https://twitter.com/canalcomlucro/status/1682788394286366723")</f>
        <v>https://twitter.com/canalcomlucro/status/1682788394286366723</v>
      </c>
      <c r="AF1123" s="79">
        <v>45129.68277777778</v>
      </c>
      <c r="AG1123" s="85">
        <v>45129</v>
      </c>
      <c r="AH1123" s="82" t="s">
        <v>8767</v>
      </c>
      <c r="AI1123" s="77" t="b">
        <v>0</v>
      </c>
      <c r="AJ1123" s="77"/>
      <c r="AK1123" s="77"/>
      <c r="AL1123" s="77"/>
      <c r="AM1123" s="77"/>
      <c r="AN1123" s="77"/>
      <c r="AO1123" s="77"/>
      <c r="AP1123" s="77"/>
      <c r="AQ1123" s="77" t="s">
        <v>11212</v>
      </c>
      <c r="AR1123" s="77"/>
      <c r="AS1123" s="77"/>
      <c r="AT1123" s="77"/>
      <c r="AU1123" s="77"/>
      <c r="AV1123" s="80" t="str">
        <f>HYPERLINK("https://pbs.twimg.com/media/F1p3EOnXgAEzv8N.jpg")</f>
        <v>https://pbs.twimg.com/media/F1p3EOnXgAEzv8N.jpg</v>
      </c>
      <c r="AW1123" s="82" t="s">
        <v>12789</v>
      </c>
      <c r="AX1123" s="82" t="s">
        <v>12789</v>
      </c>
      <c r="AY1123" s="77"/>
      <c r="AZ1123" s="82" t="s">
        <v>15984</v>
      </c>
      <c r="BA1123" s="82" t="s">
        <v>15984</v>
      </c>
      <c r="BB1123" s="82" t="s">
        <v>15984</v>
      </c>
      <c r="BC1123" s="82" t="s">
        <v>12789</v>
      </c>
      <c r="BD1123" s="82" t="s">
        <v>16309</v>
      </c>
      <c r="BE1123" s="77"/>
      <c r="BF1123" s="77"/>
      <c r="BG1123" s="77"/>
      <c r="BH1123" s="77"/>
      <c r="BI1123" s="77"/>
    </row>
    <row r="1124" spans="1:61" x14ac:dyDescent="0.25">
      <c r="A1124" s="62" t="s">
        <v>583</v>
      </c>
      <c r="B1124" s="62" t="s">
        <v>583</v>
      </c>
      <c r="C1124" s="63"/>
      <c r="D1124" s="64"/>
      <c r="E1124" s="65"/>
      <c r="F1124" s="66"/>
      <c r="G1124" s="63"/>
      <c r="H1124" s="67"/>
      <c r="I1124" s="68"/>
      <c r="J1124" s="68"/>
      <c r="K1124" s="32"/>
      <c r="L1124" s="75">
        <v>1124</v>
      </c>
      <c r="M1124" s="75"/>
      <c r="N1124" s="70"/>
      <c r="O1124" s="77" t="s">
        <v>179</v>
      </c>
      <c r="P1124" s="79">
        <v>45129.681990740741</v>
      </c>
      <c r="Q1124" s="77" t="s">
        <v>1907</v>
      </c>
      <c r="R1124" s="77">
        <v>1</v>
      </c>
      <c r="S1124" s="77">
        <v>2</v>
      </c>
      <c r="T1124" s="77">
        <v>0</v>
      </c>
      <c r="U1124" s="77">
        <v>0</v>
      </c>
      <c r="V1124" s="77">
        <v>10</v>
      </c>
      <c r="W1124" s="82" t="s">
        <v>5373</v>
      </c>
      <c r="X1124" s="80" t="str">
        <f>HYPERLINK("https://www.comlucro.com.br/obrigatorio-saber/barras-ou-velas-candlestick/")</f>
        <v>https://www.comlucro.com.br/obrigatorio-saber/barras-ou-velas-candlestick/</v>
      </c>
      <c r="Y1124" s="77" t="s">
        <v>6470</v>
      </c>
      <c r="Z1124" s="77"/>
      <c r="AA1124" s="77" t="s">
        <v>7241</v>
      </c>
      <c r="AB1124" s="77" t="s">
        <v>7742</v>
      </c>
      <c r="AC1124" s="82" t="s">
        <v>7750</v>
      </c>
      <c r="AD1124" s="77" t="s">
        <v>7788</v>
      </c>
      <c r="AE1124" s="80" t="str">
        <f>HYPERLINK("https://twitter.com/canalcomlucro/status/1682788110495629312")</f>
        <v>https://twitter.com/canalcomlucro/status/1682788110495629312</v>
      </c>
      <c r="AF1124" s="79">
        <v>45129.681990740741</v>
      </c>
      <c r="AG1124" s="85">
        <v>45129</v>
      </c>
      <c r="AH1124" s="82" t="s">
        <v>8768</v>
      </c>
      <c r="AI1124" s="77" t="b">
        <v>0</v>
      </c>
      <c r="AJ1124" s="77"/>
      <c r="AK1124" s="77"/>
      <c r="AL1124" s="77"/>
      <c r="AM1124" s="77"/>
      <c r="AN1124" s="77"/>
      <c r="AO1124" s="77"/>
      <c r="AP1124" s="77"/>
      <c r="AQ1124" s="77" t="s">
        <v>11213</v>
      </c>
      <c r="AR1124" s="77"/>
      <c r="AS1124" s="77"/>
      <c r="AT1124" s="77"/>
      <c r="AU1124" s="77"/>
      <c r="AV1124" s="80" t="str">
        <f>HYPERLINK("https://pbs.twimg.com/media/F1p22_hXgAAvmlv.jpg")</f>
        <v>https://pbs.twimg.com/media/F1p22_hXgAAvmlv.jpg</v>
      </c>
      <c r="AW1124" s="82" t="s">
        <v>12790</v>
      </c>
      <c r="AX1124" s="82" t="s">
        <v>12790</v>
      </c>
      <c r="AY1124" s="77"/>
      <c r="AZ1124" s="82" t="s">
        <v>15984</v>
      </c>
      <c r="BA1124" s="82" t="s">
        <v>15984</v>
      </c>
      <c r="BB1124" s="82" t="s">
        <v>15984</v>
      </c>
      <c r="BC1124" s="82" t="s">
        <v>12790</v>
      </c>
      <c r="BD1124" s="82" t="s">
        <v>16309</v>
      </c>
      <c r="BE1124" s="77"/>
      <c r="BF1124" s="77"/>
      <c r="BG1124" s="77"/>
      <c r="BH1124" s="77"/>
      <c r="BI1124" s="77"/>
    </row>
    <row r="1125" spans="1:61" x14ac:dyDescent="0.25">
      <c r="A1125" s="62" t="s">
        <v>583</v>
      </c>
      <c r="B1125" s="62" t="s">
        <v>583</v>
      </c>
      <c r="C1125" s="63"/>
      <c r="D1125" s="64"/>
      <c r="E1125" s="65"/>
      <c r="F1125" s="66"/>
      <c r="G1125" s="63"/>
      <c r="H1125" s="67"/>
      <c r="I1125" s="68"/>
      <c r="J1125" s="68"/>
      <c r="K1125" s="32"/>
      <c r="L1125" s="75">
        <v>1125</v>
      </c>
      <c r="M1125" s="75"/>
      <c r="N1125" s="70"/>
      <c r="O1125" s="77" t="s">
        <v>179</v>
      </c>
      <c r="P1125" s="79">
        <v>45119.599374999998</v>
      </c>
      <c r="Q1125" s="77" t="s">
        <v>1908</v>
      </c>
      <c r="R1125" s="77">
        <v>1</v>
      </c>
      <c r="S1125" s="77">
        <v>2</v>
      </c>
      <c r="T1125" s="77">
        <v>0</v>
      </c>
      <c r="U1125" s="77">
        <v>0</v>
      </c>
      <c r="V1125" s="77">
        <v>14</v>
      </c>
      <c r="W1125" s="82" t="s">
        <v>5375</v>
      </c>
      <c r="X1125" s="80" t="str">
        <f>HYPERLINK("https://www.comlucro.com.br/ferramentas/profit-da-nelogica-uma-ferramenta-essencial-para-traders/")</f>
        <v>https://www.comlucro.com.br/ferramentas/profit-da-nelogica-uma-ferramenta-essencial-para-traders/</v>
      </c>
      <c r="Y1125" s="77" t="s">
        <v>6470</v>
      </c>
      <c r="Z1125" s="77"/>
      <c r="AA1125" s="77" t="s">
        <v>7242</v>
      </c>
      <c r="AB1125" s="77" t="s">
        <v>7742</v>
      </c>
      <c r="AC1125" s="82" t="s">
        <v>7750</v>
      </c>
      <c r="AD1125" s="77" t="s">
        <v>7791</v>
      </c>
      <c r="AE1125" s="80" t="str">
        <f>HYPERLINK("https://twitter.com/canalcomlucro/status/1679134290972405760")</f>
        <v>https://twitter.com/canalcomlucro/status/1679134290972405760</v>
      </c>
      <c r="AF1125" s="79">
        <v>45119.599374999998</v>
      </c>
      <c r="AG1125" s="85">
        <v>45119</v>
      </c>
      <c r="AH1125" s="82" t="s">
        <v>8769</v>
      </c>
      <c r="AI1125" s="77" t="b">
        <v>0</v>
      </c>
      <c r="AJ1125" s="77"/>
      <c r="AK1125" s="77"/>
      <c r="AL1125" s="77"/>
      <c r="AM1125" s="77"/>
      <c r="AN1125" s="77"/>
      <c r="AO1125" s="77"/>
      <c r="AP1125" s="77"/>
      <c r="AQ1125" s="77" t="s">
        <v>11214</v>
      </c>
      <c r="AR1125" s="77"/>
      <c r="AS1125" s="77"/>
      <c r="AT1125" s="77"/>
      <c r="AU1125" s="77"/>
      <c r="AV1125" s="80" t="str">
        <f>HYPERLINK("https://pbs.twimg.com/media/F017sJUXoAMI0Ty.jpg")</f>
        <v>https://pbs.twimg.com/media/F017sJUXoAMI0Ty.jpg</v>
      </c>
      <c r="AW1125" s="82" t="s">
        <v>12791</v>
      </c>
      <c r="AX1125" s="82" t="s">
        <v>12791</v>
      </c>
      <c r="AY1125" s="77"/>
      <c r="AZ1125" s="82" t="s">
        <v>15984</v>
      </c>
      <c r="BA1125" s="82" t="s">
        <v>15984</v>
      </c>
      <c r="BB1125" s="82" t="s">
        <v>15984</v>
      </c>
      <c r="BC1125" s="82" t="s">
        <v>12791</v>
      </c>
      <c r="BD1125" s="82" t="s">
        <v>16309</v>
      </c>
      <c r="BE1125" s="77"/>
      <c r="BF1125" s="77"/>
      <c r="BG1125" s="77"/>
      <c r="BH1125" s="77"/>
      <c r="BI1125" s="77"/>
    </row>
    <row r="1126" spans="1:61" x14ac:dyDescent="0.25">
      <c r="A1126" s="62" t="s">
        <v>583</v>
      </c>
      <c r="B1126" s="62" t="s">
        <v>583</v>
      </c>
      <c r="C1126" s="63"/>
      <c r="D1126" s="64"/>
      <c r="E1126" s="65"/>
      <c r="F1126" s="66"/>
      <c r="G1126" s="63"/>
      <c r="H1126" s="67"/>
      <c r="I1126" s="68"/>
      <c r="J1126" s="68"/>
      <c r="K1126" s="32"/>
      <c r="L1126" s="75">
        <v>1126</v>
      </c>
      <c r="M1126" s="75"/>
      <c r="N1126" s="70"/>
      <c r="O1126" s="77" t="s">
        <v>179</v>
      </c>
      <c r="P1126" s="79">
        <v>45119.598761574074</v>
      </c>
      <c r="Q1126" s="77" t="s">
        <v>1909</v>
      </c>
      <c r="R1126" s="77">
        <v>1</v>
      </c>
      <c r="S1126" s="77">
        <v>2</v>
      </c>
      <c r="T1126" s="77">
        <v>0</v>
      </c>
      <c r="U1126" s="77">
        <v>0</v>
      </c>
      <c r="V1126" s="77">
        <v>12</v>
      </c>
      <c r="W1126" s="82" t="s">
        <v>5376</v>
      </c>
      <c r="X1126" s="80" t="str">
        <f>HYPERLINK("https://www.comlucro.com.br/como-configurar-o-gerenciamento-de-risco-no-profit-da-nelogica/")</f>
        <v>https://www.comlucro.com.br/como-configurar-o-gerenciamento-de-risco-no-profit-da-nelogica/</v>
      </c>
      <c r="Y1126" s="77" t="s">
        <v>6470</v>
      </c>
      <c r="Z1126" s="77"/>
      <c r="AA1126" s="77" t="s">
        <v>7243</v>
      </c>
      <c r="AB1126" s="77" t="s">
        <v>7742</v>
      </c>
      <c r="AC1126" s="82" t="s">
        <v>7750</v>
      </c>
      <c r="AD1126" s="77" t="s">
        <v>7791</v>
      </c>
      <c r="AE1126" s="80" t="str">
        <f>HYPERLINK("https://twitter.com/canalcomlucro/status/1679134069672558600")</f>
        <v>https://twitter.com/canalcomlucro/status/1679134069672558600</v>
      </c>
      <c r="AF1126" s="79">
        <v>45119.598761574074</v>
      </c>
      <c r="AG1126" s="85">
        <v>45119</v>
      </c>
      <c r="AH1126" s="82" t="s">
        <v>8770</v>
      </c>
      <c r="AI1126" s="77" t="b">
        <v>0</v>
      </c>
      <c r="AJ1126" s="77"/>
      <c r="AK1126" s="77"/>
      <c r="AL1126" s="77"/>
      <c r="AM1126" s="77"/>
      <c r="AN1126" s="77"/>
      <c r="AO1126" s="77"/>
      <c r="AP1126" s="77"/>
      <c r="AQ1126" s="77" t="s">
        <v>11215</v>
      </c>
      <c r="AR1126" s="77"/>
      <c r="AS1126" s="77"/>
      <c r="AT1126" s="77"/>
      <c r="AU1126" s="77"/>
      <c r="AV1126" s="80" t="str">
        <f>HYPERLINK("https://pbs.twimg.com/media/F017h_JXoAES8KX.jpg")</f>
        <v>https://pbs.twimg.com/media/F017h_JXoAES8KX.jpg</v>
      </c>
      <c r="AW1126" s="82" t="s">
        <v>12792</v>
      </c>
      <c r="AX1126" s="82" t="s">
        <v>12792</v>
      </c>
      <c r="AY1126" s="77"/>
      <c r="AZ1126" s="82" t="s">
        <v>15984</v>
      </c>
      <c r="BA1126" s="82" t="s">
        <v>15984</v>
      </c>
      <c r="BB1126" s="82" t="s">
        <v>15984</v>
      </c>
      <c r="BC1126" s="82" t="s">
        <v>12792</v>
      </c>
      <c r="BD1126" s="82" t="s">
        <v>16309</v>
      </c>
      <c r="BE1126" s="77"/>
      <c r="BF1126" s="77"/>
      <c r="BG1126" s="77"/>
      <c r="BH1126" s="77"/>
      <c r="BI1126" s="77"/>
    </row>
    <row r="1127" spans="1:61" x14ac:dyDescent="0.25">
      <c r="A1127" s="62" t="s">
        <v>583</v>
      </c>
      <c r="B1127" s="62" t="s">
        <v>583</v>
      </c>
      <c r="C1127" s="63"/>
      <c r="D1127" s="64"/>
      <c r="E1127" s="65"/>
      <c r="F1127" s="66"/>
      <c r="G1127" s="63"/>
      <c r="H1127" s="67"/>
      <c r="I1127" s="68"/>
      <c r="J1127" s="68"/>
      <c r="K1127" s="32"/>
      <c r="L1127" s="75">
        <v>1127</v>
      </c>
      <c r="M1127" s="75"/>
      <c r="N1127" s="70"/>
      <c r="O1127" s="77" t="s">
        <v>179</v>
      </c>
      <c r="P1127" s="79">
        <v>45133.787187499998</v>
      </c>
      <c r="Q1127" s="77" t="s">
        <v>1910</v>
      </c>
      <c r="R1127" s="77">
        <v>1</v>
      </c>
      <c r="S1127" s="77">
        <v>4</v>
      </c>
      <c r="T1127" s="77">
        <v>0</v>
      </c>
      <c r="U1127" s="77">
        <v>0</v>
      </c>
      <c r="V1127" s="77">
        <v>10</v>
      </c>
      <c r="W1127" s="82" t="s">
        <v>5377</v>
      </c>
      <c r="X1127" s="80" t="str">
        <f>HYPERLINK("https://www.comlucro.com.br/analise-tecnica/barras-ou-velas-candlestick/")</f>
        <v>https://www.comlucro.com.br/analise-tecnica/barras-ou-velas-candlestick/</v>
      </c>
      <c r="Y1127" s="77" t="s">
        <v>6470</v>
      </c>
      <c r="Z1127" s="77"/>
      <c r="AA1127" s="77" t="s">
        <v>7244</v>
      </c>
      <c r="AB1127" s="77" t="s">
        <v>7742</v>
      </c>
      <c r="AC1127" s="82" t="s">
        <v>7750</v>
      </c>
      <c r="AD1127" s="77" t="s">
        <v>7791</v>
      </c>
      <c r="AE1127" s="80" t="str">
        <f>HYPERLINK("https://twitter.com/canalcomlucro/status/1684275780635750400")</f>
        <v>https://twitter.com/canalcomlucro/status/1684275780635750400</v>
      </c>
      <c r="AF1127" s="79">
        <v>45133.787187499998</v>
      </c>
      <c r="AG1127" s="85">
        <v>45133</v>
      </c>
      <c r="AH1127" s="82" t="s">
        <v>8771</v>
      </c>
      <c r="AI1127" s="77" t="b">
        <v>0</v>
      </c>
      <c r="AJ1127" s="77"/>
      <c r="AK1127" s="77"/>
      <c r="AL1127" s="77"/>
      <c r="AM1127" s="77"/>
      <c r="AN1127" s="77"/>
      <c r="AO1127" s="77"/>
      <c r="AP1127" s="77"/>
      <c r="AQ1127" s="77" t="s">
        <v>11216</v>
      </c>
      <c r="AR1127" s="77"/>
      <c r="AS1127" s="77"/>
      <c r="AT1127" s="77"/>
      <c r="AU1127" s="77"/>
      <c r="AV1127" s="80" t="str">
        <f>HYPERLINK("https://pbs.twimg.com/media/F1-_5GsWYA88AG9.jpg")</f>
        <v>https://pbs.twimg.com/media/F1-_5GsWYA88AG9.jpg</v>
      </c>
      <c r="AW1127" s="82" t="s">
        <v>12793</v>
      </c>
      <c r="AX1127" s="82" t="s">
        <v>12793</v>
      </c>
      <c r="AY1127" s="77"/>
      <c r="AZ1127" s="82" t="s">
        <v>15984</v>
      </c>
      <c r="BA1127" s="82" t="s">
        <v>15984</v>
      </c>
      <c r="BB1127" s="82" t="s">
        <v>15984</v>
      </c>
      <c r="BC1127" s="82" t="s">
        <v>12793</v>
      </c>
      <c r="BD1127" s="82" t="s">
        <v>16309</v>
      </c>
      <c r="BE1127" s="77"/>
      <c r="BF1127" s="77"/>
      <c r="BG1127" s="77"/>
      <c r="BH1127" s="77"/>
      <c r="BI1127" s="77"/>
    </row>
    <row r="1128" spans="1:61" x14ac:dyDescent="0.25">
      <c r="A1128" s="62" t="s">
        <v>583</v>
      </c>
      <c r="B1128" s="62" t="s">
        <v>583</v>
      </c>
      <c r="C1128" s="63"/>
      <c r="D1128" s="64"/>
      <c r="E1128" s="65"/>
      <c r="F1128" s="66"/>
      <c r="G1128" s="63"/>
      <c r="H1128" s="67"/>
      <c r="I1128" s="68"/>
      <c r="J1128" s="68"/>
      <c r="K1128" s="32"/>
      <c r="L1128" s="75">
        <v>1128</v>
      </c>
      <c r="M1128" s="75"/>
      <c r="N1128" s="70"/>
      <c r="O1128" s="77" t="s">
        <v>179</v>
      </c>
      <c r="P1128" s="79">
        <v>45133.786840277775</v>
      </c>
      <c r="Q1128" s="77" t="s">
        <v>1911</v>
      </c>
      <c r="R1128" s="77">
        <v>1</v>
      </c>
      <c r="S1128" s="77">
        <v>4</v>
      </c>
      <c r="T1128" s="77">
        <v>0</v>
      </c>
      <c r="U1128" s="77">
        <v>0</v>
      </c>
      <c r="V1128" s="77">
        <v>10</v>
      </c>
      <c r="W1128" s="82" t="s">
        <v>5377</v>
      </c>
      <c r="X1128" s="80" t="str">
        <f>HYPERLINK("https://www.comlucro.com.br/analise-tecnica/barras-ou-velas-candlestick/")</f>
        <v>https://www.comlucro.com.br/analise-tecnica/barras-ou-velas-candlestick/</v>
      </c>
      <c r="Y1128" s="77" t="s">
        <v>6470</v>
      </c>
      <c r="Z1128" s="77"/>
      <c r="AA1128" s="77" t="s">
        <v>7245</v>
      </c>
      <c r="AB1128" s="77" t="s">
        <v>7742</v>
      </c>
      <c r="AC1128" s="82" t="s">
        <v>7750</v>
      </c>
      <c r="AD1128" s="77" t="s">
        <v>7791</v>
      </c>
      <c r="AE1128" s="80" t="str">
        <f>HYPERLINK("https://twitter.com/canalcomlucro/status/1684275658388561933")</f>
        <v>https://twitter.com/canalcomlucro/status/1684275658388561933</v>
      </c>
      <c r="AF1128" s="79">
        <v>45133.786840277775</v>
      </c>
      <c r="AG1128" s="85">
        <v>45133</v>
      </c>
      <c r="AH1128" s="82" t="s">
        <v>8417</v>
      </c>
      <c r="AI1128" s="77" t="b">
        <v>0</v>
      </c>
      <c r="AJ1128" s="77"/>
      <c r="AK1128" s="77"/>
      <c r="AL1128" s="77"/>
      <c r="AM1128" s="77"/>
      <c r="AN1128" s="77"/>
      <c r="AO1128" s="77"/>
      <c r="AP1128" s="77"/>
      <c r="AQ1128" s="77" t="s">
        <v>11217</v>
      </c>
      <c r="AR1128" s="77"/>
      <c r="AS1128" s="77"/>
      <c r="AT1128" s="77"/>
      <c r="AU1128" s="77"/>
      <c r="AV1128" s="80" t="str">
        <f>HYPERLINK("https://pbs.twimg.com/media/F1-_vFgWcAEHHSU.jpg")</f>
        <v>https://pbs.twimg.com/media/F1-_vFgWcAEHHSU.jpg</v>
      </c>
      <c r="AW1128" s="82" t="s">
        <v>12794</v>
      </c>
      <c r="AX1128" s="82" t="s">
        <v>12794</v>
      </c>
      <c r="AY1128" s="77"/>
      <c r="AZ1128" s="82" t="s">
        <v>15984</v>
      </c>
      <c r="BA1128" s="82" t="s">
        <v>15984</v>
      </c>
      <c r="BB1128" s="82" t="s">
        <v>15984</v>
      </c>
      <c r="BC1128" s="82" t="s">
        <v>12794</v>
      </c>
      <c r="BD1128" s="82" t="s">
        <v>16309</v>
      </c>
      <c r="BE1128" s="77"/>
      <c r="BF1128" s="77"/>
      <c r="BG1128" s="77"/>
      <c r="BH1128" s="77"/>
      <c r="BI1128" s="77"/>
    </row>
    <row r="1129" spans="1:61" x14ac:dyDescent="0.25">
      <c r="A1129" s="62" t="s">
        <v>583</v>
      </c>
      <c r="B1129" s="62" t="s">
        <v>583</v>
      </c>
      <c r="C1129" s="63"/>
      <c r="D1129" s="64"/>
      <c r="E1129" s="65"/>
      <c r="F1129" s="66"/>
      <c r="G1129" s="63"/>
      <c r="H1129" s="67"/>
      <c r="I1129" s="68"/>
      <c r="J1129" s="68"/>
      <c r="K1129" s="32"/>
      <c r="L1129" s="75">
        <v>1129</v>
      </c>
      <c r="M1129" s="75"/>
      <c r="N1129" s="70"/>
      <c r="O1129" s="77" t="s">
        <v>179</v>
      </c>
      <c r="P1129" s="79">
        <v>45133.78638888889</v>
      </c>
      <c r="Q1129" s="77" t="s">
        <v>1912</v>
      </c>
      <c r="R1129" s="77">
        <v>1</v>
      </c>
      <c r="S1129" s="77">
        <v>4</v>
      </c>
      <c r="T1129" s="77">
        <v>0</v>
      </c>
      <c r="U1129" s="77">
        <v>0</v>
      </c>
      <c r="V1129" s="77">
        <v>9</v>
      </c>
      <c r="W1129" s="82" t="s">
        <v>5378</v>
      </c>
      <c r="X1129" s="80" t="str">
        <f>HYPERLINK("https://www.comlucro.com.br/analise-tecnica/barras-ou-velas-candlestick/")</f>
        <v>https://www.comlucro.com.br/analise-tecnica/barras-ou-velas-candlestick/</v>
      </c>
      <c r="Y1129" s="77" t="s">
        <v>6470</v>
      </c>
      <c r="Z1129" s="77"/>
      <c r="AA1129" s="77" t="s">
        <v>7246</v>
      </c>
      <c r="AB1129" s="77" t="s">
        <v>7742</v>
      </c>
      <c r="AC1129" s="82" t="s">
        <v>7750</v>
      </c>
      <c r="AD1129" s="77" t="s">
        <v>7791</v>
      </c>
      <c r="AE1129" s="80" t="str">
        <f>HYPERLINK("https://twitter.com/canalcomlucro/status/1684275493325926400")</f>
        <v>https://twitter.com/canalcomlucro/status/1684275493325926400</v>
      </c>
      <c r="AF1129" s="79">
        <v>45133.78638888889</v>
      </c>
      <c r="AG1129" s="85">
        <v>45133</v>
      </c>
      <c r="AH1129" s="82" t="s">
        <v>8772</v>
      </c>
      <c r="AI1129" s="77" t="b">
        <v>0</v>
      </c>
      <c r="AJ1129" s="77"/>
      <c r="AK1129" s="77"/>
      <c r="AL1129" s="77"/>
      <c r="AM1129" s="77"/>
      <c r="AN1129" s="77"/>
      <c r="AO1129" s="77"/>
      <c r="AP1129" s="77"/>
      <c r="AQ1129" s="77" t="s">
        <v>11218</v>
      </c>
      <c r="AR1129" s="77"/>
      <c r="AS1129" s="77"/>
      <c r="AT1129" s="77"/>
      <c r="AU1129" s="77"/>
      <c r="AV1129" s="80" t="str">
        <f>HYPERLINK("https://pbs.twimg.com/media/F1-_ktmWYBQAIRy.jpg")</f>
        <v>https://pbs.twimg.com/media/F1-_ktmWYBQAIRy.jpg</v>
      </c>
      <c r="AW1129" s="82" t="s">
        <v>12795</v>
      </c>
      <c r="AX1129" s="82" t="s">
        <v>12795</v>
      </c>
      <c r="AY1129" s="77"/>
      <c r="AZ1129" s="82" t="s">
        <v>15984</v>
      </c>
      <c r="BA1129" s="82" t="s">
        <v>15984</v>
      </c>
      <c r="BB1129" s="82" t="s">
        <v>15984</v>
      </c>
      <c r="BC1129" s="82" t="s">
        <v>12795</v>
      </c>
      <c r="BD1129" s="82" t="s">
        <v>16309</v>
      </c>
      <c r="BE1129" s="77"/>
      <c r="BF1129" s="77"/>
      <c r="BG1129" s="77"/>
      <c r="BH1129" s="77"/>
      <c r="BI1129" s="77"/>
    </row>
    <row r="1130" spans="1:61" x14ac:dyDescent="0.25">
      <c r="A1130" s="62" t="s">
        <v>583</v>
      </c>
      <c r="B1130" s="62" t="s">
        <v>583</v>
      </c>
      <c r="C1130" s="63"/>
      <c r="D1130" s="64"/>
      <c r="E1130" s="65"/>
      <c r="F1130" s="66"/>
      <c r="G1130" s="63"/>
      <c r="H1130" s="67"/>
      <c r="I1130" s="68"/>
      <c r="J1130" s="68"/>
      <c r="K1130" s="32"/>
      <c r="L1130" s="75">
        <v>1130</v>
      </c>
      <c r="M1130" s="75"/>
      <c r="N1130" s="70"/>
      <c r="O1130" s="77" t="s">
        <v>179</v>
      </c>
      <c r="P1130" s="79">
        <v>45133.785937499997</v>
      </c>
      <c r="Q1130" s="77" t="s">
        <v>1913</v>
      </c>
      <c r="R1130" s="77">
        <v>1</v>
      </c>
      <c r="S1130" s="77">
        <v>4</v>
      </c>
      <c r="T1130" s="77">
        <v>0</v>
      </c>
      <c r="U1130" s="77">
        <v>0</v>
      </c>
      <c r="V1130" s="77">
        <v>11</v>
      </c>
      <c r="W1130" s="82" t="s">
        <v>5379</v>
      </c>
      <c r="X1130" s="80" t="str">
        <f>HYPERLINK("https://www.comlucro.com.br/analise-tecnica/barras-ou-velas-candlestick/")</f>
        <v>https://www.comlucro.com.br/analise-tecnica/barras-ou-velas-candlestick/</v>
      </c>
      <c r="Y1130" s="77" t="s">
        <v>6470</v>
      </c>
      <c r="Z1130" s="77"/>
      <c r="AA1130" s="77" t="s">
        <v>7247</v>
      </c>
      <c r="AB1130" s="77" t="s">
        <v>7742</v>
      </c>
      <c r="AC1130" s="82" t="s">
        <v>7750</v>
      </c>
      <c r="AD1130" s="77" t="s">
        <v>7791</v>
      </c>
      <c r="AE1130" s="80" t="str">
        <f>HYPERLINK("https://twitter.com/canalcomlucro/status/1684275330242973698")</f>
        <v>https://twitter.com/canalcomlucro/status/1684275330242973698</v>
      </c>
      <c r="AF1130" s="79">
        <v>45133.785937499997</v>
      </c>
      <c r="AG1130" s="85">
        <v>45133</v>
      </c>
      <c r="AH1130" s="82" t="s">
        <v>8773</v>
      </c>
      <c r="AI1130" s="77" t="b">
        <v>0</v>
      </c>
      <c r="AJ1130" s="77"/>
      <c r="AK1130" s="77"/>
      <c r="AL1130" s="77"/>
      <c r="AM1130" s="77"/>
      <c r="AN1130" s="77"/>
      <c r="AO1130" s="77"/>
      <c r="AP1130" s="77"/>
      <c r="AQ1130" s="77" t="s">
        <v>11219</v>
      </c>
      <c r="AR1130" s="77"/>
      <c r="AS1130" s="77"/>
      <c r="AT1130" s="77"/>
      <c r="AU1130" s="77"/>
      <c r="AV1130" s="80" t="str">
        <f>HYPERLINK("https://pbs.twimg.com/media/F1-_e6MWYBMw1NI.jpg")</f>
        <v>https://pbs.twimg.com/media/F1-_e6MWYBMw1NI.jpg</v>
      </c>
      <c r="AW1130" s="82" t="s">
        <v>12796</v>
      </c>
      <c r="AX1130" s="82" t="s">
        <v>12796</v>
      </c>
      <c r="AY1130" s="77"/>
      <c r="AZ1130" s="82" t="s">
        <v>15984</v>
      </c>
      <c r="BA1130" s="82" t="s">
        <v>15984</v>
      </c>
      <c r="BB1130" s="82" t="s">
        <v>15984</v>
      </c>
      <c r="BC1130" s="82" t="s">
        <v>12796</v>
      </c>
      <c r="BD1130" s="82" t="s">
        <v>16309</v>
      </c>
      <c r="BE1130" s="77"/>
      <c r="BF1130" s="77"/>
      <c r="BG1130" s="77"/>
      <c r="BH1130" s="77"/>
      <c r="BI1130" s="77"/>
    </row>
    <row r="1131" spans="1:61" x14ac:dyDescent="0.25">
      <c r="A1131" s="62" t="s">
        <v>583</v>
      </c>
      <c r="B1131" s="62" t="s">
        <v>583</v>
      </c>
      <c r="C1131" s="63"/>
      <c r="D1131" s="64"/>
      <c r="E1131" s="65"/>
      <c r="F1131" s="66"/>
      <c r="G1131" s="63"/>
      <c r="H1131" s="67"/>
      <c r="I1131" s="68"/>
      <c r="J1131" s="68"/>
      <c r="K1131" s="32"/>
      <c r="L1131" s="75">
        <v>1131</v>
      </c>
      <c r="M1131" s="75"/>
      <c r="N1131" s="70"/>
      <c r="O1131" s="77" t="s">
        <v>179</v>
      </c>
      <c r="P1131" s="79">
        <v>45135.862997685188</v>
      </c>
      <c r="Q1131" s="77" t="s">
        <v>1914</v>
      </c>
      <c r="R1131" s="77">
        <v>1</v>
      </c>
      <c r="S1131" s="77">
        <v>4</v>
      </c>
      <c r="T1131" s="77">
        <v>0</v>
      </c>
      <c r="U1131" s="77">
        <v>0</v>
      </c>
      <c r="V1131" s="77">
        <v>12</v>
      </c>
      <c r="W1131" s="82" t="s">
        <v>5380</v>
      </c>
      <c r="X1131" s="80" t="str">
        <f>HYPERLINK("https://www.comlucro.com.br/analise-tecnica/barras-ou-velas-candlestick/analisando-padroes-de-reversao-no-candlestick-uma-visao-detalhada/")</f>
        <v>https://www.comlucro.com.br/analise-tecnica/barras-ou-velas-candlestick/analisando-padroes-de-reversao-no-candlestick-uma-visao-detalhada/</v>
      </c>
      <c r="Y1131" s="77" t="s">
        <v>6470</v>
      </c>
      <c r="Z1131" s="77"/>
      <c r="AA1131" s="77" t="s">
        <v>7248</v>
      </c>
      <c r="AB1131" s="77" t="s">
        <v>7742</v>
      </c>
      <c r="AC1131" s="82" t="s">
        <v>7750</v>
      </c>
      <c r="AD1131" s="77" t="s">
        <v>7791</v>
      </c>
      <c r="AE1131" s="80" t="str">
        <f>HYPERLINK("https://twitter.com/canalcomlucro/status/1685028031956414464")</f>
        <v>https://twitter.com/canalcomlucro/status/1685028031956414464</v>
      </c>
      <c r="AF1131" s="79">
        <v>45135.862997685188</v>
      </c>
      <c r="AG1131" s="85">
        <v>45135</v>
      </c>
      <c r="AH1131" s="82" t="s">
        <v>8774</v>
      </c>
      <c r="AI1131" s="77" t="b">
        <v>0</v>
      </c>
      <c r="AJ1131" s="77"/>
      <c r="AK1131" s="77"/>
      <c r="AL1131" s="77"/>
      <c r="AM1131" s="77"/>
      <c r="AN1131" s="77"/>
      <c r="AO1131" s="77"/>
      <c r="AP1131" s="77"/>
      <c r="AQ1131" s="77" t="s">
        <v>11220</v>
      </c>
      <c r="AR1131" s="77"/>
      <c r="AS1131" s="77"/>
      <c r="AT1131" s="77"/>
      <c r="AU1131" s="77"/>
      <c r="AV1131" s="80" t="str">
        <f>HYPERLINK("https://pbs.twimg.com/media/F2JsD6xXoAArwaf.jpg")</f>
        <v>https://pbs.twimg.com/media/F2JsD6xXoAArwaf.jpg</v>
      </c>
      <c r="AW1131" s="82" t="s">
        <v>12797</v>
      </c>
      <c r="AX1131" s="82" t="s">
        <v>12797</v>
      </c>
      <c r="AY1131" s="77"/>
      <c r="AZ1131" s="82" t="s">
        <v>15984</v>
      </c>
      <c r="BA1131" s="82" t="s">
        <v>15984</v>
      </c>
      <c r="BB1131" s="82" t="s">
        <v>15984</v>
      </c>
      <c r="BC1131" s="82" t="s">
        <v>12797</v>
      </c>
      <c r="BD1131" s="82" t="s">
        <v>16309</v>
      </c>
      <c r="BE1131" s="77"/>
      <c r="BF1131" s="77"/>
      <c r="BG1131" s="77"/>
      <c r="BH1131" s="77"/>
      <c r="BI1131" s="77"/>
    </row>
    <row r="1132" spans="1:61" x14ac:dyDescent="0.25">
      <c r="A1132" s="62" t="s">
        <v>583</v>
      </c>
      <c r="B1132" s="62" t="s">
        <v>583</v>
      </c>
      <c r="C1132" s="63"/>
      <c r="D1132" s="64"/>
      <c r="E1132" s="65"/>
      <c r="F1132" s="66"/>
      <c r="G1132" s="63"/>
      <c r="H1132" s="67"/>
      <c r="I1132" s="68"/>
      <c r="J1132" s="68"/>
      <c r="K1132" s="32"/>
      <c r="L1132" s="75">
        <v>1132</v>
      </c>
      <c r="M1132" s="75"/>
      <c r="N1132" s="70"/>
      <c r="O1132" s="77" t="s">
        <v>179</v>
      </c>
      <c r="P1132" s="79">
        <v>45135.802395833336</v>
      </c>
      <c r="Q1132" s="77" t="s">
        <v>1915</v>
      </c>
      <c r="R1132" s="77">
        <v>1</v>
      </c>
      <c r="S1132" s="77">
        <v>4</v>
      </c>
      <c r="T1132" s="77">
        <v>0</v>
      </c>
      <c r="U1132" s="77">
        <v>0</v>
      </c>
      <c r="V1132" s="77">
        <v>9</v>
      </c>
      <c r="W1132" s="82" t="s">
        <v>5381</v>
      </c>
      <c r="X1132" s="80" t="str">
        <f>HYPERLINK("https://www.comlucro.com.br/analise-tecnica/barras-ou-velas-candlestick/decifrar-a-psicologia-dos-candles-esgotamento-ou-fase-de-exaustao/")</f>
        <v>https://www.comlucro.com.br/analise-tecnica/barras-ou-velas-candlestick/decifrar-a-psicologia-dos-candles-esgotamento-ou-fase-de-exaustao/</v>
      </c>
      <c r="Y1132" s="77" t="s">
        <v>6470</v>
      </c>
      <c r="Z1132" s="77"/>
      <c r="AA1132" s="77" t="s">
        <v>7249</v>
      </c>
      <c r="AB1132" s="77" t="s">
        <v>7742</v>
      </c>
      <c r="AC1132" s="82" t="s">
        <v>7750</v>
      </c>
      <c r="AD1132" s="77" t="s">
        <v>7791</v>
      </c>
      <c r="AE1132" s="80" t="str">
        <f>HYPERLINK("https://twitter.com/canalcomlucro/status/1685006070303928322")</f>
        <v>https://twitter.com/canalcomlucro/status/1685006070303928322</v>
      </c>
      <c r="AF1132" s="79">
        <v>45135.802395833336</v>
      </c>
      <c r="AG1132" s="85">
        <v>45135</v>
      </c>
      <c r="AH1132" s="82" t="s">
        <v>8775</v>
      </c>
      <c r="AI1132" s="77" t="b">
        <v>0</v>
      </c>
      <c r="AJ1132" s="77"/>
      <c r="AK1132" s="77"/>
      <c r="AL1132" s="77"/>
      <c r="AM1132" s="77"/>
      <c r="AN1132" s="77"/>
      <c r="AO1132" s="77"/>
      <c r="AP1132" s="77"/>
      <c r="AQ1132" s="77" t="s">
        <v>11221</v>
      </c>
      <c r="AR1132" s="77"/>
      <c r="AS1132" s="77"/>
      <c r="AT1132" s="77"/>
      <c r="AU1132" s="77"/>
      <c r="AV1132" s="80" t="str">
        <f>HYPERLINK("https://pbs.twimg.com/media/F2JYFTfXkAAroAf.jpg")</f>
        <v>https://pbs.twimg.com/media/F2JYFTfXkAAroAf.jpg</v>
      </c>
      <c r="AW1132" s="82" t="s">
        <v>12798</v>
      </c>
      <c r="AX1132" s="82" t="s">
        <v>12798</v>
      </c>
      <c r="AY1132" s="77"/>
      <c r="AZ1132" s="82" t="s">
        <v>15984</v>
      </c>
      <c r="BA1132" s="82" t="s">
        <v>15984</v>
      </c>
      <c r="BB1132" s="82" t="s">
        <v>15984</v>
      </c>
      <c r="BC1132" s="82" t="s">
        <v>12798</v>
      </c>
      <c r="BD1132" s="82" t="s">
        <v>16309</v>
      </c>
      <c r="BE1132" s="77"/>
      <c r="BF1132" s="77"/>
      <c r="BG1132" s="77"/>
      <c r="BH1132" s="77"/>
      <c r="BI1132" s="77"/>
    </row>
    <row r="1133" spans="1:61" x14ac:dyDescent="0.25">
      <c r="A1133" s="62" t="s">
        <v>583</v>
      </c>
      <c r="B1133" s="62" t="s">
        <v>583</v>
      </c>
      <c r="C1133" s="63"/>
      <c r="D1133" s="64"/>
      <c r="E1133" s="65"/>
      <c r="F1133" s="66"/>
      <c r="G1133" s="63"/>
      <c r="H1133" s="67"/>
      <c r="I1133" s="68"/>
      <c r="J1133" s="68"/>
      <c r="K1133" s="32"/>
      <c r="L1133" s="75">
        <v>1133</v>
      </c>
      <c r="M1133" s="75"/>
      <c r="N1133" s="70"/>
      <c r="O1133" s="77" t="s">
        <v>179</v>
      </c>
      <c r="P1133" s="79">
        <v>45139.757511574076</v>
      </c>
      <c r="Q1133" s="77" t="s">
        <v>1916</v>
      </c>
      <c r="R1133" s="77">
        <v>1</v>
      </c>
      <c r="S1133" s="77">
        <v>4</v>
      </c>
      <c r="T1133" s="77">
        <v>0</v>
      </c>
      <c r="U1133" s="77">
        <v>0</v>
      </c>
      <c r="V1133" s="77">
        <v>26</v>
      </c>
      <c r="W1133" s="82" t="s">
        <v>5382</v>
      </c>
      <c r="X1133" s="80" t="str">
        <f>HYPERLINK("https://www.comlucro.com.br/peter-lynch-o-genio-dos-investimentos-estrategias-e-legado-no-mercado-financeiro/")</f>
        <v>https://www.comlucro.com.br/peter-lynch-o-genio-dos-investimentos-estrategias-e-legado-no-mercado-financeiro/</v>
      </c>
      <c r="Y1133" s="77" t="s">
        <v>6470</v>
      </c>
      <c r="Z1133" s="77"/>
      <c r="AA1133" s="77" t="s">
        <v>7250</v>
      </c>
      <c r="AB1133" s="77" t="s">
        <v>7742</v>
      </c>
      <c r="AC1133" s="82" t="s">
        <v>7750</v>
      </c>
      <c r="AD1133" s="77" t="s">
        <v>7791</v>
      </c>
      <c r="AE1133" s="80" t="str">
        <f>HYPERLINK("https://twitter.com/canalcomlucro/status/1686439353998856211")</f>
        <v>https://twitter.com/canalcomlucro/status/1686439353998856211</v>
      </c>
      <c r="AF1133" s="79">
        <v>45139.757511574076</v>
      </c>
      <c r="AG1133" s="85">
        <v>45139</v>
      </c>
      <c r="AH1133" s="82" t="s">
        <v>8776</v>
      </c>
      <c r="AI1133" s="77" t="b">
        <v>0</v>
      </c>
      <c r="AJ1133" s="77"/>
      <c r="AK1133" s="77"/>
      <c r="AL1133" s="77"/>
      <c r="AM1133" s="77"/>
      <c r="AN1133" s="77"/>
      <c r="AO1133" s="77"/>
      <c r="AP1133" s="77"/>
      <c r="AQ1133" s="77" t="s">
        <v>11222</v>
      </c>
      <c r="AR1133" s="77"/>
      <c r="AS1133" s="77"/>
      <c r="AT1133" s="77"/>
      <c r="AU1133" s="77"/>
      <c r="AV1133" s="80" t="str">
        <f>HYPERLINK("https://pbs.twimg.com/media/F2dvpmFWIAA-zCX.jpg")</f>
        <v>https://pbs.twimg.com/media/F2dvpmFWIAA-zCX.jpg</v>
      </c>
      <c r="AW1133" s="82" t="s">
        <v>12799</v>
      </c>
      <c r="AX1133" s="82" t="s">
        <v>12799</v>
      </c>
      <c r="AY1133" s="77"/>
      <c r="AZ1133" s="82" t="s">
        <v>15984</v>
      </c>
      <c r="BA1133" s="82" t="s">
        <v>15984</v>
      </c>
      <c r="BB1133" s="82" t="s">
        <v>15984</v>
      </c>
      <c r="BC1133" s="82" t="s">
        <v>12799</v>
      </c>
      <c r="BD1133" s="82" t="s">
        <v>16309</v>
      </c>
      <c r="BE1133" s="77"/>
      <c r="BF1133" s="77"/>
      <c r="BG1133" s="77"/>
      <c r="BH1133" s="77"/>
      <c r="BI1133" s="77"/>
    </row>
    <row r="1134" spans="1:61" x14ac:dyDescent="0.25">
      <c r="A1134" s="62" t="s">
        <v>583</v>
      </c>
      <c r="B1134" s="62" t="s">
        <v>583</v>
      </c>
      <c r="C1134" s="63"/>
      <c r="D1134" s="64"/>
      <c r="E1134" s="65"/>
      <c r="F1134" s="66"/>
      <c r="G1134" s="63"/>
      <c r="H1134" s="67"/>
      <c r="I1134" s="68"/>
      <c r="J1134" s="68"/>
      <c r="K1134" s="32"/>
      <c r="L1134" s="75">
        <v>1134</v>
      </c>
      <c r="M1134" s="75"/>
      <c r="N1134" s="70"/>
      <c r="O1134" s="77" t="s">
        <v>179</v>
      </c>
      <c r="P1134" s="79">
        <v>45139.725046296298</v>
      </c>
      <c r="Q1134" s="77" t="s">
        <v>1917</v>
      </c>
      <c r="R1134" s="77">
        <v>1</v>
      </c>
      <c r="S1134" s="77">
        <v>4</v>
      </c>
      <c r="T1134" s="77">
        <v>0</v>
      </c>
      <c r="U1134" s="77">
        <v>0</v>
      </c>
      <c r="V1134" s="77">
        <v>22</v>
      </c>
      <c r="W1134" s="82" t="s">
        <v>5383</v>
      </c>
      <c r="X1134" s="80" t="str">
        <f>HYPERLINK("https://www.comlucro.com.br/10-estrategias-de-investimento-de-peter-lynch-extraidas-do-livro-one-up-on-wall-street/")</f>
        <v>https://www.comlucro.com.br/10-estrategias-de-investimento-de-peter-lynch-extraidas-do-livro-one-up-on-wall-street/</v>
      </c>
      <c r="Y1134" s="77" t="s">
        <v>6470</v>
      </c>
      <c r="Z1134" s="77"/>
      <c r="AA1134" s="77" t="s">
        <v>7251</v>
      </c>
      <c r="AB1134" s="77" t="s">
        <v>7742</v>
      </c>
      <c r="AC1134" s="82" t="s">
        <v>7750</v>
      </c>
      <c r="AD1134" s="77" t="s">
        <v>7791</v>
      </c>
      <c r="AE1134" s="80" t="str">
        <f>HYPERLINK("https://twitter.com/canalcomlucro/status/1686427590196678686")</f>
        <v>https://twitter.com/canalcomlucro/status/1686427590196678686</v>
      </c>
      <c r="AF1134" s="79">
        <v>45139.725046296298</v>
      </c>
      <c r="AG1134" s="85">
        <v>45139</v>
      </c>
      <c r="AH1134" s="82" t="s">
        <v>8777</v>
      </c>
      <c r="AI1134" s="77" t="b">
        <v>0</v>
      </c>
      <c r="AJ1134" s="77"/>
      <c r="AK1134" s="77"/>
      <c r="AL1134" s="77"/>
      <c r="AM1134" s="77"/>
      <c r="AN1134" s="77"/>
      <c r="AO1134" s="77"/>
      <c r="AP1134" s="77"/>
      <c r="AQ1134" s="77" t="s">
        <v>11223</v>
      </c>
      <c r="AR1134" s="77"/>
      <c r="AS1134" s="77"/>
      <c r="AT1134" s="77"/>
      <c r="AU1134" s="77"/>
      <c r="AV1134" s="80" t="str">
        <f>HYPERLINK("https://pbs.twimg.com/media/F2dk8vmXUAcpoPy.jpg")</f>
        <v>https://pbs.twimg.com/media/F2dk8vmXUAcpoPy.jpg</v>
      </c>
      <c r="AW1134" s="82" t="s">
        <v>12800</v>
      </c>
      <c r="AX1134" s="82" t="s">
        <v>12800</v>
      </c>
      <c r="AY1134" s="77"/>
      <c r="AZ1134" s="82" t="s">
        <v>15984</v>
      </c>
      <c r="BA1134" s="82" t="s">
        <v>15984</v>
      </c>
      <c r="BB1134" s="82" t="s">
        <v>15984</v>
      </c>
      <c r="BC1134" s="82" t="s">
        <v>12800</v>
      </c>
      <c r="BD1134" s="82" t="s">
        <v>16309</v>
      </c>
      <c r="BE1134" s="77"/>
      <c r="BF1134" s="77"/>
      <c r="BG1134" s="77"/>
      <c r="BH1134" s="77"/>
      <c r="BI1134" s="77"/>
    </row>
    <row r="1135" spans="1:61" x14ac:dyDescent="0.25">
      <c r="A1135" s="62" t="s">
        <v>583</v>
      </c>
      <c r="B1135" s="62" t="s">
        <v>583</v>
      </c>
      <c r="C1135" s="63"/>
      <c r="D1135" s="64"/>
      <c r="E1135" s="65"/>
      <c r="F1135" s="66"/>
      <c r="G1135" s="63"/>
      <c r="H1135" s="67"/>
      <c r="I1135" s="68"/>
      <c r="J1135" s="68"/>
      <c r="K1135" s="32"/>
      <c r="L1135" s="75">
        <v>1135</v>
      </c>
      <c r="M1135" s="75"/>
      <c r="N1135" s="70"/>
      <c r="O1135" s="77" t="s">
        <v>179</v>
      </c>
      <c r="P1135" s="79">
        <v>45139.635671296295</v>
      </c>
      <c r="Q1135" s="77" t="s">
        <v>1918</v>
      </c>
      <c r="R1135" s="77">
        <v>1</v>
      </c>
      <c r="S1135" s="77">
        <v>4</v>
      </c>
      <c r="T1135" s="77">
        <v>0</v>
      </c>
      <c r="U1135" s="77">
        <v>0</v>
      </c>
      <c r="V1135" s="77">
        <v>17</v>
      </c>
      <c r="W1135" s="82" t="s">
        <v>5384</v>
      </c>
      <c r="X1135" s="80" t="str">
        <f>HYPERLINK("https://www.comlucro.com.br/analise-tecnica/barras-ou-velas-candlestick/bebe-abandonado-de-baixa-bearish-abandoned-baby/")</f>
        <v>https://www.comlucro.com.br/analise-tecnica/barras-ou-velas-candlestick/bebe-abandonado-de-baixa-bearish-abandoned-baby/</v>
      </c>
      <c r="Y1135" s="77" t="s">
        <v>6470</v>
      </c>
      <c r="Z1135" s="77"/>
      <c r="AA1135" s="77" t="s">
        <v>7252</v>
      </c>
      <c r="AB1135" s="77" t="s">
        <v>7742</v>
      </c>
      <c r="AC1135" s="82" t="s">
        <v>7750</v>
      </c>
      <c r="AD1135" s="77" t="s">
        <v>7791</v>
      </c>
      <c r="AE1135" s="80" t="str">
        <f>HYPERLINK("https://twitter.com/canalcomlucro/status/1686395202502615040")</f>
        <v>https://twitter.com/canalcomlucro/status/1686395202502615040</v>
      </c>
      <c r="AF1135" s="79">
        <v>45139.635671296295</v>
      </c>
      <c r="AG1135" s="85">
        <v>45139</v>
      </c>
      <c r="AH1135" s="82" t="s">
        <v>8778</v>
      </c>
      <c r="AI1135" s="77" t="b">
        <v>0</v>
      </c>
      <c r="AJ1135" s="77"/>
      <c r="AK1135" s="77"/>
      <c r="AL1135" s="77"/>
      <c r="AM1135" s="77"/>
      <c r="AN1135" s="77"/>
      <c r="AO1135" s="77"/>
      <c r="AP1135" s="77"/>
      <c r="AQ1135" s="77" t="s">
        <v>11224</v>
      </c>
      <c r="AR1135" s="77"/>
      <c r="AS1135" s="77"/>
      <c r="AT1135" s="77"/>
      <c r="AU1135" s="77"/>
      <c r="AV1135" s="80" t="str">
        <f>HYPERLINK("https://pbs.twimg.com/media/F2dHfo_WAAA1bzd.jpg")</f>
        <v>https://pbs.twimg.com/media/F2dHfo_WAAA1bzd.jpg</v>
      </c>
      <c r="AW1135" s="82" t="s">
        <v>12801</v>
      </c>
      <c r="AX1135" s="82" t="s">
        <v>12801</v>
      </c>
      <c r="AY1135" s="77"/>
      <c r="AZ1135" s="82" t="s">
        <v>15984</v>
      </c>
      <c r="BA1135" s="82" t="s">
        <v>15984</v>
      </c>
      <c r="BB1135" s="82" t="s">
        <v>15984</v>
      </c>
      <c r="BC1135" s="82" t="s">
        <v>12801</v>
      </c>
      <c r="BD1135" s="82" t="s">
        <v>16309</v>
      </c>
      <c r="BE1135" s="77"/>
      <c r="BF1135" s="77"/>
      <c r="BG1135" s="77"/>
      <c r="BH1135" s="77"/>
      <c r="BI1135" s="77"/>
    </row>
    <row r="1136" spans="1:61" x14ac:dyDescent="0.25">
      <c r="A1136" s="62" t="s">
        <v>583</v>
      </c>
      <c r="B1136" s="62" t="s">
        <v>583</v>
      </c>
      <c r="C1136" s="63"/>
      <c r="D1136" s="64"/>
      <c r="E1136" s="65"/>
      <c r="F1136" s="66"/>
      <c r="G1136" s="63"/>
      <c r="H1136" s="67"/>
      <c r="I1136" s="68"/>
      <c r="J1136" s="68"/>
      <c r="K1136" s="32"/>
      <c r="L1136" s="75">
        <v>1136</v>
      </c>
      <c r="M1136" s="75"/>
      <c r="N1136" s="70"/>
      <c r="O1136" s="77" t="s">
        <v>179</v>
      </c>
      <c r="P1136" s="79">
        <v>45139.496805555558</v>
      </c>
      <c r="Q1136" s="77" t="s">
        <v>1919</v>
      </c>
      <c r="R1136" s="77">
        <v>1</v>
      </c>
      <c r="S1136" s="77">
        <v>4</v>
      </c>
      <c r="T1136" s="77">
        <v>0</v>
      </c>
      <c r="U1136" s="77">
        <v>0</v>
      </c>
      <c r="V1136" s="77">
        <v>18</v>
      </c>
      <c r="W1136" s="82" t="s">
        <v>5385</v>
      </c>
      <c r="X1136" s="80" t="str">
        <f>HYPERLINK("https://www.comlucro.com.br/analise-tecnica/barras-ou-velas-candlestick/pinca-de-fundo-tweezer-bottom/")</f>
        <v>https://www.comlucro.com.br/analise-tecnica/barras-ou-velas-candlestick/pinca-de-fundo-tweezer-bottom/</v>
      </c>
      <c r="Y1136" s="77" t="s">
        <v>6470</v>
      </c>
      <c r="Z1136" s="77"/>
      <c r="AA1136" s="77" t="s">
        <v>7253</v>
      </c>
      <c r="AB1136" s="77" t="s">
        <v>7742</v>
      </c>
      <c r="AC1136" s="82" t="s">
        <v>7750</v>
      </c>
      <c r="AD1136" s="77" t="s">
        <v>7791</v>
      </c>
      <c r="AE1136" s="80" t="str">
        <f>HYPERLINK("https://twitter.com/canalcomlucro/status/1686344880174309376")</f>
        <v>https://twitter.com/canalcomlucro/status/1686344880174309376</v>
      </c>
      <c r="AF1136" s="79">
        <v>45139.496805555558</v>
      </c>
      <c r="AG1136" s="85">
        <v>45139</v>
      </c>
      <c r="AH1136" s="82" t="s">
        <v>8779</v>
      </c>
      <c r="AI1136" s="77" t="b">
        <v>0</v>
      </c>
      <c r="AJ1136" s="77"/>
      <c r="AK1136" s="77"/>
      <c r="AL1136" s="77"/>
      <c r="AM1136" s="77"/>
      <c r="AN1136" s="77"/>
      <c r="AO1136" s="77"/>
      <c r="AP1136" s="77"/>
      <c r="AQ1136" s="77" t="s">
        <v>11225</v>
      </c>
      <c r="AR1136" s="77"/>
      <c r="AS1136" s="77"/>
      <c r="AT1136" s="77"/>
      <c r="AU1136" s="77"/>
      <c r="AV1136" s="80" t="str">
        <f>HYPERLINK("https://pbs.twimg.com/media/F2cZuf2WMAAJYN6.jpg")</f>
        <v>https://pbs.twimg.com/media/F2cZuf2WMAAJYN6.jpg</v>
      </c>
      <c r="AW1136" s="82" t="s">
        <v>12802</v>
      </c>
      <c r="AX1136" s="82" t="s">
        <v>12802</v>
      </c>
      <c r="AY1136" s="77"/>
      <c r="AZ1136" s="82" t="s">
        <v>15984</v>
      </c>
      <c r="BA1136" s="82" t="s">
        <v>15984</v>
      </c>
      <c r="BB1136" s="82" t="s">
        <v>15984</v>
      </c>
      <c r="BC1136" s="82" t="s">
        <v>12802</v>
      </c>
      <c r="BD1136" s="82" t="s">
        <v>16309</v>
      </c>
      <c r="BE1136" s="77"/>
      <c r="BF1136" s="77"/>
      <c r="BG1136" s="77"/>
      <c r="BH1136" s="77"/>
      <c r="BI1136" s="77"/>
    </row>
    <row r="1137" spans="1:61" x14ac:dyDescent="0.25">
      <c r="A1137" s="62" t="s">
        <v>583</v>
      </c>
      <c r="B1137" s="62" t="s">
        <v>583</v>
      </c>
      <c r="C1137" s="63"/>
      <c r="D1137" s="64"/>
      <c r="E1137" s="65"/>
      <c r="F1137" s="66"/>
      <c r="G1137" s="63"/>
      <c r="H1137" s="67"/>
      <c r="I1137" s="68"/>
      <c r="J1137" s="68"/>
      <c r="K1137" s="32"/>
      <c r="L1137" s="75">
        <v>1137</v>
      </c>
      <c r="M1137" s="75"/>
      <c r="N1137" s="70"/>
      <c r="O1137" s="77" t="s">
        <v>179</v>
      </c>
      <c r="P1137" s="79">
        <v>45145.848958333336</v>
      </c>
      <c r="Q1137" s="77" t="s">
        <v>1920</v>
      </c>
      <c r="R1137" s="77">
        <v>1</v>
      </c>
      <c r="S1137" s="77">
        <v>3</v>
      </c>
      <c r="T1137" s="77">
        <v>1</v>
      </c>
      <c r="U1137" s="77">
        <v>0</v>
      </c>
      <c r="V1137" s="77">
        <v>13</v>
      </c>
      <c r="W1137" s="82" t="s">
        <v>5386</v>
      </c>
      <c r="X1137" s="80" t="str">
        <f>HYPERLINK("https://www.comlucro.com.br/analise-tecnica/barras-ou-velas-candlestick/gap-de-baixa-tres-metodos-downside-gap-three-methods/")</f>
        <v>https://www.comlucro.com.br/analise-tecnica/barras-ou-velas-candlestick/gap-de-baixa-tres-metodos-downside-gap-three-methods/</v>
      </c>
      <c r="Y1137" s="77" t="s">
        <v>6470</v>
      </c>
      <c r="Z1137" s="77"/>
      <c r="AA1137" s="77" t="s">
        <v>7254</v>
      </c>
      <c r="AB1137" s="77" t="s">
        <v>7742</v>
      </c>
      <c r="AC1137" s="82" t="s">
        <v>7750</v>
      </c>
      <c r="AD1137" s="77" t="s">
        <v>7791</v>
      </c>
      <c r="AE1137" s="80" t="str">
        <f>HYPERLINK("https://twitter.com/canalcomlucro/status/1688646822330294273")</f>
        <v>https://twitter.com/canalcomlucro/status/1688646822330294273</v>
      </c>
      <c r="AF1137" s="79">
        <v>45145.848958333336</v>
      </c>
      <c r="AG1137" s="85">
        <v>45145</v>
      </c>
      <c r="AH1137" s="82" t="s">
        <v>8780</v>
      </c>
      <c r="AI1137" s="77" t="b">
        <v>0</v>
      </c>
      <c r="AJ1137" s="77"/>
      <c r="AK1137" s="77"/>
      <c r="AL1137" s="77"/>
      <c r="AM1137" s="77"/>
      <c r="AN1137" s="77"/>
      <c r="AO1137" s="77"/>
      <c r="AP1137" s="77"/>
      <c r="AQ1137" s="77" t="s">
        <v>11226</v>
      </c>
      <c r="AR1137" s="77"/>
      <c r="AS1137" s="77"/>
      <c r="AT1137" s="77"/>
      <c r="AU1137" s="77"/>
      <c r="AV1137" s="80" t="str">
        <f>HYPERLINK("https://pbs.twimg.com/media/F29HVATXUAYeS0Q.jpg")</f>
        <v>https://pbs.twimg.com/media/F29HVATXUAYeS0Q.jpg</v>
      </c>
      <c r="AW1137" s="82" t="s">
        <v>12803</v>
      </c>
      <c r="AX1137" s="82" t="s">
        <v>12803</v>
      </c>
      <c r="AY1137" s="77"/>
      <c r="AZ1137" s="82" t="s">
        <v>15984</v>
      </c>
      <c r="BA1137" s="82" t="s">
        <v>15984</v>
      </c>
      <c r="BB1137" s="82" t="s">
        <v>15984</v>
      </c>
      <c r="BC1137" s="82" t="s">
        <v>12803</v>
      </c>
      <c r="BD1137" s="82" t="s">
        <v>16309</v>
      </c>
      <c r="BE1137" s="77"/>
      <c r="BF1137" s="77"/>
      <c r="BG1137" s="77"/>
      <c r="BH1137" s="77"/>
      <c r="BI1137" s="77"/>
    </row>
    <row r="1138" spans="1:61" x14ac:dyDescent="0.25">
      <c r="A1138" s="62" t="s">
        <v>583</v>
      </c>
      <c r="B1138" s="62" t="s">
        <v>583</v>
      </c>
      <c r="C1138" s="63"/>
      <c r="D1138" s="64"/>
      <c r="E1138" s="65"/>
      <c r="F1138" s="66"/>
      <c r="G1138" s="63"/>
      <c r="H1138" s="67"/>
      <c r="I1138" s="68"/>
      <c r="J1138" s="68"/>
      <c r="K1138" s="32"/>
      <c r="L1138" s="75">
        <v>1138</v>
      </c>
      <c r="M1138" s="75"/>
      <c r="N1138" s="70"/>
      <c r="O1138" s="77" t="s">
        <v>179</v>
      </c>
      <c r="P1138" s="79">
        <v>45134.778263888889</v>
      </c>
      <c r="Q1138" s="77" t="s">
        <v>1921</v>
      </c>
      <c r="R1138" s="77">
        <v>1</v>
      </c>
      <c r="S1138" s="77">
        <v>4</v>
      </c>
      <c r="T1138" s="77">
        <v>0</v>
      </c>
      <c r="U1138" s="77">
        <v>0</v>
      </c>
      <c r="V1138" s="77">
        <v>14</v>
      </c>
      <c r="W1138" s="82" t="s">
        <v>5387</v>
      </c>
      <c r="X1138" s="80" t="str">
        <f>HYPERLINK("https://www.comlucro.com.br/analise-tecnica/barras-ou-velas-candlestick/compreendendo-a-psicologia-dos-candles-a-crucial-fase-de-distribuicao/")</f>
        <v>https://www.comlucro.com.br/analise-tecnica/barras-ou-velas-candlestick/compreendendo-a-psicologia-dos-candles-a-crucial-fase-de-distribuicao/</v>
      </c>
      <c r="Y1138" s="77" t="s">
        <v>6470</v>
      </c>
      <c r="Z1138" s="77"/>
      <c r="AA1138" s="77" t="s">
        <v>7255</v>
      </c>
      <c r="AB1138" s="77" t="s">
        <v>7742</v>
      </c>
      <c r="AC1138" s="82" t="s">
        <v>7750</v>
      </c>
      <c r="AD1138" s="77" t="s">
        <v>7791</v>
      </c>
      <c r="AE1138" s="80" t="str">
        <f>HYPERLINK("https://twitter.com/canalcomlucro/status/1684634938161643521")</f>
        <v>https://twitter.com/canalcomlucro/status/1684634938161643521</v>
      </c>
      <c r="AF1138" s="79">
        <v>45134.778263888889</v>
      </c>
      <c r="AG1138" s="85">
        <v>45134</v>
      </c>
      <c r="AH1138" s="82" t="s">
        <v>8781</v>
      </c>
      <c r="AI1138" s="77" t="b">
        <v>0</v>
      </c>
      <c r="AJ1138" s="77"/>
      <c r="AK1138" s="77"/>
      <c r="AL1138" s="77"/>
      <c r="AM1138" s="77"/>
      <c r="AN1138" s="77"/>
      <c r="AO1138" s="77"/>
      <c r="AP1138" s="77"/>
      <c r="AQ1138" s="77" t="s">
        <v>11227</v>
      </c>
      <c r="AR1138" s="77"/>
      <c r="AS1138" s="77"/>
      <c r="AT1138" s="77"/>
      <c r="AU1138" s="77"/>
      <c r="AV1138" s="80" t="str">
        <f>HYPERLINK("https://pbs.twimg.com/media/F2EGiiTWIAAi4D8.jpg")</f>
        <v>https://pbs.twimg.com/media/F2EGiiTWIAAi4D8.jpg</v>
      </c>
      <c r="AW1138" s="82" t="s">
        <v>12804</v>
      </c>
      <c r="AX1138" s="82" t="s">
        <v>12804</v>
      </c>
      <c r="AY1138" s="77"/>
      <c r="AZ1138" s="82" t="s">
        <v>15984</v>
      </c>
      <c r="BA1138" s="82" t="s">
        <v>15984</v>
      </c>
      <c r="BB1138" s="82" t="s">
        <v>15984</v>
      </c>
      <c r="BC1138" s="82" t="s">
        <v>12804</v>
      </c>
      <c r="BD1138" s="82" t="s">
        <v>16309</v>
      </c>
      <c r="BE1138" s="77"/>
      <c r="BF1138" s="77"/>
      <c r="BG1138" s="77"/>
      <c r="BH1138" s="77"/>
      <c r="BI1138" s="77"/>
    </row>
    <row r="1139" spans="1:61" x14ac:dyDescent="0.25">
      <c r="A1139" s="62" t="s">
        <v>583</v>
      </c>
      <c r="B1139" s="62" t="s">
        <v>583</v>
      </c>
      <c r="C1139" s="63"/>
      <c r="D1139" s="64"/>
      <c r="E1139" s="65"/>
      <c r="F1139" s="66"/>
      <c r="G1139" s="63"/>
      <c r="H1139" s="67"/>
      <c r="I1139" s="68"/>
      <c r="J1139" s="68"/>
      <c r="K1139" s="32"/>
      <c r="L1139" s="75">
        <v>1139</v>
      </c>
      <c r="M1139" s="75"/>
      <c r="N1139" s="70"/>
      <c r="O1139" s="77" t="s">
        <v>179</v>
      </c>
      <c r="P1139" s="79">
        <v>45134.747037037036</v>
      </c>
      <c r="Q1139" s="77" t="s">
        <v>1922</v>
      </c>
      <c r="R1139" s="77">
        <v>1</v>
      </c>
      <c r="S1139" s="77">
        <v>4</v>
      </c>
      <c r="T1139" s="77">
        <v>0</v>
      </c>
      <c r="U1139" s="77">
        <v>0</v>
      </c>
      <c r="V1139" s="77">
        <v>11</v>
      </c>
      <c r="W1139" s="82" t="s">
        <v>5388</v>
      </c>
      <c r="X1139" s="80" t="str">
        <f>HYPERLINK("https://www.comlucro.com.br/analise-tecnica/barras-ou-velas-candlestick/desvendando-a-psicologia-dos-candles-compreendendo-a-fase-de-desaceleracao-ou-enfraquecimento/")</f>
        <v>https://www.comlucro.com.br/analise-tecnica/barras-ou-velas-candlestick/desvendando-a-psicologia-dos-candles-compreendendo-a-fase-de-desaceleracao-ou-enfraquecimento/</v>
      </c>
      <c r="Y1139" s="77" t="s">
        <v>6470</v>
      </c>
      <c r="Z1139" s="77"/>
      <c r="AA1139" s="77" t="s">
        <v>7256</v>
      </c>
      <c r="AB1139" s="77" t="s">
        <v>7742</v>
      </c>
      <c r="AC1139" s="82" t="s">
        <v>7750</v>
      </c>
      <c r="AD1139" s="77" t="s">
        <v>7791</v>
      </c>
      <c r="AE1139" s="80" t="str">
        <f>HYPERLINK("https://twitter.com/canalcomlucro/status/1684623618876067840")</f>
        <v>https://twitter.com/canalcomlucro/status/1684623618876067840</v>
      </c>
      <c r="AF1139" s="79">
        <v>45134.747037037036</v>
      </c>
      <c r="AG1139" s="85">
        <v>45134</v>
      </c>
      <c r="AH1139" s="82" t="s">
        <v>8782</v>
      </c>
      <c r="AI1139" s="77" t="b">
        <v>0</v>
      </c>
      <c r="AJ1139" s="77"/>
      <c r="AK1139" s="77"/>
      <c r="AL1139" s="77"/>
      <c r="AM1139" s="77"/>
      <c r="AN1139" s="77"/>
      <c r="AO1139" s="77"/>
      <c r="AP1139" s="77"/>
      <c r="AQ1139" s="77" t="s">
        <v>11228</v>
      </c>
      <c r="AR1139" s="77"/>
      <c r="AS1139" s="77"/>
      <c r="AT1139" s="77"/>
      <c r="AU1139" s="77"/>
      <c r="AV1139" s="80" t="str">
        <f>HYPERLINK("https://pbs.twimg.com/media/F2D8P8-XkAAFf4H.jpg")</f>
        <v>https://pbs.twimg.com/media/F2D8P8-XkAAFf4H.jpg</v>
      </c>
      <c r="AW1139" s="82" t="s">
        <v>12805</v>
      </c>
      <c r="AX1139" s="82" t="s">
        <v>12805</v>
      </c>
      <c r="AY1139" s="77"/>
      <c r="AZ1139" s="82" t="s">
        <v>15984</v>
      </c>
      <c r="BA1139" s="82" t="s">
        <v>15984</v>
      </c>
      <c r="BB1139" s="82" t="s">
        <v>15984</v>
      </c>
      <c r="BC1139" s="82" t="s">
        <v>12805</v>
      </c>
      <c r="BD1139" s="82" t="s">
        <v>16309</v>
      </c>
      <c r="BE1139" s="77"/>
      <c r="BF1139" s="77"/>
      <c r="BG1139" s="77"/>
      <c r="BH1139" s="77"/>
      <c r="BI1139" s="77"/>
    </row>
    <row r="1140" spans="1:61" x14ac:dyDescent="0.25">
      <c r="A1140" s="62" t="s">
        <v>583</v>
      </c>
      <c r="B1140" s="62" t="s">
        <v>583</v>
      </c>
      <c r="C1140" s="63"/>
      <c r="D1140" s="64"/>
      <c r="E1140" s="65"/>
      <c r="F1140" s="66"/>
      <c r="G1140" s="63"/>
      <c r="H1140" s="67"/>
      <c r="I1140" s="68"/>
      <c r="J1140" s="68"/>
      <c r="K1140" s="32"/>
      <c r="L1140" s="75">
        <v>1140</v>
      </c>
      <c r="M1140" s="75"/>
      <c r="N1140" s="70"/>
      <c r="O1140" s="77" t="s">
        <v>179</v>
      </c>
      <c r="P1140" s="79">
        <v>45126.819050925929</v>
      </c>
      <c r="Q1140" s="77" t="s">
        <v>1923</v>
      </c>
      <c r="R1140" s="77">
        <v>1</v>
      </c>
      <c r="S1140" s="77">
        <v>2</v>
      </c>
      <c r="T1140" s="77">
        <v>0</v>
      </c>
      <c r="U1140" s="77">
        <v>0</v>
      </c>
      <c r="V1140" s="77">
        <v>7</v>
      </c>
      <c r="W1140" s="82" t="s">
        <v>5389</v>
      </c>
      <c r="X1140" s="80" t="str">
        <f>HYPERLINK("https://www.comlucro.com.br/indicadores-tecnicos/indicador-obv-on-balance-volume/")</f>
        <v>https://www.comlucro.com.br/indicadores-tecnicos/indicador-obv-on-balance-volume/</v>
      </c>
      <c r="Y1140" s="77" t="s">
        <v>6470</v>
      </c>
      <c r="Z1140" s="77"/>
      <c r="AA1140" s="77" t="s">
        <v>7257</v>
      </c>
      <c r="AB1140" s="77" t="s">
        <v>7742</v>
      </c>
      <c r="AC1140" s="82" t="s">
        <v>7750</v>
      </c>
      <c r="AD1140" s="77" t="s">
        <v>7791</v>
      </c>
      <c r="AE1140" s="80" t="str">
        <f>HYPERLINK("https://twitter.com/canalcomlucro/status/1681750614336733185")</f>
        <v>https://twitter.com/canalcomlucro/status/1681750614336733185</v>
      </c>
      <c r="AF1140" s="79">
        <v>45126.819050925929</v>
      </c>
      <c r="AG1140" s="85">
        <v>45126</v>
      </c>
      <c r="AH1140" s="82" t="s">
        <v>8783</v>
      </c>
      <c r="AI1140" s="77" t="b">
        <v>0</v>
      </c>
      <c r="AJ1140" s="77"/>
      <c r="AK1140" s="77"/>
      <c r="AL1140" s="77"/>
      <c r="AM1140" s="77"/>
      <c r="AN1140" s="77"/>
      <c r="AO1140" s="77"/>
      <c r="AP1140" s="77"/>
      <c r="AQ1140" s="77" t="s">
        <v>11229</v>
      </c>
      <c r="AR1140" s="77"/>
      <c r="AS1140" s="77"/>
      <c r="AT1140" s="77"/>
      <c r="AU1140" s="77"/>
      <c r="AV1140" s="80" t="str">
        <f>HYPERLINK("https://pbs.twimg.com/media/F1bHNJgWcAEu5dW.jpg")</f>
        <v>https://pbs.twimg.com/media/F1bHNJgWcAEu5dW.jpg</v>
      </c>
      <c r="AW1140" s="82" t="s">
        <v>12806</v>
      </c>
      <c r="AX1140" s="82" t="s">
        <v>12806</v>
      </c>
      <c r="AY1140" s="77"/>
      <c r="AZ1140" s="82" t="s">
        <v>15984</v>
      </c>
      <c r="BA1140" s="82" t="s">
        <v>15984</v>
      </c>
      <c r="BB1140" s="82" t="s">
        <v>15984</v>
      </c>
      <c r="BC1140" s="82" t="s">
        <v>12806</v>
      </c>
      <c r="BD1140" s="82" t="s">
        <v>16309</v>
      </c>
      <c r="BE1140" s="77"/>
      <c r="BF1140" s="77"/>
      <c r="BG1140" s="77"/>
      <c r="BH1140" s="77"/>
      <c r="BI1140" s="77"/>
    </row>
    <row r="1141" spans="1:61" x14ac:dyDescent="0.25">
      <c r="A1141" s="62" t="s">
        <v>583</v>
      </c>
      <c r="B1141" s="62" t="s">
        <v>583</v>
      </c>
      <c r="C1141" s="63"/>
      <c r="D1141" s="64"/>
      <c r="E1141" s="65"/>
      <c r="F1141" s="66"/>
      <c r="G1141" s="63"/>
      <c r="H1141" s="67"/>
      <c r="I1141" s="68"/>
      <c r="J1141" s="68"/>
      <c r="K1141" s="32"/>
      <c r="L1141" s="75">
        <v>1141</v>
      </c>
      <c r="M1141" s="75"/>
      <c r="N1141" s="70"/>
      <c r="O1141" s="77" t="s">
        <v>179</v>
      </c>
      <c r="P1141" s="79">
        <v>45142.663912037038</v>
      </c>
      <c r="Q1141" s="77" t="s">
        <v>1924</v>
      </c>
      <c r="R1141" s="77">
        <v>1</v>
      </c>
      <c r="S1141" s="77">
        <v>3</v>
      </c>
      <c r="T1141" s="77">
        <v>0</v>
      </c>
      <c r="U1141" s="77">
        <v>0</v>
      </c>
      <c r="V1141" s="77">
        <v>53</v>
      </c>
      <c r="W1141" s="82" t="s">
        <v>5390</v>
      </c>
      <c r="X1141" s="80" t="str">
        <f>HYPERLINK("https://www.comlucro.com.br/analise-tecnica/barras-ou-velas-candlestick/harami-de-baixa-em-cruz-bearish-harami-cross/")</f>
        <v>https://www.comlucro.com.br/analise-tecnica/barras-ou-velas-candlestick/harami-de-baixa-em-cruz-bearish-harami-cross/</v>
      </c>
      <c r="Y1141" s="77" t="s">
        <v>6470</v>
      </c>
      <c r="Z1141" s="77"/>
      <c r="AA1141" s="77" t="s">
        <v>7258</v>
      </c>
      <c r="AB1141" s="77" t="s">
        <v>7742</v>
      </c>
      <c r="AC1141" s="82" t="s">
        <v>7750</v>
      </c>
      <c r="AD1141" s="77" t="s">
        <v>7791</v>
      </c>
      <c r="AE1141" s="80" t="str">
        <f>HYPERLINK("https://twitter.com/canalcomlucro/status/1687492599161008129")</f>
        <v>https://twitter.com/canalcomlucro/status/1687492599161008129</v>
      </c>
      <c r="AF1141" s="79">
        <v>45142.663912037038</v>
      </c>
      <c r="AG1141" s="85">
        <v>45142</v>
      </c>
      <c r="AH1141" s="82" t="s">
        <v>8784</v>
      </c>
      <c r="AI1141" s="77" t="b">
        <v>0</v>
      </c>
      <c r="AJ1141" s="77"/>
      <c r="AK1141" s="77"/>
      <c r="AL1141" s="77"/>
      <c r="AM1141" s="77"/>
      <c r="AN1141" s="77"/>
      <c r="AO1141" s="77"/>
      <c r="AP1141" s="77"/>
      <c r="AQ1141" s="77" t="s">
        <v>11230</v>
      </c>
      <c r="AR1141" s="77"/>
      <c r="AS1141" s="77"/>
      <c r="AT1141" s="77"/>
      <c r="AU1141" s="77"/>
      <c r="AV1141" s="80" t="str">
        <f>HYPERLINK("https://pbs.twimg.com/media/F2stkkOWoAAleAE.jpg")</f>
        <v>https://pbs.twimg.com/media/F2stkkOWoAAleAE.jpg</v>
      </c>
      <c r="AW1141" s="82" t="s">
        <v>12807</v>
      </c>
      <c r="AX1141" s="82" t="s">
        <v>12807</v>
      </c>
      <c r="AY1141" s="77"/>
      <c r="AZ1141" s="82" t="s">
        <v>15984</v>
      </c>
      <c r="BA1141" s="82" t="s">
        <v>15984</v>
      </c>
      <c r="BB1141" s="82" t="s">
        <v>15984</v>
      </c>
      <c r="BC1141" s="82" t="s">
        <v>12807</v>
      </c>
      <c r="BD1141" s="82" t="s">
        <v>16309</v>
      </c>
      <c r="BE1141" s="77"/>
      <c r="BF1141" s="77"/>
      <c r="BG1141" s="77"/>
      <c r="BH1141" s="77"/>
      <c r="BI1141" s="77"/>
    </row>
    <row r="1142" spans="1:61" x14ac:dyDescent="0.25">
      <c r="A1142" s="62" t="s">
        <v>583</v>
      </c>
      <c r="B1142" s="62" t="s">
        <v>583</v>
      </c>
      <c r="C1142" s="63"/>
      <c r="D1142" s="64"/>
      <c r="E1142" s="65"/>
      <c r="F1142" s="66"/>
      <c r="G1142" s="63"/>
      <c r="H1142" s="67"/>
      <c r="I1142" s="68"/>
      <c r="J1142" s="68"/>
      <c r="K1142" s="32"/>
      <c r="L1142" s="75">
        <v>1142</v>
      </c>
      <c r="M1142" s="75"/>
      <c r="N1142" s="70"/>
      <c r="O1142" s="77" t="s">
        <v>179</v>
      </c>
      <c r="P1142" s="79">
        <v>45142.649664351855</v>
      </c>
      <c r="Q1142" s="77" t="s">
        <v>1925</v>
      </c>
      <c r="R1142" s="77">
        <v>1</v>
      </c>
      <c r="S1142" s="77">
        <v>3</v>
      </c>
      <c r="T1142" s="77">
        <v>2</v>
      </c>
      <c r="U1142" s="77">
        <v>0</v>
      </c>
      <c r="V1142" s="77">
        <v>24</v>
      </c>
      <c r="W1142" s="82" t="s">
        <v>5391</v>
      </c>
      <c r="X1142" s="80" t="str">
        <f>HYPERLINK("https://www.comlucro.com.br/analise-tecnica/barras-ou-velas-candlestick/harami-de-baixa-bearish-harami/")</f>
        <v>https://www.comlucro.com.br/analise-tecnica/barras-ou-velas-candlestick/harami-de-baixa-bearish-harami/</v>
      </c>
      <c r="Y1142" s="77" t="s">
        <v>6470</v>
      </c>
      <c r="Z1142" s="77"/>
      <c r="AA1142" s="77" t="s">
        <v>7259</v>
      </c>
      <c r="AB1142" s="77" t="s">
        <v>7742</v>
      </c>
      <c r="AC1142" s="82" t="s">
        <v>7750</v>
      </c>
      <c r="AD1142" s="77" t="s">
        <v>7791</v>
      </c>
      <c r="AE1142" s="80" t="str">
        <f>HYPERLINK("https://twitter.com/canalcomlucro/status/1687487438220877824")</f>
        <v>https://twitter.com/canalcomlucro/status/1687487438220877824</v>
      </c>
      <c r="AF1142" s="79">
        <v>45142.649664351855</v>
      </c>
      <c r="AG1142" s="85">
        <v>45142</v>
      </c>
      <c r="AH1142" s="82" t="s">
        <v>8785</v>
      </c>
      <c r="AI1142" s="77" t="b">
        <v>0</v>
      </c>
      <c r="AJ1142" s="77"/>
      <c r="AK1142" s="77"/>
      <c r="AL1142" s="77"/>
      <c r="AM1142" s="77"/>
      <c r="AN1142" s="77"/>
      <c r="AO1142" s="77"/>
      <c r="AP1142" s="77"/>
      <c r="AQ1142" s="77" t="s">
        <v>11231</v>
      </c>
      <c r="AR1142" s="77"/>
      <c r="AS1142" s="77"/>
      <c r="AT1142" s="77"/>
      <c r="AU1142" s="77"/>
      <c r="AV1142" s="80" t="str">
        <f>HYPERLINK("https://pbs.twimg.com/media/F2so4N2WsAE88Ga.jpg")</f>
        <v>https://pbs.twimg.com/media/F2so4N2WsAE88Ga.jpg</v>
      </c>
      <c r="AW1142" s="82" t="s">
        <v>12808</v>
      </c>
      <c r="AX1142" s="82" t="s">
        <v>12808</v>
      </c>
      <c r="AY1142" s="77"/>
      <c r="AZ1142" s="82" t="s">
        <v>15984</v>
      </c>
      <c r="BA1142" s="82" t="s">
        <v>15984</v>
      </c>
      <c r="BB1142" s="82" t="s">
        <v>15984</v>
      </c>
      <c r="BC1142" s="82" t="s">
        <v>12808</v>
      </c>
      <c r="BD1142" s="82" t="s">
        <v>16309</v>
      </c>
      <c r="BE1142" s="77"/>
      <c r="BF1142" s="77"/>
      <c r="BG1142" s="77"/>
      <c r="BH1142" s="77"/>
      <c r="BI1142" s="77"/>
    </row>
    <row r="1143" spans="1:61" x14ac:dyDescent="0.25">
      <c r="A1143" s="62" t="s">
        <v>583</v>
      </c>
      <c r="B1143" s="62" t="s">
        <v>583</v>
      </c>
      <c r="C1143" s="63"/>
      <c r="D1143" s="64"/>
      <c r="E1143" s="65"/>
      <c r="F1143" s="66"/>
      <c r="G1143" s="63"/>
      <c r="H1143" s="67"/>
      <c r="I1143" s="68"/>
      <c r="J1143" s="68"/>
      <c r="K1143" s="32"/>
      <c r="L1143" s="75">
        <v>1143</v>
      </c>
      <c r="M1143" s="75"/>
      <c r="N1143" s="70"/>
      <c r="O1143" s="77" t="s">
        <v>179</v>
      </c>
      <c r="P1143" s="79">
        <v>45142.640914351854</v>
      </c>
      <c r="Q1143" s="77" t="s">
        <v>1926</v>
      </c>
      <c r="R1143" s="77">
        <v>1</v>
      </c>
      <c r="S1143" s="77">
        <v>3</v>
      </c>
      <c r="T1143" s="77">
        <v>1</v>
      </c>
      <c r="U1143" s="77">
        <v>0</v>
      </c>
      <c r="V1143" s="77">
        <v>18</v>
      </c>
      <c r="W1143" s="82" t="s">
        <v>5392</v>
      </c>
      <c r="X1143" s="80" t="str">
        <f>HYPERLINK("https://www.comlucro.com.br/analise-tecnica/barras-ou-velas-candlestick/harami-de-alta-em-cruz-bullish-harami-cross/")</f>
        <v>https://www.comlucro.com.br/analise-tecnica/barras-ou-velas-candlestick/harami-de-alta-em-cruz-bullish-harami-cross/</v>
      </c>
      <c r="Y1143" s="77" t="s">
        <v>6470</v>
      </c>
      <c r="Z1143" s="77"/>
      <c r="AA1143" s="77" t="s">
        <v>7260</v>
      </c>
      <c r="AB1143" s="77" t="s">
        <v>7742</v>
      </c>
      <c r="AC1143" s="82" t="s">
        <v>7750</v>
      </c>
      <c r="AD1143" s="77" t="s">
        <v>7791</v>
      </c>
      <c r="AE1143" s="80" t="str">
        <f>HYPERLINK("https://twitter.com/canalcomlucro/status/1687484264768475137")</f>
        <v>https://twitter.com/canalcomlucro/status/1687484264768475137</v>
      </c>
      <c r="AF1143" s="79">
        <v>45142.640914351854</v>
      </c>
      <c r="AG1143" s="85">
        <v>45142</v>
      </c>
      <c r="AH1143" s="82" t="s">
        <v>8786</v>
      </c>
      <c r="AI1143" s="77" t="b">
        <v>0</v>
      </c>
      <c r="AJ1143" s="77"/>
      <c r="AK1143" s="77"/>
      <c r="AL1143" s="77"/>
      <c r="AM1143" s="77"/>
      <c r="AN1143" s="77"/>
      <c r="AO1143" s="77"/>
      <c r="AP1143" s="77"/>
      <c r="AQ1143" s="77" t="s">
        <v>11232</v>
      </c>
      <c r="AR1143" s="77"/>
      <c r="AS1143" s="77"/>
      <c r="AT1143" s="77"/>
      <c r="AU1143" s="77"/>
      <c r="AV1143" s="80" t="str">
        <f>HYPERLINK("https://pbs.twimg.com/media/F2sl_dRW8AAaKKD.jpg")</f>
        <v>https://pbs.twimg.com/media/F2sl_dRW8AAaKKD.jpg</v>
      </c>
      <c r="AW1143" s="82" t="s">
        <v>12809</v>
      </c>
      <c r="AX1143" s="82" t="s">
        <v>12809</v>
      </c>
      <c r="AY1143" s="77"/>
      <c r="AZ1143" s="82" t="s">
        <v>15984</v>
      </c>
      <c r="BA1143" s="82" t="s">
        <v>15984</v>
      </c>
      <c r="BB1143" s="82" t="s">
        <v>15984</v>
      </c>
      <c r="BC1143" s="82" t="s">
        <v>12809</v>
      </c>
      <c r="BD1143" s="82" t="s">
        <v>16309</v>
      </c>
      <c r="BE1143" s="77"/>
      <c r="BF1143" s="77"/>
      <c r="BG1143" s="77"/>
      <c r="BH1143" s="77"/>
      <c r="BI1143" s="77"/>
    </row>
    <row r="1144" spans="1:61" x14ac:dyDescent="0.25">
      <c r="A1144" s="62" t="s">
        <v>583</v>
      </c>
      <c r="B1144" s="62" t="s">
        <v>583</v>
      </c>
      <c r="C1144" s="63"/>
      <c r="D1144" s="64"/>
      <c r="E1144" s="65"/>
      <c r="F1144" s="66"/>
      <c r="G1144" s="63"/>
      <c r="H1144" s="67"/>
      <c r="I1144" s="68"/>
      <c r="J1144" s="68"/>
      <c r="K1144" s="32"/>
      <c r="L1144" s="75">
        <v>1144</v>
      </c>
      <c r="M1144" s="75"/>
      <c r="N1144" s="70"/>
      <c r="O1144" s="77" t="s">
        <v>179</v>
      </c>
      <c r="P1144" s="79">
        <v>45125.463379629633</v>
      </c>
      <c r="Q1144" s="77" t="s">
        <v>1927</v>
      </c>
      <c r="R1144" s="77">
        <v>1</v>
      </c>
      <c r="S1144" s="77">
        <v>2</v>
      </c>
      <c r="T1144" s="77">
        <v>0</v>
      </c>
      <c r="U1144" s="77">
        <v>0</v>
      </c>
      <c r="V1144" s="77">
        <v>17</v>
      </c>
      <c r="W1144" s="82" t="s">
        <v>5393</v>
      </c>
      <c r="X1144" s="80" t="str">
        <f>HYPERLINK("https://www.comlucro.com.br/bull-trap-armadilha-de-touros-um-guia-completo/")</f>
        <v>https://www.comlucro.com.br/bull-trap-armadilha-de-touros-um-guia-completo/</v>
      </c>
      <c r="Y1144" s="77" t="s">
        <v>6470</v>
      </c>
      <c r="Z1144" s="77"/>
      <c r="AA1144" s="77" t="s">
        <v>7261</v>
      </c>
      <c r="AB1144" s="77" t="s">
        <v>7742</v>
      </c>
      <c r="AC1144" s="82" t="s">
        <v>7750</v>
      </c>
      <c r="AD1144" s="77" t="s">
        <v>7791</v>
      </c>
      <c r="AE1144" s="80" t="str">
        <f>HYPERLINK("https://twitter.com/canalcomlucro/status/1681259336415211520")</f>
        <v>https://twitter.com/canalcomlucro/status/1681259336415211520</v>
      </c>
      <c r="AF1144" s="79">
        <v>45125.463379629633</v>
      </c>
      <c r="AG1144" s="85">
        <v>45125</v>
      </c>
      <c r="AH1144" s="82" t="s">
        <v>8787</v>
      </c>
      <c r="AI1144" s="77" t="b">
        <v>0</v>
      </c>
      <c r="AJ1144" s="77"/>
      <c r="AK1144" s="77"/>
      <c r="AL1144" s="77"/>
      <c r="AM1144" s="77"/>
      <c r="AN1144" s="77"/>
      <c r="AO1144" s="77"/>
      <c r="AP1144" s="77"/>
      <c r="AQ1144" s="77" t="s">
        <v>11233</v>
      </c>
      <c r="AR1144" s="77"/>
      <c r="AS1144" s="77"/>
      <c r="AT1144" s="77"/>
      <c r="AU1144" s="77"/>
      <c r="AV1144" s="80" t="str">
        <f>HYPERLINK("https://pbs.twimg.com/media/F1UIckpWcAIbNG7.jpg")</f>
        <v>https://pbs.twimg.com/media/F1UIckpWcAIbNG7.jpg</v>
      </c>
      <c r="AW1144" s="82" t="s">
        <v>12810</v>
      </c>
      <c r="AX1144" s="82" t="s">
        <v>12810</v>
      </c>
      <c r="AY1144" s="77"/>
      <c r="AZ1144" s="82" t="s">
        <v>15984</v>
      </c>
      <c r="BA1144" s="82" t="s">
        <v>15984</v>
      </c>
      <c r="BB1144" s="82" t="s">
        <v>15984</v>
      </c>
      <c r="BC1144" s="82" t="s">
        <v>12810</v>
      </c>
      <c r="BD1144" s="82" t="s">
        <v>16309</v>
      </c>
      <c r="BE1144" s="77"/>
      <c r="BF1144" s="77"/>
      <c r="BG1144" s="77"/>
      <c r="BH1144" s="77"/>
      <c r="BI1144" s="77"/>
    </row>
    <row r="1145" spans="1:61" x14ac:dyDescent="0.25">
      <c r="A1145" s="62" t="s">
        <v>583</v>
      </c>
      <c r="B1145" s="62" t="s">
        <v>583</v>
      </c>
      <c r="C1145" s="63"/>
      <c r="D1145" s="64"/>
      <c r="E1145" s="65"/>
      <c r="F1145" s="66"/>
      <c r="G1145" s="63"/>
      <c r="H1145" s="67"/>
      <c r="I1145" s="68"/>
      <c r="J1145" s="68"/>
      <c r="K1145" s="32"/>
      <c r="L1145" s="75">
        <v>1145</v>
      </c>
      <c r="M1145" s="75"/>
      <c r="N1145" s="70"/>
      <c r="O1145" s="77" t="s">
        <v>179</v>
      </c>
      <c r="P1145" s="79">
        <v>45125.462557870371</v>
      </c>
      <c r="Q1145" s="77" t="s">
        <v>1928</v>
      </c>
      <c r="R1145" s="77">
        <v>1</v>
      </c>
      <c r="S1145" s="77">
        <v>2</v>
      </c>
      <c r="T1145" s="77">
        <v>0</v>
      </c>
      <c r="U1145" s="77">
        <v>0</v>
      </c>
      <c r="V1145" s="77">
        <v>17</v>
      </c>
      <c r="W1145" s="82" t="s">
        <v>5394</v>
      </c>
      <c r="X1145" s="80" t="str">
        <f>HYPERLINK("https://www.comlucro.com.br/bear-trap-armadilha-de-urso-um-guia-completo/")</f>
        <v>https://www.comlucro.com.br/bear-trap-armadilha-de-urso-um-guia-completo/</v>
      </c>
      <c r="Y1145" s="77" t="s">
        <v>6470</v>
      </c>
      <c r="Z1145" s="77"/>
      <c r="AA1145" s="77" t="s">
        <v>7262</v>
      </c>
      <c r="AB1145" s="77" t="s">
        <v>7742</v>
      </c>
      <c r="AC1145" s="82" t="s">
        <v>7750</v>
      </c>
      <c r="AD1145" s="77" t="s">
        <v>7791</v>
      </c>
      <c r="AE1145" s="80" t="str">
        <f>HYPERLINK("https://twitter.com/canalcomlucro/status/1681259038342873088")</f>
        <v>https://twitter.com/canalcomlucro/status/1681259038342873088</v>
      </c>
      <c r="AF1145" s="79">
        <v>45125.462557870371</v>
      </c>
      <c r="AG1145" s="85">
        <v>45125</v>
      </c>
      <c r="AH1145" s="82" t="s">
        <v>8788</v>
      </c>
      <c r="AI1145" s="77" t="b">
        <v>0</v>
      </c>
      <c r="AJ1145" s="77"/>
      <c r="AK1145" s="77"/>
      <c r="AL1145" s="77"/>
      <c r="AM1145" s="77"/>
      <c r="AN1145" s="77"/>
      <c r="AO1145" s="77"/>
      <c r="AP1145" s="77"/>
      <c r="AQ1145" s="77" t="s">
        <v>11234</v>
      </c>
      <c r="AR1145" s="77"/>
      <c r="AS1145" s="77"/>
      <c r="AT1145" s="77"/>
      <c r="AU1145" s="77"/>
      <c r="AV1145" s="80" t="str">
        <f>HYPERLINK("https://pbs.twimg.com/media/F1UILfMWIAU8XYY.jpg")</f>
        <v>https://pbs.twimg.com/media/F1UILfMWIAU8XYY.jpg</v>
      </c>
      <c r="AW1145" s="82" t="s">
        <v>12811</v>
      </c>
      <c r="AX1145" s="82" t="s">
        <v>12811</v>
      </c>
      <c r="AY1145" s="77"/>
      <c r="AZ1145" s="82" t="s">
        <v>15984</v>
      </c>
      <c r="BA1145" s="82" t="s">
        <v>15984</v>
      </c>
      <c r="BB1145" s="82" t="s">
        <v>15984</v>
      </c>
      <c r="BC1145" s="82" t="s">
        <v>12811</v>
      </c>
      <c r="BD1145" s="82" t="s">
        <v>16309</v>
      </c>
      <c r="BE1145" s="77"/>
      <c r="BF1145" s="77"/>
      <c r="BG1145" s="77"/>
      <c r="BH1145" s="77"/>
      <c r="BI1145" s="77"/>
    </row>
    <row r="1146" spans="1:61" x14ac:dyDescent="0.25">
      <c r="A1146" s="62" t="s">
        <v>583</v>
      </c>
      <c r="B1146" s="62" t="s">
        <v>583</v>
      </c>
      <c r="C1146" s="63"/>
      <c r="D1146" s="64"/>
      <c r="E1146" s="65"/>
      <c r="F1146" s="66"/>
      <c r="G1146" s="63"/>
      <c r="H1146" s="67"/>
      <c r="I1146" s="68"/>
      <c r="J1146" s="68"/>
      <c r="K1146" s="32"/>
      <c r="L1146" s="75">
        <v>1146</v>
      </c>
      <c r="M1146" s="75"/>
      <c r="N1146" s="70"/>
      <c r="O1146" s="77" t="s">
        <v>179</v>
      </c>
      <c r="P1146" s="79">
        <v>45145.744270833333</v>
      </c>
      <c r="Q1146" s="77" t="s">
        <v>1929</v>
      </c>
      <c r="R1146" s="77">
        <v>1</v>
      </c>
      <c r="S1146" s="77">
        <v>3</v>
      </c>
      <c r="T1146" s="77">
        <v>0</v>
      </c>
      <c r="U1146" s="77">
        <v>0</v>
      </c>
      <c r="V1146" s="77">
        <v>12</v>
      </c>
      <c r="W1146" s="82" t="s">
        <v>5395</v>
      </c>
      <c r="X1146" s="80" t="str">
        <f>HYPERLINK("https://www.comlucro.com.br/analise-tecnica/barras-ou-velas-candlestick/mat-hold-de-alta-bullish-mat-hold/")</f>
        <v>https://www.comlucro.com.br/analise-tecnica/barras-ou-velas-candlestick/mat-hold-de-alta-bullish-mat-hold/</v>
      </c>
      <c r="Y1146" s="77" t="s">
        <v>6470</v>
      </c>
      <c r="Z1146" s="77"/>
      <c r="AA1146" s="77" t="s">
        <v>7263</v>
      </c>
      <c r="AB1146" s="77" t="s">
        <v>7742</v>
      </c>
      <c r="AC1146" s="82" t="s">
        <v>7750</v>
      </c>
      <c r="AD1146" s="77" t="s">
        <v>7791</v>
      </c>
      <c r="AE1146" s="80" t="str">
        <f>HYPERLINK("https://twitter.com/canalcomlucro/status/1688608883458052096")</f>
        <v>https://twitter.com/canalcomlucro/status/1688608883458052096</v>
      </c>
      <c r="AF1146" s="79">
        <v>45145.744270833333</v>
      </c>
      <c r="AG1146" s="85">
        <v>45145</v>
      </c>
      <c r="AH1146" s="82" t="s">
        <v>8789</v>
      </c>
      <c r="AI1146" s="77" t="b">
        <v>0</v>
      </c>
      <c r="AJ1146" s="77"/>
      <c r="AK1146" s="77"/>
      <c r="AL1146" s="77"/>
      <c r="AM1146" s="77"/>
      <c r="AN1146" s="77"/>
      <c r="AO1146" s="77"/>
      <c r="AP1146" s="77"/>
      <c r="AQ1146" s="77" t="s">
        <v>11235</v>
      </c>
      <c r="AR1146" s="77"/>
      <c r="AS1146" s="77"/>
      <c r="AT1146" s="77"/>
      <c r="AU1146" s="77"/>
      <c r="AV1146" s="80" t="str">
        <f>HYPERLINK("https://pbs.twimg.com/media/F28k0rjXEAAoICO.jpg")</f>
        <v>https://pbs.twimg.com/media/F28k0rjXEAAoICO.jpg</v>
      </c>
      <c r="AW1146" s="82" t="s">
        <v>12812</v>
      </c>
      <c r="AX1146" s="82" t="s">
        <v>12812</v>
      </c>
      <c r="AY1146" s="77"/>
      <c r="AZ1146" s="82" t="s">
        <v>15984</v>
      </c>
      <c r="BA1146" s="82" t="s">
        <v>15984</v>
      </c>
      <c r="BB1146" s="82" t="s">
        <v>15984</v>
      </c>
      <c r="BC1146" s="82" t="s">
        <v>12812</v>
      </c>
      <c r="BD1146" s="82" t="s">
        <v>16309</v>
      </c>
      <c r="BE1146" s="77"/>
      <c r="BF1146" s="77"/>
      <c r="BG1146" s="77"/>
      <c r="BH1146" s="77"/>
      <c r="BI1146" s="77"/>
    </row>
    <row r="1147" spans="1:61" x14ac:dyDescent="0.25">
      <c r="A1147" s="62" t="s">
        <v>583</v>
      </c>
      <c r="B1147" s="62" t="s">
        <v>583</v>
      </c>
      <c r="C1147" s="63"/>
      <c r="D1147" s="64"/>
      <c r="E1147" s="65"/>
      <c r="F1147" s="66"/>
      <c r="G1147" s="63"/>
      <c r="H1147" s="67"/>
      <c r="I1147" s="68"/>
      <c r="J1147" s="68"/>
      <c r="K1147" s="32"/>
      <c r="L1147" s="75">
        <v>1147</v>
      </c>
      <c r="M1147" s="75"/>
      <c r="N1147" s="70"/>
      <c r="O1147" s="77" t="s">
        <v>179</v>
      </c>
      <c r="P1147" s="79">
        <v>45145.662418981483</v>
      </c>
      <c r="Q1147" s="77" t="s">
        <v>1930</v>
      </c>
      <c r="R1147" s="77">
        <v>1</v>
      </c>
      <c r="S1147" s="77">
        <v>3</v>
      </c>
      <c r="T1147" s="77">
        <v>0</v>
      </c>
      <c r="U1147" s="77">
        <v>0</v>
      </c>
      <c r="V1147" s="77">
        <v>12</v>
      </c>
      <c r="W1147" s="82" t="s">
        <v>5396</v>
      </c>
      <c r="X1147" s="80" t="str">
        <f>HYPERLINK("https://www.comlucro.com.br/analise-tecnica/barras-ou-velas-candlestick/tres-por-dentro-de-alta-three-inside-up/")</f>
        <v>https://www.comlucro.com.br/analise-tecnica/barras-ou-velas-candlestick/tres-por-dentro-de-alta-three-inside-up/</v>
      </c>
      <c r="Y1147" s="77" t="s">
        <v>6470</v>
      </c>
      <c r="Z1147" s="77"/>
      <c r="AA1147" s="77" t="s">
        <v>7264</v>
      </c>
      <c r="AB1147" s="77" t="s">
        <v>7742</v>
      </c>
      <c r="AC1147" s="82" t="s">
        <v>7750</v>
      </c>
      <c r="AD1147" s="77" t="s">
        <v>7791</v>
      </c>
      <c r="AE1147" s="80" t="str">
        <f>HYPERLINK("https://twitter.com/canalcomlucro/status/1688579223101825024")</f>
        <v>https://twitter.com/canalcomlucro/status/1688579223101825024</v>
      </c>
      <c r="AF1147" s="79">
        <v>45145.662418981483</v>
      </c>
      <c r="AG1147" s="85">
        <v>45145</v>
      </c>
      <c r="AH1147" s="82" t="s">
        <v>8790</v>
      </c>
      <c r="AI1147" s="77" t="b">
        <v>0</v>
      </c>
      <c r="AJ1147" s="77"/>
      <c r="AK1147" s="77"/>
      <c r="AL1147" s="77"/>
      <c r="AM1147" s="77"/>
      <c r="AN1147" s="77"/>
      <c r="AO1147" s="77"/>
      <c r="AP1147" s="77"/>
      <c r="AQ1147" s="77" t="s">
        <v>11236</v>
      </c>
      <c r="AR1147" s="77"/>
      <c r="AS1147" s="77"/>
      <c r="AT1147" s="77"/>
      <c r="AU1147" s="77"/>
      <c r="AV1147" s="80" t="str">
        <f>HYPERLINK("https://pbs.twimg.com/media/F28J2dgXoAITZAv.jpg")</f>
        <v>https://pbs.twimg.com/media/F28J2dgXoAITZAv.jpg</v>
      </c>
      <c r="AW1147" s="82" t="s">
        <v>12813</v>
      </c>
      <c r="AX1147" s="82" t="s">
        <v>12813</v>
      </c>
      <c r="AY1147" s="77"/>
      <c r="AZ1147" s="82" t="s">
        <v>15984</v>
      </c>
      <c r="BA1147" s="82" t="s">
        <v>15984</v>
      </c>
      <c r="BB1147" s="82" t="s">
        <v>15984</v>
      </c>
      <c r="BC1147" s="82" t="s">
        <v>12813</v>
      </c>
      <c r="BD1147" s="82" t="s">
        <v>16309</v>
      </c>
      <c r="BE1147" s="77"/>
      <c r="BF1147" s="77"/>
      <c r="BG1147" s="77"/>
      <c r="BH1147" s="77"/>
      <c r="BI1147" s="77"/>
    </row>
    <row r="1148" spans="1:61" x14ac:dyDescent="0.25">
      <c r="A1148" s="62" t="s">
        <v>583</v>
      </c>
      <c r="B1148" s="62" t="s">
        <v>583</v>
      </c>
      <c r="C1148" s="63"/>
      <c r="D1148" s="64"/>
      <c r="E1148" s="65"/>
      <c r="F1148" s="66"/>
      <c r="G1148" s="63"/>
      <c r="H1148" s="67"/>
      <c r="I1148" s="68"/>
      <c r="J1148" s="68"/>
      <c r="K1148" s="32"/>
      <c r="L1148" s="75">
        <v>1148</v>
      </c>
      <c r="M1148" s="75"/>
      <c r="N1148" s="70"/>
      <c r="O1148" s="77" t="s">
        <v>179</v>
      </c>
      <c r="P1148" s="79">
        <v>45145.607222222221</v>
      </c>
      <c r="Q1148" s="77" t="s">
        <v>1931</v>
      </c>
      <c r="R1148" s="77">
        <v>1</v>
      </c>
      <c r="S1148" s="77">
        <v>3</v>
      </c>
      <c r="T1148" s="77">
        <v>1</v>
      </c>
      <c r="U1148" s="77">
        <v>0</v>
      </c>
      <c r="V1148" s="77">
        <v>12</v>
      </c>
      <c r="W1148" s="82" t="s">
        <v>5397</v>
      </c>
      <c r="X1148" s="80" t="str">
        <f>HYPERLINK("https://www.comlucro.com.br/analise-tecnica/barras-ou-velas-candlestick/linha-de-contra-ataque-de-baixa-bearish-counterattack-line/")</f>
        <v>https://www.comlucro.com.br/analise-tecnica/barras-ou-velas-candlestick/linha-de-contra-ataque-de-baixa-bearish-counterattack-line/</v>
      </c>
      <c r="Y1148" s="77" t="s">
        <v>6470</v>
      </c>
      <c r="Z1148" s="77"/>
      <c r="AA1148" s="77" t="s">
        <v>7265</v>
      </c>
      <c r="AB1148" s="77" t="s">
        <v>7742</v>
      </c>
      <c r="AC1148" s="82" t="s">
        <v>7750</v>
      </c>
      <c r="AD1148" s="77" t="s">
        <v>7791</v>
      </c>
      <c r="AE1148" s="80" t="str">
        <f>HYPERLINK("https://twitter.com/canalcomlucro/status/1688559217966301184")</f>
        <v>https://twitter.com/canalcomlucro/status/1688559217966301184</v>
      </c>
      <c r="AF1148" s="79">
        <v>45145.607222222221</v>
      </c>
      <c r="AG1148" s="85">
        <v>45145</v>
      </c>
      <c r="AH1148" s="82" t="s">
        <v>8791</v>
      </c>
      <c r="AI1148" s="77" t="b">
        <v>0</v>
      </c>
      <c r="AJ1148" s="77"/>
      <c r="AK1148" s="77"/>
      <c r="AL1148" s="77"/>
      <c r="AM1148" s="77"/>
      <c r="AN1148" s="77"/>
      <c r="AO1148" s="77"/>
      <c r="AP1148" s="77"/>
      <c r="AQ1148" s="77" t="s">
        <v>11237</v>
      </c>
      <c r="AR1148" s="77"/>
      <c r="AS1148" s="77"/>
      <c r="AT1148" s="77"/>
      <c r="AU1148" s="77"/>
      <c r="AV1148" s="80" t="str">
        <f>HYPERLINK("https://pbs.twimg.com/media/F273p0cW0AAGZ76.jpg")</f>
        <v>https://pbs.twimg.com/media/F273p0cW0AAGZ76.jpg</v>
      </c>
      <c r="AW1148" s="82" t="s">
        <v>12814</v>
      </c>
      <c r="AX1148" s="82" t="s">
        <v>12814</v>
      </c>
      <c r="AY1148" s="77"/>
      <c r="AZ1148" s="82" t="s">
        <v>15984</v>
      </c>
      <c r="BA1148" s="82" t="s">
        <v>15984</v>
      </c>
      <c r="BB1148" s="82" t="s">
        <v>15984</v>
      </c>
      <c r="BC1148" s="82" t="s">
        <v>12814</v>
      </c>
      <c r="BD1148" s="82" t="s">
        <v>16309</v>
      </c>
      <c r="BE1148" s="77"/>
      <c r="BF1148" s="77"/>
      <c r="BG1148" s="77"/>
      <c r="BH1148" s="77"/>
      <c r="BI1148" s="77"/>
    </row>
    <row r="1149" spans="1:61" x14ac:dyDescent="0.25">
      <c r="A1149" s="62" t="s">
        <v>583</v>
      </c>
      <c r="B1149" s="62" t="s">
        <v>583</v>
      </c>
      <c r="C1149" s="63"/>
      <c r="D1149" s="64"/>
      <c r="E1149" s="65"/>
      <c r="F1149" s="66"/>
      <c r="G1149" s="63"/>
      <c r="H1149" s="67"/>
      <c r="I1149" s="68"/>
      <c r="J1149" s="68"/>
      <c r="K1149" s="32"/>
      <c r="L1149" s="75">
        <v>1149</v>
      </c>
      <c r="M1149" s="75"/>
      <c r="N1149" s="70"/>
      <c r="O1149" s="77" t="s">
        <v>179</v>
      </c>
      <c r="P1149" s="79">
        <v>45134.718946759262</v>
      </c>
      <c r="Q1149" s="77" t="s">
        <v>1932</v>
      </c>
      <c r="R1149" s="77">
        <v>1</v>
      </c>
      <c r="S1149" s="77">
        <v>4</v>
      </c>
      <c r="T1149" s="77">
        <v>0</v>
      </c>
      <c r="U1149" s="77">
        <v>0</v>
      </c>
      <c r="V1149" s="77">
        <v>10</v>
      </c>
      <c r="W1149" s="82" t="s">
        <v>5398</v>
      </c>
      <c r="X1149" s="80" t="str">
        <f>HYPERLINK("https://www.comlucro.com.br/analise-tecnica/barras-ou-velas-candlestick/decifrando-a-fase-de-acumulacao-atraves-da-psicologia-dos-candles/")</f>
        <v>https://www.comlucro.com.br/analise-tecnica/barras-ou-velas-candlestick/decifrando-a-fase-de-acumulacao-atraves-da-psicologia-dos-candles/</v>
      </c>
      <c r="Y1149" s="77" t="s">
        <v>6470</v>
      </c>
      <c r="Z1149" s="77"/>
      <c r="AA1149" s="77" t="s">
        <v>7266</v>
      </c>
      <c r="AB1149" s="77" t="s">
        <v>7742</v>
      </c>
      <c r="AC1149" s="82" t="s">
        <v>7750</v>
      </c>
      <c r="AD1149" s="77" t="s">
        <v>7791</v>
      </c>
      <c r="AE1149" s="80" t="str">
        <f>HYPERLINK("https://twitter.com/canalcomlucro/status/1684613441326022665")</f>
        <v>https://twitter.com/canalcomlucro/status/1684613441326022665</v>
      </c>
      <c r="AF1149" s="79">
        <v>45134.718946759262</v>
      </c>
      <c r="AG1149" s="85">
        <v>45134</v>
      </c>
      <c r="AH1149" s="82" t="s">
        <v>8792</v>
      </c>
      <c r="AI1149" s="77" t="b">
        <v>0</v>
      </c>
      <c r="AJ1149" s="77"/>
      <c r="AK1149" s="77"/>
      <c r="AL1149" s="77"/>
      <c r="AM1149" s="77"/>
      <c r="AN1149" s="77"/>
      <c r="AO1149" s="77"/>
      <c r="AP1149" s="77"/>
      <c r="AQ1149" s="77" t="s">
        <v>11238</v>
      </c>
      <c r="AR1149" s="77"/>
      <c r="AS1149" s="77"/>
      <c r="AT1149" s="77"/>
      <c r="AU1149" s="77"/>
      <c r="AV1149" s="80" t="str">
        <f>HYPERLINK("https://pbs.twimg.com/media/F2Dy96BWAAsT7Ya.jpg")</f>
        <v>https://pbs.twimg.com/media/F2Dy96BWAAsT7Ya.jpg</v>
      </c>
      <c r="AW1149" s="82" t="s">
        <v>12815</v>
      </c>
      <c r="AX1149" s="82" t="s">
        <v>12815</v>
      </c>
      <c r="AY1149" s="77"/>
      <c r="AZ1149" s="82" t="s">
        <v>15984</v>
      </c>
      <c r="BA1149" s="82" t="s">
        <v>15984</v>
      </c>
      <c r="BB1149" s="82" t="s">
        <v>15984</v>
      </c>
      <c r="BC1149" s="82" t="s">
        <v>12815</v>
      </c>
      <c r="BD1149" s="82" t="s">
        <v>16309</v>
      </c>
      <c r="BE1149" s="77"/>
      <c r="BF1149" s="77"/>
      <c r="BG1149" s="77"/>
      <c r="BH1149" s="77"/>
      <c r="BI1149" s="77"/>
    </row>
    <row r="1150" spans="1:61" x14ac:dyDescent="0.25">
      <c r="A1150" s="62" t="s">
        <v>583</v>
      </c>
      <c r="B1150" s="62" t="s">
        <v>583</v>
      </c>
      <c r="C1150" s="63"/>
      <c r="D1150" s="64"/>
      <c r="E1150" s="65"/>
      <c r="F1150" s="66"/>
      <c r="G1150" s="63"/>
      <c r="H1150" s="67"/>
      <c r="I1150" s="68"/>
      <c r="J1150" s="68"/>
      <c r="K1150" s="32"/>
      <c r="L1150" s="75">
        <v>1150</v>
      </c>
      <c r="M1150" s="75"/>
      <c r="N1150" s="70"/>
      <c r="O1150" s="77" t="s">
        <v>179</v>
      </c>
      <c r="P1150" s="79">
        <v>45126.650636574072</v>
      </c>
      <c r="Q1150" s="77" t="s">
        <v>1933</v>
      </c>
      <c r="R1150" s="77">
        <v>1</v>
      </c>
      <c r="S1150" s="77">
        <v>2</v>
      </c>
      <c r="T1150" s="77">
        <v>0</v>
      </c>
      <c r="U1150" s="77">
        <v>0</v>
      </c>
      <c r="V1150" s="77">
        <v>8</v>
      </c>
      <c r="W1150" s="82" t="s">
        <v>5399</v>
      </c>
      <c r="X1150" s="80" t="str">
        <f>HYPERLINK("https://www.comlucro.com.br/position-trader-a-estrategia-de-trading-para-lucro-consistente/")</f>
        <v>https://www.comlucro.com.br/position-trader-a-estrategia-de-trading-para-lucro-consistente/</v>
      </c>
      <c r="Y1150" s="77" t="s">
        <v>6470</v>
      </c>
      <c r="Z1150" s="77"/>
      <c r="AA1150" s="77" t="s">
        <v>7267</v>
      </c>
      <c r="AB1150" s="77" t="s">
        <v>7742</v>
      </c>
      <c r="AC1150" s="82" t="s">
        <v>7750</v>
      </c>
      <c r="AD1150" s="77" t="s">
        <v>7791</v>
      </c>
      <c r="AE1150" s="80" t="str">
        <f>HYPERLINK("https://twitter.com/canalcomlucro/status/1681689583786815490")</f>
        <v>https://twitter.com/canalcomlucro/status/1681689583786815490</v>
      </c>
      <c r="AF1150" s="79">
        <v>45126.650636574072</v>
      </c>
      <c r="AG1150" s="85">
        <v>45126</v>
      </c>
      <c r="AH1150" s="82" t="s">
        <v>8793</v>
      </c>
      <c r="AI1150" s="77" t="b">
        <v>0</v>
      </c>
      <c r="AJ1150" s="77"/>
      <c r="AK1150" s="77"/>
      <c r="AL1150" s="77"/>
      <c r="AM1150" s="77"/>
      <c r="AN1150" s="77"/>
      <c r="AO1150" s="77"/>
      <c r="AP1150" s="77"/>
      <c r="AQ1150" s="77" t="s">
        <v>11239</v>
      </c>
      <c r="AR1150" s="77"/>
      <c r="AS1150" s="77"/>
      <c r="AT1150" s="77"/>
      <c r="AU1150" s="77"/>
      <c r="AV1150" s="80" t="str">
        <f>HYPERLINK("https://pbs.twimg.com/media/F1aPuo6WYAESVCO.jpg")</f>
        <v>https://pbs.twimg.com/media/F1aPuo6WYAESVCO.jpg</v>
      </c>
      <c r="AW1150" s="82" t="s">
        <v>12816</v>
      </c>
      <c r="AX1150" s="82" t="s">
        <v>12816</v>
      </c>
      <c r="AY1150" s="77"/>
      <c r="AZ1150" s="82" t="s">
        <v>15984</v>
      </c>
      <c r="BA1150" s="82" t="s">
        <v>15984</v>
      </c>
      <c r="BB1150" s="82" t="s">
        <v>15984</v>
      </c>
      <c r="BC1150" s="82" t="s">
        <v>12816</v>
      </c>
      <c r="BD1150" s="82" t="s">
        <v>16309</v>
      </c>
      <c r="BE1150" s="77"/>
      <c r="BF1150" s="77"/>
      <c r="BG1150" s="77"/>
      <c r="BH1150" s="77"/>
      <c r="BI1150" s="77"/>
    </row>
    <row r="1151" spans="1:61" x14ac:dyDescent="0.25">
      <c r="A1151" s="62" t="s">
        <v>583</v>
      </c>
      <c r="B1151" s="62" t="s">
        <v>583</v>
      </c>
      <c r="C1151" s="63"/>
      <c r="D1151" s="64"/>
      <c r="E1151" s="65"/>
      <c r="F1151" s="66"/>
      <c r="G1151" s="63"/>
      <c r="H1151" s="67"/>
      <c r="I1151" s="68"/>
      <c r="J1151" s="68"/>
      <c r="K1151" s="32"/>
      <c r="L1151" s="75">
        <v>1151</v>
      </c>
      <c r="M1151" s="75"/>
      <c r="N1151" s="70"/>
      <c r="O1151" s="77" t="s">
        <v>179</v>
      </c>
      <c r="P1151" s="79">
        <v>45126.620706018519</v>
      </c>
      <c r="Q1151" s="77" t="s">
        <v>1934</v>
      </c>
      <c r="R1151" s="77">
        <v>1</v>
      </c>
      <c r="S1151" s="77">
        <v>2</v>
      </c>
      <c r="T1151" s="77">
        <v>0</v>
      </c>
      <c r="U1151" s="77">
        <v>0</v>
      </c>
      <c r="V1151" s="77">
        <v>14</v>
      </c>
      <c r="W1151" s="82" t="s">
        <v>5400</v>
      </c>
      <c r="X1151" s="80" t="str">
        <f>HYPERLINK("https://www.comlucro.com.br/day-trader-caracteristicas-habilidades-e-beneficios-para-o-sucesso-financeiro/")</f>
        <v>https://www.comlucro.com.br/day-trader-caracteristicas-habilidades-e-beneficios-para-o-sucesso-financeiro/</v>
      </c>
      <c r="Y1151" s="77" t="s">
        <v>6470</v>
      </c>
      <c r="Z1151" s="77"/>
      <c r="AA1151" s="77" t="s">
        <v>7268</v>
      </c>
      <c r="AB1151" s="77" t="s">
        <v>7742</v>
      </c>
      <c r="AC1151" s="82" t="s">
        <v>7750</v>
      </c>
      <c r="AD1151" s="77" t="s">
        <v>7791</v>
      </c>
      <c r="AE1151" s="80" t="str">
        <f>HYPERLINK("https://twitter.com/canalcomlucro/status/1681678735697747969")</f>
        <v>https://twitter.com/canalcomlucro/status/1681678735697747969</v>
      </c>
      <c r="AF1151" s="79">
        <v>45126.620706018519</v>
      </c>
      <c r="AG1151" s="85">
        <v>45126</v>
      </c>
      <c r="AH1151" s="82" t="s">
        <v>8794</v>
      </c>
      <c r="AI1151" s="77" t="b">
        <v>0</v>
      </c>
      <c r="AJ1151" s="77"/>
      <c r="AK1151" s="77"/>
      <c r="AL1151" s="77"/>
      <c r="AM1151" s="77"/>
      <c r="AN1151" s="77"/>
      <c r="AO1151" s="77"/>
      <c r="AP1151" s="77"/>
      <c r="AQ1151" s="77" t="s">
        <v>11240</v>
      </c>
      <c r="AR1151" s="77"/>
      <c r="AS1151" s="77"/>
      <c r="AT1151" s="77"/>
      <c r="AU1151" s="77"/>
      <c r="AV1151" s="80" t="str">
        <f>HYPERLINK("https://pbs.twimg.com/media/F1aF4jsXwAMgWeZ.jpg")</f>
        <v>https://pbs.twimg.com/media/F1aF4jsXwAMgWeZ.jpg</v>
      </c>
      <c r="AW1151" s="82" t="s">
        <v>12817</v>
      </c>
      <c r="AX1151" s="82" t="s">
        <v>12817</v>
      </c>
      <c r="AY1151" s="77"/>
      <c r="AZ1151" s="82" t="s">
        <v>15984</v>
      </c>
      <c r="BA1151" s="82" t="s">
        <v>15984</v>
      </c>
      <c r="BB1151" s="82" t="s">
        <v>15984</v>
      </c>
      <c r="BC1151" s="82" t="s">
        <v>12817</v>
      </c>
      <c r="BD1151" s="82" t="s">
        <v>16309</v>
      </c>
      <c r="BE1151" s="77"/>
      <c r="BF1151" s="77"/>
      <c r="BG1151" s="77"/>
      <c r="BH1151" s="77"/>
      <c r="BI1151" s="77"/>
    </row>
    <row r="1152" spans="1:61" x14ac:dyDescent="0.25">
      <c r="A1152" s="62" t="s">
        <v>583</v>
      </c>
      <c r="B1152" s="62" t="s">
        <v>583</v>
      </c>
      <c r="C1152" s="63"/>
      <c r="D1152" s="64"/>
      <c r="E1152" s="65"/>
      <c r="F1152" s="66"/>
      <c r="G1152" s="63"/>
      <c r="H1152" s="67"/>
      <c r="I1152" s="68"/>
      <c r="J1152" s="68"/>
      <c r="K1152" s="32"/>
      <c r="L1152" s="75">
        <v>1152</v>
      </c>
      <c r="M1152" s="75"/>
      <c r="N1152" s="70"/>
      <c r="O1152" s="77" t="s">
        <v>179</v>
      </c>
      <c r="P1152" s="79">
        <v>45126.600289351853</v>
      </c>
      <c r="Q1152" s="77" t="s">
        <v>1935</v>
      </c>
      <c r="R1152" s="77">
        <v>1</v>
      </c>
      <c r="S1152" s="77">
        <v>2</v>
      </c>
      <c r="T1152" s="77">
        <v>0</v>
      </c>
      <c r="U1152" s="77">
        <v>0</v>
      </c>
      <c r="V1152" s="77">
        <v>15</v>
      </c>
      <c r="W1152" s="82" t="s">
        <v>5401</v>
      </c>
      <c r="X1152" s="80" t="str">
        <f>HYPERLINK("https://www.comlucro.com.br/trader-scalper-caracteristicas-e-habilidades-para-o-sucesso-financeiro/")</f>
        <v>https://www.comlucro.com.br/trader-scalper-caracteristicas-e-habilidades-para-o-sucesso-financeiro/</v>
      </c>
      <c r="Y1152" s="77" t="s">
        <v>6470</v>
      </c>
      <c r="Z1152" s="77"/>
      <c r="AA1152" s="77" t="s">
        <v>7269</v>
      </c>
      <c r="AB1152" s="77" t="s">
        <v>7742</v>
      </c>
      <c r="AC1152" s="82" t="s">
        <v>7750</v>
      </c>
      <c r="AD1152" s="77" t="s">
        <v>7791</v>
      </c>
      <c r="AE1152" s="80" t="str">
        <f>HYPERLINK("https://twitter.com/canalcomlucro/status/1681671339441025029")</f>
        <v>https://twitter.com/canalcomlucro/status/1681671339441025029</v>
      </c>
      <c r="AF1152" s="79">
        <v>45126.600289351853</v>
      </c>
      <c r="AG1152" s="85">
        <v>45126</v>
      </c>
      <c r="AH1152" s="82" t="s">
        <v>8795</v>
      </c>
      <c r="AI1152" s="77" t="b">
        <v>0</v>
      </c>
      <c r="AJ1152" s="77"/>
      <c r="AK1152" s="77"/>
      <c r="AL1152" s="77"/>
      <c r="AM1152" s="77"/>
      <c r="AN1152" s="77"/>
      <c r="AO1152" s="77"/>
      <c r="AP1152" s="77"/>
      <c r="AQ1152" s="77" t="s">
        <v>11241</v>
      </c>
      <c r="AR1152" s="77"/>
      <c r="AS1152" s="77"/>
      <c r="AT1152" s="77"/>
      <c r="AU1152" s="77"/>
      <c r="AV1152" s="80" t="str">
        <f>HYPERLINK("https://pbs.twimg.com/media/F1Z_J5TXoAEnGnc.jpg")</f>
        <v>https://pbs.twimg.com/media/F1Z_J5TXoAEnGnc.jpg</v>
      </c>
      <c r="AW1152" s="82" t="s">
        <v>12818</v>
      </c>
      <c r="AX1152" s="82" t="s">
        <v>12818</v>
      </c>
      <c r="AY1152" s="77"/>
      <c r="AZ1152" s="82" t="s">
        <v>15984</v>
      </c>
      <c r="BA1152" s="82" t="s">
        <v>15984</v>
      </c>
      <c r="BB1152" s="82" t="s">
        <v>15984</v>
      </c>
      <c r="BC1152" s="82" t="s">
        <v>12818</v>
      </c>
      <c r="BD1152" s="82" t="s">
        <v>16309</v>
      </c>
      <c r="BE1152" s="77"/>
      <c r="BF1152" s="77"/>
      <c r="BG1152" s="77"/>
      <c r="BH1152" s="77"/>
      <c r="BI1152" s="77"/>
    </row>
    <row r="1153" spans="1:61" x14ac:dyDescent="0.25">
      <c r="A1153" s="62" t="s">
        <v>583</v>
      </c>
      <c r="B1153" s="62" t="s">
        <v>583</v>
      </c>
      <c r="C1153" s="63"/>
      <c r="D1153" s="64"/>
      <c r="E1153" s="65"/>
      <c r="F1153" s="66"/>
      <c r="G1153" s="63"/>
      <c r="H1153" s="67"/>
      <c r="I1153" s="68"/>
      <c r="J1153" s="68"/>
      <c r="K1153" s="32"/>
      <c r="L1153" s="75">
        <v>1153</v>
      </c>
      <c r="M1153" s="75"/>
      <c r="N1153" s="70"/>
      <c r="O1153" s="77" t="s">
        <v>179</v>
      </c>
      <c r="P1153" s="79">
        <v>45152.742303240739</v>
      </c>
      <c r="Q1153" s="77" t="s">
        <v>1936</v>
      </c>
      <c r="R1153" s="77">
        <v>1</v>
      </c>
      <c r="S1153" s="77">
        <v>2</v>
      </c>
      <c r="T1153" s="77">
        <v>1</v>
      </c>
      <c r="U1153" s="77">
        <v>0</v>
      </c>
      <c r="V1153" s="77">
        <v>23</v>
      </c>
      <c r="W1153" s="82" t="s">
        <v>5402</v>
      </c>
      <c r="X1153" s="80" t="str">
        <f>HYPERLINK("https://www.comlucro.com.br/indicadores-tecnicos/volume-por-preco-volume-profile/")</f>
        <v>https://www.comlucro.com.br/indicadores-tecnicos/volume-por-preco-volume-profile/</v>
      </c>
      <c r="Y1153" s="77" t="s">
        <v>6470</v>
      </c>
      <c r="Z1153" s="77"/>
      <c r="AA1153" s="77" t="s">
        <v>7270</v>
      </c>
      <c r="AB1153" s="77" t="s">
        <v>7742</v>
      </c>
      <c r="AC1153" s="82" t="s">
        <v>7750</v>
      </c>
      <c r="AD1153" s="77" t="s">
        <v>7791</v>
      </c>
      <c r="AE1153" s="80" t="str">
        <f>HYPERLINK("https://twitter.com/canalcomlucro/status/1691144886123114499")</f>
        <v>https://twitter.com/canalcomlucro/status/1691144886123114499</v>
      </c>
      <c r="AF1153" s="79">
        <v>45152.742303240739</v>
      </c>
      <c r="AG1153" s="85">
        <v>45152</v>
      </c>
      <c r="AH1153" s="82" t="s">
        <v>8796</v>
      </c>
      <c r="AI1153" s="77" t="b">
        <v>0</v>
      </c>
      <c r="AJ1153" s="77"/>
      <c r="AK1153" s="77"/>
      <c r="AL1153" s="77"/>
      <c r="AM1153" s="77"/>
      <c r="AN1153" s="77"/>
      <c r="AO1153" s="77"/>
      <c r="AP1153" s="77"/>
      <c r="AQ1153" s="77" t="s">
        <v>11242</v>
      </c>
      <c r="AR1153" s="77"/>
      <c r="AS1153" s="77"/>
      <c r="AT1153" s="77"/>
      <c r="AU1153" s="77"/>
      <c r="AV1153" s="80" t="str">
        <f>HYPERLINK("https://pbs.twimg.com/media/F3gnTnAWMBkuuoK.jpg")</f>
        <v>https://pbs.twimg.com/media/F3gnTnAWMBkuuoK.jpg</v>
      </c>
      <c r="AW1153" s="82" t="s">
        <v>12819</v>
      </c>
      <c r="AX1153" s="82" t="s">
        <v>12819</v>
      </c>
      <c r="AY1153" s="77"/>
      <c r="AZ1153" s="82" t="s">
        <v>15984</v>
      </c>
      <c r="BA1153" s="82" t="s">
        <v>15984</v>
      </c>
      <c r="BB1153" s="82" t="s">
        <v>15984</v>
      </c>
      <c r="BC1153" s="82" t="s">
        <v>12819</v>
      </c>
      <c r="BD1153" s="82" t="s">
        <v>16309</v>
      </c>
      <c r="BE1153" s="77"/>
      <c r="BF1153" s="77"/>
      <c r="BG1153" s="77"/>
      <c r="BH1153" s="77"/>
      <c r="BI1153" s="77"/>
    </row>
    <row r="1154" spans="1:61" x14ac:dyDescent="0.25">
      <c r="A1154" s="62" t="s">
        <v>583</v>
      </c>
      <c r="B1154" s="62" t="s">
        <v>583</v>
      </c>
      <c r="C1154" s="63"/>
      <c r="D1154" s="64"/>
      <c r="E1154" s="65"/>
      <c r="F1154" s="66"/>
      <c r="G1154" s="63"/>
      <c r="H1154" s="67"/>
      <c r="I1154" s="68"/>
      <c r="J1154" s="68"/>
      <c r="K1154" s="32"/>
      <c r="L1154" s="75">
        <v>1154</v>
      </c>
      <c r="M1154" s="75"/>
      <c r="N1154" s="70"/>
      <c r="O1154" s="77" t="s">
        <v>179</v>
      </c>
      <c r="P1154" s="79">
        <v>45145.760231481479</v>
      </c>
      <c r="Q1154" s="77" t="s">
        <v>1937</v>
      </c>
      <c r="R1154" s="77">
        <v>1</v>
      </c>
      <c r="S1154" s="77">
        <v>3</v>
      </c>
      <c r="T1154" s="77">
        <v>1</v>
      </c>
      <c r="U1154" s="77">
        <v>0</v>
      </c>
      <c r="V1154" s="77">
        <v>14</v>
      </c>
      <c r="W1154" s="82" t="s">
        <v>5403</v>
      </c>
      <c r="X1154" s="80" t="str">
        <f>HYPERLINK("https://www.comlucro.com.br/analise-tecnica/barras-ou-velas-candlestick/mat-hold-de-baixa-bearish-mat-hold/")</f>
        <v>https://www.comlucro.com.br/analise-tecnica/barras-ou-velas-candlestick/mat-hold-de-baixa-bearish-mat-hold/</v>
      </c>
      <c r="Y1154" s="77" t="s">
        <v>6470</v>
      </c>
      <c r="Z1154" s="77"/>
      <c r="AA1154" s="77" t="s">
        <v>7271</v>
      </c>
      <c r="AB1154" s="77" t="s">
        <v>7742</v>
      </c>
      <c r="AC1154" s="82" t="s">
        <v>7750</v>
      </c>
      <c r="AD1154" s="77" t="s">
        <v>7791</v>
      </c>
      <c r="AE1154" s="80" t="str">
        <f>HYPERLINK("https://twitter.com/canalcomlucro/status/1688614666895835137")</f>
        <v>https://twitter.com/canalcomlucro/status/1688614666895835137</v>
      </c>
      <c r="AF1154" s="79">
        <v>45145.760231481479</v>
      </c>
      <c r="AG1154" s="85">
        <v>45145</v>
      </c>
      <c r="AH1154" s="82" t="s">
        <v>8797</v>
      </c>
      <c r="AI1154" s="77" t="b">
        <v>0</v>
      </c>
      <c r="AJ1154" s="77"/>
      <c r="AK1154" s="77"/>
      <c r="AL1154" s="77"/>
      <c r="AM1154" s="77"/>
      <c r="AN1154" s="77"/>
      <c r="AO1154" s="77"/>
      <c r="AP1154" s="77"/>
      <c r="AQ1154" s="77" t="s">
        <v>11243</v>
      </c>
      <c r="AR1154" s="77"/>
      <c r="AS1154" s="77"/>
      <c r="AT1154" s="77"/>
      <c r="AU1154" s="77"/>
      <c r="AV1154" s="80" t="str">
        <f>HYPERLINK("https://pbs.twimg.com/media/F28qFZJXIAEcg6f.jpg")</f>
        <v>https://pbs.twimg.com/media/F28qFZJXIAEcg6f.jpg</v>
      </c>
      <c r="AW1154" s="82" t="s">
        <v>12820</v>
      </c>
      <c r="AX1154" s="82" t="s">
        <v>12820</v>
      </c>
      <c r="AY1154" s="77"/>
      <c r="AZ1154" s="82" t="s">
        <v>15984</v>
      </c>
      <c r="BA1154" s="82" t="s">
        <v>15984</v>
      </c>
      <c r="BB1154" s="82" t="s">
        <v>15984</v>
      </c>
      <c r="BC1154" s="82" t="s">
        <v>12820</v>
      </c>
      <c r="BD1154" s="82" t="s">
        <v>16309</v>
      </c>
      <c r="BE1154" s="77"/>
      <c r="BF1154" s="77"/>
      <c r="BG1154" s="77"/>
      <c r="BH1154" s="77"/>
      <c r="BI1154" s="77"/>
    </row>
    <row r="1155" spans="1:61" x14ac:dyDescent="0.25">
      <c r="A1155" s="62" t="s">
        <v>583</v>
      </c>
      <c r="B1155" s="62" t="s">
        <v>583</v>
      </c>
      <c r="C1155" s="63"/>
      <c r="D1155" s="64"/>
      <c r="E1155" s="65"/>
      <c r="F1155" s="66"/>
      <c r="G1155" s="63"/>
      <c r="H1155" s="67"/>
      <c r="I1155" s="68"/>
      <c r="J1155" s="68"/>
      <c r="K1155" s="32"/>
      <c r="L1155" s="75">
        <v>1155</v>
      </c>
      <c r="M1155" s="75"/>
      <c r="N1155" s="70"/>
      <c r="O1155" s="77" t="s">
        <v>179</v>
      </c>
      <c r="P1155" s="79">
        <v>45120.742361111108</v>
      </c>
      <c r="Q1155" s="77" t="s">
        <v>1938</v>
      </c>
      <c r="R1155" s="77">
        <v>1</v>
      </c>
      <c r="S1155" s="77">
        <v>2</v>
      </c>
      <c r="T1155" s="77">
        <v>0</v>
      </c>
      <c r="U1155" s="77">
        <v>0</v>
      </c>
      <c r="V1155" s="77">
        <v>24</v>
      </c>
      <c r="W1155" s="82" t="s">
        <v>5370</v>
      </c>
      <c r="X1155" s="80" t="str">
        <f>HYPERLINK("https://www.comlucro.com.br/teoria-de-dow-entendendo-seus-principios-e-aplicacoes-no-mercado-financeiro/")</f>
        <v>https://www.comlucro.com.br/teoria-de-dow-entendendo-seus-principios-e-aplicacoes-no-mercado-financeiro/</v>
      </c>
      <c r="Y1155" s="77" t="s">
        <v>6470</v>
      </c>
      <c r="Z1155" s="77"/>
      <c r="AA1155" s="77" t="s">
        <v>7272</v>
      </c>
      <c r="AB1155" s="77" t="s">
        <v>7742</v>
      </c>
      <c r="AC1155" s="82" t="s">
        <v>7750</v>
      </c>
      <c r="AD1155" s="77" t="s">
        <v>7791</v>
      </c>
      <c r="AE1155" s="80" t="str">
        <f>HYPERLINK("https://twitter.com/canalcomlucro/status/1679548494736924681")</f>
        <v>https://twitter.com/canalcomlucro/status/1679548494736924681</v>
      </c>
      <c r="AF1155" s="79">
        <v>45120.742361111108</v>
      </c>
      <c r="AG1155" s="85">
        <v>45120</v>
      </c>
      <c r="AH1155" s="82" t="s">
        <v>8798</v>
      </c>
      <c r="AI1155" s="77" t="b">
        <v>0</v>
      </c>
      <c r="AJ1155" s="77"/>
      <c r="AK1155" s="77"/>
      <c r="AL1155" s="77"/>
      <c r="AM1155" s="77"/>
      <c r="AN1155" s="77"/>
      <c r="AO1155" s="77"/>
      <c r="AP1155" s="77"/>
      <c r="AQ1155" s="77" t="s">
        <v>11244</v>
      </c>
      <c r="AR1155" s="77"/>
      <c r="AS1155" s="77"/>
      <c r="AT1155" s="77"/>
      <c r="AU1155" s="77"/>
      <c r="AV1155" s="80" t="str">
        <f>HYPERLINK("https://pbs.twimg.com/media/F070cpjXgAAf0Wa.jpg")</f>
        <v>https://pbs.twimg.com/media/F070cpjXgAAf0Wa.jpg</v>
      </c>
      <c r="AW1155" s="82" t="s">
        <v>12821</v>
      </c>
      <c r="AX1155" s="82" t="s">
        <v>12821</v>
      </c>
      <c r="AY1155" s="77"/>
      <c r="AZ1155" s="82" t="s">
        <v>15984</v>
      </c>
      <c r="BA1155" s="82" t="s">
        <v>15984</v>
      </c>
      <c r="BB1155" s="82" t="s">
        <v>15984</v>
      </c>
      <c r="BC1155" s="82" t="s">
        <v>12821</v>
      </c>
      <c r="BD1155" s="82" t="s">
        <v>16309</v>
      </c>
      <c r="BE1155" s="77"/>
      <c r="BF1155" s="77"/>
      <c r="BG1155" s="77"/>
      <c r="BH1155" s="77"/>
      <c r="BI1155" s="77"/>
    </row>
    <row r="1156" spans="1:61" x14ac:dyDescent="0.25">
      <c r="A1156" s="62" t="s">
        <v>583</v>
      </c>
      <c r="B1156" s="62" t="s">
        <v>583</v>
      </c>
      <c r="C1156" s="63"/>
      <c r="D1156" s="64"/>
      <c r="E1156" s="65"/>
      <c r="F1156" s="66"/>
      <c r="G1156" s="63"/>
      <c r="H1156" s="67"/>
      <c r="I1156" s="68"/>
      <c r="J1156" s="68"/>
      <c r="K1156" s="32"/>
      <c r="L1156" s="75">
        <v>1156</v>
      </c>
      <c r="M1156" s="75"/>
      <c r="N1156" s="70"/>
      <c r="O1156" s="77" t="s">
        <v>179</v>
      </c>
      <c r="P1156" s="79">
        <v>45146.71603009259</v>
      </c>
      <c r="Q1156" s="77" t="s">
        <v>1939</v>
      </c>
      <c r="R1156" s="77">
        <v>1</v>
      </c>
      <c r="S1156" s="77">
        <v>2</v>
      </c>
      <c r="T1156" s="77">
        <v>0</v>
      </c>
      <c r="U1156" s="77">
        <v>0</v>
      </c>
      <c r="V1156" s="77">
        <v>58</v>
      </c>
      <c r="W1156" s="82" t="s">
        <v>5404</v>
      </c>
      <c r="X1156" s="80" t="str">
        <f>HYPERLINK("https://www.comlucro.com.br/analise-tecnica/barras-ou-velas-candlestick/linha-de-separacao-de-alta-bullish-separating-line/")</f>
        <v>https://www.comlucro.com.br/analise-tecnica/barras-ou-velas-candlestick/linha-de-separacao-de-alta-bullish-separating-line/</v>
      </c>
      <c r="Y1156" s="77" t="s">
        <v>6470</v>
      </c>
      <c r="Z1156" s="77"/>
      <c r="AA1156" s="77" t="s">
        <v>7273</v>
      </c>
      <c r="AB1156" s="77" t="s">
        <v>7742</v>
      </c>
      <c r="AC1156" s="82" t="s">
        <v>7750</v>
      </c>
      <c r="AD1156" s="77" t="s">
        <v>7791</v>
      </c>
      <c r="AE1156" s="80" t="str">
        <f>HYPERLINK("https://twitter.com/canalcomlucro/status/1688961036030816257")</f>
        <v>https://twitter.com/canalcomlucro/status/1688961036030816257</v>
      </c>
      <c r="AF1156" s="79">
        <v>45146.71603009259</v>
      </c>
      <c r="AG1156" s="85">
        <v>45146</v>
      </c>
      <c r="AH1156" s="82" t="s">
        <v>8799</v>
      </c>
      <c r="AI1156" s="77" t="b">
        <v>0</v>
      </c>
      <c r="AJ1156" s="77"/>
      <c r="AK1156" s="77"/>
      <c r="AL1156" s="77"/>
      <c r="AM1156" s="77"/>
      <c r="AN1156" s="77"/>
      <c r="AO1156" s="77"/>
      <c r="AP1156" s="77"/>
      <c r="AQ1156" s="77" t="s">
        <v>11245</v>
      </c>
      <c r="AR1156" s="77"/>
      <c r="AS1156" s="77"/>
      <c r="AT1156" s="77"/>
      <c r="AU1156" s="77"/>
      <c r="AV1156" s="80" t="str">
        <f>HYPERLINK("https://pbs.twimg.com/media/F3BlG5_XsAcMAGi.jpg")</f>
        <v>https://pbs.twimg.com/media/F3BlG5_XsAcMAGi.jpg</v>
      </c>
      <c r="AW1156" s="82" t="s">
        <v>12822</v>
      </c>
      <c r="AX1156" s="82" t="s">
        <v>12822</v>
      </c>
      <c r="AY1156" s="77"/>
      <c r="AZ1156" s="82" t="s">
        <v>15984</v>
      </c>
      <c r="BA1156" s="82" t="s">
        <v>15984</v>
      </c>
      <c r="BB1156" s="82" t="s">
        <v>15984</v>
      </c>
      <c r="BC1156" s="82" t="s">
        <v>12822</v>
      </c>
      <c r="BD1156" s="82" t="s">
        <v>16309</v>
      </c>
      <c r="BE1156" s="77"/>
      <c r="BF1156" s="77"/>
      <c r="BG1156" s="77"/>
      <c r="BH1156" s="77"/>
      <c r="BI1156" s="77"/>
    </row>
    <row r="1157" spans="1:61" x14ac:dyDescent="0.25">
      <c r="A1157" s="62" t="s">
        <v>583</v>
      </c>
      <c r="B1157" s="62" t="s">
        <v>583</v>
      </c>
      <c r="C1157" s="63"/>
      <c r="D1157" s="64"/>
      <c r="E1157" s="65"/>
      <c r="F1157" s="66"/>
      <c r="G1157" s="63"/>
      <c r="H1157" s="67"/>
      <c r="I1157" s="68"/>
      <c r="J1157" s="68"/>
      <c r="K1157" s="32"/>
      <c r="L1157" s="75">
        <v>1157</v>
      </c>
      <c r="M1157" s="75"/>
      <c r="N1157" s="70"/>
      <c r="O1157" s="77" t="s">
        <v>179</v>
      </c>
      <c r="P1157" s="79">
        <v>45146.662870370368</v>
      </c>
      <c r="Q1157" s="77" t="s">
        <v>1940</v>
      </c>
      <c r="R1157" s="77">
        <v>1</v>
      </c>
      <c r="S1157" s="77">
        <v>2</v>
      </c>
      <c r="T1157" s="77">
        <v>1</v>
      </c>
      <c r="U1157" s="77">
        <v>0</v>
      </c>
      <c r="V1157" s="77">
        <v>78</v>
      </c>
      <c r="W1157" s="82" t="s">
        <v>5405</v>
      </c>
      <c r="X1157" s="80" t="str">
        <f>HYPERLINK("https://www.comlucro.com.br/analise-tecnica/barras-ou-velas-candlestick/gap-de-baixa-de-tasuki-downside-tasuki-gap/")</f>
        <v>https://www.comlucro.com.br/analise-tecnica/barras-ou-velas-candlestick/gap-de-baixa-de-tasuki-downside-tasuki-gap/</v>
      </c>
      <c r="Y1157" s="77" t="s">
        <v>6470</v>
      </c>
      <c r="Z1157" s="77"/>
      <c r="AA1157" s="77" t="s">
        <v>7274</v>
      </c>
      <c r="AB1157" s="77" t="s">
        <v>7742</v>
      </c>
      <c r="AC1157" s="82" t="s">
        <v>7750</v>
      </c>
      <c r="AD1157" s="77" t="s">
        <v>7791</v>
      </c>
      <c r="AE1157" s="80" t="str">
        <f>HYPERLINK("https://twitter.com/canalcomlucro/status/1688941775149309952")</f>
        <v>https://twitter.com/canalcomlucro/status/1688941775149309952</v>
      </c>
      <c r="AF1157" s="79">
        <v>45146.662870370368</v>
      </c>
      <c r="AG1157" s="85">
        <v>45146</v>
      </c>
      <c r="AH1157" s="82" t="s">
        <v>8800</v>
      </c>
      <c r="AI1157" s="77" t="b">
        <v>0</v>
      </c>
      <c r="AJ1157" s="77"/>
      <c r="AK1157" s="77"/>
      <c r="AL1157" s="77"/>
      <c r="AM1157" s="77"/>
      <c r="AN1157" s="77"/>
      <c r="AO1157" s="77"/>
      <c r="AP1157" s="77"/>
      <c r="AQ1157" s="77" t="s">
        <v>11246</v>
      </c>
      <c r="AR1157" s="77"/>
      <c r="AS1157" s="77"/>
      <c r="AT1157" s="77"/>
      <c r="AU1157" s="77"/>
      <c r="AV1157" s="80" t="str">
        <f>HYPERLINK("https://pbs.twimg.com/media/F3BTlZZXsAA0B1w.jpg")</f>
        <v>https://pbs.twimg.com/media/F3BTlZZXsAA0B1w.jpg</v>
      </c>
      <c r="AW1157" s="82" t="s">
        <v>12823</v>
      </c>
      <c r="AX1157" s="82" t="s">
        <v>12823</v>
      </c>
      <c r="AY1157" s="77"/>
      <c r="AZ1157" s="82" t="s">
        <v>15984</v>
      </c>
      <c r="BA1157" s="82" t="s">
        <v>15984</v>
      </c>
      <c r="BB1157" s="82" t="s">
        <v>15984</v>
      </c>
      <c r="BC1157" s="82" t="s">
        <v>12823</v>
      </c>
      <c r="BD1157" s="82" t="s">
        <v>16309</v>
      </c>
      <c r="BE1157" s="77"/>
      <c r="BF1157" s="77"/>
      <c r="BG1157" s="77"/>
      <c r="BH1157" s="77"/>
      <c r="BI1157" s="77"/>
    </row>
    <row r="1158" spans="1:61" x14ac:dyDescent="0.25">
      <c r="A1158" s="62" t="s">
        <v>583</v>
      </c>
      <c r="B1158" s="62" t="s">
        <v>583</v>
      </c>
      <c r="C1158" s="63"/>
      <c r="D1158" s="64"/>
      <c r="E1158" s="65"/>
      <c r="F1158" s="66"/>
      <c r="G1158" s="63"/>
      <c r="H1158" s="67"/>
      <c r="I1158" s="68"/>
      <c r="J1158" s="68"/>
      <c r="K1158" s="32"/>
      <c r="L1158" s="75">
        <v>1158</v>
      </c>
      <c r="M1158" s="75"/>
      <c r="N1158" s="70"/>
      <c r="O1158" s="77" t="s">
        <v>179</v>
      </c>
      <c r="P1158" s="79">
        <v>45146.650254629632</v>
      </c>
      <c r="Q1158" s="77" t="s">
        <v>1941</v>
      </c>
      <c r="R1158" s="77">
        <v>1</v>
      </c>
      <c r="S1158" s="77">
        <v>2</v>
      </c>
      <c r="T1158" s="77">
        <v>0</v>
      </c>
      <c r="U1158" s="77">
        <v>0</v>
      </c>
      <c r="V1158" s="77">
        <v>63</v>
      </c>
      <c r="W1158" s="82" t="s">
        <v>5406</v>
      </c>
      <c r="X1158" s="80" t="str">
        <f>HYPERLINK("https://www.comlucro.com.br/analise-tecnica/barras-ou-velas-candlestick/gap-de-alta-de-tasuki-upside-tasuki-gap/")</f>
        <v>https://www.comlucro.com.br/analise-tecnica/barras-ou-velas-candlestick/gap-de-alta-de-tasuki-upside-tasuki-gap/</v>
      </c>
      <c r="Y1158" s="77" t="s">
        <v>6470</v>
      </c>
      <c r="Z1158" s="77"/>
      <c r="AA1158" s="77" t="s">
        <v>7275</v>
      </c>
      <c r="AB1158" s="77" t="s">
        <v>7742</v>
      </c>
      <c r="AC1158" s="82" t="s">
        <v>7750</v>
      </c>
      <c r="AD1158" s="77" t="s">
        <v>7791</v>
      </c>
      <c r="AE1158" s="80" t="str">
        <f>HYPERLINK("https://twitter.com/canalcomlucro/status/1688937203693477888")</f>
        <v>https://twitter.com/canalcomlucro/status/1688937203693477888</v>
      </c>
      <c r="AF1158" s="79">
        <v>45146.650254629632</v>
      </c>
      <c r="AG1158" s="85">
        <v>45146</v>
      </c>
      <c r="AH1158" s="82" t="s">
        <v>8801</v>
      </c>
      <c r="AI1158" s="77" t="b">
        <v>0</v>
      </c>
      <c r="AJ1158" s="77"/>
      <c r="AK1158" s="77"/>
      <c r="AL1158" s="77"/>
      <c r="AM1158" s="77"/>
      <c r="AN1158" s="77"/>
      <c r="AO1158" s="77"/>
      <c r="AP1158" s="77"/>
      <c r="AQ1158" s="77" t="s">
        <v>11247</v>
      </c>
      <c r="AR1158" s="77"/>
      <c r="AS1158" s="77"/>
      <c r="AT1158" s="77"/>
      <c r="AU1158" s="77"/>
      <c r="AV1158" s="80" t="str">
        <f>HYPERLINK("https://pbs.twimg.com/media/F3BPbTgWIAEIYdq.jpg")</f>
        <v>https://pbs.twimg.com/media/F3BPbTgWIAEIYdq.jpg</v>
      </c>
      <c r="AW1158" s="82" t="s">
        <v>12824</v>
      </c>
      <c r="AX1158" s="82" t="s">
        <v>12824</v>
      </c>
      <c r="AY1158" s="77"/>
      <c r="AZ1158" s="82" t="s">
        <v>15984</v>
      </c>
      <c r="BA1158" s="82" t="s">
        <v>15984</v>
      </c>
      <c r="BB1158" s="82" t="s">
        <v>15984</v>
      </c>
      <c r="BC1158" s="82" t="s">
        <v>12824</v>
      </c>
      <c r="BD1158" s="82" t="s">
        <v>16309</v>
      </c>
      <c r="BE1158" s="77"/>
      <c r="BF1158" s="77"/>
      <c r="BG1158" s="77"/>
      <c r="BH1158" s="77"/>
      <c r="BI1158" s="77"/>
    </row>
    <row r="1159" spans="1:61" x14ac:dyDescent="0.25">
      <c r="A1159" s="62" t="s">
        <v>583</v>
      </c>
      <c r="B1159" s="62" t="s">
        <v>583</v>
      </c>
      <c r="C1159" s="63"/>
      <c r="D1159" s="64"/>
      <c r="E1159" s="65"/>
      <c r="F1159" s="66"/>
      <c r="G1159" s="63"/>
      <c r="H1159" s="67"/>
      <c r="I1159" s="68"/>
      <c r="J1159" s="68"/>
      <c r="K1159" s="32"/>
      <c r="L1159" s="75">
        <v>1159</v>
      </c>
      <c r="M1159" s="75"/>
      <c r="N1159" s="70"/>
      <c r="O1159" s="77" t="s">
        <v>179</v>
      </c>
      <c r="P1159" s="79">
        <v>45146.491469907407</v>
      </c>
      <c r="Q1159" s="77" t="s">
        <v>1942</v>
      </c>
      <c r="R1159" s="77">
        <v>1</v>
      </c>
      <c r="S1159" s="77">
        <v>2</v>
      </c>
      <c r="T1159" s="77">
        <v>0</v>
      </c>
      <c r="U1159" s="77">
        <v>0</v>
      </c>
      <c r="V1159" s="77">
        <v>60</v>
      </c>
      <c r="W1159" s="82" t="s">
        <v>5407</v>
      </c>
      <c r="X1159" s="80" t="str">
        <f>HYPERLINK("https://www.comlucro.com.br/sabedoria-do-mercado-15-citacoes-de-negociacao-dos-maiores-traders/")</f>
        <v>https://www.comlucro.com.br/sabedoria-do-mercado-15-citacoes-de-negociacao-dos-maiores-traders/</v>
      </c>
      <c r="Y1159" s="77" t="s">
        <v>6470</v>
      </c>
      <c r="Z1159" s="77"/>
      <c r="AA1159" s="77" t="s">
        <v>7276</v>
      </c>
      <c r="AB1159" s="77" t="s">
        <v>7742</v>
      </c>
      <c r="AC1159" s="82" t="s">
        <v>7750</v>
      </c>
      <c r="AD1159" s="77" t="s">
        <v>7791</v>
      </c>
      <c r="AE1159" s="80" t="str">
        <f>HYPERLINK("https://twitter.com/canalcomlucro/status/1688879659994296320")</f>
        <v>https://twitter.com/canalcomlucro/status/1688879659994296320</v>
      </c>
      <c r="AF1159" s="79">
        <v>45146.491469907407</v>
      </c>
      <c r="AG1159" s="85">
        <v>45146</v>
      </c>
      <c r="AH1159" s="82" t="s">
        <v>8802</v>
      </c>
      <c r="AI1159" s="77" t="b">
        <v>0</v>
      </c>
      <c r="AJ1159" s="77"/>
      <c r="AK1159" s="77"/>
      <c r="AL1159" s="77"/>
      <c r="AM1159" s="77"/>
      <c r="AN1159" s="77"/>
      <c r="AO1159" s="77"/>
      <c r="AP1159" s="77"/>
      <c r="AQ1159" s="77" t="s">
        <v>11248</v>
      </c>
      <c r="AR1159" s="77"/>
      <c r="AS1159" s="77"/>
      <c r="AT1159" s="77"/>
      <c r="AU1159" s="77"/>
      <c r="AV1159" s="80" t="str">
        <f>HYPERLINK("https://pbs.twimg.com/media/F3AbFpGXcAAsKAQ.jpg")</f>
        <v>https://pbs.twimg.com/media/F3AbFpGXcAAsKAQ.jpg</v>
      </c>
      <c r="AW1159" s="82" t="s">
        <v>12825</v>
      </c>
      <c r="AX1159" s="82" t="s">
        <v>12825</v>
      </c>
      <c r="AY1159" s="77"/>
      <c r="AZ1159" s="82" t="s">
        <v>15984</v>
      </c>
      <c r="BA1159" s="82" t="s">
        <v>15984</v>
      </c>
      <c r="BB1159" s="82" t="s">
        <v>15984</v>
      </c>
      <c r="BC1159" s="82" t="s">
        <v>12825</v>
      </c>
      <c r="BD1159" s="82" t="s">
        <v>16309</v>
      </c>
      <c r="BE1159" s="77"/>
      <c r="BF1159" s="77"/>
      <c r="BG1159" s="77"/>
      <c r="BH1159" s="77"/>
      <c r="BI1159" s="77"/>
    </row>
    <row r="1160" spans="1:61" x14ac:dyDescent="0.25">
      <c r="A1160" s="62" t="s">
        <v>583</v>
      </c>
      <c r="B1160" s="62" t="s">
        <v>583</v>
      </c>
      <c r="C1160" s="63"/>
      <c r="D1160" s="64"/>
      <c r="E1160" s="65"/>
      <c r="F1160" s="66"/>
      <c r="G1160" s="63"/>
      <c r="H1160" s="67"/>
      <c r="I1160" s="68"/>
      <c r="J1160" s="68"/>
      <c r="K1160" s="32"/>
      <c r="L1160" s="75">
        <v>1160</v>
      </c>
      <c r="M1160" s="75"/>
      <c r="N1160" s="70"/>
      <c r="O1160" s="77" t="s">
        <v>179</v>
      </c>
      <c r="P1160" s="79">
        <v>45149.742986111109</v>
      </c>
      <c r="Q1160" s="77" t="s">
        <v>1943</v>
      </c>
      <c r="R1160" s="77">
        <v>1</v>
      </c>
      <c r="S1160" s="77">
        <v>2</v>
      </c>
      <c r="T1160" s="77">
        <v>0</v>
      </c>
      <c r="U1160" s="77">
        <v>0</v>
      </c>
      <c r="V1160" s="77">
        <v>11</v>
      </c>
      <c r="W1160" s="82" t="s">
        <v>5408</v>
      </c>
      <c r="X1160" s="80" t="str">
        <f>HYPERLINK("https://www.comlucro.com.br/analise-tecnica/volatilidade/")</f>
        <v>https://www.comlucro.com.br/analise-tecnica/volatilidade/</v>
      </c>
      <c r="Y1160" s="77" t="s">
        <v>6470</v>
      </c>
      <c r="Z1160" s="77"/>
      <c r="AA1160" s="77" t="s">
        <v>7277</v>
      </c>
      <c r="AB1160" s="77" t="s">
        <v>7742</v>
      </c>
      <c r="AC1160" s="82" t="s">
        <v>7750</v>
      </c>
      <c r="AD1160" s="77" t="s">
        <v>7791</v>
      </c>
      <c r="AE1160" s="80" t="str">
        <f>HYPERLINK("https://twitter.com/canalcomlucro/status/1690057968656490505")</f>
        <v>https://twitter.com/canalcomlucro/status/1690057968656490505</v>
      </c>
      <c r="AF1160" s="79">
        <v>45149.742986111109</v>
      </c>
      <c r="AG1160" s="85">
        <v>45149</v>
      </c>
      <c r="AH1160" s="82" t="s">
        <v>7817</v>
      </c>
      <c r="AI1160" s="77" t="b">
        <v>0</v>
      </c>
      <c r="AJ1160" s="77"/>
      <c r="AK1160" s="77"/>
      <c r="AL1160" s="77"/>
      <c r="AM1160" s="77"/>
      <c r="AN1160" s="77"/>
      <c r="AO1160" s="77"/>
      <c r="AP1160" s="77"/>
      <c r="AQ1160" s="77" t="s">
        <v>11249</v>
      </c>
      <c r="AR1160" s="77"/>
      <c r="AS1160" s="77"/>
      <c r="AT1160" s="77"/>
      <c r="AU1160" s="77"/>
      <c r="AV1160" s="80" t="str">
        <f>HYPERLINK("https://pbs.twimg.com/media/F3RKwdiWoBUxw6c.jpg")</f>
        <v>https://pbs.twimg.com/media/F3RKwdiWoBUxw6c.jpg</v>
      </c>
      <c r="AW1160" s="82" t="s">
        <v>12826</v>
      </c>
      <c r="AX1160" s="82" t="s">
        <v>12826</v>
      </c>
      <c r="AY1160" s="77"/>
      <c r="AZ1160" s="82" t="s">
        <v>15984</v>
      </c>
      <c r="BA1160" s="82" t="s">
        <v>15984</v>
      </c>
      <c r="BB1160" s="82" t="s">
        <v>15984</v>
      </c>
      <c r="BC1160" s="82" t="s">
        <v>12826</v>
      </c>
      <c r="BD1160" s="82" t="s">
        <v>16309</v>
      </c>
      <c r="BE1160" s="77"/>
      <c r="BF1160" s="77"/>
      <c r="BG1160" s="77"/>
      <c r="BH1160" s="77"/>
      <c r="BI1160" s="77"/>
    </row>
    <row r="1161" spans="1:61" x14ac:dyDescent="0.25">
      <c r="A1161" s="62" t="s">
        <v>583</v>
      </c>
      <c r="B1161" s="62" t="s">
        <v>583</v>
      </c>
      <c r="C1161" s="63"/>
      <c r="D1161" s="64"/>
      <c r="E1161" s="65"/>
      <c r="F1161" s="66"/>
      <c r="G1161" s="63"/>
      <c r="H1161" s="67"/>
      <c r="I1161" s="68"/>
      <c r="J1161" s="68"/>
      <c r="K1161" s="32"/>
      <c r="L1161" s="75">
        <v>1161</v>
      </c>
      <c r="M1161" s="75"/>
      <c r="N1161" s="70"/>
      <c r="O1161" s="77" t="s">
        <v>179</v>
      </c>
      <c r="P1161" s="79">
        <v>45131.898923611108</v>
      </c>
      <c r="Q1161" s="77" t="s">
        <v>1944</v>
      </c>
      <c r="R1161" s="77">
        <v>1</v>
      </c>
      <c r="S1161" s="77">
        <v>4</v>
      </c>
      <c r="T1161" s="77">
        <v>0</v>
      </c>
      <c r="U1161" s="77">
        <v>0</v>
      </c>
      <c r="V1161" s="77">
        <v>10</v>
      </c>
      <c r="W1161" s="82" t="s">
        <v>5409</v>
      </c>
      <c r="X1161" s="80" t="str">
        <f>HYPERLINK("https://www.comlucro.com.br/10-passos-para-lidar-com-perdas-e-drawdowns-durante-o-trading/")</f>
        <v>https://www.comlucro.com.br/10-passos-para-lidar-com-perdas-e-drawdowns-durante-o-trading/</v>
      </c>
      <c r="Y1161" s="77" t="s">
        <v>6470</v>
      </c>
      <c r="Z1161" s="77"/>
      <c r="AA1161" s="77" t="s">
        <v>7278</v>
      </c>
      <c r="AB1161" s="77" t="s">
        <v>7742</v>
      </c>
      <c r="AC1161" s="82" t="s">
        <v>7750</v>
      </c>
      <c r="AD1161" s="77" t="s">
        <v>7791</v>
      </c>
      <c r="AE1161" s="80" t="str">
        <f>HYPERLINK("https://twitter.com/canalcomlucro/status/1683591498422468608")</f>
        <v>https://twitter.com/canalcomlucro/status/1683591498422468608</v>
      </c>
      <c r="AF1161" s="79">
        <v>45131.898923611108</v>
      </c>
      <c r="AG1161" s="85">
        <v>45131</v>
      </c>
      <c r="AH1161" s="82" t="s">
        <v>8803</v>
      </c>
      <c r="AI1161" s="77" t="b">
        <v>0</v>
      </c>
      <c r="AJ1161" s="77"/>
      <c r="AK1161" s="77"/>
      <c r="AL1161" s="77"/>
      <c r="AM1161" s="77"/>
      <c r="AN1161" s="77"/>
      <c r="AO1161" s="77"/>
      <c r="AP1161" s="77"/>
      <c r="AQ1161" s="77" t="s">
        <v>11250</v>
      </c>
      <c r="AR1161" s="77"/>
      <c r="AS1161" s="77"/>
      <c r="AT1161" s="77"/>
      <c r="AU1161" s="77"/>
      <c r="AV1161" s="80" t="str">
        <f>HYPERLINK("https://pbs.twimg.com/media/F11RiopXgAIvOa5.jpg")</f>
        <v>https://pbs.twimg.com/media/F11RiopXgAIvOa5.jpg</v>
      </c>
      <c r="AW1161" s="82" t="s">
        <v>12827</v>
      </c>
      <c r="AX1161" s="82" t="s">
        <v>12827</v>
      </c>
      <c r="AY1161" s="77"/>
      <c r="AZ1161" s="82" t="s">
        <v>15984</v>
      </c>
      <c r="BA1161" s="82" t="s">
        <v>15984</v>
      </c>
      <c r="BB1161" s="82" t="s">
        <v>15984</v>
      </c>
      <c r="BC1161" s="82" t="s">
        <v>12827</v>
      </c>
      <c r="BD1161" s="82" t="s">
        <v>16309</v>
      </c>
      <c r="BE1161" s="77"/>
      <c r="BF1161" s="77"/>
      <c r="BG1161" s="77"/>
      <c r="BH1161" s="77"/>
      <c r="BI1161" s="77"/>
    </row>
    <row r="1162" spans="1:61" x14ac:dyDescent="0.25">
      <c r="A1162" s="62" t="s">
        <v>583</v>
      </c>
      <c r="B1162" s="62" t="s">
        <v>583</v>
      </c>
      <c r="C1162" s="63"/>
      <c r="D1162" s="64"/>
      <c r="E1162" s="65"/>
      <c r="F1162" s="66"/>
      <c r="G1162" s="63"/>
      <c r="H1162" s="67"/>
      <c r="I1162" s="68"/>
      <c r="J1162" s="68"/>
      <c r="K1162" s="32"/>
      <c r="L1162" s="75">
        <v>1162</v>
      </c>
      <c r="M1162" s="75"/>
      <c r="N1162" s="70"/>
      <c r="O1162" s="77" t="s">
        <v>179</v>
      </c>
      <c r="P1162" s="79">
        <v>45131.781550925924</v>
      </c>
      <c r="Q1162" s="77" t="s">
        <v>1945</v>
      </c>
      <c r="R1162" s="77">
        <v>1</v>
      </c>
      <c r="S1162" s="77">
        <v>3</v>
      </c>
      <c r="T1162" s="77">
        <v>0</v>
      </c>
      <c r="U1162" s="77">
        <v>0</v>
      </c>
      <c r="V1162" s="77">
        <v>10</v>
      </c>
      <c r="W1162" s="82" t="s">
        <v>5410</v>
      </c>
      <c r="X1162" s="80" t="str">
        <f>HYPERLINK("https://www.comlucro.com.br/analise-tecnica/")</f>
        <v>https://www.comlucro.com.br/analise-tecnica/</v>
      </c>
      <c r="Y1162" s="77" t="s">
        <v>6470</v>
      </c>
      <c r="Z1162" s="77"/>
      <c r="AA1162" s="77" t="s">
        <v>7279</v>
      </c>
      <c r="AB1162" s="77" t="s">
        <v>7742</v>
      </c>
      <c r="AC1162" s="82" t="s">
        <v>7750</v>
      </c>
      <c r="AD1162" s="77" t="s">
        <v>7791</v>
      </c>
      <c r="AE1162" s="80" t="str">
        <f>HYPERLINK("https://twitter.com/canalcomlucro/status/1683548963822092290")</f>
        <v>https://twitter.com/canalcomlucro/status/1683548963822092290</v>
      </c>
      <c r="AF1162" s="79">
        <v>45131.781550925924</v>
      </c>
      <c r="AG1162" s="85">
        <v>45131</v>
      </c>
      <c r="AH1162" s="82" t="s">
        <v>8804</v>
      </c>
      <c r="AI1162" s="77" t="b">
        <v>0</v>
      </c>
      <c r="AJ1162" s="77"/>
      <c r="AK1162" s="77"/>
      <c r="AL1162" s="77"/>
      <c r="AM1162" s="77"/>
      <c r="AN1162" s="77"/>
      <c r="AO1162" s="77"/>
      <c r="AP1162" s="77"/>
      <c r="AQ1162" s="77" t="s">
        <v>11251</v>
      </c>
      <c r="AR1162" s="77"/>
      <c r="AS1162" s="77"/>
      <c r="AT1162" s="77"/>
      <c r="AU1162" s="77"/>
      <c r="AV1162" s="80" t="str">
        <f>HYPERLINK("https://pbs.twimg.com/media/F10q2u5WwAEHxDM.jpg")</f>
        <v>https://pbs.twimg.com/media/F10q2u5WwAEHxDM.jpg</v>
      </c>
      <c r="AW1162" s="82" t="s">
        <v>12828</v>
      </c>
      <c r="AX1162" s="82" t="s">
        <v>12828</v>
      </c>
      <c r="AY1162" s="77"/>
      <c r="AZ1162" s="82" t="s">
        <v>15984</v>
      </c>
      <c r="BA1162" s="82" t="s">
        <v>15984</v>
      </c>
      <c r="BB1162" s="82" t="s">
        <v>15984</v>
      </c>
      <c r="BC1162" s="82" t="s">
        <v>12828</v>
      </c>
      <c r="BD1162" s="82" t="s">
        <v>16309</v>
      </c>
      <c r="BE1162" s="77"/>
      <c r="BF1162" s="77"/>
      <c r="BG1162" s="77"/>
      <c r="BH1162" s="77"/>
      <c r="BI1162" s="77"/>
    </row>
    <row r="1163" spans="1:61" x14ac:dyDescent="0.25">
      <c r="A1163" s="62" t="s">
        <v>583</v>
      </c>
      <c r="B1163" s="62" t="s">
        <v>583</v>
      </c>
      <c r="C1163" s="63"/>
      <c r="D1163" s="64"/>
      <c r="E1163" s="65"/>
      <c r="F1163" s="66"/>
      <c r="G1163" s="63"/>
      <c r="H1163" s="67"/>
      <c r="I1163" s="68"/>
      <c r="J1163" s="68"/>
      <c r="K1163" s="32"/>
      <c r="L1163" s="75">
        <v>1163</v>
      </c>
      <c r="M1163" s="75"/>
      <c r="N1163" s="70"/>
      <c r="O1163" s="77" t="s">
        <v>179</v>
      </c>
      <c r="P1163" s="79">
        <v>45154.485798611109</v>
      </c>
      <c r="Q1163" s="77" t="s">
        <v>1946</v>
      </c>
      <c r="R1163" s="77">
        <v>1</v>
      </c>
      <c r="S1163" s="77">
        <v>2</v>
      </c>
      <c r="T1163" s="77">
        <v>0</v>
      </c>
      <c r="U1163" s="77">
        <v>0</v>
      </c>
      <c r="V1163" s="77">
        <v>84</v>
      </c>
      <c r="W1163" s="82" t="s">
        <v>5411</v>
      </c>
      <c r="X1163" s="80" t="str">
        <f>HYPERLINK("https://www.comlucro.com.br/indicadores-tecnicos/acumulacao-distribuicao-accumulation-distribution/")</f>
        <v>https://www.comlucro.com.br/indicadores-tecnicos/acumulacao-distribuicao-accumulation-distribution/</v>
      </c>
      <c r="Y1163" s="77" t="s">
        <v>6470</v>
      </c>
      <c r="Z1163" s="77"/>
      <c r="AA1163" s="77" t="s">
        <v>7280</v>
      </c>
      <c r="AB1163" s="77" t="s">
        <v>7742</v>
      </c>
      <c r="AC1163" s="82" t="s">
        <v>7750</v>
      </c>
      <c r="AD1163" s="77" t="s">
        <v>7791</v>
      </c>
      <c r="AE1163" s="80" t="str">
        <f>HYPERLINK("https://twitter.com/canalcomlucro/status/1691776706011402279")</f>
        <v>https://twitter.com/canalcomlucro/status/1691776706011402279</v>
      </c>
      <c r="AF1163" s="79">
        <v>45154.485798611109</v>
      </c>
      <c r="AG1163" s="85">
        <v>45154</v>
      </c>
      <c r="AH1163" s="82" t="s">
        <v>8805</v>
      </c>
      <c r="AI1163" s="77" t="b">
        <v>0</v>
      </c>
      <c r="AJ1163" s="77"/>
      <c r="AK1163" s="77"/>
      <c r="AL1163" s="77"/>
      <c r="AM1163" s="77"/>
      <c r="AN1163" s="77"/>
      <c r="AO1163" s="77"/>
      <c r="AP1163" s="77"/>
      <c r="AQ1163" s="77" t="s">
        <v>11252</v>
      </c>
      <c r="AR1163" s="77"/>
      <c r="AS1163" s="77"/>
      <c r="AT1163" s="77"/>
      <c r="AU1163" s="77"/>
      <c r="AV1163" s="80" t="str">
        <f>HYPERLINK("https://pbs.twimg.com/media/F3pl8TUXkAI9DKb.jpg")</f>
        <v>https://pbs.twimg.com/media/F3pl8TUXkAI9DKb.jpg</v>
      </c>
      <c r="AW1163" s="82" t="s">
        <v>12829</v>
      </c>
      <c r="AX1163" s="82" t="s">
        <v>12829</v>
      </c>
      <c r="AY1163" s="77"/>
      <c r="AZ1163" s="82" t="s">
        <v>15984</v>
      </c>
      <c r="BA1163" s="82" t="s">
        <v>15984</v>
      </c>
      <c r="BB1163" s="82" t="s">
        <v>15984</v>
      </c>
      <c r="BC1163" s="82" t="s">
        <v>12829</v>
      </c>
      <c r="BD1163" s="82" t="s">
        <v>16309</v>
      </c>
      <c r="BE1163" s="77"/>
      <c r="BF1163" s="77"/>
      <c r="BG1163" s="77"/>
      <c r="BH1163" s="77"/>
      <c r="BI1163" s="77"/>
    </row>
    <row r="1164" spans="1:61" x14ac:dyDescent="0.25">
      <c r="A1164" s="62" t="s">
        <v>583</v>
      </c>
      <c r="B1164" s="62" t="s">
        <v>583</v>
      </c>
      <c r="C1164" s="63"/>
      <c r="D1164" s="64"/>
      <c r="E1164" s="65"/>
      <c r="F1164" s="66"/>
      <c r="G1164" s="63"/>
      <c r="H1164" s="67"/>
      <c r="I1164" s="68"/>
      <c r="J1164" s="68"/>
      <c r="K1164" s="32"/>
      <c r="L1164" s="75">
        <v>1164</v>
      </c>
      <c r="M1164" s="75"/>
      <c r="N1164" s="70"/>
      <c r="O1164" s="77" t="s">
        <v>179</v>
      </c>
      <c r="P1164" s="79">
        <v>45154.46665509259</v>
      </c>
      <c r="Q1164" s="77" t="s">
        <v>1947</v>
      </c>
      <c r="R1164" s="77">
        <v>1</v>
      </c>
      <c r="S1164" s="77">
        <v>2</v>
      </c>
      <c r="T1164" s="77">
        <v>1</v>
      </c>
      <c r="U1164" s="77">
        <v>0</v>
      </c>
      <c r="V1164" s="77">
        <v>77</v>
      </c>
      <c r="W1164" s="82" t="s">
        <v>5412</v>
      </c>
      <c r="X1164" s="80" t="str">
        <f>HYPERLINK("https://www.comlucro.com.br/indicadores-tecnicos/williams-r/")</f>
        <v>https://www.comlucro.com.br/indicadores-tecnicos/williams-r/</v>
      </c>
      <c r="Y1164" s="77" t="s">
        <v>6470</v>
      </c>
      <c r="Z1164" s="77"/>
      <c r="AA1164" s="77" t="s">
        <v>7281</v>
      </c>
      <c r="AB1164" s="77" t="s">
        <v>7742</v>
      </c>
      <c r="AC1164" s="82" t="s">
        <v>7750</v>
      </c>
      <c r="AD1164" s="77" t="s">
        <v>7791</v>
      </c>
      <c r="AE1164" s="80" t="str">
        <f>HYPERLINK("https://twitter.com/canalcomlucro/status/1691769770637430979")</f>
        <v>https://twitter.com/canalcomlucro/status/1691769770637430979</v>
      </c>
      <c r="AF1164" s="79">
        <v>45154.46665509259</v>
      </c>
      <c r="AG1164" s="85">
        <v>45154</v>
      </c>
      <c r="AH1164" s="82" t="s">
        <v>8806</v>
      </c>
      <c r="AI1164" s="77" t="b">
        <v>0</v>
      </c>
      <c r="AJ1164" s="77"/>
      <c r="AK1164" s="77"/>
      <c r="AL1164" s="77"/>
      <c r="AM1164" s="77"/>
      <c r="AN1164" s="77"/>
      <c r="AO1164" s="77"/>
      <c r="AP1164" s="77"/>
      <c r="AQ1164" s="77" t="s">
        <v>11253</v>
      </c>
      <c r="AR1164" s="77"/>
      <c r="AS1164" s="77"/>
      <c r="AT1164" s="77"/>
      <c r="AU1164" s="77"/>
      <c r="AV1164" s="80" t="str">
        <f>HYPERLINK("https://pbs.twimg.com/media/F3pfoh4WYAAijCa.jpg")</f>
        <v>https://pbs.twimg.com/media/F3pfoh4WYAAijCa.jpg</v>
      </c>
      <c r="AW1164" s="82" t="s">
        <v>12830</v>
      </c>
      <c r="AX1164" s="82" t="s">
        <v>12830</v>
      </c>
      <c r="AY1164" s="77"/>
      <c r="AZ1164" s="82" t="s">
        <v>15984</v>
      </c>
      <c r="BA1164" s="82" t="s">
        <v>15984</v>
      </c>
      <c r="BB1164" s="82" t="s">
        <v>15984</v>
      </c>
      <c r="BC1164" s="82" t="s">
        <v>12830</v>
      </c>
      <c r="BD1164" s="82" t="s">
        <v>16309</v>
      </c>
      <c r="BE1164" s="77"/>
      <c r="BF1164" s="77"/>
      <c r="BG1164" s="77"/>
      <c r="BH1164" s="77"/>
      <c r="BI1164" s="77"/>
    </row>
    <row r="1165" spans="1:61" x14ac:dyDescent="0.25">
      <c r="A1165" s="62" t="s">
        <v>583</v>
      </c>
      <c r="B1165" s="62" t="s">
        <v>583</v>
      </c>
      <c r="C1165" s="63"/>
      <c r="D1165" s="64"/>
      <c r="E1165" s="65"/>
      <c r="F1165" s="66"/>
      <c r="G1165" s="63"/>
      <c r="H1165" s="67"/>
      <c r="I1165" s="68"/>
      <c r="J1165" s="68"/>
      <c r="K1165" s="32"/>
      <c r="L1165" s="75">
        <v>1165</v>
      </c>
      <c r="M1165" s="75"/>
      <c r="N1165" s="70"/>
      <c r="O1165" s="77" t="s">
        <v>179</v>
      </c>
      <c r="P1165" s="79">
        <v>45154.454317129632</v>
      </c>
      <c r="Q1165" s="77" t="s">
        <v>1948</v>
      </c>
      <c r="R1165" s="77">
        <v>1</v>
      </c>
      <c r="S1165" s="77">
        <v>2</v>
      </c>
      <c r="T1165" s="77">
        <v>1</v>
      </c>
      <c r="U1165" s="77">
        <v>0</v>
      </c>
      <c r="V1165" s="77">
        <v>71</v>
      </c>
      <c r="W1165" s="82" t="s">
        <v>5413</v>
      </c>
      <c r="X1165" s="80" t="str">
        <f>HYPERLINK("https://www.comlucro.com.br/indicadores-tecnicos/oscilador-de-volume-volume-oscillator/")</f>
        <v>https://www.comlucro.com.br/indicadores-tecnicos/oscilador-de-volume-volume-oscillator/</v>
      </c>
      <c r="Y1165" s="77" t="s">
        <v>6470</v>
      </c>
      <c r="Z1165" s="77"/>
      <c r="AA1165" s="77" t="s">
        <v>7282</v>
      </c>
      <c r="AB1165" s="77" t="s">
        <v>7742</v>
      </c>
      <c r="AC1165" s="82" t="s">
        <v>7750</v>
      </c>
      <c r="AD1165" s="77" t="s">
        <v>7791</v>
      </c>
      <c r="AE1165" s="80" t="str">
        <f>HYPERLINK("https://twitter.com/canalcomlucro/status/1691765298255351955")</f>
        <v>https://twitter.com/canalcomlucro/status/1691765298255351955</v>
      </c>
      <c r="AF1165" s="79">
        <v>45154.454317129632</v>
      </c>
      <c r="AG1165" s="85">
        <v>45154</v>
      </c>
      <c r="AH1165" s="82" t="s">
        <v>8807</v>
      </c>
      <c r="AI1165" s="77" t="b">
        <v>0</v>
      </c>
      <c r="AJ1165" s="77"/>
      <c r="AK1165" s="77"/>
      <c r="AL1165" s="77"/>
      <c r="AM1165" s="77"/>
      <c r="AN1165" s="77"/>
      <c r="AO1165" s="77"/>
      <c r="AP1165" s="77"/>
      <c r="AQ1165" s="77" t="s">
        <v>11254</v>
      </c>
      <c r="AR1165" s="77"/>
      <c r="AS1165" s="77"/>
      <c r="AT1165" s="77"/>
      <c r="AU1165" s="77"/>
      <c r="AV1165" s="80" t="str">
        <f>HYPERLINK("https://pbs.twimg.com/media/F3pbfAqWcAAXuQc.jpg")</f>
        <v>https://pbs.twimg.com/media/F3pbfAqWcAAXuQc.jpg</v>
      </c>
      <c r="AW1165" s="82" t="s">
        <v>12831</v>
      </c>
      <c r="AX1165" s="82" t="s">
        <v>12831</v>
      </c>
      <c r="AY1165" s="77"/>
      <c r="AZ1165" s="82" t="s">
        <v>15984</v>
      </c>
      <c r="BA1165" s="82" t="s">
        <v>15984</v>
      </c>
      <c r="BB1165" s="82" t="s">
        <v>15984</v>
      </c>
      <c r="BC1165" s="82" t="s">
        <v>12831</v>
      </c>
      <c r="BD1165" s="82" t="s">
        <v>16309</v>
      </c>
      <c r="BE1165" s="77"/>
      <c r="BF1165" s="77"/>
      <c r="BG1165" s="77"/>
      <c r="BH1165" s="77"/>
      <c r="BI1165" s="77"/>
    </row>
    <row r="1166" spans="1:61" x14ac:dyDescent="0.25">
      <c r="A1166" s="62" t="s">
        <v>583</v>
      </c>
      <c r="B1166" s="62" t="s">
        <v>583</v>
      </c>
      <c r="C1166" s="63"/>
      <c r="D1166" s="64"/>
      <c r="E1166" s="65"/>
      <c r="F1166" s="66"/>
      <c r="G1166" s="63"/>
      <c r="H1166" s="67"/>
      <c r="I1166" s="68"/>
      <c r="J1166" s="68"/>
      <c r="K1166" s="32"/>
      <c r="L1166" s="75">
        <v>1166</v>
      </c>
      <c r="M1166" s="75"/>
      <c r="N1166" s="70"/>
      <c r="O1166" s="77" t="s">
        <v>179</v>
      </c>
      <c r="P1166" s="79">
        <v>45134.483483796299</v>
      </c>
      <c r="Q1166" s="77" t="s">
        <v>1949</v>
      </c>
      <c r="R1166" s="77">
        <v>1</v>
      </c>
      <c r="S1166" s="77">
        <v>5</v>
      </c>
      <c r="T1166" s="77">
        <v>0</v>
      </c>
      <c r="U1166" s="77">
        <v>0</v>
      </c>
      <c r="V1166" s="77">
        <v>87</v>
      </c>
      <c r="W1166" s="82" t="s">
        <v>5414</v>
      </c>
      <c r="X1166" s="80" t="str">
        <f>HYPERLINK("https://www.comlucro.com.br/analise-tecnica/barras-ou-velas-candlestick/historia-dos-graficos-de-candlestick-uma-revolucao-na-analise-de-mercados/")</f>
        <v>https://www.comlucro.com.br/analise-tecnica/barras-ou-velas-candlestick/historia-dos-graficos-de-candlestick-uma-revolucao-na-analise-de-mercados/</v>
      </c>
      <c r="Y1166" s="77" t="s">
        <v>6470</v>
      </c>
      <c r="Z1166" s="77"/>
      <c r="AA1166" s="77" t="s">
        <v>7283</v>
      </c>
      <c r="AB1166" s="77" t="s">
        <v>7742</v>
      </c>
      <c r="AC1166" s="82" t="s">
        <v>7750</v>
      </c>
      <c r="AD1166" s="77" t="s">
        <v>7791</v>
      </c>
      <c r="AE1166" s="80" t="str">
        <f>HYPERLINK("https://twitter.com/canalcomlucro/status/1684528112875589633")</f>
        <v>https://twitter.com/canalcomlucro/status/1684528112875589633</v>
      </c>
      <c r="AF1166" s="79">
        <v>45134.483483796299</v>
      </c>
      <c r="AG1166" s="85">
        <v>45134</v>
      </c>
      <c r="AH1166" s="82" t="s">
        <v>8808</v>
      </c>
      <c r="AI1166" s="77" t="b">
        <v>0</v>
      </c>
      <c r="AJ1166" s="77"/>
      <c r="AK1166" s="77"/>
      <c r="AL1166" s="77"/>
      <c r="AM1166" s="77"/>
      <c r="AN1166" s="77"/>
      <c r="AO1166" s="77"/>
      <c r="AP1166" s="77"/>
      <c r="AQ1166" s="77" t="s">
        <v>11255</v>
      </c>
      <c r="AR1166" s="77"/>
      <c r="AS1166" s="77"/>
      <c r="AT1166" s="77"/>
      <c r="AU1166" s="77"/>
      <c r="AV1166" s="80" t="str">
        <f>HYPERLINK("https://pbs.twimg.com/media/F2ClYpuWYAAjn2M.jpg")</f>
        <v>https://pbs.twimg.com/media/F2ClYpuWYAAjn2M.jpg</v>
      </c>
      <c r="AW1166" s="82" t="s">
        <v>12832</v>
      </c>
      <c r="AX1166" s="82" t="s">
        <v>12832</v>
      </c>
      <c r="AY1166" s="77"/>
      <c r="AZ1166" s="82" t="s">
        <v>15984</v>
      </c>
      <c r="BA1166" s="82" t="s">
        <v>15984</v>
      </c>
      <c r="BB1166" s="82" t="s">
        <v>15984</v>
      </c>
      <c r="BC1166" s="82" t="s">
        <v>12832</v>
      </c>
      <c r="BD1166" s="82" t="s">
        <v>16309</v>
      </c>
      <c r="BE1166" s="77"/>
      <c r="BF1166" s="77"/>
      <c r="BG1166" s="77"/>
      <c r="BH1166" s="77"/>
      <c r="BI1166" s="77"/>
    </row>
    <row r="1167" spans="1:61" x14ac:dyDescent="0.25">
      <c r="A1167" s="62" t="s">
        <v>583</v>
      </c>
      <c r="B1167" s="62" t="s">
        <v>583</v>
      </c>
      <c r="C1167" s="63"/>
      <c r="D1167" s="64"/>
      <c r="E1167" s="65"/>
      <c r="F1167" s="66"/>
      <c r="G1167" s="63"/>
      <c r="H1167" s="67"/>
      <c r="I1167" s="68"/>
      <c r="J1167" s="68"/>
      <c r="K1167" s="32"/>
      <c r="L1167" s="75">
        <v>1167</v>
      </c>
      <c r="M1167" s="75"/>
      <c r="N1167" s="70"/>
      <c r="O1167" s="77" t="s">
        <v>179</v>
      </c>
      <c r="P1167" s="79">
        <v>45134.482777777775</v>
      </c>
      <c r="Q1167" s="77" t="s">
        <v>1950</v>
      </c>
      <c r="R1167" s="77">
        <v>1</v>
      </c>
      <c r="S1167" s="77">
        <v>4</v>
      </c>
      <c r="T1167" s="77">
        <v>0</v>
      </c>
      <c r="U1167" s="77">
        <v>0</v>
      </c>
      <c r="V1167" s="77">
        <v>11</v>
      </c>
      <c r="W1167" s="82" t="s">
        <v>5415</v>
      </c>
      <c r="X1167" s="80" t="str">
        <f>HYPERLINK("https://www.comlucro.com.br/analise-tecnica/barras-ou-velas-candlestick/decodificando-a-psicologia-dos-candles-mergulho-nas-fases-de-aceleracao-e-fortalecimento/")</f>
        <v>https://www.comlucro.com.br/analise-tecnica/barras-ou-velas-candlestick/decodificando-a-psicologia-dos-candles-mergulho-nas-fases-de-aceleracao-e-fortalecimento/</v>
      </c>
      <c r="Y1167" s="77" t="s">
        <v>6470</v>
      </c>
      <c r="Z1167" s="77"/>
      <c r="AA1167" s="77" t="s">
        <v>7284</v>
      </c>
      <c r="AB1167" s="77" t="s">
        <v>7742</v>
      </c>
      <c r="AC1167" s="82" t="s">
        <v>7750</v>
      </c>
      <c r="AD1167" s="77" t="s">
        <v>7791</v>
      </c>
      <c r="AE1167" s="80" t="str">
        <f>HYPERLINK("https://twitter.com/canalcomlucro/status/1684527857450586113")</f>
        <v>https://twitter.com/canalcomlucro/status/1684527857450586113</v>
      </c>
      <c r="AF1167" s="79">
        <v>45134.482777777775</v>
      </c>
      <c r="AG1167" s="85">
        <v>45134</v>
      </c>
      <c r="AH1167" s="82" t="s">
        <v>8809</v>
      </c>
      <c r="AI1167" s="77" t="b">
        <v>0</v>
      </c>
      <c r="AJ1167" s="77"/>
      <c r="AK1167" s="77"/>
      <c r="AL1167" s="77"/>
      <c r="AM1167" s="77"/>
      <c r="AN1167" s="77"/>
      <c r="AO1167" s="77"/>
      <c r="AP1167" s="77"/>
      <c r="AQ1167" s="77" t="s">
        <v>11256</v>
      </c>
      <c r="AR1167" s="77"/>
      <c r="AS1167" s="77"/>
      <c r="AT1167" s="77"/>
      <c r="AU1167" s="77"/>
      <c r="AV1167" s="80" t="str">
        <f>HYPERLINK("https://pbs.twimg.com/media/F2ClJ6zWUAEHazC.jpg")</f>
        <v>https://pbs.twimg.com/media/F2ClJ6zWUAEHazC.jpg</v>
      </c>
      <c r="AW1167" s="82" t="s">
        <v>12833</v>
      </c>
      <c r="AX1167" s="82" t="s">
        <v>12833</v>
      </c>
      <c r="AY1167" s="77"/>
      <c r="AZ1167" s="82" t="s">
        <v>15984</v>
      </c>
      <c r="BA1167" s="82" t="s">
        <v>15984</v>
      </c>
      <c r="BB1167" s="82" t="s">
        <v>15984</v>
      </c>
      <c r="BC1167" s="82" t="s">
        <v>12833</v>
      </c>
      <c r="BD1167" s="82" t="s">
        <v>16309</v>
      </c>
      <c r="BE1167" s="77"/>
      <c r="BF1167" s="77"/>
      <c r="BG1167" s="77"/>
      <c r="BH1167" s="77"/>
      <c r="BI1167" s="77"/>
    </row>
    <row r="1168" spans="1:61" x14ac:dyDescent="0.25">
      <c r="A1168" s="62" t="s">
        <v>583</v>
      </c>
      <c r="B1168" s="62" t="s">
        <v>583</v>
      </c>
      <c r="C1168" s="63"/>
      <c r="D1168" s="64"/>
      <c r="E1168" s="65"/>
      <c r="F1168" s="66"/>
      <c r="G1168" s="63"/>
      <c r="H1168" s="67"/>
      <c r="I1168" s="68"/>
      <c r="J1168" s="68"/>
      <c r="K1168" s="32"/>
      <c r="L1168" s="75">
        <v>1168</v>
      </c>
      <c r="M1168" s="75"/>
      <c r="N1168" s="70"/>
      <c r="O1168" s="77" t="s">
        <v>179</v>
      </c>
      <c r="P1168" s="79">
        <v>45134.482083333336</v>
      </c>
      <c r="Q1168" s="77" t="s">
        <v>1951</v>
      </c>
      <c r="R1168" s="77">
        <v>1</v>
      </c>
      <c r="S1168" s="77">
        <v>4</v>
      </c>
      <c r="T1168" s="77">
        <v>0</v>
      </c>
      <c r="U1168" s="77">
        <v>0</v>
      </c>
      <c r="V1168" s="77">
        <v>11</v>
      </c>
      <c r="W1168" s="82" t="s">
        <v>5416</v>
      </c>
      <c r="X1168" s="80" t="str">
        <f>HYPERLINK("https://www.comlucro.com.br/analise-tecnica/barras-ou-velas-candlestick/como-funcionam-os-graficos-de-candlestick/")</f>
        <v>https://www.comlucro.com.br/analise-tecnica/barras-ou-velas-candlestick/como-funcionam-os-graficos-de-candlestick/</v>
      </c>
      <c r="Y1168" s="77" t="s">
        <v>6470</v>
      </c>
      <c r="Z1168" s="77"/>
      <c r="AA1168" s="77" t="s">
        <v>7285</v>
      </c>
      <c r="AB1168" s="77" t="s">
        <v>7742</v>
      </c>
      <c r="AC1168" s="82" t="s">
        <v>7750</v>
      </c>
      <c r="AD1168" s="77" t="s">
        <v>7791</v>
      </c>
      <c r="AE1168" s="80" t="str">
        <f>HYPERLINK("https://twitter.com/canalcomlucro/status/1684527605154811904")</f>
        <v>https://twitter.com/canalcomlucro/status/1684527605154811904</v>
      </c>
      <c r="AF1168" s="79">
        <v>45134.482083333336</v>
      </c>
      <c r="AG1168" s="85">
        <v>45134</v>
      </c>
      <c r="AH1168" s="82" t="s">
        <v>8810</v>
      </c>
      <c r="AI1168" s="77" t="b">
        <v>0</v>
      </c>
      <c r="AJ1168" s="77"/>
      <c r="AK1168" s="77"/>
      <c r="AL1168" s="77"/>
      <c r="AM1168" s="77"/>
      <c r="AN1168" s="77"/>
      <c r="AO1168" s="77"/>
      <c r="AP1168" s="77"/>
      <c r="AQ1168" s="77" t="s">
        <v>11257</v>
      </c>
      <c r="AR1168" s="77"/>
      <c r="AS1168" s="77"/>
      <c r="AT1168" s="77"/>
      <c r="AU1168" s="77"/>
      <c r="AV1168" s="80" t="str">
        <f>HYPERLINK("https://pbs.twimg.com/media/F2Ck7LsWIAACTi6.jpg")</f>
        <v>https://pbs.twimg.com/media/F2Ck7LsWIAACTi6.jpg</v>
      </c>
      <c r="AW1168" s="82" t="s">
        <v>12834</v>
      </c>
      <c r="AX1168" s="82" t="s">
        <v>12834</v>
      </c>
      <c r="AY1168" s="77"/>
      <c r="AZ1168" s="82" t="s">
        <v>15984</v>
      </c>
      <c r="BA1168" s="82" t="s">
        <v>15984</v>
      </c>
      <c r="BB1168" s="82" t="s">
        <v>15984</v>
      </c>
      <c r="BC1168" s="82" t="s">
        <v>12834</v>
      </c>
      <c r="BD1168" s="82" t="s">
        <v>16309</v>
      </c>
      <c r="BE1168" s="77"/>
      <c r="BF1168" s="77"/>
      <c r="BG1168" s="77"/>
      <c r="BH1168" s="77"/>
      <c r="BI1168" s="77"/>
    </row>
    <row r="1169" spans="1:61" x14ac:dyDescent="0.25">
      <c r="A1169" s="62" t="s">
        <v>583</v>
      </c>
      <c r="B1169" s="62" t="s">
        <v>583</v>
      </c>
      <c r="C1169" s="63"/>
      <c r="D1169" s="64"/>
      <c r="E1169" s="65"/>
      <c r="F1169" s="66"/>
      <c r="G1169" s="63"/>
      <c r="H1169" s="67"/>
      <c r="I1169" s="68"/>
      <c r="J1169" s="68"/>
      <c r="K1169" s="32"/>
      <c r="L1169" s="75">
        <v>1169</v>
      </c>
      <c r="M1169" s="75"/>
      <c r="N1169" s="70"/>
      <c r="O1169" s="77" t="s">
        <v>179</v>
      </c>
      <c r="P1169" s="79">
        <v>45134.481550925928</v>
      </c>
      <c r="Q1169" s="77" t="s">
        <v>1952</v>
      </c>
      <c r="R1169" s="77">
        <v>1</v>
      </c>
      <c r="S1169" s="77">
        <v>4</v>
      </c>
      <c r="T1169" s="77">
        <v>0</v>
      </c>
      <c r="U1169" s="77">
        <v>0</v>
      </c>
      <c r="V1169" s="77">
        <v>9</v>
      </c>
      <c r="W1169" s="82" t="s">
        <v>5417</v>
      </c>
      <c r="X1169" s="80" t="str">
        <f>HYPERLINK("https://www.comlucro.com.br/analise-tecnica/barras-ou-velas-candlestick/a-psicologia-dos-candles-decifrando-os-comportamentos-do-mercado-financeiro/")</f>
        <v>https://www.comlucro.com.br/analise-tecnica/barras-ou-velas-candlestick/a-psicologia-dos-candles-decifrando-os-comportamentos-do-mercado-financeiro/</v>
      </c>
      <c r="Y1169" s="77" t="s">
        <v>6470</v>
      </c>
      <c r="Z1169" s="77"/>
      <c r="AA1169" s="77" t="s">
        <v>7286</v>
      </c>
      <c r="AB1169" s="77" t="s">
        <v>7742</v>
      </c>
      <c r="AC1169" s="82" t="s">
        <v>7750</v>
      </c>
      <c r="AD1169" s="77" t="s">
        <v>7791</v>
      </c>
      <c r="AE1169" s="80" t="str">
        <f>HYPERLINK("https://twitter.com/canalcomlucro/status/1684527411075903490")</f>
        <v>https://twitter.com/canalcomlucro/status/1684527411075903490</v>
      </c>
      <c r="AF1169" s="79">
        <v>45134.481550925928</v>
      </c>
      <c r="AG1169" s="85">
        <v>45134</v>
      </c>
      <c r="AH1169" s="82" t="s">
        <v>8811</v>
      </c>
      <c r="AI1169" s="77" t="b">
        <v>0</v>
      </c>
      <c r="AJ1169" s="77"/>
      <c r="AK1169" s="77"/>
      <c r="AL1169" s="77"/>
      <c r="AM1169" s="77"/>
      <c r="AN1169" s="77"/>
      <c r="AO1169" s="77"/>
      <c r="AP1169" s="77"/>
      <c r="AQ1169" s="77" t="s">
        <v>11258</v>
      </c>
      <c r="AR1169" s="77"/>
      <c r="AS1169" s="77"/>
      <c r="AT1169" s="77"/>
      <c r="AU1169" s="77"/>
      <c r="AV1169" s="80" t="str">
        <f>HYPERLINK("https://pbs.twimg.com/media/F2Ckvy8XoAE07bk.jpg")</f>
        <v>https://pbs.twimg.com/media/F2Ckvy8XoAE07bk.jpg</v>
      </c>
      <c r="AW1169" s="82" t="s">
        <v>12835</v>
      </c>
      <c r="AX1169" s="82" t="s">
        <v>12835</v>
      </c>
      <c r="AY1169" s="77"/>
      <c r="AZ1169" s="82" t="s">
        <v>15984</v>
      </c>
      <c r="BA1169" s="82" t="s">
        <v>15984</v>
      </c>
      <c r="BB1169" s="82" t="s">
        <v>15984</v>
      </c>
      <c r="BC1169" s="82" t="s">
        <v>12835</v>
      </c>
      <c r="BD1169" s="82" t="s">
        <v>16309</v>
      </c>
      <c r="BE1169" s="77"/>
      <c r="BF1169" s="77"/>
      <c r="BG1169" s="77"/>
      <c r="BH1169" s="77"/>
      <c r="BI1169" s="77"/>
    </row>
    <row r="1170" spans="1:61" x14ac:dyDescent="0.25">
      <c r="A1170" s="62" t="s">
        <v>583</v>
      </c>
      <c r="B1170" s="62" t="s">
        <v>583</v>
      </c>
      <c r="C1170" s="63"/>
      <c r="D1170" s="64"/>
      <c r="E1170" s="65"/>
      <c r="F1170" s="66"/>
      <c r="G1170" s="63"/>
      <c r="H1170" s="67"/>
      <c r="I1170" s="68"/>
      <c r="J1170" s="68"/>
      <c r="K1170" s="32"/>
      <c r="L1170" s="75">
        <v>1170</v>
      </c>
      <c r="M1170" s="75"/>
      <c r="N1170" s="70"/>
      <c r="O1170" s="77" t="s">
        <v>179</v>
      </c>
      <c r="P1170" s="79">
        <v>45149.852361111109</v>
      </c>
      <c r="Q1170" s="77" t="s">
        <v>1953</v>
      </c>
      <c r="R1170" s="77">
        <v>1</v>
      </c>
      <c r="S1170" s="77">
        <v>2</v>
      </c>
      <c r="T1170" s="77">
        <v>0</v>
      </c>
      <c r="U1170" s="77">
        <v>0</v>
      </c>
      <c r="V1170" s="77">
        <v>74</v>
      </c>
      <c r="W1170" s="82" t="s">
        <v>5418</v>
      </c>
      <c r="X1170" s="80" t="str">
        <f>HYPERLINK("https://www.comlucro.com.br/analise-tecnica/volatilidade/volatilidade-implicita/")</f>
        <v>https://www.comlucro.com.br/analise-tecnica/volatilidade/volatilidade-implicita/</v>
      </c>
      <c r="Y1170" s="77" t="s">
        <v>6470</v>
      </c>
      <c r="Z1170" s="77"/>
      <c r="AA1170" s="77" t="s">
        <v>7287</v>
      </c>
      <c r="AB1170" s="77" t="s">
        <v>7742</v>
      </c>
      <c r="AC1170" s="82" t="s">
        <v>7750</v>
      </c>
      <c r="AD1170" s="77" t="s">
        <v>7791</v>
      </c>
      <c r="AE1170" s="80" t="str">
        <f>HYPERLINK("https://twitter.com/canalcomlucro/status/1690097607656222720")</f>
        <v>https://twitter.com/canalcomlucro/status/1690097607656222720</v>
      </c>
      <c r="AF1170" s="79">
        <v>45149.852361111109</v>
      </c>
      <c r="AG1170" s="85">
        <v>45149</v>
      </c>
      <c r="AH1170" s="82" t="s">
        <v>8812</v>
      </c>
      <c r="AI1170" s="77" t="b">
        <v>0</v>
      </c>
      <c r="AJ1170" s="77"/>
      <c r="AK1170" s="77"/>
      <c r="AL1170" s="77"/>
      <c r="AM1170" s="77"/>
      <c r="AN1170" s="77"/>
      <c r="AO1170" s="77"/>
      <c r="AP1170" s="77"/>
      <c r="AQ1170" s="77" t="s">
        <v>11259</v>
      </c>
      <c r="AR1170" s="77"/>
      <c r="AS1170" s="77"/>
      <c r="AT1170" s="77"/>
      <c r="AU1170" s="77"/>
      <c r="AV1170" s="80" t="str">
        <f>HYPERLINK("https://pbs.twimg.com/media/F3Ruzo_WkAAAkoE.jpg")</f>
        <v>https://pbs.twimg.com/media/F3Ruzo_WkAAAkoE.jpg</v>
      </c>
      <c r="AW1170" s="82" t="s">
        <v>12836</v>
      </c>
      <c r="AX1170" s="82" t="s">
        <v>12836</v>
      </c>
      <c r="AY1170" s="77"/>
      <c r="AZ1170" s="82" t="s">
        <v>15984</v>
      </c>
      <c r="BA1170" s="82" t="s">
        <v>15984</v>
      </c>
      <c r="BB1170" s="82" t="s">
        <v>15984</v>
      </c>
      <c r="BC1170" s="82" t="s">
        <v>12836</v>
      </c>
      <c r="BD1170" s="82" t="s">
        <v>16309</v>
      </c>
      <c r="BE1170" s="77"/>
      <c r="BF1170" s="77"/>
      <c r="BG1170" s="77"/>
      <c r="BH1170" s="77"/>
      <c r="BI1170" s="77"/>
    </row>
    <row r="1171" spans="1:61" x14ac:dyDescent="0.25">
      <c r="A1171" s="62" t="s">
        <v>583</v>
      </c>
      <c r="B1171" s="62" t="s">
        <v>583</v>
      </c>
      <c r="C1171" s="63"/>
      <c r="D1171" s="64"/>
      <c r="E1171" s="65"/>
      <c r="F1171" s="66"/>
      <c r="G1171" s="63"/>
      <c r="H1171" s="67"/>
      <c r="I1171" s="68"/>
      <c r="J1171" s="68"/>
      <c r="K1171" s="32"/>
      <c r="L1171" s="75">
        <v>1171</v>
      </c>
      <c r="M1171" s="75"/>
      <c r="N1171" s="70"/>
      <c r="O1171" s="77" t="s">
        <v>179</v>
      </c>
      <c r="P1171" s="79">
        <v>45149.851736111108</v>
      </c>
      <c r="Q1171" s="77" t="s">
        <v>1954</v>
      </c>
      <c r="R1171" s="77">
        <v>1</v>
      </c>
      <c r="S1171" s="77">
        <v>2</v>
      </c>
      <c r="T1171" s="77">
        <v>0</v>
      </c>
      <c r="U1171" s="77">
        <v>0</v>
      </c>
      <c r="V1171" s="77">
        <v>93</v>
      </c>
      <c r="W1171" s="82" t="s">
        <v>5419</v>
      </c>
      <c r="X1171" s="80" t="str">
        <f>HYPERLINK("https://www.comlucro.com.br/analise-tecnica/volatilidade/volatilidade-historica/")</f>
        <v>https://www.comlucro.com.br/analise-tecnica/volatilidade/volatilidade-historica/</v>
      </c>
      <c r="Y1171" s="77" t="s">
        <v>6470</v>
      </c>
      <c r="Z1171" s="77"/>
      <c r="AA1171" s="77" t="s">
        <v>7288</v>
      </c>
      <c r="AB1171" s="77" t="s">
        <v>7742</v>
      </c>
      <c r="AC1171" s="82" t="s">
        <v>7750</v>
      </c>
      <c r="AD1171" s="77" t="s">
        <v>7791</v>
      </c>
      <c r="AE1171" s="80" t="str">
        <f>HYPERLINK("https://twitter.com/canalcomlucro/status/1690097377808424960")</f>
        <v>https://twitter.com/canalcomlucro/status/1690097377808424960</v>
      </c>
      <c r="AF1171" s="79">
        <v>45149.851736111108</v>
      </c>
      <c r="AG1171" s="85">
        <v>45149</v>
      </c>
      <c r="AH1171" s="82" t="s">
        <v>8813</v>
      </c>
      <c r="AI1171" s="77" t="b">
        <v>0</v>
      </c>
      <c r="AJ1171" s="77"/>
      <c r="AK1171" s="77"/>
      <c r="AL1171" s="77"/>
      <c r="AM1171" s="77"/>
      <c r="AN1171" s="77"/>
      <c r="AO1171" s="77"/>
      <c r="AP1171" s="77"/>
      <c r="AQ1171" s="77" t="s">
        <v>11260</v>
      </c>
      <c r="AR1171" s="77"/>
      <c r="AS1171" s="77"/>
      <c r="AT1171" s="77"/>
      <c r="AU1171" s="77"/>
      <c r="AV1171" s="80" t="str">
        <f>HYPERLINK("https://pbs.twimg.com/media/F3RuliZXwAAYiBr.jpg")</f>
        <v>https://pbs.twimg.com/media/F3RuliZXwAAYiBr.jpg</v>
      </c>
      <c r="AW1171" s="82" t="s">
        <v>12837</v>
      </c>
      <c r="AX1171" s="82" t="s">
        <v>12837</v>
      </c>
      <c r="AY1171" s="77"/>
      <c r="AZ1171" s="82" t="s">
        <v>15984</v>
      </c>
      <c r="BA1171" s="82" t="s">
        <v>15984</v>
      </c>
      <c r="BB1171" s="82" t="s">
        <v>15984</v>
      </c>
      <c r="BC1171" s="82" t="s">
        <v>12837</v>
      </c>
      <c r="BD1171" s="82" t="s">
        <v>16309</v>
      </c>
      <c r="BE1171" s="77"/>
      <c r="BF1171" s="77"/>
      <c r="BG1171" s="77"/>
      <c r="BH1171" s="77"/>
      <c r="BI1171" s="77"/>
    </row>
    <row r="1172" spans="1:61" x14ac:dyDescent="0.25">
      <c r="A1172" s="62" t="s">
        <v>583</v>
      </c>
      <c r="B1172" s="62" t="s">
        <v>583</v>
      </c>
      <c r="C1172" s="63"/>
      <c r="D1172" s="64"/>
      <c r="E1172" s="65"/>
      <c r="F1172" s="66"/>
      <c r="G1172" s="63"/>
      <c r="H1172" s="67"/>
      <c r="I1172" s="68"/>
      <c r="J1172" s="68"/>
      <c r="K1172" s="32"/>
      <c r="L1172" s="75">
        <v>1172</v>
      </c>
      <c r="M1172" s="75"/>
      <c r="N1172" s="70"/>
      <c r="O1172" s="77" t="s">
        <v>179</v>
      </c>
      <c r="P1172" s="79">
        <v>45152.731273148151</v>
      </c>
      <c r="Q1172" s="77" t="s">
        <v>1955</v>
      </c>
      <c r="R1172" s="77">
        <v>1</v>
      </c>
      <c r="S1172" s="77">
        <v>2</v>
      </c>
      <c r="T1172" s="77">
        <v>1</v>
      </c>
      <c r="U1172" s="77">
        <v>0</v>
      </c>
      <c r="V1172" s="77">
        <v>15</v>
      </c>
      <c r="W1172" s="82" t="s">
        <v>5420</v>
      </c>
      <c r="X1172" s="80" t="str">
        <f>HYPERLINK("https://www.comlucro.com.br/indicadores-tecnicos/chaikin-money-flow-cmf/")</f>
        <v>https://www.comlucro.com.br/indicadores-tecnicos/chaikin-money-flow-cmf/</v>
      </c>
      <c r="Y1172" s="77" t="s">
        <v>6470</v>
      </c>
      <c r="Z1172" s="77"/>
      <c r="AA1172" s="77" t="s">
        <v>7289</v>
      </c>
      <c r="AB1172" s="77" t="s">
        <v>7742</v>
      </c>
      <c r="AC1172" s="82" t="s">
        <v>7750</v>
      </c>
      <c r="AD1172" s="77" t="s">
        <v>7791</v>
      </c>
      <c r="AE1172" s="80" t="str">
        <f>HYPERLINK("https://twitter.com/canalcomlucro/status/1691140888372588547")</f>
        <v>https://twitter.com/canalcomlucro/status/1691140888372588547</v>
      </c>
      <c r="AF1172" s="79">
        <v>45152.731273148151</v>
      </c>
      <c r="AG1172" s="85">
        <v>45152</v>
      </c>
      <c r="AH1172" s="82" t="s">
        <v>8814</v>
      </c>
      <c r="AI1172" s="77" t="b">
        <v>0</v>
      </c>
      <c r="AJ1172" s="77"/>
      <c r="AK1172" s="77"/>
      <c r="AL1172" s="77"/>
      <c r="AM1172" s="77"/>
      <c r="AN1172" s="77"/>
      <c r="AO1172" s="77"/>
      <c r="AP1172" s="77"/>
      <c r="AQ1172" s="77" t="s">
        <v>11261</v>
      </c>
      <c r="AR1172" s="77"/>
      <c r="AS1172" s="77"/>
      <c r="AT1172" s="77"/>
      <c r="AU1172" s="77"/>
      <c r="AV1172" s="80" t="str">
        <f>HYPERLINK("https://pbs.twimg.com/media/F3gjq8qWMAQaUq5.jpg")</f>
        <v>https://pbs.twimg.com/media/F3gjq8qWMAQaUq5.jpg</v>
      </c>
      <c r="AW1172" s="82" t="s">
        <v>12838</v>
      </c>
      <c r="AX1172" s="82" t="s">
        <v>12838</v>
      </c>
      <c r="AY1172" s="77"/>
      <c r="AZ1172" s="82" t="s">
        <v>15984</v>
      </c>
      <c r="BA1172" s="82" t="s">
        <v>15984</v>
      </c>
      <c r="BB1172" s="82" t="s">
        <v>15984</v>
      </c>
      <c r="BC1172" s="82" t="s">
        <v>12838</v>
      </c>
      <c r="BD1172" s="82" t="s">
        <v>16309</v>
      </c>
      <c r="BE1172" s="77"/>
      <c r="BF1172" s="77"/>
      <c r="BG1172" s="77"/>
      <c r="BH1172" s="77"/>
      <c r="BI1172" s="77"/>
    </row>
    <row r="1173" spans="1:61" x14ac:dyDescent="0.25">
      <c r="A1173" s="62" t="s">
        <v>583</v>
      </c>
      <c r="B1173" s="62" t="s">
        <v>583</v>
      </c>
      <c r="C1173" s="63"/>
      <c r="D1173" s="64"/>
      <c r="E1173" s="65"/>
      <c r="F1173" s="66"/>
      <c r="G1173" s="63"/>
      <c r="H1173" s="67"/>
      <c r="I1173" s="68"/>
      <c r="J1173" s="68"/>
      <c r="K1173" s="32"/>
      <c r="L1173" s="75">
        <v>1173</v>
      </c>
      <c r="M1173" s="75"/>
      <c r="N1173" s="70"/>
      <c r="O1173" s="77" t="s">
        <v>179</v>
      </c>
      <c r="P1173" s="79">
        <v>45152.713391203702</v>
      </c>
      <c r="Q1173" s="77" t="s">
        <v>1956</v>
      </c>
      <c r="R1173" s="77">
        <v>1</v>
      </c>
      <c r="S1173" s="77">
        <v>2</v>
      </c>
      <c r="T1173" s="77">
        <v>1</v>
      </c>
      <c r="U1173" s="77">
        <v>0</v>
      </c>
      <c r="V1173" s="77">
        <v>13</v>
      </c>
      <c r="W1173" s="82" t="s">
        <v>5421</v>
      </c>
      <c r="X1173" s="80" t="str">
        <f>HYPERLINK("https://www.comlucro.com.br/indicadores-tecnicos/sar-parabolico-parabolic-sar/")</f>
        <v>https://www.comlucro.com.br/indicadores-tecnicos/sar-parabolico-parabolic-sar/</v>
      </c>
      <c r="Y1173" s="77" t="s">
        <v>6470</v>
      </c>
      <c r="Z1173" s="77"/>
      <c r="AA1173" s="77" t="s">
        <v>7290</v>
      </c>
      <c r="AB1173" s="77" t="s">
        <v>7742</v>
      </c>
      <c r="AC1173" s="82" t="s">
        <v>7750</v>
      </c>
      <c r="AD1173" s="77" t="s">
        <v>7791</v>
      </c>
      <c r="AE1173" s="80" t="str">
        <f>HYPERLINK("https://twitter.com/canalcomlucro/status/1691134407732613122")</f>
        <v>https://twitter.com/canalcomlucro/status/1691134407732613122</v>
      </c>
      <c r="AF1173" s="79">
        <v>45152.713391203702</v>
      </c>
      <c r="AG1173" s="85">
        <v>45152</v>
      </c>
      <c r="AH1173" s="82" t="s">
        <v>8815</v>
      </c>
      <c r="AI1173" s="77" t="b">
        <v>0</v>
      </c>
      <c r="AJ1173" s="77"/>
      <c r="AK1173" s="77"/>
      <c r="AL1173" s="77"/>
      <c r="AM1173" s="77"/>
      <c r="AN1173" s="77"/>
      <c r="AO1173" s="77"/>
      <c r="AP1173" s="77"/>
      <c r="AQ1173" s="77" t="s">
        <v>11262</v>
      </c>
      <c r="AR1173" s="77"/>
      <c r="AS1173" s="77"/>
      <c r="AT1173" s="77"/>
      <c r="AU1173" s="77"/>
      <c r="AV1173" s="80" t="str">
        <f>HYPERLINK("https://pbs.twimg.com/media/F3gdxphX0BAgjmC.jpg")</f>
        <v>https://pbs.twimg.com/media/F3gdxphX0BAgjmC.jpg</v>
      </c>
      <c r="AW1173" s="82" t="s">
        <v>12839</v>
      </c>
      <c r="AX1173" s="82" t="s">
        <v>12839</v>
      </c>
      <c r="AY1173" s="77"/>
      <c r="AZ1173" s="82" t="s">
        <v>15984</v>
      </c>
      <c r="BA1173" s="82" t="s">
        <v>15984</v>
      </c>
      <c r="BB1173" s="82" t="s">
        <v>15984</v>
      </c>
      <c r="BC1173" s="82" t="s">
        <v>12839</v>
      </c>
      <c r="BD1173" s="82" t="s">
        <v>16309</v>
      </c>
      <c r="BE1173" s="77"/>
      <c r="BF1173" s="77"/>
      <c r="BG1173" s="77"/>
      <c r="BH1173" s="77"/>
      <c r="BI1173" s="77"/>
    </row>
    <row r="1174" spans="1:61" x14ac:dyDescent="0.25">
      <c r="A1174" s="62" t="s">
        <v>583</v>
      </c>
      <c r="B1174" s="62" t="s">
        <v>583</v>
      </c>
      <c r="C1174" s="63"/>
      <c r="D1174" s="64"/>
      <c r="E1174" s="65"/>
      <c r="F1174" s="66"/>
      <c r="G1174" s="63"/>
      <c r="H1174" s="67"/>
      <c r="I1174" s="68"/>
      <c r="J1174" s="68"/>
      <c r="K1174" s="32"/>
      <c r="L1174" s="75">
        <v>1174</v>
      </c>
      <c r="M1174" s="75"/>
      <c r="N1174" s="70"/>
      <c r="O1174" s="77" t="s">
        <v>179</v>
      </c>
      <c r="P1174" s="79">
        <v>45152.685219907406</v>
      </c>
      <c r="Q1174" s="77" t="s">
        <v>1957</v>
      </c>
      <c r="R1174" s="77">
        <v>1</v>
      </c>
      <c r="S1174" s="77">
        <v>2</v>
      </c>
      <c r="T1174" s="77">
        <v>1</v>
      </c>
      <c r="U1174" s="77">
        <v>0</v>
      </c>
      <c r="V1174" s="77">
        <v>20</v>
      </c>
      <c r="W1174" s="82" t="s">
        <v>5422</v>
      </c>
      <c r="X1174" s="80" t="str">
        <f>HYPERLINK("https://www.comlucro.com.br/indicadores-tecnicos/supertrend/")</f>
        <v>https://www.comlucro.com.br/indicadores-tecnicos/supertrend/</v>
      </c>
      <c r="Y1174" s="77" t="s">
        <v>6470</v>
      </c>
      <c r="Z1174" s="77"/>
      <c r="AA1174" s="77" t="s">
        <v>7291</v>
      </c>
      <c r="AB1174" s="77" t="s">
        <v>7742</v>
      </c>
      <c r="AC1174" s="82" t="s">
        <v>7750</v>
      </c>
      <c r="AD1174" s="77" t="s">
        <v>7791</v>
      </c>
      <c r="AE1174" s="80" t="str">
        <f>HYPERLINK("https://twitter.com/canalcomlucro/status/1691124200722079745")</f>
        <v>https://twitter.com/canalcomlucro/status/1691124200722079745</v>
      </c>
      <c r="AF1174" s="79">
        <v>45152.685219907406</v>
      </c>
      <c r="AG1174" s="85">
        <v>45152</v>
      </c>
      <c r="AH1174" s="82" t="s">
        <v>8816</v>
      </c>
      <c r="AI1174" s="77" t="b">
        <v>0</v>
      </c>
      <c r="AJ1174" s="77"/>
      <c r="AK1174" s="77"/>
      <c r="AL1174" s="77"/>
      <c r="AM1174" s="77"/>
      <c r="AN1174" s="77"/>
      <c r="AO1174" s="77"/>
      <c r="AP1174" s="77"/>
      <c r="AQ1174" s="77" t="s">
        <v>11263</v>
      </c>
      <c r="AR1174" s="77"/>
      <c r="AS1174" s="77"/>
      <c r="AT1174" s="77"/>
      <c r="AU1174" s="77"/>
      <c r="AV1174" s="80" t="str">
        <f>HYPERLINK("https://pbs.twimg.com/media/F3gUfkLX0AcPx4y.jpg")</f>
        <v>https://pbs.twimg.com/media/F3gUfkLX0AcPx4y.jpg</v>
      </c>
      <c r="AW1174" s="82" t="s">
        <v>12840</v>
      </c>
      <c r="AX1174" s="82" t="s">
        <v>12840</v>
      </c>
      <c r="AY1174" s="77"/>
      <c r="AZ1174" s="82" t="s">
        <v>15984</v>
      </c>
      <c r="BA1174" s="82" t="s">
        <v>15984</v>
      </c>
      <c r="BB1174" s="82" t="s">
        <v>15984</v>
      </c>
      <c r="BC1174" s="82" t="s">
        <v>12840</v>
      </c>
      <c r="BD1174" s="82" t="s">
        <v>16309</v>
      </c>
      <c r="BE1174" s="77"/>
      <c r="BF1174" s="77"/>
      <c r="BG1174" s="77"/>
      <c r="BH1174" s="77"/>
      <c r="BI1174" s="77"/>
    </row>
    <row r="1175" spans="1:61" x14ac:dyDescent="0.25">
      <c r="A1175" s="62" t="s">
        <v>583</v>
      </c>
      <c r="B1175" s="62" t="s">
        <v>583</v>
      </c>
      <c r="C1175" s="63"/>
      <c r="D1175" s="64"/>
      <c r="E1175" s="65"/>
      <c r="F1175" s="66"/>
      <c r="G1175" s="63"/>
      <c r="H1175" s="67"/>
      <c r="I1175" s="68"/>
      <c r="J1175" s="68"/>
      <c r="K1175" s="32"/>
      <c r="L1175" s="75">
        <v>1175</v>
      </c>
      <c r="M1175" s="75"/>
      <c r="N1175" s="70"/>
      <c r="O1175" s="77" t="s">
        <v>179</v>
      </c>
      <c r="P1175" s="79">
        <v>45152.684733796297</v>
      </c>
      <c r="Q1175" s="77" t="s">
        <v>1958</v>
      </c>
      <c r="R1175" s="77">
        <v>1</v>
      </c>
      <c r="S1175" s="77">
        <v>2</v>
      </c>
      <c r="T1175" s="77">
        <v>1</v>
      </c>
      <c r="U1175" s="77">
        <v>0</v>
      </c>
      <c r="V1175" s="77">
        <v>34</v>
      </c>
      <c r="W1175" s="82" t="s">
        <v>5423</v>
      </c>
      <c r="X1175" s="80" t="str">
        <f>HYPERLINK("https://www.comlucro.com.br/analise-tecnica/average-directional-index-adx/")</f>
        <v>https://www.comlucro.com.br/analise-tecnica/average-directional-index-adx/</v>
      </c>
      <c r="Y1175" s="77" t="s">
        <v>6470</v>
      </c>
      <c r="Z1175" s="77"/>
      <c r="AA1175" s="77" t="s">
        <v>7292</v>
      </c>
      <c r="AB1175" s="77" t="s">
        <v>7742</v>
      </c>
      <c r="AC1175" s="82" t="s">
        <v>7750</v>
      </c>
      <c r="AD1175" s="77" t="s">
        <v>7791</v>
      </c>
      <c r="AE1175" s="80" t="str">
        <f>HYPERLINK("https://twitter.com/canalcomlucro/status/1691124024741388288")</f>
        <v>https://twitter.com/canalcomlucro/status/1691124024741388288</v>
      </c>
      <c r="AF1175" s="79">
        <v>45152.684733796297</v>
      </c>
      <c r="AG1175" s="85">
        <v>45152</v>
      </c>
      <c r="AH1175" s="82" t="s">
        <v>8817</v>
      </c>
      <c r="AI1175" s="77" t="b">
        <v>0</v>
      </c>
      <c r="AJ1175" s="77"/>
      <c r="AK1175" s="77"/>
      <c r="AL1175" s="77"/>
      <c r="AM1175" s="77"/>
      <c r="AN1175" s="77"/>
      <c r="AO1175" s="77"/>
      <c r="AP1175" s="77"/>
      <c r="AQ1175" s="77" t="s">
        <v>11264</v>
      </c>
      <c r="AR1175" s="77"/>
      <c r="AS1175" s="77"/>
      <c r="AT1175" s="77"/>
      <c r="AU1175" s="77"/>
      <c r="AV1175" s="80" t="str">
        <f>HYPERLINK("https://pbs.twimg.com/media/F3gUVW7WoAAzZFy.jpg")</f>
        <v>https://pbs.twimg.com/media/F3gUVW7WoAAzZFy.jpg</v>
      </c>
      <c r="AW1175" s="82" t="s">
        <v>12841</v>
      </c>
      <c r="AX1175" s="82" t="s">
        <v>12841</v>
      </c>
      <c r="AY1175" s="77"/>
      <c r="AZ1175" s="82" t="s">
        <v>15984</v>
      </c>
      <c r="BA1175" s="82" t="s">
        <v>15984</v>
      </c>
      <c r="BB1175" s="82" t="s">
        <v>15984</v>
      </c>
      <c r="BC1175" s="82" t="s">
        <v>12841</v>
      </c>
      <c r="BD1175" s="82" t="s">
        <v>16309</v>
      </c>
      <c r="BE1175" s="77"/>
      <c r="BF1175" s="77"/>
      <c r="BG1175" s="77"/>
      <c r="BH1175" s="77"/>
      <c r="BI1175" s="77"/>
    </row>
    <row r="1176" spans="1:61" x14ac:dyDescent="0.25">
      <c r="A1176" s="62" t="s">
        <v>583</v>
      </c>
      <c r="B1176" s="62" t="s">
        <v>583</v>
      </c>
      <c r="C1176" s="63"/>
      <c r="D1176" s="64"/>
      <c r="E1176" s="65"/>
      <c r="F1176" s="66"/>
      <c r="G1176" s="63"/>
      <c r="H1176" s="67"/>
      <c r="I1176" s="68"/>
      <c r="J1176" s="68"/>
      <c r="K1176" s="32"/>
      <c r="L1176" s="75">
        <v>1176</v>
      </c>
      <c r="M1176" s="75"/>
      <c r="N1176" s="70"/>
      <c r="O1176" s="77" t="s">
        <v>179</v>
      </c>
      <c r="P1176" s="79">
        <v>45153.496238425927</v>
      </c>
      <c r="Q1176" s="77" t="s">
        <v>1959</v>
      </c>
      <c r="R1176" s="77">
        <v>1</v>
      </c>
      <c r="S1176" s="77">
        <v>2</v>
      </c>
      <c r="T1176" s="77">
        <v>0</v>
      </c>
      <c r="U1176" s="77">
        <v>0</v>
      </c>
      <c r="V1176" s="77">
        <v>95</v>
      </c>
      <c r="W1176" s="82" t="s">
        <v>5424</v>
      </c>
      <c r="X1176" s="80" t="str">
        <f>HYPERLINK("https://www.comlucro.com.br/apenas-5-de-day-traders-experientes-ganharam-mais-de-r-10-mil-por-mes/")</f>
        <v>https://www.comlucro.com.br/apenas-5-de-day-traders-experientes-ganharam-mais-de-r-10-mil-por-mes/</v>
      </c>
      <c r="Y1176" s="77" t="s">
        <v>6470</v>
      </c>
      <c r="Z1176" s="77"/>
      <c r="AA1176" s="77" t="s">
        <v>7293</v>
      </c>
      <c r="AB1176" s="77" t="s">
        <v>7742</v>
      </c>
      <c r="AC1176" s="82" t="s">
        <v>7750</v>
      </c>
      <c r="AD1176" s="77" t="s">
        <v>7791</v>
      </c>
      <c r="AE1176" s="80" t="str">
        <f>HYPERLINK("https://twitter.com/canalcomlucro/status/1691418105098969088")</f>
        <v>https://twitter.com/canalcomlucro/status/1691418105098969088</v>
      </c>
      <c r="AF1176" s="79">
        <v>45153.496238425927</v>
      </c>
      <c r="AG1176" s="85">
        <v>45153</v>
      </c>
      <c r="AH1176" s="82" t="s">
        <v>8818</v>
      </c>
      <c r="AI1176" s="77" t="b">
        <v>0</v>
      </c>
      <c r="AJ1176" s="77"/>
      <c r="AK1176" s="77"/>
      <c r="AL1176" s="77"/>
      <c r="AM1176" s="77"/>
      <c r="AN1176" s="77"/>
      <c r="AO1176" s="77"/>
      <c r="AP1176" s="77"/>
      <c r="AQ1176" s="77" t="s">
        <v>11265</v>
      </c>
      <c r="AR1176" s="77"/>
      <c r="AS1176" s="77"/>
      <c r="AT1176" s="77"/>
      <c r="AU1176" s="77"/>
      <c r="AV1176" s="80" t="str">
        <f>HYPERLINK("https://pbs.twimg.com/media/F3kfuisXQAAwIvZ.jpg")</f>
        <v>https://pbs.twimg.com/media/F3kfuisXQAAwIvZ.jpg</v>
      </c>
      <c r="AW1176" s="82" t="s">
        <v>12842</v>
      </c>
      <c r="AX1176" s="82" t="s">
        <v>12842</v>
      </c>
      <c r="AY1176" s="77"/>
      <c r="AZ1176" s="82" t="s">
        <v>15984</v>
      </c>
      <c r="BA1176" s="82" t="s">
        <v>15984</v>
      </c>
      <c r="BB1176" s="82" t="s">
        <v>15984</v>
      </c>
      <c r="BC1176" s="82" t="s">
        <v>12842</v>
      </c>
      <c r="BD1176" s="82" t="s">
        <v>16309</v>
      </c>
      <c r="BE1176" s="77"/>
      <c r="BF1176" s="77"/>
      <c r="BG1176" s="77"/>
      <c r="BH1176" s="77"/>
      <c r="BI1176" s="77"/>
    </row>
    <row r="1177" spans="1:61" x14ac:dyDescent="0.25">
      <c r="A1177" s="62" t="s">
        <v>583</v>
      </c>
      <c r="B1177" s="62" t="s">
        <v>583</v>
      </c>
      <c r="C1177" s="63"/>
      <c r="D1177" s="64"/>
      <c r="E1177" s="65"/>
      <c r="F1177" s="66"/>
      <c r="G1177" s="63"/>
      <c r="H1177" s="67"/>
      <c r="I1177" s="68"/>
      <c r="J1177" s="68"/>
      <c r="K1177" s="32"/>
      <c r="L1177" s="75">
        <v>1177</v>
      </c>
      <c r="M1177" s="75"/>
      <c r="N1177" s="70"/>
      <c r="O1177" s="77" t="s">
        <v>179</v>
      </c>
      <c r="P1177" s="79">
        <v>45141.734548611108</v>
      </c>
      <c r="Q1177" s="77" t="s">
        <v>1960</v>
      </c>
      <c r="R1177" s="77">
        <v>1</v>
      </c>
      <c r="S1177" s="77">
        <v>3</v>
      </c>
      <c r="T1177" s="77">
        <v>0</v>
      </c>
      <c r="U1177" s="77">
        <v>0</v>
      </c>
      <c r="V1177" s="77">
        <v>14</v>
      </c>
      <c r="W1177" s="82" t="s">
        <v>5425</v>
      </c>
      <c r="X1177" s="80" t="str">
        <f>HYPERLINK("https://www.comlucro.com.br/analise-tecnica/barras-ou-velas-candlestick/enforcado-hanging-man/")</f>
        <v>https://www.comlucro.com.br/analise-tecnica/barras-ou-velas-candlestick/enforcado-hanging-man/</v>
      </c>
      <c r="Y1177" s="77" t="s">
        <v>6470</v>
      </c>
      <c r="Z1177" s="77"/>
      <c r="AA1177" s="77" t="s">
        <v>7294</v>
      </c>
      <c r="AB1177" s="77" t="s">
        <v>7742</v>
      </c>
      <c r="AC1177" s="82" t="s">
        <v>7750</v>
      </c>
      <c r="AD1177" s="77" t="s">
        <v>7791</v>
      </c>
      <c r="AE1177" s="80" t="str">
        <f>HYPERLINK("https://twitter.com/canalcomlucro/status/1687155811431206912")</f>
        <v>https://twitter.com/canalcomlucro/status/1687155811431206912</v>
      </c>
      <c r="AF1177" s="79">
        <v>45141.734548611108</v>
      </c>
      <c r="AG1177" s="85">
        <v>45141</v>
      </c>
      <c r="AH1177" s="82" t="s">
        <v>8819</v>
      </c>
      <c r="AI1177" s="77" t="b">
        <v>0</v>
      </c>
      <c r="AJ1177" s="77"/>
      <c r="AK1177" s="77"/>
      <c r="AL1177" s="77"/>
      <c r="AM1177" s="77"/>
      <c r="AN1177" s="77"/>
      <c r="AO1177" s="77"/>
      <c r="AP1177" s="77"/>
      <c r="AQ1177" s="77" t="s">
        <v>11266</v>
      </c>
      <c r="AR1177" s="77"/>
      <c r="AS1177" s="77"/>
      <c r="AT1177" s="77"/>
      <c r="AU1177" s="77"/>
      <c r="AV1177" s="80" t="str">
        <f>HYPERLINK("https://pbs.twimg.com/media/F2n7Q6-XQA0dJ03.jpg")</f>
        <v>https://pbs.twimg.com/media/F2n7Q6-XQA0dJ03.jpg</v>
      </c>
      <c r="AW1177" s="82" t="s">
        <v>12843</v>
      </c>
      <c r="AX1177" s="82" t="s">
        <v>12843</v>
      </c>
      <c r="AY1177" s="77"/>
      <c r="AZ1177" s="82" t="s">
        <v>15984</v>
      </c>
      <c r="BA1177" s="82" t="s">
        <v>15984</v>
      </c>
      <c r="BB1177" s="82" t="s">
        <v>15984</v>
      </c>
      <c r="BC1177" s="82" t="s">
        <v>12843</v>
      </c>
      <c r="BD1177" s="82" t="s">
        <v>16309</v>
      </c>
      <c r="BE1177" s="77"/>
      <c r="BF1177" s="77"/>
      <c r="BG1177" s="77"/>
      <c r="BH1177" s="77"/>
      <c r="BI1177" s="77"/>
    </row>
    <row r="1178" spans="1:61" x14ac:dyDescent="0.25">
      <c r="A1178" s="62" t="s">
        <v>583</v>
      </c>
      <c r="B1178" s="62" t="s">
        <v>583</v>
      </c>
      <c r="C1178" s="63"/>
      <c r="D1178" s="64"/>
      <c r="E1178" s="65"/>
      <c r="F1178" s="66"/>
      <c r="G1178" s="63"/>
      <c r="H1178" s="67"/>
      <c r="I1178" s="68"/>
      <c r="J1178" s="68"/>
      <c r="K1178" s="32"/>
      <c r="L1178" s="75">
        <v>1178</v>
      </c>
      <c r="M1178" s="75"/>
      <c r="N1178" s="70"/>
      <c r="O1178" s="77" t="s">
        <v>179</v>
      </c>
      <c r="P1178" s="79">
        <v>45141.602465277778</v>
      </c>
      <c r="Q1178" s="77" t="s">
        <v>1961</v>
      </c>
      <c r="R1178" s="77">
        <v>1</v>
      </c>
      <c r="S1178" s="77">
        <v>3</v>
      </c>
      <c r="T1178" s="77">
        <v>0</v>
      </c>
      <c r="U1178" s="77">
        <v>0</v>
      </c>
      <c r="V1178" s="77">
        <v>12</v>
      </c>
      <c r="W1178" s="82" t="s">
        <v>5426</v>
      </c>
      <c r="X1178" s="80" t="str">
        <f>HYPERLINK("https://www.comlucro.com.br/analise-tecnica/barras-ou-velas-candlestick/doji-estrela-de-baixa-bearish-doji-star/")</f>
        <v>https://www.comlucro.com.br/analise-tecnica/barras-ou-velas-candlestick/doji-estrela-de-baixa-bearish-doji-star/</v>
      </c>
      <c r="Y1178" s="77" t="s">
        <v>6470</v>
      </c>
      <c r="Z1178" s="77"/>
      <c r="AA1178" s="77" t="s">
        <v>7295</v>
      </c>
      <c r="AB1178" s="77" t="s">
        <v>7742</v>
      </c>
      <c r="AC1178" s="82" t="s">
        <v>7750</v>
      </c>
      <c r="AD1178" s="77" t="s">
        <v>7791</v>
      </c>
      <c r="AE1178" s="80" t="str">
        <f>HYPERLINK("https://twitter.com/canalcomlucro/status/1687107943559520256")</f>
        <v>https://twitter.com/canalcomlucro/status/1687107943559520256</v>
      </c>
      <c r="AF1178" s="79">
        <v>45141.602465277778</v>
      </c>
      <c r="AG1178" s="85">
        <v>45141</v>
      </c>
      <c r="AH1178" s="82" t="s">
        <v>8820</v>
      </c>
      <c r="AI1178" s="77" t="b">
        <v>0</v>
      </c>
      <c r="AJ1178" s="77"/>
      <c r="AK1178" s="77"/>
      <c r="AL1178" s="77"/>
      <c r="AM1178" s="77"/>
      <c r="AN1178" s="77"/>
      <c r="AO1178" s="77"/>
      <c r="AP1178" s="77"/>
      <c r="AQ1178" s="77" t="s">
        <v>11267</v>
      </c>
      <c r="AR1178" s="77"/>
      <c r="AS1178" s="77"/>
      <c r="AT1178" s="77"/>
      <c r="AU1178" s="77"/>
      <c r="AV1178" s="80" t="str">
        <f>HYPERLINK("https://pbs.twimg.com/media/F2nPuA3acAAtIxR.jpg")</f>
        <v>https://pbs.twimg.com/media/F2nPuA3acAAtIxR.jpg</v>
      </c>
      <c r="AW1178" s="82" t="s">
        <v>12844</v>
      </c>
      <c r="AX1178" s="82" t="s">
        <v>12844</v>
      </c>
      <c r="AY1178" s="77"/>
      <c r="AZ1178" s="82" t="s">
        <v>15984</v>
      </c>
      <c r="BA1178" s="82" t="s">
        <v>15984</v>
      </c>
      <c r="BB1178" s="82" t="s">
        <v>15984</v>
      </c>
      <c r="BC1178" s="82" t="s">
        <v>12844</v>
      </c>
      <c r="BD1178" s="82" t="s">
        <v>16309</v>
      </c>
      <c r="BE1178" s="77"/>
      <c r="BF1178" s="77"/>
      <c r="BG1178" s="77"/>
      <c r="BH1178" s="77"/>
      <c r="BI1178" s="77"/>
    </row>
    <row r="1179" spans="1:61" x14ac:dyDescent="0.25">
      <c r="A1179" s="62" t="s">
        <v>583</v>
      </c>
      <c r="B1179" s="62" t="s">
        <v>583</v>
      </c>
      <c r="C1179" s="63"/>
      <c r="D1179" s="64"/>
      <c r="E1179" s="65"/>
      <c r="F1179" s="66"/>
      <c r="G1179" s="63"/>
      <c r="H1179" s="67"/>
      <c r="I1179" s="68"/>
      <c r="J1179" s="68"/>
      <c r="K1179" s="32"/>
      <c r="L1179" s="75">
        <v>1179</v>
      </c>
      <c r="M1179" s="75"/>
      <c r="N1179" s="70"/>
      <c r="O1179" s="77" t="s">
        <v>179</v>
      </c>
      <c r="P1179" s="79">
        <v>45156.638854166667</v>
      </c>
      <c r="Q1179" s="77" t="s">
        <v>1962</v>
      </c>
      <c r="R1179" s="77">
        <v>1</v>
      </c>
      <c r="S1179" s="77">
        <v>3</v>
      </c>
      <c r="T1179" s="77">
        <v>0</v>
      </c>
      <c r="U1179" s="77">
        <v>0</v>
      </c>
      <c r="V1179" s="77">
        <v>16</v>
      </c>
      <c r="W1179" s="82" t="s">
        <v>5427</v>
      </c>
      <c r="X1179" s="80" t="str">
        <f>HYPERLINK("https://www.comlucro.com.br/market-wizards-aprenda-com-os-magos-do-mercado-financeiro/")</f>
        <v>https://www.comlucro.com.br/market-wizards-aprenda-com-os-magos-do-mercado-financeiro/</v>
      </c>
      <c r="Y1179" s="77" t="s">
        <v>6470</v>
      </c>
      <c r="Z1179" s="77"/>
      <c r="AA1179" s="77" t="s">
        <v>7296</v>
      </c>
      <c r="AB1179" s="77" t="s">
        <v>7742</v>
      </c>
      <c r="AC1179" s="82" t="s">
        <v>7750</v>
      </c>
      <c r="AD1179" s="77" t="s">
        <v>7791</v>
      </c>
      <c r="AE1179" s="80" t="str">
        <f>HYPERLINK("https://twitter.com/canalcomlucro/status/1692556950649589964")</f>
        <v>https://twitter.com/canalcomlucro/status/1692556950649589964</v>
      </c>
      <c r="AF1179" s="79">
        <v>45156.638854166667</v>
      </c>
      <c r="AG1179" s="85">
        <v>45156</v>
      </c>
      <c r="AH1179" s="82" t="s">
        <v>8821</v>
      </c>
      <c r="AI1179" s="77" t="b">
        <v>0</v>
      </c>
      <c r="AJ1179" s="77"/>
      <c r="AK1179" s="77"/>
      <c r="AL1179" s="77"/>
      <c r="AM1179" s="77"/>
      <c r="AN1179" s="77"/>
      <c r="AO1179" s="77"/>
      <c r="AP1179" s="77"/>
      <c r="AQ1179" s="77" t="s">
        <v>11268</v>
      </c>
      <c r="AR1179" s="77"/>
      <c r="AS1179" s="77"/>
      <c r="AT1179" s="77"/>
      <c r="AU1179" s="77"/>
      <c r="AV1179" s="80" t="str">
        <f>HYPERLINK("https://pbs.twimg.com/media/F30rkrJXMAAgYe5.jpg")</f>
        <v>https://pbs.twimg.com/media/F30rkrJXMAAgYe5.jpg</v>
      </c>
      <c r="AW1179" s="82" t="s">
        <v>12845</v>
      </c>
      <c r="AX1179" s="82" t="s">
        <v>12845</v>
      </c>
      <c r="AY1179" s="77"/>
      <c r="AZ1179" s="82" t="s">
        <v>15984</v>
      </c>
      <c r="BA1179" s="82" t="s">
        <v>15984</v>
      </c>
      <c r="BB1179" s="82" t="s">
        <v>15984</v>
      </c>
      <c r="BC1179" s="82" t="s">
        <v>12845</v>
      </c>
      <c r="BD1179" s="82" t="s">
        <v>16309</v>
      </c>
      <c r="BE1179" s="77"/>
      <c r="BF1179" s="77"/>
      <c r="BG1179" s="77"/>
      <c r="BH1179" s="77"/>
      <c r="BI1179" s="77"/>
    </row>
    <row r="1180" spans="1:61" x14ac:dyDescent="0.25">
      <c r="A1180" s="62" t="s">
        <v>583</v>
      </c>
      <c r="B1180" s="62" t="s">
        <v>583</v>
      </c>
      <c r="C1180" s="63"/>
      <c r="D1180" s="64"/>
      <c r="E1180" s="65"/>
      <c r="F1180" s="66"/>
      <c r="G1180" s="63"/>
      <c r="H1180" s="67"/>
      <c r="I1180" s="68"/>
      <c r="J1180" s="68"/>
      <c r="K1180" s="32"/>
      <c r="L1180" s="75">
        <v>1180</v>
      </c>
      <c r="M1180" s="75"/>
      <c r="N1180" s="70"/>
      <c r="O1180" s="77" t="s">
        <v>179</v>
      </c>
      <c r="P1180" s="79">
        <v>45150.668356481481</v>
      </c>
      <c r="Q1180" s="77" t="s">
        <v>1963</v>
      </c>
      <c r="R1180" s="77">
        <v>1</v>
      </c>
      <c r="S1180" s="77">
        <v>2</v>
      </c>
      <c r="T1180" s="77">
        <v>1</v>
      </c>
      <c r="U1180" s="77">
        <v>0</v>
      </c>
      <c r="V1180" s="77">
        <v>15</v>
      </c>
      <c r="W1180" s="82" t="s">
        <v>5428</v>
      </c>
      <c r="X1180" s="80" t="str">
        <f>HYPERLINK("https://www.comlucro.com.br/indicadores-tecnicos/tendencia-preco-volume/")</f>
        <v>https://www.comlucro.com.br/indicadores-tecnicos/tendencia-preco-volume/</v>
      </c>
      <c r="Y1180" s="77" t="s">
        <v>6470</v>
      </c>
      <c r="Z1180" s="77"/>
      <c r="AA1180" s="77" t="s">
        <v>7297</v>
      </c>
      <c r="AB1180" s="77" t="s">
        <v>7742</v>
      </c>
      <c r="AC1180" s="82" t="s">
        <v>7750</v>
      </c>
      <c r="AD1180" s="77" t="s">
        <v>7791</v>
      </c>
      <c r="AE1180" s="80" t="str">
        <f>HYPERLINK("https://twitter.com/canalcomlucro/status/1690393313059500032")</f>
        <v>https://twitter.com/canalcomlucro/status/1690393313059500032</v>
      </c>
      <c r="AF1180" s="79">
        <v>45150.668356481481</v>
      </c>
      <c r="AG1180" s="85">
        <v>45150</v>
      </c>
      <c r="AH1180" s="82" t="s">
        <v>8822</v>
      </c>
      <c r="AI1180" s="77" t="b">
        <v>0</v>
      </c>
      <c r="AJ1180" s="77"/>
      <c r="AK1180" s="77"/>
      <c r="AL1180" s="77"/>
      <c r="AM1180" s="77"/>
      <c r="AN1180" s="77"/>
      <c r="AO1180" s="77"/>
      <c r="AP1180" s="77"/>
      <c r="AQ1180" s="77" t="s">
        <v>11269</v>
      </c>
      <c r="AR1180" s="77"/>
      <c r="AS1180" s="77"/>
      <c r="AT1180" s="77"/>
      <c r="AU1180" s="77"/>
      <c r="AV1180" s="80" t="str">
        <f>HYPERLINK("https://pbs.twimg.com/media/F3V7wVGXAAAlPcI.jpg")</f>
        <v>https://pbs.twimg.com/media/F3V7wVGXAAAlPcI.jpg</v>
      </c>
      <c r="AW1180" s="82" t="s">
        <v>12846</v>
      </c>
      <c r="AX1180" s="82" t="s">
        <v>12846</v>
      </c>
      <c r="AY1180" s="77"/>
      <c r="AZ1180" s="82" t="s">
        <v>15984</v>
      </c>
      <c r="BA1180" s="82" t="s">
        <v>15984</v>
      </c>
      <c r="BB1180" s="82" t="s">
        <v>15984</v>
      </c>
      <c r="BC1180" s="82" t="s">
        <v>12846</v>
      </c>
      <c r="BD1180" s="82" t="s">
        <v>16309</v>
      </c>
      <c r="BE1180" s="77"/>
      <c r="BF1180" s="77"/>
      <c r="BG1180" s="77"/>
      <c r="BH1180" s="77"/>
      <c r="BI1180" s="77"/>
    </row>
    <row r="1181" spans="1:61" x14ac:dyDescent="0.25">
      <c r="A1181" s="62" t="s">
        <v>583</v>
      </c>
      <c r="B1181" s="62" t="s">
        <v>583</v>
      </c>
      <c r="C1181" s="63"/>
      <c r="D1181" s="64"/>
      <c r="E1181" s="65"/>
      <c r="F1181" s="66"/>
      <c r="G1181" s="63"/>
      <c r="H1181" s="67"/>
      <c r="I1181" s="68"/>
      <c r="J1181" s="68"/>
      <c r="K1181" s="32"/>
      <c r="L1181" s="75">
        <v>1181</v>
      </c>
      <c r="M1181" s="75"/>
      <c r="N1181" s="70"/>
      <c r="O1181" s="77" t="s">
        <v>179</v>
      </c>
      <c r="P1181" s="79">
        <v>45159.909120370372</v>
      </c>
      <c r="Q1181" s="77" t="s">
        <v>1964</v>
      </c>
      <c r="R1181" s="77">
        <v>1</v>
      </c>
      <c r="S1181" s="77">
        <v>2</v>
      </c>
      <c r="T1181" s="77">
        <v>1</v>
      </c>
      <c r="U1181" s="77">
        <v>0</v>
      </c>
      <c r="V1181" s="77">
        <v>17</v>
      </c>
      <c r="W1181" s="82" t="s">
        <v>5429</v>
      </c>
      <c r="X1181" s="80" t="str">
        <f>HYPERLINK("https://www.comlucro.com.br/indicadores-tecnicos/aroon-oscilador-aroon-oscillator/")</f>
        <v>https://www.comlucro.com.br/indicadores-tecnicos/aroon-oscilador-aroon-oscillator/</v>
      </c>
      <c r="Y1181" s="77" t="s">
        <v>6470</v>
      </c>
      <c r="Z1181" s="77"/>
      <c r="AA1181" s="77" t="s">
        <v>7298</v>
      </c>
      <c r="AB1181" s="77" t="s">
        <v>7742</v>
      </c>
      <c r="AC1181" s="82" t="s">
        <v>7750</v>
      </c>
      <c r="AD1181" s="77" t="s">
        <v>7791</v>
      </c>
      <c r="AE1181" s="80" t="str">
        <f>HYPERLINK("https://twitter.com/canalcomlucro/status/1693742053925015890")</f>
        <v>https://twitter.com/canalcomlucro/status/1693742053925015890</v>
      </c>
      <c r="AF1181" s="79">
        <v>45159.909120370372</v>
      </c>
      <c r="AG1181" s="85">
        <v>45159</v>
      </c>
      <c r="AH1181" s="82" t="s">
        <v>8823</v>
      </c>
      <c r="AI1181" s="77" t="b">
        <v>0</v>
      </c>
      <c r="AJ1181" s="77"/>
      <c r="AK1181" s="77"/>
      <c r="AL1181" s="77"/>
      <c r="AM1181" s="77"/>
      <c r="AN1181" s="77"/>
      <c r="AO1181" s="77"/>
      <c r="AP1181" s="77"/>
      <c r="AQ1181" s="77" t="s">
        <v>11270</v>
      </c>
      <c r="AR1181" s="77"/>
      <c r="AS1181" s="77"/>
      <c r="AT1181" s="77"/>
      <c r="AU1181" s="77"/>
      <c r="AV1181" s="80" t="str">
        <f>HYPERLINK("https://pbs.twimg.com/media/F4FhaRWXEAEXPaI.jpg")</f>
        <v>https://pbs.twimg.com/media/F4FhaRWXEAEXPaI.jpg</v>
      </c>
      <c r="AW1181" s="82" t="s">
        <v>12847</v>
      </c>
      <c r="AX1181" s="82" t="s">
        <v>12847</v>
      </c>
      <c r="AY1181" s="77"/>
      <c r="AZ1181" s="82" t="s">
        <v>15984</v>
      </c>
      <c r="BA1181" s="82" t="s">
        <v>15984</v>
      </c>
      <c r="BB1181" s="82" t="s">
        <v>15984</v>
      </c>
      <c r="BC1181" s="82" t="s">
        <v>12847</v>
      </c>
      <c r="BD1181" s="82" t="s">
        <v>16309</v>
      </c>
      <c r="BE1181" s="77"/>
      <c r="BF1181" s="77"/>
      <c r="BG1181" s="77"/>
      <c r="BH1181" s="77"/>
      <c r="BI1181" s="77"/>
    </row>
    <row r="1182" spans="1:61" x14ac:dyDescent="0.25">
      <c r="A1182" s="62" t="s">
        <v>583</v>
      </c>
      <c r="B1182" s="62" t="s">
        <v>583</v>
      </c>
      <c r="C1182" s="63"/>
      <c r="D1182" s="64"/>
      <c r="E1182" s="65"/>
      <c r="F1182" s="66"/>
      <c r="G1182" s="63"/>
      <c r="H1182" s="67"/>
      <c r="I1182" s="68"/>
      <c r="J1182" s="68"/>
      <c r="K1182" s="32"/>
      <c r="L1182" s="75">
        <v>1182</v>
      </c>
      <c r="M1182" s="75"/>
      <c r="N1182" s="70"/>
      <c r="O1182" s="77" t="s">
        <v>179</v>
      </c>
      <c r="P1182" s="79">
        <v>45159.895208333335</v>
      </c>
      <c r="Q1182" s="77" t="s">
        <v>1965</v>
      </c>
      <c r="R1182" s="77">
        <v>1</v>
      </c>
      <c r="S1182" s="77">
        <v>2</v>
      </c>
      <c r="T1182" s="77">
        <v>0</v>
      </c>
      <c r="U1182" s="77">
        <v>0</v>
      </c>
      <c r="V1182" s="77">
        <v>86</v>
      </c>
      <c r="W1182" s="82" t="s">
        <v>5430</v>
      </c>
      <c r="X1182" s="80" t="str">
        <f>HYPERLINK("https://www.comlucro.com.br/indicadores-tecnicos/indice-de-volatilidade-volatility-index-vix/")</f>
        <v>https://www.comlucro.com.br/indicadores-tecnicos/indice-de-volatilidade-volatility-index-vix/</v>
      </c>
      <c r="Y1182" s="77" t="s">
        <v>6470</v>
      </c>
      <c r="Z1182" s="77"/>
      <c r="AA1182" s="77" t="s">
        <v>7299</v>
      </c>
      <c r="AB1182" s="77" t="s">
        <v>7742</v>
      </c>
      <c r="AC1182" s="82" t="s">
        <v>7750</v>
      </c>
      <c r="AD1182" s="77" t="s">
        <v>7791</v>
      </c>
      <c r="AE1182" s="80" t="str">
        <f>HYPERLINK("https://twitter.com/canalcomlucro/status/1693737013290185062")</f>
        <v>https://twitter.com/canalcomlucro/status/1693737013290185062</v>
      </c>
      <c r="AF1182" s="79">
        <v>45159.895208333335</v>
      </c>
      <c r="AG1182" s="85">
        <v>45159</v>
      </c>
      <c r="AH1182" s="82" t="s">
        <v>8824</v>
      </c>
      <c r="AI1182" s="77" t="b">
        <v>0</v>
      </c>
      <c r="AJ1182" s="77"/>
      <c r="AK1182" s="77"/>
      <c r="AL1182" s="77"/>
      <c r="AM1182" s="77"/>
      <c r="AN1182" s="77"/>
      <c r="AO1182" s="77"/>
      <c r="AP1182" s="77"/>
      <c r="AQ1182" s="77" t="s">
        <v>11271</v>
      </c>
      <c r="AR1182" s="77"/>
      <c r="AS1182" s="77"/>
      <c r="AT1182" s="77"/>
      <c r="AU1182" s="77"/>
      <c r="AV1182" s="80" t="str">
        <f>HYPERLINK("https://pbs.twimg.com/media/F4Fc1RnXsAAFNdC.jpg")</f>
        <v>https://pbs.twimg.com/media/F4Fc1RnXsAAFNdC.jpg</v>
      </c>
      <c r="AW1182" s="82" t="s">
        <v>12848</v>
      </c>
      <c r="AX1182" s="82" t="s">
        <v>12848</v>
      </c>
      <c r="AY1182" s="77"/>
      <c r="AZ1182" s="82" t="s">
        <v>15984</v>
      </c>
      <c r="BA1182" s="82" t="s">
        <v>15984</v>
      </c>
      <c r="BB1182" s="82" t="s">
        <v>15984</v>
      </c>
      <c r="BC1182" s="82" t="s">
        <v>12848</v>
      </c>
      <c r="BD1182" s="82" t="s">
        <v>16309</v>
      </c>
      <c r="BE1182" s="77"/>
      <c r="BF1182" s="77"/>
      <c r="BG1182" s="77"/>
      <c r="BH1182" s="77"/>
      <c r="BI1182" s="77"/>
    </row>
    <row r="1183" spans="1:61" x14ac:dyDescent="0.25">
      <c r="A1183" s="62" t="s">
        <v>583</v>
      </c>
      <c r="B1183" s="62" t="s">
        <v>583</v>
      </c>
      <c r="C1183" s="63"/>
      <c r="D1183" s="64"/>
      <c r="E1183" s="65"/>
      <c r="F1183" s="66"/>
      <c r="G1183" s="63"/>
      <c r="H1183" s="67"/>
      <c r="I1183" s="68"/>
      <c r="J1183" s="68"/>
      <c r="K1183" s="32"/>
      <c r="L1183" s="75">
        <v>1183</v>
      </c>
      <c r="M1183" s="75"/>
      <c r="N1183" s="70"/>
      <c r="O1183" s="77" t="s">
        <v>179</v>
      </c>
      <c r="P1183" s="79">
        <v>45159.885474537034</v>
      </c>
      <c r="Q1183" s="77" t="s">
        <v>1966</v>
      </c>
      <c r="R1183" s="77">
        <v>1</v>
      </c>
      <c r="S1183" s="77">
        <v>2</v>
      </c>
      <c r="T1183" s="77">
        <v>1</v>
      </c>
      <c r="U1183" s="77">
        <v>0</v>
      </c>
      <c r="V1183" s="77">
        <v>28</v>
      </c>
      <c r="W1183" s="82" t="s">
        <v>5431</v>
      </c>
      <c r="X1183" s="80" t="str">
        <f>HYPERLINK("https://www.comlucro.com.br/indicadores-tecnicos/oscilador-chaikin-chaikin-oscilattor/")</f>
        <v>https://www.comlucro.com.br/indicadores-tecnicos/oscilador-chaikin-chaikin-oscilattor/</v>
      </c>
      <c r="Y1183" s="77" t="s">
        <v>6470</v>
      </c>
      <c r="Z1183" s="77"/>
      <c r="AA1183" s="77" t="s">
        <v>7300</v>
      </c>
      <c r="AB1183" s="77" t="s">
        <v>7742</v>
      </c>
      <c r="AC1183" s="82" t="s">
        <v>7750</v>
      </c>
      <c r="AD1183" s="77" t="s">
        <v>7791</v>
      </c>
      <c r="AE1183" s="80" t="str">
        <f>HYPERLINK("https://twitter.com/canalcomlucro/status/1693733486471926129")</f>
        <v>https://twitter.com/canalcomlucro/status/1693733486471926129</v>
      </c>
      <c r="AF1183" s="79">
        <v>45159.885474537034</v>
      </c>
      <c r="AG1183" s="85">
        <v>45159</v>
      </c>
      <c r="AH1183" s="82" t="s">
        <v>8083</v>
      </c>
      <c r="AI1183" s="77" t="b">
        <v>0</v>
      </c>
      <c r="AJ1183" s="77"/>
      <c r="AK1183" s="77"/>
      <c r="AL1183" s="77"/>
      <c r="AM1183" s="77"/>
      <c r="AN1183" s="77"/>
      <c r="AO1183" s="77"/>
      <c r="AP1183" s="77"/>
      <c r="AQ1183" s="77" t="s">
        <v>11272</v>
      </c>
      <c r="AR1183" s="77"/>
      <c r="AS1183" s="77"/>
      <c r="AT1183" s="77"/>
      <c r="AU1183" s="77"/>
      <c r="AV1183" s="80" t="str">
        <f>HYPERLINK("https://pbs.twimg.com/media/F4FZn6BXgAIS3jX.jpg")</f>
        <v>https://pbs.twimg.com/media/F4FZn6BXgAIS3jX.jpg</v>
      </c>
      <c r="AW1183" s="82" t="s">
        <v>12849</v>
      </c>
      <c r="AX1183" s="82" t="s">
        <v>12849</v>
      </c>
      <c r="AY1183" s="77"/>
      <c r="AZ1183" s="82" t="s">
        <v>15984</v>
      </c>
      <c r="BA1183" s="82" t="s">
        <v>15984</v>
      </c>
      <c r="BB1183" s="82" t="s">
        <v>15984</v>
      </c>
      <c r="BC1183" s="82" t="s">
        <v>12849</v>
      </c>
      <c r="BD1183" s="82" t="s">
        <v>16309</v>
      </c>
      <c r="BE1183" s="77"/>
      <c r="BF1183" s="77"/>
      <c r="BG1183" s="77"/>
      <c r="BH1183" s="77"/>
      <c r="BI1183" s="77"/>
    </row>
    <row r="1184" spans="1:61" x14ac:dyDescent="0.25">
      <c r="A1184" s="62" t="s">
        <v>583</v>
      </c>
      <c r="B1184" s="62" t="s">
        <v>583</v>
      </c>
      <c r="C1184" s="63"/>
      <c r="D1184" s="64"/>
      <c r="E1184" s="65"/>
      <c r="F1184" s="66"/>
      <c r="G1184" s="63"/>
      <c r="H1184" s="67"/>
      <c r="I1184" s="68"/>
      <c r="J1184" s="68"/>
      <c r="K1184" s="32"/>
      <c r="L1184" s="75">
        <v>1184</v>
      </c>
      <c r="M1184" s="75"/>
      <c r="N1184" s="70"/>
      <c r="O1184" s="77" t="s">
        <v>179</v>
      </c>
      <c r="P1184" s="79">
        <v>45140.668356481481</v>
      </c>
      <c r="Q1184" s="77" t="s">
        <v>1967</v>
      </c>
      <c r="R1184" s="77">
        <v>1</v>
      </c>
      <c r="S1184" s="77">
        <v>3</v>
      </c>
      <c r="T1184" s="77">
        <v>0</v>
      </c>
      <c r="U1184" s="77">
        <v>0</v>
      </c>
      <c r="V1184" s="77">
        <v>22</v>
      </c>
      <c r="W1184" s="82" t="s">
        <v>5432</v>
      </c>
      <c r="X1184" s="80" t="str">
        <f>HYPERLINK("https://www.comlucro.com.br/analise-tecnica/barras-ou-velas-candlestick/chute-de-alta-bullish-kicking/")</f>
        <v>https://www.comlucro.com.br/analise-tecnica/barras-ou-velas-candlestick/chute-de-alta-bullish-kicking/</v>
      </c>
      <c r="Y1184" s="77" t="s">
        <v>6470</v>
      </c>
      <c r="Z1184" s="77"/>
      <c r="AA1184" s="77" t="s">
        <v>7301</v>
      </c>
      <c r="AB1184" s="77" t="s">
        <v>7742</v>
      </c>
      <c r="AC1184" s="82" t="s">
        <v>7750</v>
      </c>
      <c r="AD1184" s="77" t="s">
        <v>7791</v>
      </c>
      <c r="AE1184" s="80" t="str">
        <f>HYPERLINK("https://twitter.com/canalcomlucro/status/1686769432410902529")</f>
        <v>https://twitter.com/canalcomlucro/status/1686769432410902529</v>
      </c>
      <c r="AF1184" s="79">
        <v>45140.668356481481</v>
      </c>
      <c r="AG1184" s="85">
        <v>45140</v>
      </c>
      <c r="AH1184" s="82" t="s">
        <v>8822</v>
      </c>
      <c r="AI1184" s="77" t="b">
        <v>0</v>
      </c>
      <c r="AJ1184" s="77"/>
      <c r="AK1184" s="77"/>
      <c r="AL1184" s="77"/>
      <c r="AM1184" s="77"/>
      <c r="AN1184" s="77"/>
      <c r="AO1184" s="77"/>
      <c r="AP1184" s="77"/>
      <c r="AQ1184" s="77" t="s">
        <v>11273</v>
      </c>
      <c r="AR1184" s="77"/>
      <c r="AS1184" s="77"/>
      <c r="AT1184" s="77"/>
      <c r="AU1184" s="77"/>
      <c r="AV1184" s="80" t="str">
        <f>HYPERLINK("https://pbs.twimg.com/media/F2ib2xiXgAAh9Qq.jpg")</f>
        <v>https://pbs.twimg.com/media/F2ib2xiXgAAh9Qq.jpg</v>
      </c>
      <c r="AW1184" s="82" t="s">
        <v>12850</v>
      </c>
      <c r="AX1184" s="82" t="s">
        <v>12850</v>
      </c>
      <c r="AY1184" s="77"/>
      <c r="AZ1184" s="82" t="s">
        <v>15984</v>
      </c>
      <c r="BA1184" s="82" t="s">
        <v>15984</v>
      </c>
      <c r="BB1184" s="82" t="s">
        <v>15984</v>
      </c>
      <c r="BC1184" s="82" t="s">
        <v>12850</v>
      </c>
      <c r="BD1184" s="82" t="s">
        <v>16309</v>
      </c>
      <c r="BE1184" s="77"/>
      <c r="BF1184" s="77"/>
      <c r="BG1184" s="77"/>
      <c r="BH1184" s="77"/>
      <c r="BI1184" s="77"/>
    </row>
    <row r="1185" spans="1:61" x14ac:dyDescent="0.25">
      <c r="A1185" s="62" t="s">
        <v>583</v>
      </c>
      <c r="B1185" s="62" t="s">
        <v>583</v>
      </c>
      <c r="C1185" s="63"/>
      <c r="D1185" s="64"/>
      <c r="E1185" s="65"/>
      <c r="F1185" s="66"/>
      <c r="G1185" s="63"/>
      <c r="H1185" s="67"/>
      <c r="I1185" s="68"/>
      <c r="J1185" s="68"/>
      <c r="K1185" s="32"/>
      <c r="L1185" s="75">
        <v>1185</v>
      </c>
      <c r="M1185" s="75"/>
      <c r="N1185" s="70"/>
      <c r="O1185" s="77" t="s">
        <v>179</v>
      </c>
      <c r="P1185" s="79">
        <v>45162.851898148147</v>
      </c>
      <c r="Q1185" s="77" t="s">
        <v>1968</v>
      </c>
      <c r="R1185" s="77">
        <v>1</v>
      </c>
      <c r="S1185" s="77">
        <v>3</v>
      </c>
      <c r="T1185" s="77">
        <v>1</v>
      </c>
      <c r="U1185" s="77">
        <v>0</v>
      </c>
      <c r="V1185" s="77">
        <v>38</v>
      </c>
      <c r="W1185" s="82" t="s">
        <v>5433</v>
      </c>
      <c r="X1185" s="80" t="str">
        <f>HYPERLINK("https://www.comlucro.com.br/trading-in-the-zone-licoes-valiosas-para-se-tornar-um-trader-de-sucesso/")</f>
        <v>https://www.comlucro.com.br/trading-in-the-zone-licoes-valiosas-para-se-tornar-um-trader-de-sucesso/</v>
      </c>
      <c r="Y1185" s="77" t="s">
        <v>6470</v>
      </c>
      <c r="Z1185" s="77"/>
      <c r="AA1185" s="77" t="s">
        <v>7302</v>
      </c>
      <c r="AB1185" s="77" t="s">
        <v>7742</v>
      </c>
      <c r="AC1185" s="82" t="s">
        <v>7750</v>
      </c>
      <c r="AD1185" s="77" t="s">
        <v>7791</v>
      </c>
      <c r="AE1185" s="80" t="str">
        <f>HYPERLINK("https://twitter.com/canalcomlucro/status/1694808482774392969")</f>
        <v>https://twitter.com/canalcomlucro/status/1694808482774392969</v>
      </c>
      <c r="AF1185" s="79">
        <v>45162.851898148147</v>
      </c>
      <c r="AG1185" s="85">
        <v>45162</v>
      </c>
      <c r="AH1185" s="82" t="s">
        <v>8825</v>
      </c>
      <c r="AI1185" s="77" t="b">
        <v>0</v>
      </c>
      <c r="AJ1185" s="77"/>
      <c r="AK1185" s="77"/>
      <c r="AL1185" s="77"/>
      <c r="AM1185" s="77"/>
      <c r="AN1185" s="77"/>
      <c r="AO1185" s="77"/>
      <c r="AP1185" s="77"/>
      <c r="AQ1185" s="77" t="s">
        <v>11274</v>
      </c>
      <c r="AR1185" s="77"/>
      <c r="AS1185" s="77"/>
      <c r="AT1185" s="77"/>
      <c r="AU1185" s="77"/>
      <c r="AV1185" s="80" t="str">
        <f>HYPERLINK("https://pbs.twimg.com/media/F4UrVEaWcAAUtay.jpg")</f>
        <v>https://pbs.twimg.com/media/F4UrVEaWcAAUtay.jpg</v>
      </c>
      <c r="AW1185" s="82" t="s">
        <v>12851</v>
      </c>
      <c r="AX1185" s="82" t="s">
        <v>12851</v>
      </c>
      <c r="AY1185" s="77"/>
      <c r="AZ1185" s="82" t="s">
        <v>15984</v>
      </c>
      <c r="BA1185" s="82" t="s">
        <v>15984</v>
      </c>
      <c r="BB1185" s="82" t="s">
        <v>15984</v>
      </c>
      <c r="BC1185" s="82" t="s">
        <v>12851</v>
      </c>
      <c r="BD1185" s="82" t="s">
        <v>16309</v>
      </c>
      <c r="BE1185" s="77"/>
      <c r="BF1185" s="77"/>
      <c r="BG1185" s="77"/>
      <c r="BH1185" s="77"/>
      <c r="BI1185" s="77"/>
    </row>
    <row r="1186" spans="1:61" x14ac:dyDescent="0.25">
      <c r="A1186" s="62" t="s">
        <v>583</v>
      </c>
      <c r="B1186" s="62" t="s">
        <v>583</v>
      </c>
      <c r="C1186" s="63"/>
      <c r="D1186" s="64"/>
      <c r="E1186" s="65"/>
      <c r="F1186" s="66"/>
      <c r="G1186" s="63"/>
      <c r="H1186" s="67"/>
      <c r="I1186" s="68"/>
      <c r="J1186" s="68"/>
      <c r="K1186" s="32"/>
      <c r="L1186" s="75">
        <v>1186</v>
      </c>
      <c r="M1186" s="75"/>
      <c r="N1186" s="70"/>
      <c r="O1186" s="77" t="s">
        <v>179</v>
      </c>
      <c r="P1186" s="79">
        <v>45138.84746527778</v>
      </c>
      <c r="Q1186" s="77" t="s">
        <v>1969</v>
      </c>
      <c r="R1186" s="77">
        <v>1</v>
      </c>
      <c r="S1186" s="77">
        <v>4</v>
      </c>
      <c r="T1186" s="77">
        <v>0</v>
      </c>
      <c r="U1186" s="77">
        <v>0</v>
      </c>
      <c r="V1186" s="77">
        <v>17</v>
      </c>
      <c r="W1186" s="82" t="s">
        <v>5434</v>
      </c>
      <c r="X1186" s="80" t="str">
        <f>HYPERLINK("https://www.comlucro.com.br/analise-tecnica/barras-ou-velas-candlestick/doji-quatro-precos-4-prices-doji/")</f>
        <v>https://www.comlucro.com.br/analise-tecnica/barras-ou-velas-candlestick/doji-quatro-precos-4-prices-doji/</v>
      </c>
      <c r="Y1186" s="77" t="s">
        <v>6470</v>
      </c>
      <c r="Z1186" s="77"/>
      <c r="AA1186" s="77" t="s">
        <v>7303</v>
      </c>
      <c r="AB1186" s="77" t="s">
        <v>7742</v>
      </c>
      <c r="AC1186" s="82" t="s">
        <v>7750</v>
      </c>
      <c r="AD1186" s="77" t="s">
        <v>7791</v>
      </c>
      <c r="AE1186" s="80" t="str">
        <f>HYPERLINK("https://twitter.com/canalcomlucro/status/1686109567392813057")</f>
        <v>https://twitter.com/canalcomlucro/status/1686109567392813057</v>
      </c>
      <c r="AF1186" s="79">
        <v>45138.84746527778</v>
      </c>
      <c r="AG1186" s="85">
        <v>45138</v>
      </c>
      <c r="AH1186" s="82" t="s">
        <v>8826</v>
      </c>
      <c r="AI1186" s="77" t="b">
        <v>0</v>
      </c>
      <c r="AJ1186" s="77"/>
      <c r="AK1186" s="77"/>
      <c r="AL1186" s="77"/>
      <c r="AM1186" s="77"/>
      <c r="AN1186" s="77"/>
      <c r="AO1186" s="77"/>
      <c r="AP1186" s="77"/>
      <c r="AQ1186" s="77" t="s">
        <v>11275</v>
      </c>
      <c r="AR1186" s="77"/>
      <c r="AS1186" s="77"/>
      <c r="AT1186" s="77"/>
      <c r="AU1186" s="77"/>
      <c r="AV1186" s="80" t="str">
        <f>HYPERLINK("https://pbs.twimg.com/media/F2ZDtWSXgAAlfjt.jpg")</f>
        <v>https://pbs.twimg.com/media/F2ZDtWSXgAAlfjt.jpg</v>
      </c>
      <c r="AW1186" s="82" t="s">
        <v>12852</v>
      </c>
      <c r="AX1186" s="82" t="s">
        <v>12852</v>
      </c>
      <c r="AY1186" s="77"/>
      <c r="AZ1186" s="82" t="s">
        <v>15984</v>
      </c>
      <c r="BA1186" s="82" t="s">
        <v>15984</v>
      </c>
      <c r="BB1186" s="82" t="s">
        <v>15984</v>
      </c>
      <c r="BC1186" s="82" t="s">
        <v>12852</v>
      </c>
      <c r="BD1186" s="82" t="s">
        <v>16309</v>
      </c>
      <c r="BE1186" s="77"/>
      <c r="BF1186" s="77"/>
      <c r="BG1186" s="77"/>
      <c r="BH1186" s="77"/>
      <c r="BI1186" s="77"/>
    </row>
    <row r="1187" spans="1:61" x14ac:dyDescent="0.25">
      <c r="A1187" s="62" t="s">
        <v>583</v>
      </c>
      <c r="B1187" s="62" t="s">
        <v>583</v>
      </c>
      <c r="C1187" s="63"/>
      <c r="D1187" s="64"/>
      <c r="E1187" s="65"/>
      <c r="F1187" s="66"/>
      <c r="G1187" s="63"/>
      <c r="H1187" s="67"/>
      <c r="I1187" s="68"/>
      <c r="J1187" s="68"/>
      <c r="K1187" s="32"/>
      <c r="L1187" s="75">
        <v>1187</v>
      </c>
      <c r="M1187" s="75"/>
      <c r="N1187" s="70"/>
      <c r="O1187" s="77" t="s">
        <v>179</v>
      </c>
      <c r="P1187" s="79">
        <v>45138.846585648149</v>
      </c>
      <c r="Q1187" s="77" t="s">
        <v>1970</v>
      </c>
      <c r="R1187" s="77">
        <v>1</v>
      </c>
      <c r="S1187" s="77">
        <v>4</v>
      </c>
      <c r="T1187" s="77">
        <v>0</v>
      </c>
      <c r="U1187" s="77">
        <v>0</v>
      </c>
      <c r="V1187" s="77">
        <v>14</v>
      </c>
      <c r="W1187" s="82" t="s">
        <v>5435</v>
      </c>
      <c r="X1187" s="80" t="str">
        <f>HYPERLINK("https://www.comlucro.com.br/analise-tecnica/barras-ou-velas-candlestick/doji-pernas-longas-long-legged-doji/")</f>
        <v>https://www.comlucro.com.br/analise-tecnica/barras-ou-velas-candlestick/doji-pernas-longas-long-legged-doji/</v>
      </c>
      <c r="Y1187" s="77" t="s">
        <v>6470</v>
      </c>
      <c r="Z1187" s="77"/>
      <c r="AA1187" s="77" t="s">
        <v>7304</v>
      </c>
      <c r="AB1187" s="77" t="s">
        <v>7742</v>
      </c>
      <c r="AC1187" s="82" t="s">
        <v>7750</v>
      </c>
      <c r="AD1187" s="77" t="s">
        <v>7791</v>
      </c>
      <c r="AE1187" s="80" t="str">
        <f>HYPERLINK("https://twitter.com/canalcomlucro/status/1686109248260894720")</f>
        <v>https://twitter.com/canalcomlucro/status/1686109248260894720</v>
      </c>
      <c r="AF1187" s="79">
        <v>45138.846585648149</v>
      </c>
      <c r="AG1187" s="85">
        <v>45138</v>
      </c>
      <c r="AH1187" s="82" t="s">
        <v>8827</v>
      </c>
      <c r="AI1187" s="77" t="b">
        <v>0</v>
      </c>
      <c r="AJ1187" s="77"/>
      <c r="AK1187" s="77"/>
      <c r="AL1187" s="77"/>
      <c r="AM1187" s="77"/>
      <c r="AN1187" s="77"/>
      <c r="AO1187" s="77"/>
      <c r="AP1187" s="77"/>
      <c r="AQ1187" s="77" t="s">
        <v>11276</v>
      </c>
      <c r="AR1187" s="77"/>
      <c r="AS1187" s="77"/>
      <c r="AT1187" s="77"/>
      <c r="AU1187" s="77"/>
      <c r="AV1187" s="80" t="str">
        <f>HYPERLINK("https://pbs.twimg.com/media/F2ZDaoDWEAE-_DX.jpg")</f>
        <v>https://pbs.twimg.com/media/F2ZDaoDWEAE-_DX.jpg</v>
      </c>
      <c r="AW1187" s="82" t="s">
        <v>12853</v>
      </c>
      <c r="AX1187" s="82" t="s">
        <v>12853</v>
      </c>
      <c r="AY1187" s="77"/>
      <c r="AZ1187" s="82" t="s">
        <v>15984</v>
      </c>
      <c r="BA1187" s="82" t="s">
        <v>15984</v>
      </c>
      <c r="BB1187" s="82" t="s">
        <v>15984</v>
      </c>
      <c r="BC1187" s="82" t="s">
        <v>12853</v>
      </c>
      <c r="BD1187" s="82" t="s">
        <v>16309</v>
      </c>
      <c r="BE1187" s="77"/>
      <c r="BF1187" s="77"/>
      <c r="BG1187" s="77"/>
      <c r="BH1187" s="77"/>
      <c r="BI1187" s="77"/>
    </row>
    <row r="1188" spans="1:61" x14ac:dyDescent="0.25">
      <c r="A1188" s="62" t="s">
        <v>583</v>
      </c>
      <c r="B1188" s="62" t="s">
        <v>583</v>
      </c>
      <c r="C1188" s="63"/>
      <c r="D1188" s="64"/>
      <c r="E1188" s="65"/>
      <c r="F1188" s="66"/>
      <c r="G1188" s="63"/>
      <c r="H1188" s="67"/>
      <c r="I1188" s="68"/>
      <c r="J1188" s="68"/>
      <c r="K1188" s="32"/>
      <c r="L1188" s="75">
        <v>1188</v>
      </c>
      <c r="M1188" s="75"/>
      <c r="N1188" s="70"/>
      <c r="O1188" s="77" t="s">
        <v>179</v>
      </c>
      <c r="P1188" s="79">
        <v>45160.455312500002</v>
      </c>
      <c r="Q1188" s="77" t="s">
        <v>1971</v>
      </c>
      <c r="R1188" s="77">
        <v>1</v>
      </c>
      <c r="S1188" s="77">
        <v>2</v>
      </c>
      <c r="T1188" s="77">
        <v>0</v>
      </c>
      <c r="U1188" s="77">
        <v>0</v>
      </c>
      <c r="V1188" s="77">
        <v>12</v>
      </c>
      <c r="W1188" s="82" t="s">
        <v>5436</v>
      </c>
      <c r="X1188" s="80" t="str">
        <f>HYPERLINK("https://www.comlucro.com.br/o-segredo-da-mente-milionaria-aprenda-como-esse-otimo-livro-pode-ajudar-voce-a-ser-um-trader-mais-lucrativo/")</f>
        <v>https://www.comlucro.com.br/o-segredo-da-mente-milionaria-aprenda-como-esse-otimo-livro-pode-ajudar-voce-a-ser-um-trader-mais-lucrativo/</v>
      </c>
      <c r="Y1188" s="77" t="s">
        <v>6470</v>
      </c>
      <c r="Z1188" s="77"/>
      <c r="AA1188" s="77" t="s">
        <v>7305</v>
      </c>
      <c r="AB1188" s="77" t="s">
        <v>7742</v>
      </c>
      <c r="AC1188" s="82" t="s">
        <v>7750</v>
      </c>
      <c r="AD1188" s="77" t="s">
        <v>7791</v>
      </c>
      <c r="AE1188" s="80" t="str">
        <f>HYPERLINK("https://twitter.com/canalcomlucro/status/1693939986511360205")</f>
        <v>https://twitter.com/canalcomlucro/status/1693939986511360205</v>
      </c>
      <c r="AF1188" s="79">
        <v>45160.455312500002</v>
      </c>
      <c r="AG1188" s="85">
        <v>45160</v>
      </c>
      <c r="AH1188" s="82" t="s">
        <v>8828</v>
      </c>
      <c r="AI1188" s="77" t="b">
        <v>0</v>
      </c>
      <c r="AJ1188" s="77"/>
      <c r="AK1188" s="77"/>
      <c r="AL1188" s="77"/>
      <c r="AM1188" s="77"/>
      <c r="AN1188" s="77"/>
      <c r="AO1188" s="77"/>
      <c r="AP1188" s="77"/>
      <c r="AQ1188" s="77" t="s">
        <v>11277</v>
      </c>
      <c r="AR1188" s="77"/>
      <c r="AS1188" s="77"/>
      <c r="AT1188" s="77"/>
      <c r="AU1188" s="77"/>
      <c r="AV1188" s="80" t="str">
        <f>HYPERLINK("https://pbs.twimg.com/media/F4IVbfjXMAA6q_X.jpg")</f>
        <v>https://pbs.twimg.com/media/F4IVbfjXMAA6q_X.jpg</v>
      </c>
      <c r="AW1188" s="82" t="s">
        <v>12854</v>
      </c>
      <c r="AX1188" s="82" t="s">
        <v>12854</v>
      </c>
      <c r="AY1188" s="77"/>
      <c r="AZ1188" s="82" t="s">
        <v>15984</v>
      </c>
      <c r="BA1188" s="82" t="s">
        <v>15984</v>
      </c>
      <c r="BB1188" s="82" t="s">
        <v>15984</v>
      </c>
      <c r="BC1188" s="82" t="s">
        <v>12854</v>
      </c>
      <c r="BD1188" s="82" t="s">
        <v>16309</v>
      </c>
      <c r="BE1188" s="77"/>
      <c r="BF1188" s="77"/>
      <c r="BG1188" s="77"/>
      <c r="BH1188" s="77"/>
      <c r="BI1188" s="77"/>
    </row>
    <row r="1189" spans="1:61" x14ac:dyDescent="0.25">
      <c r="A1189" s="62" t="s">
        <v>583</v>
      </c>
      <c r="B1189" s="62" t="s">
        <v>583</v>
      </c>
      <c r="C1189" s="63"/>
      <c r="D1189" s="64"/>
      <c r="E1189" s="65"/>
      <c r="F1189" s="66"/>
      <c r="G1189" s="63"/>
      <c r="H1189" s="67"/>
      <c r="I1189" s="68"/>
      <c r="J1189" s="68"/>
      <c r="K1189" s="32"/>
      <c r="L1189" s="75">
        <v>1189</v>
      </c>
      <c r="M1189" s="75"/>
      <c r="N1189" s="70"/>
      <c r="O1189" s="77" t="s">
        <v>179</v>
      </c>
      <c r="P1189" s="79">
        <v>45147.485902777778</v>
      </c>
      <c r="Q1189" s="77" t="s">
        <v>1972</v>
      </c>
      <c r="R1189" s="77">
        <v>1</v>
      </c>
      <c r="S1189" s="77">
        <v>2</v>
      </c>
      <c r="T1189" s="77">
        <v>0</v>
      </c>
      <c r="U1189" s="77">
        <v>0</v>
      </c>
      <c r="V1189" s="77">
        <v>59</v>
      </c>
      <c r="W1189" s="82" t="s">
        <v>5437</v>
      </c>
      <c r="X1189" s="80" t="str">
        <f>HYPERLINK("https://www.comlucro.com.br/analise-tecnica/barras-ou-velas-candlestick/janela-de-alta-rising-window/")</f>
        <v>https://www.comlucro.com.br/analise-tecnica/barras-ou-velas-candlestick/janela-de-alta-rising-window/</v>
      </c>
      <c r="Y1189" s="77" t="s">
        <v>6470</v>
      </c>
      <c r="Z1189" s="77"/>
      <c r="AA1189" s="77" t="s">
        <v>7306</v>
      </c>
      <c r="AB1189" s="77" t="s">
        <v>7742</v>
      </c>
      <c r="AC1189" s="82" t="s">
        <v>7750</v>
      </c>
      <c r="AD1189" s="77" t="s">
        <v>7791</v>
      </c>
      <c r="AE1189" s="80" t="str">
        <f>HYPERLINK("https://twitter.com/canalcomlucro/status/1689240031775412224")</f>
        <v>https://twitter.com/canalcomlucro/status/1689240031775412224</v>
      </c>
      <c r="AF1189" s="79">
        <v>45147.485902777778</v>
      </c>
      <c r="AG1189" s="85">
        <v>45147</v>
      </c>
      <c r="AH1189" s="82" t="s">
        <v>8829</v>
      </c>
      <c r="AI1189" s="77" t="b">
        <v>0</v>
      </c>
      <c r="AJ1189" s="77"/>
      <c r="AK1189" s="77"/>
      <c r="AL1189" s="77"/>
      <c r="AM1189" s="77"/>
      <c r="AN1189" s="77"/>
      <c r="AO1189" s="77"/>
      <c r="AP1189" s="77"/>
      <c r="AQ1189" s="77" t="s">
        <v>11278</v>
      </c>
      <c r="AR1189" s="77"/>
      <c r="AS1189" s="77"/>
      <c r="AT1189" s="77"/>
      <c r="AU1189" s="77"/>
      <c r="AV1189" s="80" t="str">
        <f>HYPERLINK("https://pbs.twimg.com/media/F3Fi2R3XAAA6a4q.jpg")</f>
        <v>https://pbs.twimg.com/media/F3Fi2R3XAAA6a4q.jpg</v>
      </c>
      <c r="AW1189" s="82" t="s">
        <v>12855</v>
      </c>
      <c r="AX1189" s="82" t="s">
        <v>12855</v>
      </c>
      <c r="AY1189" s="77"/>
      <c r="AZ1189" s="82" t="s">
        <v>15984</v>
      </c>
      <c r="BA1189" s="82" t="s">
        <v>15984</v>
      </c>
      <c r="BB1189" s="82" t="s">
        <v>15984</v>
      </c>
      <c r="BC1189" s="82" t="s">
        <v>12855</v>
      </c>
      <c r="BD1189" s="82" t="s">
        <v>16309</v>
      </c>
      <c r="BE1189" s="77"/>
      <c r="BF1189" s="77"/>
      <c r="BG1189" s="77"/>
      <c r="BH1189" s="77"/>
      <c r="BI1189" s="77"/>
    </row>
    <row r="1190" spans="1:61" x14ac:dyDescent="0.25">
      <c r="A1190" s="62" t="s">
        <v>583</v>
      </c>
      <c r="B1190" s="62" t="s">
        <v>583</v>
      </c>
      <c r="C1190" s="63"/>
      <c r="D1190" s="64"/>
      <c r="E1190" s="65"/>
      <c r="F1190" s="66"/>
      <c r="G1190" s="63"/>
      <c r="H1190" s="67"/>
      <c r="I1190" s="68"/>
      <c r="J1190" s="68"/>
      <c r="K1190" s="32"/>
      <c r="L1190" s="75">
        <v>1190</v>
      </c>
      <c r="M1190" s="75"/>
      <c r="N1190" s="70"/>
      <c r="O1190" s="77" t="s">
        <v>179</v>
      </c>
      <c r="P1190" s="79">
        <v>45147.484837962962</v>
      </c>
      <c r="Q1190" s="77" t="s">
        <v>1973</v>
      </c>
      <c r="R1190" s="77">
        <v>1</v>
      </c>
      <c r="S1190" s="77">
        <v>2</v>
      </c>
      <c r="T1190" s="77">
        <v>0</v>
      </c>
      <c r="U1190" s="77">
        <v>0</v>
      </c>
      <c r="V1190" s="77">
        <v>62</v>
      </c>
      <c r="W1190" s="82" t="s">
        <v>5438</v>
      </c>
      <c r="X1190" s="80" t="str">
        <f>HYPERLINK("https://www.comlucro.com.br/analise-tecnica/barras-ou-velas-candlestick/janela-de-baixa-falling-window/")</f>
        <v>https://www.comlucro.com.br/analise-tecnica/barras-ou-velas-candlestick/janela-de-baixa-falling-window/</v>
      </c>
      <c r="Y1190" s="77" t="s">
        <v>6470</v>
      </c>
      <c r="Z1190" s="77"/>
      <c r="AA1190" s="77" t="s">
        <v>7307</v>
      </c>
      <c r="AB1190" s="77" t="s">
        <v>7742</v>
      </c>
      <c r="AC1190" s="82" t="s">
        <v>7750</v>
      </c>
      <c r="AD1190" s="77" t="s">
        <v>7791</v>
      </c>
      <c r="AE1190" s="80" t="str">
        <f>HYPERLINK("https://twitter.com/canalcomlucro/status/1689239643517009921")</f>
        <v>https://twitter.com/canalcomlucro/status/1689239643517009921</v>
      </c>
      <c r="AF1190" s="79">
        <v>45147.484837962962</v>
      </c>
      <c r="AG1190" s="85">
        <v>45147</v>
      </c>
      <c r="AH1190" s="82" t="s">
        <v>8830</v>
      </c>
      <c r="AI1190" s="77" t="b">
        <v>0</v>
      </c>
      <c r="AJ1190" s="77"/>
      <c r="AK1190" s="77"/>
      <c r="AL1190" s="77"/>
      <c r="AM1190" s="77"/>
      <c r="AN1190" s="77"/>
      <c r="AO1190" s="77"/>
      <c r="AP1190" s="77"/>
      <c r="AQ1190" s="77" t="s">
        <v>11279</v>
      </c>
      <c r="AR1190" s="77"/>
      <c r="AS1190" s="77"/>
      <c r="AT1190" s="77"/>
      <c r="AU1190" s="77"/>
      <c r="AV1190" s="80" t="str">
        <f>HYPERLINK("https://pbs.twimg.com/media/F3FigBKWoAE3jct.jpg")</f>
        <v>https://pbs.twimg.com/media/F3FigBKWoAE3jct.jpg</v>
      </c>
      <c r="AW1190" s="82" t="s">
        <v>12856</v>
      </c>
      <c r="AX1190" s="82" t="s">
        <v>12856</v>
      </c>
      <c r="AY1190" s="77"/>
      <c r="AZ1190" s="82" t="s">
        <v>15984</v>
      </c>
      <c r="BA1190" s="82" t="s">
        <v>15984</v>
      </c>
      <c r="BB1190" s="82" t="s">
        <v>15984</v>
      </c>
      <c r="BC1190" s="82" t="s">
        <v>12856</v>
      </c>
      <c r="BD1190" s="82" t="s">
        <v>16309</v>
      </c>
      <c r="BE1190" s="77"/>
      <c r="BF1190" s="77"/>
      <c r="BG1190" s="77"/>
      <c r="BH1190" s="77"/>
      <c r="BI1190" s="77"/>
    </row>
    <row r="1191" spans="1:61" x14ac:dyDescent="0.25">
      <c r="A1191" s="62" t="s">
        <v>583</v>
      </c>
      <c r="B1191" s="62" t="s">
        <v>583</v>
      </c>
      <c r="C1191" s="63"/>
      <c r="D1191" s="64"/>
      <c r="E1191" s="65"/>
      <c r="F1191" s="66"/>
      <c r="G1191" s="63"/>
      <c r="H1191" s="67"/>
      <c r="I1191" s="68"/>
      <c r="J1191" s="68"/>
      <c r="K1191" s="32"/>
      <c r="L1191" s="75">
        <v>1191</v>
      </c>
      <c r="M1191" s="75"/>
      <c r="N1191" s="70"/>
      <c r="O1191" s="77" t="s">
        <v>179</v>
      </c>
      <c r="P1191" s="79">
        <v>45127.907708333332</v>
      </c>
      <c r="Q1191" s="77" t="s">
        <v>1974</v>
      </c>
      <c r="R1191" s="77">
        <v>1</v>
      </c>
      <c r="S1191" s="77">
        <v>2</v>
      </c>
      <c r="T1191" s="77">
        <v>0</v>
      </c>
      <c r="U1191" s="77">
        <v>0</v>
      </c>
      <c r="V1191" s="77">
        <v>10</v>
      </c>
      <c r="W1191" s="82" t="s">
        <v>5439</v>
      </c>
      <c r="X1191" s="80" t="str">
        <f>HYPERLINK("https://www.comlucro.com.br/indicadores-tecnicos/indicador-indice-de-momento-momentum-identificando-e-utilizando-a-forca-do-mercado/")</f>
        <v>https://www.comlucro.com.br/indicadores-tecnicos/indicador-indice-de-momento-momentum-identificando-e-utilizando-a-forca-do-mercado/</v>
      </c>
      <c r="Y1191" s="77" t="s">
        <v>6470</v>
      </c>
      <c r="Z1191" s="77"/>
      <c r="AA1191" s="77" t="s">
        <v>7308</v>
      </c>
      <c r="AB1191" s="77" t="s">
        <v>7742</v>
      </c>
      <c r="AC1191" s="82" t="s">
        <v>7750</v>
      </c>
      <c r="AD1191" s="77" t="s">
        <v>7791</v>
      </c>
      <c r="AE1191" s="80" t="str">
        <f>HYPERLINK("https://twitter.com/canalcomlucro/status/1682145131401469953")</f>
        <v>https://twitter.com/canalcomlucro/status/1682145131401469953</v>
      </c>
      <c r="AF1191" s="79">
        <v>45127.907708333332</v>
      </c>
      <c r="AG1191" s="85">
        <v>45127</v>
      </c>
      <c r="AH1191" s="82" t="s">
        <v>8831</v>
      </c>
      <c r="AI1191" s="77" t="b">
        <v>0</v>
      </c>
      <c r="AJ1191" s="77"/>
      <c r="AK1191" s="77"/>
      <c r="AL1191" s="77"/>
      <c r="AM1191" s="77"/>
      <c r="AN1191" s="77"/>
      <c r="AO1191" s="77"/>
      <c r="AP1191" s="77"/>
      <c r="AQ1191" s="77" t="s">
        <v>11280</v>
      </c>
      <c r="AR1191" s="77"/>
      <c r="AS1191" s="77"/>
      <c r="AT1191" s="77"/>
      <c r="AU1191" s="77"/>
      <c r="AV1191" s="80" t="str">
        <f>HYPERLINK("https://pbs.twimg.com/media/F1guExWWIAQ1iGo.jpg")</f>
        <v>https://pbs.twimg.com/media/F1guExWWIAQ1iGo.jpg</v>
      </c>
      <c r="AW1191" s="82" t="s">
        <v>12857</v>
      </c>
      <c r="AX1191" s="82" t="s">
        <v>12857</v>
      </c>
      <c r="AY1191" s="77"/>
      <c r="AZ1191" s="82" t="s">
        <v>15984</v>
      </c>
      <c r="BA1191" s="82" t="s">
        <v>15984</v>
      </c>
      <c r="BB1191" s="82" t="s">
        <v>15984</v>
      </c>
      <c r="BC1191" s="82" t="s">
        <v>12857</v>
      </c>
      <c r="BD1191" s="82" t="s">
        <v>16309</v>
      </c>
      <c r="BE1191" s="77"/>
      <c r="BF1191" s="77"/>
      <c r="BG1191" s="77"/>
      <c r="BH1191" s="77"/>
      <c r="BI1191" s="77"/>
    </row>
    <row r="1192" spans="1:61" x14ac:dyDescent="0.25">
      <c r="A1192" s="62" t="s">
        <v>583</v>
      </c>
      <c r="B1192" s="62" t="s">
        <v>583</v>
      </c>
      <c r="C1192" s="63"/>
      <c r="D1192" s="64"/>
      <c r="E1192" s="65"/>
      <c r="F1192" s="66"/>
      <c r="G1192" s="63"/>
      <c r="H1192" s="67"/>
      <c r="I1192" s="68"/>
      <c r="J1192" s="68"/>
      <c r="K1192" s="32"/>
      <c r="L1192" s="75">
        <v>1192</v>
      </c>
      <c r="M1192" s="75"/>
      <c r="N1192" s="70"/>
      <c r="O1192" s="77" t="s">
        <v>179</v>
      </c>
      <c r="P1192" s="79">
        <v>45161.59951388889</v>
      </c>
      <c r="Q1192" s="77" t="s">
        <v>1975</v>
      </c>
      <c r="R1192" s="77">
        <v>1</v>
      </c>
      <c r="S1192" s="77">
        <v>3</v>
      </c>
      <c r="T1192" s="77">
        <v>0</v>
      </c>
      <c r="U1192" s="77">
        <v>0</v>
      </c>
      <c r="V1192" s="77">
        <v>20</v>
      </c>
      <c r="W1192" s="82" t="s">
        <v>5440</v>
      </c>
      <c r="X1192" s="80" t="str">
        <f>HYPERLINK("https://www.comlucro.com.br/analise-tecnica/padroes-graficos/bandeira-de-alta-bullish-flag/")</f>
        <v>https://www.comlucro.com.br/analise-tecnica/padroes-graficos/bandeira-de-alta-bullish-flag/</v>
      </c>
      <c r="Y1192" s="77" t="s">
        <v>6470</v>
      </c>
      <c r="Z1192" s="77"/>
      <c r="AA1192" s="77" t="s">
        <v>7309</v>
      </c>
      <c r="AB1192" s="77" t="s">
        <v>7742</v>
      </c>
      <c r="AC1192" s="82" t="s">
        <v>7750</v>
      </c>
      <c r="AD1192" s="77" t="s">
        <v>7791</v>
      </c>
      <c r="AE1192" s="80" t="str">
        <f>HYPERLINK("https://twitter.com/canalcomlucro/status/1694354632993079539")</f>
        <v>https://twitter.com/canalcomlucro/status/1694354632993079539</v>
      </c>
      <c r="AF1192" s="79">
        <v>45161.59951388889</v>
      </c>
      <c r="AG1192" s="85">
        <v>45161</v>
      </c>
      <c r="AH1192" s="82" t="s">
        <v>8832</v>
      </c>
      <c r="AI1192" s="77" t="b">
        <v>0</v>
      </c>
      <c r="AJ1192" s="77"/>
      <c r="AK1192" s="77"/>
      <c r="AL1192" s="77"/>
      <c r="AM1192" s="77"/>
      <c r="AN1192" s="77"/>
      <c r="AO1192" s="77"/>
      <c r="AP1192" s="77"/>
      <c r="AQ1192" s="77" t="s">
        <v>11281</v>
      </c>
      <c r="AR1192" s="77"/>
      <c r="AS1192" s="77"/>
      <c r="AT1192" s="77"/>
      <c r="AU1192" s="77"/>
      <c r="AV1192" s="80" t="str">
        <f>HYPERLINK("https://pbs.twimg.com/media/F4OOiN0WMAEZAR_.jpg")</f>
        <v>https://pbs.twimg.com/media/F4OOiN0WMAEZAR_.jpg</v>
      </c>
      <c r="AW1192" s="82" t="s">
        <v>12858</v>
      </c>
      <c r="AX1192" s="82" t="s">
        <v>12858</v>
      </c>
      <c r="AY1192" s="77"/>
      <c r="AZ1192" s="82" t="s">
        <v>15984</v>
      </c>
      <c r="BA1192" s="82" t="s">
        <v>15984</v>
      </c>
      <c r="BB1192" s="82" t="s">
        <v>15984</v>
      </c>
      <c r="BC1192" s="82" t="s">
        <v>12858</v>
      </c>
      <c r="BD1192" s="82" t="s">
        <v>16309</v>
      </c>
      <c r="BE1192" s="77"/>
      <c r="BF1192" s="77"/>
      <c r="BG1192" s="77"/>
      <c r="BH1192" s="77"/>
      <c r="BI1192" s="77"/>
    </row>
    <row r="1193" spans="1:61" x14ac:dyDescent="0.25">
      <c r="A1193" s="62" t="s">
        <v>583</v>
      </c>
      <c r="B1193" s="62" t="s">
        <v>583</v>
      </c>
      <c r="C1193" s="63"/>
      <c r="D1193" s="64"/>
      <c r="E1193" s="65"/>
      <c r="F1193" s="66"/>
      <c r="G1193" s="63"/>
      <c r="H1193" s="67"/>
      <c r="I1193" s="68"/>
      <c r="J1193" s="68"/>
      <c r="K1193" s="32"/>
      <c r="L1193" s="75">
        <v>1193</v>
      </c>
      <c r="M1193" s="75"/>
      <c r="N1193" s="70"/>
      <c r="O1193" s="77" t="s">
        <v>179</v>
      </c>
      <c r="P1193" s="79">
        <v>45141.593726851854</v>
      </c>
      <c r="Q1193" s="77" t="s">
        <v>1976</v>
      </c>
      <c r="R1193" s="77">
        <v>1</v>
      </c>
      <c r="S1193" s="77">
        <v>3</v>
      </c>
      <c r="T1193" s="77">
        <v>0</v>
      </c>
      <c r="U1193" s="77">
        <v>0</v>
      </c>
      <c r="V1193" s="77">
        <v>11</v>
      </c>
      <c r="W1193" s="82" t="s">
        <v>5441</v>
      </c>
      <c r="X1193" s="80" t="str">
        <f>HYPERLINK("https://www.comlucro.com.br/analise-tecnica/barras-ou-velas-candlestick/doji-estrela-de-alta-bullish-doji-star/")</f>
        <v>https://www.comlucro.com.br/analise-tecnica/barras-ou-velas-candlestick/doji-estrela-de-alta-bullish-doji-star/</v>
      </c>
      <c r="Y1193" s="77" t="s">
        <v>6470</v>
      </c>
      <c r="Z1193" s="77"/>
      <c r="AA1193" s="77" t="s">
        <v>7310</v>
      </c>
      <c r="AB1193" s="77" t="s">
        <v>7742</v>
      </c>
      <c r="AC1193" s="82" t="s">
        <v>7750</v>
      </c>
      <c r="AD1193" s="77" t="s">
        <v>7791</v>
      </c>
      <c r="AE1193" s="80" t="str">
        <f>HYPERLINK("https://twitter.com/canalcomlucro/status/1687104776302178304")</f>
        <v>https://twitter.com/canalcomlucro/status/1687104776302178304</v>
      </c>
      <c r="AF1193" s="79">
        <v>45141.593726851854</v>
      </c>
      <c r="AG1193" s="85">
        <v>45141</v>
      </c>
      <c r="AH1193" s="82" t="s">
        <v>8833</v>
      </c>
      <c r="AI1193" s="77" t="b">
        <v>0</v>
      </c>
      <c r="AJ1193" s="77"/>
      <c r="AK1193" s="77"/>
      <c r="AL1193" s="77"/>
      <c r="AM1193" s="77"/>
      <c r="AN1193" s="77"/>
      <c r="AO1193" s="77"/>
      <c r="AP1193" s="77"/>
      <c r="AQ1193" s="77" t="s">
        <v>11282</v>
      </c>
      <c r="AR1193" s="77"/>
      <c r="AS1193" s="77"/>
      <c r="AT1193" s="77"/>
      <c r="AU1193" s="77"/>
      <c r="AV1193" s="80" t="str">
        <f>HYPERLINK("https://pbs.twimg.com/media/F2nM2Dua4AAOeoB.jpg")</f>
        <v>https://pbs.twimg.com/media/F2nM2Dua4AAOeoB.jpg</v>
      </c>
      <c r="AW1193" s="82" t="s">
        <v>12859</v>
      </c>
      <c r="AX1193" s="82" t="s">
        <v>12859</v>
      </c>
      <c r="AY1193" s="77"/>
      <c r="AZ1193" s="82" t="s">
        <v>15984</v>
      </c>
      <c r="BA1193" s="82" t="s">
        <v>15984</v>
      </c>
      <c r="BB1193" s="82" t="s">
        <v>15984</v>
      </c>
      <c r="BC1193" s="82" t="s">
        <v>12859</v>
      </c>
      <c r="BD1193" s="82" t="s">
        <v>16309</v>
      </c>
      <c r="BE1193" s="77"/>
      <c r="BF1193" s="77"/>
      <c r="BG1193" s="77"/>
      <c r="BH1193" s="77"/>
      <c r="BI1193" s="77"/>
    </row>
    <row r="1194" spans="1:61" x14ac:dyDescent="0.25">
      <c r="A1194" s="62" t="s">
        <v>583</v>
      </c>
      <c r="B1194" s="62" t="s">
        <v>583</v>
      </c>
      <c r="C1194" s="63"/>
      <c r="D1194" s="64"/>
      <c r="E1194" s="65"/>
      <c r="F1194" s="66"/>
      <c r="G1194" s="63"/>
      <c r="H1194" s="67"/>
      <c r="I1194" s="68"/>
      <c r="J1194" s="68"/>
      <c r="K1194" s="32"/>
      <c r="L1194" s="75">
        <v>1194</v>
      </c>
      <c r="M1194" s="75"/>
      <c r="N1194" s="70"/>
      <c r="O1194" s="77" t="s">
        <v>179</v>
      </c>
      <c r="P1194" s="79">
        <v>45131.781076388892</v>
      </c>
      <c r="Q1194" s="77" t="s">
        <v>1977</v>
      </c>
      <c r="R1194" s="77">
        <v>1</v>
      </c>
      <c r="S1194" s="77">
        <v>3</v>
      </c>
      <c r="T1194" s="77">
        <v>0</v>
      </c>
      <c r="U1194" s="77">
        <v>0</v>
      </c>
      <c r="V1194" s="77">
        <v>7</v>
      </c>
      <c r="W1194" s="82" t="s">
        <v>5442</v>
      </c>
      <c r="X1194" s="80" t="str">
        <f>HYPERLINK("https://www.comlucro.com.br/analise-tecnica/padroes-graficos-na-analise-tecnica/")</f>
        <v>https://www.comlucro.com.br/analise-tecnica/padroes-graficos-na-analise-tecnica/</v>
      </c>
      <c r="Y1194" s="77" t="s">
        <v>6470</v>
      </c>
      <c r="Z1194" s="77"/>
      <c r="AA1194" s="77" t="s">
        <v>7311</v>
      </c>
      <c r="AB1194" s="77" t="s">
        <v>7742</v>
      </c>
      <c r="AC1194" s="82" t="s">
        <v>7750</v>
      </c>
      <c r="AD1194" s="77" t="s">
        <v>7791</v>
      </c>
      <c r="AE1194" s="80" t="str">
        <f>HYPERLINK("https://twitter.com/canalcomlucro/status/1683548790370848768")</f>
        <v>https://twitter.com/canalcomlucro/status/1683548790370848768</v>
      </c>
      <c r="AF1194" s="79">
        <v>45131.781076388892</v>
      </c>
      <c r="AG1194" s="85">
        <v>45131</v>
      </c>
      <c r="AH1194" s="82" t="s">
        <v>8834</v>
      </c>
      <c r="AI1194" s="77" t="b">
        <v>0</v>
      </c>
      <c r="AJ1194" s="77"/>
      <c r="AK1194" s="77"/>
      <c r="AL1194" s="77"/>
      <c r="AM1194" s="77"/>
      <c r="AN1194" s="77"/>
      <c r="AO1194" s="77"/>
      <c r="AP1194" s="77"/>
      <c r="AQ1194" s="77" t="s">
        <v>11283</v>
      </c>
      <c r="AR1194" s="77"/>
      <c r="AS1194" s="77"/>
      <c r="AT1194" s="77"/>
      <c r="AU1194" s="77"/>
      <c r="AV1194" s="80" t="str">
        <f>HYPERLINK("https://pbs.twimg.com/media/F10qso5WIAk-Tpf.jpg")</f>
        <v>https://pbs.twimg.com/media/F10qso5WIAk-Tpf.jpg</v>
      </c>
      <c r="AW1194" s="82" t="s">
        <v>12860</v>
      </c>
      <c r="AX1194" s="82" t="s">
        <v>12860</v>
      </c>
      <c r="AY1194" s="77"/>
      <c r="AZ1194" s="82" t="s">
        <v>15984</v>
      </c>
      <c r="BA1194" s="82" t="s">
        <v>15984</v>
      </c>
      <c r="BB1194" s="82" t="s">
        <v>15984</v>
      </c>
      <c r="BC1194" s="82" t="s">
        <v>12860</v>
      </c>
      <c r="BD1194" s="82" t="s">
        <v>16309</v>
      </c>
      <c r="BE1194" s="77"/>
      <c r="BF1194" s="77"/>
      <c r="BG1194" s="77"/>
      <c r="BH1194" s="77"/>
      <c r="BI1194" s="77"/>
    </row>
    <row r="1195" spans="1:61" x14ac:dyDescent="0.25">
      <c r="A1195" s="62" t="s">
        <v>583</v>
      </c>
      <c r="B1195" s="62" t="s">
        <v>583</v>
      </c>
      <c r="C1195" s="63"/>
      <c r="D1195" s="64"/>
      <c r="E1195" s="65"/>
      <c r="F1195" s="66"/>
      <c r="G1195" s="63"/>
      <c r="H1195" s="67"/>
      <c r="I1195" s="68"/>
      <c r="J1195" s="68"/>
      <c r="K1195" s="32"/>
      <c r="L1195" s="75">
        <v>1195</v>
      </c>
      <c r="M1195" s="75"/>
      <c r="N1195" s="70"/>
      <c r="O1195" s="77" t="s">
        <v>179</v>
      </c>
      <c r="P1195" s="79">
        <v>45131.772511574076</v>
      </c>
      <c r="Q1195" s="77" t="s">
        <v>1978</v>
      </c>
      <c r="R1195" s="77">
        <v>0</v>
      </c>
      <c r="S1195" s="77">
        <v>3</v>
      </c>
      <c r="T1195" s="77">
        <v>0</v>
      </c>
      <c r="U1195" s="77">
        <v>0</v>
      </c>
      <c r="V1195" s="77">
        <v>7</v>
      </c>
      <c r="W1195" s="82" t="s">
        <v>5410</v>
      </c>
      <c r="X1195" s="80" t="str">
        <f>HYPERLINK("https://www.comlucro.com.br/analise-tecnica/")</f>
        <v>https://www.comlucro.com.br/analise-tecnica/</v>
      </c>
      <c r="Y1195" s="77" t="s">
        <v>6470</v>
      </c>
      <c r="Z1195" s="77"/>
      <c r="AA1195" s="77" t="s">
        <v>7312</v>
      </c>
      <c r="AB1195" s="77" t="s">
        <v>7742</v>
      </c>
      <c r="AC1195" s="82" t="s">
        <v>7750</v>
      </c>
      <c r="AD1195" s="77" t="s">
        <v>7791</v>
      </c>
      <c r="AE1195" s="80" t="str">
        <f>HYPERLINK("https://twitter.com/canalcomlucro/status/1683545689488236549")</f>
        <v>https://twitter.com/canalcomlucro/status/1683545689488236549</v>
      </c>
      <c r="AF1195" s="79">
        <v>45131.772511574076</v>
      </c>
      <c r="AG1195" s="85">
        <v>45131</v>
      </c>
      <c r="AH1195" s="82" t="s">
        <v>8835</v>
      </c>
      <c r="AI1195" s="77" t="b">
        <v>0</v>
      </c>
      <c r="AJ1195" s="77"/>
      <c r="AK1195" s="77"/>
      <c r="AL1195" s="77"/>
      <c r="AM1195" s="77"/>
      <c r="AN1195" s="77"/>
      <c r="AO1195" s="77"/>
      <c r="AP1195" s="77"/>
      <c r="AQ1195" s="77" t="s">
        <v>11284</v>
      </c>
      <c r="AR1195" s="77"/>
      <c r="AS1195" s="77"/>
      <c r="AT1195" s="77"/>
      <c r="AU1195" s="77"/>
      <c r="AV1195" s="80" t="str">
        <f>HYPERLINK("https://pbs.twimg.com/media/F10n367WIAsdZ1z.jpg")</f>
        <v>https://pbs.twimg.com/media/F10n367WIAsdZ1z.jpg</v>
      </c>
      <c r="AW1195" s="82" t="s">
        <v>12861</v>
      </c>
      <c r="AX1195" s="82" t="s">
        <v>12861</v>
      </c>
      <c r="AY1195" s="77"/>
      <c r="AZ1195" s="82" t="s">
        <v>15984</v>
      </c>
      <c r="BA1195" s="82" t="s">
        <v>15984</v>
      </c>
      <c r="BB1195" s="82" t="s">
        <v>15984</v>
      </c>
      <c r="BC1195" s="82" t="s">
        <v>12861</v>
      </c>
      <c r="BD1195" s="82" t="s">
        <v>16309</v>
      </c>
      <c r="BE1195" s="77"/>
      <c r="BF1195" s="77"/>
      <c r="BG1195" s="77"/>
      <c r="BH1195" s="77"/>
      <c r="BI1195" s="77"/>
    </row>
    <row r="1196" spans="1:61" x14ac:dyDescent="0.25">
      <c r="A1196" s="62" t="s">
        <v>583</v>
      </c>
      <c r="B1196" s="62" t="s">
        <v>583</v>
      </c>
      <c r="C1196" s="63"/>
      <c r="D1196" s="64"/>
      <c r="E1196" s="65"/>
      <c r="F1196" s="66"/>
      <c r="G1196" s="63"/>
      <c r="H1196" s="67"/>
      <c r="I1196" s="68"/>
      <c r="J1196" s="68"/>
      <c r="K1196" s="32"/>
      <c r="L1196" s="75">
        <v>1196</v>
      </c>
      <c r="M1196" s="75"/>
      <c r="N1196" s="70"/>
      <c r="O1196" s="77" t="s">
        <v>179</v>
      </c>
      <c r="P1196" s="79">
        <v>45168.714259259257</v>
      </c>
      <c r="Q1196" s="77" t="s">
        <v>1979</v>
      </c>
      <c r="R1196" s="77">
        <v>1</v>
      </c>
      <c r="S1196" s="77">
        <v>3</v>
      </c>
      <c r="T1196" s="77">
        <v>0</v>
      </c>
      <c r="U1196" s="77">
        <v>0</v>
      </c>
      <c r="V1196" s="77">
        <v>23</v>
      </c>
      <c r="W1196" s="82" t="s">
        <v>5443</v>
      </c>
      <c r="X1196" s="80" t="str">
        <f>HYPERLINK("https://www.comlucro.com.br/a-importancia-do-stop-loss-e-o-impacto-das-quedas-no-retorno-desejado/")</f>
        <v>https://www.comlucro.com.br/a-importancia-do-stop-loss-e-o-impacto-das-quedas-no-retorno-desejado/</v>
      </c>
      <c r="Y1196" s="77" t="s">
        <v>6470</v>
      </c>
      <c r="Z1196" s="77"/>
      <c r="AA1196" s="77" t="s">
        <v>7313</v>
      </c>
      <c r="AB1196" s="77" t="s">
        <v>7742</v>
      </c>
      <c r="AC1196" s="82" t="s">
        <v>7750</v>
      </c>
      <c r="AD1196" s="77" t="s">
        <v>7791</v>
      </c>
      <c r="AE1196" s="80" t="str">
        <f>HYPERLINK("https://twitter.com/canalcomlucro/status/1696932928549167145")</f>
        <v>https://twitter.com/canalcomlucro/status/1696932928549167145</v>
      </c>
      <c r="AF1196" s="79">
        <v>45168.714259259257</v>
      </c>
      <c r="AG1196" s="85">
        <v>45168</v>
      </c>
      <c r="AH1196" s="82" t="s">
        <v>8836</v>
      </c>
      <c r="AI1196" s="77" t="b">
        <v>0</v>
      </c>
      <c r="AJ1196" s="77"/>
      <c r="AK1196" s="77"/>
      <c r="AL1196" s="77"/>
      <c r="AM1196" s="77"/>
      <c r="AN1196" s="77"/>
      <c r="AO1196" s="77"/>
      <c r="AP1196" s="77"/>
      <c r="AQ1196" s="77" t="s">
        <v>11285</v>
      </c>
      <c r="AR1196" s="77"/>
      <c r="AS1196" s="77"/>
      <c r="AT1196" s="77"/>
      <c r="AU1196" s="77"/>
      <c r="AV1196" s="80" t="str">
        <f>HYPERLINK("https://pbs.twimg.com/media/F4y3gGfXQAAfxNk.jpg")</f>
        <v>https://pbs.twimg.com/media/F4y3gGfXQAAfxNk.jpg</v>
      </c>
      <c r="AW1196" s="82" t="s">
        <v>12862</v>
      </c>
      <c r="AX1196" s="82" t="s">
        <v>12862</v>
      </c>
      <c r="AY1196" s="77"/>
      <c r="AZ1196" s="82" t="s">
        <v>15984</v>
      </c>
      <c r="BA1196" s="82" t="s">
        <v>15984</v>
      </c>
      <c r="BB1196" s="82" t="s">
        <v>15984</v>
      </c>
      <c r="BC1196" s="82" t="s">
        <v>12862</v>
      </c>
      <c r="BD1196" s="82" t="s">
        <v>16309</v>
      </c>
      <c r="BE1196" s="77"/>
      <c r="BF1196" s="77"/>
      <c r="BG1196" s="77"/>
      <c r="BH1196" s="77"/>
      <c r="BI1196" s="77"/>
    </row>
    <row r="1197" spans="1:61" x14ac:dyDescent="0.25">
      <c r="A1197" s="62" t="s">
        <v>583</v>
      </c>
      <c r="B1197" s="62" t="s">
        <v>583</v>
      </c>
      <c r="C1197" s="63"/>
      <c r="D1197" s="64"/>
      <c r="E1197" s="65"/>
      <c r="F1197" s="66"/>
      <c r="G1197" s="63"/>
      <c r="H1197" s="67"/>
      <c r="I1197" s="68"/>
      <c r="J1197" s="68"/>
      <c r="K1197" s="32"/>
      <c r="L1197" s="75">
        <v>1197</v>
      </c>
      <c r="M1197" s="75"/>
      <c r="N1197" s="70"/>
      <c r="O1197" s="77" t="s">
        <v>179</v>
      </c>
      <c r="P1197" s="79">
        <v>45135.490937499999</v>
      </c>
      <c r="Q1197" s="77" t="s">
        <v>1980</v>
      </c>
      <c r="R1197" s="77">
        <v>1</v>
      </c>
      <c r="S1197" s="77">
        <v>4</v>
      </c>
      <c r="T1197" s="77">
        <v>0</v>
      </c>
      <c r="U1197" s="77">
        <v>0</v>
      </c>
      <c r="V1197" s="77">
        <v>18</v>
      </c>
      <c r="W1197" s="82" t="s">
        <v>5444</v>
      </c>
      <c r="X1197" s="80" t="str">
        <f>HYPERLINK("https://www.comlucro.com.br/identificando-e-gerenciando-as-emocoes-durante-o-trading-para-melhorar-seu-desempenho-como-trader/")</f>
        <v>https://www.comlucro.com.br/identificando-e-gerenciando-as-emocoes-durante-o-trading-para-melhorar-seu-desempenho-como-trader/</v>
      </c>
      <c r="Y1197" s="77" t="s">
        <v>6470</v>
      </c>
      <c r="Z1197" s="77"/>
      <c r="AA1197" s="77" t="s">
        <v>7314</v>
      </c>
      <c r="AB1197" s="77" t="s">
        <v>7742</v>
      </c>
      <c r="AC1197" s="82" t="s">
        <v>7750</v>
      </c>
      <c r="AD1197" s="77" t="s">
        <v>7791</v>
      </c>
      <c r="AE1197" s="80" t="str">
        <f>HYPERLINK("https://twitter.com/canalcomlucro/status/1684893200157200384")</f>
        <v>https://twitter.com/canalcomlucro/status/1684893200157200384</v>
      </c>
      <c r="AF1197" s="79">
        <v>45135.490937499999</v>
      </c>
      <c r="AG1197" s="85">
        <v>45135</v>
      </c>
      <c r="AH1197" s="82" t="s">
        <v>8837</v>
      </c>
      <c r="AI1197" s="77" t="b">
        <v>0</v>
      </c>
      <c r="AJ1197" s="77"/>
      <c r="AK1197" s="77"/>
      <c r="AL1197" s="77"/>
      <c r="AM1197" s="77"/>
      <c r="AN1197" s="77"/>
      <c r="AO1197" s="77"/>
      <c r="AP1197" s="77"/>
      <c r="AQ1197" s="77" t="s">
        <v>11286</v>
      </c>
      <c r="AR1197" s="77"/>
      <c r="AS1197" s="77"/>
      <c r="AT1197" s="77"/>
      <c r="AU1197" s="77"/>
      <c r="AV1197" s="80" t="str">
        <f>HYPERLINK("https://pbs.twimg.com/media/F2HxbQlW4AAFmGv.jpg")</f>
        <v>https://pbs.twimg.com/media/F2HxbQlW4AAFmGv.jpg</v>
      </c>
      <c r="AW1197" s="82" t="s">
        <v>12863</v>
      </c>
      <c r="AX1197" s="82" t="s">
        <v>12863</v>
      </c>
      <c r="AY1197" s="77"/>
      <c r="AZ1197" s="82" t="s">
        <v>15984</v>
      </c>
      <c r="BA1197" s="82" t="s">
        <v>15984</v>
      </c>
      <c r="BB1197" s="82" t="s">
        <v>15984</v>
      </c>
      <c r="BC1197" s="82" t="s">
        <v>12863</v>
      </c>
      <c r="BD1197" s="82" t="s">
        <v>16309</v>
      </c>
      <c r="BE1197" s="77"/>
      <c r="BF1197" s="77"/>
      <c r="BG1197" s="77"/>
      <c r="BH1197" s="77"/>
      <c r="BI1197" s="77"/>
    </row>
    <row r="1198" spans="1:61" x14ac:dyDescent="0.25">
      <c r="A1198" s="62" t="s">
        <v>583</v>
      </c>
      <c r="B1198" s="62" t="s">
        <v>583</v>
      </c>
      <c r="C1198" s="63"/>
      <c r="D1198" s="64"/>
      <c r="E1198" s="65"/>
      <c r="F1198" s="66"/>
      <c r="G1198" s="63"/>
      <c r="H1198" s="67"/>
      <c r="I1198" s="68"/>
      <c r="J1198" s="68"/>
      <c r="K1198" s="32"/>
      <c r="L1198" s="75">
        <v>1198</v>
      </c>
      <c r="M1198" s="75"/>
      <c r="N1198" s="70"/>
      <c r="O1198" s="77" t="s">
        <v>179</v>
      </c>
      <c r="P1198" s="79">
        <v>45128.664282407408</v>
      </c>
      <c r="Q1198" s="77" t="s">
        <v>1981</v>
      </c>
      <c r="R1198" s="77">
        <v>1</v>
      </c>
      <c r="S1198" s="77">
        <v>2</v>
      </c>
      <c r="T1198" s="77">
        <v>0</v>
      </c>
      <c r="U1198" s="77">
        <v>0</v>
      </c>
      <c r="V1198" s="77">
        <v>9</v>
      </c>
      <c r="W1198" s="82" t="s">
        <v>5445</v>
      </c>
      <c r="X1198" s="80" t="str">
        <f>HYPERLINK("https://www.comlucro.com.br/warren-buffett-conheca-o-maior-e-mais-famoso-investidor-de-todos-os-tempos/")</f>
        <v>https://www.comlucro.com.br/warren-buffett-conheca-o-maior-e-mais-famoso-investidor-de-todos-os-tempos/</v>
      </c>
      <c r="Y1198" s="77" t="s">
        <v>6470</v>
      </c>
      <c r="Z1198" s="77"/>
      <c r="AA1198" s="77" t="s">
        <v>7315</v>
      </c>
      <c r="AB1198" s="77" t="s">
        <v>7742</v>
      </c>
      <c r="AC1198" s="82" t="s">
        <v>7750</v>
      </c>
      <c r="AD1198" s="77" t="s">
        <v>7791</v>
      </c>
      <c r="AE1198" s="80" t="str">
        <f>HYPERLINK("https://twitter.com/canalcomlucro/status/1682419302006247425")</f>
        <v>https://twitter.com/canalcomlucro/status/1682419302006247425</v>
      </c>
      <c r="AF1198" s="79">
        <v>45128.664282407408</v>
      </c>
      <c r="AG1198" s="85">
        <v>45128</v>
      </c>
      <c r="AH1198" s="82" t="s">
        <v>8838</v>
      </c>
      <c r="AI1198" s="77" t="b">
        <v>0</v>
      </c>
      <c r="AJ1198" s="77"/>
      <c r="AK1198" s="77"/>
      <c r="AL1198" s="77"/>
      <c r="AM1198" s="77"/>
      <c r="AN1198" s="77"/>
      <c r="AO1198" s="77"/>
      <c r="AP1198" s="77"/>
      <c r="AQ1198" s="77" t="s">
        <v>11287</v>
      </c>
      <c r="AR1198" s="77"/>
      <c r="AS1198" s="77"/>
      <c r="AT1198" s="77"/>
      <c r="AU1198" s="77"/>
      <c r="AV1198" s="80" t="str">
        <f>HYPERLINK("https://pbs.twimg.com/media/F1knZsJWwAMmkXN.jpg")</f>
        <v>https://pbs.twimg.com/media/F1knZsJWwAMmkXN.jpg</v>
      </c>
      <c r="AW1198" s="82" t="s">
        <v>12864</v>
      </c>
      <c r="AX1198" s="82" t="s">
        <v>12864</v>
      </c>
      <c r="AY1198" s="77"/>
      <c r="AZ1198" s="82" t="s">
        <v>15984</v>
      </c>
      <c r="BA1198" s="82" t="s">
        <v>15984</v>
      </c>
      <c r="BB1198" s="82" t="s">
        <v>15984</v>
      </c>
      <c r="BC1198" s="82" t="s">
        <v>12864</v>
      </c>
      <c r="BD1198" s="82" t="s">
        <v>16309</v>
      </c>
      <c r="BE1198" s="77"/>
      <c r="BF1198" s="77"/>
      <c r="BG1198" s="77"/>
      <c r="BH1198" s="77"/>
      <c r="BI1198" s="77"/>
    </row>
    <row r="1199" spans="1:61" x14ac:dyDescent="0.25">
      <c r="A1199" s="62" t="s">
        <v>583</v>
      </c>
      <c r="B1199" s="62" t="s">
        <v>583</v>
      </c>
      <c r="C1199" s="63"/>
      <c r="D1199" s="64"/>
      <c r="E1199" s="65"/>
      <c r="F1199" s="66"/>
      <c r="G1199" s="63"/>
      <c r="H1199" s="67"/>
      <c r="I1199" s="68"/>
      <c r="J1199" s="68"/>
      <c r="K1199" s="32"/>
      <c r="L1199" s="75">
        <v>1199</v>
      </c>
      <c r="M1199" s="75"/>
      <c r="N1199" s="70"/>
      <c r="O1199" s="77" t="s">
        <v>179</v>
      </c>
      <c r="P1199" s="79">
        <v>45128.623425925929</v>
      </c>
      <c r="Q1199" s="77" t="s">
        <v>1982</v>
      </c>
      <c r="R1199" s="77">
        <v>1</v>
      </c>
      <c r="S1199" s="77">
        <v>2</v>
      </c>
      <c r="T1199" s="77">
        <v>0</v>
      </c>
      <c r="U1199" s="77">
        <v>0</v>
      </c>
      <c r="V1199" s="77">
        <v>9</v>
      </c>
      <c r="W1199" s="82" t="s">
        <v>5446</v>
      </c>
      <c r="X1199" s="80" t="str">
        <f>HYPERLINK("https://www.comlucro.com.br/estrategia-de-investimento-de-warren-buffett-compreendendo-a-abordagem-do-oraculo-de-omaha/")</f>
        <v>https://www.comlucro.com.br/estrategia-de-investimento-de-warren-buffett-compreendendo-a-abordagem-do-oraculo-de-omaha/</v>
      </c>
      <c r="Y1199" s="77" t="s">
        <v>6470</v>
      </c>
      <c r="Z1199" s="77"/>
      <c r="AA1199" s="77" t="s">
        <v>7316</v>
      </c>
      <c r="AB1199" s="77" t="s">
        <v>7742</v>
      </c>
      <c r="AC1199" s="82" t="s">
        <v>7750</v>
      </c>
      <c r="AD1199" s="77" t="s">
        <v>7791</v>
      </c>
      <c r="AE1199" s="80" t="str">
        <f>HYPERLINK("https://twitter.com/canalcomlucro/status/1682404498763915265")</f>
        <v>https://twitter.com/canalcomlucro/status/1682404498763915265</v>
      </c>
      <c r="AF1199" s="79">
        <v>45128.623425925929</v>
      </c>
      <c r="AG1199" s="85">
        <v>45128</v>
      </c>
      <c r="AH1199" s="82" t="s">
        <v>8839</v>
      </c>
      <c r="AI1199" s="77" t="b">
        <v>0</v>
      </c>
      <c r="AJ1199" s="77"/>
      <c r="AK1199" s="77"/>
      <c r="AL1199" s="77"/>
      <c r="AM1199" s="77"/>
      <c r="AN1199" s="77"/>
      <c r="AO1199" s="77"/>
      <c r="AP1199" s="77"/>
      <c r="AQ1199" s="77" t="s">
        <v>11288</v>
      </c>
      <c r="AR1199" s="77"/>
      <c r="AS1199" s="77"/>
      <c r="AT1199" s="77"/>
      <c r="AU1199" s="77"/>
      <c r="AV1199" s="80" t="str">
        <f>HYPERLINK("https://pbs.twimg.com/media/F1kZ-CqXgAQuH9a.jpg")</f>
        <v>https://pbs.twimg.com/media/F1kZ-CqXgAQuH9a.jpg</v>
      </c>
      <c r="AW1199" s="82" t="s">
        <v>12865</v>
      </c>
      <c r="AX1199" s="82" t="s">
        <v>12865</v>
      </c>
      <c r="AY1199" s="77"/>
      <c r="AZ1199" s="82" t="s">
        <v>15984</v>
      </c>
      <c r="BA1199" s="82" t="s">
        <v>15984</v>
      </c>
      <c r="BB1199" s="82" t="s">
        <v>15984</v>
      </c>
      <c r="BC1199" s="82" t="s">
        <v>12865</v>
      </c>
      <c r="BD1199" s="82" t="s">
        <v>16309</v>
      </c>
      <c r="BE1199" s="77"/>
      <c r="BF1199" s="77"/>
      <c r="BG1199" s="77"/>
      <c r="BH1199" s="77"/>
      <c r="BI1199" s="77"/>
    </row>
    <row r="1200" spans="1:61" x14ac:dyDescent="0.25">
      <c r="A1200" s="62" t="s">
        <v>583</v>
      </c>
      <c r="B1200" s="62" t="s">
        <v>583</v>
      </c>
      <c r="C1200" s="63"/>
      <c r="D1200" s="64"/>
      <c r="E1200" s="65"/>
      <c r="F1200" s="66"/>
      <c r="G1200" s="63"/>
      <c r="H1200" s="67"/>
      <c r="I1200" s="68"/>
      <c r="J1200" s="68"/>
      <c r="K1200" s="32"/>
      <c r="L1200" s="75">
        <v>1200</v>
      </c>
      <c r="M1200" s="75"/>
      <c r="N1200" s="70"/>
      <c r="O1200" s="77" t="s">
        <v>179</v>
      </c>
      <c r="P1200" s="79">
        <v>45128.493252314816</v>
      </c>
      <c r="Q1200" s="77" t="s">
        <v>1983</v>
      </c>
      <c r="R1200" s="77">
        <v>1</v>
      </c>
      <c r="S1200" s="77">
        <v>2</v>
      </c>
      <c r="T1200" s="77">
        <v>0</v>
      </c>
      <c r="U1200" s="77">
        <v>0</v>
      </c>
      <c r="V1200" s="77">
        <v>9</v>
      </c>
      <c r="W1200" s="82" t="s">
        <v>5447</v>
      </c>
      <c r="X1200" s="80" t="str">
        <f>HYPERLINK("https://www.comlucro.com.br/metodo-wyckoff-abreviacoes-utilizadas/")</f>
        <v>https://www.comlucro.com.br/metodo-wyckoff-abreviacoes-utilizadas/</v>
      </c>
      <c r="Y1200" s="77" t="s">
        <v>6470</v>
      </c>
      <c r="Z1200" s="77"/>
      <c r="AA1200" s="77" t="s">
        <v>7317</v>
      </c>
      <c r="AB1200" s="77" t="s">
        <v>7742</v>
      </c>
      <c r="AC1200" s="82" t="s">
        <v>7750</v>
      </c>
      <c r="AD1200" s="77" t="s">
        <v>7791</v>
      </c>
      <c r="AE1200" s="80" t="str">
        <f>HYPERLINK("https://twitter.com/canalcomlucro/status/1682357324445261825")</f>
        <v>https://twitter.com/canalcomlucro/status/1682357324445261825</v>
      </c>
      <c r="AF1200" s="79">
        <v>45128.493252314816</v>
      </c>
      <c r="AG1200" s="85">
        <v>45128</v>
      </c>
      <c r="AH1200" s="82" t="s">
        <v>8840</v>
      </c>
      <c r="AI1200" s="77" t="b">
        <v>0</v>
      </c>
      <c r="AJ1200" s="77"/>
      <c r="AK1200" s="77"/>
      <c r="AL1200" s="77"/>
      <c r="AM1200" s="77"/>
      <c r="AN1200" s="77"/>
      <c r="AO1200" s="77"/>
      <c r="AP1200" s="77"/>
      <c r="AQ1200" s="77" t="s">
        <v>11289</v>
      </c>
      <c r="AR1200" s="77"/>
      <c r="AS1200" s="77"/>
      <c r="AT1200" s="77"/>
      <c r="AU1200" s="77"/>
      <c r="AV1200" s="80" t="str">
        <f>HYPERLINK("https://pbs.twimg.com/media/F1jvClXWcAMqoyg.jpg")</f>
        <v>https://pbs.twimg.com/media/F1jvClXWcAMqoyg.jpg</v>
      </c>
      <c r="AW1200" s="82" t="s">
        <v>12866</v>
      </c>
      <c r="AX1200" s="82" t="s">
        <v>12866</v>
      </c>
      <c r="AY1200" s="77"/>
      <c r="AZ1200" s="82" t="s">
        <v>15984</v>
      </c>
      <c r="BA1200" s="82" t="s">
        <v>15984</v>
      </c>
      <c r="BB1200" s="82" t="s">
        <v>15984</v>
      </c>
      <c r="BC1200" s="82" t="s">
        <v>12866</v>
      </c>
      <c r="BD1200" s="82" t="s">
        <v>16309</v>
      </c>
      <c r="BE1200" s="77"/>
      <c r="BF1200" s="77"/>
      <c r="BG1200" s="77"/>
      <c r="BH1200" s="77"/>
      <c r="BI1200" s="77"/>
    </row>
    <row r="1201" spans="1:61" x14ac:dyDescent="0.25">
      <c r="A1201" s="62" t="s">
        <v>584</v>
      </c>
      <c r="B1201" s="62" t="s">
        <v>584</v>
      </c>
      <c r="C1201" s="63"/>
      <c r="D1201" s="64"/>
      <c r="E1201" s="65"/>
      <c r="F1201" s="66"/>
      <c r="G1201" s="63"/>
      <c r="H1201" s="67"/>
      <c r="I1201" s="68"/>
      <c r="J1201" s="68"/>
      <c r="K1201" s="32"/>
      <c r="L1201" s="75">
        <v>1201</v>
      </c>
      <c r="M1201" s="75"/>
      <c r="N1201" s="70"/>
      <c r="O1201" s="77" t="s">
        <v>179</v>
      </c>
      <c r="P1201" s="79">
        <v>45128.617696759262</v>
      </c>
      <c r="Q1201" s="77" t="s">
        <v>1984</v>
      </c>
      <c r="R1201" s="77">
        <v>0</v>
      </c>
      <c r="S1201" s="77">
        <v>3</v>
      </c>
      <c r="T1201" s="77">
        <v>0</v>
      </c>
      <c r="U1201" s="77">
        <v>0</v>
      </c>
      <c r="V1201" s="77">
        <v>139</v>
      </c>
      <c r="W1201" s="82" t="s">
        <v>5448</v>
      </c>
      <c r="X1201" s="80" t="str">
        <f>HYPERLINK("https://instagram.com/analisegraficadagi?igshid=NGExMmI2YTkyZg==")</f>
        <v>https://instagram.com/analisegraficadagi?igshid=NGExMmI2YTkyZg==</v>
      </c>
      <c r="Y1201" s="77" t="s">
        <v>6469</v>
      </c>
      <c r="Z1201" s="77"/>
      <c r="AA1201" s="77" t="s">
        <v>7318</v>
      </c>
      <c r="AB1201" s="77" t="s">
        <v>7743</v>
      </c>
      <c r="AC1201" s="82" t="s">
        <v>7751</v>
      </c>
      <c r="AD1201" s="77" t="s">
        <v>7788</v>
      </c>
      <c r="AE1201" s="80" t="str">
        <f>HYPERLINK("https://twitter.com/cazanova_gisele/status/1682402423594270730")</f>
        <v>https://twitter.com/cazanova_gisele/status/1682402423594270730</v>
      </c>
      <c r="AF1201" s="79">
        <v>45128.617696759262</v>
      </c>
      <c r="AG1201" s="85">
        <v>45128</v>
      </c>
      <c r="AH1201" s="82" t="s">
        <v>8841</v>
      </c>
      <c r="AI1201" s="77" t="b">
        <v>0</v>
      </c>
      <c r="AJ1201" s="77"/>
      <c r="AK1201" s="77"/>
      <c r="AL1201" s="77"/>
      <c r="AM1201" s="77"/>
      <c r="AN1201" s="77"/>
      <c r="AO1201" s="77"/>
      <c r="AP1201" s="77"/>
      <c r="AQ1201" s="77" t="s">
        <v>11290</v>
      </c>
      <c r="AR1201" s="77">
        <v>17977</v>
      </c>
      <c r="AS1201" s="77"/>
      <c r="AT1201" s="77"/>
      <c r="AU1201" s="77"/>
      <c r="AV1201" s="80" t="str">
        <f>HYPERLINK("https://pbs.twimg.com/ext_tw_video_thumb/1682402384511655937/pu/img/UfTsrOLAZZFHPzE8.jpg")</f>
        <v>https://pbs.twimg.com/ext_tw_video_thumb/1682402384511655937/pu/img/UfTsrOLAZZFHPzE8.jpg</v>
      </c>
      <c r="AW1201" s="82" t="s">
        <v>12867</v>
      </c>
      <c r="AX1201" s="82" t="s">
        <v>12867</v>
      </c>
      <c r="AY1201" s="77"/>
      <c r="AZ1201" s="82" t="s">
        <v>15984</v>
      </c>
      <c r="BA1201" s="82" t="s">
        <v>15984</v>
      </c>
      <c r="BB1201" s="82" t="s">
        <v>15984</v>
      </c>
      <c r="BC1201" s="82" t="s">
        <v>12867</v>
      </c>
      <c r="BD1201" s="82" t="s">
        <v>16310</v>
      </c>
      <c r="BE1201" s="77"/>
      <c r="BF1201" s="77"/>
      <c r="BG1201" s="77"/>
      <c r="BH1201" s="77"/>
      <c r="BI1201" s="77"/>
    </row>
    <row r="1202" spans="1:61" x14ac:dyDescent="0.25">
      <c r="A1202" s="62" t="s">
        <v>585</v>
      </c>
      <c r="B1202" s="62" t="s">
        <v>585</v>
      </c>
      <c r="C1202" s="63"/>
      <c r="D1202" s="64"/>
      <c r="E1202" s="65"/>
      <c r="F1202" s="66"/>
      <c r="G1202" s="63"/>
      <c r="H1202" s="67"/>
      <c r="I1202" s="68"/>
      <c r="J1202" s="68"/>
      <c r="K1202" s="32"/>
      <c r="L1202" s="75">
        <v>1202</v>
      </c>
      <c r="M1202" s="75"/>
      <c r="N1202" s="70"/>
      <c r="O1202" s="77" t="s">
        <v>179</v>
      </c>
      <c r="P1202" s="79">
        <v>45174.361111111109</v>
      </c>
      <c r="Q1202" s="77" t="s">
        <v>1985</v>
      </c>
      <c r="R1202" s="77">
        <v>0</v>
      </c>
      <c r="S1202" s="77">
        <v>0</v>
      </c>
      <c r="T1202" s="77">
        <v>0</v>
      </c>
      <c r="U1202" s="77">
        <v>0</v>
      </c>
      <c r="V1202" s="77">
        <v>23</v>
      </c>
      <c r="W1202" s="82" t="s">
        <v>5449</v>
      </c>
      <c r="X1202" s="80" t="str">
        <f>HYPERLINK("https://www.diariodominho.pt/noticias/internacional/2023-09-05-principais-bolsas-europeias-recuam-na-abertura-64f6e275a9f4b")</f>
        <v>https://www.diariodominho.pt/noticias/internacional/2023-09-05-principais-bolsas-europeias-recuam-na-abertura-64f6e275a9f4b</v>
      </c>
      <c r="Y1202" s="77" t="s">
        <v>6541</v>
      </c>
      <c r="Z1202" s="77"/>
      <c r="AA1202" s="77"/>
      <c r="AB1202" s="77"/>
      <c r="AC1202" s="82" t="s">
        <v>7750</v>
      </c>
      <c r="AD1202" s="77" t="s">
        <v>7788</v>
      </c>
      <c r="AE1202" s="80" t="str">
        <f>HYPERLINK("https://twitter.com/diariodominho/status/1698979278732599553")</f>
        <v>https://twitter.com/diariodominho/status/1698979278732599553</v>
      </c>
      <c r="AF1202" s="79">
        <v>45174.361111111109</v>
      </c>
      <c r="AG1202" s="85">
        <v>45174</v>
      </c>
      <c r="AH1202" s="82" t="s">
        <v>8842</v>
      </c>
      <c r="AI1202" s="77" t="b">
        <v>0</v>
      </c>
      <c r="AJ1202" s="77"/>
      <c r="AK1202" s="77"/>
      <c r="AL1202" s="77"/>
      <c r="AM1202" s="77"/>
      <c r="AN1202" s="77"/>
      <c r="AO1202" s="77"/>
      <c r="AP1202" s="77"/>
      <c r="AQ1202" s="77"/>
      <c r="AR1202" s="77"/>
      <c r="AS1202" s="77"/>
      <c r="AT1202" s="77"/>
      <c r="AU1202" s="77"/>
      <c r="AV1202" s="80" t="str">
        <f>HYPERLINK("https://pbs.twimg.com/profile_images/1567188584997834756/gnZ16RIY_normal.jpg")</f>
        <v>https://pbs.twimg.com/profile_images/1567188584997834756/gnZ16RIY_normal.jpg</v>
      </c>
      <c r="AW1202" s="82" t="s">
        <v>12868</v>
      </c>
      <c r="AX1202" s="82" t="s">
        <v>12868</v>
      </c>
      <c r="AY1202" s="77"/>
      <c r="AZ1202" s="82" t="s">
        <v>15984</v>
      </c>
      <c r="BA1202" s="82" t="s">
        <v>15984</v>
      </c>
      <c r="BB1202" s="82" t="s">
        <v>15984</v>
      </c>
      <c r="BC1202" s="82" t="s">
        <v>12868</v>
      </c>
      <c r="BD1202" s="77">
        <v>130194940</v>
      </c>
      <c r="BE1202" s="77"/>
      <c r="BF1202" s="77"/>
      <c r="BG1202" s="77"/>
      <c r="BH1202" s="77"/>
      <c r="BI1202" s="77"/>
    </row>
    <row r="1203" spans="1:61" x14ac:dyDescent="0.25">
      <c r="A1203" s="62" t="s">
        <v>585</v>
      </c>
      <c r="B1203" s="62" t="s">
        <v>585</v>
      </c>
      <c r="C1203" s="63"/>
      <c r="D1203" s="64"/>
      <c r="E1203" s="65"/>
      <c r="F1203" s="66"/>
      <c r="G1203" s="63"/>
      <c r="H1203" s="67"/>
      <c r="I1203" s="68"/>
      <c r="J1203" s="68"/>
      <c r="K1203" s="32"/>
      <c r="L1203" s="75">
        <v>1203</v>
      </c>
      <c r="M1203" s="75"/>
      <c r="N1203" s="70"/>
      <c r="O1203" s="77" t="s">
        <v>179</v>
      </c>
      <c r="P1203" s="79">
        <v>45173.347222222219</v>
      </c>
      <c r="Q1203" s="77" t="s">
        <v>1986</v>
      </c>
      <c r="R1203" s="77">
        <v>0</v>
      </c>
      <c r="S1203" s="77">
        <v>0</v>
      </c>
      <c r="T1203" s="77">
        <v>0</v>
      </c>
      <c r="U1203" s="77">
        <v>0</v>
      </c>
      <c r="V1203" s="77">
        <v>19</v>
      </c>
      <c r="W1203" s="82" t="s">
        <v>5450</v>
      </c>
      <c r="X1203" s="80" t="str">
        <f>HYPERLINK("https://www.diariodominho.pt/noticias/nacional/2023-09-04-pr-considera-que-governo-tem-plena-nocao-de-que-nao-pode-deixar-a-divida-derrapar-64f58dfef0b21")</f>
        <v>https://www.diariodominho.pt/noticias/nacional/2023-09-04-pr-considera-que-governo-tem-plena-nocao-de-que-nao-pode-deixar-a-divida-derrapar-64f58dfef0b21</v>
      </c>
      <c r="Y1203" s="77" t="s">
        <v>6541</v>
      </c>
      <c r="Z1203" s="77"/>
      <c r="AA1203" s="77"/>
      <c r="AB1203" s="77"/>
      <c r="AC1203" s="82" t="s">
        <v>7750</v>
      </c>
      <c r="AD1203" s="77" t="s">
        <v>7788</v>
      </c>
      <c r="AE1203" s="80" t="str">
        <f>HYPERLINK("https://twitter.com/diariodominho/status/1698611857827717523")</f>
        <v>https://twitter.com/diariodominho/status/1698611857827717523</v>
      </c>
      <c r="AF1203" s="79">
        <v>45173.347222222219</v>
      </c>
      <c r="AG1203" s="85">
        <v>45173</v>
      </c>
      <c r="AH1203" s="82" t="s">
        <v>8843</v>
      </c>
      <c r="AI1203" s="77" t="b">
        <v>0</v>
      </c>
      <c r="AJ1203" s="77"/>
      <c r="AK1203" s="77"/>
      <c r="AL1203" s="77"/>
      <c r="AM1203" s="77"/>
      <c r="AN1203" s="77"/>
      <c r="AO1203" s="77"/>
      <c r="AP1203" s="77"/>
      <c r="AQ1203" s="77"/>
      <c r="AR1203" s="77"/>
      <c r="AS1203" s="77"/>
      <c r="AT1203" s="77"/>
      <c r="AU1203" s="77"/>
      <c r="AV1203" s="80" t="str">
        <f>HYPERLINK("https://pbs.twimg.com/profile_images/1567188584997834756/gnZ16RIY_normal.jpg")</f>
        <v>https://pbs.twimg.com/profile_images/1567188584997834756/gnZ16RIY_normal.jpg</v>
      </c>
      <c r="AW1203" s="82" t="s">
        <v>12869</v>
      </c>
      <c r="AX1203" s="82" t="s">
        <v>12869</v>
      </c>
      <c r="AY1203" s="77"/>
      <c r="AZ1203" s="82" t="s">
        <v>15984</v>
      </c>
      <c r="BA1203" s="82" t="s">
        <v>15984</v>
      </c>
      <c r="BB1203" s="82" t="s">
        <v>15984</v>
      </c>
      <c r="BC1203" s="82" t="s">
        <v>12869</v>
      </c>
      <c r="BD1203" s="77">
        <v>130194940</v>
      </c>
      <c r="BE1203" s="77"/>
      <c r="BF1203" s="77"/>
      <c r="BG1203" s="77"/>
      <c r="BH1203" s="77"/>
      <c r="BI1203" s="77"/>
    </row>
    <row r="1204" spans="1:61" x14ac:dyDescent="0.25">
      <c r="A1204" s="62" t="s">
        <v>585</v>
      </c>
      <c r="B1204" s="62" t="s">
        <v>585</v>
      </c>
      <c r="C1204" s="63"/>
      <c r="D1204" s="64"/>
      <c r="E1204" s="65"/>
      <c r="F1204" s="66"/>
      <c r="G1204" s="63"/>
      <c r="H1204" s="67"/>
      <c r="I1204" s="68"/>
      <c r="J1204" s="68"/>
      <c r="K1204" s="32"/>
      <c r="L1204" s="75">
        <v>1204</v>
      </c>
      <c r="M1204" s="75"/>
      <c r="N1204" s="70"/>
      <c r="O1204" s="77" t="s">
        <v>179</v>
      </c>
      <c r="P1204" s="79">
        <v>45175.388888888891</v>
      </c>
      <c r="Q1204" s="77" t="s">
        <v>1987</v>
      </c>
      <c r="R1204" s="77">
        <v>0</v>
      </c>
      <c r="S1204" s="77">
        <v>0</v>
      </c>
      <c r="T1204" s="77">
        <v>0</v>
      </c>
      <c r="U1204" s="77">
        <v>0</v>
      </c>
      <c r="V1204" s="77">
        <v>15</v>
      </c>
      <c r="W1204" s="82" t="s">
        <v>5451</v>
      </c>
      <c r="X1204" s="80" t="str">
        <f>HYPERLINK("https://www.diariodominho.pt/noticias/nacional/2023-09-06-juros-da-divida-sobem-a-dois-cinco-e-10-anos-64f8357e53d2b")</f>
        <v>https://www.diariodominho.pt/noticias/nacional/2023-09-06-juros-da-divida-sobem-a-dois-cinco-e-10-anos-64f8357e53d2b</v>
      </c>
      <c r="Y1204" s="77" t="s">
        <v>6541</v>
      </c>
      <c r="Z1204" s="77"/>
      <c r="AA1204" s="77"/>
      <c r="AB1204" s="77"/>
      <c r="AC1204" s="82" t="s">
        <v>7750</v>
      </c>
      <c r="AD1204" s="77" t="s">
        <v>7788</v>
      </c>
      <c r="AE1204" s="80" t="str">
        <f>HYPERLINK("https://twitter.com/diariodominho/status/1699351733086958018")</f>
        <v>https://twitter.com/diariodominho/status/1699351733086958018</v>
      </c>
      <c r="AF1204" s="79">
        <v>45175.388888888891</v>
      </c>
      <c r="AG1204" s="85">
        <v>45175</v>
      </c>
      <c r="AH1204" s="82" t="s">
        <v>8387</v>
      </c>
      <c r="AI1204" s="77" t="b">
        <v>0</v>
      </c>
      <c r="AJ1204" s="77"/>
      <c r="AK1204" s="77"/>
      <c r="AL1204" s="77"/>
      <c r="AM1204" s="77"/>
      <c r="AN1204" s="77"/>
      <c r="AO1204" s="77"/>
      <c r="AP1204" s="77"/>
      <c r="AQ1204" s="77"/>
      <c r="AR1204" s="77"/>
      <c r="AS1204" s="77"/>
      <c r="AT1204" s="77"/>
      <c r="AU1204" s="77"/>
      <c r="AV1204" s="80" t="str">
        <f>HYPERLINK("https://pbs.twimg.com/profile_images/1567188584997834756/gnZ16RIY_normal.jpg")</f>
        <v>https://pbs.twimg.com/profile_images/1567188584997834756/gnZ16RIY_normal.jpg</v>
      </c>
      <c r="AW1204" s="82" t="s">
        <v>12870</v>
      </c>
      <c r="AX1204" s="82" t="s">
        <v>12870</v>
      </c>
      <c r="AY1204" s="77"/>
      <c r="AZ1204" s="82" t="s">
        <v>15984</v>
      </c>
      <c r="BA1204" s="82" t="s">
        <v>15984</v>
      </c>
      <c r="BB1204" s="82" t="s">
        <v>15984</v>
      </c>
      <c r="BC1204" s="82" t="s">
        <v>12870</v>
      </c>
      <c r="BD1204" s="77">
        <v>130194940</v>
      </c>
      <c r="BE1204" s="77"/>
      <c r="BF1204" s="77"/>
      <c r="BG1204" s="77"/>
      <c r="BH1204" s="77"/>
      <c r="BI1204" s="77"/>
    </row>
    <row r="1205" spans="1:61" x14ac:dyDescent="0.25">
      <c r="A1205" s="62" t="s">
        <v>586</v>
      </c>
      <c r="B1205" s="62" t="s">
        <v>586</v>
      </c>
      <c r="C1205" s="63"/>
      <c r="D1205" s="64"/>
      <c r="E1205" s="65"/>
      <c r="F1205" s="66"/>
      <c r="G1205" s="63"/>
      <c r="H1205" s="67"/>
      <c r="I1205" s="68"/>
      <c r="J1205" s="68"/>
      <c r="K1205" s="32"/>
      <c r="L1205" s="75">
        <v>1205</v>
      </c>
      <c r="M1205" s="75"/>
      <c r="N1205" s="70"/>
      <c r="O1205" s="77" t="s">
        <v>179</v>
      </c>
      <c r="P1205" s="79">
        <v>45160.521273148152</v>
      </c>
      <c r="Q1205" s="77" t="s">
        <v>1988</v>
      </c>
      <c r="R1205" s="77">
        <v>0</v>
      </c>
      <c r="S1205" s="77">
        <v>0</v>
      </c>
      <c r="T1205" s="77">
        <v>0</v>
      </c>
      <c r="U1205" s="77">
        <v>0</v>
      </c>
      <c r="V1205" s="77">
        <v>27</v>
      </c>
      <c r="W1205" s="82" t="s">
        <v>5452</v>
      </c>
      <c r="X1205" s="77"/>
      <c r="Y1205" s="77"/>
      <c r="Z1205" s="77"/>
      <c r="AA1205" s="77"/>
      <c r="AB1205" s="77"/>
      <c r="AC1205" s="82" t="s">
        <v>7752</v>
      </c>
      <c r="AD1205" s="77" t="s">
        <v>7788</v>
      </c>
      <c r="AE1205" s="80" t="str">
        <f>HYPERLINK("https://twitter.com/suelencintra/status/1693963892253225020")</f>
        <v>https://twitter.com/suelencintra/status/1693963892253225020</v>
      </c>
      <c r="AF1205" s="79">
        <v>45160.521273148152</v>
      </c>
      <c r="AG1205" s="85">
        <v>45160</v>
      </c>
      <c r="AH1205" s="82" t="s">
        <v>8844</v>
      </c>
      <c r="AI1205" s="77"/>
      <c r="AJ1205" s="77"/>
      <c r="AK1205" s="77"/>
      <c r="AL1205" s="77"/>
      <c r="AM1205" s="77"/>
      <c r="AN1205" s="77"/>
      <c r="AO1205" s="77"/>
      <c r="AP1205" s="77"/>
      <c r="AQ1205" s="77"/>
      <c r="AR1205" s="77"/>
      <c r="AS1205" s="77"/>
      <c r="AT1205" s="77"/>
      <c r="AU1205" s="77"/>
      <c r="AV1205" s="80" t="str">
        <f>HYPERLINK("https://pbs.twimg.com/profile_images/1561046934177079301/qwYqySZb_normal.jpg")</f>
        <v>https://pbs.twimg.com/profile_images/1561046934177079301/qwYqySZb_normal.jpg</v>
      </c>
      <c r="AW1205" s="82" t="s">
        <v>12871</v>
      </c>
      <c r="AX1205" s="82" t="s">
        <v>12871</v>
      </c>
      <c r="AY1205" s="77"/>
      <c r="AZ1205" s="82" t="s">
        <v>15984</v>
      </c>
      <c r="BA1205" s="82" t="s">
        <v>15984</v>
      </c>
      <c r="BB1205" s="82" t="s">
        <v>15984</v>
      </c>
      <c r="BC1205" s="82" t="s">
        <v>12871</v>
      </c>
      <c r="BD1205" s="82" t="s">
        <v>16311</v>
      </c>
      <c r="BE1205" s="77"/>
      <c r="BF1205" s="77"/>
      <c r="BG1205" s="77"/>
      <c r="BH1205" s="77"/>
      <c r="BI1205" s="77"/>
    </row>
    <row r="1206" spans="1:61" x14ac:dyDescent="0.25">
      <c r="A1206" s="62" t="s">
        <v>587</v>
      </c>
      <c r="B1206" s="62" t="s">
        <v>587</v>
      </c>
      <c r="C1206" s="63"/>
      <c r="D1206" s="64"/>
      <c r="E1206" s="65"/>
      <c r="F1206" s="66"/>
      <c r="G1206" s="63"/>
      <c r="H1206" s="67"/>
      <c r="I1206" s="68"/>
      <c r="J1206" s="68"/>
      <c r="K1206" s="32"/>
      <c r="L1206" s="75">
        <v>1206</v>
      </c>
      <c r="M1206" s="75"/>
      <c r="N1206" s="70"/>
      <c r="O1206" s="77" t="s">
        <v>179</v>
      </c>
      <c r="P1206" s="79">
        <v>45153.618645833332</v>
      </c>
      <c r="Q1206" s="77" t="s">
        <v>1989</v>
      </c>
      <c r="R1206" s="77">
        <v>0</v>
      </c>
      <c r="S1206" s="77">
        <v>1</v>
      </c>
      <c r="T1206" s="77">
        <v>0</v>
      </c>
      <c r="U1206" s="77">
        <v>0</v>
      </c>
      <c r="V1206" s="77">
        <v>13</v>
      </c>
      <c r="W1206" s="82" t="s">
        <v>4821</v>
      </c>
      <c r="X1206" s="80" t="str">
        <f>HYPERLINK("https://shorturl.at/hjwOU")</f>
        <v>https://shorturl.at/hjwOU</v>
      </c>
      <c r="Y1206" s="77" t="s">
        <v>6542</v>
      </c>
      <c r="Z1206" s="77"/>
      <c r="AA1206" s="77"/>
      <c r="AB1206" s="77"/>
      <c r="AC1206" s="82" t="s">
        <v>7750</v>
      </c>
      <c r="AD1206" s="77" t="s">
        <v>7789</v>
      </c>
      <c r="AE1206" s="80" t="str">
        <f>HYPERLINK("https://twitter.com/430ambuzz/status/1691462463869640704")</f>
        <v>https://twitter.com/430ambuzz/status/1691462463869640704</v>
      </c>
      <c r="AF1206" s="79">
        <v>45153.618645833332</v>
      </c>
      <c r="AG1206" s="85">
        <v>45153</v>
      </c>
      <c r="AH1206" s="82" t="s">
        <v>8845</v>
      </c>
      <c r="AI1206" s="77" t="b">
        <v>0</v>
      </c>
      <c r="AJ1206" s="77"/>
      <c r="AK1206" s="77"/>
      <c r="AL1206" s="77"/>
      <c r="AM1206" s="77"/>
      <c r="AN1206" s="77"/>
      <c r="AO1206" s="77"/>
      <c r="AP1206" s="77"/>
      <c r="AQ1206" s="77"/>
      <c r="AR1206" s="77"/>
      <c r="AS1206" s="77"/>
      <c r="AT1206" s="77"/>
      <c r="AU1206" s="77"/>
      <c r="AV1206" s="80" t="str">
        <f>HYPERLINK("https://pbs.twimg.com/profile_images/1687053712416772096/PuISJMEQ_normal.jpg")</f>
        <v>https://pbs.twimg.com/profile_images/1687053712416772096/PuISJMEQ_normal.jpg</v>
      </c>
      <c r="AW1206" s="82" t="s">
        <v>12872</v>
      </c>
      <c r="AX1206" s="82" t="s">
        <v>12872</v>
      </c>
      <c r="AY1206" s="77"/>
      <c r="AZ1206" s="82" t="s">
        <v>15984</v>
      </c>
      <c r="BA1206" s="82" t="s">
        <v>15984</v>
      </c>
      <c r="BB1206" s="82" t="s">
        <v>15984</v>
      </c>
      <c r="BC1206" s="82" t="s">
        <v>12872</v>
      </c>
      <c r="BD1206" s="82" t="s">
        <v>16312</v>
      </c>
      <c r="BE1206" s="77"/>
      <c r="BF1206" s="77"/>
      <c r="BG1206" s="77"/>
      <c r="BH1206" s="77"/>
      <c r="BI1206" s="77"/>
    </row>
    <row r="1207" spans="1:61" x14ac:dyDescent="0.25">
      <c r="A1207" s="62" t="s">
        <v>588</v>
      </c>
      <c r="B1207" s="62" t="s">
        <v>588</v>
      </c>
      <c r="C1207" s="63"/>
      <c r="D1207" s="64"/>
      <c r="E1207" s="65"/>
      <c r="F1207" s="66"/>
      <c r="G1207" s="63"/>
      <c r="H1207" s="67"/>
      <c r="I1207" s="68"/>
      <c r="J1207" s="68"/>
      <c r="K1207" s="32"/>
      <c r="L1207" s="75">
        <v>1207</v>
      </c>
      <c r="M1207" s="75"/>
      <c r="N1207" s="70"/>
      <c r="O1207" s="77" t="s">
        <v>179</v>
      </c>
      <c r="P1207" s="79">
        <v>45170.874490740738</v>
      </c>
      <c r="Q1207" s="77" t="s">
        <v>1990</v>
      </c>
      <c r="R1207" s="77">
        <v>0</v>
      </c>
      <c r="S1207" s="77">
        <v>0</v>
      </c>
      <c r="T1207" s="77">
        <v>0</v>
      </c>
      <c r="U1207" s="77">
        <v>0</v>
      </c>
      <c r="V1207" s="77">
        <v>5</v>
      </c>
      <c r="W1207" s="82" t="s">
        <v>5453</v>
      </c>
      <c r="X1207" s="77"/>
      <c r="Y1207" s="77"/>
      <c r="Z1207" s="77"/>
      <c r="AA1207" s="77" t="s">
        <v>7319</v>
      </c>
      <c r="AB1207" s="77" t="s">
        <v>7742</v>
      </c>
      <c r="AC1207" s="82" t="s">
        <v>7751</v>
      </c>
      <c r="AD1207" s="77" t="s">
        <v>7790</v>
      </c>
      <c r="AE1207" s="80" t="str">
        <f>HYPERLINK("https://twitter.com/drcrypto2023/status/1697715771743289776")</f>
        <v>https://twitter.com/drcrypto2023/status/1697715771743289776</v>
      </c>
      <c r="AF1207" s="79">
        <v>45170.874490740738</v>
      </c>
      <c r="AG1207" s="85">
        <v>45170</v>
      </c>
      <c r="AH1207" s="82" t="s">
        <v>8846</v>
      </c>
      <c r="AI1207" s="77" t="b">
        <v>0</v>
      </c>
      <c r="AJ1207" s="77"/>
      <c r="AK1207" s="77"/>
      <c r="AL1207" s="77"/>
      <c r="AM1207" s="77"/>
      <c r="AN1207" s="77"/>
      <c r="AO1207" s="77"/>
      <c r="AP1207" s="77"/>
      <c r="AQ1207" s="77" t="s">
        <v>11291</v>
      </c>
      <c r="AR1207" s="77"/>
      <c r="AS1207" s="77"/>
      <c r="AT1207" s="77"/>
      <c r="AU1207" s="77"/>
      <c r="AV1207" s="80" t="str">
        <f>HYPERLINK("https://pbs.twimg.com/media/F49_fiHX0AAijVz.jpg")</f>
        <v>https://pbs.twimg.com/media/F49_fiHX0AAijVz.jpg</v>
      </c>
      <c r="AW1207" s="82" t="s">
        <v>12873</v>
      </c>
      <c r="AX1207" s="82" t="s">
        <v>12873</v>
      </c>
      <c r="AY1207" s="77"/>
      <c r="AZ1207" s="82" t="s">
        <v>15984</v>
      </c>
      <c r="BA1207" s="82" t="s">
        <v>15984</v>
      </c>
      <c r="BB1207" s="82" t="s">
        <v>15984</v>
      </c>
      <c r="BC1207" s="82" t="s">
        <v>12873</v>
      </c>
      <c r="BD1207" s="77">
        <v>364017930</v>
      </c>
      <c r="BE1207" s="77"/>
      <c r="BF1207" s="77"/>
      <c r="BG1207" s="77"/>
      <c r="BH1207" s="77"/>
      <c r="BI1207" s="77"/>
    </row>
    <row r="1208" spans="1:61" x14ac:dyDescent="0.25">
      <c r="A1208" s="62" t="s">
        <v>589</v>
      </c>
      <c r="B1208" s="62" t="s">
        <v>589</v>
      </c>
      <c r="C1208" s="63"/>
      <c r="D1208" s="64"/>
      <c r="E1208" s="65"/>
      <c r="F1208" s="66"/>
      <c r="G1208" s="63"/>
      <c r="H1208" s="67"/>
      <c r="I1208" s="68"/>
      <c r="J1208" s="68"/>
      <c r="K1208" s="32"/>
      <c r="L1208" s="75">
        <v>1208</v>
      </c>
      <c r="M1208" s="75"/>
      <c r="N1208" s="70"/>
      <c r="O1208" s="77" t="s">
        <v>179</v>
      </c>
      <c r="P1208" s="79">
        <v>45121.659074074072</v>
      </c>
      <c r="Q1208" s="77" t="s">
        <v>1991</v>
      </c>
      <c r="R1208" s="77">
        <v>4</v>
      </c>
      <c r="S1208" s="77">
        <v>26</v>
      </c>
      <c r="T1208" s="77">
        <v>3</v>
      </c>
      <c r="U1208" s="77">
        <v>0</v>
      </c>
      <c r="V1208" s="77">
        <v>981</v>
      </c>
      <c r="W1208" s="82" t="s">
        <v>5454</v>
      </c>
      <c r="X1208" s="77"/>
      <c r="Y1208" s="77"/>
      <c r="Z1208" s="77"/>
      <c r="AA1208" s="77" t="s">
        <v>7320</v>
      </c>
      <c r="AB1208" s="77" t="s">
        <v>7742</v>
      </c>
      <c r="AC1208" s="82" t="s">
        <v>7752</v>
      </c>
      <c r="AD1208" s="77" t="s">
        <v>7788</v>
      </c>
      <c r="AE1208" s="80" t="str">
        <f>HYPERLINK("https://twitter.com/arthurmining/status/1679880700084772865")</f>
        <v>https://twitter.com/arthurmining/status/1679880700084772865</v>
      </c>
      <c r="AF1208" s="79">
        <v>45121.659074074072</v>
      </c>
      <c r="AG1208" s="85">
        <v>45121</v>
      </c>
      <c r="AH1208" s="82" t="s">
        <v>8847</v>
      </c>
      <c r="AI1208" s="77" t="b">
        <v>0</v>
      </c>
      <c r="AJ1208" s="77"/>
      <c r="AK1208" s="77"/>
      <c r="AL1208" s="77"/>
      <c r="AM1208" s="77"/>
      <c r="AN1208" s="77"/>
      <c r="AO1208" s="77"/>
      <c r="AP1208" s="77"/>
      <c r="AQ1208" s="77" t="s">
        <v>11292</v>
      </c>
      <c r="AR1208" s="77"/>
      <c r="AS1208" s="77"/>
      <c r="AT1208" s="77"/>
      <c r="AU1208" s="77"/>
      <c r="AV1208" s="80" t="str">
        <f>HYPERLINK("https://pbs.twimg.com/media/F1AikDfWYAEOCyi.jpg")</f>
        <v>https://pbs.twimg.com/media/F1AikDfWYAEOCyi.jpg</v>
      </c>
      <c r="AW1208" s="82" t="s">
        <v>12874</v>
      </c>
      <c r="AX1208" s="82" t="s">
        <v>12874</v>
      </c>
      <c r="AY1208" s="77"/>
      <c r="AZ1208" s="82" t="s">
        <v>15984</v>
      </c>
      <c r="BA1208" s="82" t="s">
        <v>15984</v>
      </c>
      <c r="BB1208" s="82" t="s">
        <v>15984</v>
      </c>
      <c r="BC1208" s="82" t="s">
        <v>12874</v>
      </c>
      <c r="BD1208" s="82" t="s">
        <v>16313</v>
      </c>
      <c r="BE1208" s="77"/>
      <c r="BF1208" s="77"/>
      <c r="BG1208" s="77"/>
      <c r="BH1208" s="77"/>
      <c r="BI1208" s="77"/>
    </row>
    <row r="1209" spans="1:61" x14ac:dyDescent="0.25">
      <c r="A1209" s="62" t="s">
        <v>590</v>
      </c>
      <c r="B1209" s="62" t="s">
        <v>590</v>
      </c>
      <c r="C1209" s="63"/>
      <c r="D1209" s="64"/>
      <c r="E1209" s="65"/>
      <c r="F1209" s="66"/>
      <c r="G1209" s="63"/>
      <c r="H1209" s="67"/>
      <c r="I1209" s="68"/>
      <c r="J1209" s="68"/>
      <c r="K1209" s="32"/>
      <c r="L1209" s="75">
        <v>1209</v>
      </c>
      <c r="M1209" s="75"/>
      <c r="N1209" s="70"/>
      <c r="O1209" s="77" t="s">
        <v>179</v>
      </c>
      <c r="P1209" s="79">
        <v>45197.454560185186</v>
      </c>
      <c r="Q1209" s="77" t="s">
        <v>1992</v>
      </c>
      <c r="R1209" s="77">
        <v>0</v>
      </c>
      <c r="S1209" s="77">
        <v>5</v>
      </c>
      <c r="T1209" s="77">
        <v>0</v>
      </c>
      <c r="U1209" s="77">
        <v>0</v>
      </c>
      <c r="V1209" s="77">
        <v>13</v>
      </c>
      <c r="W1209" s="82" t="s">
        <v>5455</v>
      </c>
      <c r="X1209" s="77"/>
      <c r="Y1209" s="77"/>
      <c r="Z1209" s="77"/>
      <c r="AA1209" s="77" t="s">
        <v>7321</v>
      </c>
      <c r="AB1209" s="77" t="s">
        <v>7742</v>
      </c>
      <c r="AC1209" s="82" t="s">
        <v>7752</v>
      </c>
      <c r="AD1209" s="77" t="s">
        <v>7788</v>
      </c>
      <c r="AE1209" s="80" t="str">
        <f>HYPERLINK("https://twitter.com/falconcampinas/status/1707348067723129234")</f>
        <v>https://twitter.com/falconcampinas/status/1707348067723129234</v>
      </c>
      <c r="AF1209" s="79">
        <v>45197.454560185186</v>
      </c>
      <c r="AG1209" s="85">
        <v>45197</v>
      </c>
      <c r="AH1209" s="82" t="s">
        <v>8848</v>
      </c>
      <c r="AI1209" s="77" t="b">
        <v>0</v>
      </c>
      <c r="AJ1209" s="77"/>
      <c r="AK1209" s="77"/>
      <c r="AL1209" s="77"/>
      <c r="AM1209" s="77"/>
      <c r="AN1209" s="77"/>
      <c r="AO1209" s="77"/>
      <c r="AP1209" s="77"/>
      <c r="AQ1209" s="77" t="s">
        <v>11293</v>
      </c>
      <c r="AR1209" s="77"/>
      <c r="AS1209" s="77"/>
      <c r="AT1209" s="77"/>
      <c r="AU1209" s="77"/>
      <c r="AV1209" s="80" t="str">
        <f>HYPERLINK("https://pbs.twimg.com/media/F7G4BGeWMAAMSD0.jpg")</f>
        <v>https://pbs.twimg.com/media/F7G4BGeWMAAMSD0.jpg</v>
      </c>
      <c r="AW1209" s="82" t="s">
        <v>12875</v>
      </c>
      <c r="AX1209" s="82" t="s">
        <v>12875</v>
      </c>
      <c r="AY1209" s="77"/>
      <c r="AZ1209" s="82" t="s">
        <v>15984</v>
      </c>
      <c r="BA1209" s="82" t="s">
        <v>15984</v>
      </c>
      <c r="BB1209" s="82" t="s">
        <v>15984</v>
      </c>
      <c r="BC1209" s="82" t="s">
        <v>12875</v>
      </c>
      <c r="BD1209" s="82" t="s">
        <v>16314</v>
      </c>
      <c r="BE1209" s="77"/>
      <c r="BF1209" s="77"/>
      <c r="BG1209" s="77"/>
      <c r="BH1209" s="77"/>
      <c r="BI1209" s="77"/>
    </row>
    <row r="1210" spans="1:61" x14ac:dyDescent="0.25">
      <c r="A1210" s="62" t="s">
        <v>590</v>
      </c>
      <c r="B1210" s="62" t="s">
        <v>590</v>
      </c>
      <c r="C1210" s="63"/>
      <c r="D1210" s="64"/>
      <c r="E1210" s="65"/>
      <c r="F1210" s="66"/>
      <c r="G1210" s="63"/>
      <c r="H1210" s="67"/>
      <c r="I1210" s="68"/>
      <c r="J1210" s="68"/>
      <c r="K1210" s="32"/>
      <c r="L1210" s="75">
        <v>1210</v>
      </c>
      <c r="M1210" s="75"/>
      <c r="N1210" s="70"/>
      <c r="O1210" s="77" t="s">
        <v>179</v>
      </c>
      <c r="P1210" s="79">
        <v>45167.030682870369</v>
      </c>
      <c r="Q1210" s="77" t="s">
        <v>1993</v>
      </c>
      <c r="R1210" s="77">
        <v>0</v>
      </c>
      <c r="S1210" s="77">
        <v>4</v>
      </c>
      <c r="T1210" s="77">
        <v>0</v>
      </c>
      <c r="U1210" s="77">
        <v>0</v>
      </c>
      <c r="V1210" s="77">
        <v>50</v>
      </c>
      <c r="W1210" s="82" t="s">
        <v>4839</v>
      </c>
      <c r="X1210" s="77"/>
      <c r="Y1210" s="77"/>
      <c r="Z1210" s="77"/>
      <c r="AA1210" s="77" t="s">
        <v>7322</v>
      </c>
      <c r="AB1210" s="77" t="s">
        <v>7747</v>
      </c>
      <c r="AC1210" s="82" t="s">
        <v>7752</v>
      </c>
      <c r="AD1210" s="77" t="s">
        <v>7788</v>
      </c>
      <c r="AE1210" s="80" t="str">
        <f>HYPERLINK("https://twitter.com/falconcampinas/status/1696322821318746403")</f>
        <v>https://twitter.com/falconcampinas/status/1696322821318746403</v>
      </c>
      <c r="AF1210" s="79">
        <v>45167.030682870369</v>
      </c>
      <c r="AG1210" s="85">
        <v>45167</v>
      </c>
      <c r="AH1210" s="82" t="s">
        <v>8849</v>
      </c>
      <c r="AI1210" s="77" t="b">
        <v>0</v>
      </c>
      <c r="AJ1210" s="77"/>
      <c r="AK1210" s="77"/>
      <c r="AL1210" s="77"/>
      <c r="AM1210" s="77"/>
      <c r="AN1210" s="77"/>
      <c r="AO1210" s="77"/>
      <c r="AP1210" s="77"/>
      <c r="AQ1210" s="77" t="s">
        <v>11294</v>
      </c>
      <c r="AR1210" s="77"/>
      <c r="AS1210" s="77"/>
      <c r="AT1210" s="77"/>
      <c r="AU1210" s="77"/>
      <c r="AV1210" s="80" t="str">
        <f>HYPERLINK("https://pbs.twimg.com/media/F4qMnTwWsAA_C8v.jpg")</f>
        <v>https://pbs.twimg.com/media/F4qMnTwWsAA_C8v.jpg</v>
      </c>
      <c r="AW1210" s="82" t="s">
        <v>12876</v>
      </c>
      <c r="AX1210" s="82" t="s">
        <v>12876</v>
      </c>
      <c r="AY1210" s="77"/>
      <c r="AZ1210" s="82" t="s">
        <v>15984</v>
      </c>
      <c r="BA1210" s="82" t="s">
        <v>15984</v>
      </c>
      <c r="BB1210" s="82" t="s">
        <v>15984</v>
      </c>
      <c r="BC1210" s="82" t="s">
        <v>12876</v>
      </c>
      <c r="BD1210" s="82" t="s">
        <v>16314</v>
      </c>
      <c r="BE1210" s="77"/>
      <c r="BF1210" s="77"/>
      <c r="BG1210" s="77"/>
      <c r="BH1210" s="77"/>
      <c r="BI1210" s="77"/>
    </row>
    <row r="1211" spans="1:61" x14ac:dyDescent="0.25">
      <c r="A1211" s="62" t="s">
        <v>591</v>
      </c>
      <c r="B1211" s="62" t="s">
        <v>730</v>
      </c>
      <c r="C1211" s="63"/>
      <c r="D1211" s="64"/>
      <c r="E1211" s="65"/>
      <c r="F1211" s="66"/>
      <c r="G1211" s="63"/>
      <c r="H1211" s="67"/>
      <c r="I1211" s="68"/>
      <c r="J1211" s="68"/>
      <c r="K1211" s="32"/>
      <c r="L1211" s="75">
        <v>1211</v>
      </c>
      <c r="M1211" s="75"/>
      <c r="N1211" s="70"/>
      <c r="O1211" s="77" t="s">
        <v>897</v>
      </c>
      <c r="P1211" s="79">
        <v>45197.108749999999</v>
      </c>
      <c r="Q1211" s="77" t="s">
        <v>1994</v>
      </c>
      <c r="R1211" s="77">
        <v>3</v>
      </c>
      <c r="S1211" s="77">
        <v>0</v>
      </c>
      <c r="T1211" s="77">
        <v>0</v>
      </c>
      <c r="U1211" s="77">
        <v>0</v>
      </c>
      <c r="V1211" s="77"/>
      <c r="W1211" s="82" t="s">
        <v>5456</v>
      </c>
      <c r="X1211" s="77"/>
      <c r="Y1211" s="77"/>
      <c r="Z1211" s="77" t="s">
        <v>730</v>
      </c>
      <c r="AA1211" s="77"/>
      <c r="AB1211" s="77"/>
      <c r="AC1211" s="82" t="s">
        <v>7751</v>
      </c>
      <c r="AD1211" s="77" t="s">
        <v>7788</v>
      </c>
      <c r="AE1211" s="80" t="str">
        <f>HYPERLINK("https://twitter.com/cesargonandy/status/1707222749452624048")</f>
        <v>https://twitter.com/cesargonandy/status/1707222749452624048</v>
      </c>
      <c r="AF1211" s="79">
        <v>45197.108749999999</v>
      </c>
      <c r="AG1211" s="85">
        <v>45197</v>
      </c>
      <c r="AH1211" s="82" t="s">
        <v>8850</v>
      </c>
      <c r="AI1211" s="77"/>
      <c r="AJ1211" s="77"/>
      <c r="AK1211" s="77"/>
      <c r="AL1211" s="77"/>
      <c r="AM1211" s="77"/>
      <c r="AN1211" s="77"/>
      <c r="AO1211" s="77"/>
      <c r="AP1211" s="77"/>
      <c r="AQ1211" s="77"/>
      <c r="AR1211" s="77"/>
      <c r="AS1211" s="77"/>
      <c r="AT1211" s="77"/>
      <c r="AU1211" s="77"/>
      <c r="AV1211" s="80" t="str">
        <f>HYPERLINK("https://pbs.twimg.com/profile_images/1647723268244140035/3awIUq4D_normal.jpg")</f>
        <v>https://pbs.twimg.com/profile_images/1647723268244140035/3awIUq4D_normal.jpg</v>
      </c>
      <c r="AW1211" s="82" t="s">
        <v>12877</v>
      </c>
      <c r="AX1211" s="82" t="s">
        <v>12877</v>
      </c>
      <c r="AY1211" s="77"/>
      <c r="AZ1211" s="82" t="s">
        <v>15984</v>
      </c>
      <c r="BA1211" s="82" t="s">
        <v>15984</v>
      </c>
      <c r="BB1211" s="82" t="s">
        <v>15351</v>
      </c>
      <c r="BC1211" s="82" t="s">
        <v>15351</v>
      </c>
      <c r="BD1211" s="82" t="s">
        <v>16315</v>
      </c>
      <c r="BE1211" s="77"/>
      <c r="BF1211" s="77"/>
      <c r="BG1211" s="77"/>
      <c r="BH1211" s="77"/>
      <c r="BI1211" s="77"/>
    </row>
    <row r="1212" spans="1:61" x14ac:dyDescent="0.25">
      <c r="A1212" s="62" t="s">
        <v>592</v>
      </c>
      <c r="B1212" s="62" t="s">
        <v>592</v>
      </c>
      <c r="C1212" s="63"/>
      <c r="D1212" s="64"/>
      <c r="E1212" s="65"/>
      <c r="F1212" s="66"/>
      <c r="G1212" s="63"/>
      <c r="H1212" s="67"/>
      <c r="I1212" s="68"/>
      <c r="J1212" s="68"/>
      <c r="K1212" s="32"/>
      <c r="L1212" s="75">
        <v>1212</v>
      </c>
      <c r="M1212" s="75"/>
      <c r="N1212" s="70"/>
      <c r="O1212" s="77" t="s">
        <v>179</v>
      </c>
      <c r="P1212" s="79">
        <v>45176.598263888889</v>
      </c>
      <c r="Q1212" s="77" t="s">
        <v>1995</v>
      </c>
      <c r="R1212" s="77">
        <v>0</v>
      </c>
      <c r="S1212" s="77">
        <v>0</v>
      </c>
      <c r="T1212" s="77">
        <v>0</v>
      </c>
      <c r="U1212" s="77">
        <v>0</v>
      </c>
      <c r="V1212" s="77">
        <v>65</v>
      </c>
      <c r="W1212" s="82" t="s">
        <v>5457</v>
      </c>
      <c r="X1212" s="77"/>
      <c r="Y1212" s="77"/>
      <c r="Z1212" s="77"/>
      <c r="AA1212" s="77"/>
      <c r="AB1212" s="77"/>
      <c r="AC1212" s="82" t="s">
        <v>7751</v>
      </c>
      <c r="AD1212" s="77" t="s">
        <v>7788</v>
      </c>
      <c r="AE1212" s="80" t="str">
        <f>HYPERLINK("https://twitter.com/daanseloni/status/1699789996079943861")</f>
        <v>https://twitter.com/daanseloni/status/1699789996079943861</v>
      </c>
      <c r="AF1212" s="79">
        <v>45176.598263888889</v>
      </c>
      <c r="AG1212" s="85">
        <v>45176</v>
      </c>
      <c r="AH1212" s="82" t="s">
        <v>8851</v>
      </c>
      <c r="AI1212" s="77"/>
      <c r="AJ1212" s="77"/>
      <c r="AK1212" s="77"/>
      <c r="AL1212" s="77"/>
      <c r="AM1212" s="77"/>
      <c r="AN1212" s="77"/>
      <c r="AO1212" s="77"/>
      <c r="AP1212" s="77"/>
      <c r="AQ1212" s="77"/>
      <c r="AR1212" s="77"/>
      <c r="AS1212" s="77"/>
      <c r="AT1212" s="77"/>
      <c r="AU1212" s="77"/>
      <c r="AV1212" s="80" t="str">
        <f>HYPERLINK("https://pbs.twimg.com/profile_images/1701158285980659712/BUYtTWsH_normal.jpg")</f>
        <v>https://pbs.twimg.com/profile_images/1701158285980659712/BUYtTWsH_normal.jpg</v>
      </c>
      <c r="AW1212" s="82" t="s">
        <v>12878</v>
      </c>
      <c r="AX1212" s="82" t="s">
        <v>12878</v>
      </c>
      <c r="AY1212" s="77"/>
      <c r="AZ1212" s="82" t="s">
        <v>15984</v>
      </c>
      <c r="BA1212" s="82" t="s">
        <v>15984</v>
      </c>
      <c r="BB1212" s="82" t="s">
        <v>15984</v>
      </c>
      <c r="BC1212" s="82" t="s">
        <v>12878</v>
      </c>
      <c r="BD1212" s="82" t="s">
        <v>16316</v>
      </c>
      <c r="BE1212" s="77"/>
      <c r="BF1212" s="77"/>
      <c r="BG1212" s="77"/>
      <c r="BH1212" s="77"/>
      <c r="BI1212" s="77"/>
    </row>
    <row r="1213" spans="1:61" x14ac:dyDescent="0.25">
      <c r="A1213" s="62" t="s">
        <v>593</v>
      </c>
      <c r="B1213" s="62" t="s">
        <v>387</v>
      </c>
      <c r="C1213" s="63"/>
      <c r="D1213" s="64"/>
      <c r="E1213" s="65"/>
      <c r="F1213" s="66"/>
      <c r="G1213" s="63"/>
      <c r="H1213" s="67"/>
      <c r="I1213" s="68"/>
      <c r="J1213" s="68"/>
      <c r="K1213" s="32"/>
      <c r="L1213" s="75">
        <v>1213</v>
      </c>
      <c r="M1213" s="75"/>
      <c r="N1213" s="70"/>
      <c r="O1213" s="77" t="s">
        <v>897</v>
      </c>
      <c r="P1213" s="79">
        <v>45196.814062500001</v>
      </c>
      <c r="Q1213" s="77" t="s">
        <v>1996</v>
      </c>
      <c r="R1213" s="77">
        <v>1</v>
      </c>
      <c r="S1213" s="77">
        <v>0</v>
      </c>
      <c r="T1213" s="77">
        <v>0</v>
      </c>
      <c r="U1213" s="77">
        <v>0</v>
      </c>
      <c r="V1213" s="77"/>
      <c r="W1213" s="77"/>
      <c r="X1213" s="77"/>
      <c r="Y1213" s="77"/>
      <c r="Z1213" s="77" t="s">
        <v>387</v>
      </c>
      <c r="AA1213" s="77"/>
      <c r="AB1213" s="77"/>
      <c r="AC1213" s="82" t="s">
        <v>7752</v>
      </c>
      <c r="AD1213" s="77" t="s">
        <v>7788</v>
      </c>
      <c r="AE1213" s="80" t="str">
        <f>HYPERLINK("https://twitter.com/edimosip/status/1707115958467219818")</f>
        <v>https://twitter.com/edimosip/status/1707115958467219818</v>
      </c>
      <c r="AF1213" s="79">
        <v>45196.814062500001</v>
      </c>
      <c r="AG1213" s="85">
        <v>45196</v>
      </c>
      <c r="AH1213" s="82" t="s">
        <v>8852</v>
      </c>
      <c r="AI1213" s="77" t="b">
        <v>0</v>
      </c>
      <c r="AJ1213" s="77"/>
      <c r="AK1213" s="77"/>
      <c r="AL1213" s="77"/>
      <c r="AM1213" s="77"/>
      <c r="AN1213" s="77"/>
      <c r="AO1213" s="77"/>
      <c r="AP1213" s="77"/>
      <c r="AQ1213" s="77"/>
      <c r="AR1213" s="77"/>
      <c r="AS1213" s="77"/>
      <c r="AT1213" s="77"/>
      <c r="AU1213" s="77"/>
      <c r="AV1213" s="80" t="str">
        <f>HYPERLINK("https://pbs.twimg.com/profile_images/1168112477458096128/DSsQ-F6a_normal.jpg")</f>
        <v>https://pbs.twimg.com/profile_images/1168112477458096128/DSsQ-F6a_normal.jpg</v>
      </c>
      <c r="AW1213" s="82" t="s">
        <v>12879</v>
      </c>
      <c r="AX1213" s="82" t="s">
        <v>12879</v>
      </c>
      <c r="AY1213" s="77"/>
      <c r="AZ1213" s="82" t="s">
        <v>15984</v>
      </c>
      <c r="BA1213" s="82" t="s">
        <v>15984</v>
      </c>
      <c r="BB1213" s="82" t="s">
        <v>14933</v>
      </c>
      <c r="BC1213" s="82" t="s">
        <v>14933</v>
      </c>
      <c r="BD1213" s="77">
        <v>26230407</v>
      </c>
      <c r="BE1213" s="77"/>
      <c r="BF1213" s="77"/>
      <c r="BG1213" s="77"/>
      <c r="BH1213" s="77"/>
      <c r="BI1213" s="77"/>
    </row>
    <row r="1214" spans="1:61" x14ac:dyDescent="0.25">
      <c r="A1214" s="62" t="s">
        <v>594</v>
      </c>
      <c r="B1214" s="62" t="s">
        <v>594</v>
      </c>
      <c r="C1214" s="63"/>
      <c r="D1214" s="64"/>
      <c r="E1214" s="65"/>
      <c r="F1214" s="66"/>
      <c r="G1214" s="63"/>
      <c r="H1214" s="67"/>
      <c r="I1214" s="68"/>
      <c r="J1214" s="68"/>
      <c r="K1214" s="32"/>
      <c r="L1214" s="75">
        <v>1214</v>
      </c>
      <c r="M1214" s="75"/>
      <c r="N1214" s="70"/>
      <c r="O1214" s="77" t="s">
        <v>179</v>
      </c>
      <c r="P1214" s="79">
        <v>45192.549189814818</v>
      </c>
      <c r="Q1214" s="77" t="s">
        <v>1014</v>
      </c>
      <c r="R1214" s="77">
        <v>0</v>
      </c>
      <c r="S1214" s="77">
        <v>0</v>
      </c>
      <c r="T1214" s="77">
        <v>0</v>
      </c>
      <c r="U1214" s="77">
        <v>0</v>
      </c>
      <c r="V1214" s="77">
        <v>10</v>
      </c>
      <c r="W1214" s="82" t="s">
        <v>4849</v>
      </c>
      <c r="X1214" s="77"/>
      <c r="Y1214" s="77"/>
      <c r="Z1214" s="77"/>
      <c r="AA1214" s="77"/>
      <c r="AB1214" s="77"/>
      <c r="AC1214" s="82" t="s">
        <v>7750</v>
      </c>
      <c r="AD1214" s="77" t="s">
        <v>7789</v>
      </c>
      <c r="AE1214" s="80" t="str">
        <f>HYPERLINK("https://twitter.com/confidenttrade3/status/1705570417841160262")</f>
        <v>https://twitter.com/confidenttrade3/status/1705570417841160262</v>
      </c>
      <c r="AF1214" s="79">
        <v>45192.549189814818</v>
      </c>
      <c r="AG1214" s="85">
        <v>45192</v>
      </c>
      <c r="AH1214" s="82" t="s">
        <v>8853</v>
      </c>
      <c r="AI1214" s="77"/>
      <c r="AJ1214" s="77"/>
      <c r="AK1214" s="77"/>
      <c r="AL1214" s="77"/>
      <c r="AM1214" s="77"/>
      <c r="AN1214" s="77"/>
      <c r="AO1214" s="77"/>
      <c r="AP1214" s="77"/>
      <c r="AQ1214" s="77"/>
      <c r="AR1214" s="77"/>
      <c r="AS1214" s="77"/>
      <c r="AT1214" s="77"/>
      <c r="AU1214" s="77"/>
      <c r="AV1214" s="80" t="str">
        <f>HYPERLINK("https://pbs.twimg.com/profile_images/1699367784004583424/O5918_wm_normal.jpg")</f>
        <v>https://pbs.twimg.com/profile_images/1699367784004583424/O5918_wm_normal.jpg</v>
      </c>
      <c r="AW1214" s="82" t="s">
        <v>12880</v>
      </c>
      <c r="AX1214" s="82" t="s">
        <v>12880</v>
      </c>
      <c r="AY1214" s="77"/>
      <c r="AZ1214" s="82" t="s">
        <v>15984</v>
      </c>
      <c r="BA1214" s="82" t="s">
        <v>15984</v>
      </c>
      <c r="BB1214" s="82" t="s">
        <v>15984</v>
      </c>
      <c r="BC1214" s="82" t="s">
        <v>12880</v>
      </c>
      <c r="BD1214" s="82" t="s">
        <v>16317</v>
      </c>
      <c r="BE1214" s="77"/>
      <c r="BF1214" s="77"/>
      <c r="BG1214" s="77"/>
      <c r="BH1214" s="77"/>
      <c r="BI1214" s="77"/>
    </row>
    <row r="1215" spans="1:61" x14ac:dyDescent="0.25">
      <c r="A1215" s="62" t="s">
        <v>595</v>
      </c>
      <c r="B1215" s="62" t="s">
        <v>595</v>
      </c>
      <c r="C1215" s="63"/>
      <c r="D1215" s="64"/>
      <c r="E1215" s="65"/>
      <c r="F1215" s="66"/>
      <c r="G1215" s="63"/>
      <c r="H1215" s="67"/>
      <c r="I1215" s="68"/>
      <c r="J1215" s="68"/>
      <c r="K1215" s="32"/>
      <c r="L1215" s="75">
        <v>1215</v>
      </c>
      <c r="M1215" s="75"/>
      <c r="N1215" s="70"/>
      <c r="O1215" s="77" t="s">
        <v>179</v>
      </c>
      <c r="P1215" s="79">
        <v>45175.386550925927</v>
      </c>
      <c r="Q1215" s="77" t="s">
        <v>1997</v>
      </c>
      <c r="R1215" s="77">
        <v>0</v>
      </c>
      <c r="S1215" s="77">
        <v>0</v>
      </c>
      <c r="T1215" s="77">
        <v>1</v>
      </c>
      <c r="U1215" s="77">
        <v>0</v>
      </c>
      <c r="V1215" s="77">
        <v>266</v>
      </c>
      <c r="W1215" s="82" t="s">
        <v>4861</v>
      </c>
      <c r="X1215" s="77"/>
      <c r="Y1215" s="77"/>
      <c r="Z1215" s="77"/>
      <c r="AA1215" s="77" t="s">
        <v>7323</v>
      </c>
      <c r="AB1215" s="77" t="s">
        <v>7742</v>
      </c>
      <c r="AC1215" s="82" t="s">
        <v>7750</v>
      </c>
      <c r="AD1215" s="77" t="s">
        <v>7790</v>
      </c>
      <c r="AE1215" s="80" t="str">
        <f>HYPERLINK("https://twitter.com/jose_gruporc/status/1699350887146135820")</f>
        <v>https://twitter.com/jose_gruporc/status/1699350887146135820</v>
      </c>
      <c r="AF1215" s="79">
        <v>45175.386550925927</v>
      </c>
      <c r="AG1215" s="85">
        <v>45175</v>
      </c>
      <c r="AH1215" s="82" t="s">
        <v>8854</v>
      </c>
      <c r="AI1215" s="77" t="b">
        <v>0</v>
      </c>
      <c r="AJ1215" s="77"/>
      <c r="AK1215" s="77"/>
      <c r="AL1215" s="77"/>
      <c r="AM1215" s="77"/>
      <c r="AN1215" s="77"/>
      <c r="AO1215" s="77"/>
      <c r="AP1215" s="77"/>
      <c r="AQ1215" s="77" t="s">
        <v>11295</v>
      </c>
      <c r="AR1215" s="77"/>
      <c r="AS1215" s="77"/>
      <c r="AT1215" s="77"/>
      <c r="AU1215" s="77"/>
      <c r="AV1215" s="80" t="str">
        <f>HYPERLINK("https://pbs.twimg.com/media/F5VLt38WwAARsRP.jpg")</f>
        <v>https://pbs.twimg.com/media/F5VLt38WwAARsRP.jpg</v>
      </c>
      <c r="AW1215" s="82" t="s">
        <v>12881</v>
      </c>
      <c r="AX1215" s="82" t="s">
        <v>12881</v>
      </c>
      <c r="AY1215" s="77"/>
      <c r="AZ1215" s="82" t="s">
        <v>15984</v>
      </c>
      <c r="BA1215" s="82" t="s">
        <v>15984</v>
      </c>
      <c r="BB1215" s="82" t="s">
        <v>15984</v>
      </c>
      <c r="BC1215" s="82" t="s">
        <v>12881</v>
      </c>
      <c r="BD1215" s="77">
        <v>552572110</v>
      </c>
      <c r="BE1215" s="77"/>
      <c r="BF1215" s="77"/>
      <c r="BG1215" s="77"/>
      <c r="BH1215" s="77"/>
      <c r="BI1215" s="77"/>
    </row>
    <row r="1216" spans="1:61" x14ac:dyDescent="0.25">
      <c r="A1216" s="62" t="s">
        <v>596</v>
      </c>
      <c r="B1216" s="62" t="s">
        <v>596</v>
      </c>
      <c r="C1216" s="63"/>
      <c r="D1216" s="64"/>
      <c r="E1216" s="65"/>
      <c r="F1216" s="66"/>
      <c r="G1216" s="63"/>
      <c r="H1216" s="67"/>
      <c r="I1216" s="68"/>
      <c r="J1216" s="68"/>
      <c r="K1216" s="32"/>
      <c r="L1216" s="75">
        <v>1216</v>
      </c>
      <c r="M1216" s="75"/>
      <c r="N1216" s="70"/>
      <c r="O1216" s="77" t="s">
        <v>898</v>
      </c>
      <c r="P1216" s="79">
        <v>45169.725462962961</v>
      </c>
      <c r="Q1216" s="77" t="s">
        <v>1998</v>
      </c>
      <c r="R1216" s="77">
        <v>0</v>
      </c>
      <c r="S1216" s="77">
        <v>0</v>
      </c>
      <c r="T1216" s="77">
        <v>0</v>
      </c>
      <c r="U1216" s="77">
        <v>0</v>
      </c>
      <c r="V1216" s="77">
        <v>16</v>
      </c>
      <c r="W1216" s="82" t="s">
        <v>5458</v>
      </c>
      <c r="X1216" s="77"/>
      <c r="Y1216" s="77"/>
      <c r="Z1216" s="77"/>
      <c r="AA1216" s="77"/>
      <c r="AB1216" s="77"/>
      <c r="AC1216" s="82" t="s">
        <v>7752</v>
      </c>
      <c r="AD1216" s="77" t="s">
        <v>7788</v>
      </c>
      <c r="AE1216" s="80" t="str">
        <f>HYPERLINK("https://twitter.com/gondimadv/status/1697299375200911628")</f>
        <v>https://twitter.com/gondimadv/status/1697299375200911628</v>
      </c>
      <c r="AF1216" s="79">
        <v>45169.725462962961</v>
      </c>
      <c r="AG1216" s="85">
        <v>45169</v>
      </c>
      <c r="AH1216" s="82" t="s">
        <v>8855</v>
      </c>
      <c r="AI1216" s="77"/>
      <c r="AJ1216" s="77"/>
      <c r="AK1216" s="77"/>
      <c r="AL1216" s="77"/>
      <c r="AM1216" s="77"/>
      <c r="AN1216" s="77"/>
      <c r="AO1216" s="77"/>
      <c r="AP1216" s="77"/>
      <c r="AQ1216" s="77"/>
      <c r="AR1216" s="77"/>
      <c r="AS1216" s="77"/>
      <c r="AT1216" s="77"/>
      <c r="AU1216" s="77"/>
      <c r="AV1216" s="80" t="str">
        <f>HYPERLINK("https://pbs.twimg.com/profile_images/1466069676983734273/XP_2FS3A_normal.jpg")</f>
        <v>https://pbs.twimg.com/profile_images/1466069676983734273/XP_2FS3A_normal.jpg</v>
      </c>
      <c r="AW1216" s="82" t="s">
        <v>12882</v>
      </c>
      <c r="AX1216" s="82" t="s">
        <v>15871</v>
      </c>
      <c r="AY1216" s="82" t="s">
        <v>15964</v>
      </c>
      <c r="AZ1216" s="82" t="s">
        <v>15871</v>
      </c>
      <c r="BA1216" s="82" t="s">
        <v>15984</v>
      </c>
      <c r="BB1216" s="82" t="s">
        <v>15984</v>
      </c>
      <c r="BC1216" s="82" t="s">
        <v>15871</v>
      </c>
      <c r="BD1216" s="82" t="s">
        <v>15964</v>
      </c>
      <c r="BE1216" s="77"/>
      <c r="BF1216" s="77"/>
      <c r="BG1216" s="77"/>
      <c r="BH1216" s="77"/>
      <c r="BI1216" s="77"/>
    </row>
    <row r="1217" spans="1:61" x14ac:dyDescent="0.25">
      <c r="A1217" s="62" t="s">
        <v>597</v>
      </c>
      <c r="B1217" s="62" t="s">
        <v>597</v>
      </c>
      <c r="C1217" s="63"/>
      <c r="D1217" s="64"/>
      <c r="E1217" s="65"/>
      <c r="F1217" s="66"/>
      <c r="G1217" s="63"/>
      <c r="H1217" s="67"/>
      <c r="I1217" s="68"/>
      <c r="J1217" s="68"/>
      <c r="K1217" s="32"/>
      <c r="L1217" s="75">
        <v>1217</v>
      </c>
      <c r="M1217" s="75"/>
      <c r="N1217" s="70"/>
      <c r="O1217" s="77" t="s">
        <v>179</v>
      </c>
      <c r="P1217" s="79">
        <v>45152.949849537035</v>
      </c>
      <c r="Q1217" s="77" t="s">
        <v>1999</v>
      </c>
      <c r="R1217" s="77">
        <v>0</v>
      </c>
      <c r="S1217" s="77">
        <v>0</v>
      </c>
      <c r="T1217" s="77">
        <v>0</v>
      </c>
      <c r="U1217" s="77">
        <v>0</v>
      </c>
      <c r="V1217" s="77">
        <v>15</v>
      </c>
      <c r="W1217" s="82" t="s">
        <v>5459</v>
      </c>
      <c r="X1217" s="77"/>
      <c r="Y1217" s="77"/>
      <c r="Z1217" s="77"/>
      <c r="AA1217" s="77" t="s">
        <v>7324</v>
      </c>
      <c r="AB1217" s="77" t="s">
        <v>7742</v>
      </c>
      <c r="AC1217" s="82" t="s">
        <v>7751</v>
      </c>
      <c r="AD1217" s="77" t="s">
        <v>7788</v>
      </c>
      <c r="AE1217" s="80" t="str">
        <f>HYPERLINK("https://twitter.com/econoptions86/status/1691220099296821250")</f>
        <v>https://twitter.com/econoptions86/status/1691220099296821250</v>
      </c>
      <c r="AF1217" s="79">
        <v>45152.949849537035</v>
      </c>
      <c r="AG1217" s="85">
        <v>45152</v>
      </c>
      <c r="AH1217" s="82" t="s">
        <v>8856</v>
      </c>
      <c r="AI1217" s="77" t="b">
        <v>0</v>
      </c>
      <c r="AJ1217" s="77"/>
      <c r="AK1217" s="77"/>
      <c r="AL1217" s="77"/>
      <c r="AM1217" s="77"/>
      <c r="AN1217" s="77"/>
      <c r="AO1217" s="77"/>
      <c r="AP1217" s="77"/>
      <c r="AQ1217" s="77" t="s">
        <v>11296</v>
      </c>
      <c r="AR1217" s="77"/>
      <c r="AS1217" s="77"/>
      <c r="AT1217" s="77"/>
      <c r="AU1217" s="77"/>
      <c r="AV1217" s="80" t="str">
        <f>HYPERLINK("https://pbs.twimg.com/media/F3hrq1-XAAANbji.jpg")</f>
        <v>https://pbs.twimg.com/media/F3hrq1-XAAANbji.jpg</v>
      </c>
      <c r="AW1217" s="82" t="s">
        <v>12883</v>
      </c>
      <c r="AX1217" s="82" t="s">
        <v>12883</v>
      </c>
      <c r="AY1217" s="77"/>
      <c r="AZ1217" s="82" t="s">
        <v>15984</v>
      </c>
      <c r="BA1217" s="82" t="s">
        <v>15984</v>
      </c>
      <c r="BB1217" s="82" t="s">
        <v>15984</v>
      </c>
      <c r="BC1217" s="82" t="s">
        <v>12883</v>
      </c>
      <c r="BD1217" s="82" t="s">
        <v>16318</v>
      </c>
      <c r="BE1217" s="77"/>
      <c r="BF1217" s="77"/>
      <c r="BG1217" s="77"/>
      <c r="BH1217" s="77"/>
      <c r="BI1217" s="77"/>
    </row>
    <row r="1218" spans="1:61" x14ac:dyDescent="0.25">
      <c r="A1218" s="62" t="s">
        <v>598</v>
      </c>
      <c r="B1218" s="62" t="s">
        <v>598</v>
      </c>
      <c r="C1218" s="63"/>
      <c r="D1218" s="64"/>
      <c r="E1218" s="65"/>
      <c r="F1218" s="66"/>
      <c r="G1218" s="63"/>
      <c r="H1218" s="67"/>
      <c r="I1218" s="68"/>
      <c r="J1218" s="68"/>
      <c r="K1218" s="32"/>
      <c r="L1218" s="75">
        <v>1218</v>
      </c>
      <c r="M1218" s="75"/>
      <c r="N1218" s="70"/>
      <c r="O1218" s="77" t="s">
        <v>179</v>
      </c>
      <c r="P1218" s="79">
        <v>45191.65084490741</v>
      </c>
      <c r="Q1218" s="77" t="s">
        <v>2000</v>
      </c>
      <c r="R1218" s="77">
        <v>1</v>
      </c>
      <c r="S1218" s="77">
        <v>1</v>
      </c>
      <c r="T1218" s="77">
        <v>0</v>
      </c>
      <c r="U1218" s="77">
        <v>0</v>
      </c>
      <c r="V1218" s="77">
        <v>114</v>
      </c>
      <c r="W1218" s="82" t="s">
        <v>5460</v>
      </c>
      <c r="X1218" s="80" t="str">
        <f>HYPERLINK("https://hubdoinvestidor.com.br/conheca-a-gigante-do-turismo-online-booking-holdings/?utm_souce=twiter&amp;utm_medium=social&amp;utm_campaign=trafego-twitter")</f>
        <v>https://hubdoinvestidor.com.br/conheca-a-gigante-do-turismo-online-booking-holdings/?utm_souce=twiter&amp;utm_medium=social&amp;utm_campaign=trafego-twitter</v>
      </c>
      <c r="Y1218" s="77" t="s">
        <v>6470</v>
      </c>
      <c r="Z1218" s="77"/>
      <c r="AA1218" s="77"/>
      <c r="AB1218" s="77"/>
      <c r="AC1218" s="82" t="s">
        <v>7750</v>
      </c>
      <c r="AD1218" s="77" t="s">
        <v>7788</v>
      </c>
      <c r="AE1218" s="80" t="str">
        <f>HYPERLINK("https://twitter.com/hubinvestidor/status/1705244870078529619")</f>
        <v>https://twitter.com/hubinvestidor/status/1705244870078529619</v>
      </c>
      <c r="AF1218" s="79">
        <v>45191.65084490741</v>
      </c>
      <c r="AG1218" s="85">
        <v>45191</v>
      </c>
      <c r="AH1218" s="82" t="s">
        <v>8857</v>
      </c>
      <c r="AI1218" s="77" t="b">
        <v>0</v>
      </c>
      <c r="AJ1218" s="77"/>
      <c r="AK1218" s="77"/>
      <c r="AL1218" s="77"/>
      <c r="AM1218" s="77"/>
      <c r="AN1218" s="77"/>
      <c r="AO1218" s="77"/>
      <c r="AP1218" s="77"/>
      <c r="AQ1218" s="77"/>
      <c r="AR1218" s="77"/>
      <c r="AS1218" s="77"/>
      <c r="AT1218" s="77"/>
      <c r="AU1218" s="77"/>
      <c r="AV1218" s="80" t="str">
        <f>HYPERLINK("https://pbs.twimg.com/profile_images/1260173862563651585/hl2WdjmD_normal.jpg")</f>
        <v>https://pbs.twimg.com/profile_images/1260173862563651585/hl2WdjmD_normal.jpg</v>
      </c>
      <c r="AW1218" s="82" t="s">
        <v>12884</v>
      </c>
      <c r="AX1218" s="82" t="s">
        <v>12884</v>
      </c>
      <c r="AY1218" s="77"/>
      <c r="AZ1218" s="82" t="s">
        <v>15984</v>
      </c>
      <c r="BA1218" s="82" t="s">
        <v>15984</v>
      </c>
      <c r="BB1218" s="82" t="s">
        <v>15984</v>
      </c>
      <c r="BC1218" s="82" t="s">
        <v>12884</v>
      </c>
      <c r="BD1218" s="82" t="s">
        <v>16319</v>
      </c>
      <c r="BE1218" s="77"/>
      <c r="BF1218" s="77"/>
      <c r="BG1218" s="77"/>
      <c r="BH1218" s="77"/>
      <c r="BI1218" s="77"/>
    </row>
    <row r="1219" spans="1:61" x14ac:dyDescent="0.25">
      <c r="A1219" s="62" t="s">
        <v>599</v>
      </c>
      <c r="B1219" s="62" t="s">
        <v>599</v>
      </c>
      <c r="C1219" s="63"/>
      <c r="D1219" s="64"/>
      <c r="E1219" s="65"/>
      <c r="F1219" s="66"/>
      <c r="G1219" s="63"/>
      <c r="H1219" s="67"/>
      <c r="I1219" s="68"/>
      <c r="J1219" s="68"/>
      <c r="K1219" s="32"/>
      <c r="L1219" s="75">
        <v>1219</v>
      </c>
      <c r="M1219" s="75"/>
      <c r="N1219" s="70"/>
      <c r="O1219" s="77" t="s">
        <v>179</v>
      </c>
      <c r="P1219" s="79">
        <v>45164.477511574078</v>
      </c>
      <c r="Q1219" s="77" t="s">
        <v>2001</v>
      </c>
      <c r="R1219" s="77">
        <v>0</v>
      </c>
      <c r="S1219" s="77">
        <v>0</v>
      </c>
      <c r="T1219" s="77">
        <v>0</v>
      </c>
      <c r="U1219" s="77">
        <v>0</v>
      </c>
      <c r="V1219" s="77">
        <v>30</v>
      </c>
      <c r="W1219" s="82" t="s">
        <v>5461</v>
      </c>
      <c r="X1219" s="77"/>
      <c r="Y1219" s="77"/>
      <c r="Z1219" s="77"/>
      <c r="AA1219" s="77" t="s">
        <v>7325</v>
      </c>
      <c r="AB1219" s="77" t="s">
        <v>7742</v>
      </c>
      <c r="AC1219" s="82" t="s">
        <v>7751</v>
      </c>
      <c r="AD1219" s="77" t="s">
        <v>7788</v>
      </c>
      <c r="AE1219" s="80" t="str">
        <f>HYPERLINK("https://twitter.com/pierrebomfim/status/1695397581621260673")</f>
        <v>https://twitter.com/pierrebomfim/status/1695397581621260673</v>
      </c>
      <c r="AF1219" s="79">
        <v>45164.477511574078</v>
      </c>
      <c r="AG1219" s="85">
        <v>45164</v>
      </c>
      <c r="AH1219" s="82" t="s">
        <v>8858</v>
      </c>
      <c r="AI1219" s="77" t="b">
        <v>0</v>
      </c>
      <c r="AJ1219" s="77"/>
      <c r="AK1219" s="77"/>
      <c r="AL1219" s="77"/>
      <c r="AM1219" s="77"/>
      <c r="AN1219" s="77"/>
      <c r="AO1219" s="77"/>
      <c r="AP1219" s="77"/>
      <c r="AQ1219" s="77" t="s">
        <v>11297</v>
      </c>
      <c r="AR1219" s="77"/>
      <c r="AS1219" s="77"/>
      <c r="AT1219" s="77"/>
      <c r="AU1219" s="77"/>
      <c r="AV1219" s="80" t="str">
        <f>HYPERLINK("https://pbs.twimg.com/media/F4dDHXfWsAATGFx.jpg")</f>
        <v>https://pbs.twimg.com/media/F4dDHXfWsAATGFx.jpg</v>
      </c>
      <c r="AW1219" s="82" t="s">
        <v>12885</v>
      </c>
      <c r="AX1219" s="82" t="s">
        <v>12885</v>
      </c>
      <c r="AY1219" s="77"/>
      <c r="AZ1219" s="82" t="s">
        <v>15984</v>
      </c>
      <c r="BA1219" s="82" t="s">
        <v>15984</v>
      </c>
      <c r="BB1219" s="82" t="s">
        <v>15984</v>
      </c>
      <c r="BC1219" s="82" t="s">
        <v>12885</v>
      </c>
      <c r="BD1219" s="77">
        <v>49011639</v>
      </c>
      <c r="BE1219" s="77"/>
      <c r="BF1219" s="77"/>
      <c r="BG1219" s="77"/>
      <c r="BH1219" s="77"/>
      <c r="BI1219" s="77"/>
    </row>
    <row r="1220" spans="1:61" x14ac:dyDescent="0.25">
      <c r="A1220" s="62" t="s">
        <v>599</v>
      </c>
      <c r="B1220" s="62" t="s">
        <v>599</v>
      </c>
      <c r="C1220" s="63"/>
      <c r="D1220" s="64"/>
      <c r="E1220" s="65"/>
      <c r="F1220" s="66"/>
      <c r="G1220" s="63"/>
      <c r="H1220" s="67"/>
      <c r="I1220" s="68"/>
      <c r="J1220" s="68"/>
      <c r="K1220" s="32"/>
      <c r="L1220" s="75">
        <v>1220</v>
      </c>
      <c r="M1220" s="75"/>
      <c r="N1220" s="70"/>
      <c r="O1220" s="77" t="s">
        <v>179</v>
      </c>
      <c r="P1220" s="79">
        <v>45166.482210648152</v>
      </c>
      <c r="Q1220" s="77" t="s">
        <v>2002</v>
      </c>
      <c r="R1220" s="77">
        <v>0</v>
      </c>
      <c r="S1220" s="77">
        <v>0</v>
      </c>
      <c r="T1220" s="77">
        <v>0</v>
      </c>
      <c r="U1220" s="77">
        <v>0</v>
      </c>
      <c r="V1220" s="77">
        <v>27</v>
      </c>
      <c r="W1220" s="82" t="s">
        <v>5461</v>
      </c>
      <c r="X1220" s="77"/>
      <c r="Y1220" s="77"/>
      <c r="Z1220" s="77"/>
      <c r="AA1220" s="77" t="s">
        <v>7326</v>
      </c>
      <c r="AB1220" s="77" t="s">
        <v>7742</v>
      </c>
      <c r="AC1220" s="82" t="s">
        <v>7751</v>
      </c>
      <c r="AD1220" s="77" t="s">
        <v>7788</v>
      </c>
      <c r="AE1220" s="80" t="str">
        <f>HYPERLINK("https://twitter.com/pierrebomfim/status/1696124061003251881")</f>
        <v>https://twitter.com/pierrebomfim/status/1696124061003251881</v>
      </c>
      <c r="AF1220" s="79">
        <v>45166.482210648152</v>
      </c>
      <c r="AG1220" s="85">
        <v>45166</v>
      </c>
      <c r="AH1220" s="82" t="s">
        <v>8859</v>
      </c>
      <c r="AI1220" s="77" t="b">
        <v>0</v>
      </c>
      <c r="AJ1220" s="77"/>
      <c r="AK1220" s="77"/>
      <c r="AL1220" s="77"/>
      <c r="AM1220" s="77"/>
      <c r="AN1220" s="77"/>
      <c r="AO1220" s="77"/>
      <c r="AP1220" s="77"/>
      <c r="AQ1220" s="77" t="s">
        <v>11298</v>
      </c>
      <c r="AR1220" s="77"/>
      <c r="AS1220" s="77"/>
      <c r="AT1220" s="77"/>
      <c r="AU1220" s="77"/>
      <c r="AV1220" s="80" t="str">
        <f>HYPERLINK("https://pbs.twimg.com/media/F4nX1-gW0AAQDNj.jpg")</f>
        <v>https://pbs.twimg.com/media/F4nX1-gW0AAQDNj.jpg</v>
      </c>
      <c r="AW1220" s="82" t="s">
        <v>12886</v>
      </c>
      <c r="AX1220" s="82" t="s">
        <v>12886</v>
      </c>
      <c r="AY1220" s="77"/>
      <c r="AZ1220" s="82" t="s">
        <v>15984</v>
      </c>
      <c r="BA1220" s="82" t="s">
        <v>15984</v>
      </c>
      <c r="BB1220" s="82" t="s">
        <v>15984</v>
      </c>
      <c r="BC1220" s="82" t="s">
        <v>12886</v>
      </c>
      <c r="BD1220" s="77">
        <v>49011639</v>
      </c>
      <c r="BE1220" s="77"/>
      <c r="BF1220" s="77"/>
      <c r="BG1220" s="77"/>
      <c r="BH1220" s="77"/>
      <c r="BI1220" s="77"/>
    </row>
    <row r="1221" spans="1:61" x14ac:dyDescent="0.25">
      <c r="A1221" s="62" t="s">
        <v>600</v>
      </c>
      <c r="B1221" s="62" t="s">
        <v>600</v>
      </c>
      <c r="C1221" s="63"/>
      <c r="D1221" s="64"/>
      <c r="E1221" s="65"/>
      <c r="F1221" s="66"/>
      <c r="G1221" s="63"/>
      <c r="H1221" s="67"/>
      <c r="I1221" s="68"/>
      <c r="J1221" s="68"/>
      <c r="K1221" s="32"/>
      <c r="L1221" s="75">
        <v>1221</v>
      </c>
      <c r="M1221" s="75"/>
      <c r="N1221" s="70"/>
      <c r="O1221" s="77" t="s">
        <v>179</v>
      </c>
      <c r="P1221" s="79">
        <v>45140.011284722219</v>
      </c>
      <c r="Q1221" s="77" t="s">
        <v>2003</v>
      </c>
      <c r="R1221" s="77">
        <v>0</v>
      </c>
      <c r="S1221" s="77">
        <v>0</v>
      </c>
      <c r="T1221" s="77">
        <v>0</v>
      </c>
      <c r="U1221" s="77">
        <v>0</v>
      </c>
      <c r="V1221" s="77">
        <v>5</v>
      </c>
      <c r="W1221" s="82" t="s">
        <v>5462</v>
      </c>
      <c r="X1221" s="77"/>
      <c r="Y1221" s="77"/>
      <c r="Z1221" s="77"/>
      <c r="AA1221" s="77"/>
      <c r="AB1221" s="77"/>
      <c r="AC1221" s="82" t="s">
        <v>7755</v>
      </c>
      <c r="AD1221" s="77" t="s">
        <v>7790</v>
      </c>
      <c r="AE1221" s="80" t="str">
        <f>HYPERLINK("https://twitter.com/profits_capital/status/1686531320950710272")</f>
        <v>https://twitter.com/profits_capital/status/1686531320950710272</v>
      </c>
      <c r="AF1221" s="79">
        <v>45140.011284722219</v>
      </c>
      <c r="AG1221" s="85">
        <v>45140</v>
      </c>
      <c r="AH1221" s="82" t="s">
        <v>8860</v>
      </c>
      <c r="AI1221" s="77"/>
      <c r="AJ1221" s="77"/>
      <c r="AK1221" s="77"/>
      <c r="AL1221" s="77"/>
      <c r="AM1221" s="77"/>
      <c r="AN1221" s="77"/>
      <c r="AO1221" s="77"/>
      <c r="AP1221" s="77"/>
      <c r="AQ1221" s="77"/>
      <c r="AR1221" s="77"/>
      <c r="AS1221" s="77"/>
      <c r="AT1221" s="77"/>
      <c r="AU1221" s="77"/>
      <c r="AV1221" s="80" t="str">
        <f>HYPERLINK("https://pbs.twimg.com/profile_images/1477399575665201156/nICPSJyE_normal.jpg")</f>
        <v>https://pbs.twimg.com/profile_images/1477399575665201156/nICPSJyE_normal.jpg</v>
      </c>
      <c r="AW1221" s="82" t="s">
        <v>12887</v>
      </c>
      <c r="AX1221" s="82" t="s">
        <v>12887</v>
      </c>
      <c r="AY1221" s="77"/>
      <c r="AZ1221" s="82" t="s">
        <v>15984</v>
      </c>
      <c r="BA1221" s="82" t="s">
        <v>15984</v>
      </c>
      <c r="BB1221" s="82" t="s">
        <v>15984</v>
      </c>
      <c r="BC1221" s="82" t="s">
        <v>12887</v>
      </c>
      <c r="BD1221" s="82" t="s">
        <v>16320</v>
      </c>
      <c r="BE1221" s="77"/>
      <c r="BF1221" s="77"/>
      <c r="BG1221" s="77"/>
      <c r="BH1221" s="77"/>
      <c r="BI1221" s="77"/>
    </row>
    <row r="1222" spans="1:61" x14ac:dyDescent="0.25">
      <c r="A1222" s="62" t="s">
        <v>601</v>
      </c>
      <c r="B1222" s="62" t="s">
        <v>601</v>
      </c>
      <c r="C1222" s="63"/>
      <c r="D1222" s="64"/>
      <c r="E1222" s="65"/>
      <c r="F1222" s="66"/>
      <c r="G1222" s="63"/>
      <c r="H1222" s="67"/>
      <c r="I1222" s="68"/>
      <c r="J1222" s="68"/>
      <c r="K1222" s="32"/>
      <c r="L1222" s="75">
        <v>1222</v>
      </c>
      <c r="M1222" s="75"/>
      <c r="N1222" s="70"/>
      <c r="O1222" s="77" t="s">
        <v>179</v>
      </c>
      <c r="P1222" s="79">
        <v>45195.700208333335</v>
      </c>
      <c r="Q1222" s="80" t="str">
        <f>HYPERLINK("https://t.co/Js9FtpPTGU")</f>
        <v>https://t.co/Js9FtpPTGU</v>
      </c>
      <c r="R1222" s="77">
        <v>80</v>
      </c>
      <c r="S1222" s="77">
        <v>464</v>
      </c>
      <c r="T1222" s="77">
        <v>15</v>
      </c>
      <c r="U1222" s="77">
        <v>6</v>
      </c>
      <c r="V1222" s="77">
        <v>29621</v>
      </c>
      <c r="W1222" s="77"/>
      <c r="X1222" s="77"/>
      <c r="Y1222" s="77"/>
      <c r="Z1222" s="77"/>
      <c r="AA1222" s="77" t="s">
        <v>7327</v>
      </c>
      <c r="AB1222" s="77" t="s">
        <v>7742</v>
      </c>
      <c r="AC1222" s="82" t="s">
        <v>7752</v>
      </c>
      <c r="AD1222" s="77" t="s">
        <v>7799</v>
      </c>
      <c r="AE1222" s="80" t="str">
        <f>HYPERLINK("https://twitter.com/leiatheinvestor/status/1706712310104895919")</f>
        <v>https://twitter.com/leiatheinvestor/status/1706712310104895919</v>
      </c>
      <c r="AF1222" s="79">
        <v>45195.700208333335</v>
      </c>
      <c r="AG1222" s="85">
        <v>45195</v>
      </c>
      <c r="AH1222" s="82" t="s">
        <v>8861</v>
      </c>
      <c r="AI1222" s="77" t="b">
        <v>0</v>
      </c>
      <c r="AJ1222" s="77"/>
      <c r="AK1222" s="77"/>
      <c r="AL1222" s="77"/>
      <c r="AM1222" s="77"/>
      <c r="AN1222" s="77"/>
      <c r="AO1222" s="77"/>
      <c r="AP1222" s="77"/>
      <c r="AQ1222" s="77" t="s">
        <v>11299</v>
      </c>
      <c r="AR1222" s="77"/>
      <c r="AS1222" s="77"/>
      <c r="AT1222" s="77"/>
      <c r="AU1222" s="77"/>
      <c r="AV1222" s="80" t="str">
        <f>HYPERLINK("https://pbs.twimg.com/media/F691zJOXQAArorl.jpg")</f>
        <v>https://pbs.twimg.com/media/F691zJOXQAArorl.jpg</v>
      </c>
      <c r="AW1222" s="82" t="s">
        <v>12888</v>
      </c>
      <c r="AX1222" s="82" t="s">
        <v>12888</v>
      </c>
      <c r="AY1222" s="77"/>
      <c r="AZ1222" s="82" t="s">
        <v>15984</v>
      </c>
      <c r="BA1222" s="82" t="s">
        <v>15984</v>
      </c>
      <c r="BB1222" s="82" t="s">
        <v>15984</v>
      </c>
      <c r="BC1222" s="82" t="s">
        <v>12888</v>
      </c>
      <c r="BD1222" s="82" t="s">
        <v>16321</v>
      </c>
      <c r="BE1222" s="77"/>
      <c r="BF1222" s="77"/>
      <c r="BG1222" s="77"/>
      <c r="BH1222" s="77"/>
      <c r="BI1222" s="77"/>
    </row>
    <row r="1223" spans="1:61" x14ac:dyDescent="0.25">
      <c r="A1223" s="62" t="s">
        <v>602</v>
      </c>
      <c r="B1223" s="62" t="s">
        <v>602</v>
      </c>
      <c r="C1223" s="63"/>
      <c r="D1223" s="64"/>
      <c r="E1223" s="65"/>
      <c r="F1223" s="66"/>
      <c r="G1223" s="63"/>
      <c r="H1223" s="67"/>
      <c r="I1223" s="68"/>
      <c r="J1223" s="68"/>
      <c r="K1223" s="32"/>
      <c r="L1223" s="75">
        <v>1223</v>
      </c>
      <c r="M1223" s="75"/>
      <c r="N1223" s="70"/>
      <c r="O1223" s="77" t="s">
        <v>179</v>
      </c>
      <c r="P1223" s="79">
        <v>45184.778067129628</v>
      </c>
      <c r="Q1223" s="77" t="s">
        <v>2004</v>
      </c>
      <c r="R1223" s="77">
        <v>0</v>
      </c>
      <c r="S1223" s="77">
        <v>0</v>
      </c>
      <c r="T1223" s="77">
        <v>0</v>
      </c>
      <c r="U1223" s="77">
        <v>0</v>
      </c>
      <c r="V1223" s="77">
        <v>68</v>
      </c>
      <c r="W1223" s="82" t="s">
        <v>5463</v>
      </c>
      <c r="X1223" s="80" t="str">
        <f>HYPERLINK("http://tgrafi.co/rank")</f>
        <v>http://tgrafi.co/rank</v>
      </c>
      <c r="Y1223" s="77" t="s">
        <v>6543</v>
      </c>
      <c r="Z1223" s="77"/>
      <c r="AA1223" s="77" t="s">
        <v>7328</v>
      </c>
      <c r="AB1223" s="77" t="s">
        <v>7742</v>
      </c>
      <c r="AC1223" s="82" t="s">
        <v>7750</v>
      </c>
      <c r="AD1223" s="77" t="s">
        <v>7788</v>
      </c>
      <c r="AE1223" s="80" t="str">
        <f>HYPERLINK("https://twitter.com/tradergrafico/status/1702754258464952470")</f>
        <v>https://twitter.com/tradergrafico/status/1702754258464952470</v>
      </c>
      <c r="AF1223" s="79">
        <v>45184.778067129628</v>
      </c>
      <c r="AG1223" s="85">
        <v>45184</v>
      </c>
      <c r="AH1223" s="82" t="s">
        <v>8862</v>
      </c>
      <c r="AI1223" s="77" t="b">
        <v>0</v>
      </c>
      <c r="AJ1223" s="77"/>
      <c r="AK1223" s="77"/>
      <c r="AL1223" s="77"/>
      <c r="AM1223" s="77"/>
      <c r="AN1223" s="77"/>
      <c r="AO1223" s="77"/>
      <c r="AP1223" s="77"/>
      <c r="AQ1223" s="77" t="s">
        <v>11300</v>
      </c>
      <c r="AR1223" s="77"/>
      <c r="AS1223" s="77"/>
      <c r="AT1223" s="77"/>
      <c r="AU1223" s="77"/>
      <c r="AV1223" s="80" t="str">
        <f>HYPERLINK("https://pbs.twimg.com/media/F6Fl8BYWAAACf18.jpg")</f>
        <v>https://pbs.twimg.com/media/F6Fl8BYWAAACf18.jpg</v>
      </c>
      <c r="AW1223" s="82" t="s">
        <v>12889</v>
      </c>
      <c r="AX1223" s="82" t="s">
        <v>12889</v>
      </c>
      <c r="AY1223" s="77"/>
      <c r="AZ1223" s="82" t="s">
        <v>15984</v>
      </c>
      <c r="BA1223" s="82" t="s">
        <v>15984</v>
      </c>
      <c r="BB1223" s="82" t="s">
        <v>15984</v>
      </c>
      <c r="BC1223" s="82" t="s">
        <v>12889</v>
      </c>
      <c r="BD1223" s="77">
        <v>82758897</v>
      </c>
      <c r="BE1223" s="77"/>
      <c r="BF1223" s="77"/>
      <c r="BG1223" s="77"/>
      <c r="BH1223" s="77"/>
      <c r="BI1223" s="77"/>
    </row>
    <row r="1224" spans="1:61" x14ac:dyDescent="0.25">
      <c r="A1224" s="62" t="s">
        <v>602</v>
      </c>
      <c r="B1224" s="62" t="s">
        <v>602</v>
      </c>
      <c r="C1224" s="63"/>
      <c r="D1224" s="64"/>
      <c r="E1224" s="65"/>
      <c r="F1224" s="66"/>
      <c r="G1224" s="63"/>
      <c r="H1224" s="67"/>
      <c r="I1224" s="68"/>
      <c r="J1224" s="68"/>
      <c r="K1224" s="32"/>
      <c r="L1224" s="75">
        <v>1224</v>
      </c>
      <c r="M1224" s="75"/>
      <c r="N1224" s="70"/>
      <c r="O1224" s="77" t="s">
        <v>179</v>
      </c>
      <c r="P1224" s="79">
        <v>45183.727673611109</v>
      </c>
      <c r="Q1224" s="77" t="s">
        <v>2005</v>
      </c>
      <c r="R1224" s="77">
        <v>0</v>
      </c>
      <c r="S1224" s="77">
        <v>0</v>
      </c>
      <c r="T1224" s="77">
        <v>0</v>
      </c>
      <c r="U1224" s="77">
        <v>0</v>
      </c>
      <c r="V1224" s="77">
        <v>66</v>
      </c>
      <c r="W1224" s="82" t="s">
        <v>5463</v>
      </c>
      <c r="X1224" s="80" t="str">
        <f>HYPERLINK("http://tgrafi.co/rank")</f>
        <v>http://tgrafi.co/rank</v>
      </c>
      <c r="Y1224" s="77" t="s">
        <v>6543</v>
      </c>
      <c r="Z1224" s="77"/>
      <c r="AA1224" s="77" t="s">
        <v>7329</v>
      </c>
      <c r="AB1224" s="77" t="s">
        <v>7742</v>
      </c>
      <c r="AC1224" s="82" t="s">
        <v>7750</v>
      </c>
      <c r="AD1224" s="77" t="s">
        <v>7788</v>
      </c>
      <c r="AE1224" s="80" t="str">
        <f>HYPERLINK("https://twitter.com/tradergrafico/status/1702373609702850794")</f>
        <v>https://twitter.com/tradergrafico/status/1702373609702850794</v>
      </c>
      <c r="AF1224" s="79">
        <v>45183.727673611109</v>
      </c>
      <c r="AG1224" s="85">
        <v>45183</v>
      </c>
      <c r="AH1224" s="82" t="s">
        <v>8863</v>
      </c>
      <c r="AI1224" s="77" t="b">
        <v>0</v>
      </c>
      <c r="AJ1224" s="77"/>
      <c r="AK1224" s="77"/>
      <c r="AL1224" s="77"/>
      <c r="AM1224" s="77"/>
      <c r="AN1224" s="77"/>
      <c r="AO1224" s="77"/>
      <c r="AP1224" s="77"/>
      <c r="AQ1224" s="77" t="s">
        <v>11301</v>
      </c>
      <c r="AR1224" s="77"/>
      <c r="AS1224" s="77"/>
      <c r="AT1224" s="77"/>
      <c r="AU1224" s="77"/>
      <c r="AV1224" s="80" t="str">
        <f>HYPERLINK("https://pbs.twimg.com/media/F6ALvOcXcAE0Rpi.jpg")</f>
        <v>https://pbs.twimg.com/media/F6ALvOcXcAE0Rpi.jpg</v>
      </c>
      <c r="AW1224" s="82" t="s">
        <v>12890</v>
      </c>
      <c r="AX1224" s="82" t="s">
        <v>12890</v>
      </c>
      <c r="AY1224" s="77"/>
      <c r="AZ1224" s="82" t="s">
        <v>15984</v>
      </c>
      <c r="BA1224" s="82" t="s">
        <v>15984</v>
      </c>
      <c r="BB1224" s="82" t="s">
        <v>15984</v>
      </c>
      <c r="BC1224" s="82" t="s">
        <v>12890</v>
      </c>
      <c r="BD1224" s="77">
        <v>82758897</v>
      </c>
      <c r="BE1224" s="77"/>
      <c r="BF1224" s="77"/>
      <c r="BG1224" s="77"/>
      <c r="BH1224" s="77"/>
      <c r="BI1224" s="77"/>
    </row>
    <row r="1225" spans="1:61" x14ac:dyDescent="0.25">
      <c r="A1225" s="62" t="s">
        <v>602</v>
      </c>
      <c r="B1225" s="62" t="s">
        <v>602</v>
      </c>
      <c r="C1225" s="63"/>
      <c r="D1225" s="64"/>
      <c r="E1225" s="65"/>
      <c r="F1225" s="66"/>
      <c r="G1225" s="63"/>
      <c r="H1225" s="67"/>
      <c r="I1225" s="68"/>
      <c r="J1225" s="68"/>
      <c r="K1225" s="32"/>
      <c r="L1225" s="75">
        <v>1225</v>
      </c>
      <c r="M1225" s="75"/>
      <c r="N1225" s="70"/>
      <c r="O1225" s="77" t="s">
        <v>179</v>
      </c>
      <c r="P1225" s="79">
        <v>45175.867303240739</v>
      </c>
      <c r="Q1225" s="77" t="s">
        <v>2006</v>
      </c>
      <c r="R1225" s="77">
        <v>0</v>
      </c>
      <c r="S1225" s="77">
        <v>0</v>
      </c>
      <c r="T1225" s="77">
        <v>0</v>
      </c>
      <c r="U1225" s="77">
        <v>0</v>
      </c>
      <c r="V1225" s="77">
        <v>81</v>
      </c>
      <c r="W1225" s="82" t="s">
        <v>5463</v>
      </c>
      <c r="X1225" s="80" t="str">
        <f>HYPERLINK("http://tgrafi.co/rank")</f>
        <v>http://tgrafi.co/rank</v>
      </c>
      <c r="Y1225" s="77" t="s">
        <v>6543</v>
      </c>
      <c r="Z1225" s="77"/>
      <c r="AA1225" s="77" t="s">
        <v>7330</v>
      </c>
      <c r="AB1225" s="77" t="s">
        <v>7742</v>
      </c>
      <c r="AC1225" s="82" t="s">
        <v>7750</v>
      </c>
      <c r="AD1225" s="77" t="s">
        <v>7788</v>
      </c>
      <c r="AE1225" s="80" t="str">
        <f>HYPERLINK("https://twitter.com/tradergrafico/status/1699525104760205562")</f>
        <v>https://twitter.com/tradergrafico/status/1699525104760205562</v>
      </c>
      <c r="AF1225" s="79">
        <v>45175.867303240739</v>
      </c>
      <c r="AG1225" s="85">
        <v>45175</v>
      </c>
      <c r="AH1225" s="82" t="s">
        <v>8864</v>
      </c>
      <c r="AI1225" s="77" t="b">
        <v>0</v>
      </c>
      <c r="AJ1225" s="77"/>
      <c r="AK1225" s="77"/>
      <c r="AL1225" s="77"/>
      <c r="AM1225" s="77"/>
      <c r="AN1225" s="77"/>
      <c r="AO1225" s="77"/>
      <c r="AP1225" s="77"/>
      <c r="AQ1225" s="77" t="s">
        <v>11302</v>
      </c>
      <c r="AR1225" s="77"/>
      <c r="AS1225" s="77"/>
      <c r="AT1225" s="77"/>
      <c r="AU1225" s="77"/>
      <c r="AV1225" s="80" t="str">
        <f>HYPERLINK("https://pbs.twimg.com/media/F5XtCbkWwAASL-G.jpg")</f>
        <v>https://pbs.twimg.com/media/F5XtCbkWwAASL-G.jpg</v>
      </c>
      <c r="AW1225" s="82" t="s">
        <v>12891</v>
      </c>
      <c r="AX1225" s="82" t="s">
        <v>12891</v>
      </c>
      <c r="AY1225" s="77"/>
      <c r="AZ1225" s="82" t="s">
        <v>15984</v>
      </c>
      <c r="BA1225" s="82" t="s">
        <v>15984</v>
      </c>
      <c r="BB1225" s="82" t="s">
        <v>15984</v>
      </c>
      <c r="BC1225" s="82" t="s">
        <v>12891</v>
      </c>
      <c r="BD1225" s="77">
        <v>82758897</v>
      </c>
      <c r="BE1225" s="77"/>
      <c r="BF1225" s="77"/>
      <c r="BG1225" s="77"/>
      <c r="BH1225" s="77"/>
      <c r="BI1225" s="77"/>
    </row>
    <row r="1226" spans="1:61" x14ac:dyDescent="0.25">
      <c r="A1226" s="62" t="s">
        <v>602</v>
      </c>
      <c r="B1226" s="62" t="s">
        <v>602</v>
      </c>
      <c r="C1226" s="63"/>
      <c r="D1226" s="64"/>
      <c r="E1226" s="65"/>
      <c r="F1226" s="66"/>
      <c r="G1226" s="63"/>
      <c r="H1226" s="67"/>
      <c r="I1226" s="68"/>
      <c r="J1226" s="68"/>
      <c r="K1226" s="32"/>
      <c r="L1226" s="75">
        <v>1226</v>
      </c>
      <c r="M1226" s="75"/>
      <c r="N1226" s="70"/>
      <c r="O1226" s="77" t="s">
        <v>179</v>
      </c>
      <c r="P1226" s="79">
        <v>45180.832685185182</v>
      </c>
      <c r="Q1226" s="77" t="s">
        <v>2007</v>
      </c>
      <c r="R1226" s="77">
        <v>0</v>
      </c>
      <c r="S1226" s="77">
        <v>0</v>
      </c>
      <c r="T1226" s="77">
        <v>0</v>
      </c>
      <c r="U1226" s="77">
        <v>0</v>
      </c>
      <c r="V1226" s="77">
        <v>65</v>
      </c>
      <c r="W1226" s="82" t="s">
        <v>5463</v>
      </c>
      <c r="X1226" s="80" t="str">
        <f>HYPERLINK("http://tgrafi.co/rank")</f>
        <v>http://tgrafi.co/rank</v>
      </c>
      <c r="Y1226" s="77" t="s">
        <v>6543</v>
      </c>
      <c r="Z1226" s="77"/>
      <c r="AA1226" s="77" t="s">
        <v>7331</v>
      </c>
      <c r="AB1226" s="77" t="s">
        <v>7742</v>
      </c>
      <c r="AC1226" s="82" t="s">
        <v>7750</v>
      </c>
      <c r="AD1226" s="77" t="s">
        <v>7788</v>
      </c>
      <c r="AE1226" s="80" t="str">
        <f>HYPERLINK("https://twitter.com/tradergrafico/status/1701324498300023214")</f>
        <v>https://twitter.com/tradergrafico/status/1701324498300023214</v>
      </c>
      <c r="AF1226" s="79">
        <v>45180.832685185182</v>
      </c>
      <c r="AG1226" s="85">
        <v>45180</v>
      </c>
      <c r="AH1226" s="82" t="s">
        <v>8865</v>
      </c>
      <c r="AI1226" s="77" t="b">
        <v>0</v>
      </c>
      <c r="AJ1226" s="77"/>
      <c r="AK1226" s="77"/>
      <c r="AL1226" s="77"/>
      <c r="AM1226" s="77"/>
      <c r="AN1226" s="77"/>
      <c r="AO1226" s="77"/>
      <c r="AP1226" s="77"/>
      <c r="AQ1226" s="77" t="s">
        <v>11303</v>
      </c>
      <c r="AR1226" s="77"/>
      <c r="AS1226" s="77"/>
      <c r="AT1226" s="77"/>
      <c r="AU1226" s="77"/>
      <c r="AV1226" s="80" t="str">
        <f>HYPERLINK("https://pbs.twimg.com/media/F5xRk7IX0AA31QS.jpg")</f>
        <v>https://pbs.twimg.com/media/F5xRk7IX0AA31QS.jpg</v>
      </c>
      <c r="AW1226" s="82" t="s">
        <v>12892</v>
      </c>
      <c r="AX1226" s="82" t="s">
        <v>12892</v>
      </c>
      <c r="AY1226" s="77"/>
      <c r="AZ1226" s="82" t="s">
        <v>15984</v>
      </c>
      <c r="BA1226" s="82" t="s">
        <v>15984</v>
      </c>
      <c r="BB1226" s="82" t="s">
        <v>15984</v>
      </c>
      <c r="BC1226" s="82" t="s">
        <v>12892</v>
      </c>
      <c r="BD1226" s="77">
        <v>82758897</v>
      </c>
      <c r="BE1226" s="77"/>
      <c r="BF1226" s="77"/>
      <c r="BG1226" s="77"/>
      <c r="BH1226" s="77"/>
      <c r="BI1226" s="77"/>
    </row>
    <row r="1227" spans="1:61" x14ac:dyDescent="0.25">
      <c r="A1227" s="62" t="s">
        <v>602</v>
      </c>
      <c r="B1227" s="62" t="s">
        <v>602</v>
      </c>
      <c r="C1227" s="63"/>
      <c r="D1227" s="64"/>
      <c r="E1227" s="65"/>
      <c r="F1227" s="66"/>
      <c r="G1227" s="63"/>
      <c r="H1227" s="67"/>
      <c r="I1227" s="68"/>
      <c r="J1227" s="68"/>
      <c r="K1227" s="32"/>
      <c r="L1227" s="75">
        <v>1227</v>
      </c>
      <c r="M1227" s="75"/>
      <c r="N1227" s="70"/>
      <c r="O1227" s="77" t="s">
        <v>179</v>
      </c>
      <c r="P1227" s="79">
        <v>45181.800659722219</v>
      </c>
      <c r="Q1227" s="77" t="s">
        <v>2008</v>
      </c>
      <c r="R1227" s="77">
        <v>0</v>
      </c>
      <c r="S1227" s="77">
        <v>0</v>
      </c>
      <c r="T1227" s="77">
        <v>0</v>
      </c>
      <c r="U1227" s="77">
        <v>0</v>
      </c>
      <c r="V1227" s="77">
        <v>73</v>
      </c>
      <c r="W1227" s="82" t="s">
        <v>5463</v>
      </c>
      <c r="X1227" s="80" t="str">
        <f>HYPERLINK("http://tgrafi.co/rank")</f>
        <v>http://tgrafi.co/rank</v>
      </c>
      <c r="Y1227" s="77" t="s">
        <v>6543</v>
      </c>
      <c r="Z1227" s="77"/>
      <c r="AA1227" s="77" t="s">
        <v>7332</v>
      </c>
      <c r="AB1227" s="77" t="s">
        <v>7742</v>
      </c>
      <c r="AC1227" s="82" t="s">
        <v>7750</v>
      </c>
      <c r="AD1227" s="77" t="s">
        <v>7788</v>
      </c>
      <c r="AE1227" s="80" t="str">
        <f>HYPERLINK("https://twitter.com/tradergrafico/status/1701675282233524267")</f>
        <v>https://twitter.com/tradergrafico/status/1701675282233524267</v>
      </c>
      <c r="AF1227" s="79">
        <v>45181.800659722219</v>
      </c>
      <c r="AG1227" s="85">
        <v>45181</v>
      </c>
      <c r="AH1227" s="82" t="s">
        <v>8866</v>
      </c>
      <c r="AI1227" s="77" t="b">
        <v>0</v>
      </c>
      <c r="AJ1227" s="77"/>
      <c r="AK1227" s="77"/>
      <c r="AL1227" s="77"/>
      <c r="AM1227" s="77"/>
      <c r="AN1227" s="77"/>
      <c r="AO1227" s="77"/>
      <c r="AP1227" s="77"/>
      <c r="AQ1227" s="77" t="s">
        <v>11304</v>
      </c>
      <c r="AR1227" s="77"/>
      <c r="AS1227" s="77"/>
      <c r="AT1227" s="77"/>
      <c r="AU1227" s="77"/>
      <c r="AV1227" s="80" t="str">
        <f>HYPERLINK("https://pbs.twimg.com/media/F52QnTAXgAAvJ7W.jpg")</f>
        <v>https://pbs.twimg.com/media/F52QnTAXgAAvJ7W.jpg</v>
      </c>
      <c r="AW1227" s="82" t="s">
        <v>12893</v>
      </c>
      <c r="AX1227" s="82" t="s">
        <v>12893</v>
      </c>
      <c r="AY1227" s="77"/>
      <c r="AZ1227" s="82" t="s">
        <v>15984</v>
      </c>
      <c r="BA1227" s="82" t="s">
        <v>15984</v>
      </c>
      <c r="BB1227" s="82" t="s">
        <v>15984</v>
      </c>
      <c r="BC1227" s="82" t="s">
        <v>12893</v>
      </c>
      <c r="BD1227" s="77">
        <v>82758897</v>
      </c>
      <c r="BE1227" s="77"/>
      <c r="BF1227" s="77"/>
      <c r="BG1227" s="77"/>
      <c r="BH1227" s="77"/>
      <c r="BI1227" s="77"/>
    </row>
    <row r="1228" spans="1:61" x14ac:dyDescent="0.25">
      <c r="A1228" s="62" t="s">
        <v>602</v>
      </c>
      <c r="B1228" s="62" t="s">
        <v>602</v>
      </c>
      <c r="C1228" s="63"/>
      <c r="D1228" s="64"/>
      <c r="E1228" s="65"/>
      <c r="F1228" s="66"/>
      <c r="G1228" s="63"/>
      <c r="H1228" s="67"/>
      <c r="I1228" s="68"/>
      <c r="J1228" s="68"/>
      <c r="K1228" s="32"/>
      <c r="L1228" s="75">
        <v>1228</v>
      </c>
      <c r="M1228" s="75"/>
      <c r="N1228" s="70"/>
      <c r="O1228" s="77" t="s">
        <v>179</v>
      </c>
      <c r="P1228" s="79">
        <v>45191.780451388891</v>
      </c>
      <c r="Q1228" s="77" t="s">
        <v>2009</v>
      </c>
      <c r="R1228" s="77">
        <v>0</v>
      </c>
      <c r="S1228" s="77">
        <v>0</v>
      </c>
      <c r="T1228" s="77">
        <v>0</v>
      </c>
      <c r="U1228" s="77">
        <v>0</v>
      </c>
      <c r="V1228" s="77">
        <v>76</v>
      </c>
      <c r="W1228" s="82" t="s">
        <v>5463</v>
      </c>
      <c r="X1228" s="80" t="str">
        <f>HYPERLINK("http://tgrafi.co/rank")</f>
        <v>http://tgrafi.co/rank</v>
      </c>
      <c r="Y1228" s="77" t="s">
        <v>6543</v>
      </c>
      <c r="Z1228" s="77"/>
      <c r="AA1228" s="77" t="s">
        <v>7333</v>
      </c>
      <c r="AB1228" s="77" t="s">
        <v>7742</v>
      </c>
      <c r="AC1228" s="82" t="s">
        <v>7750</v>
      </c>
      <c r="AD1228" s="77" t="s">
        <v>7788</v>
      </c>
      <c r="AE1228" s="80" t="str">
        <f>HYPERLINK("https://twitter.com/tradergrafico/status/1705291838322528608")</f>
        <v>https://twitter.com/tradergrafico/status/1705291838322528608</v>
      </c>
      <c r="AF1228" s="79">
        <v>45191.780451388891</v>
      </c>
      <c r="AG1228" s="85">
        <v>45191</v>
      </c>
      <c r="AH1228" s="82" t="s">
        <v>8458</v>
      </c>
      <c r="AI1228" s="77" t="b">
        <v>0</v>
      </c>
      <c r="AJ1228" s="77"/>
      <c r="AK1228" s="77"/>
      <c r="AL1228" s="77"/>
      <c r="AM1228" s="77"/>
      <c r="AN1228" s="77"/>
      <c r="AO1228" s="77"/>
      <c r="AP1228" s="77"/>
      <c r="AQ1228" s="77" t="s">
        <v>11305</v>
      </c>
      <c r="AR1228" s="77"/>
      <c r="AS1228" s="77"/>
      <c r="AT1228" s="77"/>
      <c r="AU1228" s="77"/>
      <c r="AV1228" s="80" t="str">
        <f>HYPERLINK("https://pbs.twimg.com/media/F6pp2kIW4AAxsuj.jpg")</f>
        <v>https://pbs.twimg.com/media/F6pp2kIW4AAxsuj.jpg</v>
      </c>
      <c r="AW1228" s="82" t="s">
        <v>12894</v>
      </c>
      <c r="AX1228" s="82" t="s">
        <v>12894</v>
      </c>
      <c r="AY1228" s="77"/>
      <c r="AZ1228" s="82" t="s">
        <v>15984</v>
      </c>
      <c r="BA1228" s="82" t="s">
        <v>15984</v>
      </c>
      <c r="BB1228" s="82" t="s">
        <v>15984</v>
      </c>
      <c r="BC1228" s="82" t="s">
        <v>12894</v>
      </c>
      <c r="BD1228" s="77">
        <v>82758897</v>
      </c>
      <c r="BE1228" s="77"/>
      <c r="BF1228" s="77"/>
      <c r="BG1228" s="77"/>
      <c r="BH1228" s="77"/>
      <c r="BI1228" s="77"/>
    </row>
    <row r="1229" spans="1:61" x14ac:dyDescent="0.25">
      <c r="A1229" s="62" t="s">
        <v>602</v>
      </c>
      <c r="B1229" s="62" t="s">
        <v>602</v>
      </c>
      <c r="C1229" s="63"/>
      <c r="D1229" s="64"/>
      <c r="E1229" s="65"/>
      <c r="F1229" s="66"/>
      <c r="G1229" s="63"/>
      <c r="H1229" s="67"/>
      <c r="I1229" s="68"/>
      <c r="J1229" s="68"/>
      <c r="K1229" s="32"/>
      <c r="L1229" s="75">
        <v>1229</v>
      </c>
      <c r="M1229" s="75"/>
      <c r="N1229" s="70"/>
      <c r="O1229" s="77" t="s">
        <v>179</v>
      </c>
      <c r="P1229" s="79">
        <v>45188.846053240741</v>
      </c>
      <c r="Q1229" s="77" t="s">
        <v>2010</v>
      </c>
      <c r="R1229" s="77">
        <v>0</v>
      </c>
      <c r="S1229" s="77">
        <v>0</v>
      </c>
      <c r="T1229" s="77">
        <v>0</v>
      </c>
      <c r="U1229" s="77">
        <v>0</v>
      </c>
      <c r="V1229" s="77">
        <v>49</v>
      </c>
      <c r="W1229" s="82" t="s">
        <v>5463</v>
      </c>
      <c r="X1229" s="80" t="str">
        <f>HYPERLINK("http://tgrafi.co/rank")</f>
        <v>http://tgrafi.co/rank</v>
      </c>
      <c r="Y1229" s="77" t="s">
        <v>6543</v>
      </c>
      <c r="Z1229" s="77"/>
      <c r="AA1229" s="77" t="s">
        <v>7334</v>
      </c>
      <c r="AB1229" s="77" t="s">
        <v>7742</v>
      </c>
      <c r="AC1229" s="82" t="s">
        <v>7750</v>
      </c>
      <c r="AD1229" s="77" t="s">
        <v>7788</v>
      </c>
      <c r="AE1229" s="80" t="str">
        <f>HYPERLINK("https://twitter.com/tradergrafico/status/1704228448451858937")</f>
        <v>https://twitter.com/tradergrafico/status/1704228448451858937</v>
      </c>
      <c r="AF1229" s="79">
        <v>45188.846053240741</v>
      </c>
      <c r="AG1229" s="85">
        <v>45188</v>
      </c>
      <c r="AH1229" s="82" t="s">
        <v>8867</v>
      </c>
      <c r="AI1229" s="77" t="b">
        <v>0</v>
      </c>
      <c r="AJ1229" s="77"/>
      <c r="AK1229" s="77"/>
      <c r="AL1229" s="77"/>
      <c r="AM1229" s="77"/>
      <c r="AN1229" s="77"/>
      <c r="AO1229" s="77"/>
      <c r="AP1229" s="77"/>
      <c r="AQ1229" s="77" t="s">
        <v>11306</v>
      </c>
      <c r="AR1229" s="77"/>
      <c r="AS1229" s="77"/>
      <c r="AT1229" s="77"/>
      <c r="AU1229" s="77"/>
      <c r="AV1229" s="80" t="str">
        <f>HYPERLINK("https://pbs.twimg.com/media/F6aitFtXgAAZ60i.jpg")</f>
        <v>https://pbs.twimg.com/media/F6aitFtXgAAZ60i.jpg</v>
      </c>
      <c r="AW1229" s="82" t="s">
        <v>12895</v>
      </c>
      <c r="AX1229" s="82" t="s">
        <v>12895</v>
      </c>
      <c r="AY1229" s="77"/>
      <c r="AZ1229" s="82" t="s">
        <v>15984</v>
      </c>
      <c r="BA1229" s="82" t="s">
        <v>15984</v>
      </c>
      <c r="BB1229" s="82" t="s">
        <v>15984</v>
      </c>
      <c r="BC1229" s="82" t="s">
        <v>12895</v>
      </c>
      <c r="BD1229" s="77">
        <v>82758897</v>
      </c>
      <c r="BE1229" s="77"/>
      <c r="BF1229" s="77"/>
      <c r="BG1229" s="77"/>
      <c r="BH1229" s="77"/>
      <c r="BI1229" s="77"/>
    </row>
    <row r="1230" spans="1:61" x14ac:dyDescent="0.25">
      <c r="A1230" s="62" t="s">
        <v>602</v>
      </c>
      <c r="B1230" s="62" t="s">
        <v>602</v>
      </c>
      <c r="C1230" s="63"/>
      <c r="D1230" s="64"/>
      <c r="E1230" s="65"/>
      <c r="F1230" s="66"/>
      <c r="G1230" s="63"/>
      <c r="H1230" s="67"/>
      <c r="I1230" s="68"/>
      <c r="J1230" s="68"/>
      <c r="K1230" s="32"/>
      <c r="L1230" s="75">
        <v>1230</v>
      </c>
      <c r="M1230" s="75"/>
      <c r="N1230" s="70"/>
      <c r="O1230" s="77" t="s">
        <v>179</v>
      </c>
      <c r="P1230" s="79">
        <v>45189.858414351853</v>
      </c>
      <c r="Q1230" s="77" t="s">
        <v>2011</v>
      </c>
      <c r="R1230" s="77">
        <v>0</v>
      </c>
      <c r="S1230" s="77">
        <v>0</v>
      </c>
      <c r="T1230" s="77">
        <v>0</v>
      </c>
      <c r="U1230" s="77">
        <v>0</v>
      </c>
      <c r="V1230" s="77">
        <v>52</v>
      </c>
      <c r="W1230" s="82" t="s">
        <v>5463</v>
      </c>
      <c r="X1230" s="80" t="str">
        <f>HYPERLINK("http://tgrafi.co/rank")</f>
        <v>http://tgrafi.co/rank</v>
      </c>
      <c r="Y1230" s="77" t="s">
        <v>6543</v>
      </c>
      <c r="Z1230" s="77"/>
      <c r="AA1230" s="77" t="s">
        <v>7335</v>
      </c>
      <c r="AB1230" s="77" t="s">
        <v>7742</v>
      </c>
      <c r="AC1230" s="82" t="s">
        <v>7750</v>
      </c>
      <c r="AD1230" s="77" t="s">
        <v>7788</v>
      </c>
      <c r="AE1230" s="80" t="str">
        <f>HYPERLINK("https://twitter.com/tradergrafico/status/1704595316312248652")</f>
        <v>https://twitter.com/tradergrafico/status/1704595316312248652</v>
      </c>
      <c r="AF1230" s="79">
        <v>45189.858414351853</v>
      </c>
      <c r="AG1230" s="85">
        <v>45189</v>
      </c>
      <c r="AH1230" s="82" t="s">
        <v>8868</v>
      </c>
      <c r="AI1230" s="77" t="b">
        <v>0</v>
      </c>
      <c r="AJ1230" s="77"/>
      <c r="AK1230" s="77"/>
      <c r="AL1230" s="77"/>
      <c r="AM1230" s="77"/>
      <c r="AN1230" s="77"/>
      <c r="AO1230" s="77"/>
      <c r="AP1230" s="77"/>
      <c r="AQ1230" s="77" t="s">
        <v>11307</v>
      </c>
      <c r="AR1230" s="77"/>
      <c r="AS1230" s="77"/>
      <c r="AT1230" s="77"/>
      <c r="AU1230" s="77"/>
      <c r="AV1230" s="80" t="str">
        <f>HYPERLINK("https://pbs.twimg.com/media/F6fwXmRWQAAk16p.jpg")</f>
        <v>https://pbs.twimg.com/media/F6fwXmRWQAAk16p.jpg</v>
      </c>
      <c r="AW1230" s="82" t="s">
        <v>12896</v>
      </c>
      <c r="AX1230" s="82" t="s">
        <v>12896</v>
      </c>
      <c r="AY1230" s="77"/>
      <c r="AZ1230" s="82" t="s">
        <v>15984</v>
      </c>
      <c r="BA1230" s="82" t="s">
        <v>15984</v>
      </c>
      <c r="BB1230" s="82" t="s">
        <v>15984</v>
      </c>
      <c r="BC1230" s="82" t="s">
        <v>12896</v>
      </c>
      <c r="BD1230" s="77">
        <v>82758897</v>
      </c>
      <c r="BE1230" s="77"/>
      <c r="BF1230" s="77"/>
      <c r="BG1230" s="77"/>
      <c r="BH1230" s="77"/>
      <c r="BI1230" s="77"/>
    </row>
    <row r="1231" spans="1:61" x14ac:dyDescent="0.25">
      <c r="A1231" s="62" t="s">
        <v>602</v>
      </c>
      <c r="B1231" s="62" t="s">
        <v>602</v>
      </c>
      <c r="C1231" s="63"/>
      <c r="D1231" s="64"/>
      <c r="E1231" s="65"/>
      <c r="F1231" s="66"/>
      <c r="G1231" s="63"/>
      <c r="H1231" s="67"/>
      <c r="I1231" s="68"/>
      <c r="J1231" s="68"/>
      <c r="K1231" s="32"/>
      <c r="L1231" s="75">
        <v>1231</v>
      </c>
      <c r="M1231" s="75"/>
      <c r="N1231" s="70"/>
      <c r="O1231" s="77" t="s">
        <v>179</v>
      </c>
      <c r="P1231" s="79">
        <v>45190.860092592593</v>
      </c>
      <c r="Q1231" s="77" t="s">
        <v>2012</v>
      </c>
      <c r="R1231" s="77">
        <v>0</v>
      </c>
      <c r="S1231" s="77">
        <v>0</v>
      </c>
      <c r="T1231" s="77">
        <v>0</v>
      </c>
      <c r="U1231" s="77">
        <v>0</v>
      </c>
      <c r="V1231" s="77">
        <v>62</v>
      </c>
      <c r="W1231" s="82" t="s">
        <v>5463</v>
      </c>
      <c r="X1231" s="80" t="str">
        <f>HYPERLINK("http://tgrafi.co/rank")</f>
        <v>http://tgrafi.co/rank</v>
      </c>
      <c r="Y1231" s="77" t="s">
        <v>6543</v>
      </c>
      <c r="Z1231" s="77"/>
      <c r="AA1231" s="77" t="s">
        <v>7336</v>
      </c>
      <c r="AB1231" s="77" t="s">
        <v>7742</v>
      </c>
      <c r="AC1231" s="82" t="s">
        <v>7750</v>
      </c>
      <c r="AD1231" s="77" t="s">
        <v>7788</v>
      </c>
      <c r="AE1231" s="80" t="str">
        <f>HYPERLINK("https://twitter.com/tradergrafico/status/1704958308828799081")</f>
        <v>https://twitter.com/tradergrafico/status/1704958308828799081</v>
      </c>
      <c r="AF1231" s="79">
        <v>45190.860092592593</v>
      </c>
      <c r="AG1231" s="85">
        <v>45190</v>
      </c>
      <c r="AH1231" s="82" t="s">
        <v>8869</v>
      </c>
      <c r="AI1231" s="77" t="b">
        <v>0</v>
      </c>
      <c r="AJ1231" s="77"/>
      <c r="AK1231" s="77"/>
      <c r="AL1231" s="77"/>
      <c r="AM1231" s="77"/>
      <c r="AN1231" s="77"/>
      <c r="AO1231" s="77"/>
      <c r="AP1231" s="77"/>
      <c r="AQ1231" s="77" t="s">
        <v>11308</v>
      </c>
      <c r="AR1231" s="77"/>
      <c r="AS1231" s="77"/>
      <c r="AT1231" s="77"/>
      <c r="AU1231" s="77"/>
      <c r="AV1231" s="80" t="str">
        <f>HYPERLINK("https://pbs.twimg.com/media/F6k6ghIXAAA6P2H.jpg")</f>
        <v>https://pbs.twimg.com/media/F6k6ghIXAAA6P2H.jpg</v>
      </c>
      <c r="AW1231" s="82" t="s">
        <v>12897</v>
      </c>
      <c r="AX1231" s="82" t="s">
        <v>12897</v>
      </c>
      <c r="AY1231" s="77"/>
      <c r="AZ1231" s="82" t="s">
        <v>15984</v>
      </c>
      <c r="BA1231" s="82" t="s">
        <v>15984</v>
      </c>
      <c r="BB1231" s="82" t="s">
        <v>15984</v>
      </c>
      <c r="BC1231" s="82" t="s">
        <v>12897</v>
      </c>
      <c r="BD1231" s="77">
        <v>82758897</v>
      </c>
      <c r="BE1231" s="77"/>
      <c r="BF1231" s="77"/>
      <c r="BG1231" s="77"/>
      <c r="BH1231" s="77"/>
      <c r="BI1231" s="77"/>
    </row>
    <row r="1232" spans="1:61" x14ac:dyDescent="0.25">
      <c r="A1232" s="62" t="s">
        <v>602</v>
      </c>
      <c r="B1232" s="62" t="s">
        <v>602</v>
      </c>
      <c r="C1232" s="63"/>
      <c r="D1232" s="64"/>
      <c r="E1232" s="65"/>
      <c r="F1232" s="66"/>
      <c r="G1232" s="63"/>
      <c r="H1232" s="67"/>
      <c r="I1232" s="68"/>
      <c r="J1232" s="68"/>
      <c r="K1232" s="32"/>
      <c r="L1232" s="75">
        <v>1232</v>
      </c>
      <c r="M1232" s="75"/>
      <c r="N1232" s="70"/>
      <c r="O1232" s="77" t="s">
        <v>179</v>
      </c>
      <c r="P1232" s="79">
        <v>45196.866805555554</v>
      </c>
      <c r="Q1232" s="77" t="s">
        <v>2013</v>
      </c>
      <c r="R1232" s="77">
        <v>0</v>
      </c>
      <c r="S1232" s="77">
        <v>0</v>
      </c>
      <c r="T1232" s="77">
        <v>0</v>
      </c>
      <c r="U1232" s="77">
        <v>0</v>
      </c>
      <c r="V1232" s="77">
        <v>59</v>
      </c>
      <c r="W1232" s="82" t="s">
        <v>5463</v>
      </c>
      <c r="X1232" s="80" t="str">
        <f>HYPERLINK("http://tgrafi.co/rank")</f>
        <v>http://tgrafi.co/rank</v>
      </c>
      <c r="Y1232" s="77" t="s">
        <v>6543</v>
      </c>
      <c r="Z1232" s="77"/>
      <c r="AA1232" s="77" t="s">
        <v>7337</v>
      </c>
      <c r="AB1232" s="77" t="s">
        <v>7742</v>
      </c>
      <c r="AC1232" s="82" t="s">
        <v>7750</v>
      </c>
      <c r="AD1232" s="77" t="s">
        <v>7788</v>
      </c>
      <c r="AE1232" s="80" t="str">
        <f>HYPERLINK("https://twitter.com/tradergrafico/status/1707135069708804171")</f>
        <v>https://twitter.com/tradergrafico/status/1707135069708804171</v>
      </c>
      <c r="AF1232" s="79">
        <v>45196.866805555554</v>
      </c>
      <c r="AG1232" s="85">
        <v>45196</v>
      </c>
      <c r="AH1232" s="82" t="s">
        <v>8870</v>
      </c>
      <c r="AI1232" s="77" t="b">
        <v>0</v>
      </c>
      <c r="AJ1232" s="77"/>
      <c r="AK1232" s="77"/>
      <c r="AL1232" s="77"/>
      <c r="AM1232" s="77"/>
      <c r="AN1232" s="77"/>
      <c r="AO1232" s="77"/>
      <c r="AP1232" s="77"/>
      <c r="AQ1232" s="77" t="s">
        <v>11309</v>
      </c>
      <c r="AR1232" s="77"/>
      <c r="AS1232" s="77"/>
      <c r="AT1232" s="77"/>
      <c r="AU1232" s="77"/>
      <c r="AV1232" s="80" t="str">
        <f>HYPERLINK("https://pbs.twimg.com/media/F7D2Qx7XIAAVkPX.jpg")</f>
        <v>https://pbs.twimg.com/media/F7D2Qx7XIAAVkPX.jpg</v>
      </c>
      <c r="AW1232" s="82" t="s">
        <v>12898</v>
      </c>
      <c r="AX1232" s="82" t="s">
        <v>12898</v>
      </c>
      <c r="AY1232" s="77"/>
      <c r="AZ1232" s="82" t="s">
        <v>15984</v>
      </c>
      <c r="BA1232" s="82" t="s">
        <v>15984</v>
      </c>
      <c r="BB1232" s="82" t="s">
        <v>15984</v>
      </c>
      <c r="BC1232" s="82" t="s">
        <v>12898</v>
      </c>
      <c r="BD1232" s="77">
        <v>82758897</v>
      </c>
      <c r="BE1232" s="77"/>
      <c r="BF1232" s="77"/>
      <c r="BG1232" s="77"/>
      <c r="BH1232" s="77"/>
      <c r="BI1232" s="77"/>
    </row>
    <row r="1233" spans="1:61" x14ac:dyDescent="0.25">
      <c r="A1233" s="62" t="s">
        <v>602</v>
      </c>
      <c r="B1233" s="62" t="s">
        <v>602</v>
      </c>
      <c r="C1233" s="63"/>
      <c r="D1233" s="64"/>
      <c r="E1233" s="65"/>
      <c r="F1233" s="66"/>
      <c r="G1233" s="63"/>
      <c r="H1233" s="67"/>
      <c r="I1233" s="68"/>
      <c r="J1233" s="68"/>
      <c r="K1233" s="32"/>
      <c r="L1233" s="75">
        <v>1233</v>
      </c>
      <c r="M1233" s="75"/>
      <c r="N1233" s="70"/>
      <c r="O1233" s="77" t="s">
        <v>179</v>
      </c>
      <c r="P1233" s="79">
        <v>45194.864560185182</v>
      </c>
      <c r="Q1233" s="77" t="s">
        <v>2014</v>
      </c>
      <c r="R1233" s="77">
        <v>0</v>
      </c>
      <c r="S1233" s="77">
        <v>0</v>
      </c>
      <c r="T1233" s="77">
        <v>0</v>
      </c>
      <c r="U1233" s="77">
        <v>0</v>
      </c>
      <c r="V1233" s="77">
        <v>50</v>
      </c>
      <c r="W1233" s="82" t="s">
        <v>5463</v>
      </c>
      <c r="X1233" s="80" t="str">
        <f>HYPERLINK("http://tgrafi.co/rank")</f>
        <v>http://tgrafi.co/rank</v>
      </c>
      <c r="Y1233" s="77" t="s">
        <v>6543</v>
      </c>
      <c r="Z1233" s="77"/>
      <c r="AA1233" s="77" t="s">
        <v>7338</v>
      </c>
      <c r="AB1233" s="77" t="s">
        <v>7742</v>
      </c>
      <c r="AC1233" s="82" t="s">
        <v>7750</v>
      </c>
      <c r="AD1233" s="77" t="s">
        <v>7788</v>
      </c>
      <c r="AE1233" s="80" t="str">
        <f>HYPERLINK("https://twitter.com/tradergrafico/status/1706409479258993038")</f>
        <v>https://twitter.com/tradergrafico/status/1706409479258993038</v>
      </c>
      <c r="AF1233" s="79">
        <v>45194.864560185182</v>
      </c>
      <c r="AG1233" s="85">
        <v>45194</v>
      </c>
      <c r="AH1233" s="82" t="s">
        <v>8871</v>
      </c>
      <c r="AI1233" s="77" t="b">
        <v>0</v>
      </c>
      <c r="AJ1233" s="77"/>
      <c r="AK1233" s="77"/>
      <c r="AL1233" s="77"/>
      <c r="AM1233" s="77"/>
      <c r="AN1233" s="77"/>
      <c r="AO1233" s="77"/>
      <c r="AP1233" s="77"/>
      <c r="AQ1233" s="77" t="s">
        <v>11310</v>
      </c>
      <c r="AR1233" s="77"/>
      <c r="AS1233" s="77"/>
      <c r="AT1233" s="77"/>
      <c r="AU1233" s="77"/>
      <c r="AV1233" s="80" t="str">
        <f>HYPERLINK("https://pbs.twimg.com/media/F65iVyjWIAAHp9r.jpg")</f>
        <v>https://pbs.twimg.com/media/F65iVyjWIAAHp9r.jpg</v>
      </c>
      <c r="AW1233" s="82" t="s">
        <v>12899</v>
      </c>
      <c r="AX1233" s="82" t="s">
        <v>12899</v>
      </c>
      <c r="AY1233" s="77"/>
      <c r="AZ1233" s="82" t="s">
        <v>15984</v>
      </c>
      <c r="BA1233" s="82" t="s">
        <v>15984</v>
      </c>
      <c r="BB1233" s="82" t="s">
        <v>15984</v>
      </c>
      <c r="BC1233" s="82" t="s">
        <v>12899</v>
      </c>
      <c r="BD1233" s="77">
        <v>82758897</v>
      </c>
      <c r="BE1233" s="77"/>
      <c r="BF1233" s="77"/>
      <c r="BG1233" s="77"/>
      <c r="BH1233" s="77"/>
      <c r="BI1233" s="77"/>
    </row>
    <row r="1234" spans="1:61" x14ac:dyDescent="0.25">
      <c r="A1234" s="62" t="s">
        <v>602</v>
      </c>
      <c r="B1234" s="62" t="s">
        <v>602</v>
      </c>
      <c r="C1234" s="63"/>
      <c r="D1234" s="64"/>
      <c r="E1234" s="65"/>
      <c r="F1234" s="66"/>
      <c r="G1234" s="63"/>
      <c r="H1234" s="67"/>
      <c r="I1234" s="68"/>
      <c r="J1234" s="68"/>
      <c r="K1234" s="32"/>
      <c r="L1234" s="75">
        <v>1234</v>
      </c>
      <c r="M1234" s="75"/>
      <c r="N1234" s="70"/>
      <c r="O1234" s="77" t="s">
        <v>179</v>
      </c>
      <c r="P1234" s="79">
        <v>45182.82271990741</v>
      </c>
      <c r="Q1234" s="77" t="s">
        <v>2015</v>
      </c>
      <c r="R1234" s="77">
        <v>0</v>
      </c>
      <c r="S1234" s="77">
        <v>1</v>
      </c>
      <c r="T1234" s="77">
        <v>0</v>
      </c>
      <c r="U1234" s="77">
        <v>0</v>
      </c>
      <c r="V1234" s="77">
        <v>78</v>
      </c>
      <c r="W1234" s="82" t="s">
        <v>5463</v>
      </c>
      <c r="X1234" s="80" t="str">
        <f>HYPERLINK("http://tgrafi.co/rank")</f>
        <v>http://tgrafi.co/rank</v>
      </c>
      <c r="Y1234" s="77" t="s">
        <v>6543</v>
      </c>
      <c r="Z1234" s="77"/>
      <c r="AA1234" s="77" t="s">
        <v>7339</v>
      </c>
      <c r="AB1234" s="77" t="s">
        <v>7742</v>
      </c>
      <c r="AC1234" s="82" t="s">
        <v>7750</v>
      </c>
      <c r="AD1234" s="77" t="s">
        <v>7788</v>
      </c>
      <c r="AE1234" s="80" t="str">
        <f>HYPERLINK("https://twitter.com/tradergrafico/status/1702045662282428888")</f>
        <v>https://twitter.com/tradergrafico/status/1702045662282428888</v>
      </c>
      <c r="AF1234" s="79">
        <v>45182.82271990741</v>
      </c>
      <c r="AG1234" s="85">
        <v>45182</v>
      </c>
      <c r="AH1234" s="82" t="s">
        <v>8872</v>
      </c>
      <c r="AI1234" s="77" t="b">
        <v>0</v>
      </c>
      <c r="AJ1234" s="77"/>
      <c r="AK1234" s="77"/>
      <c r="AL1234" s="77"/>
      <c r="AM1234" s="77"/>
      <c r="AN1234" s="77"/>
      <c r="AO1234" s="77"/>
      <c r="AP1234" s="77"/>
      <c r="AQ1234" s="77" t="s">
        <v>11311</v>
      </c>
      <c r="AR1234" s="77"/>
      <c r="AS1234" s="77"/>
      <c r="AT1234" s="77"/>
      <c r="AU1234" s="77"/>
      <c r="AV1234" s="80" t="str">
        <f>HYPERLINK("https://pbs.twimg.com/media/F57heNsWoAADcif.jpg")</f>
        <v>https://pbs.twimg.com/media/F57heNsWoAADcif.jpg</v>
      </c>
      <c r="AW1234" s="82" t="s">
        <v>12900</v>
      </c>
      <c r="AX1234" s="82" t="s">
        <v>12900</v>
      </c>
      <c r="AY1234" s="77"/>
      <c r="AZ1234" s="82" t="s">
        <v>15984</v>
      </c>
      <c r="BA1234" s="82" t="s">
        <v>15984</v>
      </c>
      <c r="BB1234" s="82" t="s">
        <v>15984</v>
      </c>
      <c r="BC1234" s="82" t="s">
        <v>12900</v>
      </c>
      <c r="BD1234" s="77">
        <v>82758897</v>
      </c>
      <c r="BE1234" s="77"/>
      <c r="BF1234" s="77"/>
      <c r="BG1234" s="77"/>
      <c r="BH1234" s="77"/>
      <c r="BI1234" s="77"/>
    </row>
    <row r="1235" spans="1:61" x14ac:dyDescent="0.25">
      <c r="A1235" s="62" t="s">
        <v>603</v>
      </c>
      <c r="B1235" s="62" t="s">
        <v>821</v>
      </c>
      <c r="C1235" s="63"/>
      <c r="D1235" s="64"/>
      <c r="E1235" s="65"/>
      <c r="F1235" s="66"/>
      <c r="G1235" s="63"/>
      <c r="H1235" s="67"/>
      <c r="I1235" s="68"/>
      <c r="J1235" s="68"/>
      <c r="K1235" s="32"/>
      <c r="L1235" s="75">
        <v>1235</v>
      </c>
      <c r="M1235" s="75"/>
      <c r="N1235" s="70"/>
      <c r="O1235" s="77" t="s">
        <v>895</v>
      </c>
      <c r="P1235" s="79">
        <v>45155.708715277775</v>
      </c>
      <c r="Q1235" s="77" t="s">
        <v>2016</v>
      </c>
      <c r="R1235" s="77">
        <v>0</v>
      </c>
      <c r="S1235" s="77">
        <v>3</v>
      </c>
      <c r="T1235" s="77">
        <v>0</v>
      </c>
      <c r="U1235" s="77">
        <v>0</v>
      </c>
      <c r="V1235" s="77">
        <v>202</v>
      </c>
      <c r="W1235" s="82" t="s">
        <v>4861</v>
      </c>
      <c r="X1235" s="77"/>
      <c r="Y1235" s="77"/>
      <c r="Z1235" s="77" t="s">
        <v>6590</v>
      </c>
      <c r="AA1235" s="77" t="s">
        <v>7340</v>
      </c>
      <c r="AB1235" s="77" t="s">
        <v>7744</v>
      </c>
      <c r="AC1235" s="82" t="s">
        <v>7750</v>
      </c>
      <c r="AD1235" s="77" t="s">
        <v>7790</v>
      </c>
      <c r="AE1235" s="80" t="str">
        <f>HYPERLINK("https://twitter.com/ontierlaw/status/1692219879665906018")</f>
        <v>https://twitter.com/ontierlaw/status/1692219879665906018</v>
      </c>
      <c r="AF1235" s="79">
        <v>45155.708715277775</v>
      </c>
      <c r="AG1235" s="85">
        <v>45155</v>
      </c>
      <c r="AH1235" s="82" t="s">
        <v>8873</v>
      </c>
      <c r="AI1235" s="77" t="b">
        <v>0</v>
      </c>
      <c r="AJ1235" s="77"/>
      <c r="AK1235" s="77"/>
      <c r="AL1235" s="77"/>
      <c r="AM1235" s="77"/>
      <c r="AN1235" s="77"/>
      <c r="AO1235" s="77"/>
      <c r="AP1235" s="77"/>
      <c r="AQ1235" s="77" t="s">
        <v>11312</v>
      </c>
      <c r="AR1235" s="77"/>
      <c r="AS1235" s="77"/>
      <c r="AT1235" s="77"/>
      <c r="AU1235" s="77"/>
      <c r="AV1235" s="80" t="str">
        <f>HYPERLINK("https://pbs.twimg.com/media/F3v4_bOXMBwMKl-.jpg")</f>
        <v>https://pbs.twimg.com/media/F3v4_bOXMBwMKl-.jpg</v>
      </c>
      <c r="AW1235" s="82" t="s">
        <v>12901</v>
      </c>
      <c r="AX1235" s="82" t="s">
        <v>12901</v>
      </c>
      <c r="AY1235" s="77"/>
      <c r="AZ1235" s="82" t="s">
        <v>15984</v>
      </c>
      <c r="BA1235" s="82" t="s">
        <v>15984</v>
      </c>
      <c r="BB1235" s="82" t="s">
        <v>15984</v>
      </c>
      <c r="BC1235" s="82" t="s">
        <v>12901</v>
      </c>
      <c r="BD1235" s="77">
        <v>2525389716</v>
      </c>
      <c r="BE1235" s="77"/>
      <c r="BF1235" s="77"/>
      <c r="BG1235" s="77"/>
      <c r="BH1235" s="77"/>
      <c r="BI1235" s="77"/>
    </row>
    <row r="1236" spans="1:61" x14ac:dyDescent="0.25">
      <c r="A1236" s="62" t="s">
        <v>603</v>
      </c>
      <c r="B1236" s="62" t="s">
        <v>822</v>
      </c>
      <c r="C1236" s="63"/>
      <c r="D1236" s="64"/>
      <c r="E1236" s="65"/>
      <c r="F1236" s="66"/>
      <c r="G1236" s="63"/>
      <c r="H1236" s="67"/>
      <c r="I1236" s="68"/>
      <c r="J1236" s="68"/>
      <c r="K1236" s="32"/>
      <c r="L1236" s="75">
        <v>1236</v>
      </c>
      <c r="M1236" s="75"/>
      <c r="N1236" s="70"/>
      <c r="O1236" s="77" t="s">
        <v>895</v>
      </c>
      <c r="P1236" s="79">
        <v>45155.708715277775</v>
      </c>
      <c r="Q1236" s="77" t="s">
        <v>2016</v>
      </c>
      <c r="R1236" s="77">
        <v>0</v>
      </c>
      <c r="S1236" s="77">
        <v>3</v>
      </c>
      <c r="T1236" s="77">
        <v>0</v>
      </c>
      <c r="U1236" s="77">
        <v>0</v>
      </c>
      <c r="V1236" s="77">
        <v>202</v>
      </c>
      <c r="W1236" s="82" t="s">
        <v>4861</v>
      </c>
      <c r="X1236" s="77"/>
      <c r="Y1236" s="77"/>
      <c r="Z1236" s="77" t="s">
        <v>6590</v>
      </c>
      <c r="AA1236" s="77" t="s">
        <v>7340</v>
      </c>
      <c r="AB1236" s="77" t="s">
        <v>7744</v>
      </c>
      <c r="AC1236" s="82" t="s">
        <v>7750</v>
      </c>
      <c r="AD1236" s="77" t="s">
        <v>7790</v>
      </c>
      <c r="AE1236" s="80" t="str">
        <f>HYPERLINK("https://twitter.com/ontierlaw/status/1692219879665906018")</f>
        <v>https://twitter.com/ontierlaw/status/1692219879665906018</v>
      </c>
      <c r="AF1236" s="79">
        <v>45155.708715277775</v>
      </c>
      <c r="AG1236" s="85">
        <v>45155</v>
      </c>
      <c r="AH1236" s="82" t="s">
        <v>8873</v>
      </c>
      <c r="AI1236" s="77" t="b">
        <v>0</v>
      </c>
      <c r="AJ1236" s="77"/>
      <c r="AK1236" s="77"/>
      <c r="AL1236" s="77"/>
      <c r="AM1236" s="77"/>
      <c r="AN1236" s="77"/>
      <c r="AO1236" s="77"/>
      <c r="AP1236" s="77"/>
      <c r="AQ1236" s="77" t="s">
        <v>11312</v>
      </c>
      <c r="AR1236" s="77"/>
      <c r="AS1236" s="77"/>
      <c r="AT1236" s="77"/>
      <c r="AU1236" s="77"/>
      <c r="AV1236" s="80" t="str">
        <f>HYPERLINK("https://pbs.twimg.com/media/F3v4_bOXMBwMKl-.jpg")</f>
        <v>https://pbs.twimg.com/media/F3v4_bOXMBwMKl-.jpg</v>
      </c>
      <c r="AW1236" s="82" t="s">
        <v>12901</v>
      </c>
      <c r="AX1236" s="82" t="s">
        <v>12901</v>
      </c>
      <c r="AY1236" s="77"/>
      <c r="AZ1236" s="82" t="s">
        <v>15984</v>
      </c>
      <c r="BA1236" s="82" t="s">
        <v>15984</v>
      </c>
      <c r="BB1236" s="82" t="s">
        <v>15984</v>
      </c>
      <c r="BC1236" s="82" t="s">
        <v>12901</v>
      </c>
      <c r="BD1236" s="77">
        <v>2525389716</v>
      </c>
      <c r="BE1236" s="77"/>
      <c r="BF1236" s="77"/>
      <c r="BG1236" s="77"/>
      <c r="BH1236" s="77"/>
      <c r="BI1236" s="77"/>
    </row>
    <row r="1237" spans="1:61" x14ac:dyDescent="0.25">
      <c r="A1237" s="62" t="s">
        <v>604</v>
      </c>
      <c r="B1237" s="62" t="s">
        <v>698</v>
      </c>
      <c r="C1237" s="63"/>
      <c r="D1237" s="64"/>
      <c r="E1237" s="65"/>
      <c r="F1237" s="66"/>
      <c r="G1237" s="63"/>
      <c r="H1237" s="67"/>
      <c r="I1237" s="68"/>
      <c r="J1237" s="68"/>
      <c r="K1237" s="32"/>
      <c r="L1237" s="75">
        <v>1237</v>
      </c>
      <c r="M1237" s="75"/>
      <c r="N1237" s="70"/>
      <c r="O1237" s="77" t="s">
        <v>897</v>
      </c>
      <c r="P1237" s="79">
        <v>45196.422210648147</v>
      </c>
      <c r="Q1237" s="77" t="s">
        <v>1696</v>
      </c>
      <c r="R1237" s="77">
        <v>2</v>
      </c>
      <c r="S1237" s="77">
        <v>0</v>
      </c>
      <c r="T1237" s="77">
        <v>0</v>
      </c>
      <c r="U1237" s="77">
        <v>0</v>
      </c>
      <c r="V1237" s="77"/>
      <c r="W1237" s="77"/>
      <c r="X1237" s="77"/>
      <c r="Y1237" s="77"/>
      <c r="Z1237" s="77" t="s">
        <v>698</v>
      </c>
      <c r="AA1237" s="77"/>
      <c r="AB1237" s="77"/>
      <c r="AC1237" s="82" t="s">
        <v>7751</v>
      </c>
      <c r="AD1237" s="77" t="s">
        <v>7788</v>
      </c>
      <c r="AE1237" s="80" t="str">
        <f>HYPERLINK("https://twitter.com/leonardo_leao3/status/1706973954189951010")</f>
        <v>https://twitter.com/leonardo_leao3/status/1706973954189951010</v>
      </c>
      <c r="AF1237" s="79">
        <v>45196.422210648147</v>
      </c>
      <c r="AG1237" s="85">
        <v>45196</v>
      </c>
      <c r="AH1237" s="82" t="s">
        <v>8874</v>
      </c>
      <c r="AI1237" s="77" t="b">
        <v>0</v>
      </c>
      <c r="AJ1237" s="77"/>
      <c r="AK1237" s="77"/>
      <c r="AL1237" s="77"/>
      <c r="AM1237" s="77"/>
      <c r="AN1237" s="77"/>
      <c r="AO1237" s="77"/>
      <c r="AP1237" s="77"/>
      <c r="AQ1237" s="77"/>
      <c r="AR1237" s="77"/>
      <c r="AS1237" s="77"/>
      <c r="AT1237" s="77"/>
      <c r="AU1237" s="77"/>
      <c r="AV1237" s="80" t="str">
        <f>HYPERLINK("https://pbs.twimg.com/profile_images/1315048476972023810/zOM9ofxf_normal.jpg")</f>
        <v>https://pbs.twimg.com/profile_images/1315048476972023810/zOM9ofxf_normal.jpg</v>
      </c>
      <c r="AW1237" s="82" t="s">
        <v>12902</v>
      </c>
      <c r="AX1237" s="82" t="s">
        <v>12902</v>
      </c>
      <c r="AY1237" s="77"/>
      <c r="AZ1237" s="82" t="s">
        <v>15984</v>
      </c>
      <c r="BA1237" s="82" t="s">
        <v>15984</v>
      </c>
      <c r="BB1237" s="82" t="s">
        <v>13573</v>
      </c>
      <c r="BC1237" s="82" t="s">
        <v>13573</v>
      </c>
      <c r="BD1237" s="77">
        <v>3254994765</v>
      </c>
      <c r="BE1237" s="77"/>
      <c r="BF1237" s="77"/>
      <c r="BG1237" s="77"/>
      <c r="BH1237" s="77"/>
      <c r="BI1237" s="77"/>
    </row>
    <row r="1238" spans="1:61" x14ac:dyDescent="0.25">
      <c r="A1238" s="62" t="s">
        <v>605</v>
      </c>
      <c r="B1238" s="62" t="s">
        <v>709</v>
      </c>
      <c r="C1238" s="63"/>
      <c r="D1238" s="64"/>
      <c r="E1238" s="65"/>
      <c r="F1238" s="66"/>
      <c r="G1238" s="63"/>
      <c r="H1238" s="67"/>
      <c r="I1238" s="68"/>
      <c r="J1238" s="68"/>
      <c r="K1238" s="32"/>
      <c r="L1238" s="75">
        <v>1238</v>
      </c>
      <c r="M1238" s="75"/>
      <c r="N1238" s="70"/>
      <c r="O1238" s="77" t="s">
        <v>897</v>
      </c>
      <c r="P1238" s="79">
        <v>45193.49659722222</v>
      </c>
      <c r="Q1238" s="77" t="s">
        <v>2017</v>
      </c>
      <c r="R1238" s="77">
        <v>3</v>
      </c>
      <c r="S1238" s="77">
        <v>0</v>
      </c>
      <c r="T1238" s="77">
        <v>0</v>
      </c>
      <c r="U1238" s="77">
        <v>0</v>
      </c>
      <c r="V1238" s="77"/>
      <c r="W1238" s="77"/>
      <c r="X1238" s="77"/>
      <c r="Y1238" s="77"/>
      <c r="Z1238" s="77" t="s">
        <v>709</v>
      </c>
      <c r="AA1238" s="77"/>
      <c r="AB1238" s="77"/>
      <c r="AC1238" s="82" t="s">
        <v>7751</v>
      </c>
      <c r="AD1238" s="77" t="s">
        <v>7788</v>
      </c>
      <c r="AE1238" s="80" t="str">
        <f>HYPERLINK("https://twitter.com/otonielcj/status/1705913748467138993")</f>
        <v>https://twitter.com/otonielcj/status/1705913748467138993</v>
      </c>
      <c r="AF1238" s="79">
        <v>45193.49659722222</v>
      </c>
      <c r="AG1238" s="85">
        <v>45193</v>
      </c>
      <c r="AH1238" s="82" t="s">
        <v>8875</v>
      </c>
      <c r="AI1238" s="77"/>
      <c r="AJ1238" s="77"/>
      <c r="AK1238" s="77"/>
      <c r="AL1238" s="77"/>
      <c r="AM1238" s="77"/>
      <c r="AN1238" s="77"/>
      <c r="AO1238" s="77"/>
      <c r="AP1238" s="77"/>
      <c r="AQ1238" s="77"/>
      <c r="AR1238" s="77"/>
      <c r="AS1238" s="77"/>
      <c r="AT1238" s="77"/>
      <c r="AU1238" s="77"/>
      <c r="AV1238" s="80" t="str">
        <f>HYPERLINK("https://pbs.twimg.com/profile_images/1688894296215130112/aXi3Zxxp_normal.jpg")</f>
        <v>https://pbs.twimg.com/profile_images/1688894296215130112/aXi3Zxxp_normal.jpg</v>
      </c>
      <c r="AW1238" s="82" t="s">
        <v>12903</v>
      </c>
      <c r="AX1238" s="82" t="s">
        <v>12903</v>
      </c>
      <c r="AY1238" s="77"/>
      <c r="AZ1238" s="82" t="s">
        <v>15984</v>
      </c>
      <c r="BA1238" s="82" t="s">
        <v>15984</v>
      </c>
      <c r="BB1238" s="82" t="s">
        <v>13586</v>
      </c>
      <c r="BC1238" s="82" t="s">
        <v>13586</v>
      </c>
      <c r="BD1238" s="82" t="s">
        <v>16322</v>
      </c>
      <c r="BE1238" s="77"/>
      <c r="BF1238" s="77"/>
      <c r="BG1238" s="77"/>
      <c r="BH1238" s="77"/>
      <c r="BI1238" s="77"/>
    </row>
    <row r="1239" spans="1:61" x14ac:dyDescent="0.25">
      <c r="A1239" s="62" t="s">
        <v>606</v>
      </c>
      <c r="B1239" s="62" t="s">
        <v>765</v>
      </c>
      <c r="C1239" s="63"/>
      <c r="D1239" s="64"/>
      <c r="E1239" s="65"/>
      <c r="F1239" s="66"/>
      <c r="G1239" s="63"/>
      <c r="H1239" s="67"/>
      <c r="I1239" s="68"/>
      <c r="J1239" s="68"/>
      <c r="K1239" s="32"/>
      <c r="L1239" s="75">
        <v>1239</v>
      </c>
      <c r="M1239" s="75"/>
      <c r="N1239" s="70"/>
      <c r="O1239" s="77" t="s">
        <v>901</v>
      </c>
      <c r="P1239" s="79">
        <v>45152.57508101852</v>
      </c>
      <c r="Q1239" s="77" t="s">
        <v>2018</v>
      </c>
      <c r="R1239" s="77">
        <v>0</v>
      </c>
      <c r="S1239" s="77">
        <v>0</v>
      </c>
      <c r="T1239" s="77">
        <v>1</v>
      </c>
      <c r="U1239" s="77">
        <v>0</v>
      </c>
      <c r="V1239" s="77">
        <v>11</v>
      </c>
      <c r="W1239" s="82" t="s">
        <v>5464</v>
      </c>
      <c r="X1239" s="77"/>
      <c r="Y1239" s="77"/>
      <c r="Z1239" s="77" t="s">
        <v>6591</v>
      </c>
      <c r="AA1239" s="77"/>
      <c r="AB1239" s="77"/>
      <c r="AC1239" s="82" t="s">
        <v>7752</v>
      </c>
      <c r="AD1239" s="77" t="s">
        <v>7795</v>
      </c>
      <c r="AE1239" s="80" t="str">
        <f>HYPERLINK("https://twitter.com/alcinx/status/1691084286537900033")</f>
        <v>https://twitter.com/alcinx/status/1691084286537900033</v>
      </c>
      <c r="AF1239" s="79">
        <v>45152.57508101852</v>
      </c>
      <c r="AG1239" s="85">
        <v>45152</v>
      </c>
      <c r="AH1239" s="82" t="s">
        <v>8876</v>
      </c>
      <c r="AI1239" s="77"/>
      <c r="AJ1239" s="77"/>
      <c r="AK1239" s="77"/>
      <c r="AL1239" s="77"/>
      <c r="AM1239" s="77"/>
      <c r="AN1239" s="77"/>
      <c r="AO1239" s="77"/>
      <c r="AP1239" s="77"/>
      <c r="AQ1239" s="77"/>
      <c r="AR1239" s="77"/>
      <c r="AS1239" s="77"/>
      <c r="AT1239" s="77"/>
      <c r="AU1239" s="77"/>
      <c r="AV1239" s="80" t="str">
        <f>HYPERLINK("https://pbs.twimg.com/profile_images/1263860079977267205/T_3_5Smq_normal.jpg")</f>
        <v>https://pbs.twimg.com/profile_images/1263860079977267205/T_3_5Smq_normal.jpg</v>
      </c>
      <c r="AW1239" s="82" t="s">
        <v>12904</v>
      </c>
      <c r="AX1239" s="82" t="s">
        <v>15872</v>
      </c>
      <c r="AY1239" s="82" t="s">
        <v>15965</v>
      </c>
      <c r="AZ1239" s="82" t="s">
        <v>16083</v>
      </c>
      <c r="BA1239" s="82" t="s">
        <v>15984</v>
      </c>
      <c r="BB1239" s="82" t="s">
        <v>15984</v>
      </c>
      <c r="BC1239" s="82" t="s">
        <v>16083</v>
      </c>
      <c r="BD1239" s="77">
        <v>389104963</v>
      </c>
      <c r="BE1239" s="77"/>
      <c r="BF1239" s="77"/>
      <c r="BG1239" s="77"/>
      <c r="BH1239" s="77"/>
      <c r="BI1239" s="77"/>
    </row>
    <row r="1240" spans="1:61" x14ac:dyDescent="0.25">
      <c r="A1240" s="62" t="s">
        <v>606</v>
      </c>
      <c r="B1240" s="62" t="s">
        <v>823</v>
      </c>
      <c r="C1240" s="63"/>
      <c r="D1240" s="64"/>
      <c r="E1240" s="65"/>
      <c r="F1240" s="66"/>
      <c r="G1240" s="63"/>
      <c r="H1240" s="67"/>
      <c r="I1240" s="68"/>
      <c r="J1240" s="68"/>
      <c r="K1240" s="32"/>
      <c r="L1240" s="75">
        <v>1240</v>
      </c>
      <c r="M1240" s="75"/>
      <c r="N1240" s="70"/>
      <c r="O1240" s="77" t="s">
        <v>898</v>
      </c>
      <c r="P1240" s="79">
        <v>45152.57508101852</v>
      </c>
      <c r="Q1240" s="77" t="s">
        <v>2018</v>
      </c>
      <c r="R1240" s="77">
        <v>0</v>
      </c>
      <c r="S1240" s="77">
        <v>0</v>
      </c>
      <c r="T1240" s="77">
        <v>1</v>
      </c>
      <c r="U1240" s="77">
        <v>0</v>
      </c>
      <c r="V1240" s="77">
        <v>11</v>
      </c>
      <c r="W1240" s="82" t="s">
        <v>5464</v>
      </c>
      <c r="X1240" s="77"/>
      <c r="Y1240" s="77"/>
      <c r="Z1240" s="77" t="s">
        <v>6591</v>
      </c>
      <c r="AA1240" s="77"/>
      <c r="AB1240" s="77"/>
      <c r="AC1240" s="82" t="s">
        <v>7752</v>
      </c>
      <c r="AD1240" s="77" t="s">
        <v>7795</v>
      </c>
      <c r="AE1240" s="80" t="str">
        <f>HYPERLINK("https://twitter.com/alcinx/status/1691084286537900033")</f>
        <v>https://twitter.com/alcinx/status/1691084286537900033</v>
      </c>
      <c r="AF1240" s="79">
        <v>45152.57508101852</v>
      </c>
      <c r="AG1240" s="85">
        <v>45152</v>
      </c>
      <c r="AH1240" s="82" t="s">
        <v>8876</v>
      </c>
      <c r="AI1240" s="77"/>
      <c r="AJ1240" s="77"/>
      <c r="AK1240" s="77"/>
      <c r="AL1240" s="77"/>
      <c r="AM1240" s="77"/>
      <c r="AN1240" s="77"/>
      <c r="AO1240" s="77"/>
      <c r="AP1240" s="77"/>
      <c r="AQ1240" s="77"/>
      <c r="AR1240" s="77"/>
      <c r="AS1240" s="77"/>
      <c r="AT1240" s="77"/>
      <c r="AU1240" s="77"/>
      <c r="AV1240" s="80" t="str">
        <f>HYPERLINK("https://pbs.twimg.com/profile_images/1263860079977267205/T_3_5Smq_normal.jpg")</f>
        <v>https://pbs.twimg.com/profile_images/1263860079977267205/T_3_5Smq_normal.jpg</v>
      </c>
      <c r="AW1240" s="82" t="s">
        <v>12904</v>
      </c>
      <c r="AX1240" s="82" t="s">
        <v>15872</v>
      </c>
      <c r="AY1240" s="82" t="s">
        <v>15965</v>
      </c>
      <c r="AZ1240" s="82" t="s">
        <v>16083</v>
      </c>
      <c r="BA1240" s="82" t="s">
        <v>15984</v>
      </c>
      <c r="BB1240" s="82" t="s">
        <v>15984</v>
      </c>
      <c r="BC1240" s="82" t="s">
        <v>16083</v>
      </c>
      <c r="BD1240" s="77">
        <v>389104963</v>
      </c>
      <c r="BE1240" s="77"/>
      <c r="BF1240" s="77"/>
      <c r="BG1240" s="77"/>
      <c r="BH1240" s="77"/>
      <c r="BI1240" s="77"/>
    </row>
    <row r="1241" spans="1:61" x14ac:dyDescent="0.25">
      <c r="A1241" s="62" t="s">
        <v>607</v>
      </c>
      <c r="B1241" s="62" t="s">
        <v>607</v>
      </c>
      <c r="C1241" s="63"/>
      <c r="D1241" s="64"/>
      <c r="E1241" s="65"/>
      <c r="F1241" s="66"/>
      <c r="G1241" s="63"/>
      <c r="H1241" s="67"/>
      <c r="I1241" s="68"/>
      <c r="J1241" s="68"/>
      <c r="K1241" s="32"/>
      <c r="L1241" s="75">
        <v>1241</v>
      </c>
      <c r="M1241" s="75"/>
      <c r="N1241" s="70"/>
      <c r="O1241" s="77" t="s">
        <v>179</v>
      </c>
      <c r="P1241" s="79">
        <v>45120.499282407407</v>
      </c>
      <c r="Q1241" s="77" t="s">
        <v>2019</v>
      </c>
      <c r="R1241" s="77">
        <v>0</v>
      </c>
      <c r="S1241" s="77">
        <v>0</v>
      </c>
      <c r="T1241" s="77">
        <v>0</v>
      </c>
      <c r="U1241" s="77">
        <v>0</v>
      </c>
      <c r="V1241" s="77">
        <v>17</v>
      </c>
      <c r="W1241" s="82" t="s">
        <v>5465</v>
      </c>
      <c r="X1241" s="80" t="str">
        <f>HYPERLINK("https://enfoque.com.br/noticias/13-07-2023/pauta-do-dia-mercados-globais-operam-em-alta-nesta-quinta-feira?k=164175932")</f>
        <v>https://enfoque.com.br/noticias/13-07-2023/pauta-do-dia-mercados-globais-operam-em-alta-nesta-quinta-feira?k=164175932</v>
      </c>
      <c r="Y1241" s="77" t="s">
        <v>6470</v>
      </c>
      <c r="Z1241" s="77"/>
      <c r="AA1241" s="77"/>
      <c r="AB1241" s="77"/>
      <c r="AC1241" s="82" t="s">
        <v>7750</v>
      </c>
      <c r="AD1241" s="77" t="s">
        <v>7788</v>
      </c>
      <c r="AE1241" s="80" t="str">
        <f>HYPERLINK("https://twitter.com/enfoqueif/status/1679460407679889409")</f>
        <v>https://twitter.com/enfoqueif/status/1679460407679889409</v>
      </c>
      <c r="AF1241" s="79">
        <v>45120.499282407407</v>
      </c>
      <c r="AG1241" s="85">
        <v>45120</v>
      </c>
      <c r="AH1241" s="82" t="s">
        <v>8877</v>
      </c>
      <c r="AI1241" s="77" t="b">
        <v>0</v>
      </c>
      <c r="AJ1241" s="77"/>
      <c r="AK1241" s="77"/>
      <c r="AL1241" s="77"/>
      <c r="AM1241" s="77"/>
      <c r="AN1241" s="77"/>
      <c r="AO1241" s="77"/>
      <c r="AP1241" s="77"/>
      <c r="AQ1241" s="77"/>
      <c r="AR1241" s="77"/>
      <c r="AS1241" s="77"/>
      <c r="AT1241" s="77"/>
      <c r="AU1241" s="77"/>
      <c r="AV1241" s="80" t="str">
        <f>HYPERLINK("https://pbs.twimg.com/profile_images/1176490241278054400/s4X9C_ZZ_normal.jpg")</f>
        <v>https://pbs.twimg.com/profile_images/1176490241278054400/s4X9C_ZZ_normal.jpg</v>
      </c>
      <c r="AW1241" s="82" t="s">
        <v>12905</v>
      </c>
      <c r="AX1241" s="82" t="s">
        <v>12905</v>
      </c>
      <c r="AY1241" s="77"/>
      <c r="AZ1241" s="82" t="s">
        <v>15984</v>
      </c>
      <c r="BA1241" s="82" t="s">
        <v>15984</v>
      </c>
      <c r="BB1241" s="82" t="s">
        <v>15984</v>
      </c>
      <c r="BC1241" s="82" t="s">
        <v>12905</v>
      </c>
      <c r="BD1241" s="77">
        <v>136293095</v>
      </c>
      <c r="BE1241" s="77"/>
      <c r="BF1241" s="77"/>
      <c r="BG1241" s="77"/>
      <c r="BH1241" s="77"/>
      <c r="BI1241" s="77"/>
    </row>
    <row r="1242" spans="1:61" x14ac:dyDescent="0.25">
      <c r="A1242" s="62" t="s">
        <v>607</v>
      </c>
      <c r="B1242" s="62" t="s">
        <v>607</v>
      </c>
      <c r="C1242" s="63"/>
      <c r="D1242" s="64"/>
      <c r="E1242" s="65"/>
      <c r="F1242" s="66"/>
      <c r="G1242" s="63"/>
      <c r="H1242" s="67"/>
      <c r="I1242" s="68"/>
      <c r="J1242" s="68"/>
      <c r="K1242" s="32"/>
      <c r="L1242" s="75">
        <v>1242</v>
      </c>
      <c r="M1242" s="75"/>
      <c r="N1242" s="70"/>
      <c r="O1242" s="77" t="s">
        <v>179</v>
      </c>
      <c r="P1242" s="79">
        <v>45120.493773148148</v>
      </c>
      <c r="Q1242" s="77" t="s">
        <v>2020</v>
      </c>
      <c r="R1242" s="77">
        <v>0</v>
      </c>
      <c r="S1242" s="77">
        <v>0</v>
      </c>
      <c r="T1242" s="77">
        <v>0</v>
      </c>
      <c r="U1242" s="77">
        <v>0</v>
      </c>
      <c r="V1242" s="77">
        <v>20</v>
      </c>
      <c r="W1242" s="82" t="s">
        <v>5466</v>
      </c>
      <c r="X1242" s="80" t="str">
        <f>HYPERLINK("https://enfoque.com.br/noticias/13-07-2023/cambio-dolar-caiu-pelo-segundo-dia-e-fechou-a-r-4818?k=164175925")</f>
        <v>https://enfoque.com.br/noticias/13-07-2023/cambio-dolar-caiu-pelo-segundo-dia-e-fechou-a-r-4818?k=164175925</v>
      </c>
      <c r="Y1242" s="77" t="s">
        <v>6470</v>
      </c>
      <c r="Z1242" s="77"/>
      <c r="AA1242" s="77"/>
      <c r="AB1242" s="77"/>
      <c r="AC1242" s="82" t="s">
        <v>7750</v>
      </c>
      <c r="AD1242" s="77" t="s">
        <v>7788</v>
      </c>
      <c r="AE1242" s="80" t="str">
        <f>HYPERLINK("https://twitter.com/enfoqueif/status/1679458412361404422")</f>
        <v>https://twitter.com/enfoqueif/status/1679458412361404422</v>
      </c>
      <c r="AF1242" s="79">
        <v>45120.493773148148</v>
      </c>
      <c r="AG1242" s="85">
        <v>45120</v>
      </c>
      <c r="AH1242" s="82" t="s">
        <v>8878</v>
      </c>
      <c r="AI1242" s="77" t="b">
        <v>0</v>
      </c>
      <c r="AJ1242" s="77"/>
      <c r="AK1242" s="77"/>
      <c r="AL1242" s="77"/>
      <c r="AM1242" s="77"/>
      <c r="AN1242" s="77"/>
      <c r="AO1242" s="77"/>
      <c r="AP1242" s="77"/>
      <c r="AQ1242" s="77"/>
      <c r="AR1242" s="77"/>
      <c r="AS1242" s="77"/>
      <c r="AT1242" s="77"/>
      <c r="AU1242" s="77"/>
      <c r="AV1242" s="80" t="str">
        <f>HYPERLINK("https://pbs.twimg.com/profile_images/1176490241278054400/s4X9C_ZZ_normal.jpg")</f>
        <v>https://pbs.twimg.com/profile_images/1176490241278054400/s4X9C_ZZ_normal.jpg</v>
      </c>
      <c r="AW1242" s="82" t="s">
        <v>12906</v>
      </c>
      <c r="AX1242" s="82" t="s">
        <v>12906</v>
      </c>
      <c r="AY1242" s="77"/>
      <c r="AZ1242" s="82" t="s">
        <v>15984</v>
      </c>
      <c r="BA1242" s="82" t="s">
        <v>15984</v>
      </c>
      <c r="BB1242" s="82" t="s">
        <v>15984</v>
      </c>
      <c r="BC1242" s="82" t="s">
        <v>12906</v>
      </c>
      <c r="BD1242" s="77">
        <v>136293095</v>
      </c>
      <c r="BE1242" s="77"/>
      <c r="BF1242" s="77"/>
      <c r="BG1242" s="77"/>
      <c r="BH1242" s="77"/>
      <c r="BI1242" s="77"/>
    </row>
    <row r="1243" spans="1:61" x14ac:dyDescent="0.25">
      <c r="A1243" s="62" t="s">
        <v>607</v>
      </c>
      <c r="B1243" s="62" t="s">
        <v>607</v>
      </c>
      <c r="C1243" s="63"/>
      <c r="D1243" s="64"/>
      <c r="E1243" s="65"/>
      <c r="F1243" s="66"/>
      <c r="G1243" s="63"/>
      <c r="H1243" s="67"/>
      <c r="I1243" s="68"/>
      <c r="J1243" s="68"/>
      <c r="K1243" s="32"/>
      <c r="L1243" s="75">
        <v>1243</v>
      </c>
      <c r="M1243" s="75"/>
      <c r="N1243" s="70"/>
      <c r="O1243" s="77" t="s">
        <v>179</v>
      </c>
      <c r="P1243" s="79">
        <v>45135.494039351855</v>
      </c>
      <c r="Q1243" s="77" t="s">
        <v>2021</v>
      </c>
      <c r="R1243" s="77">
        <v>0</v>
      </c>
      <c r="S1243" s="77">
        <v>0</v>
      </c>
      <c r="T1243" s="77">
        <v>0</v>
      </c>
      <c r="U1243" s="77">
        <v>0</v>
      </c>
      <c r="V1243" s="77">
        <v>41</v>
      </c>
      <c r="W1243" s="82" t="s">
        <v>5467</v>
      </c>
      <c r="X1243" s="80" t="str">
        <f>HYPERLINK("https://enfoque.com.br/noticias/28-07-2023/cambio-dolar-subiu-ontem-e-fechou-a-r-4759-acompanhando-exterior?k=164178881")</f>
        <v>https://enfoque.com.br/noticias/28-07-2023/cambio-dolar-subiu-ontem-e-fechou-a-r-4759-acompanhando-exterior?k=164178881</v>
      </c>
      <c r="Y1243" s="77" t="s">
        <v>6470</v>
      </c>
      <c r="Z1243" s="77"/>
      <c r="AA1243" s="77"/>
      <c r="AB1243" s="77"/>
      <c r="AC1243" s="82" t="s">
        <v>7750</v>
      </c>
      <c r="AD1243" s="77" t="s">
        <v>7788</v>
      </c>
      <c r="AE1243" s="80" t="str">
        <f>HYPERLINK("https://twitter.com/enfoqueif/status/1684894323391754240")</f>
        <v>https://twitter.com/enfoqueif/status/1684894323391754240</v>
      </c>
      <c r="AF1243" s="79">
        <v>45135.494039351855</v>
      </c>
      <c r="AG1243" s="85">
        <v>45135</v>
      </c>
      <c r="AH1243" s="82" t="s">
        <v>8879</v>
      </c>
      <c r="AI1243" s="77" t="b">
        <v>0</v>
      </c>
      <c r="AJ1243" s="77"/>
      <c r="AK1243" s="77"/>
      <c r="AL1243" s="77"/>
      <c r="AM1243" s="77"/>
      <c r="AN1243" s="77"/>
      <c r="AO1243" s="77"/>
      <c r="AP1243" s="77"/>
      <c r="AQ1243" s="77"/>
      <c r="AR1243" s="77"/>
      <c r="AS1243" s="77"/>
      <c r="AT1243" s="77"/>
      <c r="AU1243" s="77"/>
      <c r="AV1243" s="80" t="str">
        <f>HYPERLINK("https://pbs.twimg.com/profile_images/1176490241278054400/s4X9C_ZZ_normal.jpg")</f>
        <v>https://pbs.twimg.com/profile_images/1176490241278054400/s4X9C_ZZ_normal.jpg</v>
      </c>
      <c r="AW1243" s="82" t="s">
        <v>12907</v>
      </c>
      <c r="AX1243" s="82" t="s">
        <v>12907</v>
      </c>
      <c r="AY1243" s="77"/>
      <c r="AZ1243" s="82" t="s">
        <v>15984</v>
      </c>
      <c r="BA1243" s="82" t="s">
        <v>15984</v>
      </c>
      <c r="BB1243" s="82" t="s">
        <v>15984</v>
      </c>
      <c r="BC1243" s="82" t="s">
        <v>12907</v>
      </c>
      <c r="BD1243" s="77">
        <v>136293095</v>
      </c>
      <c r="BE1243" s="77"/>
      <c r="BF1243" s="77"/>
      <c r="BG1243" s="77"/>
      <c r="BH1243" s="77"/>
      <c r="BI1243" s="77"/>
    </row>
    <row r="1244" spans="1:61" x14ac:dyDescent="0.25">
      <c r="A1244" s="62" t="s">
        <v>607</v>
      </c>
      <c r="B1244" s="62" t="s">
        <v>607</v>
      </c>
      <c r="C1244" s="63"/>
      <c r="D1244" s="64"/>
      <c r="E1244" s="65"/>
      <c r="F1244" s="66"/>
      <c r="G1244" s="63"/>
      <c r="H1244" s="67"/>
      <c r="I1244" s="68"/>
      <c r="J1244" s="68"/>
      <c r="K1244" s="32"/>
      <c r="L1244" s="75">
        <v>1244</v>
      </c>
      <c r="M1244" s="75"/>
      <c r="N1244" s="70"/>
      <c r="O1244" s="77" t="s">
        <v>179</v>
      </c>
      <c r="P1244" s="79">
        <v>45128.493425925924</v>
      </c>
      <c r="Q1244" s="77" t="s">
        <v>2022</v>
      </c>
      <c r="R1244" s="77">
        <v>0</v>
      </c>
      <c r="S1244" s="77">
        <v>0</v>
      </c>
      <c r="T1244" s="77">
        <v>0</v>
      </c>
      <c r="U1244" s="77">
        <v>0</v>
      </c>
      <c r="V1244" s="77">
        <v>27</v>
      </c>
      <c r="W1244" s="82" t="s">
        <v>5468</v>
      </c>
      <c r="X1244" s="80" t="str">
        <f>HYPERLINK("https://enfoque.com.br/noticias/21-07-2023/pauta-do-dia-mercados-avancam-moderadamente-nesta-manha?k=164177481")</f>
        <v>https://enfoque.com.br/noticias/21-07-2023/pauta-do-dia-mercados-avancam-moderadamente-nesta-manha?k=164177481</v>
      </c>
      <c r="Y1244" s="77" t="s">
        <v>6470</v>
      </c>
      <c r="Z1244" s="77"/>
      <c r="AA1244" s="77"/>
      <c r="AB1244" s="77"/>
      <c r="AC1244" s="82" t="s">
        <v>7750</v>
      </c>
      <c r="AD1244" s="77" t="s">
        <v>7788</v>
      </c>
      <c r="AE1244" s="80" t="str">
        <f>HYPERLINK("https://twitter.com/enfoqueif/status/1682357387389198337")</f>
        <v>https://twitter.com/enfoqueif/status/1682357387389198337</v>
      </c>
      <c r="AF1244" s="79">
        <v>45128.493425925924</v>
      </c>
      <c r="AG1244" s="85">
        <v>45128</v>
      </c>
      <c r="AH1244" s="82" t="s">
        <v>8880</v>
      </c>
      <c r="AI1244" s="77" t="b">
        <v>0</v>
      </c>
      <c r="AJ1244" s="77"/>
      <c r="AK1244" s="77"/>
      <c r="AL1244" s="77"/>
      <c r="AM1244" s="77"/>
      <c r="AN1244" s="77"/>
      <c r="AO1244" s="77"/>
      <c r="AP1244" s="77"/>
      <c r="AQ1244" s="77"/>
      <c r="AR1244" s="77"/>
      <c r="AS1244" s="77"/>
      <c r="AT1244" s="77"/>
      <c r="AU1244" s="77"/>
      <c r="AV1244" s="80" t="str">
        <f>HYPERLINK("https://pbs.twimg.com/profile_images/1176490241278054400/s4X9C_ZZ_normal.jpg")</f>
        <v>https://pbs.twimg.com/profile_images/1176490241278054400/s4X9C_ZZ_normal.jpg</v>
      </c>
      <c r="AW1244" s="82" t="s">
        <v>12908</v>
      </c>
      <c r="AX1244" s="82" t="s">
        <v>12908</v>
      </c>
      <c r="AY1244" s="77"/>
      <c r="AZ1244" s="82" t="s">
        <v>15984</v>
      </c>
      <c r="BA1244" s="82" t="s">
        <v>15984</v>
      </c>
      <c r="BB1244" s="82" t="s">
        <v>15984</v>
      </c>
      <c r="BC1244" s="82" t="s">
        <v>12908</v>
      </c>
      <c r="BD1244" s="77">
        <v>136293095</v>
      </c>
      <c r="BE1244" s="77"/>
      <c r="BF1244" s="77"/>
      <c r="BG1244" s="77"/>
      <c r="BH1244" s="77"/>
      <c r="BI1244" s="77"/>
    </row>
    <row r="1245" spans="1:61" x14ac:dyDescent="0.25">
      <c r="A1245" s="62" t="s">
        <v>607</v>
      </c>
      <c r="B1245" s="62" t="s">
        <v>607</v>
      </c>
      <c r="C1245" s="63"/>
      <c r="D1245" s="64"/>
      <c r="E1245" s="65"/>
      <c r="F1245" s="66"/>
      <c r="G1245" s="63"/>
      <c r="H1245" s="67"/>
      <c r="I1245" s="68"/>
      <c r="J1245" s="68"/>
      <c r="K1245" s="32"/>
      <c r="L1245" s="75">
        <v>1245</v>
      </c>
      <c r="M1245" s="75"/>
      <c r="N1245" s="70"/>
      <c r="O1245" s="77" t="s">
        <v>179</v>
      </c>
      <c r="P1245" s="79">
        <v>45128.489027777781</v>
      </c>
      <c r="Q1245" s="77" t="s">
        <v>2023</v>
      </c>
      <c r="R1245" s="77">
        <v>0</v>
      </c>
      <c r="S1245" s="77">
        <v>0</v>
      </c>
      <c r="T1245" s="77">
        <v>0</v>
      </c>
      <c r="U1245" s="77">
        <v>0</v>
      </c>
      <c r="V1245" s="77">
        <v>38</v>
      </c>
      <c r="W1245" s="82" t="s">
        <v>5469</v>
      </c>
      <c r="X1245" s="80" t="str">
        <f>HYPERLINK("https://enfoque.com.br/noticias/21-07-2023/cambio-dolar-fechou-ontem-em-alta-vendido-a-r-4803?k=164177475")</f>
        <v>https://enfoque.com.br/noticias/21-07-2023/cambio-dolar-fechou-ontem-em-alta-vendido-a-r-4803?k=164177475</v>
      </c>
      <c r="Y1245" s="77" t="s">
        <v>6470</v>
      </c>
      <c r="Z1245" s="77"/>
      <c r="AA1245" s="77"/>
      <c r="AB1245" s="77"/>
      <c r="AC1245" s="82" t="s">
        <v>7750</v>
      </c>
      <c r="AD1245" s="77" t="s">
        <v>7788</v>
      </c>
      <c r="AE1245" s="80" t="str">
        <f>HYPERLINK("https://twitter.com/enfoqueif/status/1682355793297899520")</f>
        <v>https://twitter.com/enfoqueif/status/1682355793297899520</v>
      </c>
      <c r="AF1245" s="79">
        <v>45128.489027777781</v>
      </c>
      <c r="AG1245" s="85">
        <v>45128</v>
      </c>
      <c r="AH1245" s="82" t="s">
        <v>8881</v>
      </c>
      <c r="AI1245" s="77" t="b">
        <v>0</v>
      </c>
      <c r="AJ1245" s="77"/>
      <c r="AK1245" s="77"/>
      <c r="AL1245" s="77"/>
      <c r="AM1245" s="77"/>
      <c r="AN1245" s="77"/>
      <c r="AO1245" s="77"/>
      <c r="AP1245" s="77"/>
      <c r="AQ1245" s="77"/>
      <c r="AR1245" s="77"/>
      <c r="AS1245" s="77"/>
      <c r="AT1245" s="77"/>
      <c r="AU1245" s="77"/>
      <c r="AV1245" s="80" t="str">
        <f>HYPERLINK("https://pbs.twimg.com/profile_images/1176490241278054400/s4X9C_ZZ_normal.jpg")</f>
        <v>https://pbs.twimg.com/profile_images/1176490241278054400/s4X9C_ZZ_normal.jpg</v>
      </c>
      <c r="AW1245" s="82" t="s">
        <v>12909</v>
      </c>
      <c r="AX1245" s="82" t="s">
        <v>12909</v>
      </c>
      <c r="AY1245" s="77"/>
      <c r="AZ1245" s="82" t="s">
        <v>15984</v>
      </c>
      <c r="BA1245" s="82" t="s">
        <v>15984</v>
      </c>
      <c r="BB1245" s="82" t="s">
        <v>15984</v>
      </c>
      <c r="BC1245" s="82" t="s">
        <v>12909</v>
      </c>
      <c r="BD1245" s="77">
        <v>136293095</v>
      </c>
      <c r="BE1245" s="77"/>
      <c r="BF1245" s="77"/>
      <c r="BG1245" s="77"/>
      <c r="BH1245" s="77"/>
      <c r="BI1245" s="77"/>
    </row>
    <row r="1246" spans="1:61" x14ac:dyDescent="0.25">
      <c r="A1246" s="62" t="s">
        <v>607</v>
      </c>
      <c r="B1246" s="62" t="s">
        <v>607</v>
      </c>
      <c r="C1246" s="63"/>
      <c r="D1246" s="64"/>
      <c r="E1246" s="65"/>
      <c r="F1246" s="66"/>
      <c r="G1246" s="63"/>
      <c r="H1246" s="67"/>
      <c r="I1246" s="68"/>
      <c r="J1246" s="68"/>
      <c r="K1246" s="32"/>
      <c r="L1246" s="75">
        <v>1246</v>
      </c>
      <c r="M1246" s="75"/>
      <c r="N1246" s="70"/>
      <c r="O1246" s="77" t="s">
        <v>179</v>
      </c>
      <c r="P1246" s="79">
        <v>45149.485752314817</v>
      </c>
      <c r="Q1246" s="77" t="s">
        <v>2024</v>
      </c>
      <c r="R1246" s="77">
        <v>0</v>
      </c>
      <c r="S1246" s="77">
        <v>0</v>
      </c>
      <c r="T1246" s="77">
        <v>0</v>
      </c>
      <c r="U1246" s="77">
        <v>0</v>
      </c>
      <c r="V1246" s="77">
        <v>46</v>
      </c>
      <c r="W1246" s="82" t="s">
        <v>5470</v>
      </c>
      <c r="X1246" s="80" t="str">
        <f>HYPERLINK("https://enfoque.com.br/noticias/11-08-2023/cambio-dolar-devera-abrir-a-sexta-feira-em-alta?k=164181456")</f>
        <v>https://enfoque.com.br/noticias/11-08-2023/cambio-dolar-devera-abrir-a-sexta-feira-em-alta?k=164181456</v>
      </c>
      <c r="Y1246" s="77" t="s">
        <v>6470</v>
      </c>
      <c r="Z1246" s="77"/>
      <c r="AA1246" s="77"/>
      <c r="AB1246" s="77"/>
      <c r="AC1246" s="82" t="s">
        <v>7750</v>
      </c>
      <c r="AD1246" s="77" t="s">
        <v>7788</v>
      </c>
      <c r="AE1246" s="80" t="str">
        <f>HYPERLINK("https://twitter.com/enfoqueif/status/1689964750258475009")</f>
        <v>https://twitter.com/enfoqueif/status/1689964750258475009</v>
      </c>
      <c r="AF1246" s="79">
        <v>45149.485752314817</v>
      </c>
      <c r="AG1246" s="85">
        <v>45149</v>
      </c>
      <c r="AH1246" s="82" t="s">
        <v>8882</v>
      </c>
      <c r="AI1246" s="77" t="b">
        <v>0</v>
      </c>
      <c r="AJ1246" s="77"/>
      <c r="AK1246" s="77"/>
      <c r="AL1246" s="77"/>
      <c r="AM1246" s="77"/>
      <c r="AN1246" s="77"/>
      <c r="AO1246" s="77"/>
      <c r="AP1246" s="77"/>
      <c r="AQ1246" s="77"/>
      <c r="AR1246" s="77"/>
      <c r="AS1246" s="77"/>
      <c r="AT1246" s="77"/>
      <c r="AU1246" s="77"/>
      <c r="AV1246" s="80" t="str">
        <f>HYPERLINK("https://pbs.twimg.com/profile_images/1176490241278054400/s4X9C_ZZ_normal.jpg")</f>
        <v>https://pbs.twimg.com/profile_images/1176490241278054400/s4X9C_ZZ_normal.jpg</v>
      </c>
      <c r="AW1246" s="82" t="s">
        <v>12910</v>
      </c>
      <c r="AX1246" s="82" t="s">
        <v>12910</v>
      </c>
      <c r="AY1246" s="77"/>
      <c r="AZ1246" s="82" t="s">
        <v>15984</v>
      </c>
      <c r="BA1246" s="82" t="s">
        <v>15984</v>
      </c>
      <c r="BB1246" s="82" t="s">
        <v>15984</v>
      </c>
      <c r="BC1246" s="82" t="s">
        <v>12910</v>
      </c>
      <c r="BD1246" s="77">
        <v>136293095</v>
      </c>
      <c r="BE1246" s="77"/>
      <c r="BF1246" s="77"/>
      <c r="BG1246" s="77"/>
      <c r="BH1246" s="77"/>
      <c r="BI1246" s="77"/>
    </row>
    <row r="1247" spans="1:61" x14ac:dyDescent="0.25">
      <c r="A1247" s="62" t="s">
        <v>607</v>
      </c>
      <c r="B1247" s="62" t="s">
        <v>607</v>
      </c>
      <c r="C1247" s="63"/>
      <c r="D1247" s="64"/>
      <c r="E1247" s="65"/>
      <c r="F1247" s="66"/>
      <c r="G1247" s="63"/>
      <c r="H1247" s="67"/>
      <c r="I1247" s="68"/>
      <c r="J1247" s="68"/>
      <c r="K1247" s="32"/>
      <c r="L1247" s="75">
        <v>1247</v>
      </c>
      <c r="M1247" s="75"/>
      <c r="N1247" s="70"/>
      <c r="O1247" s="77" t="s">
        <v>179</v>
      </c>
      <c r="P1247" s="79">
        <v>45152.491238425922</v>
      </c>
      <c r="Q1247" s="77" t="s">
        <v>2025</v>
      </c>
      <c r="R1247" s="77">
        <v>0</v>
      </c>
      <c r="S1247" s="77">
        <v>0</v>
      </c>
      <c r="T1247" s="77">
        <v>0</v>
      </c>
      <c r="U1247" s="77">
        <v>0</v>
      </c>
      <c r="V1247" s="77">
        <v>53</v>
      </c>
      <c r="W1247" s="82" t="s">
        <v>5471</v>
      </c>
      <c r="X1247" s="80" t="str">
        <f>HYPERLINK("https://enfoque.com.br/noticias/14-08-2023/cambio-dolar-terminou-a-semana-anterior-acumulando-alta-de-059?k=164181702")</f>
        <v>https://enfoque.com.br/noticias/14-08-2023/cambio-dolar-terminou-a-semana-anterior-acumulando-alta-de-059?k=164181702</v>
      </c>
      <c r="Y1247" s="77" t="s">
        <v>6470</v>
      </c>
      <c r="Z1247" s="77"/>
      <c r="AA1247" s="77"/>
      <c r="AB1247" s="77"/>
      <c r="AC1247" s="82" t="s">
        <v>7750</v>
      </c>
      <c r="AD1247" s="77" t="s">
        <v>7788</v>
      </c>
      <c r="AE1247" s="80" t="str">
        <f>HYPERLINK("https://twitter.com/enfoqueif/status/1691053904119660544")</f>
        <v>https://twitter.com/enfoqueif/status/1691053904119660544</v>
      </c>
      <c r="AF1247" s="79">
        <v>45152.491238425922</v>
      </c>
      <c r="AG1247" s="85">
        <v>45152</v>
      </c>
      <c r="AH1247" s="82" t="s">
        <v>8883</v>
      </c>
      <c r="AI1247" s="77" t="b">
        <v>0</v>
      </c>
      <c r="AJ1247" s="77"/>
      <c r="AK1247" s="77"/>
      <c r="AL1247" s="77"/>
      <c r="AM1247" s="77"/>
      <c r="AN1247" s="77"/>
      <c r="AO1247" s="77"/>
      <c r="AP1247" s="77"/>
      <c r="AQ1247" s="77"/>
      <c r="AR1247" s="77"/>
      <c r="AS1247" s="77"/>
      <c r="AT1247" s="77"/>
      <c r="AU1247" s="77"/>
      <c r="AV1247" s="80" t="str">
        <f>HYPERLINK("https://pbs.twimg.com/profile_images/1176490241278054400/s4X9C_ZZ_normal.jpg")</f>
        <v>https://pbs.twimg.com/profile_images/1176490241278054400/s4X9C_ZZ_normal.jpg</v>
      </c>
      <c r="AW1247" s="82" t="s">
        <v>12911</v>
      </c>
      <c r="AX1247" s="82" t="s">
        <v>12911</v>
      </c>
      <c r="AY1247" s="77"/>
      <c r="AZ1247" s="82" t="s">
        <v>15984</v>
      </c>
      <c r="BA1247" s="82" t="s">
        <v>15984</v>
      </c>
      <c r="BB1247" s="82" t="s">
        <v>15984</v>
      </c>
      <c r="BC1247" s="82" t="s">
        <v>12911</v>
      </c>
      <c r="BD1247" s="77">
        <v>136293095</v>
      </c>
      <c r="BE1247" s="77"/>
      <c r="BF1247" s="77"/>
      <c r="BG1247" s="77"/>
      <c r="BH1247" s="77"/>
      <c r="BI1247" s="77"/>
    </row>
    <row r="1248" spans="1:61" x14ac:dyDescent="0.25">
      <c r="A1248" s="62" t="s">
        <v>607</v>
      </c>
      <c r="B1248" s="62" t="s">
        <v>607</v>
      </c>
      <c r="C1248" s="63"/>
      <c r="D1248" s="64"/>
      <c r="E1248" s="65"/>
      <c r="F1248" s="66"/>
      <c r="G1248" s="63"/>
      <c r="H1248" s="67"/>
      <c r="I1248" s="68"/>
      <c r="J1248" s="68"/>
      <c r="K1248" s="32"/>
      <c r="L1248" s="75">
        <v>1248</v>
      </c>
      <c r="M1248" s="75"/>
      <c r="N1248" s="70"/>
      <c r="O1248" s="77" t="s">
        <v>179</v>
      </c>
      <c r="P1248" s="79">
        <v>45155.50408564815</v>
      </c>
      <c r="Q1248" s="77" t="s">
        <v>2026</v>
      </c>
      <c r="R1248" s="77">
        <v>0</v>
      </c>
      <c r="S1248" s="77">
        <v>0</v>
      </c>
      <c r="T1248" s="77">
        <v>0</v>
      </c>
      <c r="U1248" s="77">
        <v>0</v>
      </c>
      <c r="V1248" s="77">
        <v>45</v>
      </c>
      <c r="W1248" s="82" t="s">
        <v>5472</v>
      </c>
      <c r="X1248" s="80" t="str">
        <f>HYPERLINK("https://enfoque.com.br/noticias/17-08-2023/pauta-do-dia-bolsas-operam-mistas-nesta-manha-com-china-e-eua?k=164182473")</f>
        <v>https://enfoque.com.br/noticias/17-08-2023/pauta-do-dia-bolsas-operam-mistas-nesta-manha-com-china-e-eua?k=164182473</v>
      </c>
      <c r="Y1248" s="77" t="s">
        <v>6470</v>
      </c>
      <c r="Z1248" s="77"/>
      <c r="AA1248" s="77"/>
      <c r="AB1248" s="77"/>
      <c r="AC1248" s="82" t="s">
        <v>7750</v>
      </c>
      <c r="AD1248" s="77" t="s">
        <v>7788</v>
      </c>
      <c r="AE1248" s="80" t="str">
        <f>HYPERLINK("https://twitter.com/enfoqueif/status/1692145724324979072")</f>
        <v>https://twitter.com/enfoqueif/status/1692145724324979072</v>
      </c>
      <c r="AF1248" s="79">
        <v>45155.50408564815</v>
      </c>
      <c r="AG1248" s="85">
        <v>45155</v>
      </c>
      <c r="AH1248" s="82" t="s">
        <v>8884</v>
      </c>
      <c r="AI1248" s="77" t="b">
        <v>0</v>
      </c>
      <c r="AJ1248" s="77"/>
      <c r="AK1248" s="77"/>
      <c r="AL1248" s="77"/>
      <c r="AM1248" s="77"/>
      <c r="AN1248" s="77"/>
      <c r="AO1248" s="77"/>
      <c r="AP1248" s="77"/>
      <c r="AQ1248" s="77"/>
      <c r="AR1248" s="77"/>
      <c r="AS1248" s="77"/>
      <c r="AT1248" s="77"/>
      <c r="AU1248" s="77"/>
      <c r="AV1248" s="80" t="str">
        <f>HYPERLINK("https://pbs.twimg.com/profile_images/1176490241278054400/s4X9C_ZZ_normal.jpg")</f>
        <v>https://pbs.twimg.com/profile_images/1176490241278054400/s4X9C_ZZ_normal.jpg</v>
      </c>
      <c r="AW1248" s="82" t="s">
        <v>12912</v>
      </c>
      <c r="AX1248" s="82" t="s">
        <v>12912</v>
      </c>
      <c r="AY1248" s="77"/>
      <c r="AZ1248" s="82" t="s">
        <v>15984</v>
      </c>
      <c r="BA1248" s="82" t="s">
        <v>15984</v>
      </c>
      <c r="BB1248" s="82" t="s">
        <v>15984</v>
      </c>
      <c r="BC1248" s="82" t="s">
        <v>12912</v>
      </c>
      <c r="BD1248" s="77">
        <v>136293095</v>
      </c>
      <c r="BE1248" s="77"/>
      <c r="BF1248" s="77"/>
      <c r="BG1248" s="77"/>
      <c r="BH1248" s="77"/>
      <c r="BI1248" s="77"/>
    </row>
    <row r="1249" spans="1:61" x14ac:dyDescent="0.25">
      <c r="A1249" s="62" t="s">
        <v>607</v>
      </c>
      <c r="B1249" s="62" t="s">
        <v>607</v>
      </c>
      <c r="C1249" s="63"/>
      <c r="D1249" s="64"/>
      <c r="E1249" s="65"/>
      <c r="F1249" s="66"/>
      <c r="G1249" s="63"/>
      <c r="H1249" s="67"/>
      <c r="I1249" s="68"/>
      <c r="J1249" s="68"/>
      <c r="K1249" s="32"/>
      <c r="L1249" s="75">
        <v>1249</v>
      </c>
      <c r="M1249" s="75"/>
      <c r="N1249" s="70"/>
      <c r="O1249" s="77" t="s">
        <v>179</v>
      </c>
      <c r="P1249" s="79">
        <v>45155.500324074077</v>
      </c>
      <c r="Q1249" s="77" t="s">
        <v>2027</v>
      </c>
      <c r="R1249" s="77">
        <v>0</v>
      </c>
      <c r="S1249" s="77">
        <v>0</v>
      </c>
      <c r="T1249" s="77">
        <v>0</v>
      </c>
      <c r="U1249" s="77">
        <v>0</v>
      </c>
      <c r="V1249" s="77">
        <v>56</v>
      </c>
      <c r="W1249" s="82" t="s">
        <v>5473</v>
      </c>
      <c r="X1249" s="80" t="str">
        <f>HYPERLINK("https://enfoque.com.br/noticias/17-08-2023/cambio-dolar-devera-ter-uma-abertura-mais-amena-hoje?k=164182472")</f>
        <v>https://enfoque.com.br/noticias/17-08-2023/cambio-dolar-devera-ter-uma-abertura-mais-amena-hoje?k=164182472</v>
      </c>
      <c r="Y1249" s="77" t="s">
        <v>6470</v>
      </c>
      <c r="Z1249" s="77"/>
      <c r="AA1249" s="77"/>
      <c r="AB1249" s="77"/>
      <c r="AC1249" s="82" t="s">
        <v>7750</v>
      </c>
      <c r="AD1249" s="77" t="s">
        <v>7788</v>
      </c>
      <c r="AE1249" s="80" t="str">
        <f>HYPERLINK("https://twitter.com/enfoqueif/status/1692144361591455968")</f>
        <v>https://twitter.com/enfoqueif/status/1692144361591455968</v>
      </c>
      <c r="AF1249" s="79">
        <v>45155.500324074077</v>
      </c>
      <c r="AG1249" s="85">
        <v>45155</v>
      </c>
      <c r="AH1249" s="82" t="s">
        <v>8885</v>
      </c>
      <c r="AI1249" s="77" t="b">
        <v>0</v>
      </c>
      <c r="AJ1249" s="77"/>
      <c r="AK1249" s="77"/>
      <c r="AL1249" s="77"/>
      <c r="AM1249" s="77"/>
      <c r="AN1249" s="77"/>
      <c r="AO1249" s="77"/>
      <c r="AP1249" s="77"/>
      <c r="AQ1249" s="77"/>
      <c r="AR1249" s="77"/>
      <c r="AS1249" s="77"/>
      <c r="AT1249" s="77"/>
      <c r="AU1249" s="77"/>
      <c r="AV1249" s="80" t="str">
        <f>HYPERLINK("https://pbs.twimg.com/profile_images/1176490241278054400/s4X9C_ZZ_normal.jpg")</f>
        <v>https://pbs.twimg.com/profile_images/1176490241278054400/s4X9C_ZZ_normal.jpg</v>
      </c>
      <c r="AW1249" s="82" t="s">
        <v>12913</v>
      </c>
      <c r="AX1249" s="82" t="s">
        <v>12913</v>
      </c>
      <c r="AY1249" s="77"/>
      <c r="AZ1249" s="82" t="s">
        <v>15984</v>
      </c>
      <c r="BA1249" s="82" t="s">
        <v>15984</v>
      </c>
      <c r="BB1249" s="82" t="s">
        <v>15984</v>
      </c>
      <c r="BC1249" s="82" t="s">
        <v>12913</v>
      </c>
      <c r="BD1249" s="77">
        <v>136293095</v>
      </c>
      <c r="BE1249" s="77"/>
      <c r="BF1249" s="77"/>
      <c r="BG1249" s="77"/>
      <c r="BH1249" s="77"/>
      <c r="BI1249" s="77"/>
    </row>
    <row r="1250" spans="1:61" x14ac:dyDescent="0.25">
      <c r="A1250" s="62" t="s">
        <v>607</v>
      </c>
      <c r="B1250" s="62" t="s">
        <v>607</v>
      </c>
      <c r="C1250" s="63"/>
      <c r="D1250" s="64"/>
      <c r="E1250" s="65"/>
      <c r="F1250" s="66"/>
      <c r="G1250" s="63"/>
      <c r="H1250" s="67"/>
      <c r="I1250" s="68"/>
      <c r="J1250" s="68"/>
      <c r="K1250" s="32"/>
      <c r="L1250" s="75">
        <v>1250</v>
      </c>
      <c r="M1250" s="75"/>
      <c r="N1250" s="70"/>
      <c r="O1250" s="77" t="s">
        <v>179</v>
      </c>
      <c r="P1250" s="79">
        <v>45127.487893518519</v>
      </c>
      <c r="Q1250" s="77" t="s">
        <v>2028</v>
      </c>
      <c r="R1250" s="77">
        <v>0</v>
      </c>
      <c r="S1250" s="77">
        <v>0</v>
      </c>
      <c r="T1250" s="77">
        <v>0</v>
      </c>
      <c r="U1250" s="77">
        <v>0</v>
      </c>
      <c r="V1250" s="77">
        <v>33</v>
      </c>
      <c r="W1250" s="82" t="s">
        <v>5474</v>
      </c>
      <c r="X1250" s="80" t="str">
        <f>HYPERLINK("https://enfoque.com.br/noticias/20-07-2023/cambio-dolar-devera-seguir-em-queda-nesta-quinta-feira?k=164177281")</f>
        <v>https://enfoque.com.br/noticias/20-07-2023/cambio-dolar-devera-seguir-em-queda-nesta-quinta-feira?k=164177281</v>
      </c>
      <c r="Y1250" s="77" t="s">
        <v>6470</v>
      </c>
      <c r="Z1250" s="77"/>
      <c r="AA1250" s="77"/>
      <c r="AB1250" s="77"/>
      <c r="AC1250" s="82" t="s">
        <v>7750</v>
      </c>
      <c r="AD1250" s="77" t="s">
        <v>7788</v>
      </c>
      <c r="AE1250" s="80" t="str">
        <f>HYPERLINK("https://twitter.com/enfoqueif/status/1681992993228636161")</f>
        <v>https://twitter.com/enfoqueif/status/1681992993228636161</v>
      </c>
      <c r="AF1250" s="79">
        <v>45127.487893518519</v>
      </c>
      <c r="AG1250" s="85">
        <v>45127</v>
      </c>
      <c r="AH1250" s="82" t="s">
        <v>8886</v>
      </c>
      <c r="AI1250" s="77" t="b">
        <v>0</v>
      </c>
      <c r="AJ1250" s="77"/>
      <c r="AK1250" s="77"/>
      <c r="AL1250" s="77"/>
      <c r="AM1250" s="77"/>
      <c r="AN1250" s="77"/>
      <c r="AO1250" s="77"/>
      <c r="AP1250" s="77"/>
      <c r="AQ1250" s="77"/>
      <c r="AR1250" s="77"/>
      <c r="AS1250" s="77"/>
      <c r="AT1250" s="77"/>
      <c r="AU1250" s="77"/>
      <c r="AV1250" s="80" t="str">
        <f>HYPERLINK("https://pbs.twimg.com/profile_images/1176490241278054400/s4X9C_ZZ_normal.jpg")</f>
        <v>https://pbs.twimg.com/profile_images/1176490241278054400/s4X9C_ZZ_normal.jpg</v>
      </c>
      <c r="AW1250" s="82" t="s">
        <v>12914</v>
      </c>
      <c r="AX1250" s="82" t="s">
        <v>12914</v>
      </c>
      <c r="AY1250" s="77"/>
      <c r="AZ1250" s="82" t="s">
        <v>15984</v>
      </c>
      <c r="BA1250" s="82" t="s">
        <v>15984</v>
      </c>
      <c r="BB1250" s="82" t="s">
        <v>15984</v>
      </c>
      <c r="BC1250" s="82" t="s">
        <v>12914</v>
      </c>
      <c r="BD1250" s="77">
        <v>136293095</v>
      </c>
      <c r="BE1250" s="77"/>
      <c r="BF1250" s="77"/>
      <c r="BG1250" s="77"/>
      <c r="BH1250" s="77"/>
      <c r="BI1250" s="77"/>
    </row>
    <row r="1251" spans="1:61" x14ac:dyDescent="0.25">
      <c r="A1251" s="62" t="s">
        <v>607</v>
      </c>
      <c r="B1251" s="62" t="s">
        <v>607</v>
      </c>
      <c r="C1251" s="63"/>
      <c r="D1251" s="64"/>
      <c r="E1251" s="65"/>
      <c r="F1251" s="66"/>
      <c r="G1251" s="63"/>
      <c r="H1251" s="67"/>
      <c r="I1251" s="68"/>
      <c r="J1251" s="68"/>
      <c r="K1251" s="32"/>
      <c r="L1251" s="75">
        <v>1251</v>
      </c>
      <c r="M1251" s="75"/>
      <c r="N1251" s="70"/>
      <c r="O1251" s="77" t="s">
        <v>179</v>
      </c>
      <c r="P1251" s="79">
        <v>45154.523194444446</v>
      </c>
      <c r="Q1251" s="77" t="s">
        <v>2029</v>
      </c>
      <c r="R1251" s="77">
        <v>0</v>
      </c>
      <c r="S1251" s="77">
        <v>0</v>
      </c>
      <c r="T1251" s="77">
        <v>0</v>
      </c>
      <c r="U1251" s="77">
        <v>0</v>
      </c>
      <c r="V1251" s="77">
        <v>30</v>
      </c>
      <c r="W1251" s="82" t="s">
        <v>5475</v>
      </c>
      <c r="X1251" s="80" t="str">
        <f>HYPERLINK("https://enfoque.com.br/noticias/16-08-2023/pauta-do-dia-mercados-operam-sem-folego-nesta-manha?k=164182243")</f>
        <v>https://enfoque.com.br/noticias/16-08-2023/pauta-do-dia-mercados-operam-sem-folego-nesta-manha?k=164182243</v>
      </c>
      <c r="Y1251" s="77" t="s">
        <v>6470</v>
      </c>
      <c r="Z1251" s="77"/>
      <c r="AA1251" s="77"/>
      <c r="AB1251" s="77"/>
      <c r="AC1251" s="82" t="s">
        <v>7750</v>
      </c>
      <c r="AD1251" s="77" t="s">
        <v>7788</v>
      </c>
      <c r="AE1251" s="80" t="str">
        <f>HYPERLINK("https://twitter.com/enfoqueif/status/1691790261301444693")</f>
        <v>https://twitter.com/enfoqueif/status/1691790261301444693</v>
      </c>
      <c r="AF1251" s="79">
        <v>45154.523194444446</v>
      </c>
      <c r="AG1251" s="85">
        <v>45154</v>
      </c>
      <c r="AH1251" s="82" t="s">
        <v>8887</v>
      </c>
      <c r="AI1251" s="77" t="b">
        <v>0</v>
      </c>
      <c r="AJ1251" s="77"/>
      <c r="AK1251" s="77"/>
      <c r="AL1251" s="77"/>
      <c r="AM1251" s="77"/>
      <c r="AN1251" s="77"/>
      <c r="AO1251" s="77"/>
      <c r="AP1251" s="77"/>
      <c r="AQ1251" s="77"/>
      <c r="AR1251" s="77"/>
      <c r="AS1251" s="77"/>
      <c r="AT1251" s="77"/>
      <c r="AU1251" s="77"/>
      <c r="AV1251" s="80" t="str">
        <f>HYPERLINK("https://pbs.twimg.com/profile_images/1176490241278054400/s4X9C_ZZ_normal.jpg")</f>
        <v>https://pbs.twimg.com/profile_images/1176490241278054400/s4X9C_ZZ_normal.jpg</v>
      </c>
      <c r="AW1251" s="82" t="s">
        <v>12915</v>
      </c>
      <c r="AX1251" s="82" t="s">
        <v>12915</v>
      </c>
      <c r="AY1251" s="77"/>
      <c r="AZ1251" s="82" t="s">
        <v>15984</v>
      </c>
      <c r="BA1251" s="82" t="s">
        <v>15984</v>
      </c>
      <c r="BB1251" s="82" t="s">
        <v>15984</v>
      </c>
      <c r="BC1251" s="82" t="s">
        <v>12915</v>
      </c>
      <c r="BD1251" s="77">
        <v>136293095</v>
      </c>
      <c r="BE1251" s="77"/>
      <c r="BF1251" s="77"/>
      <c r="BG1251" s="77"/>
      <c r="BH1251" s="77"/>
      <c r="BI1251" s="77"/>
    </row>
    <row r="1252" spans="1:61" x14ac:dyDescent="0.25">
      <c r="A1252" s="62" t="s">
        <v>607</v>
      </c>
      <c r="B1252" s="62" t="s">
        <v>607</v>
      </c>
      <c r="C1252" s="63"/>
      <c r="D1252" s="64"/>
      <c r="E1252" s="65"/>
      <c r="F1252" s="66"/>
      <c r="G1252" s="63"/>
      <c r="H1252" s="67"/>
      <c r="I1252" s="68"/>
      <c r="J1252" s="68"/>
      <c r="K1252" s="32"/>
      <c r="L1252" s="75">
        <v>1252</v>
      </c>
      <c r="M1252" s="75"/>
      <c r="N1252" s="70"/>
      <c r="O1252" s="77" t="s">
        <v>179</v>
      </c>
      <c r="P1252" s="79">
        <v>45154.491469907407</v>
      </c>
      <c r="Q1252" s="77" t="s">
        <v>2030</v>
      </c>
      <c r="R1252" s="77">
        <v>0</v>
      </c>
      <c r="S1252" s="77">
        <v>0</v>
      </c>
      <c r="T1252" s="77">
        <v>0</v>
      </c>
      <c r="U1252" s="77">
        <v>0</v>
      </c>
      <c r="V1252" s="77">
        <v>39</v>
      </c>
      <c r="W1252" s="82" t="s">
        <v>5476</v>
      </c>
      <c r="X1252" s="80" t="str">
        <f>HYPERLINK("https://enfoque.com.br/noticias/16-08-2023/cambio-dolar-fechou-em-alta-ontem-pelo-3-dia-seguido?k=164182232")</f>
        <v>https://enfoque.com.br/noticias/16-08-2023/cambio-dolar-fechou-em-alta-ontem-pelo-3-dia-seguido?k=164182232</v>
      </c>
      <c r="Y1252" s="77" t="s">
        <v>6470</v>
      </c>
      <c r="Z1252" s="77"/>
      <c r="AA1252" s="77"/>
      <c r="AB1252" s="77"/>
      <c r="AC1252" s="82" t="s">
        <v>7750</v>
      </c>
      <c r="AD1252" s="77" t="s">
        <v>7788</v>
      </c>
      <c r="AE1252" s="80" t="str">
        <f>HYPERLINK("https://twitter.com/enfoqueif/status/1691778763904675882")</f>
        <v>https://twitter.com/enfoqueif/status/1691778763904675882</v>
      </c>
      <c r="AF1252" s="79">
        <v>45154.491469907407</v>
      </c>
      <c r="AG1252" s="85">
        <v>45154</v>
      </c>
      <c r="AH1252" s="82" t="s">
        <v>8802</v>
      </c>
      <c r="AI1252" s="77" t="b">
        <v>0</v>
      </c>
      <c r="AJ1252" s="77"/>
      <c r="AK1252" s="77"/>
      <c r="AL1252" s="77"/>
      <c r="AM1252" s="77"/>
      <c r="AN1252" s="77"/>
      <c r="AO1252" s="77"/>
      <c r="AP1252" s="77"/>
      <c r="AQ1252" s="77"/>
      <c r="AR1252" s="77"/>
      <c r="AS1252" s="77"/>
      <c r="AT1252" s="77"/>
      <c r="AU1252" s="77"/>
      <c r="AV1252" s="80" t="str">
        <f>HYPERLINK("https://pbs.twimg.com/profile_images/1176490241278054400/s4X9C_ZZ_normal.jpg")</f>
        <v>https://pbs.twimg.com/profile_images/1176490241278054400/s4X9C_ZZ_normal.jpg</v>
      </c>
      <c r="AW1252" s="82" t="s">
        <v>12916</v>
      </c>
      <c r="AX1252" s="82" t="s">
        <v>12916</v>
      </c>
      <c r="AY1252" s="77"/>
      <c r="AZ1252" s="82" t="s">
        <v>15984</v>
      </c>
      <c r="BA1252" s="82" t="s">
        <v>15984</v>
      </c>
      <c r="BB1252" s="82" t="s">
        <v>15984</v>
      </c>
      <c r="BC1252" s="82" t="s">
        <v>12916</v>
      </c>
      <c r="BD1252" s="77">
        <v>136293095</v>
      </c>
      <c r="BE1252" s="77"/>
      <c r="BF1252" s="77"/>
      <c r="BG1252" s="77"/>
      <c r="BH1252" s="77"/>
      <c r="BI1252" s="77"/>
    </row>
    <row r="1253" spans="1:61" x14ac:dyDescent="0.25">
      <c r="A1253" s="62" t="s">
        <v>607</v>
      </c>
      <c r="B1253" s="62" t="s">
        <v>607</v>
      </c>
      <c r="C1253" s="63"/>
      <c r="D1253" s="64"/>
      <c r="E1253" s="65"/>
      <c r="F1253" s="66"/>
      <c r="G1253" s="63"/>
      <c r="H1253" s="67"/>
      <c r="I1253" s="68"/>
      <c r="J1253" s="68"/>
      <c r="K1253" s="32"/>
      <c r="L1253" s="75">
        <v>1253</v>
      </c>
      <c r="M1253" s="75"/>
      <c r="N1253" s="70"/>
      <c r="O1253" s="77" t="s">
        <v>179</v>
      </c>
      <c r="P1253" s="79">
        <v>45126.513877314814</v>
      </c>
      <c r="Q1253" s="77" t="s">
        <v>2031</v>
      </c>
      <c r="R1253" s="77">
        <v>0</v>
      </c>
      <c r="S1253" s="77">
        <v>0</v>
      </c>
      <c r="T1253" s="77">
        <v>0</v>
      </c>
      <c r="U1253" s="77">
        <v>0</v>
      </c>
      <c r="V1253" s="77">
        <v>18</v>
      </c>
      <c r="W1253" s="82" t="s">
        <v>5477</v>
      </c>
      <c r="X1253" s="80" t="str">
        <f>HYPERLINK("https://enfoque.com.br/noticias/19-07-2023/cambio-dolar-fechou-com-estabilidade-na-terca-feira?k=164176953")</f>
        <v>https://enfoque.com.br/noticias/19-07-2023/cambio-dolar-fechou-com-estabilidade-na-terca-feira?k=164176953</v>
      </c>
      <c r="Y1253" s="77" t="s">
        <v>6470</v>
      </c>
      <c r="Z1253" s="77"/>
      <c r="AA1253" s="77"/>
      <c r="AB1253" s="77"/>
      <c r="AC1253" s="82" t="s">
        <v>7750</v>
      </c>
      <c r="AD1253" s="77" t="s">
        <v>7788</v>
      </c>
      <c r="AE1253" s="80" t="str">
        <f>HYPERLINK("https://twitter.com/enfoqueif/status/1681640021701406722")</f>
        <v>https://twitter.com/enfoqueif/status/1681640021701406722</v>
      </c>
      <c r="AF1253" s="79">
        <v>45126.513877314814</v>
      </c>
      <c r="AG1253" s="85">
        <v>45126</v>
      </c>
      <c r="AH1253" s="82" t="s">
        <v>8888</v>
      </c>
      <c r="AI1253" s="77" t="b">
        <v>0</v>
      </c>
      <c r="AJ1253" s="77"/>
      <c r="AK1253" s="77"/>
      <c r="AL1253" s="77"/>
      <c r="AM1253" s="77"/>
      <c r="AN1253" s="77"/>
      <c r="AO1253" s="77"/>
      <c r="AP1253" s="77"/>
      <c r="AQ1253" s="77"/>
      <c r="AR1253" s="77"/>
      <c r="AS1253" s="77"/>
      <c r="AT1253" s="77"/>
      <c r="AU1253" s="77"/>
      <c r="AV1253" s="80" t="str">
        <f>HYPERLINK("https://pbs.twimg.com/profile_images/1176490241278054400/s4X9C_ZZ_normal.jpg")</f>
        <v>https://pbs.twimg.com/profile_images/1176490241278054400/s4X9C_ZZ_normal.jpg</v>
      </c>
      <c r="AW1253" s="82" t="s">
        <v>12917</v>
      </c>
      <c r="AX1253" s="82" t="s">
        <v>12917</v>
      </c>
      <c r="AY1253" s="77"/>
      <c r="AZ1253" s="82" t="s">
        <v>15984</v>
      </c>
      <c r="BA1253" s="82" t="s">
        <v>15984</v>
      </c>
      <c r="BB1253" s="82" t="s">
        <v>15984</v>
      </c>
      <c r="BC1253" s="82" t="s">
        <v>12917</v>
      </c>
      <c r="BD1253" s="77">
        <v>136293095</v>
      </c>
      <c r="BE1253" s="77"/>
      <c r="BF1253" s="77"/>
      <c r="BG1253" s="77"/>
      <c r="BH1253" s="77"/>
      <c r="BI1253" s="77"/>
    </row>
    <row r="1254" spans="1:61" x14ac:dyDescent="0.25">
      <c r="A1254" s="62" t="s">
        <v>607</v>
      </c>
      <c r="B1254" s="62" t="s">
        <v>607</v>
      </c>
      <c r="C1254" s="63"/>
      <c r="D1254" s="64"/>
      <c r="E1254" s="65"/>
      <c r="F1254" s="66"/>
      <c r="G1254" s="63"/>
      <c r="H1254" s="67"/>
      <c r="I1254" s="68"/>
      <c r="J1254" s="68"/>
      <c r="K1254" s="32"/>
      <c r="L1254" s="75">
        <v>1254</v>
      </c>
      <c r="M1254" s="75"/>
      <c r="N1254" s="70"/>
      <c r="O1254" s="77" t="s">
        <v>179</v>
      </c>
      <c r="P1254" s="79">
        <v>45156.499918981484</v>
      </c>
      <c r="Q1254" s="77" t="s">
        <v>2032</v>
      </c>
      <c r="R1254" s="77">
        <v>0</v>
      </c>
      <c r="S1254" s="77">
        <v>0</v>
      </c>
      <c r="T1254" s="77">
        <v>0</v>
      </c>
      <c r="U1254" s="77">
        <v>0</v>
      </c>
      <c r="V1254" s="77">
        <v>32</v>
      </c>
      <c r="W1254" s="82" t="s">
        <v>5478</v>
      </c>
      <c r="X1254" s="80" t="str">
        <f>HYPERLINK("https://enfoque.com.br/noticias/18-08-2023/pauta-do-dia-bolsas-globais-caem-nesta-manha-com-dados-do-japao?k=164182635")</f>
        <v>https://enfoque.com.br/noticias/18-08-2023/pauta-do-dia-bolsas-globais-caem-nesta-manha-com-dados-do-japao?k=164182635</v>
      </c>
      <c r="Y1254" s="77" t="s">
        <v>6470</v>
      </c>
      <c r="Z1254" s="77"/>
      <c r="AA1254" s="77"/>
      <c r="AB1254" s="77"/>
      <c r="AC1254" s="82" t="s">
        <v>7750</v>
      </c>
      <c r="AD1254" s="77" t="s">
        <v>7788</v>
      </c>
      <c r="AE1254" s="80" t="str">
        <f>HYPERLINK("https://twitter.com/enfoqueif/status/1692506600412463173")</f>
        <v>https://twitter.com/enfoqueif/status/1692506600412463173</v>
      </c>
      <c r="AF1254" s="79">
        <v>45156.499918981484</v>
      </c>
      <c r="AG1254" s="85">
        <v>45156</v>
      </c>
      <c r="AH1254" s="82" t="s">
        <v>8889</v>
      </c>
      <c r="AI1254" s="77" t="b">
        <v>0</v>
      </c>
      <c r="AJ1254" s="77"/>
      <c r="AK1254" s="77"/>
      <c r="AL1254" s="77"/>
      <c r="AM1254" s="77"/>
      <c r="AN1254" s="77"/>
      <c r="AO1254" s="77"/>
      <c r="AP1254" s="77"/>
      <c r="AQ1254" s="77"/>
      <c r="AR1254" s="77"/>
      <c r="AS1254" s="77"/>
      <c r="AT1254" s="77"/>
      <c r="AU1254" s="77"/>
      <c r="AV1254" s="80" t="str">
        <f>HYPERLINK("https://pbs.twimg.com/profile_images/1176490241278054400/s4X9C_ZZ_normal.jpg")</f>
        <v>https://pbs.twimg.com/profile_images/1176490241278054400/s4X9C_ZZ_normal.jpg</v>
      </c>
      <c r="AW1254" s="82" t="s">
        <v>12918</v>
      </c>
      <c r="AX1254" s="82" t="s">
        <v>12918</v>
      </c>
      <c r="AY1254" s="77"/>
      <c r="AZ1254" s="82" t="s">
        <v>15984</v>
      </c>
      <c r="BA1254" s="82" t="s">
        <v>15984</v>
      </c>
      <c r="BB1254" s="82" t="s">
        <v>15984</v>
      </c>
      <c r="BC1254" s="82" t="s">
        <v>12918</v>
      </c>
      <c r="BD1254" s="77">
        <v>136293095</v>
      </c>
      <c r="BE1254" s="77"/>
      <c r="BF1254" s="77"/>
      <c r="BG1254" s="77"/>
      <c r="BH1254" s="77"/>
      <c r="BI1254" s="77"/>
    </row>
    <row r="1255" spans="1:61" x14ac:dyDescent="0.25">
      <c r="A1255" s="62" t="s">
        <v>607</v>
      </c>
      <c r="B1255" s="62" t="s">
        <v>607</v>
      </c>
      <c r="C1255" s="63"/>
      <c r="D1255" s="64"/>
      <c r="E1255" s="65"/>
      <c r="F1255" s="66"/>
      <c r="G1255" s="63"/>
      <c r="H1255" s="67"/>
      <c r="I1255" s="68"/>
      <c r="J1255" s="68"/>
      <c r="K1255" s="32"/>
      <c r="L1255" s="75">
        <v>1255</v>
      </c>
      <c r="M1255" s="75"/>
      <c r="N1255" s="70"/>
      <c r="O1255" s="77" t="s">
        <v>179</v>
      </c>
      <c r="P1255" s="79">
        <v>45156.487743055557</v>
      </c>
      <c r="Q1255" s="77" t="s">
        <v>2033</v>
      </c>
      <c r="R1255" s="77">
        <v>0</v>
      </c>
      <c r="S1255" s="77">
        <v>0</v>
      </c>
      <c r="T1255" s="77">
        <v>0</v>
      </c>
      <c r="U1255" s="77">
        <v>0</v>
      </c>
      <c r="V1255" s="77">
        <v>57</v>
      </c>
      <c r="W1255" s="82" t="s">
        <v>5479</v>
      </c>
      <c r="X1255" s="80" t="str">
        <f>HYPERLINK("https://enfoque.com.br/noticias/18-08-2023/cambio-dolar-deve-abrir-em-alta-e-fechar-a-semana-positivo?k=164182634")</f>
        <v>https://enfoque.com.br/noticias/18-08-2023/cambio-dolar-deve-abrir-em-alta-e-fechar-a-semana-positivo?k=164182634</v>
      </c>
      <c r="Y1255" s="77" t="s">
        <v>6470</v>
      </c>
      <c r="Z1255" s="77"/>
      <c r="AA1255" s="77"/>
      <c r="AB1255" s="77"/>
      <c r="AC1255" s="82" t="s">
        <v>7750</v>
      </c>
      <c r="AD1255" s="77" t="s">
        <v>7788</v>
      </c>
      <c r="AE1255" s="80" t="str">
        <f>HYPERLINK("https://twitter.com/enfoqueif/status/1692502188738666815")</f>
        <v>https://twitter.com/enfoqueif/status/1692502188738666815</v>
      </c>
      <c r="AF1255" s="79">
        <v>45156.487743055557</v>
      </c>
      <c r="AG1255" s="85">
        <v>45156</v>
      </c>
      <c r="AH1255" s="82" t="s">
        <v>8890</v>
      </c>
      <c r="AI1255" s="77" t="b">
        <v>0</v>
      </c>
      <c r="AJ1255" s="77"/>
      <c r="AK1255" s="77"/>
      <c r="AL1255" s="77"/>
      <c r="AM1255" s="77"/>
      <c r="AN1255" s="77"/>
      <c r="AO1255" s="77"/>
      <c r="AP1255" s="77"/>
      <c r="AQ1255" s="77"/>
      <c r="AR1255" s="77"/>
      <c r="AS1255" s="77"/>
      <c r="AT1255" s="77"/>
      <c r="AU1255" s="77"/>
      <c r="AV1255" s="80" t="str">
        <f>HYPERLINK("https://pbs.twimg.com/profile_images/1176490241278054400/s4X9C_ZZ_normal.jpg")</f>
        <v>https://pbs.twimg.com/profile_images/1176490241278054400/s4X9C_ZZ_normal.jpg</v>
      </c>
      <c r="AW1255" s="82" t="s">
        <v>12919</v>
      </c>
      <c r="AX1255" s="82" t="s">
        <v>12919</v>
      </c>
      <c r="AY1255" s="77"/>
      <c r="AZ1255" s="82" t="s">
        <v>15984</v>
      </c>
      <c r="BA1255" s="82" t="s">
        <v>15984</v>
      </c>
      <c r="BB1255" s="82" t="s">
        <v>15984</v>
      </c>
      <c r="BC1255" s="82" t="s">
        <v>12919</v>
      </c>
      <c r="BD1255" s="77">
        <v>136293095</v>
      </c>
      <c r="BE1255" s="77"/>
      <c r="BF1255" s="77"/>
      <c r="BG1255" s="77"/>
      <c r="BH1255" s="77"/>
      <c r="BI1255" s="77"/>
    </row>
    <row r="1256" spans="1:61" x14ac:dyDescent="0.25">
      <c r="A1256" s="62" t="s">
        <v>607</v>
      </c>
      <c r="B1256" s="62" t="s">
        <v>607</v>
      </c>
      <c r="C1256" s="63"/>
      <c r="D1256" s="64"/>
      <c r="E1256" s="65"/>
      <c r="F1256" s="66"/>
      <c r="G1256" s="63"/>
      <c r="H1256" s="67"/>
      <c r="I1256" s="68"/>
      <c r="J1256" s="68"/>
      <c r="K1256" s="32"/>
      <c r="L1256" s="75">
        <v>1256</v>
      </c>
      <c r="M1256" s="75"/>
      <c r="N1256" s="70"/>
      <c r="O1256" s="77" t="s">
        <v>179</v>
      </c>
      <c r="P1256" s="79">
        <v>45153.538263888891</v>
      </c>
      <c r="Q1256" s="77" t="s">
        <v>2034</v>
      </c>
      <c r="R1256" s="77">
        <v>0</v>
      </c>
      <c r="S1256" s="77">
        <v>0</v>
      </c>
      <c r="T1256" s="77">
        <v>0</v>
      </c>
      <c r="U1256" s="77">
        <v>0</v>
      </c>
      <c r="V1256" s="77">
        <v>65</v>
      </c>
      <c r="W1256" s="82" t="s">
        <v>5480</v>
      </c>
      <c r="X1256" s="80" t="str">
        <f>HYPERLINK("https://enfoque.com.br/noticias/15-08-2023/pauta-do-dia-incertezas-com-o-crescimento-global-pesam-nesta-manha?k=164181995")</f>
        <v>https://enfoque.com.br/noticias/15-08-2023/pauta-do-dia-incertezas-com-o-crescimento-global-pesam-nesta-manha?k=164181995</v>
      </c>
      <c r="Y1256" s="77" t="s">
        <v>6470</v>
      </c>
      <c r="Z1256" s="77"/>
      <c r="AA1256" s="77"/>
      <c r="AB1256" s="77"/>
      <c r="AC1256" s="82" t="s">
        <v>7750</v>
      </c>
      <c r="AD1256" s="77" t="s">
        <v>7788</v>
      </c>
      <c r="AE1256" s="80" t="str">
        <f>HYPERLINK("https://twitter.com/enfoqueif/status/1691433332431605760")</f>
        <v>https://twitter.com/enfoqueif/status/1691433332431605760</v>
      </c>
      <c r="AF1256" s="79">
        <v>45153.538263888891</v>
      </c>
      <c r="AG1256" s="85">
        <v>45153</v>
      </c>
      <c r="AH1256" s="82" t="s">
        <v>8891</v>
      </c>
      <c r="AI1256" s="77" t="b">
        <v>0</v>
      </c>
      <c r="AJ1256" s="77"/>
      <c r="AK1256" s="77"/>
      <c r="AL1256" s="77"/>
      <c r="AM1256" s="77"/>
      <c r="AN1256" s="77"/>
      <c r="AO1256" s="77"/>
      <c r="AP1256" s="77"/>
      <c r="AQ1256" s="77"/>
      <c r="AR1256" s="77"/>
      <c r="AS1256" s="77"/>
      <c r="AT1256" s="77"/>
      <c r="AU1256" s="77"/>
      <c r="AV1256" s="80" t="str">
        <f>HYPERLINK("https://pbs.twimg.com/profile_images/1176490241278054400/s4X9C_ZZ_normal.jpg")</f>
        <v>https://pbs.twimg.com/profile_images/1176490241278054400/s4X9C_ZZ_normal.jpg</v>
      </c>
      <c r="AW1256" s="82" t="s">
        <v>12920</v>
      </c>
      <c r="AX1256" s="82" t="s">
        <v>12920</v>
      </c>
      <c r="AY1256" s="77"/>
      <c r="AZ1256" s="82" t="s">
        <v>15984</v>
      </c>
      <c r="BA1256" s="82" t="s">
        <v>15984</v>
      </c>
      <c r="BB1256" s="82" t="s">
        <v>15984</v>
      </c>
      <c r="BC1256" s="82" t="s">
        <v>12920</v>
      </c>
      <c r="BD1256" s="77">
        <v>136293095</v>
      </c>
      <c r="BE1256" s="77"/>
      <c r="BF1256" s="77"/>
      <c r="BG1256" s="77"/>
      <c r="BH1256" s="77"/>
      <c r="BI1256" s="77"/>
    </row>
    <row r="1257" spans="1:61" x14ac:dyDescent="0.25">
      <c r="A1257" s="62" t="s">
        <v>607</v>
      </c>
      <c r="B1257" s="62" t="s">
        <v>607</v>
      </c>
      <c r="C1257" s="63"/>
      <c r="D1257" s="64"/>
      <c r="E1257" s="65"/>
      <c r="F1257" s="66"/>
      <c r="G1257" s="63"/>
      <c r="H1257" s="67"/>
      <c r="I1257" s="68"/>
      <c r="J1257" s="68"/>
      <c r="K1257" s="32"/>
      <c r="L1257" s="75">
        <v>1257</v>
      </c>
      <c r="M1257" s="75"/>
      <c r="N1257" s="70"/>
      <c r="O1257" s="77" t="s">
        <v>179</v>
      </c>
      <c r="P1257" s="79">
        <v>45160.512777777774</v>
      </c>
      <c r="Q1257" s="77" t="s">
        <v>2035</v>
      </c>
      <c r="R1257" s="77">
        <v>0</v>
      </c>
      <c r="S1257" s="77">
        <v>0</v>
      </c>
      <c r="T1257" s="77">
        <v>0</v>
      </c>
      <c r="U1257" s="77">
        <v>0</v>
      </c>
      <c r="V1257" s="77">
        <v>72</v>
      </c>
      <c r="W1257" s="82" t="s">
        <v>5481</v>
      </c>
      <c r="X1257" s="80" t="str">
        <f>HYPERLINK("https://enfoque.com.br/noticias/22-08-2023/cambio-dolar-subiu-ontem-mas-deve-abrir-hoje-em-queda?k=164183034")</f>
        <v>https://enfoque.com.br/noticias/22-08-2023/cambio-dolar-subiu-ontem-mas-deve-abrir-hoje-em-queda?k=164183034</v>
      </c>
      <c r="Y1257" s="77" t="s">
        <v>6470</v>
      </c>
      <c r="Z1257" s="77"/>
      <c r="AA1257" s="77"/>
      <c r="AB1257" s="77"/>
      <c r="AC1257" s="82" t="s">
        <v>7750</v>
      </c>
      <c r="AD1257" s="77" t="s">
        <v>7788</v>
      </c>
      <c r="AE1257" s="80" t="str">
        <f>HYPERLINK("https://twitter.com/enfoqueif/status/1693960813042717063")</f>
        <v>https://twitter.com/enfoqueif/status/1693960813042717063</v>
      </c>
      <c r="AF1257" s="79">
        <v>45160.512777777774</v>
      </c>
      <c r="AG1257" s="85">
        <v>45160</v>
      </c>
      <c r="AH1257" s="82" t="s">
        <v>8892</v>
      </c>
      <c r="AI1257" s="77" t="b">
        <v>0</v>
      </c>
      <c r="AJ1257" s="77"/>
      <c r="AK1257" s="77"/>
      <c r="AL1257" s="77"/>
      <c r="AM1257" s="77"/>
      <c r="AN1257" s="77"/>
      <c r="AO1257" s="77"/>
      <c r="AP1257" s="77"/>
      <c r="AQ1257" s="77"/>
      <c r="AR1257" s="77"/>
      <c r="AS1257" s="77"/>
      <c r="AT1257" s="77"/>
      <c r="AU1257" s="77"/>
      <c r="AV1257" s="80" t="str">
        <f>HYPERLINK("https://pbs.twimg.com/profile_images/1176490241278054400/s4X9C_ZZ_normal.jpg")</f>
        <v>https://pbs.twimg.com/profile_images/1176490241278054400/s4X9C_ZZ_normal.jpg</v>
      </c>
      <c r="AW1257" s="82" t="s">
        <v>12921</v>
      </c>
      <c r="AX1257" s="82" t="s">
        <v>12921</v>
      </c>
      <c r="AY1257" s="77"/>
      <c r="AZ1257" s="82" t="s">
        <v>15984</v>
      </c>
      <c r="BA1257" s="82" t="s">
        <v>15984</v>
      </c>
      <c r="BB1257" s="82" t="s">
        <v>15984</v>
      </c>
      <c r="BC1257" s="82" t="s">
        <v>12921</v>
      </c>
      <c r="BD1257" s="77">
        <v>136293095</v>
      </c>
      <c r="BE1257" s="77"/>
      <c r="BF1257" s="77"/>
      <c r="BG1257" s="77"/>
      <c r="BH1257" s="77"/>
      <c r="BI1257" s="77"/>
    </row>
    <row r="1258" spans="1:61" x14ac:dyDescent="0.25">
      <c r="A1258" s="62" t="s">
        <v>607</v>
      </c>
      <c r="B1258" s="62" t="s">
        <v>607</v>
      </c>
      <c r="C1258" s="63"/>
      <c r="D1258" s="64"/>
      <c r="E1258" s="65"/>
      <c r="F1258" s="66"/>
      <c r="G1258" s="63"/>
      <c r="H1258" s="67"/>
      <c r="I1258" s="68"/>
      <c r="J1258" s="68"/>
      <c r="K1258" s="32"/>
      <c r="L1258" s="75">
        <v>1258</v>
      </c>
      <c r="M1258" s="75"/>
      <c r="N1258" s="70"/>
      <c r="O1258" s="77" t="s">
        <v>179</v>
      </c>
      <c r="P1258" s="79">
        <v>45119.502025462964</v>
      </c>
      <c r="Q1258" s="77" t="s">
        <v>2036</v>
      </c>
      <c r="R1258" s="77">
        <v>0</v>
      </c>
      <c r="S1258" s="77">
        <v>0</v>
      </c>
      <c r="T1258" s="77">
        <v>0</v>
      </c>
      <c r="U1258" s="77">
        <v>0</v>
      </c>
      <c r="V1258" s="77">
        <v>16</v>
      </c>
      <c r="W1258" s="82" t="s">
        <v>5482</v>
      </c>
      <c r="X1258" s="80" t="str">
        <f>HYPERLINK("https://enfoque.com.br/noticias/12-07-2023/cambio-dolar-fechou-ontem-em-baixa-acompanhando-exterior?k=164175675")</f>
        <v>https://enfoque.com.br/noticias/12-07-2023/cambio-dolar-fechou-ontem-em-baixa-acompanhando-exterior?k=164175675</v>
      </c>
      <c r="Y1258" s="77" t="s">
        <v>6470</v>
      </c>
      <c r="Z1258" s="77"/>
      <c r="AA1258" s="77"/>
      <c r="AB1258" s="77"/>
      <c r="AC1258" s="82" t="s">
        <v>7750</v>
      </c>
      <c r="AD1258" s="77" t="s">
        <v>7788</v>
      </c>
      <c r="AE1258" s="80" t="str">
        <f>HYPERLINK("https://twitter.com/enfoqueif/status/1679099011804942336")</f>
        <v>https://twitter.com/enfoqueif/status/1679099011804942336</v>
      </c>
      <c r="AF1258" s="79">
        <v>45119.502025462964</v>
      </c>
      <c r="AG1258" s="85">
        <v>45119</v>
      </c>
      <c r="AH1258" s="82" t="s">
        <v>8893</v>
      </c>
      <c r="AI1258" s="77" t="b">
        <v>0</v>
      </c>
      <c r="AJ1258" s="77"/>
      <c r="AK1258" s="77"/>
      <c r="AL1258" s="77"/>
      <c r="AM1258" s="77"/>
      <c r="AN1258" s="77"/>
      <c r="AO1258" s="77"/>
      <c r="AP1258" s="77"/>
      <c r="AQ1258" s="77"/>
      <c r="AR1258" s="77"/>
      <c r="AS1258" s="77"/>
      <c r="AT1258" s="77"/>
      <c r="AU1258" s="77"/>
      <c r="AV1258" s="80" t="str">
        <f>HYPERLINK("https://pbs.twimg.com/profile_images/1176490241278054400/s4X9C_ZZ_normal.jpg")</f>
        <v>https://pbs.twimg.com/profile_images/1176490241278054400/s4X9C_ZZ_normal.jpg</v>
      </c>
      <c r="AW1258" s="82" t="s">
        <v>12922</v>
      </c>
      <c r="AX1258" s="82" t="s">
        <v>12922</v>
      </c>
      <c r="AY1258" s="77"/>
      <c r="AZ1258" s="82" t="s">
        <v>15984</v>
      </c>
      <c r="BA1258" s="82" t="s">
        <v>15984</v>
      </c>
      <c r="BB1258" s="82" t="s">
        <v>15984</v>
      </c>
      <c r="BC1258" s="82" t="s">
        <v>12922</v>
      </c>
      <c r="BD1258" s="77">
        <v>136293095</v>
      </c>
      <c r="BE1258" s="77"/>
      <c r="BF1258" s="77"/>
      <c r="BG1258" s="77"/>
      <c r="BH1258" s="77"/>
      <c r="BI1258" s="77"/>
    </row>
    <row r="1259" spans="1:61" x14ac:dyDescent="0.25">
      <c r="A1259" s="62" t="s">
        <v>607</v>
      </c>
      <c r="B1259" s="62" t="s">
        <v>607</v>
      </c>
      <c r="C1259" s="63"/>
      <c r="D1259" s="64"/>
      <c r="E1259" s="65"/>
      <c r="F1259" s="66"/>
      <c r="G1259" s="63"/>
      <c r="H1259" s="67"/>
      <c r="I1259" s="68"/>
      <c r="J1259" s="68"/>
      <c r="K1259" s="32"/>
      <c r="L1259" s="75">
        <v>1259</v>
      </c>
      <c r="M1259" s="75"/>
      <c r="N1259" s="70"/>
      <c r="O1259" s="77" t="s">
        <v>179</v>
      </c>
      <c r="P1259" s="79">
        <v>45161.499826388892</v>
      </c>
      <c r="Q1259" s="77" t="s">
        <v>2037</v>
      </c>
      <c r="R1259" s="77">
        <v>0</v>
      </c>
      <c r="S1259" s="77">
        <v>0</v>
      </c>
      <c r="T1259" s="77">
        <v>0</v>
      </c>
      <c r="U1259" s="77">
        <v>0</v>
      </c>
      <c r="V1259" s="77">
        <v>63</v>
      </c>
      <c r="W1259" s="82" t="s">
        <v>5483</v>
      </c>
      <c r="X1259" s="80" t="str">
        <f>HYPERLINK("https://enfoque.com.br/noticias/23-08-2023/pauta-do-dia-arcabouco-fiscal-no-radar-em-dia-de-agenda-esvaziada?k=164183257")</f>
        <v>https://enfoque.com.br/noticias/23-08-2023/pauta-do-dia-arcabouco-fiscal-no-radar-em-dia-de-agenda-esvaziada?k=164183257</v>
      </c>
      <c r="Y1259" s="77" t="s">
        <v>6470</v>
      </c>
      <c r="Z1259" s="77"/>
      <c r="AA1259" s="77"/>
      <c r="AB1259" s="77"/>
      <c r="AC1259" s="82" t="s">
        <v>7750</v>
      </c>
      <c r="AD1259" s="77" t="s">
        <v>7788</v>
      </c>
      <c r="AE1259" s="80" t="str">
        <f>HYPERLINK("https://twitter.com/enfoqueif/status/1694318507561799759")</f>
        <v>https://twitter.com/enfoqueif/status/1694318507561799759</v>
      </c>
      <c r="AF1259" s="79">
        <v>45161.499826388892</v>
      </c>
      <c r="AG1259" s="85">
        <v>45161</v>
      </c>
      <c r="AH1259" s="82" t="s">
        <v>8894</v>
      </c>
      <c r="AI1259" s="77" t="b">
        <v>0</v>
      </c>
      <c r="AJ1259" s="77"/>
      <c r="AK1259" s="77"/>
      <c r="AL1259" s="77"/>
      <c r="AM1259" s="77"/>
      <c r="AN1259" s="77"/>
      <c r="AO1259" s="77"/>
      <c r="AP1259" s="77"/>
      <c r="AQ1259" s="77"/>
      <c r="AR1259" s="77"/>
      <c r="AS1259" s="77"/>
      <c r="AT1259" s="77"/>
      <c r="AU1259" s="77"/>
      <c r="AV1259" s="80" t="str">
        <f>HYPERLINK("https://pbs.twimg.com/profile_images/1176490241278054400/s4X9C_ZZ_normal.jpg")</f>
        <v>https://pbs.twimg.com/profile_images/1176490241278054400/s4X9C_ZZ_normal.jpg</v>
      </c>
      <c r="AW1259" s="82" t="s">
        <v>12923</v>
      </c>
      <c r="AX1259" s="82" t="s">
        <v>12923</v>
      </c>
      <c r="AY1259" s="77"/>
      <c r="AZ1259" s="82" t="s">
        <v>15984</v>
      </c>
      <c r="BA1259" s="82" t="s">
        <v>15984</v>
      </c>
      <c r="BB1259" s="82" t="s">
        <v>15984</v>
      </c>
      <c r="BC1259" s="82" t="s">
        <v>12923</v>
      </c>
      <c r="BD1259" s="77">
        <v>136293095</v>
      </c>
      <c r="BE1259" s="77"/>
      <c r="BF1259" s="77"/>
      <c r="BG1259" s="77"/>
      <c r="BH1259" s="77"/>
      <c r="BI1259" s="77"/>
    </row>
    <row r="1260" spans="1:61" x14ac:dyDescent="0.25">
      <c r="A1260" s="62" t="s">
        <v>607</v>
      </c>
      <c r="B1260" s="62" t="s">
        <v>607</v>
      </c>
      <c r="C1260" s="63"/>
      <c r="D1260" s="64"/>
      <c r="E1260" s="65"/>
      <c r="F1260" s="66"/>
      <c r="G1260" s="63"/>
      <c r="H1260" s="67"/>
      <c r="I1260" s="68"/>
      <c r="J1260" s="68"/>
      <c r="K1260" s="32"/>
      <c r="L1260" s="75">
        <v>1260</v>
      </c>
      <c r="M1260" s="75"/>
      <c r="N1260" s="70"/>
      <c r="O1260" s="77" t="s">
        <v>179</v>
      </c>
      <c r="P1260" s="79">
        <v>45161.496331018519</v>
      </c>
      <c r="Q1260" s="77" t="s">
        <v>2038</v>
      </c>
      <c r="R1260" s="77">
        <v>0</v>
      </c>
      <c r="S1260" s="77">
        <v>0</v>
      </c>
      <c r="T1260" s="77">
        <v>0</v>
      </c>
      <c r="U1260" s="77">
        <v>0</v>
      </c>
      <c r="V1260" s="77">
        <v>63</v>
      </c>
      <c r="W1260" s="82" t="s">
        <v>5484</v>
      </c>
      <c r="X1260" s="80" t="str">
        <f>HYPERLINK("https://enfoque.com.br/noticias/23-08-2023/cambio-dolar-fechou-ontem-com-perdas-e-deve-seguir-nesta-quarta-feira?k=164183236")</f>
        <v>https://enfoque.com.br/noticias/23-08-2023/cambio-dolar-fechou-ontem-com-perdas-e-deve-seguir-nesta-quarta-feira?k=164183236</v>
      </c>
      <c r="Y1260" s="77" t="s">
        <v>6470</v>
      </c>
      <c r="Z1260" s="77"/>
      <c r="AA1260" s="77"/>
      <c r="AB1260" s="77"/>
      <c r="AC1260" s="82" t="s">
        <v>7750</v>
      </c>
      <c r="AD1260" s="77" t="s">
        <v>7788</v>
      </c>
      <c r="AE1260" s="80" t="str">
        <f>HYPERLINK("https://twitter.com/enfoqueif/status/1694317238415687803")</f>
        <v>https://twitter.com/enfoqueif/status/1694317238415687803</v>
      </c>
      <c r="AF1260" s="79">
        <v>45161.496331018519</v>
      </c>
      <c r="AG1260" s="85">
        <v>45161</v>
      </c>
      <c r="AH1260" s="82" t="s">
        <v>8895</v>
      </c>
      <c r="AI1260" s="77" t="b">
        <v>0</v>
      </c>
      <c r="AJ1260" s="77"/>
      <c r="AK1260" s="77"/>
      <c r="AL1260" s="77"/>
      <c r="AM1260" s="77"/>
      <c r="AN1260" s="77"/>
      <c r="AO1260" s="77"/>
      <c r="AP1260" s="77"/>
      <c r="AQ1260" s="77"/>
      <c r="AR1260" s="77"/>
      <c r="AS1260" s="77"/>
      <c r="AT1260" s="77"/>
      <c r="AU1260" s="77"/>
      <c r="AV1260" s="80" t="str">
        <f>HYPERLINK("https://pbs.twimg.com/profile_images/1176490241278054400/s4X9C_ZZ_normal.jpg")</f>
        <v>https://pbs.twimg.com/profile_images/1176490241278054400/s4X9C_ZZ_normal.jpg</v>
      </c>
      <c r="AW1260" s="82" t="s">
        <v>12924</v>
      </c>
      <c r="AX1260" s="82" t="s">
        <v>12924</v>
      </c>
      <c r="AY1260" s="77"/>
      <c r="AZ1260" s="82" t="s">
        <v>15984</v>
      </c>
      <c r="BA1260" s="82" t="s">
        <v>15984</v>
      </c>
      <c r="BB1260" s="82" t="s">
        <v>15984</v>
      </c>
      <c r="BC1260" s="82" t="s">
        <v>12924</v>
      </c>
      <c r="BD1260" s="77">
        <v>136293095</v>
      </c>
      <c r="BE1260" s="77"/>
      <c r="BF1260" s="77"/>
      <c r="BG1260" s="77"/>
      <c r="BH1260" s="77"/>
      <c r="BI1260" s="77"/>
    </row>
    <row r="1261" spans="1:61" x14ac:dyDescent="0.25">
      <c r="A1261" s="62" t="s">
        <v>607</v>
      </c>
      <c r="B1261" s="62" t="s">
        <v>607</v>
      </c>
      <c r="C1261" s="63"/>
      <c r="D1261" s="64"/>
      <c r="E1261" s="65"/>
      <c r="F1261" s="66"/>
      <c r="G1261" s="63"/>
      <c r="H1261" s="67"/>
      <c r="I1261" s="68"/>
      <c r="J1261" s="68"/>
      <c r="K1261" s="32"/>
      <c r="L1261" s="75">
        <v>1261</v>
      </c>
      <c r="M1261" s="75"/>
      <c r="N1261" s="70"/>
      <c r="O1261" s="77" t="s">
        <v>179</v>
      </c>
      <c r="P1261" s="79">
        <v>45132.55810185185</v>
      </c>
      <c r="Q1261" s="77" t="s">
        <v>2039</v>
      </c>
      <c r="R1261" s="77">
        <v>0</v>
      </c>
      <c r="S1261" s="77">
        <v>0</v>
      </c>
      <c r="T1261" s="77">
        <v>0</v>
      </c>
      <c r="U1261" s="77">
        <v>0</v>
      </c>
      <c r="V1261" s="77">
        <v>34</v>
      </c>
      <c r="W1261" s="82" t="s">
        <v>5485</v>
      </c>
      <c r="X1261" s="80" t="str">
        <f>HYPERLINK("https://enfoque.com.br/noticias/25-07-2023/pauta-do-dia-mercados-mundiais-operam-em-alta-nesta-terca-feira?k=164178008")</f>
        <v>https://enfoque.com.br/noticias/25-07-2023/pauta-do-dia-mercados-mundiais-operam-em-alta-nesta-terca-feira?k=164178008</v>
      </c>
      <c r="Y1261" s="77" t="s">
        <v>6470</v>
      </c>
      <c r="Z1261" s="77"/>
      <c r="AA1261" s="77"/>
      <c r="AB1261" s="77"/>
      <c r="AC1261" s="82" t="s">
        <v>7750</v>
      </c>
      <c r="AD1261" s="77" t="s">
        <v>7788</v>
      </c>
      <c r="AE1261" s="80" t="str">
        <f>HYPERLINK("https://twitter.com/enfoqueif/status/1683830374919708674")</f>
        <v>https://twitter.com/enfoqueif/status/1683830374919708674</v>
      </c>
      <c r="AF1261" s="79">
        <v>45132.55810185185</v>
      </c>
      <c r="AG1261" s="85">
        <v>45132</v>
      </c>
      <c r="AH1261" s="82" t="s">
        <v>8896</v>
      </c>
      <c r="AI1261" s="77" t="b">
        <v>0</v>
      </c>
      <c r="AJ1261" s="77"/>
      <c r="AK1261" s="77"/>
      <c r="AL1261" s="77"/>
      <c r="AM1261" s="77"/>
      <c r="AN1261" s="77"/>
      <c r="AO1261" s="77"/>
      <c r="AP1261" s="77"/>
      <c r="AQ1261" s="77"/>
      <c r="AR1261" s="77"/>
      <c r="AS1261" s="77"/>
      <c r="AT1261" s="77"/>
      <c r="AU1261" s="77"/>
      <c r="AV1261" s="80" t="str">
        <f>HYPERLINK("https://pbs.twimg.com/profile_images/1176490241278054400/s4X9C_ZZ_normal.jpg")</f>
        <v>https://pbs.twimg.com/profile_images/1176490241278054400/s4X9C_ZZ_normal.jpg</v>
      </c>
      <c r="AW1261" s="82" t="s">
        <v>12925</v>
      </c>
      <c r="AX1261" s="82" t="s">
        <v>12925</v>
      </c>
      <c r="AY1261" s="77"/>
      <c r="AZ1261" s="82" t="s">
        <v>15984</v>
      </c>
      <c r="BA1261" s="82" t="s">
        <v>15984</v>
      </c>
      <c r="BB1261" s="82" t="s">
        <v>15984</v>
      </c>
      <c r="BC1261" s="82" t="s">
        <v>12925</v>
      </c>
      <c r="BD1261" s="77">
        <v>136293095</v>
      </c>
      <c r="BE1261" s="77"/>
      <c r="BF1261" s="77"/>
      <c r="BG1261" s="77"/>
      <c r="BH1261" s="77"/>
      <c r="BI1261" s="77"/>
    </row>
    <row r="1262" spans="1:61" x14ac:dyDescent="0.25">
      <c r="A1262" s="62" t="s">
        <v>607</v>
      </c>
      <c r="B1262" s="62" t="s">
        <v>607</v>
      </c>
      <c r="C1262" s="63"/>
      <c r="D1262" s="64"/>
      <c r="E1262" s="65"/>
      <c r="F1262" s="66"/>
      <c r="G1262" s="63"/>
      <c r="H1262" s="67"/>
      <c r="I1262" s="68"/>
      <c r="J1262" s="68"/>
      <c r="K1262" s="32"/>
      <c r="L1262" s="75">
        <v>1262</v>
      </c>
      <c r="M1262" s="75"/>
      <c r="N1262" s="70"/>
      <c r="O1262" s="77" t="s">
        <v>179</v>
      </c>
      <c r="P1262" s="79">
        <v>45167.504444444443</v>
      </c>
      <c r="Q1262" s="77" t="s">
        <v>2040</v>
      </c>
      <c r="R1262" s="77">
        <v>0</v>
      </c>
      <c r="S1262" s="77">
        <v>0</v>
      </c>
      <c r="T1262" s="77">
        <v>0</v>
      </c>
      <c r="U1262" s="77">
        <v>0</v>
      </c>
      <c r="V1262" s="77">
        <v>75</v>
      </c>
      <c r="W1262" s="82" t="s">
        <v>5486</v>
      </c>
      <c r="X1262" s="80" t="str">
        <f>HYPERLINK("https://enfoque.com.br/noticias/29-08-2023/pauta-do-dia-bolsas-operam-positivo-com-estimulos-na-china?k=164184300")</f>
        <v>https://enfoque.com.br/noticias/29-08-2023/pauta-do-dia-bolsas-operam-positivo-com-estimulos-na-china?k=164184300</v>
      </c>
      <c r="Y1262" s="77" t="s">
        <v>6470</v>
      </c>
      <c r="Z1262" s="77"/>
      <c r="AA1262" s="77"/>
      <c r="AB1262" s="77"/>
      <c r="AC1262" s="82" t="s">
        <v>7750</v>
      </c>
      <c r="AD1262" s="77" t="s">
        <v>7788</v>
      </c>
      <c r="AE1262" s="80" t="str">
        <f>HYPERLINK("https://twitter.com/enfoqueif/status/1696494508173603186")</f>
        <v>https://twitter.com/enfoqueif/status/1696494508173603186</v>
      </c>
      <c r="AF1262" s="79">
        <v>45167.504444444443</v>
      </c>
      <c r="AG1262" s="85">
        <v>45167</v>
      </c>
      <c r="AH1262" s="82" t="s">
        <v>8897</v>
      </c>
      <c r="AI1262" s="77" t="b">
        <v>0</v>
      </c>
      <c r="AJ1262" s="77"/>
      <c r="AK1262" s="77"/>
      <c r="AL1262" s="77"/>
      <c r="AM1262" s="77"/>
      <c r="AN1262" s="77"/>
      <c r="AO1262" s="77"/>
      <c r="AP1262" s="77"/>
      <c r="AQ1262" s="77"/>
      <c r="AR1262" s="77"/>
      <c r="AS1262" s="77"/>
      <c r="AT1262" s="77"/>
      <c r="AU1262" s="77"/>
      <c r="AV1262" s="80" t="str">
        <f>HYPERLINK("https://pbs.twimg.com/profile_images/1176490241278054400/s4X9C_ZZ_normal.jpg")</f>
        <v>https://pbs.twimg.com/profile_images/1176490241278054400/s4X9C_ZZ_normal.jpg</v>
      </c>
      <c r="AW1262" s="82" t="s">
        <v>12926</v>
      </c>
      <c r="AX1262" s="82" t="s">
        <v>12926</v>
      </c>
      <c r="AY1262" s="77"/>
      <c r="AZ1262" s="82" t="s">
        <v>15984</v>
      </c>
      <c r="BA1262" s="82" t="s">
        <v>15984</v>
      </c>
      <c r="BB1262" s="82" t="s">
        <v>15984</v>
      </c>
      <c r="BC1262" s="82" t="s">
        <v>12926</v>
      </c>
      <c r="BD1262" s="77">
        <v>136293095</v>
      </c>
      <c r="BE1262" s="77"/>
      <c r="BF1262" s="77"/>
      <c r="BG1262" s="77"/>
      <c r="BH1262" s="77"/>
      <c r="BI1262" s="77"/>
    </row>
    <row r="1263" spans="1:61" x14ac:dyDescent="0.25">
      <c r="A1263" s="62" t="s">
        <v>607</v>
      </c>
      <c r="B1263" s="62" t="s">
        <v>607</v>
      </c>
      <c r="C1263" s="63"/>
      <c r="D1263" s="64"/>
      <c r="E1263" s="65"/>
      <c r="F1263" s="66"/>
      <c r="G1263" s="63"/>
      <c r="H1263" s="67"/>
      <c r="I1263" s="68"/>
      <c r="J1263" s="68"/>
      <c r="K1263" s="32"/>
      <c r="L1263" s="75">
        <v>1263</v>
      </c>
      <c r="M1263" s="75"/>
      <c r="N1263" s="70"/>
      <c r="O1263" s="77" t="s">
        <v>179</v>
      </c>
      <c r="P1263" s="79">
        <v>45131.538784722223</v>
      </c>
      <c r="Q1263" s="77" t="s">
        <v>2041</v>
      </c>
      <c r="R1263" s="77">
        <v>0</v>
      </c>
      <c r="S1263" s="77">
        <v>0</v>
      </c>
      <c r="T1263" s="77">
        <v>0</v>
      </c>
      <c r="U1263" s="77">
        <v>0</v>
      </c>
      <c r="V1263" s="77">
        <v>43</v>
      </c>
      <c r="W1263" s="82" t="s">
        <v>5487</v>
      </c>
      <c r="X1263" s="80" t="str">
        <f>HYPERLINK("https://www.enfoque.com.br/noticias/24-07-2023/cambio-dolar-devera-abrir-a-semana-em-baixa?k=164177656")</f>
        <v>https://www.enfoque.com.br/noticias/24-07-2023/cambio-dolar-devera-abrir-a-semana-em-baixa?k=164177656</v>
      </c>
      <c r="Y1263" s="77" t="s">
        <v>6470</v>
      </c>
      <c r="Z1263" s="77"/>
      <c r="AA1263" s="77"/>
      <c r="AB1263" s="77"/>
      <c r="AC1263" s="82" t="s">
        <v>7750</v>
      </c>
      <c r="AD1263" s="77" t="s">
        <v>7788</v>
      </c>
      <c r="AE1263" s="80" t="str">
        <f>HYPERLINK("https://twitter.com/enfoqueif/status/1683460987922284547")</f>
        <v>https://twitter.com/enfoqueif/status/1683460987922284547</v>
      </c>
      <c r="AF1263" s="79">
        <v>45131.538784722223</v>
      </c>
      <c r="AG1263" s="85">
        <v>45131</v>
      </c>
      <c r="AH1263" s="82" t="s">
        <v>8898</v>
      </c>
      <c r="AI1263" s="77" t="b">
        <v>0</v>
      </c>
      <c r="AJ1263" s="77"/>
      <c r="AK1263" s="77"/>
      <c r="AL1263" s="77"/>
      <c r="AM1263" s="77"/>
      <c r="AN1263" s="77"/>
      <c r="AO1263" s="77"/>
      <c r="AP1263" s="77"/>
      <c r="AQ1263" s="77"/>
      <c r="AR1263" s="77"/>
      <c r="AS1263" s="77"/>
      <c r="AT1263" s="77"/>
      <c r="AU1263" s="77"/>
      <c r="AV1263" s="80" t="str">
        <f>HYPERLINK("https://pbs.twimg.com/profile_images/1176490241278054400/s4X9C_ZZ_normal.jpg")</f>
        <v>https://pbs.twimg.com/profile_images/1176490241278054400/s4X9C_ZZ_normal.jpg</v>
      </c>
      <c r="AW1263" s="82" t="s">
        <v>12927</v>
      </c>
      <c r="AX1263" s="82" t="s">
        <v>12927</v>
      </c>
      <c r="AY1263" s="77"/>
      <c r="AZ1263" s="82" t="s">
        <v>15984</v>
      </c>
      <c r="BA1263" s="82" t="s">
        <v>15984</v>
      </c>
      <c r="BB1263" s="82" t="s">
        <v>15984</v>
      </c>
      <c r="BC1263" s="82" t="s">
        <v>12927</v>
      </c>
      <c r="BD1263" s="77">
        <v>136293095</v>
      </c>
      <c r="BE1263" s="77"/>
      <c r="BF1263" s="77"/>
      <c r="BG1263" s="77"/>
      <c r="BH1263" s="77"/>
      <c r="BI1263" s="77"/>
    </row>
    <row r="1264" spans="1:61" x14ac:dyDescent="0.25">
      <c r="A1264" s="62" t="s">
        <v>607</v>
      </c>
      <c r="B1264" s="62" t="s">
        <v>607</v>
      </c>
      <c r="C1264" s="63"/>
      <c r="D1264" s="64"/>
      <c r="E1264" s="65"/>
      <c r="F1264" s="66"/>
      <c r="G1264" s="63"/>
      <c r="H1264" s="67"/>
      <c r="I1264" s="68"/>
      <c r="J1264" s="68"/>
      <c r="K1264" s="32"/>
      <c r="L1264" s="75">
        <v>1264</v>
      </c>
      <c r="M1264" s="75"/>
      <c r="N1264" s="70"/>
      <c r="O1264" s="77" t="s">
        <v>179</v>
      </c>
      <c r="P1264" s="79">
        <v>45166.500775462962</v>
      </c>
      <c r="Q1264" s="77" t="s">
        <v>2042</v>
      </c>
      <c r="R1264" s="77">
        <v>0</v>
      </c>
      <c r="S1264" s="77">
        <v>0</v>
      </c>
      <c r="T1264" s="77">
        <v>0</v>
      </c>
      <c r="U1264" s="77">
        <v>0</v>
      </c>
      <c r="V1264" s="77">
        <v>81</v>
      </c>
      <c r="W1264" s="82" t="s">
        <v>5488</v>
      </c>
      <c r="X1264" s="80" t="str">
        <f>HYPERLINK("https://enfoque.com.br/noticias/28-08-2023/pauta-do-dia-mercados-globais-iniciam-a-semana-com-ganhos?k=164183963")</f>
        <v>https://enfoque.com.br/noticias/28-08-2023/pauta-do-dia-mercados-globais-iniciam-a-semana-com-ganhos?k=164183963</v>
      </c>
      <c r="Y1264" s="77" t="s">
        <v>6470</v>
      </c>
      <c r="Z1264" s="77"/>
      <c r="AA1264" s="77"/>
      <c r="AB1264" s="77"/>
      <c r="AC1264" s="82" t="s">
        <v>7750</v>
      </c>
      <c r="AD1264" s="77" t="s">
        <v>7788</v>
      </c>
      <c r="AE1264" s="80" t="str">
        <f>HYPERLINK("https://twitter.com/enfoqueif/status/1696130788385788064")</f>
        <v>https://twitter.com/enfoqueif/status/1696130788385788064</v>
      </c>
      <c r="AF1264" s="79">
        <v>45166.500775462962</v>
      </c>
      <c r="AG1264" s="85">
        <v>45166</v>
      </c>
      <c r="AH1264" s="82" t="s">
        <v>8899</v>
      </c>
      <c r="AI1264" s="77" t="b">
        <v>0</v>
      </c>
      <c r="AJ1264" s="77"/>
      <c r="AK1264" s="77"/>
      <c r="AL1264" s="77"/>
      <c r="AM1264" s="77"/>
      <c r="AN1264" s="77"/>
      <c r="AO1264" s="77"/>
      <c r="AP1264" s="77"/>
      <c r="AQ1264" s="77"/>
      <c r="AR1264" s="77"/>
      <c r="AS1264" s="77"/>
      <c r="AT1264" s="77"/>
      <c r="AU1264" s="77"/>
      <c r="AV1264" s="80" t="str">
        <f>HYPERLINK("https://pbs.twimg.com/profile_images/1176490241278054400/s4X9C_ZZ_normal.jpg")</f>
        <v>https://pbs.twimg.com/profile_images/1176490241278054400/s4X9C_ZZ_normal.jpg</v>
      </c>
      <c r="AW1264" s="82" t="s">
        <v>12928</v>
      </c>
      <c r="AX1264" s="82" t="s">
        <v>12928</v>
      </c>
      <c r="AY1264" s="77"/>
      <c r="AZ1264" s="82" t="s">
        <v>15984</v>
      </c>
      <c r="BA1264" s="82" t="s">
        <v>15984</v>
      </c>
      <c r="BB1264" s="82" t="s">
        <v>15984</v>
      </c>
      <c r="BC1264" s="82" t="s">
        <v>12928</v>
      </c>
      <c r="BD1264" s="77">
        <v>136293095</v>
      </c>
      <c r="BE1264" s="77"/>
      <c r="BF1264" s="77"/>
      <c r="BG1264" s="77"/>
      <c r="BH1264" s="77"/>
      <c r="BI1264" s="77"/>
    </row>
    <row r="1265" spans="1:61" x14ac:dyDescent="0.25">
      <c r="A1265" s="62" t="s">
        <v>607</v>
      </c>
      <c r="B1265" s="62" t="s">
        <v>607</v>
      </c>
      <c r="C1265" s="63"/>
      <c r="D1265" s="64"/>
      <c r="E1265" s="65"/>
      <c r="F1265" s="66"/>
      <c r="G1265" s="63"/>
      <c r="H1265" s="67"/>
      <c r="I1265" s="68"/>
      <c r="J1265" s="68"/>
      <c r="K1265" s="32"/>
      <c r="L1265" s="75">
        <v>1265</v>
      </c>
      <c r="M1265" s="75"/>
      <c r="N1265" s="70"/>
      <c r="O1265" s="77" t="s">
        <v>179</v>
      </c>
      <c r="P1265" s="79">
        <v>45167.482743055552</v>
      </c>
      <c r="Q1265" s="77" t="s">
        <v>2043</v>
      </c>
      <c r="R1265" s="77">
        <v>0</v>
      </c>
      <c r="S1265" s="77">
        <v>0</v>
      </c>
      <c r="T1265" s="77">
        <v>0</v>
      </c>
      <c r="U1265" s="77">
        <v>0</v>
      </c>
      <c r="V1265" s="77">
        <v>78</v>
      </c>
      <c r="W1265" s="82" t="s">
        <v>5489</v>
      </c>
      <c r="X1265" s="80" t="str">
        <f>HYPERLINK("https://enfoque.com.br/noticias/29-08-2023/cambio-dolar-comecou-a-semana-com-leve-baixa-e-fechou-a-r-4875?k=164184292")</f>
        <v>https://enfoque.com.br/noticias/29-08-2023/cambio-dolar-comecou-a-semana-com-leve-baixa-e-fechou-a-r-4875?k=164184292</v>
      </c>
      <c r="Y1265" s="77" t="s">
        <v>6470</v>
      </c>
      <c r="Z1265" s="77"/>
      <c r="AA1265" s="77"/>
      <c r="AB1265" s="77"/>
      <c r="AC1265" s="82" t="s">
        <v>7750</v>
      </c>
      <c r="AD1265" s="77" t="s">
        <v>7788</v>
      </c>
      <c r="AE1265" s="80" t="str">
        <f>HYPERLINK("https://twitter.com/enfoqueif/status/1696486642541093041")</f>
        <v>https://twitter.com/enfoqueif/status/1696486642541093041</v>
      </c>
      <c r="AF1265" s="79">
        <v>45167.482743055552</v>
      </c>
      <c r="AG1265" s="85">
        <v>45167</v>
      </c>
      <c r="AH1265" s="82" t="s">
        <v>8900</v>
      </c>
      <c r="AI1265" s="77" t="b">
        <v>0</v>
      </c>
      <c r="AJ1265" s="77"/>
      <c r="AK1265" s="77"/>
      <c r="AL1265" s="77"/>
      <c r="AM1265" s="77"/>
      <c r="AN1265" s="77"/>
      <c r="AO1265" s="77"/>
      <c r="AP1265" s="77"/>
      <c r="AQ1265" s="77"/>
      <c r="AR1265" s="77"/>
      <c r="AS1265" s="77"/>
      <c r="AT1265" s="77"/>
      <c r="AU1265" s="77"/>
      <c r="AV1265" s="80" t="str">
        <f>HYPERLINK("https://pbs.twimg.com/profile_images/1176490241278054400/s4X9C_ZZ_normal.jpg")</f>
        <v>https://pbs.twimg.com/profile_images/1176490241278054400/s4X9C_ZZ_normal.jpg</v>
      </c>
      <c r="AW1265" s="82" t="s">
        <v>12929</v>
      </c>
      <c r="AX1265" s="82" t="s">
        <v>12929</v>
      </c>
      <c r="AY1265" s="77"/>
      <c r="AZ1265" s="82" t="s">
        <v>15984</v>
      </c>
      <c r="BA1265" s="82" t="s">
        <v>15984</v>
      </c>
      <c r="BB1265" s="82" t="s">
        <v>15984</v>
      </c>
      <c r="BC1265" s="82" t="s">
        <v>12929</v>
      </c>
      <c r="BD1265" s="77">
        <v>136293095</v>
      </c>
      <c r="BE1265" s="77"/>
      <c r="BF1265" s="77"/>
      <c r="BG1265" s="77"/>
      <c r="BH1265" s="77"/>
      <c r="BI1265" s="77"/>
    </row>
    <row r="1266" spans="1:61" x14ac:dyDescent="0.25">
      <c r="A1266" s="62" t="s">
        <v>607</v>
      </c>
      <c r="B1266" s="62" t="s">
        <v>607</v>
      </c>
      <c r="C1266" s="63"/>
      <c r="D1266" s="64"/>
      <c r="E1266" s="65"/>
      <c r="F1266" s="66"/>
      <c r="G1266" s="63"/>
      <c r="H1266" s="67"/>
      <c r="I1266" s="68"/>
      <c r="J1266" s="68"/>
      <c r="K1266" s="32"/>
      <c r="L1266" s="75">
        <v>1266</v>
      </c>
      <c r="M1266" s="75"/>
      <c r="N1266" s="70"/>
      <c r="O1266" s="77" t="s">
        <v>179</v>
      </c>
      <c r="P1266" s="79">
        <v>45168.514004629629</v>
      </c>
      <c r="Q1266" s="77" t="s">
        <v>2044</v>
      </c>
      <c r="R1266" s="77">
        <v>0</v>
      </c>
      <c r="S1266" s="77">
        <v>0</v>
      </c>
      <c r="T1266" s="77">
        <v>0</v>
      </c>
      <c r="U1266" s="77">
        <v>0</v>
      </c>
      <c r="V1266" s="77">
        <v>79</v>
      </c>
      <c r="W1266" s="82" t="s">
        <v>5490</v>
      </c>
      <c r="X1266" s="80" t="str">
        <f>HYPERLINK("https://enfoque.com.br/noticias/30-08-2023/cambio-dolar-fechou-a-terca-feira-em-baixa-cotado-a-r-4855?k=164184523")</f>
        <v>https://enfoque.com.br/noticias/30-08-2023/cambio-dolar-fechou-a-terca-feira-em-baixa-cotado-a-r-4855?k=164184523</v>
      </c>
      <c r="Y1266" s="77" t="s">
        <v>6470</v>
      </c>
      <c r="Z1266" s="77"/>
      <c r="AA1266" s="77"/>
      <c r="AB1266" s="77"/>
      <c r="AC1266" s="82" t="s">
        <v>7750</v>
      </c>
      <c r="AD1266" s="77" t="s">
        <v>7788</v>
      </c>
      <c r="AE1266" s="80" t="str">
        <f>HYPERLINK("https://twitter.com/enfoqueif/status/1696860361490669940")</f>
        <v>https://twitter.com/enfoqueif/status/1696860361490669940</v>
      </c>
      <c r="AF1266" s="79">
        <v>45168.514004629629</v>
      </c>
      <c r="AG1266" s="85">
        <v>45168</v>
      </c>
      <c r="AH1266" s="82" t="s">
        <v>8901</v>
      </c>
      <c r="AI1266" s="77" t="b">
        <v>0</v>
      </c>
      <c r="AJ1266" s="77"/>
      <c r="AK1266" s="77"/>
      <c r="AL1266" s="77"/>
      <c r="AM1266" s="77"/>
      <c r="AN1266" s="77"/>
      <c r="AO1266" s="77"/>
      <c r="AP1266" s="77"/>
      <c r="AQ1266" s="77"/>
      <c r="AR1266" s="77"/>
      <c r="AS1266" s="77"/>
      <c r="AT1266" s="77"/>
      <c r="AU1266" s="77"/>
      <c r="AV1266" s="80" t="str">
        <f>HYPERLINK("https://pbs.twimg.com/profile_images/1176490241278054400/s4X9C_ZZ_normal.jpg")</f>
        <v>https://pbs.twimg.com/profile_images/1176490241278054400/s4X9C_ZZ_normal.jpg</v>
      </c>
      <c r="AW1266" s="82" t="s">
        <v>12930</v>
      </c>
      <c r="AX1266" s="82" t="s">
        <v>12930</v>
      </c>
      <c r="AY1266" s="77"/>
      <c r="AZ1266" s="82" t="s">
        <v>15984</v>
      </c>
      <c r="BA1266" s="82" t="s">
        <v>15984</v>
      </c>
      <c r="BB1266" s="82" t="s">
        <v>15984</v>
      </c>
      <c r="BC1266" s="82" t="s">
        <v>12930</v>
      </c>
      <c r="BD1266" s="77">
        <v>136293095</v>
      </c>
      <c r="BE1266" s="77"/>
      <c r="BF1266" s="77"/>
      <c r="BG1266" s="77"/>
      <c r="BH1266" s="77"/>
      <c r="BI1266" s="77"/>
    </row>
    <row r="1267" spans="1:61" x14ac:dyDescent="0.25">
      <c r="A1267" s="62" t="s">
        <v>607</v>
      </c>
      <c r="B1267" s="62" t="s">
        <v>607</v>
      </c>
      <c r="C1267" s="63"/>
      <c r="D1267" s="64"/>
      <c r="E1267" s="65"/>
      <c r="F1267" s="66"/>
      <c r="G1267" s="63"/>
      <c r="H1267" s="67"/>
      <c r="I1267" s="68"/>
      <c r="J1267" s="68"/>
      <c r="K1267" s="32"/>
      <c r="L1267" s="75">
        <v>1267</v>
      </c>
      <c r="M1267" s="75"/>
      <c r="N1267" s="70"/>
      <c r="O1267" s="77" t="s">
        <v>179</v>
      </c>
      <c r="P1267" s="79">
        <v>45141.541979166665</v>
      </c>
      <c r="Q1267" s="77" t="s">
        <v>2045</v>
      </c>
      <c r="R1267" s="77">
        <v>0</v>
      </c>
      <c r="S1267" s="77">
        <v>0</v>
      </c>
      <c r="T1267" s="77">
        <v>1</v>
      </c>
      <c r="U1267" s="77">
        <v>0</v>
      </c>
      <c r="V1267" s="77">
        <v>51</v>
      </c>
      <c r="W1267" s="82" t="s">
        <v>5491</v>
      </c>
      <c r="X1267" s="80" t="str">
        <f>HYPERLINK("https://enfoque.com.br/noticias/03-08-2023/pauta-do-dia-mercados-mundiais-abrem-a-quinta-feira-em-baixa?k=164180011")</f>
        <v>https://enfoque.com.br/noticias/03-08-2023/pauta-do-dia-mercados-mundiais-abrem-a-quinta-feira-em-baixa?k=164180011</v>
      </c>
      <c r="Y1267" s="77" t="s">
        <v>6470</v>
      </c>
      <c r="Z1267" s="77"/>
      <c r="AA1267" s="77"/>
      <c r="AB1267" s="77"/>
      <c r="AC1267" s="82" t="s">
        <v>7750</v>
      </c>
      <c r="AD1267" s="77" t="s">
        <v>7788</v>
      </c>
      <c r="AE1267" s="80" t="str">
        <f>HYPERLINK("https://twitter.com/enfoqueif/status/1687086024315342850")</f>
        <v>https://twitter.com/enfoqueif/status/1687086024315342850</v>
      </c>
      <c r="AF1267" s="79">
        <v>45141.541979166665</v>
      </c>
      <c r="AG1267" s="85">
        <v>45141</v>
      </c>
      <c r="AH1267" s="82" t="s">
        <v>8902</v>
      </c>
      <c r="AI1267" s="77" t="b">
        <v>0</v>
      </c>
      <c r="AJ1267" s="77"/>
      <c r="AK1267" s="77"/>
      <c r="AL1267" s="77"/>
      <c r="AM1267" s="77"/>
      <c r="AN1267" s="77"/>
      <c r="AO1267" s="77"/>
      <c r="AP1267" s="77"/>
      <c r="AQ1267" s="77"/>
      <c r="AR1267" s="77"/>
      <c r="AS1267" s="77"/>
      <c r="AT1267" s="77"/>
      <c r="AU1267" s="77"/>
      <c r="AV1267" s="80" t="str">
        <f>HYPERLINK("https://pbs.twimg.com/profile_images/1176490241278054400/s4X9C_ZZ_normal.jpg")</f>
        <v>https://pbs.twimg.com/profile_images/1176490241278054400/s4X9C_ZZ_normal.jpg</v>
      </c>
      <c r="AW1267" s="82" t="s">
        <v>12931</v>
      </c>
      <c r="AX1267" s="82" t="s">
        <v>12931</v>
      </c>
      <c r="AY1267" s="77"/>
      <c r="AZ1267" s="82" t="s">
        <v>15984</v>
      </c>
      <c r="BA1267" s="82" t="s">
        <v>15984</v>
      </c>
      <c r="BB1267" s="82" t="s">
        <v>15984</v>
      </c>
      <c r="BC1267" s="82" t="s">
        <v>12931</v>
      </c>
      <c r="BD1267" s="77">
        <v>136293095</v>
      </c>
      <c r="BE1267" s="77"/>
      <c r="BF1267" s="77"/>
      <c r="BG1267" s="77"/>
      <c r="BH1267" s="77"/>
      <c r="BI1267" s="77"/>
    </row>
    <row r="1268" spans="1:61" x14ac:dyDescent="0.25">
      <c r="A1268" s="62" t="s">
        <v>607</v>
      </c>
      <c r="B1268" s="62" t="s">
        <v>607</v>
      </c>
      <c r="C1268" s="63"/>
      <c r="D1268" s="64"/>
      <c r="E1268" s="65"/>
      <c r="F1268" s="66"/>
      <c r="G1268" s="63"/>
      <c r="H1268" s="67"/>
      <c r="I1268" s="68"/>
      <c r="J1268" s="68"/>
      <c r="K1268" s="32"/>
      <c r="L1268" s="75">
        <v>1268</v>
      </c>
      <c r="M1268" s="75"/>
      <c r="N1268" s="70"/>
      <c r="O1268" s="77" t="s">
        <v>179</v>
      </c>
      <c r="P1268" s="79">
        <v>45170.528078703705</v>
      </c>
      <c r="Q1268" s="77" t="s">
        <v>2046</v>
      </c>
      <c r="R1268" s="77">
        <v>0</v>
      </c>
      <c r="S1268" s="77">
        <v>0</v>
      </c>
      <c r="T1268" s="77">
        <v>0</v>
      </c>
      <c r="U1268" s="77">
        <v>0</v>
      </c>
      <c r="V1268" s="77">
        <v>42</v>
      </c>
      <c r="W1268" s="82" t="s">
        <v>5492</v>
      </c>
      <c r="X1268" s="80" t="str">
        <f>HYPERLINK("https://enfoque.com.br/noticias/01-09-2023/pauta-do-dia-mercados-iniciam-setembro-em-campo-positivo?k=164185140")</f>
        <v>https://enfoque.com.br/noticias/01-09-2023/pauta-do-dia-mercados-iniciam-setembro-em-campo-positivo?k=164185140</v>
      </c>
      <c r="Y1268" s="77" t="s">
        <v>6470</v>
      </c>
      <c r="Z1268" s="77"/>
      <c r="AA1268" s="77"/>
      <c r="AB1268" s="77"/>
      <c r="AC1268" s="82" t="s">
        <v>7750</v>
      </c>
      <c r="AD1268" s="77" t="s">
        <v>7788</v>
      </c>
      <c r="AE1268" s="80" t="str">
        <f>HYPERLINK("https://twitter.com/enfoqueif/status/1697590234127434175")</f>
        <v>https://twitter.com/enfoqueif/status/1697590234127434175</v>
      </c>
      <c r="AF1268" s="79">
        <v>45170.528078703705</v>
      </c>
      <c r="AG1268" s="85">
        <v>45170</v>
      </c>
      <c r="AH1268" s="82" t="s">
        <v>8903</v>
      </c>
      <c r="AI1268" s="77" t="b">
        <v>0</v>
      </c>
      <c r="AJ1268" s="77"/>
      <c r="AK1268" s="77"/>
      <c r="AL1268" s="77"/>
      <c r="AM1268" s="77"/>
      <c r="AN1268" s="77"/>
      <c r="AO1268" s="77"/>
      <c r="AP1268" s="77"/>
      <c r="AQ1268" s="77"/>
      <c r="AR1268" s="77"/>
      <c r="AS1268" s="77"/>
      <c r="AT1268" s="77"/>
      <c r="AU1268" s="77"/>
      <c r="AV1268" s="80" t="str">
        <f>HYPERLINK("https://pbs.twimg.com/profile_images/1176490241278054400/s4X9C_ZZ_normal.jpg")</f>
        <v>https://pbs.twimg.com/profile_images/1176490241278054400/s4X9C_ZZ_normal.jpg</v>
      </c>
      <c r="AW1268" s="82" t="s">
        <v>12932</v>
      </c>
      <c r="AX1268" s="82" t="s">
        <v>12932</v>
      </c>
      <c r="AY1268" s="77"/>
      <c r="AZ1268" s="82" t="s">
        <v>15984</v>
      </c>
      <c r="BA1268" s="82" t="s">
        <v>15984</v>
      </c>
      <c r="BB1268" s="82" t="s">
        <v>15984</v>
      </c>
      <c r="BC1268" s="82" t="s">
        <v>12932</v>
      </c>
      <c r="BD1268" s="77">
        <v>136293095</v>
      </c>
      <c r="BE1268" s="77"/>
      <c r="BF1268" s="77"/>
      <c r="BG1268" s="77"/>
      <c r="BH1268" s="77"/>
      <c r="BI1268" s="77"/>
    </row>
    <row r="1269" spans="1:61" x14ac:dyDescent="0.25">
      <c r="A1269" s="62" t="s">
        <v>607</v>
      </c>
      <c r="B1269" s="62" t="s">
        <v>607</v>
      </c>
      <c r="C1269" s="63"/>
      <c r="D1269" s="64"/>
      <c r="E1269" s="65"/>
      <c r="F1269" s="66"/>
      <c r="G1269" s="63"/>
      <c r="H1269" s="67"/>
      <c r="I1269" s="68"/>
      <c r="J1269" s="68"/>
      <c r="K1269" s="32"/>
      <c r="L1269" s="75">
        <v>1269</v>
      </c>
      <c r="M1269" s="75"/>
      <c r="N1269" s="70"/>
      <c r="O1269" s="77" t="s">
        <v>179</v>
      </c>
      <c r="P1269" s="79">
        <v>45170.485196759262</v>
      </c>
      <c r="Q1269" s="77" t="s">
        <v>2047</v>
      </c>
      <c r="R1269" s="77">
        <v>0</v>
      </c>
      <c r="S1269" s="77">
        <v>0</v>
      </c>
      <c r="T1269" s="77">
        <v>0</v>
      </c>
      <c r="U1269" s="77">
        <v>0</v>
      </c>
      <c r="V1269" s="77">
        <v>79</v>
      </c>
      <c r="W1269" s="82" t="s">
        <v>5493</v>
      </c>
      <c r="X1269" s="80" t="str">
        <f>HYPERLINK("https://enfoque.com.br/noticias/01-09-2023/cambio-dolar-fechou-agosto-acumulando-ganhos-de-467?k=164185087")</f>
        <v>https://enfoque.com.br/noticias/01-09-2023/cambio-dolar-fechou-agosto-acumulando-ganhos-de-467?k=164185087</v>
      </c>
      <c r="Y1269" s="77" t="s">
        <v>6470</v>
      </c>
      <c r="Z1269" s="77"/>
      <c r="AA1269" s="77"/>
      <c r="AB1269" s="77"/>
      <c r="AC1269" s="82" t="s">
        <v>7750</v>
      </c>
      <c r="AD1269" s="77" t="s">
        <v>7788</v>
      </c>
      <c r="AE1269" s="80" t="str">
        <f>HYPERLINK("https://twitter.com/enfoqueif/status/1697574696730992835")</f>
        <v>https://twitter.com/enfoqueif/status/1697574696730992835</v>
      </c>
      <c r="AF1269" s="79">
        <v>45170.485196759262</v>
      </c>
      <c r="AG1269" s="85">
        <v>45170</v>
      </c>
      <c r="AH1269" s="82" t="s">
        <v>8904</v>
      </c>
      <c r="AI1269" s="77" t="b">
        <v>0</v>
      </c>
      <c r="AJ1269" s="77"/>
      <c r="AK1269" s="77"/>
      <c r="AL1269" s="77"/>
      <c r="AM1269" s="77"/>
      <c r="AN1269" s="77"/>
      <c r="AO1269" s="77"/>
      <c r="AP1269" s="77"/>
      <c r="AQ1269" s="77"/>
      <c r="AR1269" s="77"/>
      <c r="AS1269" s="77"/>
      <c r="AT1269" s="77"/>
      <c r="AU1269" s="77"/>
      <c r="AV1269" s="80" t="str">
        <f>HYPERLINK("https://pbs.twimg.com/profile_images/1176490241278054400/s4X9C_ZZ_normal.jpg")</f>
        <v>https://pbs.twimg.com/profile_images/1176490241278054400/s4X9C_ZZ_normal.jpg</v>
      </c>
      <c r="AW1269" s="82" t="s">
        <v>12933</v>
      </c>
      <c r="AX1269" s="82" t="s">
        <v>12933</v>
      </c>
      <c r="AY1269" s="77"/>
      <c r="AZ1269" s="82" t="s">
        <v>15984</v>
      </c>
      <c r="BA1269" s="82" t="s">
        <v>15984</v>
      </c>
      <c r="BB1269" s="82" t="s">
        <v>15984</v>
      </c>
      <c r="BC1269" s="82" t="s">
        <v>12933</v>
      </c>
      <c r="BD1269" s="77">
        <v>136293095</v>
      </c>
      <c r="BE1269" s="77"/>
      <c r="BF1269" s="77"/>
      <c r="BG1269" s="77"/>
      <c r="BH1269" s="77"/>
      <c r="BI1269" s="77"/>
    </row>
    <row r="1270" spans="1:61" x14ac:dyDescent="0.25">
      <c r="A1270" s="62" t="s">
        <v>607</v>
      </c>
      <c r="B1270" s="62" t="s">
        <v>607</v>
      </c>
      <c r="C1270" s="63"/>
      <c r="D1270" s="64"/>
      <c r="E1270" s="65"/>
      <c r="F1270" s="66"/>
      <c r="G1270" s="63"/>
      <c r="H1270" s="67"/>
      <c r="I1270" s="68"/>
      <c r="J1270" s="68"/>
      <c r="K1270" s="32"/>
      <c r="L1270" s="75">
        <v>1270</v>
      </c>
      <c r="M1270" s="75"/>
      <c r="N1270" s="70"/>
      <c r="O1270" s="77" t="s">
        <v>179</v>
      </c>
      <c r="P1270" s="79">
        <v>45147.497893518521</v>
      </c>
      <c r="Q1270" s="77" t="s">
        <v>2048</v>
      </c>
      <c r="R1270" s="77">
        <v>0</v>
      </c>
      <c r="S1270" s="77">
        <v>0</v>
      </c>
      <c r="T1270" s="77">
        <v>0</v>
      </c>
      <c r="U1270" s="77">
        <v>0</v>
      </c>
      <c r="V1270" s="77">
        <v>48</v>
      </c>
      <c r="W1270" s="82" t="s">
        <v>5494</v>
      </c>
      <c r="X1270" s="80" t="str">
        <f>HYPERLINK("https://enfoque.com.br/noticias/09-08-2023/cambio-dolar-devera-abrir-em-baixa-com-alta-das-commodities?k=164180968")</f>
        <v>https://enfoque.com.br/noticias/09-08-2023/cambio-dolar-devera-abrir-em-baixa-com-alta-das-commodities?k=164180968</v>
      </c>
      <c r="Y1270" s="77" t="s">
        <v>6470</v>
      </c>
      <c r="Z1270" s="77"/>
      <c r="AA1270" s="77"/>
      <c r="AB1270" s="77"/>
      <c r="AC1270" s="82" t="s">
        <v>7750</v>
      </c>
      <c r="AD1270" s="77" t="s">
        <v>7788</v>
      </c>
      <c r="AE1270" s="80" t="str">
        <f>HYPERLINK("https://twitter.com/enfoqueif/status/1689244377481101312")</f>
        <v>https://twitter.com/enfoqueif/status/1689244377481101312</v>
      </c>
      <c r="AF1270" s="79">
        <v>45147.497893518521</v>
      </c>
      <c r="AG1270" s="85">
        <v>45147</v>
      </c>
      <c r="AH1270" s="82" t="s">
        <v>8905</v>
      </c>
      <c r="AI1270" s="77" t="b">
        <v>0</v>
      </c>
      <c r="AJ1270" s="77"/>
      <c r="AK1270" s="77"/>
      <c r="AL1270" s="77"/>
      <c r="AM1270" s="77"/>
      <c r="AN1270" s="77"/>
      <c r="AO1270" s="77"/>
      <c r="AP1270" s="77"/>
      <c r="AQ1270" s="77"/>
      <c r="AR1270" s="77"/>
      <c r="AS1270" s="77"/>
      <c r="AT1270" s="77"/>
      <c r="AU1270" s="77"/>
      <c r="AV1270" s="80" t="str">
        <f>HYPERLINK("https://pbs.twimg.com/profile_images/1176490241278054400/s4X9C_ZZ_normal.jpg")</f>
        <v>https://pbs.twimg.com/profile_images/1176490241278054400/s4X9C_ZZ_normal.jpg</v>
      </c>
      <c r="AW1270" s="82" t="s">
        <v>12934</v>
      </c>
      <c r="AX1270" s="82" t="s">
        <v>12934</v>
      </c>
      <c r="AY1270" s="77"/>
      <c r="AZ1270" s="82" t="s">
        <v>15984</v>
      </c>
      <c r="BA1270" s="82" t="s">
        <v>15984</v>
      </c>
      <c r="BB1270" s="82" t="s">
        <v>15984</v>
      </c>
      <c r="BC1270" s="82" t="s">
        <v>12934</v>
      </c>
      <c r="BD1270" s="77">
        <v>136293095</v>
      </c>
      <c r="BE1270" s="77"/>
      <c r="BF1270" s="77"/>
      <c r="BG1270" s="77"/>
      <c r="BH1270" s="77"/>
      <c r="BI1270" s="77"/>
    </row>
    <row r="1271" spans="1:61" x14ac:dyDescent="0.25">
      <c r="A1271" s="62" t="s">
        <v>607</v>
      </c>
      <c r="B1271" s="62" t="s">
        <v>607</v>
      </c>
      <c r="C1271" s="63"/>
      <c r="D1271" s="64"/>
      <c r="E1271" s="65"/>
      <c r="F1271" s="66"/>
      <c r="G1271" s="63"/>
      <c r="H1271" s="67"/>
      <c r="I1271" s="68"/>
      <c r="J1271" s="68"/>
      <c r="K1271" s="32"/>
      <c r="L1271" s="75">
        <v>1271</v>
      </c>
      <c r="M1271" s="75"/>
      <c r="N1271" s="70"/>
      <c r="O1271" s="77" t="s">
        <v>179</v>
      </c>
      <c r="P1271" s="79">
        <v>45174.510613425926</v>
      </c>
      <c r="Q1271" s="77" t="s">
        <v>2049</v>
      </c>
      <c r="R1271" s="77">
        <v>0</v>
      </c>
      <c r="S1271" s="77">
        <v>0</v>
      </c>
      <c r="T1271" s="77">
        <v>0</v>
      </c>
      <c r="U1271" s="77">
        <v>0</v>
      </c>
      <c r="V1271" s="77">
        <v>36</v>
      </c>
      <c r="W1271" s="82" t="s">
        <v>5495</v>
      </c>
      <c r="X1271" s="80" t="str">
        <f>HYPERLINK("https://enfoque.com.br/noticias/05-09-2023/pauta-do-dia-mercados-operam-em-baixa-no-inicio-desta-manha?k=164185588")</f>
        <v>https://enfoque.com.br/noticias/05-09-2023/pauta-do-dia-mercados-operam-em-baixa-no-inicio-desta-manha?k=164185588</v>
      </c>
      <c r="Y1271" s="77" t="s">
        <v>6470</v>
      </c>
      <c r="Z1271" s="77"/>
      <c r="AA1271" s="77"/>
      <c r="AB1271" s="77"/>
      <c r="AC1271" s="82" t="s">
        <v>7750</v>
      </c>
      <c r="AD1271" s="77" t="s">
        <v>7788</v>
      </c>
      <c r="AE1271" s="80" t="str">
        <f>HYPERLINK("https://twitter.com/enfoqueif/status/1699033458092163391")</f>
        <v>https://twitter.com/enfoqueif/status/1699033458092163391</v>
      </c>
      <c r="AF1271" s="79">
        <v>45174.510613425926</v>
      </c>
      <c r="AG1271" s="85">
        <v>45174</v>
      </c>
      <c r="AH1271" s="82" t="s">
        <v>8906</v>
      </c>
      <c r="AI1271" s="77" t="b">
        <v>0</v>
      </c>
      <c r="AJ1271" s="77"/>
      <c r="AK1271" s="77"/>
      <c r="AL1271" s="77"/>
      <c r="AM1271" s="77"/>
      <c r="AN1271" s="77"/>
      <c r="AO1271" s="77"/>
      <c r="AP1271" s="77"/>
      <c r="AQ1271" s="77"/>
      <c r="AR1271" s="77"/>
      <c r="AS1271" s="77"/>
      <c r="AT1271" s="77"/>
      <c r="AU1271" s="77"/>
      <c r="AV1271" s="80" t="str">
        <f>HYPERLINK("https://pbs.twimg.com/profile_images/1176490241278054400/s4X9C_ZZ_normal.jpg")</f>
        <v>https://pbs.twimg.com/profile_images/1176490241278054400/s4X9C_ZZ_normal.jpg</v>
      </c>
      <c r="AW1271" s="82" t="s">
        <v>12935</v>
      </c>
      <c r="AX1271" s="82" t="s">
        <v>12935</v>
      </c>
      <c r="AY1271" s="77"/>
      <c r="AZ1271" s="82" t="s">
        <v>15984</v>
      </c>
      <c r="BA1271" s="82" t="s">
        <v>15984</v>
      </c>
      <c r="BB1271" s="82" t="s">
        <v>15984</v>
      </c>
      <c r="BC1271" s="82" t="s">
        <v>12935</v>
      </c>
      <c r="BD1271" s="77">
        <v>136293095</v>
      </c>
      <c r="BE1271" s="77"/>
      <c r="BF1271" s="77"/>
      <c r="BG1271" s="77"/>
      <c r="BH1271" s="77"/>
      <c r="BI1271" s="77"/>
    </row>
    <row r="1272" spans="1:61" x14ac:dyDescent="0.25">
      <c r="A1272" s="62" t="s">
        <v>607</v>
      </c>
      <c r="B1272" s="62" t="s">
        <v>607</v>
      </c>
      <c r="C1272" s="63"/>
      <c r="D1272" s="64"/>
      <c r="E1272" s="65"/>
      <c r="F1272" s="66"/>
      <c r="G1272" s="63"/>
      <c r="H1272" s="67"/>
      <c r="I1272" s="68"/>
      <c r="J1272" s="68"/>
      <c r="K1272" s="32"/>
      <c r="L1272" s="75">
        <v>1272</v>
      </c>
      <c r="M1272" s="75"/>
      <c r="N1272" s="70"/>
      <c r="O1272" s="77" t="s">
        <v>179</v>
      </c>
      <c r="P1272" s="79">
        <v>45174.491539351853</v>
      </c>
      <c r="Q1272" s="77" t="s">
        <v>2050</v>
      </c>
      <c r="R1272" s="77">
        <v>0</v>
      </c>
      <c r="S1272" s="77">
        <v>0</v>
      </c>
      <c r="T1272" s="77">
        <v>0</v>
      </c>
      <c r="U1272" s="77">
        <v>0</v>
      </c>
      <c r="V1272" s="77">
        <v>30</v>
      </c>
      <c r="W1272" s="82" t="s">
        <v>5496</v>
      </c>
      <c r="X1272" s="80" t="str">
        <f>HYPERLINK("https://enfoque.com.br/noticias/05-09-2023/cambio-dolar-fechou-ontem-em-baixa-em-dia-de-baixa-liquidez?k=164185574")</f>
        <v>https://enfoque.com.br/noticias/05-09-2023/cambio-dolar-fechou-ontem-em-baixa-em-dia-de-baixa-liquidez?k=164185574</v>
      </c>
      <c r="Y1272" s="77" t="s">
        <v>6470</v>
      </c>
      <c r="Z1272" s="77"/>
      <c r="AA1272" s="77"/>
      <c r="AB1272" s="77"/>
      <c r="AC1272" s="82" t="s">
        <v>7750</v>
      </c>
      <c r="AD1272" s="77" t="s">
        <v>7788</v>
      </c>
      <c r="AE1272" s="80" t="str">
        <f>HYPERLINK("https://twitter.com/enfoqueif/status/1699026546210554010")</f>
        <v>https://twitter.com/enfoqueif/status/1699026546210554010</v>
      </c>
      <c r="AF1272" s="79">
        <v>45174.491539351853</v>
      </c>
      <c r="AG1272" s="85">
        <v>45174</v>
      </c>
      <c r="AH1272" s="82" t="s">
        <v>8907</v>
      </c>
      <c r="AI1272" s="77" t="b">
        <v>0</v>
      </c>
      <c r="AJ1272" s="77"/>
      <c r="AK1272" s="77"/>
      <c r="AL1272" s="77"/>
      <c r="AM1272" s="77"/>
      <c r="AN1272" s="77"/>
      <c r="AO1272" s="77"/>
      <c r="AP1272" s="77"/>
      <c r="AQ1272" s="77"/>
      <c r="AR1272" s="77"/>
      <c r="AS1272" s="77"/>
      <c r="AT1272" s="77"/>
      <c r="AU1272" s="77"/>
      <c r="AV1272" s="80" t="str">
        <f>HYPERLINK("https://pbs.twimg.com/profile_images/1176490241278054400/s4X9C_ZZ_normal.jpg")</f>
        <v>https://pbs.twimg.com/profile_images/1176490241278054400/s4X9C_ZZ_normal.jpg</v>
      </c>
      <c r="AW1272" s="82" t="s">
        <v>12936</v>
      </c>
      <c r="AX1272" s="82" t="s">
        <v>12936</v>
      </c>
      <c r="AY1272" s="77"/>
      <c r="AZ1272" s="82" t="s">
        <v>15984</v>
      </c>
      <c r="BA1272" s="82" t="s">
        <v>15984</v>
      </c>
      <c r="BB1272" s="82" t="s">
        <v>15984</v>
      </c>
      <c r="BC1272" s="82" t="s">
        <v>12936</v>
      </c>
      <c r="BD1272" s="77">
        <v>136293095</v>
      </c>
      <c r="BE1272" s="77"/>
      <c r="BF1272" s="77"/>
      <c r="BG1272" s="77"/>
      <c r="BH1272" s="77"/>
      <c r="BI1272" s="77"/>
    </row>
    <row r="1273" spans="1:61" x14ac:dyDescent="0.25">
      <c r="A1273" s="62" t="s">
        <v>607</v>
      </c>
      <c r="B1273" s="62" t="s">
        <v>607</v>
      </c>
      <c r="C1273" s="63"/>
      <c r="D1273" s="64"/>
      <c r="E1273" s="65"/>
      <c r="F1273" s="66"/>
      <c r="G1273" s="63"/>
      <c r="H1273" s="67"/>
      <c r="I1273" s="68"/>
      <c r="J1273" s="68"/>
      <c r="K1273" s="32"/>
      <c r="L1273" s="75">
        <v>1273</v>
      </c>
      <c r="M1273" s="75"/>
      <c r="N1273" s="70"/>
      <c r="O1273" s="77" t="s">
        <v>179</v>
      </c>
      <c r="P1273" s="79">
        <v>45142.489884259259</v>
      </c>
      <c r="Q1273" s="77" t="s">
        <v>2051</v>
      </c>
      <c r="R1273" s="77">
        <v>0</v>
      </c>
      <c r="S1273" s="77">
        <v>0</v>
      </c>
      <c r="T1273" s="77">
        <v>0</v>
      </c>
      <c r="U1273" s="77">
        <v>0</v>
      </c>
      <c r="V1273" s="77">
        <v>30</v>
      </c>
      <c r="W1273" s="82" t="s">
        <v>5497</v>
      </c>
      <c r="X1273" s="80" t="str">
        <f>HYPERLINK("https://enfoque.com.br/noticias/04-08-2023/cambio-dolar-subiu-ontem-quase-2-e-fechou-a-r-4899?k=164180254")</f>
        <v>https://enfoque.com.br/noticias/04-08-2023/cambio-dolar-subiu-ontem-quase-2-e-fechou-a-r-4899?k=164180254</v>
      </c>
      <c r="Y1273" s="77" t="s">
        <v>6470</v>
      </c>
      <c r="Z1273" s="77"/>
      <c r="AA1273" s="77"/>
      <c r="AB1273" s="77"/>
      <c r="AC1273" s="82" t="s">
        <v>7750</v>
      </c>
      <c r="AD1273" s="77" t="s">
        <v>7788</v>
      </c>
      <c r="AE1273" s="80" t="str">
        <f>HYPERLINK("https://twitter.com/enfoqueif/status/1687429532913979393")</f>
        <v>https://twitter.com/enfoqueif/status/1687429532913979393</v>
      </c>
      <c r="AF1273" s="79">
        <v>45142.489884259259</v>
      </c>
      <c r="AG1273" s="85">
        <v>45142</v>
      </c>
      <c r="AH1273" s="82" t="s">
        <v>8908</v>
      </c>
      <c r="AI1273" s="77" t="b">
        <v>0</v>
      </c>
      <c r="AJ1273" s="77"/>
      <c r="AK1273" s="77"/>
      <c r="AL1273" s="77"/>
      <c r="AM1273" s="77"/>
      <c r="AN1273" s="77"/>
      <c r="AO1273" s="77"/>
      <c r="AP1273" s="77"/>
      <c r="AQ1273" s="77"/>
      <c r="AR1273" s="77"/>
      <c r="AS1273" s="77"/>
      <c r="AT1273" s="77"/>
      <c r="AU1273" s="77"/>
      <c r="AV1273" s="80" t="str">
        <f>HYPERLINK("https://pbs.twimg.com/profile_images/1176490241278054400/s4X9C_ZZ_normal.jpg")</f>
        <v>https://pbs.twimg.com/profile_images/1176490241278054400/s4X9C_ZZ_normal.jpg</v>
      </c>
      <c r="AW1273" s="82" t="s">
        <v>12937</v>
      </c>
      <c r="AX1273" s="82" t="s">
        <v>12937</v>
      </c>
      <c r="AY1273" s="77"/>
      <c r="AZ1273" s="82" t="s">
        <v>15984</v>
      </c>
      <c r="BA1273" s="82" t="s">
        <v>15984</v>
      </c>
      <c r="BB1273" s="82" t="s">
        <v>15984</v>
      </c>
      <c r="BC1273" s="82" t="s">
        <v>12937</v>
      </c>
      <c r="BD1273" s="77">
        <v>136293095</v>
      </c>
      <c r="BE1273" s="77"/>
      <c r="BF1273" s="77"/>
      <c r="BG1273" s="77"/>
      <c r="BH1273" s="77"/>
      <c r="BI1273" s="77"/>
    </row>
    <row r="1274" spans="1:61" x14ac:dyDescent="0.25">
      <c r="A1274" s="62" t="s">
        <v>607</v>
      </c>
      <c r="B1274" s="62" t="s">
        <v>607</v>
      </c>
      <c r="C1274" s="63"/>
      <c r="D1274" s="64"/>
      <c r="E1274" s="65"/>
      <c r="F1274" s="66"/>
      <c r="G1274" s="63"/>
      <c r="H1274" s="67"/>
      <c r="I1274" s="68"/>
      <c r="J1274" s="68"/>
      <c r="K1274" s="32"/>
      <c r="L1274" s="75">
        <v>1274</v>
      </c>
      <c r="M1274" s="75"/>
      <c r="N1274" s="70"/>
      <c r="O1274" s="77" t="s">
        <v>179</v>
      </c>
      <c r="P1274" s="79">
        <v>45180.689050925925</v>
      </c>
      <c r="Q1274" s="77" t="s">
        <v>2052</v>
      </c>
      <c r="R1274" s="77">
        <v>0</v>
      </c>
      <c r="S1274" s="77">
        <v>0</v>
      </c>
      <c r="T1274" s="77">
        <v>0</v>
      </c>
      <c r="U1274" s="77">
        <v>0</v>
      </c>
      <c r="V1274" s="77">
        <v>84</v>
      </c>
      <c r="W1274" s="82" t="s">
        <v>5498</v>
      </c>
      <c r="X1274" s="80" t="str">
        <f>HYPERLINK("https://enfoque.com.br/noticias/11-09-2023/cambio-dolar-caiu-na-sexta-feira-mas-ganhou-na-semana?k=164186283")</f>
        <v>https://enfoque.com.br/noticias/11-09-2023/cambio-dolar-caiu-na-sexta-feira-mas-ganhou-na-semana?k=164186283</v>
      </c>
      <c r="Y1274" s="77" t="s">
        <v>6470</v>
      </c>
      <c r="Z1274" s="77"/>
      <c r="AA1274" s="77"/>
      <c r="AB1274" s="77"/>
      <c r="AC1274" s="82" t="s">
        <v>7750</v>
      </c>
      <c r="AD1274" s="77" t="s">
        <v>7788</v>
      </c>
      <c r="AE1274" s="80" t="str">
        <f>HYPERLINK("https://twitter.com/enfoqueif/status/1701272446706323626")</f>
        <v>https://twitter.com/enfoqueif/status/1701272446706323626</v>
      </c>
      <c r="AF1274" s="79">
        <v>45180.689050925925</v>
      </c>
      <c r="AG1274" s="85">
        <v>45180</v>
      </c>
      <c r="AH1274" s="82" t="s">
        <v>8909</v>
      </c>
      <c r="AI1274" s="77" t="b">
        <v>0</v>
      </c>
      <c r="AJ1274" s="77"/>
      <c r="AK1274" s="77"/>
      <c r="AL1274" s="77"/>
      <c r="AM1274" s="77"/>
      <c r="AN1274" s="77"/>
      <c r="AO1274" s="77"/>
      <c r="AP1274" s="77"/>
      <c r="AQ1274" s="77"/>
      <c r="AR1274" s="77"/>
      <c r="AS1274" s="77"/>
      <c r="AT1274" s="77"/>
      <c r="AU1274" s="77"/>
      <c r="AV1274" s="80" t="str">
        <f>HYPERLINK("https://pbs.twimg.com/profile_images/1176490241278054400/s4X9C_ZZ_normal.jpg")</f>
        <v>https://pbs.twimg.com/profile_images/1176490241278054400/s4X9C_ZZ_normal.jpg</v>
      </c>
      <c r="AW1274" s="82" t="s">
        <v>12938</v>
      </c>
      <c r="AX1274" s="82" t="s">
        <v>12938</v>
      </c>
      <c r="AY1274" s="77"/>
      <c r="AZ1274" s="82" t="s">
        <v>15984</v>
      </c>
      <c r="BA1274" s="82" t="s">
        <v>15984</v>
      </c>
      <c r="BB1274" s="82" t="s">
        <v>15984</v>
      </c>
      <c r="BC1274" s="82" t="s">
        <v>12938</v>
      </c>
      <c r="BD1274" s="77">
        <v>136293095</v>
      </c>
      <c r="BE1274" s="77"/>
      <c r="BF1274" s="77"/>
      <c r="BG1274" s="77"/>
      <c r="BH1274" s="77"/>
      <c r="BI1274" s="77"/>
    </row>
    <row r="1275" spans="1:61" x14ac:dyDescent="0.25">
      <c r="A1275" s="62" t="s">
        <v>607</v>
      </c>
      <c r="B1275" s="62" t="s">
        <v>607</v>
      </c>
      <c r="C1275" s="63"/>
      <c r="D1275" s="64"/>
      <c r="E1275" s="65"/>
      <c r="F1275" s="66"/>
      <c r="G1275" s="63"/>
      <c r="H1275" s="67"/>
      <c r="I1275" s="68"/>
      <c r="J1275" s="68"/>
      <c r="K1275" s="32"/>
      <c r="L1275" s="75">
        <v>1275</v>
      </c>
      <c r="M1275" s="75"/>
      <c r="N1275" s="70"/>
      <c r="O1275" s="77" t="s">
        <v>179</v>
      </c>
      <c r="P1275" s="79">
        <v>45169.508263888885</v>
      </c>
      <c r="Q1275" s="77" t="s">
        <v>2053</v>
      </c>
      <c r="R1275" s="77">
        <v>0</v>
      </c>
      <c r="S1275" s="77">
        <v>0</v>
      </c>
      <c r="T1275" s="77">
        <v>0</v>
      </c>
      <c r="U1275" s="77">
        <v>0</v>
      </c>
      <c r="V1275" s="77">
        <v>73</v>
      </c>
      <c r="W1275" s="82" t="s">
        <v>5499</v>
      </c>
      <c r="X1275" s="80" t="str">
        <f>HYPERLINK("https://enfoque.com.br/noticias/31-08-2023/pauta-do-dia-bolsas-caminham-para-fechar-agosto-com-perdas?k=164184780")</f>
        <v>https://enfoque.com.br/noticias/31-08-2023/pauta-do-dia-bolsas-caminham-para-fechar-agosto-com-perdas?k=164184780</v>
      </c>
      <c r="Y1275" s="77" t="s">
        <v>6470</v>
      </c>
      <c r="Z1275" s="77"/>
      <c r="AA1275" s="77"/>
      <c r="AB1275" s="77"/>
      <c r="AC1275" s="82" t="s">
        <v>7750</v>
      </c>
      <c r="AD1275" s="77" t="s">
        <v>7788</v>
      </c>
      <c r="AE1275" s="80" t="str">
        <f>HYPERLINK("https://twitter.com/enfoqueif/status/1697220668318732466")</f>
        <v>https://twitter.com/enfoqueif/status/1697220668318732466</v>
      </c>
      <c r="AF1275" s="79">
        <v>45169.508263888885</v>
      </c>
      <c r="AG1275" s="85">
        <v>45169</v>
      </c>
      <c r="AH1275" s="82" t="s">
        <v>8910</v>
      </c>
      <c r="AI1275" s="77" t="b">
        <v>0</v>
      </c>
      <c r="AJ1275" s="77"/>
      <c r="AK1275" s="77"/>
      <c r="AL1275" s="77"/>
      <c r="AM1275" s="77"/>
      <c r="AN1275" s="77"/>
      <c r="AO1275" s="77"/>
      <c r="AP1275" s="77"/>
      <c r="AQ1275" s="77"/>
      <c r="AR1275" s="77"/>
      <c r="AS1275" s="77"/>
      <c r="AT1275" s="77"/>
      <c r="AU1275" s="77"/>
      <c r="AV1275" s="80" t="str">
        <f>HYPERLINK("https://pbs.twimg.com/profile_images/1176490241278054400/s4X9C_ZZ_normal.jpg")</f>
        <v>https://pbs.twimg.com/profile_images/1176490241278054400/s4X9C_ZZ_normal.jpg</v>
      </c>
      <c r="AW1275" s="82" t="s">
        <v>12939</v>
      </c>
      <c r="AX1275" s="82" t="s">
        <v>12939</v>
      </c>
      <c r="AY1275" s="77"/>
      <c r="AZ1275" s="82" t="s">
        <v>15984</v>
      </c>
      <c r="BA1275" s="82" t="s">
        <v>15984</v>
      </c>
      <c r="BB1275" s="82" t="s">
        <v>15984</v>
      </c>
      <c r="BC1275" s="82" t="s">
        <v>12939</v>
      </c>
      <c r="BD1275" s="77">
        <v>136293095</v>
      </c>
      <c r="BE1275" s="77"/>
      <c r="BF1275" s="77"/>
      <c r="BG1275" s="77"/>
      <c r="BH1275" s="77"/>
      <c r="BI1275" s="77"/>
    </row>
    <row r="1276" spans="1:61" x14ac:dyDescent="0.25">
      <c r="A1276" s="62" t="s">
        <v>607</v>
      </c>
      <c r="B1276" s="62" t="s">
        <v>607</v>
      </c>
      <c r="C1276" s="63"/>
      <c r="D1276" s="64"/>
      <c r="E1276" s="65"/>
      <c r="F1276" s="66"/>
      <c r="G1276" s="63"/>
      <c r="H1276" s="67"/>
      <c r="I1276" s="68"/>
      <c r="J1276" s="68"/>
      <c r="K1276" s="32"/>
      <c r="L1276" s="75">
        <v>1276</v>
      </c>
      <c r="M1276" s="75"/>
      <c r="N1276" s="70"/>
      <c r="O1276" s="77" t="s">
        <v>179</v>
      </c>
      <c r="P1276" s="79">
        <v>45169.491631944446</v>
      </c>
      <c r="Q1276" s="77" t="s">
        <v>2054</v>
      </c>
      <c r="R1276" s="77">
        <v>0</v>
      </c>
      <c r="S1276" s="77">
        <v>0</v>
      </c>
      <c r="T1276" s="77">
        <v>0</v>
      </c>
      <c r="U1276" s="77">
        <v>0</v>
      </c>
      <c r="V1276" s="77">
        <v>78</v>
      </c>
      <c r="W1276" s="82" t="s">
        <v>5500</v>
      </c>
      <c r="X1276" s="80" t="str">
        <f>HYPERLINK("https://enfoque.com.br/noticias/31-08-2023/cambio-dolar-terminou-ontem-em-alta-na-contramao-do-exterior?k=164184735")</f>
        <v>https://enfoque.com.br/noticias/31-08-2023/cambio-dolar-terminou-ontem-em-alta-na-contramao-do-exterior?k=164184735</v>
      </c>
      <c r="Y1276" s="77" t="s">
        <v>6470</v>
      </c>
      <c r="Z1276" s="77"/>
      <c r="AA1276" s="77"/>
      <c r="AB1276" s="77"/>
      <c r="AC1276" s="82" t="s">
        <v>7750</v>
      </c>
      <c r="AD1276" s="77" t="s">
        <v>7788</v>
      </c>
      <c r="AE1276" s="80" t="str">
        <f>HYPERLINK("https://twitter.com/enfoqueif/status/1697214641141579801")</f>
        <v>https://twitter.com/enfoqueif/status/1697214641141579801</v>
      </c>
      <c r="AF1276" s="79">
        <v>45169.491631944446</v>
      </c>
      <c r="AG1276" s="85">
        <v>45169</v>
      </c>
      <c r="AH1276" s="82" t="s">
        <v>8911</v>
      </c>
      <c r="AI1276" s="77" t="b">
        <v>0</v>
      </c>
      <c r="AJ1276" s="77"/>
      <c r="AK1276" s="77"/>
      <c r="AL1276" s="77"/>
      <c r="AM1276" s="77"/>
      <c r="AN1276" s="77"/>
      <c r="AO1276" s="77"/>
      <c r="AP1276" s="77"/>
      <c r="AQ1276" s="77"/>
      <c r="AR1276" s="77"/>
      <c r="AS1276" s="77"/>
      <c r="AT1276" s="77"/>
      <c r="AU1276" s="77"/>
      <c r="AV1276" s="80" t="str">
        <f>HYPERLINK("https://pbs.twimg.com/profile_images/1176490241278054400/s4X9C_ZZ_normal.jpg")</f>
        <v>https://pbs.twimg.com/profile_images/1176490241278054400/s4X9C_ZZ_normal.jpg</v>
      </c>
      <c r="AW1276" s="82" t="s">
        <v>12940</v>
      </c>
      <c r="AX1276" s="82" t="s">
        <v>12940</v>
      </c>
      <c r="AY1276" s="77"/>
      <c r="AZ1276" s="82" t="s">
        <v>15984</v>
      </c>
      <c r="BA1276" s="82" t="s">
        <v>15984</v>
      </c>
      <c r="BB1276" s="82" t="s">
        <v>15984</v>
      </c>
      <c r="BC1276" s="82" t="s">
        <v>12940</v>
      </c>
      <c r="BD1276" s="77">
        <v>136293095</v>
      </c>
      <c r="BE1276" s="77"/>
      <c r="BF1276" s="77"/>
      <c r="BG1276" s="77"/>
      <c r="BH1276" s="77"/>
      <c r="BI1276" s="77"/>
    </row>
    <row r="1277" spans="1:61" x14ac:dyDescent="0.25">
      <c r="A1277" s="62" t="s">
        <v>607</v>
      </c>
      <c r="B1277" s="62" t="s">
        <v>607</v>
      </c>
      <c r="C1277" s="63"/>
      <c r="D1277" s="64"/>
      <c r="E1277" s="65"/>
      <c r="F1277" s="66"/>
      <c r="G1277" s="63"/>
      <c r="H1277" s="67"/>
      <c r="I1277" s="68"/>
      <c r="J1277" s="68"/>
      <c r="K1277" s="32"/>
      <c r="L1277" s="75">
        <v>1277</v>
      </c>
      <c r="M1277" s="75"/>
      <c r="N1277" s="70"/>
      <c r="O1277" s="77" t="s">
        <v>179</v>
      </c>
      <c r="P1277" s="79">
        <v>45166.494143518517</v>
      </c>
      <c r="Q1277" s="77" t="s">
        <v>2055</v>
      </c>
      <c r="R1277" s="77">
        <v>0</v>
      </c>
      <c r="S1277" s="77">
        <v>0</v>
      </c>
      <c r="T1277" s="77">
        <v>0</v>
      </c>
      <c r="U1277" s="77">
        <v>0</v>
      </c>
      <c r="V1277" s="77">
        <v>80</v>
      </c>
      <c r="W1277" s="82" t="s">
        <v>5501</v>
      </c>
      <c r="X1277" s="80" t="str">
        <f>HYPERLINK("https://enfoque.com.br/noticias/28-08-2023/cambio-dolar-fechou-a-sexta-feira-e-a-semana-em-baixa?k=164183959")</f>
        <v>https://enfoque.com.br/noticias/28-08-2023/cambio-dolar-fechou-a-sexta-feira-e-a-semana-em-baixa?k=164183959</v>
      </c>
      <c r="Y1277" s="77" t="s">
        <v>6470</v>
      </c>
      <c r="Z1277" s="77"/>
      <c r="AA1277" s="77"/>
      <c r="AB1277" s="77"/>
      <c r="AC1277" s="82" t="s">
        <v>7750</v>
      </c>
      <c r="AD1277" s="77" t="s">
        <v>7788</v>
      </c>
      <c r="AE1277" s="80" t="str">
        <f>HYPERLINK("https://twitter.com/enfoqueif/status/1696128386895171816")</f>
        <v>https://twitter.com/enfoqueif/status/1696128386895171816</v>
      </c>
      <c r="AF1277" s="79">
        <v>45166.494143518517</v>
      </c>
      <c r="AG1277" s="85">
        <v>45166</v>
      </c>
      <c r="AH1277" s="82" t="s">
        <v>8912</v>
      </c>
      <c r="AI1277" s="77" t="b">
        <v>0</v>
      </c>
      <c r="AJ1277" s="77"/>
      <c r="AK1277" s="77"/>
      <c r="AL1277" s="77"/>
      <c r="AM1277" s="77"/>
      <c r="AN1277" s="77"/>
      <c r="AO1277" s="77"/>
      <c r="AP1277" s="77"/>
      <c r="AQ1277" s="77"/>
      <c r="AR1277" s="77"/>
      <c r="AS1277" s="77"/>
      <c r="AT1277" s="77"/>
      <c r="AU1277" s="77"/>
      <c r="AV1277" s="80" t="str">
        <f>HYPERLINK("https://pbs.twimg.com/profile_images/1176490241278054400/s4X9C_ZZ_normal.jpg")</f>
        <v>https://pbs.twimg.com/profile_images/1176490241278054400/s4X9C_ZZ_normal.jpg</v>
      </c>
      <c r="AW1277" s="82" t="s">
        <v>12941</v>
      </c>
      <c r="AX1277" s="82" t="s">
        <v>12941</v>
      </c>
      <c r="AY1277" s="77"/>
      <c r="AZ1277" s="82" t="s">
        <v>15984</v>
      </c>
      <c r="BA1277" s="82" t="s">
        <v>15984</v>
      </c>
      <c r="BB1277" s="82" t="s">
        <v>15984</v>
      </c>
      <c r="BC1277" s="82" t="s">
        <v>12941</v>
      </c>
      <c r="BD1277" s="77">
        <v>136293095</v>
      </c>
      <c r="BE1277" s="77"/>
      <c r="BF1277" s="77"/>
      <c r="BG1277" s="77"/>
      <c r="BH1277" s="77"/>
      <c r="BI1277" s="77"/>
    </row>
    <row r="1278" spans="1:61" x14ac:dyDescent="0.25">
      <c r="A1278" s="62" t="s">
        <v>607</v>
      </c>
      <c r="B1278" s="62" t="s">
        <v>607</v>
      </c>
      <c r="C1278" s="63"/>
      <c r="D1278" s="64"/>
      <c r="E1278" s="65"/>
      <c r="F1278" s="66"/>
      <c r="G1278" s="63"/>
      <c r="H1278" s="67"/>
      <c r="I1278" s="68"/>
      <c r="J1278" s="68"/>
      <c r="K1278" s="32"/>
      <c r="L1278" s="75">
        <v>1278</v>
      </c>
      <c r="M1278" s="75"/>
      <c r="N1278" s="70"/>
      <c r="O1278" s="77" t="s">
        <v>179</v>
      </c>
      <c r="P1278" s="79">
        <v>45181.529953703706</v>
      </c>
      <c r="Q1278" s="77" t="s">
        <v>2056</v>
      </c>
      <c r="R1278" s="77">
        <v>0</v>
      </c>
      <c r="S1278" s="77">
        <v>0</v>
      </c>
      <c r="T1278" s="77">
        <v>0</v>
      </c>
      <c r="U1278" s="77">
        <v>0</v>
      </c>
      <c r="V1278" s="77">
        <v>35</v>
      </c>
      <c r="W1278" s="82" t="s">
        <v>5502</v>
      </c>
      <c r="X1278" s="80" t="str">
        <f>HYPERLINK("https://enfoque.com.br/noticias/12-09-2023/pauta-do-dia-mercados-operam-sem-direcao-unica-nesta-manha?k=164186536")</f>
        <v>https://enfoque.com.br/noticias/12-09-2023/pauta-do-dia-mercados-operam-sem-direcao-unica-nesta-manha?k=164186536</v>
      </c>
      <c r="Y1278" s="77" t="s">
        <v>6470</v>
      </c>
      <c r="Z1278" s="77"/>
      <c r="AA1278" s="77"/>
      <c r="AB1278" s="77"/>
      <c r="AC1278" s="82" t="s">
        <v>7750</v>
      </c>
      <c r="AD1278" s="77" t="s">
        <v>7788</v>
      </c>
      <c r="AE1278" s="80" t="str">
        <f>HYPERLINK("https://twitter.com/enfoqueif/status/1701577182114423233")</f>
        <v>https://twitter.com/enfoqueif/status/1701577182114423233</v>
      </c>
      <c r="AF1278" s="79">
        <v>45181.529953703706</v>
      </c>
      <c r="AG1278" s="85">
        <v>45181</v>
      </c>
      <c r="AH1278" s="82" t="s">
        <v>8913</v>
      </c>
      <c r="AI1278" s="77" t="b">
        <v>0</v>
      </c>
      <c r="AJ1278" s="77"/>
      <c r="AK1278" s="77"/>
      <c r="AL1278" s="77"/>
      <c r="AM1278" s="77"/>
      <c r="AN1278" s="77"/>
      <c r="AO1278" s="77"/>
      <c r="AP1278" s="77"/>
      <c r="AQ1278" s="77"/>
      <c r="AR1278" s="77"/>
      <c r="AS1278" s="77"/>
      <c r="AT1278" s="77"/>
      <c r="AU1278" s="77"/>
      <c r="AV1278" s="80" t="str">
        <f>HYPERLINK("https://pbs.twimg.com/profile_images/1176490241278054400/s4X9C_ZZ_normal.jpg")</f>
        <v>https://pbs.twimg.com/profile_images/1176490241278054400/s4X9C_ZZ_normal.jpg</v>
      </c>
      <c r="AW1278" s="82" t="s">
        <v>12942</v>
      </c>
      <c r="AX1278" s="82" t="s">
        <v>12942</v>
      </c>
      <c r="AY1278" s="77"/>
      <c r="AZ1278" s="82" t="s">
        <v>15984</v>
      </c>
      <c r="BA1278" s="82" t="s">
        <v>15984</v>
      </c>
      <c r="BB1278" s="82" t="s">
        <v>15984</v>
      </c>
      <c r="BC1278" s="82" t="s">
        <v>12942</v>
      </c>
      <c r="BD1278" s="77">
        <v>136293095</v>
      </c>
      <c r="BE1278" s="77"/>
      <c r="BF1278" s="77"/>
      <c r="BG1278" s="77"/>
      <c r="BH1278" s="77"/>
      <c r="BI1278" s="77"/>
    </row>
    <row r="1279" spans="1:61" x14ac:dyDescent="0.25">
      <c r="A1279" s="62" t="s">
        <v>607</v>
      </c>
      <c r="B1279" s="62" t="s">
        <v>607</v>
      </c>
      <c r="C1279" s="63"/>
      <c r="D1279" s="64"/>
      <c r="E1279" s="65"/>
      <c r="F1279" s="66"/>
      <c r="G1279" s="63"/>
      <c r="H1279" s="67"/>
      <c r="I1279" s="68"/>
      <c r="J1279" s="68"/>
      <c r="K1279" s="32"/>
      <c r="L1279" s="75">
        <v>1279</v>
      </c>
      <c r="M1279" s="75"/>
      <c r="N1279" s="70"/>
      <c r="O1279" s="77" t="s">
        <v>179</v>
      </c>
      <c r="P1279" s="79">
        <v>45181.527824074074</v>
      </c>
      <c r="Q1279" s="77" t="s">
        <v>2057</v>
      </c>
      <c r="R1279" s="77">
        <v>0</v>
      </c>
      <c r="S1279" s="77">
        <v>0</v>
      </c>
      <c r="T1279" s="77">
        <v>0</v>
      </c>
      <c r="U1279" s="77">
        <v>0</v>
      </c>
      <c r="V1279" s="77">
        <v>26</v>
      </c>
      <c r="W1279" s="82" t="s">
        <v>5503</v>
      </c>
      <c r="X1279" s="80" t="str">
        <f>HYPERLINK("https://enfoque.com.br/noticias/12-09-2023/cambio-dolar-comecou-a-semana-em-baixa-com-china-e-japao?k=164186534")</f>
        <v>https://enfoque.com.br/noticias/12-09-2023/cambio-dolar-comecou-a-semana-em-baixa-com-china-e-japao?k=164186534</v>
      </c>
      <c r="Y1279" s="77" t="s">
        <v>6470</v>
      </c>
      <c r="Z1279" s="77"/>
      <c r="AA1279" s="77"/>
      <c r="AB1279" s="77"/>
      <c r="AC1279" s="82" t="s">
        <v>7750</v>
      </c>
      <c r="AD1279" s="77" t="s">
        <v>7788</v>
      </c>
      <c r="AE1279" s="80" t="str">
        <f>HYPERLINK("https://twitter.com/enfoqueif/status/1701576409188102374")</f>
        <v>https://twitter.com/enfoqueif/status/1701576409188102374</v>
      </c>
      <c r="AF1279" s="79">
        <v>45181.527824074074</v>
      </c>
      <c r="AG1279" s="85">
        <v>45181</v>
      </c>
      <c r="AH1279" s="82" t="s">
        <v>8914</v>
      </c>
      <c r="AI1279" s="77" t="b">
        <v>0</v>
      </c>
      <c r="AJ1279" s="77"/>
      <c r="AK1279" s="77"/>
      <c r="AL1279" s="77"/>
      <c r="AM1279" s="77"/>
      <c r="AN1279" s="77"/>
      <c r="AO1279" s="77"/>
      <c r="AP1279" s="77"/>
      <c r="AQ1279" s="77"/>
      <c r="AR1279" s="77"/>
      <c r="AS1279" s="77"/>
      <c r="AT1279" s="77"/>
      <c r="AU1279" s="77"/>
      <c r="AV1279" s="80" t="str">
        <f>HYPERLINK("https://pbs.twimg.com/profile_images/1176490241278054400/s4X9C_ZZ_normal.jpg")</f>
        <v>https://pbs.twimg.com/profile_images/1176490241278054400/s4X9C_ZZ_normal.jpg</v>
      </c>
      <c r="AW1279" s="82" t="s">
        <v>12943</v>
      </c>
      <c r="AX1279" s="82" t="s">
        <v>12943</v>
      </c>
      <c r="AY1279" s="77"/>
      <c r="AZ1279" s="82" t="s">
        <v>15984</v>
      </c>
      <c r="BA1279" s="82" t="s">
        <v>15984</v>
      </c>
      <c r="BB1279" s="82" t="s">
        <v>15984</v>
      </c>
      <c r="BC1279" s="82" t="s">
        <v>12943</v>
      </c>
      <c r="BD1279" s="77">
        <v>136293095</v>
      </c>
      <c r="BE1279" s="77"/>
      <c r="BF1279" s="77"/>
      <c r="BG1279" s="77"/>
      <c r="BH1279" s="77"/>
      <c r="BI1279" s="77"/>
    </row>
    <row r="1280" spans="1:61" x14ac:dyDescent="0.25">
      <c r="A1280" s="62" t="s">
        <v>607</v>
      </c>
      <c r="B1280" s="62" t="s">
        <v>607</v>
      </c>
      <c r="C1280" s="63"/>
      <c r="D1280" s="64"/>
      <c r="E1280" s="65"/>
      <c r="F1280" s="66"/>
      <c r="G1280" s="63"/>
      <c r="H1280" s="67"/>
      <c r="I1280" s="68"/>
      <c r="J1280" s="68"/>
      <c r="K1280" s="32"/>
      <c r="L1280" s="75">
        <v>1280</v>
      </c>
      <c r="M1280" s="75"/>
      <c r="N1280" s="70"/>
      <c r="O1280" s="77" t="s">
        <v>179</v>
      </c>
      <c r="P1280" s="79">
        <v>45148.528611111113</v>
      </c>
      <c r="Q1280" s="77" t="s">
        <v>2058</v>
      </c>
      <c r="R1280" s="77">
        <v>0</v>
      </c>
      <c r="S1280" s="77">
        <v>0</v>
      </c>
      <c r="T1280" s="77">
        <v>0</v>
      </c>
      <c r="U1280" s="77">
        <v>0</v>
      </c>
      <c r="V1280" s="77">
        <v>62</v>
      </c>
      <c r="W1280" s="82" t="s">
        <v>5504</v>
      </c>
      <c r="X1280" s="80" t="str">
        <f>HYPERLINK("https://enfoque.com.br/noticias/10-08-2023/cambio-dolar-devera-abrir-hoje-em-queda?k=164181194")</f>
        <v>https://enfoque.com.br/noticias/10-08-2023/cambio-dolar-devera-abrir-hoje-em-queda?k=164181194</v>
      </c>
      <c r="Y1280" s="77" t="s">
        <v>6470</v>
      </c>
      <c r="Z1280" s="77"/>
      <c r="AA1280" s="77"/>
      <c r="AB1280" s="77"/>
      <c r="AC1280" s="82" t="s">
        <v>7750</v>
      </c>
      <c r="AD1280" s="77" t="s">
        <v>7788</v>
      </c>
      <c r="AE1280" s="80" t="str">
        <f>HYPERLINK("https://twitter.com/enfoqueif/status/1689617893959327744")</f>
        <v>https://twitter.com/enfoqueif/status/1689617893959327744</v>
      </c>
      <c r="AF1280" s="79">
        <v>45148.528611111113</v>
      </c>
      <c r="AG1280" s="85">
        <v>45148</v>
      </c>
      <c r="AH1280" s="82" t="s">
        <v>8915</v>
      </c>
      <c r="AI1280" s="77" t="b">
        <v>0</v>
      </c>
      <c r="AJ1280" s="77"/>
      <c r="AK1280" s="77"/>
      <c r="AL1280" s="77"/>
      <c r="AM1280" s="77"/>
      <c r="AN1280" s="77"/>
      <c r="AO1280" s="77"/>
      <c r="AP1280" s="77"/>
      <c r="AQ1280" s="77"/>
      <c r="AR1280" s="77"/>
      <c r="AS1280" s="77"/>
      <c r="AT1280" s="77"/>
      <c r="AU1280" s="77"/>
      <c r="AV1280" s="80" t="str">
        <f>HYPERLINK("https://pbs.twimg.com/profile_images/1176490241278054400/s4X9C_ZZ_normal.jpg")</f>
        <v>https://pbs.twimg.com/profile_images/1176490241278054400/s4X9C_ZZ_normal.jpg</v>
      </c>
      <c r="AW1280" s="82" t="s">
        <v>12944</v>
      </c>
      <c r="AX1280" s="82" t="s">
        <v>12944</v>
      </c>
      <c r="AY1280" s="77"/>
      <c r="AZ1280" s="82" t="s">
        <v>15984</v>
      </c>
      <c r="BA1280" s="82" t="s">
        <v>15984</v>
      </c>
      <c r="BB1280" s="82" t="s">
        <v>15984</v>
      </c>
      <c r="BC1280" s="82" t="s">
        <v>12944</v>
      </c>
      <c r="BD1280" s="77">
        <v>136293095</v>
      </c>
      <c r="BE1280" s="77"/>
      <c r="BF1280" s="77"/>
      <c r="BG1280" s="77"/>
      <c r="BH1280" s="77"/>
      <c r="BI1280" s="77"/>
    </row>
    <row r="1281" spans="1:61" x14ac:dyDescent="0.25">
      <c r="A1281" s="62" t="s">
        <v>607</v>
      </c>
      <c r="B1281" s="62" t="s">
        <v>607</v>
      </c>
      <c r="C1281" s="63"/>
      <c r="D1281" s="64"/>
      <c r="E1281" s="65"/>
      <c r="F1281" s="66"/>
      <c r="G1281" s="63"/>
      <c r="H1281" s="67"/>
      <c r="I1281" s="68"/>
      <c r="J1281" s="68"/>
      <c r="K1281" s="32"/>
      <c r="L1281" s="75">
        <v>1281</v>
      </c>
      <c r="M1281" s="75"/>
      <c r="N1281" s="70"/>
      <c r="O1281" s="77" t="s">
        <v>179</v>
      </c>
      <c r="P1281" s="79">
        <v>45183.50409722222</v>
      </c>
      <c r="Q1281" s="77" t="s">
        <v>2059</v>
      </c>
      <c r="R1281" s="77">
        <v>0</v>
      </c>
      <c r="S1281" s="77">
        <v>0</v>
      </c>
      <c r="T1281" s="77">
        <v>0</v>
      </c>
      <c r="U1281" s="77">
        <v>0</v>
      </c>
      <c r="V1281" s="77">
        <v>38</v>
      </c>
      <c r="W1281" s="82" t="s">
        <v>5505</v>
      </c>
      <c r="X1281" s="80" t="str">
        <f>HYPERLINK("https://enfoque.com.br/noticias/14-09-2023/cambio-dolar-fechou-na-quarta-em-baixa-com-dados-de-inflacao-dos-eua?k=164186945")</f>
        <v>https://enfoque.com.br/noticias/14-09-2023/cambio-dolar-fechou-na-quarta-em-baixa-com-dados-de-inflacao-dos-eua?k=164186945</v>
      </c>
      <c r="Y1281" s="77" t="s">
        <v>6470</v>
      </c>
      <c r="Z1281" s="77"/>
      <c r="AA1281" s="77"/>
      <c r="AB1281" s="77"/>
      <c r="AC1281" s="82" t="s">
        <v>7750</v>
      </c>
      <c r="AD1281" s="77" t="s">
        <v>7788</v>
      </c>
      <c r="AE1281" s="80" t="str">
        <f>HYPERLINK("https://twitter.com/enfoqueif/status/1702292588076642710")</f>
        <v>https://twitter.com/enfoqueif/status/1702292588076642710</v>
      </c>
      <c r="AF1281" s="79">
        <v>45183.50409722222</v>
      </c>
      <c r="AG1281" s="85">
        <v>45183</v>
      </c>
      <c r="AH1281" s="82" t="s">
        <v>8916</v>
      </c>
      <c r="AI1281" s="77" t="b">
        <v>0</v>
      </c>
      <c r="AJ1281" s="77"/>
      <c r="AK1281" s="77"/>
      <c r="AL1281" s="77"/>
      <c r="AM1281" s="77"/>
      <c r="AN1281" s="77"/>
      <c r="AO1281" s="77"/>
      <c r="AP1281" s="77"/>
      <c r="AQ1281" s="77"/>
      <c r="AR1281" s="77"/>
      <c r="AS1281" s="77"/>
      <c r="AT1281" s="77"/>
      <c r="AU1281" s="77"/>
      <c r="AV1281" s="80" t="str">
        <f>HYPERLINK("https://pbs.twimg.com/profile_images/1176490241278054400/s4X9C_ZZ_normal.jpg")</f>
        <v>https://pbs.twimg.com/profile_images/1176490241278054400/s4X9C_ZZ_normal.jpg</v>
      </c>
      <c r="AW1281" s="82" t="s">
        <v>12945</v>
      </c>
      <c r="AX1281" s="82" t="s">
        <v>12945</v>
      </c>
      <c r="AY1281" s="77"/>
      <c r="AZ1281" s="82" t="s">
        <v>15984</v>
      </c>
      <c r="BA1281" s="82" t="s">
        <v>15984</v>
      </c>
      <c r="BB1281" s="82" t="s">
        <v>15984</v>
      </c>
      <c r="BC1281" s="82" t="s">
        <v>12945</v>
      </c>
      <c r="BD1281" s="77">
        <v>136293095</v>
      </c>
      <c r="BE1281" s="77"/>
      <c r="BF1281" s="77"/>
      <c r="BG1281" s="77"/>
      <c r="BH1281" s="77"/>
      <c r="BI1281" s="77"/>
    </row>
    <row r="1282" spans="1:61" x14ac:dyDescent="0.25">
      <c r="A1282" s="62" t="s">
        <v>607</v>
      </c>
      <c r="B1282" s="62" t="s">
        <v>607</v>
      </c>
      <c r="C1282" s="63"/>
      <c r="D1282" s="64"/>
      <c r="E1282" s="65"/>
      <c r="F1282" s="66"/>
      <c r="G1282" s="63"/>
      <c r="H1282" s="67"/>
      <c r="I1282" s="68"/>
      <c r="J1282" s="68"/>
      <c r="K1282" s="32"/>
      <c r="L1282" s="75">
        <v>1282</v>
      </c>
      <c r="M1282" s="75"/>
      <c r="N1282" s="70"/>
      <c r="O1282" s="77" t="s">
        <v>179</v>
      </c>
      <c r="P1282" s="79">
        <v>45189.531053240738</v>
      </c>
      <c r="Q1282" s="77" t="s">
        <v>2060</v>
      </c>
      <c r="R1282" s="77">
        <v>0</v>
      </c>
      <c r="S1282" s="77">
        <v>0</v>
      </c>
      <c r="T1282" s="77">
        <v>0</v>
      </c>
      <c r="U1282" s="77">
        <v>0</v>
      </c>
      <c r="V1282" s="77">
        <v>35</v>
      </c>
      <c r="W1282" s="82" t="s">
        <v>5506</v>
      </c>
      <c r="X1282" s="80" t="str">
        <f>HYPERLINK("https://enfoque.com.br/noticias/20-09-2023/pauta-do-dia-mercados-operam-sem-direcao-unica-a-espera-de-fed?k=164187837")</f>
        <v>https://enfoque.com.br/noticias/20-09-2023/pauta-do-dia-mercados-operam-sem-direcao-unica-a-espera-de-fed?k=164187837</v>
      </c>
      <c r="Y1282" s="77" t="s">
        <v>6470</v>
      </c>
      <c r="Z1282" s="77"/>
      <c r="AA1282" s="77"/>
      <c r="AB1282" s="77"/>
      <c r="AC1282" s="82" t="s">
        <v>7750</v>
      </c>
      <c r="AD1282" s="77" t="s">
        <v>7788</v>
      </c>
      <c r="AE1282" s="80" t="str">
        <f>HYPERLINK("https://twitter.com/enfoqueif/status/1704476680822145434")</f>
        <v>https://twitter.com/enfoqueif/status/1704476680822145434</v>
      </c>
      <c r="AF1282" s="79">
        <v>45189.531053240738</v>
      </c>
      <c r="AG1282" s="85">
        <v>45189</v>
      </c>
      <c r="AH1282" s="82" t="s">
        <v>8917</v>
      </c>
      <c r="AI1282" s="77" t="b">
        <v>0</v>
      </c>
      <c r="AJ1282" s="77"/>
      <c r="AK1282" s="77"/>
      <c r="AL1282" s="77"/>
      <c r="AM1282" s="77"/>
      <c r="AN1282" s="77"/>
      <c r="AO1282" s="77"/>
      <c r="AP1282" s="77"/>
      <c r="AQ1282" s="77"/>
      <c r="AR1282" s="77"/>
      <c r="AS1282" s="77"/>
      <c r="AT1282" s="77"/>
      <c r="AU1282" s="77"/>
      <c r="AV1282" s="80" t="str">
        <f>HYPERLINK("https://pbs.twimg.com/profile_images/1176490241278054400/s4X9C_ZZ_normal.jpg")</f>
        <v>https://pbs.twimg.com/profile_images/1176490241278054400/s4X9C_ZZ_normal.jpg</v>
      </c>
      <c r="AW1282" s="82" t="s">
        <v>12946</v>
      </c>
      <c r="AX1282" s="82" t="s">
        <v>12946</v>
      </c>
      <c r="AY1282" s="77"/>
      <c r="AZ1282" s="82" t="s">
        <v>15984</v>
      </c>
      <c r="BA1282" s="82" t="s">
        <v>15984</v>
      </c>
      <c r="BB1282" s="82" t="s">
        <v>15984</v>
      </c>
      <c r="BC1282" s="82" t="s">
        <v>12946</v>
      </c>
      <c r="BD1282" s="77">
        <v>136293095</v>
      </c>
      <c r="BE1282" s="77"/>
      <c r="BF1282" s="77"/>
      <c r="BG1282" s="77"/>
      <c r="BH1282" s="77"/>
      <c r="BI1282" s="77"/>
    </row>
    <row r="1283" spans="1:61" x14ac:dyDescent="0.25">
      <c r="A1283" s="62" t="s">
        <v>607</v>
      </c>
      <c r="B1283" s="62" t="s">
        <v>607</v>
      </c>
      <c r="C1283" s="63"/>
      <c r="D1283" s="64"/>
      <c r="E1283" s="65"/>
      <c r="F1283" s="66"/>
      <c r="G1283" s="63"/>
      <c r="H1283" s="67"/>
      <c r="I1283" s="68"/>
      <c r="J1283" s="68"/>
      <c r="K1283" s="32"/>
      <c r="L1283" s="75">
        <v>1283</v>
      </c>
      <c r="M1283" s="75"/>
      <c r="N1283" s="70"/>
      <c r="O1283" s="77" t="s">
        <v>179</v>
      </c>
      <c r="P1283" s="79">
        <v>45189.487303240741</v>
      </c>
      <c r="Q1283" s="77" t="s">
        <v>2061</v>
      </c>
      <c r="R1283" s="77">
        <v>0</v>
      </c>
      <c r="S1283" s="77">
        <v>0</v>
      </c>
      <c r="T1283" s="77">
        <v>0</v>
      </c>
      <c r="U1283" s="77">
        <v>0</v>
      </c>
      <c r="V1283" s="77">
        <v>44</v>
      </c>
      <c r="W1283" s="82" t="s">
        <v>5507</v>
      </c>
      <c r="X1283" s="80" t="str">
        <f>HYPERLINK("https://enfoque.com.br/noticias/20-09-2023/cambio-dolar-fechou-ontem-em-alta-a-espera-de-decisao-de-bc-e-fed?k=164187798")</f>
        <v>https://enfoque.com.br/noticias/20-09-2023/cambio-dolar-fechou-ontem-em-alta-a-espera-de-decisao-de-bc-e-fed?k=164187798</v>
      </c>
      <c r="Y1283" s="77" t="s">
        <v>6470</v>
      </c>
      <c r="Z1283" s="77"/>
      <c r="AA1283" s="77"/>
      <c r="AB1283" s="77"/>
      <c r="AC1283" s="82" t="s">
        <v>7750</v>
      </c>
      <c r="AD1283" s="77" t="s">
        <v>7788</v>
      </c>
      <c r="AE1283" s="80" t="str">
        <f>HYPERLINK("https://twitter.com/enfoqueif/status/1704460827661664581")</f>
        <v>https://twitter.com/enfoqueif/status/1704460827661664581</v>
      </c>
      <c r="AF1283" s="79">
        <v>45189.487303240741</v>
      </c>
      <c r="AG1283" s="85">
        <v>45189</v>
      </c>
      <c r="AH1283" s="82" t="s">
        <v>8918</v>
      </c>
      <c r="AI1283" s="77" t="b">
        <v>0</v>
      </c>
      <c r="AJ1283" s="77"/>
      <c r="AK1283" s="77"/>
      <c r="AL1283" s="77"/>
      <c r="AM1283" s="77"/>
      <c r="AN1283" s="77"/>
      <c r="AO1283" s="77"/>
      <c r="AP1283" s="77"/>
      <c r="AQ1283" s="77"/>
      <c r="AR1283" s="77"/>
      <c r="AS1283" s="77"/>
      <c r="AT1283" s="77"/>
      <c r="AU1283" s="77"/>
      <c r="AV1283" s="80" t="str">
        <f>HYPERLINK("https://pbs.twimg.com/profile_images/1176490241278054400/s4X9C_ZZ_normal.jpg")</f>
        <v>https://pbs.twimg.com/profile_images/1176490241278054400/s4X9C_ZZ_normal.jpg</v>
      </c>
      <c r="AW1283" s="82" t="s">
        <v>12947</v>
      </c>
      <c r="AX1283" s="82" t="s">
        <v>12947</v>
      </c>
      <c r="AY1283" s="77"/>
      <c r="AZ1283" s="82" t="s">
        <v>15984</v>
      </c>
      <c r="BA1283" s="82" t="s">
        <v>15984</v>
      </c>
      <c r="BB1283" s="82" t="s">
        <v>15984</v>
      </c>
      <c r="BC1283" s="82" t="s">
        <v>12947</v>
      </c>
      <c r="BD1283" s="77">
        <v>136293095</v>
      </c>
      <c r="BE1283" s="77"/>
      <c r="BF1283" s="77"/>
      <c r="BG1283" s="77"/>
      <c r="BH1283" s="77"/>
      <c r="BI1283" s="77"/>
    </row>
    <row r="1284" spans="1:61" x14ac:dyDescent="0.25">
      <c r="A1284" s="62" t="s">
        <v>607</v>
      </c>
      <c r="B1284" s="62" t="s">
        <v>607</v>
      </c>
      <c r="C1284" s="63"/>
      <c r="D1284" s="64"/>
      <c r="E1284" s="65"/>
      <c r="F1284" s="66"/>
      <c r="G1284" s="63"/>
      <c r="H1284" s="67"/>
      <c r="I1284" s="68"/>
      <c r="J1284" s="68"/>
      <c r="K1284" s="32"/>
      <c r="L1284" s="75">
        <v>1284</v>
      </c>
      <c r="M1284" s="75"/>
      <c r="N1284" s="70"/>
      <c r="O1284" s="77" t="s">
        <v>179</v>
      </c>
      <c r="P1284" s="79">
        <v>45184.522488425922</v>
      </c>
      <c r="Q1284" s="77" t="s">
        <v>2062</v>
      </c>
      <c r="R1284" s="77">
        <v>0</v>
      </c>
      <c r="S1284" s="77">
        <v>0</v>
      </c>
      <c r="T1284" s="77">
        <v>0</v>
      </c>
      <c r="U1284" s="77">
        <v>0</v>
      </c>
      <c r="V1284" s="77">
        <v>72</v>
      </c>
      <c r="W1284" s="82" t="s">
        <v>5508</v>
      </c>
      <c r="X1284" s="80" t="str">
        <f>HYPERLINK("https://enfoque.com.br/noticias/15-09-2023/pauta-do-dia-mercados-abriram-a-sexta-feira-em-alta-com-china?k=164187148")</f>
        <v>https://enfoque.com.br/noticias/15-09-2023/pauta-do-dia-mercados-abriram-a-sexta-feira-em-alta-com-china?k=164187148</v>
      </c>
      <c r="Y1284" s="77" t="s">
        <v>6470</v>
      </c>
      <c r="Z1284" s="77"/>
      <c r="AA1284" s="77"/>
      <c r="AB1284" s="77"/>
      <c r="AC1284" s="82" t="s">
        <v>7750</v>
      </c>
      <c r="AD1284" s="77" t="s">
        <v>7788</v>
      </c>
      <c r="AE1284" s="80" t="str">
        <f>HYPERLINK("https://twitter.com/enfoqueif/status/1702661639915360313")</f>
        <v>https://twitter.com/enfoqueif/status/1702661639915360313</v>
      </c>
      <c r="AF1284" s="79">
        <v>45184.522488425922</v>
      </c>
      <c r="AG1284" s="85">
        <v>45184</v>
      </c>
      <c r="AH1284" s="82" t="s">
        <v>8919</v>
      </c>
      <c r="AI1284" s="77" t="b">
        <v>0</v>
      </c>
      <c r="AJ1284" s="77"/>
      <c r="AK1284" s="77"/>
      <c r="AL1284" s="77"/>
      <c r="AM1284" s="77"/>
      <c r="AN1284" s="77"/>
      <c r="AO1284" s="77"/>
      <c r="AP1284" s="77"/>
      <c r="AQ1284" s="77"/>
      <c r="AR1284" s="77"/>
      <c r="AS1284" s="77"/>
      <c r="AT1284" s="77"/>
      <c r="AU1284" s="77"/>
      <c r="AV1284" s="80" t="str">
        <f>HYPERLINK("https://pbs.twimg.com/profile_images/1176490241278054400/s4X9C_ZZ_normal.jpg")</f>
        <v>https://pbs.twimg.com/profile_images/1176490241278054400/s4X9C_ZZ_normal.jpg</v>
      </c>
      <c r="AW1284" s="82" t="s">
        <v>12948</v>
      </c>
      <c r="AX1284" s="82" t="s">
        <v>12948</v>
      </c>
      <c r="AY1284" s="77"/>
      <c r="AZ1284" s="82" t="s">
        <v>15984</v>
      </c>
      <c r="BA1284" s="82" t="s">
        <v>15984</v>
      </c>
      <c r="BB1284" s="82" t="s">
        <v>15984</v>
      </c>
      <c r="BC1284" s="82" t="s">
        <v>12948</v>
      </c>
      <c r="BD1284" s="77">
        <v>136293095</v>
      </c>
      <c r="BE1284" s="77"/>
      <c r="BF1284" s="77"/>
      <c r="BG1284" s="77"/>
      <c r="BH1284" s="77"/>
      <c r="BI1284" s="77"/>
    </row>
    <row r="1285" spans="1:61" x14ac:dyDescent="0.25">
      <c r="A1285" s="62" t="s">
        <v>607</v>
      </c>
      <c r="B1285" s="62" t="s">
        <v>607</v>
      </c>
      <c r="C1285" s="63"/>
      <c r="D1285" s="64"/>
      <c r="E1285" s="65"/>
      <c r="F1285" s="66"/>
      <c r="G1285" s="63"/>
      <c r="H1285" s="67"/>
      <c r="I1285" s="68"/>
      <c r="J1285" s="68"/>
      <c r="K1285" s="32"/>
      <c r="L1285" s="75">
        <v>1285</v>
      </c>
      <c r="M1285" s="75"/>
      <c r="N1285" s="70"/>
      <c r="O1285" s="77" t="s">
        <v>179</v>
      </c>
      <c r="P1285" s="79">
        <v>45184.522407407407</v>
      </c>
      <c r="Q1285" s="77" t="s">
        <v>2063</v>
      </c>
      <c r="R1285" s="77">
        <v>0</v>
      </c>
      <c r="S1285" s="77">
        <v>0</v>
      </c>
      <c r="T1285" s="77">
        <v>0</v>
      </c>
      <c r="U1285" s="77">
        <v>0</v>
      </c>
      <c r="V1285" s="77">
        <v>31</v>
      </c>
      <c r="W1285" s="82" t="s">
        <v>5509</v>
      </c>
      <c r="X1285" s="80" t="str">
        <f>HYPERLINK("https://enfoque.com.br/noticias/15-09-2023/cambio-dolar-caiu-ontem-e-deve-fechar-a-semana-com-perdas?k=164187139")</f>
        <v>https://enfoque.com.br/noticias/15-09-2023/cambio-dolar-caiu-ontem-e-deve-fechar-a-semana-com-perdas?k=164187139</v>
      </c>
      <c r="Y1285" s="77" t="s">
        <v>6470</v>
      </c>
      <c r="Z1285" s="77"/>
      <c r="AA1285" s="77"/>
      <c r="AB1285" s="77"/>
      <c r="AC1285" s="82" t="s">
        <v>7750</v>
      </c>
      <c r="AD1285" s="77" t="s">
        <v>7788</v>
      </c>
      <c r="AE1285" s="80" t="str">
        <f>HYPERLINK("https://twitter.com/enfoqueif/status/1702661609619923448")</f>
        <v>https://twitter.com/enfoqueif/status/1702661609619923448</v>
      </c>
      <c r="AF1285" s="79">
        <v>45184.522407407407</v>
      </c>
      <c r="AG1285" s="85">
        <v>45184</v>
      </c>
      <c r="AH1285" s="82" t="s">
        <v>8920</v>
      </c>
      <c r="AI1285" s="77" t="b">
        <v>0</v>
      </c>
      <c r="AJ1285" s="77"/>
      <c r="AK1285" s="77"/>
      <c r="AL1285" s="77"/>
      <c r="AM1285" s="77"/>
      <c r="AN1285" s="77"/>
      <c r="AO1285" s="77"/>
      <c r="AP1285" s="77"/>
      <c r="AQ1285" s="77"/>
      <c r="AR1285" s="77"/>
      <c r="AS1285" s="77"/>
      <c r="AT1285" s="77"/>
      <c r="AU1285" s="77"/>
      <c r="AV1285" s="80" t="str">
        <f>HYPERLINK("https://pbs.twimg.com/profile_images/1176490241278054400/s4X9C_ZZ_normal.jpg")</f>
        <v>https://pbs.twimg.com/profile_images/1176490241278054400/s4X9C_ZZ_normal.jpg</v>
      </c>
      <c r="AW1285" s="82" t="s">
        <v>12949</v>
      </c>
      <c r="AX1285" s="82" t="s">
        <v>12949</v>
      </c>
      <c r="AY1285" s="77"/>
      <c r="AZ1285" s="82" t="s">
        <v>15984</v>
      </c>
      <c r="BA1285" s="82" t="s">
        <v>15984</v>
      </c>
      <c r="BB1285" s="82" t="s">
        <v>15984</v>
      </c>
      <c r="BC1285" s="82" t="s">
        <v>12949</v>
      </c>
      <c r="BD1285" s="77">
        <v>136293095</v>
      </c>
      <c r="BE1285" s="77"/>
      <c r="BF1285" s="77"/>
      <c r="BG1285" s="77"/>
      <c r="BH1285" s="77"/>
      <c r="BI1285" s="77"/>
    </row>
    <row r="1286" spans="1:61" x14ac:dyDescent="0.25">
      <c r="A1286" s="62" t="s">
        <v>607</v>
      </c>
      <c r="B1286" s="62" t="s">
        <v>607</v>
      </c>
      <c r="C1286" s="63"/>
      <c r="D1286" s="64"/>
      <c r="E1286" s="65"/>
      <c r="F1286" s="66"/>
      <c r="G1286" s="63"/>
      <c r="H1286" s="67"/>
      <c r="I1286" s="68"/>
      <c r="J1286" s="68"/>
      <c r="K1286" s="32"/>
      <c r="L1286" s="75">
        <v>1286</v>
      </c>
      <c r="M1286" s="75"/>
      <c r="N1286" s="70"/>
      <c r="O1286" s="77" t="s">
        <v>179</v>
      </c>
      <c r="P1286" s="79">
        <v>45163.498379629629</v>
      </c>
      <c r="Q1286" s="77" t="s">
        <v>2064</v>
      </c>
      <c r="R1286" s="77">
        <v>0</v>
      </c>
      <c r="S1286" s="77">
        <v>0</v>
      </c>
      <c r="T1286" s="77">
        <v>0</v>
      </c>
      <c r="U1286" s="77">
        <v>0</v>
      </c>
      <c r="V1286" s="77">
        <v>94</v>
      </c>
      <c r="W1286" s="82" t="s">
        <v>5510</v>
      </c>
      <c r="X1286" s="80" t="str">
        <f>HYPERLINK("https://enfoque.com.br/noticias/25-08-2023/pauta-do-dia-mercados-operam-sem-direcao-unica-com-fed-no-radar?k=164183741")</f>
        <v>https://enfoque.com.br/noticias/25-08-2023/pauta-do-dia-mercados-operam-sem-direcao-unica-com-fed-no-radar?k=164183741</v>
      </c>
      <c r="Y1286" s="77" t="s">
        <v>6470</v>
      </c>
      <c r="Z1286" s="77"/>
      <c r="AA1286" s="77"/>
      <c r="AB1286" s="77"/>
      <c r="AC1286" s="82" t="s">
        <v>7750</v>
      </c>
      <c r="AD1286" s="77" t="s">
        <v>7788</v>
      </c>
      <c r="AE1286" s="80" t="str">
        <f>HYPERLINK("https://twitter.com/enfoqueif/status/1695042759709651443")</f>
        <v>https://twitter.com/enfoqueif/status/1695042759709651443</v>
      </c>
      <c r="AF1286" s="79">
        <v>45163.498379629629</v>
      </c>
      <c r="AG1286" s="85">
        <v>45163</v>
      </c>
      <c r="AH1286" s="82" t="s">
        <v>8921</v>
      </c>
      <c r="AI1286" s="77" t="b">
        <v>0</v>
      </c>
      <c r="AJ1286" s="77"/>
      <c r="AK1286" s="77"/>
      <c r="AL1286" s="77"/>
      <c r="AM1286" s="77"/>
      <c r="AN1286" s="77"/>
      <c r="AO1286" s="77"/>
      <c r="AP1286" s="77"/>
      <c r="AQ1286" s="77"/>
      <c r="AR1286" s="77"/>
      <c r="AS1286" s="77"/>
      <c r="AT1286" s="77"/>
      <c r="AU1286" s="77"/>
      <c r="AV1286" s="80" t="str">
        <f>HYPERLINK("https://pbs.twimg.com/profile_images/1176490241278054400/s4X9C_ZZ_normal.jpg")</f>
        <v>https://pbs.twimg.com/profile_images/1176490241278054400/s4X9C_ZZ_normal.jpg</v>
      </c>
      <c r="AW1286" s="82" t="s">
        <v>12950</v>
      </c>
      <c r="AX1286" s="82" t="s">
        <v>12950</v>
      </c>
      <c r="AY1286" s="77"/>
      <c r="AZ1286" s="82" t="s">
        <v>15984</v>
      </c>
      <c r="BA1286" s="82" t="s">
        <v>15984</v>
      </c>
      <c r="BB1286" s="82" t="s">
        <v>15984</v>
      </c>
      <c r="BC1286" s="82" t="s">
        <v>12950</v>
      </c>
      <c r="BD1286" s="77">
        <v>136293095</v>
      </c>
      <c r="BE1286" s="77"/>
      <c r="BF1286" s="77"/>
      <c r="BG1286" s="77"/>
      <c r="BH1286" s="77"/>
      <c r="BI1286" s="77"/>
    </row>
    <row r="1287" spans="1:61" x14ac:dyDescent="0.25">
      <c r="A1287" s="62" t="s">
        <v>607</v>
      </c>
      <c r="B1287" s="62" t="s">
        <v>607</v>
      </c>
      <c r="C1287" s="63"/>
      <c r="D1287" s="64"/>
      <c r="E1287" s="65"/>
      <c r="F1287" s="66"/>
      <c r="G1287" s="63"/>
      <c r="H1287" s="67"/>
      <c r="I1287" s="68"/>
      <c r="J1287" s="68"/>
      <c r="K1287" s="32"/>
      <c r="L1287" s="75">
        <v>1287</v>
      </c>
      <c r="M1287" s="75"/>
      <c r="N1287" s="70"/>
      <c r="O1287" s="77" t="s">
        <v>179</v>
      </c>
      <c r="P1287" s="79">
        <v>45163.494629629633</v>
      </c>
      <c r="Q1287" s="77" t="s">
        <v>2065</v>
      </c>
      <c r="R1287" s="77">
        <v>0</v>
      </c>
      <c r="S1287" s="77">
        <v>0</v>
      </c>
      <c r="T1287" s="77">
        <v>0</v>
      </c>
      <c r="U1287" s="77">
        <v>0</v>
      </c>
      <c r="V1287" s="77">
        <v>160</v>
      </c>
      <c r="W1287" s="82" t="s">
        <v>5511</v>
      </c>
      <c r="X1287" s="80" t="str">
        <f>HYPERLINK("https://enfoque.com.br/noticias/25-08-2023/cambio-dolar-subiu-e-fechou-a-quinta-feira-a-r-4880-com-exterior?k=164183734")</f>
        <v>https://enfoque.com.br/noticias/25-08-2023/cambio-dolar-subiu-e-fechou-a-quinta-feira-a-r-4880-com-exterior?k=164183734</v>
      </c>
      <c r="Y1287" s="77" t="s">
        <v>6470</v>
      </c>
      <c r="Z1287" s="77"/>
      <c r="AA1287" s="77"/>
      <c r="AB1287" s="77"/>
      <c r="AC1287" s="82" t="s">
        <v>7750</v>
      </c>
      <c r="AD1287" s="77" t="s">
        <v>7788</v>
      </c>
      <c r="AE1287" s="80" t="str">
        <f>HYPERLINK("https://twitter.com/enfoqueif/status/1695041398066852182")</f>
        <v>https://twitter.com/enfoqueif/status/1695041398066852182</v>
      </c>
      <c r="AF1287" s="79">
        <v>45163.494629629633</v>
      </c>
      <c r="AG1287" s="85">
        <v>45163</v>
      </c>
      <c r="AH1287" s="82" t="s">
        <v>8922</v>
      </c>
      <c r="AI1287" s="77" t="b">
        <v>0</v>
      </c>
      <c r="AJ1287" s="77"/>
      <c r="AK1287" s="77"/>
      <c r="AL1287" s="77"/>
      <c r="AM1287" s="77"/>
      <c r="AN1287" s="77"/>
      <c r="AO1287" s="77"/>
      <c r="AP1287" s="77"/>
      <c r="AQ1287" s="77"/>
      <c r="AR1287" s="77"/>
      <c r="AS1287" s="77"/>
      <c r="AT1287" s="77"/>
      <c r="AU1287" s="77"/>
      <c r="AV1287" s="80" t="str">
        <f>HYPERLINK("https://pbs.twimg.com/profile_images/1176490241278054400/s4X9C_ZZ_normal.jpg")</f>
        <v>https://pbs.twimg.com/profile_images/1176490241278054400/s4X9C_ZZ_normal.jpg</v>
      </c>
      <c r="AW1287" s="82" t="s">
        <v>12951</v>
      </c>
      <c r="AX1287" s="82" t="s">
        <v>12951</v>
      </c>
      <c r="AY1287" s="77"/>
      <c r="AZ1287" s="82" t="s">
        <v>15984</v>
      </c>
      <c r="BA1287" s="82" t="s">
        <v>15984</v>
      </c>
      <c r="BB1287" s="82" t="s">
        <v>15984</v>
      </c>
      <c r="BC1287" s="82" t="s">
        <v>12951</v>
      </c>
      <c r="BD1287" s="77">
        <v>136293095</v>
      </c>
      <c r="BE1287" s="77"/>
      <c r="BF1287" s="77"/>
      <c r="BG1287" s="77"/>
      <c r="BH1287" s="77"/>
      <c r="BI1287" s="77"/>
    </row>
    <row r="1288" spans="1:61" x14ac:dyDescent="0.25">
      <c r="A1288" s="62" t="s">
        <v>607</v>
      </c>
      <c r="B1288" s="62" t="s">
        <v>607</v>
      </c>
      <c r="C1288" s="63"/>
      <c r="D1288" s="64"/>
      <c r="E1288" s="65"/>
      <c r="F1288" s="66"/>
      <c r="G1288" s="63"/>
      <c r="H1288" s="67"/>
      <c r="I1288" s="68"/>
      <c r="J1288" s="68"/>
      <c r="K1288" s="32"/>
      <c r="L1288" s="75">
        <v>1288</v>
      </c>
      <c r="M1288" s="75"/>
      <c r="N1288" s="70"/>
      <c r="O1288" s="77" t="s">
        <v>179</v>
      </c>
      <c r="P1288" s="79">
        <v>45118.508090277777</v>
      </c>
      <c r="Q1288" s="77" t="s">
        <v>2066</v>
      </c>
      <c r="R1288" s="77">
        <v>0</v>
      </c>
      <c r="S1288" s="77">
        <v>0</v>
      </c>
      <c r="T1288" s="77">
        <v>0</v>
      </c>
      <c r="U1288" s="77">
        <v>0</v>
      </c>
      <c r="V1288" s="77">
        <v>38</v>
      </c>
      <c r="W1288" s="82" t="s">
        <v>5512</v>
      </c>
      <c r="X1288" s="80" t="str">
        <f>HYPERLINK("https://enfoque.com.br/noticias/11-07-2023/pauta-do-dia-bolsas-globais-operam-em-queda-nesta-manha?k=164175389")</f>
        <v>https://enfoque.com.br/noticias/11-07-2023/pauta-do-dia-bolsas-globais-operam-em-queda-nesta-manha?k=164175389</v>
      </c>
      <c r="Y1288" s="77" t="s">
        <v>6470</v>
      </c>
      <c r="Z1288" s="77"/>
      <c r="AA1288" s="77"/>
      <c r="AB1288" s="77"/>
      <c r="AC1288" s="82" t="s">
        <v>7750</v>
      </c>
      <c r="AD1288" s="77" t="s">
        <v>7788</v>
      </c>
      <c r="AE1288" s="80" t="str">
        <f>HYPERLINK("https://twitter.com/enfoqueif/status/1678738824648708098")</f>
        <v>https://twitter.com/enfoqueif/status/1678738824648708098</v>
      </c>
      <c r="AF1288" s="79">
        <v>45118.508090277777</v>
      </c>
      <c r="AG1288" s="85">
        <v>45118</v>
      </c>
      <c r="AH1288" s="82" t="s">
        <v>8923</v>
      </c>
      <c r="AI1288" s="77" t="b">
        <v>0</v>
      </c>
      <c r="AJ1288" s="77"/>
      <c r="AK1288" s="77"/>
      <c r="AL1288" s="77"/>
      <c r="AM1288" s="77"/>
      <c r="AN1288" s="77"/>
      <c r="AO1288" s="77"/>
      <c r="AP1288" s="77"/>
      <c r="AQ1288" s="77"/>
      <c r="AR1288" s="77"/>
      <c r="AS1288" s="77"/>
      <c r="AT1288" s="77"/>
      <c r="AU1288" s="77"/>
      <c r="AV1288" s="80" t="str">
        <f>HYPERLINK("https://pbs.twimg.com/profile_images/1176490241278054400/s4X9C_ZZ_normal.jpg")</f>
        <v>https://pbs.twimg.com/profile_images/1176490241278054400/s4X9C_ZZ_normal.jpg</v>
      </c>
      <c r="AW1288" s="82" t="s">
        <v>12952</v>
      </c>
      <c r="AX1288" s="82" t="s">
        <v>12952</v>
      </c>
      <c r="AY1288" s="77"/>
      <c r="AZ1288" s="82" t="s">
        <v>15984</v>
      </c>
      <c r="BA1288" s="82" t="s">
        <v>15984</v>
      </c>
      <c r="BB1288" s="82" t="s">
        <v>15984</v>
      </c>
      <c r="BC1288" s="82" t="s">
        <v>12952</v>
      </c>
      <c r="BD1288" s="77">
        <v>136293095</v>
      </c>
      <c r="BE1288" s="77"/>
      <c r="BF1288" s="77"/>
      <c r="BG1288" s="77"/>
      <c r="BH1288" s="77"/>
      <c r="BI1288" s="77"/>
    </row>
    <row r="1289" spans="1:61" x14ac:dyDescent="0.25">
      <c r="A1289" s="62" t="s">
        <v>607</v>
      </c>
      <c r="B1289" s="62" t="s">
        <v>607</v>
      </c>
      <c r="C1289" s="63"/>
      <c r="D1289" s="64"/>
      <c r="E1289" s="65"/>
      <c r="F1289" s="66"/>
      <c r="G1289" s="63"/>
      <c r="H1289" s="67"/>
      <c r="I1289" s="68"/>
      <c r="J1289" s="68"/>
      <c r="K1289" s="32"/>
      <c r="L1289" s="75">
        <v>1289</v>
      </c>
      <c r="M1289" s="75"/>
      <c r="N1289" s="70"/>
      <c r="O1289" s="77" t="s">
        <v>179</v>
      </c>
      <c r="P1289" s="79">
        <v>45118.488263888888</v>
      </c>
      <c r="Q1289" s="77" t="s">
        <v>2067</v>
      </c>
      <c r="R1289" s="77">
        <v>0</v>
      </c>
      <c r="S1289" s="77">
        <v>0</v>
      </c>
      <c r="T1289" s="77">
        <v>0</v>
      </c>
      <c r="U1289" s="77">
        <v>0</v>
      </c>
      <c r="V1289" s="77">
        <v>58</v>
      </c>
      <c r="W1289" s="82" t="s">
        <v>5513</v>
      </c>
      <c r="X1289" s="80" t="str">
        <f>HYPERLINK("https://enfoque.com.br/noticias/11-07-2023/cambio-dolar-devera-abrir-em-baixa-com-ipca-no-radar?k=164175347")</f>
        <v>https://enfoque.com.br/noticias/11-07-2023/cambio-dolar-devera-abrir-em-baixa-com-ipca-no-radar?k=164175347</v>
      </c>
      <c r="Y1289" s="77" t="s">
        <v>6470</v>
      </c>
      <c r="Z1289" s="77"/>
      <c r="AA1289" s="77"/>
      <c r="AB1289" s="77"/>
      <c r="AC1289" s="82" t="s">
        <v>7750</v>
      </c>
      <c r="AD1289" s="77" t="s">
        <v>7788</v>
      </c>
      <c r="AE1289" s="80" t="str">
        <f>HYPERLINK("https://twitter.com/enfoqueif/status/1678731636307812353")</f>
        <v>https://twitter.com/enfoqueif/status/1678731636307812353</v>
      </c>
      <c r="AF1289" s="79">
        <v>45118.488263888888</v>
      </c>
      <c r="AG1289" s="85">
        <v>45118</v>
      </c>
      <c r="AH1289" s="82" t="s">
        <v>8924</v>
      </c>
      <c r="AI1289" s="77" t="b">
        <v>0</v>
      </c>
      <c r="AJ1289" s="77"/>
      <c r="AK1289" s="77"/>
      <c r="AL1289" s="77"/>
      <c r="AM1289" s="77"/>
      <c r="AN1289" s="77"/>
      <c r="AO1289" s="77"/>
      <c r="AP1289" s="77"/>
      <c r="AQ1289" s="77"/>
      <c r="AR1289" s="77"/>
      <c r="AS1289" s="77"/>
      <c r="AT1289" s="77"/>
      <c r="AU1289" s="77"/>
      <c r="AV1289" s="80" t="str">
        <f>HYPERLINK("https://pbs.twimg.com/profile_images/1176490241278054400/s4X9C_ZZ_normal.jpg")</f>
        <v>https://pbs.twimg.com/profile_images/1176490241278054400/s4X9C_ZZ_normal.jpg</v>
      </c>
      <c r="AW1289" s="82" t="s">
        <v>12953</v>
      </c>
      <c r="AX1289" s="82" t="s">
        <v>12953</v>
      </c>
      <c r="AY1289" s="77"/>
      <c r="AZ1289" s="82" t="s">
        <v>15984</v>
      </c>
      <c r="BA1289" s="82" t="s">
        <v>15984</v>
      </c>
      <c r="BB1289" s="82" t="s">
        <v>15984</v>
      </c>
      <c r="BC1289" s="82" t="s">
        <v>12953</v>
      </c>
      <c r="BD1289" s="77">
        <v>136293095</v>
      </c>
      <c r="BE1289" s="77"/>
      <c r="BF1289" s="77"/>
      <c r="BG1289" s="77"/>
      <c r="BH1289" s="77"/>
      <c r="BI1289" s="77"/>
    </row>
    <row r="1290" spans="1:61" x14ac:dyDescent="0.25">
      <c r="A1290" s="62" t="s">
        <v>607</v>
      </c>
      <c r="B1290" s="62" t="s">
        <v>607</v>
      </c>
      <c r="C1290" s="63"/>
      <c r="D1290" s="64"/>
      <c r="E1290" s="65"/>
      <c r="F1290" s="66"/>
      <c r="G1290" s="63"/>
      <c r="H1290" s="67"/>
      <c r="I1290" s="68"/>
      <c r="J1290" s="68"/>
      <c r="K1290" s="32"/>
      <c r="L1290" s="75">
        <v>1290</v>
      </c>
      <c r="M1290" s="75"/>
      <c r="N1290" s="70"/>
      <c r="O1290" s="77" t="s">
        <v>179</v>
      </c>
      <c r="P1290" s="79">
        <v>45188.499155092592</v>
      </c>
      <c r="Q1290" s="77" t="s">
        <v>2068</v>
      </c>
      <c r="R1290" s="77">
        <v>0</v>
      </c>
      <c r="S1290" s="77">
        <v>0</v>
      </c>
      <c r="T1290" s="77">
        <v>0</v>
      </c>
      <c r="U1290" s="77">
        <v>0</v>
      </c>
      <c r="V1290" s="77">
        <v>30</v>
      </c>
      <c r="W1290" s="82" t="s">
        <v>5514</v>
      </c>
      <c r="X1290" s="80" t="str">
        <f>HYPERLINK("https://enfoque.com.br/noticias/19-09-2023/cambio-dolar-comecou-semana-em-baixa-e-fechou-a-r-4856?k=164187594")</f>
        <v>https://enfoque.com.br/noticias/19-09-2023/cambio-dolar-comecou-semana-em-baixa-e-fechou-a-r-4856?k=164187594</v>
      </c>
      <c r="Y1290" s="77" t="s">
        <v>6470</v>
      </c>
      <c r="Z1290" s="77"/>
      <c r="AA1290" s="77"/>
      <c r="AB1290" s="77"/>
      <c r="AC1290" s="82" t="s">
        <v>7750</v>
      </c>
      <c r="AD1290" s="77" t="s">
        <v>7788</v>
      </c>
      <c r="AE1290" s="80" t="str">
        <f>HYPERLINK("https://twitter.com/enfoqueif/status/1704102733446348899")</f>
        <v>https://twitter.com/enfoqueif/status/1704102733446348899</v>
      </c>
      <c r="AF1290" s="79">
        <v>45188.499155092592</v>
      </c>
      <c r="AG1290" s="85">
        <v>45188</v>
      </c>
      <c r="AH1290" s="82" t="s">
        <v>8925</v>
      </c>
      <c r="AI1290" s="77" t="b">
        <v>0</v>
      </c>
      <c r="AJ1290" s="77"/>
      <c r="AK1290" s="77"/>
      <c r="AL1290" s="77"/>
      <c r="AM1290" s="77"/>
      <c r="AN1290" s="77"/>
      <c r="AO1290" s="77"/>
      <c r="AP1290" s="77"/>
      <c r="AQ1290" s="77"/>
      <c r="AR1290" s="77"/>
      <c r="AS1290" s="77"/>
      <c r="AT1290" s="77"/>
      <c r="AU1290" s="77"/>
      <c r="AV1290" s="80" t="str">
        <f>HYPERLINK("https://pbs.twimg.com/profile_images/1176490241278054400/s4X9C_ZZ_normal.jpg")</f>
        <v>https://pbs.twimg.com/profile_images/1176490241278054400/s4X9C_ZZ_normal.jpg</v>
      </c>
      <c r="AW1290" s="82" t="s">
        <v>12954</v>
      </c>
      <c r="AX1290" s="82" t="s">
        <v>12954</v>
      </c>
      <c r="AY1290" s="77"/>
      <c r="AZ1290" s="82" t="s">
        <v>15984</v>
      </c>
      <c r="BA1290" s="82" t="s">
        <v>15984</v>
      </c>
      <c r="BB1290" s="82" t="s">
        <v>15984</v>
      </c>
      <c r="BC1290" s="82" t="s">
        <v>12954</v>
      </c>
      <c r="BD1290" s="77">
        <v>136293095</v>
      </c>
      <c r="BE1290" s="77"/>
      <c r="BF1290" s="77"/>
      <c r="BG1290" s="77"/>
      <c r="BH1290" s="77"/>
      <c r="BI1290" s="77"/>
    </row>
    <row r="1291" spans="1:61" x14ac:dyDescent="0.25">
      <c r="A1291" s="62" t="s">
        <v>607</v>
      </c>
      <c r="B1291" s="62" t="s">
        <v>607</v>
      </c>
      <c r="C1291" s="63"/>
      <c r="D1291" s="64"/>
      <c r="E1291" s="65"/>
      <c r="F1291" s="66"/>
      <c r="G1291" s="63"/>
      <c r="H1291" s="67"/>
      <c r="I1291" s="68"/>
      <c r="J1291" s="68"/>
      <c r="K1291" s="32"/>
      <c r="L1291" s="75">
        <v>1291</v>
      </c>
      <c r="M1291" s="75"/>
      <c r="N1291" s="70"/>
      <c r="O1291" s="77" t="s">
        <v>179</v>
      </c>
      <c r="P1291" s="79">
        <v>45139.532939814817</v>
      </c>
      <c r="Q1291" s="77" t="s">
        <v>2069</v>
      </c>
      <c r="R1291" s="77">
        <v>0</v>
      </c>
      <c r="S1291" s="77">
        <v>0</v>
      </c>
      <c r="T1291" s="77">
        <v>0</v>
      </c>
      <c r="U1291" s="77">
        <v>0</v>
      </c>
      <c r="V1291" s="77">
        <v>63</v>
      </c>
      <c r="W1291" s="82" t="s">
        <v>5515</v>
      </c>
      <c r="X1291" s="80" t="str">
        <f>HYPERLINK("https://enfoque.com.br/noticias/01-08-2023/cambio-dolar-fechou-ultima-sessao-de-julho-em-alta-mas-perdeu-no-mes?k=164179510")</f>
        <v>https://enfoque.com.br/noticias/01-08-2023/cambio-dolar-fechou-ultima-sessao-de-julho-em-alta-mas-perdeu-no-mes?k=164179510</v>
      </c>
      <c r="Y1291" s="77" t="s">
        <v>6470</v>
      </c>
      <c r="Z1291" s="77"/>
      <c r="AA1291" s="77"/>
      <c r="AB1291" s="77"/>
      <c r="AC1291" s="82" t="s">
        <v>7750</v>
      </c>
      <c r="AD1291" s="77" t="s">
        <v>7788</v>
      </c>
      <c r="AE1291" s="80" t="str">
        <f>HYPERLINK("https://twitter.com/enfoqueif/status/1686357972530929665")</f>
        <v>https://twitter.com/enfoqueif/status/1686357972530929665</v>
      </c>
      <c r="AF1291" s="79">
        <v>45139.532939814817</v>
      </c>
      <c r="AG1291" s="85">
        <v>45139</v>
      </c>
      <c r="AH1291" s="82" t="s">
        <v>8926</v>
      </c>
      <c r="AI1291" s="77" t="b">
        <v>0</v>
      </c>
      <c r="AJ1291" s="77"/>
      <c r="AK1291" s="77"/>
      <c r="AL1291" s="77"/>
      <c r="AM1291" s="77"/>
      <c r="AN1291" s="77"/>
      <c r="AO1291" s="77"/>
      <c r="AP1291" s="77"/>
      <c r="AQ1291" s="77"/>
      <c r="AR1291" s="77"/>
      <c r="AS1291" s="77"/>
      <c r="AT1291" s="77"/>
      <c r="AU1291" s="77"/>
      <c r="AV1291" s="80" t="str">
        <f>HYPERLINK("https://pbs.twimg.com/profile_images/1176490241278054400/s4X9C_ZZ_normal.jpg")</f>
        <v>https://pbs.twimg.com/profile_images/1176490241278054400/s4X9C_ZZ_normal.jpg</v>
      </c>
      <c r="AW1291" s="82" t="s">
        <v>12955</v>
      </c>
      <c r="AX1291" s="82" t="s">
        <v>12955</v>
      </c>
      <c r="AY1291" s="77"/>
      <c r="AZ1291" s="82" t="s">
        <v>15984</v>
      </c>
      <c r="BA1291" s="82" t="s">
        <v>15984</v>
      </c>
      <c r="BB1291" s="82" t="s">
        <v>15984</v>
      </c>
      <c r="BC1291" s="82" t="s">
        <v>12955</v>
      </c>
      <c r="BD1291" s="77">
        <v>136293095</v>
      </c>
      <c r="BE1291" s="77"/>
      <c r="BF1291" s="77"/>
      <c r="BG1291" s="77"/>
      <c r="BH1291" s="77"/>
      <c r="BI1291" s="77"/>
    </row>
    <row r="1292" spans="1:61" x14ac:dyDescent="0.25">
      <c r="A1292" s="62" t="s">
        <v>607</v>
      </c>
      <c r="B1292" s="62" t="s">
        <v>607</v>
      </c>
      <c r="C1292" s="63"/>
      <c r="D1292" s="64"/>
      <c r="E1292" s="65"/>
      <c r="F1292" s="66"/>
      <c r="G1292" s="63"/>
      <c r="H1292" s="67"/>
      <c r="I1292" s="68"/>
      <c r="J1292" s="68"/>
      <c r="K1292" s="32"/>
      <c r="L1292" s="75">
        <v>1292</v>
      </c>
      <c r="M1292" s="75"/>
      <c r="N1292" s="70"/>
      <c r="O1292" s="77" t="s">
        <v>179</v>
      </c>
      <c r="P1292" s="79">
        <v>45194.515393518515</v>
      </c>
      <c r="Q1292" s="77" t="s">
        <v>2070</v>
      </c>
      <c r="R1292" s="77">
        <v>0</v>
      </c>
      <c r="S1292" s="77">
        <v>0</v>
      </c>
      <c r="T1292" s="77">
        <v>0</v>
      </c>
      <c r="U1292" s="77">
        <v>0</v>
      </c>
      <c r="V1292" s="77">
        <v>32</v>
      </c>
      <c r="W1292" s="82" t="s">
        <v>5516</v>
      </c>
      <c r="X1292" s="80" t="str">
        <f>HYPERLINK("https://enfoque.com.br/noticias/25-09-2023/pauta-do-dia-mercados-globais-iniciam-a-semana-sem-forca?k=164188652")</f>
        <v>https://enfoque.com.br/noticias/25-09-2023/pauta-do-dia-mercados-globais-iniciam-a-semana-sem-forca?k=164188652</v>
      </c>
      <c r="Y1292" s="77" t="s">
        <v>6470</v>
      </c>
      <c r="Z1292" s="77"/>
      <c r="AA1292" s="77"/>
      <c r="AB1292" s="77"/>
      <c r="AC1292" s="82" t="s">
        <v>7750</v>
      </c>
      <c r="AD1292" s="77" t="s">
        <v>7788</v>
      </c>
      <c r="AE1292" s="80" t="str">
        <f>HYPERLINK("https://twitter.com/enfoqueif/status/1706282946661863778")</f>
        <v>https://twitter.com/enfoqueif/status/1706282946661863778</v>
      </c>
      <c r="AF1292" s="79">
        <v>45194.515393518515</v>
      </c>
      <c r="AG1292" s="85">
        <v>45194</v>
      </c>
      <c r="AH1292" s="82" t="s">
        <v>8927</v>
      </c>
      <c r="AI1292" s="77" t="b">
        <v>0</v>
      </c>
      <c r="AJ1292" s="77"/>
      <c r="AK1292" s="77"/>
      <c r="AL1292" s="77"/>
      <c r="AM1292" s="77"/>
      <c r="AN1292" s="77"/>
      <c r="AO1292" s="77"/>
      <c r="AP1292" s="77"/>
      <c r="AQ1292" s="77"/>
      <c r="AR1292" s="77"/>
      <c r="AS1292" s="77"/>
      <c r="AT1292" s="77"/>
      <c r="AU1292" s="77"/>
      <c r="AV1292" s="80" t="str">
        <f>HYPERLINK("https://pbs.twimg.com/profile_images/1176490241278054400/s4X9C_ZZ_normal.jpg")</f>
        <v>https://pbs.twimg.com/profile_images/1176490241278054400/s4X9C_ZZ_normal.jpg</v>
      </c>
      <c r="AW1292" s="82" t="s">
        <v>12956</v>
      </c>
      <c r="AX1292" s="82" t="s">
        <v>12956</v>
      </c>
      <c r="AY1292" s="77"/>
      <c r="AZ1292" s="82" t="s">
        <v>15984</v>
      </c>
      <c r="BA1292" s="82" t="s">
        <v>15984</v>
      </c>
      <c r="BB1292" s="82" t="s">
        <v>15984</v>
      </c>
      <c r="BC1292" s="82" t="s">
        <v>12956</v>
      </c>
      <c r="BD1292" s="77">
        <v>136293095</v>
      </c>
      <c r="BE1292" s="77"/>
      <c r="BF1292" s="77"/>
      <c r="BG1292" s="77"/>
      <c r="BH1292" s="77"/>
      <c r="BI1292" s="77"/>
    </row>
    <row r="1293" spans="1:61" x14ac:dyDescent="0.25">
      <c r="A1293" s="62" t="s">
        <v>607</v>
      </c>
      <c r="B1293" s="62" t="s">
        <v>607</v>
      </c>
      <c r="C1293" s="63"/>
      <c r="D1293" s="64"/>
      <c r="E1293" s="65"/>
      <c r="F1293" s="66"/>
      <c r="G1293" s="63"/>
      <c r="H1293" s="67"/>
      <c r="I1293" s="68"/>
      <c r="J1293" s="68"/>
      <c r="K1293" s="32"/>
      <c r="L1293" s="75">
        <v>1293</v>
      </c>
      <c r="M1293" s="75"/>
      <c r="N1293" s="70"/>
      <c r="O1293" s="77" t="s">
        <v>179</v>
      </c>
      <c r="P1293" s="79">
        <v>45194.514861111114</v>
      </c>
      <c r="Q1293" s="77" t="s">
        <v>2071</v>
      </c>
      <c r="R1293" s="77">
        <v>0</v>
      </c>
      <c r="S1293" s="77">
        <v>0</v>
      </c>
      <c r="T1293" s="77">
        <v>0</v>
      </c>
      <c r="U1293" s="77">
        <v>0</v>
      </c>
      <c r="V1293" s="77">
        <v>18</v>
      </c>
      <c r="W1293" s="82" t="s">
        <v>5517</v>
      </c>
      <c r="X1293" s="80" t="str">
        <f>HYPERLINK("https://enfoque.com.br/noticias/25-09-2023/cambio-dolar-fechou-a-sexta-com-leve-baixa-mas-ganhou-na-semana?k=164188566")</f>
        <v>https://enfoque.com.br/noticias/25-09-2023/cambio-dolar-fechou-a-sexta-com-leve-baixa-mas-ganhou-na-semana?k=164188566</v>
      </c>
      <c r="Y1293" s="77" t="s">
        <v>6470</v>
      </c>
      <c r="Z1293" s="77"/>
      <c r="AA1293" s="77"/>
      <c r="AB1293" s="77"/>
      <c r="AC1293" s="82" t="s">
        <v>7750</v>
      </c>
      <c r="AD1293" s="77" t="s">
        <v>7788</v>
      </c>
      <c r="AE1293" s="80" t="str">
        <f>HYPERLINK("https://twitter.com/enfoqueif/status/1706282756014023082")</f>
        <v>https://twitter.com/enfoqueif/status/1706282756014023082</v>
      </c>
      <c r="AF1293" s="79">
        <v>45194.514861111114</v>
      </c>
      <c r="AG1293" s="85">
        <v>45194</v>
      </c>
      <c r="AH1293" s="82" t="s">
        <v>8928</v>
      </c>
      <c r="AI1293" s="77" t="b">
        <v>0</v>
      </c>
      <c r="AJ1293" s="77"/>
      <c r="AK1293" s="77"/>
      <c r="AL1293" s="77"/>
      <c r="AM1293" s="77"/>
      <c r="AN1293" s="77"/>
      <c r="AO1293" s="77"/>
      <c r="AP1293" s="77"/>
      <c r="AQ1293" s="77"/>
      <c r="AR1293" s="77"/>
      <c r="AS1293" s="77"/>
      <c r="AT1293" s="77"/>
      <c r="AU1293" s="77"/>
      <c r="AV1293" s="80" t="str">
        <f>HYPERLINK("https://pbs.twimg.com/profile_images/1176490241278054400/s4X9C_ZZ_normal.jpg")</f>
        <v>https://pbs.twimg.com/profile_images/1176490241278054400/s4X9C_ZZ_normal.jpg</v>
      </c>
      <c r="AW1293" s="82" t="s">
        <v>12957</v>
      </c>
      <c r="AX1293" s="82" t="s">
        <v>12957</v>
      </c>
      <c r="AY1293" s="77"/>
      <c r="AZ1293" s="82" t="s">
        <v>15984</v>
      </c>
      <c r="BA1293" s="82" t="s">
        <v>15984</v>
      </c>
      <c r="BB1293" s="82" t="s">
        <v>15984</v>
      </c>
      <c r="BC1293" s="82" t="s">
        <v>12957</v>
      </c>
      <c r="BD1293" s="77">
        <v>136293095</v>
      </c>
      <c r="BE1293" s="77"/>
      <c r="BF1293" s="77"/>
      <c r="BG1293" s="77"/>
      <c r="BH1293" s="77"/>
      <c r="BI1293" s="77"/>
    </row>
    <row r="1294" spans="1:61" x14ac:dyDescent="0.25">
      <c r="A1294" s="62" t="s">
        <v>607</v>
      </c>
      <c r="B1294" s="62" t="s">
        <v>607</v>
      </c>
      <c r="C1294" s="63"/>
      <c r="D1294" s="64"/>
      <c r="E1294" s="65"/>
      <c r="F1294" s="66"/>
      <c r="G1294" s="63"/>
      <c r="H1294" s="67"/>
      <c r="I1294" s="68"/>
      <c r="J1294" s="68"/>
      <c r="K1294" s="32"/>
      <c r="L1294" s="75">
        <v>1294</v>
      </c>
      <c r="M1294" s="75"/>
      <c r="N1294" s="70"/>
      <c r="O1294" s="77" t="s">
        <v>179</v>
      </c>
      <c r="P1294" s="79">
        <v>45191.577638888892</v>
      </c>
      <c r="Q1294" s="77" t="s">
        <v>2072</v>
      </c>
      <c r="R1294" s="77">
        <v>0</v>
      </c>
      <c r="S1294" s="77">
        <v>0</v>
      </c>
      <c r="T1294" s="77">
        <v>0</v>
      </c>
      <c r="U1294" s="77">
        <v>0</v>
      </c>
      <c r="V1294" s="77">
        <v>36</v>
      </c>
      <c r="W1294" s="82" t="s">
        <v>5518</v>
      </c>
      <c r="X1294" s="80" t="str">
        <f>HYPERLINK("https://enfoque.com.br/noticias/22-09-2023/pauta-do-dia-mercados-operam-sem-direcao-unica-nesta-sexta-feira?k=164188354")</f>
        <v>https://enfoque.com.br/noticias/22-09-2023/pauta-do-dia-mercados-operam-sem-direcao-unica-nesta-sexta-feira?k=164188354</v>
      </c>
      <c r="Y1294" s="77" t="s">
        <v>6470</v>
      </c>
      <c r="Z1294" s="77"/>
      <c r="AA1294" s="77"/>
      <c r="AB1294" s="77"/>
      <c r="AC1294" s="82" t="s">
        <v>7750</v>
      </c>
      <c r="AD1294" s="77" t="s">
        <v>7788</v>
      </c>
      <c r="AE1294" s="80" t="str">
        <f>HYPERLINK("https://twitter.com/enfoqueif/status/1705218339142767026")</f>
        <v>https://twitter.com/enfoqueif/status/1705218339142767026</v>
      </c>
      <c r="AF1294" s="79">
        <v>45191.577638888892</v>
      </c>
      <c r="AG1294" s="85">
        <v>45191</v>
      </c>
      <c r="AH1294" s="82" t="s">
        <v>8929</v>
      </c>
      <c r="AI1294" s="77" t="b">
        <v>0</v>
      </c>
      <c r="AJ1294" s="77"/>
      <c r="AK1294" s="77"/>
      <c r="AL1294" s="77"/>
      <c r="AM1294" s="77"/>
      <c r="AN1294" s="77"/>
      <c r="AO1294" s="77"/>
      <c r="AP1294" s="77"/>
      <c r="AQ1294" s="77"/>
      <c r="AR1294" s="77"/>
      <c r="AS1294" s="77"/>
      <c r="AT1294" s="77"/>
      <c r="AU1294" s="77"/>
      <c r="AV1294" s="80" t="str">
        <f>HYPERLINK("https://pbs.twimg.com/profile_images/1176490241278054400/s4X9C_ZZ_normal.jpg")</f>
        <v>https://pbs.twimg.com/profile_images/1176490241278054400/s4X9C_ZZ_normal.jpg</v>
      </c>
      <c r="AW1294" s="82" t="s">
        <v>12958</v>
      </c>
      <c r="AX1294" s="82" t="s">
        <v>12958</v>
      </c>
      <c r="AY1294" s="77"/>
      <c r="AZ1294" s="82" t="s">
        <v>15984</v>
      </c>
      <c r="BA1294" s="82" t="s">
        <v>15984</v>
      </c>
      <c r="BB1294" s="82" t="s">
        <v>15984</v>
      </c>
      <c r="BC1294" s="82" t="s">
        <v>12958</v>
      </c>
      <c r="BD1294" s="77">
        <v>136293095</v>
      </c>
      <c r="BE1294" s="77"/>
      <c r="BF1294" s="77"/>
      <c r="BG1294" s="77"/>
      <c r="BH1294" s="77"/>
      <c r="BI1294" s="77"/>
    </row>
    <row r="1295" spans="1:61" x14ac:dyDescent="0.25">
      <c r="A1295" s="62" t="s">
        <v>607</v>
      </c>
      <c r="B1295" s="62" t="s">
        <v>607</v>
      </c>
      <c r="C1295" s="63"/>
      <c r="D1295" s="64"/>
      <c r="E1295" s="65"/>
      <c r="F1295" s="66"/>
      <c r="G1295" s="63"/>
      <c r="H1295" s="67"/>
      <c r="I1295" s="68"/>
      <c r="J1295" s="68"/>
      <c r="K1295" s="32"/>
      <c r="L1295" s="75">
        <v>1295</v>
      </c>
      <c r="M1295" s="75"/>
      <c r="N1295" s="70"/>
      <c r="O1295" s="77" t="s">
        <v>179</v>
      </c>
      <c r="P1295" s="79">
        <v>45180.685555555552</v>
      </c>
      <c r="Q1295" s="77" t="s">
        <v>2073</v>
      </c>
      <c r="R1295" s="77">
        <v>0</v>
      </c>
      <c r="S1295" s="77">
        <v>0</v>
      </c>
      <c r="T1295" s="77">
        <v>0</v>
      </c>
      <c r="U1295" s="77">
        <v>0</v>
      </c>
      <c r="V1295" s="77">
        <v>35</v>
      </c>
      <c r="W1295" s="82" t="s">
        <v>5519</v>
      </c>
      <c r="X1295" s="80" t="str">
        <f>HYPERLINK("https://enfoque.com.br/noticias/11-09-2023/pauta-do-dia-mercados-operam-com-vies-positivo-nesta-manha?k=164186308")</f>
        <v>https://enfoque.com.br/noticias/11-09-2023/pauta-do-dia-mercados-operam-com-vies-positivo-nesta-manha?k=164186308</v>
      </c>
      <c r="Y1295" s="77" t="s">
        <v>6470</v>
      </c>
      <c r="Z1295" s="77"/>
      <c r="AA1295" s="77"/>
      <c r="AB1295" s="77"/>
      <c r="AC1295" s="82" t="s">
        <v>7750</v>
      </c>
      <c r="AD1295" s="77" t="s">
        <v>7788</v>
      </c>
      <c r="AE1295" s="80" t="str">
        <f>HYPERLINK("https://twitter.com/enfoqueif/status/1701271181452603419")</f>
        <v>https://twitter.com/enfoqueif/status/1701271181452603419</v>
      </c>
      <c r="AF1295" s="79">
        <v>45180.685555555552</v>
      </c>
      <c r="AG1295" s="85">
        <v>45180</v>
      </c>
      <c r="AH1295" s="82" t="s">
        <v>8930</v>
      </c>
      <c r="AI1295" s="77" t="b">
        <v>0</v>
      </c>
      <c r="AJ1295" s="77"/>
      <c r="AK1295" s="77"/>
      <c r="AL1295" s="77"/>
      <c r="AM1295" s="77"/>
      <c r="AN1295" s="77"/>
      <c r="AO1295" s="77"/>
      <c r="AP1295" s="77"/>
      <c r="AQ1295" s="77"/>
      <c r="AR1295" s="77"/>
      <c r="AS1295" s="77"/>
      <c r="AT1295" s="77"/>
      <c r="AU1295" s="77"/>
      <c r="AV1295" s="80" t="str">
        <f>HYPERLINK("https://pbs.twimg.com/profile_images/1176490241278054400/s4X9C_ZZ_normal.jpg")</f>
        <v>https://pbs.twimg.com/profile_images/1176490241278054400/s4X9C_ZZ_normal.jpg</v>
      </c>
      <c r="AW1295" s="82" t="s">
        <v>12959</v>
      </c>
      <c r="AX1295" s="82" t="s">
        <v>12959</v>
      </c>
      <c r="AY1295" s="77"/>
      <c r="AZ1295" s="82" t="s">
        <v>15984</v>
      </c>
      <c r="BA1295" s="82" t="s">
        <v>15984</v>
      </c>
      <c r="BB1295" s="82" t="s">
        <v>15984</v>
      </c>
      <c r="BC1295" s="82" t="s">
        <v>12959</v>
      </c>
      <c r="BD1295" s="77">
        <v>136293095</v>
      </c>
      <c r="BE1295" s="77"/>
      <c r="BF1295" s="77"/>
      <c r="BG1295" s="77"/>
      <c r="BH1295" s="77"/>
      <c r="BI1295" s="77"/>
    </row>
    <row r="1296" spans="1:61" x14ac:dyDescent="0.25">
      <c r="A1296" s="62" t="s">
        <v>607</v>
      </c>
      <c r="B1296" s="62" t="s">
        <v>607</v>
      </c>
      <c r="C1296" s="63"/>
      <c r="D1296" s="64"/>
      <c r="E1296" s="65"/>
      <c r="F1296" s="66"/>
      <c r="G1296" s="63"/>
      <c r="H1296" s="67"/>
      <c r="I1296" s="68"/>
      <c r="J1296" s="68"/>
      <c r="K1296" s="32"/>
      <c r="L1296" s="75">
        <v>1296</v>
      </c>
      <c r="M1296" s="75"/>
      <c r="N1296" s="70"/>
      <c r="O1296" s="77" t="s">
        <v>179</v>
      </c>
      <c r="P1296" s="79">
        <v>45197.493333333332</v>
      </c>
      <c r="Q1296" s="77" t="s">
        <v>2074</v>
      </c>
      <c r="R1296" s="77">
        <v>0</v>
      </c>
      <c r="S1296" s="77">
        <v>0</v>
      </c>
      <c r="T1296" s="77">
        <v>0</v>
      </c>
      <c r="U1296" s="77">
        <v>0</v>
      </c>
      <c r="V1296" s="77">
        <v>15</v>
      </c>
      <c r="W1296" s="82" t="s">
        <v>5520</v>
      </c>
      <c r="X1296" s="80" t="str">
        <f>HYPERLINK("https://enfoque.com.br/noticias/28-09-2023/cambio-dolar-ganhou-122-e-fechou-vendido-a-r-5048-na-quarta-feira?k=164189364")</f>
        <v>https://enfoque.com.br/noticias/28-09-2023/cambio-dolar-ganhou-122-e-fechou-vendido-a-r-5048-na-quarta-feira?k=164189364</v>
      </c>
      <c r="Y1296" s="77" t="s">
        <v>6470</v>
      </c>
      <c r="Z1296" s="77"/>
      <c r="AA1296" s="77"/>
      <c r="AB1296" s="77"/>
      <c r="AC1296" s="82" t="s">
        <v>7750</v>
      </c>
      <c r="AD1296" s="77" t="s">
        <v>7788</v>
      </c>
      <c r="AE1296" s="80" t="str">
        <f>HYPERLINK("https://twitter.com/enfoqueif/status/1707362116829634657")</f>
        <v>https://twitter.com/enfoqueif/status/1707362116829634657</v>
      </c>
      <c r="AF1296" s="79">
        <v>45197.493333333332</v>
      </c>
      <c r="AG1296" s="85">
        <v>45197</v>
      </c>
      <c r="AH1296" s="82" t="s">
        <v>8931</v>
      </c>
      <c r="AI1296" s="77" t="b">
        <v>0</v>
      </c>
      <c r="AJ1296" s="77"/>
      <c r="AK1296" s="77"/>
      <c r="AL1296" s="77"/>
      <c r="AM1296" s="77"/>
      <c r="AN1296" s="77"/>
      <c r="AO1296" s="77"/>
      <c r="AP1296" s="77"/>
      <c r="AQ1296" s="77"/>
      <c r="AR1296" s="77"/>
      <c r="AS1296" s="77"/>
      <c r="AT1296" s="77"/>
      <c r="AU1296" s="77"/>
      <c r="AV1296" s="80" t="str">
        <f>HYPERLINK("https://pbs.twimg.com/profile_images/1176490241278054400/s4X9C_ZZ_normal.jpg")</f>
        <v>https://pbs.twimg.com/profile_images/1176490241278054400/s4X9C_ZZ_normal.jpg</v>
      </c>
      <c r="AW1296" s="82" t="s">
        <v>12960</v>
      </c>
      <c r="AX1296" s="82" t="s">
        <v>12960</v>
      </c>
      <c r="AY1296" s="77"/>
      <c r="AZ1296" s="82" t="s">
        <v>15984</v>
      </c>
      <c r="BA1296" s="82" t="s">
        <v>15984</v>
      </c>
      <c r="BB1296" s="82" t="s">
        <v>15984</v>
      </c>
      <c r="BC1296" s="82" t="s">
        <v>12960</v>
      </c>
      <c r="BD1296" s="77">
        <v>136293095</v>
      </c>
      <c r="BE1296" s="77"/>
      <c r="BF1296" s="77"/>
      <c r="BG1296" s="77"/>
      <c r="BH1296" s="77"/>
      <c r="BI1296" s="77"/>
    </row>
    <row r="1297" spans="1:61" x14ac:dyDescent="0.25">
      <c r="A1297" s="62" t="s">
        <v>607</v>
      </c>
      <c r="B1297" s="62" t="s">
        <v>607</v>
      </c>
      <c r="C1297" s="63"/>
      <c r="D1297" s="64"/>
      <c r="E1297" s="65"/>
      <c r="F1297" s="66"/>
      <c r="G1297" s="63"/>
      <c r="H1297" s="67"/>
      <c r="I1297" s="68"/>
      <c r="J1297" s="68"/>
      <c r="K1297" s="32"/>
      <c r="L1297" s="75">
        <v>1297</v>
      </c>
      <c r="M1297" s="75"/>
      <c r="N1297" s="70"/>
      <c r="O1297" s="77" t="s">
        <v>179</v>
      </c>
      <c r="P1297" s="79">
        <v>45196.507534722223</v>
      </c>
      <c r="Q1297" s="77" t="s">
        <v>2075</v>
      </c>
      <c r="R1297" s="77">
        <v>0</v>
      </c>
      <c r="S1297" s="77">
        <v>0</v>
      </c>
      <c r="T1297" s="77">
        <v>0</v>
      </c>
      <c r="U1297" s="77">
        <v>0</v>
      </c>
      <c r="V1297" s="77">
        <v>30</v>
      </c>
      <c r="W1297" s="82" t="s">
        <v>5521</v>
      </c>
      <c r="X1297" s="80" t="str">
        <f>HYPERLINK("https://enfoque.com.br/noticias/27-09-2023/pauta-do-dia-mercados-mundiais-operam-com-ganhos-nesta-quarta-feira?k=164189192")</f>
        <v>https://enfoque.com.br/noticias/27-09-2023/pauta-do-dia-mercados-mundiais-operam-com-ganhos-nesta-quarta-feira?k=164189192</v>
      </c>
      <c r="Y1297" s="77" t="s">
        <v>6470</v>
      </c>
      <c r="Z1297" s="77"/>
      <c r="AA1297" s="77"/>
      <c r="AB1297" s="77"/>
      <c r="AC1297" s="82" t="s">
        <v>7750</v>
      </c>
      <c r="AD1297" s="77" t="s">
        <v>7788</v>
      </c>
      <c r="AE1297" s="80" t="str">
        <f>HYPERLINK("https://twitter.com/enfoqueif/status/1707004873936384157")</f>
        <v>https://twitter.com/enfoqueif/status/1707004873936384157</v>
      </c>
      <c r="AF1297" s="79">
        <v>45196.507534722223</v>
      </c>
      <c r="AG1297" s="85">
        <v>45196</v>
      </c>
      <c r="AH1297" s="82" t="s">
        <v>8932</v>
      </c>
      <c r="AI1297" s="77" t="b">
        <v>0</v>
      </c>
      <c r="AJ1297" s="77"/>
      <c r="AK1297" s="77"/>
      <c r="AL1297" s="77"/>
      <c r="AM1297" s="77"/>
      <c r="AN1297" s="77"/>
      <c r="AO1297" s="77"/>
      <c r="AP1297" s="77"/>
      <c r="AQ1297" s="77"/>
      <c r="AR1297" s="77"/>
      <c r="AS1297" s="77"/>
      <c r="AT1297" s="77"/>
      <c r="AU1297" s="77"/>
      <c r="AV1297" s="80" t="str">
        <f>HYPERLINK("https://pbs.twimg.com/profile_images/1176490241278054400/s4X9C_ZZ_normal.jpg")</f>
        <v>https://pbs.twimg.com/profile_images/1176490241278054400/s4X9C_ZZ_normal.jpg</v>
      </c>
      <c r="AW1297" s="82" t="s">
        <v>12961</v>
      </c>
      <c r="AX1297" s="82" t="s">
        <v>12961</v>
      </c>
      <c r="AY1297" s="77"/>
      <c r="AZ1297" s="82" t="s">
        <v>15984</v>
      </c>
      <c r="BA1297" s="82" t="s">
        <v>15984</v>
      </c>
      <c r="BB1297" s="82" t="s">
        <v>15984</v>
      </c>
      <c r="BC1297" s="82" t="s">
        <v>12961</v>
      </c>
      <c r="BD1297" s="77">
        <v>136293095</v>
      </c>
      <c r="BE1297" s="77"/>
      <c r="BF1297" s="77"/>
      <c r="BG1297" s="77"/>
      <c r="BH1297" s="77"/>
      <c r="BI1297" s="77"/>
    </row>
    <row r="1298" spans="1:61" x14ac:dyDescent="0.25">
      <c r="A1298" s="62" t="s">
        <v>607</v>
      </c>
      <c r="B1298" s="62" t="s">
        <v>607</v>
      </c>
      <c r="C1298" s="63"/>
      <c r="D1298" s="64"/>
      <c r="E1298" s="65"/>
      <c r="F1298" s="66"/>
      <c r="G1298" s="63"/>
      <c r="H1298" s="67"/>
      <c r="I1298" s="68"/>
      <c r="J1298" s="68"/>
      <c r="K1298" s="32"/>
      <c r="L1298" s="75">
        <v>1298</v>
      </c>
      <c r="M1298" s="75"/>
      <c r="N1298" s="70"/>
      <c r="O1298" s="77" t="s">
        <v>179</v>
      </c>
      <c r="P1298" s="79">
        <v>45196.504629629628</v>
      </c>
      <c r="Q1298" s="77" t="s">
        <v>2076</v>
      </c>
      <c r="R1298" s="77">
        <v>0</v>
      </c>
      <c r="S1298" s="77">
        <v>0</v>
      </c>
      <c r="T1298" s="77">
        <v>0</v>
      </c>
      <c r="U1298" s="77">
        <v>0</v>
      </c>
      <c r="V1298" s="77">
        <v>26</v>
      </c>
      <c r="W1298" s="82" t="s">
        <v>5522</v>
      </c>
      <c r="X1298" s="80" t="str">
        <f>HYPERLINK("https://enfoque.com.br/noticias/27-09-2023/cambio-dolar-fechou-a-terca-feira-em-alta-vendido-e-r-4987?k=164189095")</f>
        <v>https://enfoque.com.br/noticias/27-09-2023/cambio-dolar-fechou-a-terca-feira-em-alta-vendido-e-r-4987?k=164189095</v>
      </c>
      <c r="Y1298" s="77" t="s">
        <v>6470</v>
      </c>
      <c r="Z1298" s="77"/>
      <c r="AA1298" s="77"/>
      <c r="AB1298" s="77"/>
      <c r="AC1298" s="82" t="s">
        <v>7750</v>
      </c>
      <c r="AD1298" s="77" t="s">
        <v>7788</v>
      </c>
      <c r="AE1298" s="80" t="str">
        <f>HYPERLINK("https://twitter.com/enfoqueif/status/1707003822017499283")</f>
        <v>https://twitter.com/enfoqueif/status/1707003822017499283</v>
      </c>
      <c r="AF1298" s="79">
        <v>45196.504629629628</v>
      </c>
      <c r="AG1298" s="85">
        <v>45196</v>
      </c>
      <c r="AH1298" s="82" t="s">
        <v>8933</v>
      </c>
      <c r="AI1298" s="77" t="b">
        <v>0</v>
      </c>
      <c r="AJ1298" s="77"/>
      <c r="AK1298" s="77"/>
      <c r="AL1298" s="77"/>
      <c r="AM1298" s="77"/>
      <c r="AN1298" s="77"/>
      <c r="AO1298" s="77"/>
      <c r="AP1298" s="77"/>
      <c r="AQ1298" s="77"/>
      <c r="AR1298" s="77"/>
      <c r="AS1298" s="77"/>
      <c r="AT1298" s="77"/>
      <c r="AU1298" s="77"/>
      <c r="AV1298" s="80" t="str">
        <f>HYPERLINK("https://pbs.twimg.com/profile_images/1176490241278054400/s4X9C_ZZ_normal.jpg")</f>
        <v>https://pbs.twimg.com/profile_images/1176490241278054400/s4X9C_ZZ_normal.jpg</v>
      </c>
      <c r="AW1298" s="82" t="s">
        <v>12962</v>
      </c>
      <c r="AX1298" s="82" t="s">
        <v>12962</v>
      </c>
      <c r="AY1298" s="77"/>
      <c r="AZ1298" s="82" t="s">
        <v>15984</v>
      </c>
      <c r="BA1298" s="82" t="s">
        <v>15984</v>
      </c>
      <c r="BB1298" s="82" t="s">
        <v>15984</v>
      </c>
      <c r="BC1298" s="82" t="s">
        <v>12962</v>
      </c>
      <c r="BD1298" s="77">
        <v>136293095</v>
      </c>
      <c r="BE1298" s="77"/>
      <c r="BF1298" s="77"/>
      <c r="BG1298" s="77"/>
      <c r="BH1298" s="77"/>
      <c r="BI1298" s="77"/>
    </row>
    <row r="1299" spans="1:61" x14ac:dyDescent="0.25">
      <c r="A1299" s="62" t="s">
        <v>607</v>
      </c>
      <c r="B1299" s="62" t="s">
        <v>607</v>
      </c>
      <c r="C1299" s="63"/>
      <c r="D1299" s="64"/>
      <c r="E1299" s="65"/>
      <c r="F1299" s="66"/>
      <c r="G1299" s="63"/>
      <c r="H1299" s="67"/>
      <c r="I1299" s="68"/>
      <c r="J1299" s="68"/>
      <c r="K1299" s="32"/>
      <c r="L1299" s="75">
        <v>1299</v>
      </c>
      <c r="M1299" s="75"/>
      <c r="N1299" s="70"/>
      <c r="O1299" s="77" t="s">
        <v>179</v>
      </c>
      <c r="P1299" s="79">
        <v>45195.488541666666</v>
      </c>
      <c r="Q1299" s="77" t="s">
        <v>2077</v>
      </c>
      <c r="R1299" s="77">
        <v>0</v>
      </c>
      <c r="S1299" s="77">
        <v>1</v>
      </c>
      <c r="T1299" s="77">
        <v>0</v>
      </c>
      <c r="U1299" s="77">
        <v>0</v>
      </c>
      <c r="V1299" s="77">
        <v>21</v>
      </c>
      <c r="W1299" s="82" t="s">
        <v>5523</v>
      </c>
      <c r="X1299" s="80" t="str">
        <f>HYPERLINK("https://enfoque.com.br/noticias/26-09-2023/cambio-dolar-comecou-a-semana-em-alta-em-sintonia-com-exterior?k=164188876")</f>
        <v>https://enfoque.com.br/noticias/26-09-2023/cambio-dolar-comecou-a-semana-em-alta-em-sintonia-com-exterior?k=164188876</v>
      </c>
      <c r="Y1299" s="77" t="s">
        <v>6470</v>
      </c>
      <c r="Z1299" s="77"/>
      <c r="AA1299" s="77"/>
      <c r="AB1299" s="77"/>
      <c r="AC1299" s="82" t="s">
        <v>7750</v>
      </c>
      <c r="AD1299" s="77" t="s">
        <v>7788</v>
      </c>
      <c r="AE1299" s="80" t="str">
        <f>HYPERLINK("https://twitter.com/enfoqueif/status/1706635606275608844")</f>
        <v>https://twitter.com/enfoqueif/status/1706635606275608844</v>
      </c>
      <c r="AF1299" s="79">
        <v>45195.488541666666</v>
      </c>
      <c r="AG1299" s="85">
        <v>45195</v>
      </c>
      <c r="AH1299" s="82" t="s">
        <v>8934</v>
      </c>
      <c r="AI1299" s="77" t="b">
        <v>0</v>
      </c>
      <c r="AJ1299" s="77"/>
      <c r="AK1299" s="77"/>
      <c r="AL1299" s="77"/>
      <c r="AM1299" s="77"/>
      <c r="AN1299" s="77"/>
      <c r="AO1299" s="77"/>
      <c r="AP1299" s="77"/>
      <c r="AQ1299" s="77"/>
      <c r="AR1299" s="77"/>
      <c r="AS1299" s="77"/>
      <c r="AT1299" s="77"/>
      <c r="AU1299" s="77"/>
      <c r="AV1299" s="80" t="str">
        <f>HYPERLINK("https://pbs.twimg.com/profile_images/1176490241278054400/s4X9C_ZZ_normal.jpg")</f>
        <v>https://pbs.twimg.com/profile_images/1176490241278054400/s4X9C_ZZ_normal.jpg</v>
      </c>
      <c r="AW1299" s="82" t="s">
        <v>12963</v>
      </c>
      <c r="AX1299" s="82" t="s">
        <v>12963</v>
      </c>
      <c r="AY1299" s="77"/>
      <c r="AZ1299" s="82" t="s">
        <v>15984</v>
      </c>
      <c r="BA1299" s="82" t="s">
        <v>15984</v>
      </c>
      <c r="BB1299" s="82" t="s">
        <v>15984</v>
      </c>
      <c r="BC1299" s="82" t="s">
        <v>12963</v>
      </c>
      <c r="BD1299" s="77">
        <v>136293095</v>
      </c>
      <c r="BE1299" s="77"/>
      <c r="BF1299" s="77"/>
      <c r="BG1299" s="77"/>
      <c r="BH1299" s="77"/>
      <c r="BI1299" s="77"/>
    </row>
    <row r="1300" spans="1:61" x14ac:dyDescent="0.25">
      <c r="A1300" s="62" t="s">
        <v>607</v>
      </c>
      <c r="B1300" s="62" t="s">
        <v>607</v>
      </c>
      <c r="C1300" s="63"/>
      <c r="D1300" s="64"/>
      <c r="E1300" s="65"/>
      <c r="F1300" s="66"/>
      <c r="G1300" s="63"/>
      <c r="H1300" s="67"/>
      <c r="I1300" s="68"/>
      <c r="J1300" s="68"/>
      <c r="K1300" s="32"/>
      <c r="L1300" s="75">
        <v>1300</v>
      </c>
      <c r="M1300" s="75"/>
      <c r="N1300" s="70"/>
      <c r="O1300" s="77" t="s">
        <v>179</v>
      </c>
      <c r="P1300" s="79">
        <v>45187.499097222222</v>
      </c>
      <c r="Q1300" s="77" t="s">
        <v>2078</v>
      </c>
      <c r="R1300" s="77">
        <v>0</v>
      </c>
      <c r="S1300" s="77">
        <v>0</v>
      </c>
      <c r="T1300" s="77">
        <v>0</v>
      </c>
      <c r="U1300" s="77">
        <v>0</v>
      </c>
      <c r="V1300" s="77">
        <v>57</v>
      </c>
      <c r="W1300" s="82" t="s">
        <v>5524</v>
      </c>
      <c r="X1300" s="80" t="str">
        <f>HYPERLINK("https://enfoque.com.br/noticias/18-09-2023/cambio-dolar-fechou-estavel-na-sexta-feira-e-caiu-225-na-semana?k=164187371")</f>
        <v>https://enfoque.com.br/noticias/18-09-2023/cambio-dolar-fechou-estavel-na-sexta-feira-e-caiu-225-na-semana?k=164187371</v>
      </c>
      <c r="Y1300" s="77" t="s">
        <v>6470</v>
      </c>
      <c r="Z1300" s="77"/>
      <c r="AA1300" s="77"/>
      <c r="AB1300" s="77"/>
      <c r="AC1300" s="82" t="s">
        <v>7750</v>
      </c>
      <c r="AD1300" s="77" t="s">
        <v>7788</v>
      </c>
      <c r="AE1300" s="80" t="str">
        <f>HYPERLINK("https://twitter.com/enfoqueif/status/1703740324797985235")</f>
        <v>https://twitter.com/enfoqueif/status/1703740324797985235</v>
      </c>
      <c r="AF1300" s="79">
        <v>45187.499097222222</v>
      </c>
      <c r="AG1300" s="85">
        <v>45187</v>
      </c>
      <c r="AH1300" s="82" t="s">
        <v>8935</v>
      </c>
      <c r="AI1300" s="77" t="b">
        <v>0</v>
      </c>
      <c r="AJ1300" s="77"/>
      <c r="AK1300" s="77"/>
      <c r="AL1300" s="77"/>
      <c r="AM1300" s="77"/>
      <c r="AN1300" s="77"/>
      <c r="AO1300" s="77"/>
      <c r="AP1300" s="77"/>
      <c r="AQ1300" s="77"/>
      <c r="AR1300" s="77"/>
      <c r="AS1300" s="77"/>
      <c r="AT1300" s="77"/>
      <c r="AU1300" s="77"/>
      <c r="AV1300" s="80" t="str">
        <f>HYPERLINK("https://pbs.twimg.com/profile_images/1176490241278054400/s4X9C_ZZ_normal.jpg")</f>
        <v>https://pbs.twimg.com/profile_images/1176490241278054400/s4X9C_ZZ_normal.jpg</v>
      </c>
      <c r="AW1300" s="82" t="s">
        <v>12964</v>
      </c>
      <c r="AX1300" s="82" t="s">
        <v>12964</v>
      </c>
      <c r="AY1300" s="77"/>
      <c r="AZ1300" s="82" t="s">
        <v>15984</v>
      </c>
      <c r="BA1300" s="82" t="s">
        <v>15984</v>
      </c>
      <c r="BB1300" s="82" t="s">
        <v>15984</v>
      </c>
      <c r="BC1300" s="82" t="s">
        <v>12964</v>
      </c>
      <c r="BD1300" s="77">
        <v>136293095</v>
      </c>
      <c r="BE1300" s="77"/>
      <c r="BF1300" s="77"/>
      <c r="BG1300" s="77"/>
      <c r="BH1300" s="77"/>
      <c r="BI1300" s="77"/>
    </row>
    <row r="1301" spans="1:61" x14ac:dyDescent="0.25">
      <c r="A1301" s="62" t="s">
        <v>607</v>
      </c>
      <c r="B1301" s="62" t="s">
        <v>607</v>
      </c>
      <c r="C1301" s="63"/>
      <c r="D1301" s="64"/>
      <c r="E1301" s="65"/>
      <c r="F1301" s="66"/>
      <c r="G1301" s="63"/>
      <c r="H1301" s="67"/>
      <c r="I1301" s="68"/>
      <c r="J1301" s="68"/>
      <c r="K1301" s="32"/>
      <c r="L1301" s="75">
        <v>1301</v>
      </c>
      <c r="M1301" s="75"/>
      <c r="N1301" s="70"/>
      <c r="O1301" s="77" t="s">
        <v>179</v>
      </c>
      <c r="P1301" s="79">
        <v>45182.548564814817</v>
      </c>
      <c r="Q1301" s="77" t="s">
        <v>2079</v>
      </c>
      <c r="R1301" s="77">
        <v>0</v>
      </c>
      <c r="S1301" s="77">
        <v>0</v>
      </c>
      <c r="T1301" s="77">
        <v>0</v>
      </c>
      <c r="U1301" s="77">
        <v>0</v>
      </c>
      <c r="V1301" s="77">
        <v>27</v>
      </c>
      <c r="W1301" s="82" t="s">
        <v>5525</v>
      </c>
      <c r="X1301" s="80" t="str">
        <f>HYPERLINK("https://enfoque.com.br/noticias/13-09-2023/pauta-do-dia-cautela-predomina-os-mercados-nesta-manha?k=164186787")</f>
        <v>https://enfoque.com.br/noticias/13-09-2023/pauta-do-dia-cautela-predomina-os-mercados-nesta-manha?k=164186787</v>
      </c>
      <c r="Y1301" s="77" t="s">
        <v>6470</v>
      </c>
      <c r="Z1301" s="77"/>
      <c r="AA1301" s="77"/>
      <c r="AB1301" s="77"/>
      <c r="AC1301" s="82" t="s">
        <v>7750</v>
      </c>
      <c r="AD1301" s="77" t="s">
        <v>7788</v>
      </c>
      <c r="AE1301" s="80" t="str">
        <f>HYPERLINK("https://twitter.com/enfoqueif/status/1701946312994771174")</f>
        <v>https://twitter.com/enfoqueif/status/1701946312994771174</v>
      </c>
      <c r="AF1301" s="79">
        <v>45182.548564814817</v>
      </c>
      <c r="AG1301" s="85">
        <v>45182</v>
      </c>
      <c r="AH1301" s="82" t="s">
        <v>8936</v>
      </c>
      <c r="AI1301" s="77" t="b">
        <v>0</v>
      </c>
      <c r="AJ1301" s="77"/>
      <c r="AK1301" s="77"/>
      <c r="AL1301" s="77"/>
      <c r="AM1301" s="77"/>
      <c r="AN1301" s="77"/>
      <c r="AO1301" s="77"/>
      <c r="AP1301" s="77"/>
      <c r="AQ1301" s="77"/>
      <c r="AR1301" s="77"/>
      <c r="AS1301" s="77"/>
      <c r="AT1301" s="77"/>
      <c r="AU1301" s="77"/>
      <c r="AV1301" s="80" t="str">
        <f>HYPERLINK("https://pbs.twimg.com/profile_images/1176490241278054400/s4X9C_ZZ_normal.jpg")</f>
        <v>https://pbs.twimg.com/profile_images/1176490241278054400/s4X9C_ZZ_normal.jpg</v>
      </c>
      <c r="AW1301" s="82" t="s">
        <v>12965</v>
      </c>
      <c r="AX1301" s="82" t="s">
        <v>12965</v>
      </c>
      <c r="AY1301" s="77"/>
      <c r="AZ1301" s="82" t="s">
        <v>15984</v>
      </c>
      <c r="BA1301" s="82" t="s">
        <v>15984</v>
      </c>
      <c r="BB1301" s="82" t="s">
        <v>15984</v>
      </c>
      <c r="BC1301" s="82" t="s">
        <v>12965</v>
      </c>
      <c r="BD1301" s="77">
        <v>136293095</v>
      </c>
      <c r="BE1301" s="77"/>
      <c r="BF1301" s="77"/>
      <c r="BG1301" s="77"/>
      <c r="BH1301" s="77"/>
      <c r="BI1301" s="77"/>
    </row>
    <row r="1302" spans="1:61" x14ac:dyDescent="0.25">
      <c r="A1302" s="62" t="s">
        <v>607</v>
      </c>
      <c r="B1302" s="62" t="s">
        <v>607</v>
      </c>
      <c r="C1302" s="63"/>
      <c r="D1302" s="64"/>
      <c r="E1302" s="65"/>
      <c r="F1302" s="66"/>
      <c r="G1302" s="63"/>
      <c r="H1302" s="67"/>
      <c r="I1302" s="68"/>
      <c r="J1302" s="68"/>
      <c r="K1302" s="32"/>
      <c r="L1302" s="75">
        <v>1302</v>
      </c>
      <c r="M1302" s="75"/>
      <c r="N1302" s="70"/>
      <c r="O1302" s="77" t="s">
        <v>179</v>
      </c>
      <c r="P1302" s="79">
        <v>45182.506111111114</v>
      </c>
      <c r="Q1302" s="77" t="s">
        <v>2080</v>
      </c>
      <c r="R1302" s="77">
        <v>0</v>
      </c>
      <c r="S1302" s="77">
        <v>0</v>
      </c>
      <c r="T1302" s="77">
        <v>0</v>
      </c>
      <c r="U1302" s="77">
        <v>0</v>
      </c>
      <c r="V1302" s="77">
        <v>30</v>
      </c>
      <c r="W1302" s="82" t="s">
        <v>5526</v>
      </c>
      <c r="X1302" s="80" t="str">
        <f>HYPERLINK("https://enfoque.com.br/noticias/13-09-2023/cambio-dolar-fechou-ontem-em-alta-a-espera-de-dados-dos-eua?k=164186761")</f>
        <v>https://enfoque.com.br/noticias/13-09-2023/cambio-dolar-fechou-ontem-em-alta-a-espera-de-dados-dos-eua?k=164186761</v>
      </c>
      <c r="Y1302" s="77" t="s">
        <v>6470</v>
      </c>
      <c r="Z1302" s="77"/>
      <c r="AA1302" s="77"/>
      <c r="AB1302" s="77"/>
      <c r="AC1302" s="82" t="s">
        <v>7750</v>
      </c>
      <c r="AD1302" s="77" t="s">
        <v>7788</v>
      </c>
      <c r="AE1302" s="80" t="str">
        <f>HYPERLINK("https://twitter.com/enfoqueif/status/1701930927478157430")</f>
        <v>https://twitter.com/enfoqueif/status/1701930927478157430</v>
      </c>
      <c r="AF1302" s="79">
        <v>45182.506111111114</v>
      </c>
      <c r="AG1302" s="85">
        <v>45182</v>
      </c>
      <c r="AH1302" s="82" t="s">
        <v>8937</v>
      </c>
      <c r="AI1302" s="77" t="b">
        <v>0</v>
      </c>
      <c r="AJ1302" s="77"/>
      <c r="AK1302" s="77"/>
      <c r="AL1302" s="77"/>
      <c r="AM1302" s="77"/>
      <c r="AN1302" s="77"/>
      <c r="AO1302" s="77"/>
      <c r="AP1302" s="77"/>
      <c r="AQ1302" s="77"/>
      <c r="AR1302" s="77"/>
      <c r="AS1302" s="77"/>
      <c r="AT1302" s="77"/>
      <c r="AU1302" s="77"/>
      <c r="AV1302" s="80" t="str">
        <f>HYPERLINK("https://pbs.twimg.com/profile_images/1176490241278054400/s4X9C_ZZ_normal.jpg")</f>
        <v>https://pbs.twimg.com/profile_images/1176490241278054400/s4X9C_ZZ_normal.jpg</v>
      </c>
      <c r="AW1302" s="82" t="s">
        <v>12966</v>
      </c>
      <c r="AX1302" s="82" t="s">
        <v>12966</v>
      </c>
      <c r="AY1302" s="77"/>
      <c r="AZ1302" s="82" t="s">
        <v>15984</v>
      </c>
      <c r="BA1302" s="82" t="s">
        <v>15984</v>
      </c>
      <c r="BB1302" s="82" t="s">
        <v>15984</v>
      </c>
      <c r="BC1302" s="82" t="s">
        <v>12966</v>
      </c>
      <c r="BD1302" s="77">
        <v>136293095</v>
      </c>
      <c r="BE1302" s="77"/>
      <c r="BF1302" s="77"/>
      <c r="BG1302" s="77"/>
      <c r="BH1302" s="77"/>
      <c r="BI1302" s="77"/>
    </row>
    <row r="1303" spans="1:61" x14ac:dyDescent="0.25">
      <c r="A1303" s="62" t="s">
        <v>607</v>
      </c>
      <c r="B1303" s="62" t="s">
        <v>607</v>
      </c>
      <c r="C1303" s="63"/>
      <c r="D1303" s="64"/>
      <c r="E1303" s="65"/>
      <c r="F1303" s="66"/>
      <c r="G1303" s="63"/>
      <c r="H1303" s="67"/>
      <c r="I1303" s="68"/>
      <c r="J1303" s="68"/>
      <c r="K1303" s="32"/>
      <c r="L1303" s="75">
        <v>1303</v>
      </c>
      <c r="M1303" s="75"/>
      <c r="N1303" s="70"/>
      <c r="O1303" s="77" t="s">
        <v>179</v>
      </c>
      <c r="P1303" s="79">
        <v>45159.477962962963</v>
      </c>
      <c r="Q1303" s="77" t="s">
        <v>2081</v>
      </c>
      <c r="R1303" s="77">
        <v>0</v>
      </c>
      <c r="S1303" s="77">
        <v>0</v>
      </c>
      <c r="T1303" s="77">
        <v>0</v>
      </c>
      <c r="U1303" s="77">
        <v>0</v>
      </c>
      <c r="V1303" s="77">
        <v>63</v>
      </c>
      <c r="W1303" s="82" t="s">
        <v>5527</v>
      </c>
      <c r="X1303" s="80" t="str">
        <f>HYPERLINK("https://enfoque.com.br/noticias/21-08-2023/cambio-dolar-terminou-a-semana-acumulando-alta-de-131?k=164182807")</f>
        <v>https://enfoque.com.br/noticias/21-08-2023/cambio-dolar-terminou-a-semana-acumulando-alta-de-131?k=164182807</v>
      </c>
      <c r="Y1303" s="77" t="s">
        <v>6470</v>
      </c>
      <c r="Z1303" s="77"/>
      <c r="AA1303" s="77"/>
      <c r="AB1303" s="77"/>
      <c r="AC1303" s="82" t="s">
        <v>7750</v>
      </c>
      <c r="AD1303" s="77" t="s">
        <v>7788</v>
      </c>
      <c r="AE1303" s="80" t="str">
        <f>HYPERLINK("https://twitter.com/enfoqueif/status/1693585809587200081")</f>
        <v>https://twitter.com/enfoqueif/status/1693585809587200081</v>
      </c>
      <c r="AF1303" s="79">
        <v>45159.477962962963</v>
      </c>
      <c r="AG1303" s="85">
        <v>45159</v>
      </c>
      <c r="AH1303" s="82" t="s">
        <v>8938</v>
      </c>
      <c r="AI1303" s="77" t="b">
        <v>0</v>
      </c>
      <c r="AJ1303" s="77"/>
      <c r="AK1303" s="77"/>
      <c r="AL1303" s="77"/>
      <c r="AM1303" s="77"/>
      <c r="AN1303" s="77"/>
      <c r="AO1303" s="77"/>
      <c r="AP1303" s="77"/>
      <c r="AQ1303" s="77"/>
      <c r="AR1303" s="77"/>
      <c r="AS1303" s="77"/>
      <c r="AT1303" s="77"/>
      <c r="AU1303" s="77"/>
      <c r="AV1303" s="80" t="str">
        <f>HYPERLINK("https://pbs.twimg.com/profile_images/1176490241278054400/s4X9C_ZZ_normal.jpg")</f>
        <v>https://pbs.twimg.com/profile_images/1176490241278054400/s4X9C_ZZ_normal.jpg</v>
      </c>
      <c r="AW1303" s="82" t="s">
        <v>12967</v>
      </c>
      <c r="AX1303" s="82" t="s">
        <v>12967</v>
      </c>
      <c r="AY1303" s="77"/>
      <c r="AZ1303" s="82" t="s">
        <v>15984</v>
      </c>
      <c r="BA1303" s="82" t="s">
        <v>15984</v>
      </c>
      <c r="BB1303" s="82" t="s">
        <v>15984</v>
      </c>
      <c r="BC1303" s="82" t="s">
        <v>12967</v>
      </c>
      <c r="BD1303" s="77">
        <v>136293095</v>
      </c>
      <c r="BE1303" s="77"/>
      <c r="BF1303" s="77"/>
      <c r="BG1303" s="77"/>
      <c r="BH1303" s="77"/>
      <c r="BI1303" s="77"/>
    </row>
    <row r="1304" spans="1:61" x14ac:dyDescent="0.25">
      <c r="A1304" s="62" t="s">
        <v>607</v>
      </c>
      <c r="B1304" s="62" t="s">
        <v>607</v>
      </c>
      <c r="C1304" s="63"/>
      <c r="D1304" s="64"/>
      <c r="E1304" s="65"/>
      <c r="F1304" s="66"/>
      <c r="G1304" s="63"/>
      <c r="H1304" s="67"/>
      <c r="I1304" s="68"/>
      <c r="J1304" s="68"/>
      <c r="K1304" s="32"/>
      <c r="L1304" s="75">
        <v>1304</v>
      </c>
      <c r="M1304" s="75"/>
      <c r="N1304" s="70"/>
      <c r="O1304" s="77" t="s">
        <v>179</v>
      </c>
      <c r="P1304" s="79">
        <v>45121.49664351852</v>
      </c>
      <c r="Q1304" s="77" t="s">
        <v>2082</v>
      </c>
      <c r="R1304" s="77">
        <v>0</v>
      </c>
      <c r="S1304" s="77">
        <v>0</v>
      </c>
      <c r="T1304" s="77">
        <v>0</v>
      </c>
      <c r="U1304" s="77">
        <v>0</v>
      </c>
      <c r="V1304" s="77">
        <v>48</v>
      </c>
      <c r="W1304" s="82" t="s">
        <v>5528</v>
      </c>
      <c r="X1304" s="80" t="str">
        <f>HYPERLINK("https://enfoque.com.br/noticias/14-07-2023/pauta-do-dia-bolsa-deve-abrir-em-alta-nesta-sexta-feira?k=164176186")</f>
        <v>https://enfoque.com.br/noticias/14-07-2023/pauta-do-dia-bolsa-deve-abrir-em-alta-nesta-sexta-feira?k=164176186</v>
      </c>
      <c r="Y1304" s="77" t="s">
        <v>6470</v>
      </c>
      <c r="Z1304" s="77"/>
      <c r="AA1304" s="77"/>
      <c r="AB1304" s="77"/>
      <c r="AC1304" s="82" t="s">
        <v>7750</v>
      </c>
      <c r="AD1304" s="77" t="s">
        <v>7788</v>
      </c>
      <c r="AE1304" s="80" t="str">
        <f>HYPERLINK("https://twitter.com/enfoqueif/status/1679821839185354753")</f>
        <v>https://twitter.com/enfoqueif/status/1679821839185354753</v>
      </c>
      <c r="AF1304" s="79">
        <v>45121.49664351852</v>
      </c>
      <c r="AG1304" s="85">
        <v>45121</v>
      </c>
      <c r="AH1304" s="82" t="s">
        <v>8939</v>
      </c>
      <c r="AI1304" s="77" t="b">
        <v>0</v>
      </c>
      <c r="AJ1304" s="77"/>
      <c r="AK1304" s="77"/>
      <c r="AL1304" s="77"/>
      <c r="AM1304" s="77"/>
      <c r="AN1304" s="77"/>
      <c r="AO1304" s="77"/>
      <c r="AP1304" s="77"/>
      <c r="AQ1304" s="77"/>
      <c r="AR1304" s="77"/>
      <c r="AS1304" s="77"/>
      <c r="AT1304" s="77"/>
      <c r="AU1304" s="77"/>
      <c r="AV1304" s="80" t="str">
        <f>HYPERLINK("https://pbs.twimg.com/profile_images/1176490241278054400/s4X9C_ZZ_normal.jpg")</f>
        <v>https://pbs.twimg.com/profile_images/1176490241278054400/s4X9C_ZZ_normal.jpg</v>
      </c>
      <c r="AW1304" s="82" t="s">
        <v>12968</v>
      </c>
      <c r="AX1304" s="82" t="s">
        <v>12968</v>
      </c>
      <c r="AY1304" s="77"/>
      <c r="AZ1304" s="82" t="s">
        <v>15984</v>
      </c>
      <c r="BA1304" s="82" t="s">
        <v>15984</v>
      </c>
      <c r="BB1304" s="82" t="s">
        <v>15984</v>
      </c>
      <c r="BC1304" s="82" t="s">
        <v>12968</v>
      </c>
      <c r="BD1304" s="77">
        <v>136293095</v>
      </c>
      <c r="BE1304" s="77"/>
      <c r="BF1304" s="77"/>
      <c r="BG1304" s="77"/>
      <c r="BH1304" s="77"/>
      <c r="BI1304" s="77"/>
    </row>
    <row r="1305" spans="1:61" x14ac:dyDescent="0.25">
      <c r="A1305" s="62" t="s">
        <v>607</v>
      </c>
      <c r="B1305" s="62" t="s">
        <v>607</v>
      </c>
      <c r="C1305" s="63"/>
      <c r="D1305" s="64"/>
      <c r="E1305" s="65"/>
      <c r="F1305" s="66"/>
      <c r="G1305" s="63"/>
      <c r="H1305" s="67"/>
      <c r="I1305" s="68"/>
      <c r="J1305" s="68"/>
      <c r="K1305" s="32"/>
      <c r="L1305" s="75">
        <v>1305</v>
      </c>
      <c r="M1305" s="75"/>
      <c r="N1305" s="70"/>
      <c r="O1305" s="77" t="s">
        <v>179</v>
      </c>
      <c r="P1305" s="79">
        <v>45197.510740740741</v>
      </c>
      <c r="Q1305" s="77" t="s">
        <v>2083</v>
      </c>
      <c r="R1305" s="77">
        <v>0</v>
      </c>
      <c r="S1305" s="77">
        <v>0</v>
      </c>
      <c r="T1305" s="77">
        <v>0</v>
      </c>
      <c r="U1305" s="77">
        <v>0</v>
      </c>
      <c r="V1305" s="77">
        <v>17</v>
      </c>
      <c r="W1305" s="82" t="s">
        <v>5529</v>
      </c>
      <c r="X1305" s="80" t="str">
        <f>HYPERLINK("https://enfoque.com.br/noticias/28-09-2023/pauta-do-dia-mercados-operam-sem-direcao-definida-nesta-manha?k=164189372")</f>
        <v>https://enfoque.com.br/noticias/28-09-2023/pauta-do-dia-mercados-operam-sem-direcao-definida-nesta-manha?k=164189372</v>
      </c>
      <c r="Y1305" s="77" t="s">
        <v>6470</v>
      </c>
      <c r="Z1305" s="77"/>
      <c r="AA1305" s="77"/>
      <c r="AB1305" s="77"/>
      <c r="AC1305" s="82" t="s">
        <v>7750</v>
      </c>
      <c r="AD1305" s="77" t="s">
        <v>7788</v>
      </c>
      <c r="AE1305" s="80" t="str">
        <f>HYPERLINK("https://twitter.com/enfoqueif/status/1707368426694447471")</f>
        <v>https://twitter.com/enfoqueif/status/1707368426694447471</v>
      </c>
      <c r="AF1305" s="79">
        <v>45197.510740740741</v>
      </c>
      <c r="AG1305" s="85">
        <v>45197</v>
      </c>
      <c r="AH1305" s="82" t="s">
        <v>8940</v>
      </c>
      <c r="AI1305" s="77" t="b">
        <v>0</v>
      </c>
      <c r="AJ1305" s="77"/>
      <c r="AK1305" s="77"/>
      <c r="AL1305" s="77"/>
      <c r="AM1305" s="77"/>
      <c r="AN1305" s="77"/>
      <c r="AO1305" s="77"/>
      <c r="AP1305" s="77"/>
      <c r="AQ1305" s="77"/>
      <c r="AR1305" s="77"/>
      <c r="AS1305" s="77"/>
      <c r="AT1305" s="77"/>
      <c r="AU1305" s="77"/>
      <c r="AV1305" s="80" t="str">
        <f>HYPERLINK("https://pbs.twimg.com/profile_images/1176490241278054400/s4X9C_ZZ_normal.jpg")</f>
        <v>https://pbs.twimg.com/profile_images/1176490241278054400/s4X9C_ZZ_normal.jpg</v>
      </c>
      <c r="AW1305" s="82" t="s">
        <v>12969</v>
      </c>
      <c r="AX1305" s="82" t="s">
        <v>12969</v>
      </c>
      <c r="AY1305" s="77"/>
      <c r="AZ1305" s="82" t="s">
        <v>15984</v>
      </c>
      <c r="BA1305" s="82" t="s">
        <v>15984</v>
      </c>
      <c r="BB1305" s="82" t="s">
        <v>15984</v>
      </c>
      <c r="BC1305" s="82" t="s">
        <v>12969</v>
      </c>
      <c r="BD1305" s="77">
        <v>136293095</v>
      </c>
      <c r="BE1305" s="77"/>
      <c r="BF1305" s="77"/>
      <c r="BG1305" s="77"/>
      <c r="BH1305" s="77"/>
      <c r="BI1305" s="77"/>
    </row>
    <row r="1306" spans="1:61" x14ac:dyDescent="0.25">
      <c r="A1306" s="62" t="s">
        <v>607</v>
      </c>
      <c r="B1306" s="62" t="s">
        <v>607</v>
      </c>
      <c r="C1306" s="63"/>
      <c r="D1306" s="64"/>
      <c r="E1306" s="65"/>
      <c r="F1306" s="66"/>
      <c r="G1306" s="63"/>
      <c r="H1306" s="67"/>
      <c r="I1306" s="68"/>
      <c r="J1306" s="68"/>
      <c r="K1306" s="32"/>
      <c r="L1306" s="75">
        <v>1306</v>
      </c>
      <c r="M1306" s="75"/>
      <c r="N1306" s="70"/>
      <c r="O1306" s="77" t="s">
        <v>179</v>
      </c>
      <c r="P1306" s="79">
        <v>45195.567361111112</v>
      </c>
      <c r="Q1306" s="77" t="s">
        <v>2084</v>
      </c>
      <c r="R1306" s="77">
        <v>0</v>
      </c>
      <c r="S1306" s="77">
        <v>0</v>
      </c>
      <c r="T1306" s="77">
        <v>0</v>
      </c>
      <c r="U1306" s="77">
        <v>0</v>
      </c>
      <c r="V1306" s="77">
        <v>27</v>
      </c>
      <c r="W1306" s="82" t="s">
        <v>5530</v>
      </c>
      <c r="X1306" s="80" t="str">
        <f>HYPERLINK("https://enfoque.com.br/noticias/26-09-2023/pauta-do-dia-mercados-globais-operam-com-perdas?k=164188933")</f>
        <v>https://enfoque.com.br/noticias/26-09-2023/pauta-do-dia-mercados-globais-operam-com-perdas?k=164188933</v>
      </c>
      <c r="Y1306" s="77" t="s">
        <v>6470</v>
      </c>
      <c r="Z1306" s="77"/>
      <c r="AA1306" s="77"/>
      <c r="AB1306" s="77"/>
      <c r="AC1306" s="82" t="s">
        <v>7750</v>
      </c>
      <c r="AD1306" s="77" t="s">
        <v>7788</v>
      </c>
      <c r="AE1306" s="80" t="str">
        <f>HYPERLINK("https://twitter.com/enfoqueif/status/1706664166411628872")</f>
        <v>https://twitter.com/enfoqueif/status/1706664166411628872</v>
      </c>
      <c r="AF1306" s="79">
        <v>45195.567361111112</v>
      </c>
      <c r="AG1306" s="85">
        <v>45195</v>
      </c>
      <c r="AH1306" s="82" t="s">
        <v>8941</v>
      </c>
      <c r="AI1306" s="77" t="b">
        <v>0</v>
      </c>
      <c r="AJ1306" s="77"/>
      <c r="AK1306" s="77"/>
      <c r="AL1306" s="77"/>
      <c r="AM1306" s="77"/>
      <c r="AN1306" s="77"/>
      <c r="AO1306" s="77"/>
      <c r="AP1306" s="77"/>
      <c r="AQ1306" s="77"/>
      <c r="AR1306" s="77"/>
      <c r="AS1306" s="77"/>
      <c r="AT1306" s="77"/>
      <c r="AU1306" s="77"/>
      <c r="AV1306" s="80" t="str">
        <f>HYPERLINK("https://pbs.twimg.com/profile_images/1176490241278054400/s4X9C_ZZ_normal.jpg")</f>
        <v>https://pbs.twimg.com/profile_images/1176490241278054400/s4X9C_ZZ_normal.jpg</v>
      </c>
      <c r="AW1306" s="82" t="s">
        <v>12970</v>
      </c>
      <c r="AX1306" s="82" t="s">
        <v>12970</v>
      </c>
      <c r="AY1306" s="77"/>
      <c r="AZ1306" s="82" t="s">
        <v>15984</v>
      </c>
      <c r="BA1306" s="82" t="s">
        <v>15984</v>
      </c>
      <c r="BB1306" s="82" t="s">
        <v>15984</v>
      </c>
      <c r="BC1306" s="82" t="s">
        <v>12970</v>
      </c>
      <c r="BD1306" s="77">
        <v>136293095</v>
      </c>
      <c r="BE1306" s="77"/>
      <c r="BF1306" s="77"/>
      <c r="BG1306" s="77"/>
      <c r="BH1306" s="77"/>
      <c r="BI1306" s="77"/>
    </row>
    <row r="1307" spans="1:61" x14ac:dyDescent="0.25">
      <c r="A1307" s="62" t="s">
        <v>607</v>
      </c>
      <c r="B1307" s="62" t="s">
        <v>607</v>
      </c>
      <c r="C1307" s="63"/>
      <c r="D1307" s="64"/>
      <c r="E1307" s="65"/>
      <c r="F1307" s="66"/>
      <c r="G1307" s="63"/>
      <c r="H1307" s="67"/>
      <c r="I1307" s="68"/>
      <c r="J1307" s="68"/>
      <c r="K1307" s="32"/>
      <c r="L1307" s="75">
        <v>1307</v>
      </c>
      <c r="M1307" s="75"/>
      <c r="N1307" s="70"/>
      <c r="O1307" s="77" t="s">
        <v>179</v>
      </c>
      <c r="P1307" s="79">
        <v>45191.49181712963</v>
      </c>
      <c r="Q1307" s="77" t="s">
        <v>2085</v>
      </c>
      <c r="R1307" s="77">
        <v>0</v>
      </c>
      <c r="S1307" s="77">
        <v>0</v>
      </c>
      <c r="T1307" s="77">
        <v>0</v>
      </c>
      <c r="U1307" s="77">
        <v>0</v>
      </c>
      <c r="V1307" s="77">
        <v>25</v>
      </c>
      <c r="W1307" s="82" t="s">
        <v>5531</v>
      </c>
      <c r="X1307" s="80" t="str">
        <f>HYPERLINK("https://enfoque.com.br/noticias/22-09-2023/cambio-dolar-devera-fechar-a-semana-no-positivo?k=164188340")</f>
        <v>https://enfoque.com.br/noticias/22-09-2023/cambio-dolar-devera-fechar-a-semana-no-positivo?k=164188340</v>
      </c>
      <c r="Y1307" s="77" t="s">
        <v>6470</v>
      </c>
      <c r="Z1307" s="77"/>
      <c r="AA1307" s="77"/>
      <c r="AB1307" s="77"/>
      <c r="AC1307" s="82" t="s">
        <v>7750</v>
      </c>
      <c r="AD1307" s="77" t="s">
        <v>7788</v>
      </c>
      <c r="AE1307" s="80" t="str">
        <f>HYPERLINK("https://twitter.com/enfoqueif/status/1705187240274493796")</f>
        <v>https://twitter.com/enfoqueif/status/1705187240274493796</v>
      </c>
      <c r="AF1307" s="79">
        <v>45191.49181712963</v>
      </c>
      <c r="AG1307" s="85">
        <v>45191</v>
      </c>
      <c r="AH1307" s="82" t="s">
        <v>8942</v>
      </c>
      <c r="AI1307" s="77" t="b">
        <v>0</v>
      </c>
      <c r="AJ1307" s="77"/>
      <c r="AK1307" s="77"/>
      <c r="AL1307" s="77"/>
      <c r="AM1307" s="77"/>
      <c r="AN1307" s="77"/>
      <c r="AO1307" s="77"/>
      <c r="AP1307" s="77"/>
      <c r="AQ1307" s="77"/>
      <c r="AR1307" s="77"/>
      <c r="AS1307" s="77"/>
      <c r="AT1307" s="77"/>
      <c r="AU1307" s="77"/>
      <c r="AV1307" s="80" t="str">
        <f>HYPERLINK("https://pbs.twimg.com/profile_images/1176490241278054400/s4X9C_ZZ_normal.jpg")</f>
        <v>https://pbs.twimg.com/profile_images/1176490241278054400/s4X9C_ZZ_normal.jpg</v>
      </c>
      <c r="AW1307" s="82" t="s">
        <v>12971</v>
      </c>
      <c r="AX1307" s="82" t="s">
        <v>12971</v>
      </c>
      <c r="AY1307" s="77"/>
      <c r="AZ1307" s="82" t="s">
        <v>15984</v>
      </c>
      <c r="BA1307" s="82" t="s">
        <v>15984</v>
      </c>
      <c r="BB1307" s="82" t="s">
        <v>15984</v>
      </c>
      <c r="BC1307" s="82" t="s">
        <v>12971</v>
      </c>
      <c r="BD1307" s="77">
        <v>136293095</v>
      </c>
      <c r="BE1307" s="77"/>
      <c r="BF1307" s="77"/>
      <c r="BG1307" s="77"/>
      <c r="BH1307" s="77"/>
      <c r="BI1307" s="77"/>
    </row>
    <row r="1308" spans="1:61" x14ac:dyDescent="0.25">
      <c r="A1308" s="62" t="s">
        <v>607</v>
      </c>
      <c r="B1308" s="62" t="s">
        <v>607</v>
      </c>
      <c r="C1308" s="63"/>
      <c r="D1308" s="64"/>
      <c r="E1308" s="65"/>
      <c r="F1308" s="66"/>
      <c r="G1308" s="63"/>
      <c r="H1308" s="67"/>
      <c r="I1308" s="68"/>
      <c r="J1308" s="68"/>
      <c r="K1308" s="32"/>
      <c r="L1308" s="75">
        <v>1308</v>
      </c>
      <c r="M1308" s="75"/>
      <c r="N1308" s="70"/>
      <c r="O1308" s="77" t="s">
        <v>179</v>
      </c>
      <c r="P1308" s="79">
        <v>45173.512430555558</v>
      </c>
      <c r="Q1308" s="77" t="s">
        <v>2086</v>
      </c>
      <c r="R1308" s="77">
        <v>0</v>
      </c>
      <c r="S1308" s="77">
        <v>0</v>
      </c>
      <c r="T1308" s="77">
        <v>0</v>
      </c>
      <c r="U1308" s="77">
        <v>0</v>
      </c>
      <c r="V1308" s="77">
        <v>21</v>
      </c>
      <c r="W1308" s="82" t="s">
        <v>5532</v>
      </c>
      <c r="X1308" s="80" t="str">
        <f>HYPERLINK("https://enfoque.com.br/noticias/04-09-2023/pauta-do-dia-mercados-iniciam-semana-no-campo-positivo?k=164185361")</f>
        <v>https://enfoque.com.br/noticias/04-09-2023/pauta-do-dia-mercados-iniciam-semana-no-campo-positivo?k=164185361</v>
      </c>
      <c r="Y1308" s="77" t="s">
        <v>6470</v>
      </c>
      <c r="Z1308" s="77"/>
      <c r="AA1308" s="77"/>
      <c r="AB1308" s="77"/>
      <c r="AC1308" s="82" t="s">
        <v>7750</v>
      </c>
      <c r="AD1308" s="77" t="s">
        <v>7788</v>
      </c>
      <c r="AE1308" s="80" t="str">
        <f>HYPERLINK("https://twitter.com/enfoqueif/status/1698671727532761285")</f>
        <v>https://twitter.com/enfoqueif/status/1698671727532761285</v>
      </c>
      <c r="AF1308" s="79">
        <v>45173.512430555558</v>
      </c>
      <c r="AG1308" s="85">
        <v>45173</v>
      </c>
      <c r="AH1308" s="82" t="s">
        <v>8943</v>
      </c>
      <c r="AI1308" s="77" t="b">
        <v>0</v>
      </c>
      <c r="AJ1308" s="77"/>
      <c r="AK1308" s="77"/>
      <c r="AL1308" s="77"/>
      <c r="AM1308" s="77"/>
      <c r="AN1308" s="77"/>
      <c r="AO1308" s="77"/>
      <c r="AP1308" s="77"/>
      <c r="AQ1308" s="77"/>
      <c r="AR1308" s="77"/>
      <c r="AS1308" s="77"/>
      <c r="AT1308" s="77"/>
      <c r="AU1308" s="77"/>
      <c r="AV1308" s="80" t="str">
        <f>HYPERLINK("https://pbs.twimg.com/profile_images/1176490241278054400/s4X9C_ZZ_normal.jpg")</f>
        <v>https://pbs.twimg.com/profile_images/1176490241278054400/s4X9C_ZZ_normal.jpg</v>
      </c>
      <c r="AW1308" s="82" t="s">
        <v>12972</v>
      </c>
      <c r="AX1308" s="82" t="s">
        <v>12972</v>
      </c>
      <c r="AY1308" s="77"/>
      <c r="AZ1308" s="82" t="s">
        <v>15984</v>
      </c>
      <c r="BA1308" s="82" t="s">
        <v>15984</v>
      </c>
      <c r="BB1308" s="82" t="s">
        <v>15984</v>
      </c>
      <c r="BC1308" s="82" t="s">
        <v>12972</v>
      </c>
      <c r="BD1308" s="77">
        <v>136293095</v>
      </c>
      <c r="BE1308" s="77"/>
      <c r="BF1308" s="77"/>
      <c r="BG1308" s="77"/>
      <c r="BH1308" s="77"/>
      <c r="BI1308" s="77"/>
    </row>
    <row r="1309" spans="1:61" x14ac:dyDescent="0.25">
      <c r="A1309" s="62" t="s">
        <v>607</v>
      </c>
      <c r="B1309" s="62" t="s">
        <v>607</v>
      </c>
      <c r="C1309" s="63"/>
      <c r="D1309" s="64"/>
      <c r="E1309" s="65"/>
      <c r="F1309" s="66"/>
      <c r="G1309" s="63"/>
      <c r="H1309" s="67"/>
      <c r="I1309" s="68"/>
      <c r="J1309" s="68"/>
      <c r="K1309" s="32"/>
      <c r="L1309" s="75">
        <v>1309</v>
      </c>
      <c r="M1309" s="75"/>
      <c r="N1309" s="70"/>
      <c r="O1309" s="77" t="s">
        <v>179</v>
      </c>
      <c r="P1309" s="79">
        <v>45173.511550925927</v>
      </c>
      <c r="Q1309" s="77" t="s">
        <v>2087</v>
      </c>
      <c r="R1309" s="77">
        <v>0</v>
      </c>
      <c r="S1309" s="77">
        <v>0</v>
      </c>
      <c r="T1309" s="77">
        <v>0</v>
      </c>
      <c r="U1309" s="77">
        <v>0</v>
      </c>
      <c r="V1309" s="77">
        <v>23</v>
      </c>
      <c r="W1309" s="82" t="s">
        <v>5533</v>
      </c>
      <c r="X1309" s="80" t="str">
        <f>HYPERLINK("https://enfoque.com.br/noticias/04-09-2023/cambio-dolar-comecou-setembro-com-leve-baixa-vendido-a-r-4941?k=164185339")</f>
        <v>https://enfoque.com.br/noticias/04-09-2023/cambio-dolar-comecou-setembro-com-leve-baixa-vendido-a-r-4941?k=164185339</v>
      </c>
      <c r="Y1309" s="77" t="s">
        <v>6470</v>
      </c>
      <c r="Z1309" s="77"/>
      <c r="AA1309" s="77"/>
      <c r="AB1309" s="77"/>
      <c r="AC1309" s="82" t="s">
        <v>7750</v>
      </c>
      <c r="AD1309" s="77" t="s">
        <v>7788</v>
      </c>
      <c r="AE1309" s="80" t="str">
        <f>HYPERLINK("https://twitter.com/enfoqueif/status/1698671410934157554")</f>
        <v>https://twitter.com/enfoqueif/status/1698671410934157554</v>
      </c>
      <c r="AF1309" s="79">
        <v>45173.511550925927</v>
      </c>
      <c r="AG1309" s="85">
        <v>45173</v>
      </c>
      <c r="AH1309" s="82" t="s">
        <v>8944</v>
      </c>
      <c r="AI1309" s="77" t="b">
        <v>0</v>
      </c>
      <c r="AJ1309" s="77"/>
      <c r="AK1309" s="77"/>
      <c r="AL1309" s="77"/>
      <c r="AM1309" s="77"/>
      <c r="AN1309" s="77"/>
      <c r="AO1309" s="77"/>
      <c r="AP1309" s="77"/>
      <c r="AQ1309" s="77"/>
      <c r="AR1309" s="77"/>
      <c r="AS1309" s="77"/>
      <c r="AT1309" s="77"/>
      <c r="AU1309" s="77"/>
      <c r="AV1309" s="80" t="str">
        <f>HYPERLINK("https://pbs.twimg.com/profile_images/1176490241278054400/s4X9C_ZZ_normal.jpg")</f>
        <v>https://pbs.twimg.com/profile_images/1176490241278054400/s4X9C_ZZ_normal.jpg</v>
      </c>
      <c r="AW1309" s="82" t="s">
        <v>12973</v>
      </c>
      <c r="AX1309" s="82" t="s">
        <v>12973</v>
      </c>
      <c r="AY1309" s="77"/>
      <c r="AZ1309" s="82" t="s">
        <v>15984</v>
      </c>
      <c r="BA1309" s="82" t="s">
        <v>15984</v>
      </c>
      <c r="BB1309" s="82" t="s">
        <v>15984</v>
      </c>
      <c r="BC1309" s="82" t="s">
        <v>12973</v>
      </c>
      <c r="BD1309" s="77">
        <v>136293095</v>
      </c>
      <c r="BE1309" s="77"/>
      <c r="BF1309" s="77"/>
      <c r="BG1309" s="77"/>
      <c r="BH1309" s="77"/>
      <c r="BI1309" s="77"/>
    </row>
    <row r="1310" spans="1:61" x14ac:dyDescent="0.25">
      <c r="A1310" s="62" t="s">
        <v>607</v>
      </c>
      <c r="B1310" s="62" t="s">
        <v>607</v>
      </c>
      <c r="C1310" s="63"/>
      <c r="D1310" s="64"/>
      <c r="E1310" s="65"/>
      <c r="F1310" s="66"/>
      <c r="G1310" s="63"/>
      <c r="H1310" s="67"/>
      <c r="I1310" s="68"/>
      <c r="J1310" s="68"/>
      <c r="K1310" s="32"/>
      <c r="L1310" s="75">
        <v>1310</v>
      </c>
      <c r="M1310" s="75"/>
      <c r="N1310" s="70"/>
      <c r="O1310" s="77" t="s">
        <v>179</v>
      </c>
      <c r="P1310" s="79">
        <v>45162.501932870371</v>
      </c>
      <c r="Q1310" s="77" t="s">
        <v>2088</v>
      </c>
      <c r="R1310" s="77">
        <v>0</v>
      </c>
      <c r="S1310" s="77">
        <v>0</v>
      </c>
      <c r="T1310" s="77">
        <v>0</v>
      </c>
      <c r="U1310" s="77">
        <v>0</v>
      </c>
      <c r="V1310" s="77">
        <v>78</v>
      </c>
      <c r="W1310" s="82" t="s">
        <v>5534</v>
      </c>
      <c r="X1310" s="80" t="str">
        <f>HYPERLINK("https://enfoque.com.br/noticias/24-08-2023/pauta-do-dia-mercados-globais-operam-em-alta-nesta-manha?k=164183464")</f>
        <v>https://enfoque.com.br/noticias/24-08-2023/pauta-do-dia-mercados-globais-operam-em-alta-nesta-manha?k=164183464</v>
      </c>
      <c r="Y1310" s="77" t="s">
        <v>6470</v>
      </c>
      <c r="Z1310" s="77"/>
      <c r="AA1310" s="77"/>
      <c r="AB1310" s="77"/>
      <c r="AC1310" s="82" t="s">
        <v>7750</v>
      </c>
      <c r="AD1310" s="77" t="s">
        <v>7788</v>
      </c>
      <c r="AE1310" s="80" t="str">
        <f>HYPERLINK("https://twitter.com/enfoqueif/status/1694681655544348721")</f>
        <v>https://twitter.com/enfoqueif/status/1694681655544348721</v>
      </c>
      <c r="AF1310" s="79">
        <v>45162.501932870371</v>
      </c>
      <c r="AG1310" s="85">
        <v>45162</v>
      </c>
      <c r="AH1310" s="82" t="s">
        <v>8945</v>
      </c>
      <c r="AI1310" s="77" t="b">
        <v>0</v>
      </c>
      <c r="AJ1310" s="77"/>
      <c r="AK1310" s="77"/>
      <c r="AL1310" s="77"/>
      <c r="AM1310" s="77"/>
      <c r="AN1310" s="77"/>
      <c r="AO1310" s="77"/>
      <c r="AP1310" s="77"/>
      <c r="AQ1310" s="77"/>
      <c r="AR1310" s="77"/>
      <c r="AS1310" s="77"/>
      <c r="AT1310" s="77"/>
      <c r="AU1310" s="77"/>
      <c r="AV1310" s="80" t="str">
        <f>HYPERLINK("https://pbs.twimg.com/profile_images/1176490241278054400/s4X9C_ZZ_normal.jpg")</f>
        <v>https://pbs.twimg.com/profile_images/1176490241278054400/s4X9C_ZZ_normal.jpg</v>
      </c>
      <c r="AW1310" s="82" t="s">
        <v>12974</v>
      </c>
      <c r="AX1310" s="82" t="s">
        <v>12974</v>
      </c>
      <c r="AY1310" s="77"/>
      <c r="AZ1310" s="82" t="s">
        <v>15984</v>
      </c>
      <c r="BA1310" s="82" t="s">
        <v>15984</v>
      </c>
      <c r="BB1310" s="82" t="s">
        <v>15984</v>
      </c>
      <c r="BC1310" s="82" t="s">
        <v>12974</v>
      </c>
      <c r="BD1310" s="77">
        <v>136293095</v>
      </c>
      <c r="BE1310" s="77"/>
      <c r="BF1310" s="77"/>
      <c r="BG1310" s="77"/>
      <c r="BH1310" s="77"/>
      <c r="BI1310" s="77"/>
    </row>
    <row r="1311" spans="1:61" x14ac:dyDescent="0.25">
      <c r="A1311" s="62" t="s">
        <v>607</v>
      </c>
      <c r="B1311" s="62" t="s">
        <v>607</v>
      </c>
      <c r="C1311" s="63"/>
      <c r="D1311" s="64"/>
      <c r="E1311" s="65"/>
      <c r="F1311" s="66"/>
      <c r="G1311" s="63"/>
      <c r="H1311" s="67"/>
      <c r="I1311" s="68"/>
      <c r="J1311" s="68"/>
      <c r="K1311" s="32"/>
      <c r="L1311" s="75">
        <v>1311</v>
      </c>
      <c r="M1311" s="75"/>
      <c r="N1311" s="70"/>
      <c r="O1311" s="77" t="s">
        <v>179</v>
      </c>
      <c r="P1311" s="79">
        <v>45162.500983796293</v>
      </c>
      <c r="Q1311" s="77" t="s">
        <v>2089</v>
      </c>
      <c r="R1311" s="77">
        <v>0</v>
      </c>
      <c r="S1311" s="77">
        <v>0</v>
      </c>
      <c r="T1311" s="77">
        <v>0</v>
      </c>
      <c r="U1311" s="77">
        <v>0</v>
      </c>
      <c r="V1311" s="77">
        <v>60</v>
      </c>
      <c r="W1311" s="82" t="s">
        <v>5535</v>
      </c>
      <c r="X1311" s="80" t="str">
        <f>HYPERLINK("https://enfoque.com.br/noticias/24-08-2023/cambio-dolar-fechou-com-forte-baixa-de-174-na-quarta-feira?k=164183459")</f>
        <v>https://enfoque.com.br/noticias/24-08-2023/cambio-dolar-fechou-com-forte-baixa-de-174-na-quarta-feira?k=164183459</v>
      </c>
      <c r="Y1311" s="77" t="s">
        <v>6470</v>
      </c>
      <c r="Z1311" s="77"/>
      <c r="AA1311" s="77"/>
      <c r="AB1311" s="77"/>
      <c r="AC1311" s="82" t="s">
        <v>7750</v>
      </c>
      <c r="AD1311" s="77" t="s">
        <v>7788</v>
      </c>
      <c r="AE1311" s="80" t="str">
        <f>HYPERLINK("https://twitter.com/enfoqueif/status/1694681314190913793")</f>
        <v>https://twitter.com/enfoqueif/status/1694681314190913793</v>
      </c>
      <c r="AF1311" s="79">
        <v>45162.500983796293</v>
      </c>
      <c r="AG1311" s="85">
        <v>45162</v>
      </c>
      <c r="AH1311" s="82" t="s">
        <v>8946</v>
      </c>
      <c r="AI1311" s="77" t="b">
        <v>0</v>
      </c>
      <c r="AJ1311" s="77"/>
      <c r="AK1311" s="77"/>
      <c r="AL1311" s="77"/>
      <c r="AM1311" s="77"/>
      <c r="AN1311" s="77"/>
      <c r="AO1311" s="77"/>
      <c r="AP1311" s="77"/>
      <c r="AQ1311" s="77"/>
      <c r="AR1311" s="77"/>
      <c r="AS1311" s="77"/>
      <c r="AT1311" s="77"/>
      <c r="AU1311" s="77"/>
      <c r="AV1311" s="80" t="str">
        <f>HYPERLINK("https://pbs.twimg.com/profile_images/1176490241278054400/s4X9C_ZZ_normal.jpg")</f>
        <v>https://pbs.twimg.com/profile_images/1176490241278054400/s4X9C_ZZ_normal.jpg</v>
      </c>
      <c r="AW1311" s="82" t="s">
        <v>12975</v>
      </c>
      <c r="AX1311" s="82" t="s">
        <v>12975</v>
      </c>
      <c r="AY1311" s="77"/>
      <c r="AZ1311" s="82" t="s">
        <v>15984</v>
      </c>
      <c r="BA1311" s="82" t="s">
        <v>15984</v>
      </c>
      <c r="BB1311" s="82" t="s">
        <v>15984</v>
      </c>
      <c r="BC1311" s="82" t="s">
        <v>12975</v>
      </c>
      <c r="BD1311" s="77">
        <v>136293095</v>
      </c>
      <c r="BE1311" s="77"/>
      <c r="BF1311" s="77"/>
      <c r="BG1311" s="77"/>
      <c r="BH1311" s="77"/>
      <c r="BI1311" s="77"/>
    </row>
    <row r="1312" spans="1:61" x14ac:dyDescent="0.25">
      <c r="A1312" s="62" t="s">
        <v>607</v>
      </c>
      <c r="B1312" s="62" t="s">
        <v>607</v>
      </c>
      <c r="C1312" s="63"/>
      <c r="D1312" s="64"/>
      <c r="E1312" s="65"/>
      <c r="F1312" s="66"/>
      <c r="G1312" s="63"/>
      <c r="H1312" s="67"/>
      <c r="I1312" s="68"/>
      <c r="J1312" s="68"/>
      <c r="K1312" s="32"/>
      <c r="L1312" s="75">
        <v>1312</v>
      </c>
      <c r="M1312" s="75"/>
      <c r="N1312" s="70"/>
      <c r="O1312" s="77" t="s">
        <v>179</v>
      </c>
      <c r="P1312" s="79">
        <v>45124.487662037034</v>
      </c>
      <c r="Q1312" s="77" t="s">
        <v>2090</v>
      </c>
      <c r="R1312" s="77">
        <v>0</v>
      </c>
      <c r="S1312" s="77">
        <v>0</v>
      </c>
      <c r="T1312" s="77">
        <v>0</v>
      </c>
      <c r="U1312" s="77">
        <v>0</v>
      </c>
      <c r="V1312" s="77">
        <v>73</v>
      </c>
      <c r="W1312" s="82" t="s">
        <v>5536</v>
      </c>
      <c r="X1312" s="80" t="str">
        <f>HYPERLINK("https://enfoque.com.br/noticias/17-07-2023/cambio-dolar-deve-iniciar-a-semana-com-vies-de-alta?k=164176369")</f>
        <v>https://enfoque.com.br/noticias/17-07-2023/cambio-dolar-deve-iniciar-a-semana-com-vies-de-alta?k=164176369</v>
      </c>
      <c r="Y1312" s="77" t="s">
        <v>6470</v>
      </c>
      <c r="Z1312" s="77"/>
      <c r="AA1312" s="77"/>
      <c r="AB1312" s="77"/>
      <c r="AC1312" s="82" t="s">
        <v>7750</v>
      </c>
      <c r="AD1312" s="77" t="s">
        <v>7788</v>
      </c>
      <c r="AE1312" s="80" t="str">
        <f>HYPERLINK("https://twitter.com/enfoqueif/status/1680905746010054658")</f>
        <v>https://twitter.com/enfoqueif/status/1680905746010054658</v>
      </c>
      <c r="AF1312" s="79">
        <v>45124.487662037034</v>
      </c>
      <c r="AG1312" s="85">
        <v>45124</v>
      </c>
      <c r="AH1312" s="82" t="s">
        <v>8947</v>
      </c>
      <c r="AI1312" s="77" t="b">
        <v>0</v>
      </c>
      <c r="AJ1312" s="77"/>
      <c r="AK1312" s="77"/>
      <c r="AL1312" s="77"/>
      <c r="AM1312" s="77"/>
      <c r="AN1312" s="77"/>
      <c r="AO1312" s="77"/>
      <c r="AP1312" s="77"/>
      <c r="AQ1312" s="77"/>
      <c r="AR1312" s="77"/>
      <c r="AS1312" s="77"/>
      <c r="AT1312" s="77"/>
      <c r="AU1312" s="77"/>
      <c r="AV1312" s="80" t="str">
        <f>HYPERLINK("https://pbs.twimg.com/profile_images/1176490241278054400/s4X9C_ZZ_normal.jpg")</f>
        <v>https://pbs.twimg.com/profile_images/1176490241278054400/s4X9C_ZZ_normal.jpg</v>
      </c>
      <c r="AW1312" s="82" t="s">
        <v>12976</v>
      </c>
      <c r="AX1312" s="82" t="s">
        <v>12976</v>
      </c>
      <c r="AY1312" s="77"/>
      <c r="AZ1312" s="82" t="s">
        <v>15984</v>
      </c>
      <c r="BA1312" s="82" t="s">
        <v>15984</v>
      </c>
      <c r="BB1312" s="82" t="s">
        <v>15984</v>
      </c>
      <c r="BC1312" s="82" t="s">
        <v>12976</v>
      </c>
      <c r="BD1312" s="77">
        <v>136293095</v>
      </c>
      <c r="BE1312" s="77"/>
      <c r="BF1312" s="77"/>
      <c r="BG1312" s="77"/>
      <c r="BH1312" s="77"/>
      <c r="BI1312" s="77"/>
    </row>
    <row r="1313" spans="1:61" x14ac:dyDescent="0.25">
      <c r="A1313" s="62" t="s">
        <v>608</v>
      </c>
      <c r="B1313" s="62" t="s">
        <v>608</v>
      </c>
      <c r="C1313" s="63"/>
      <c r="D1313" s="64"/>
      <c r="E1313" s="65"/>
      <c r="F1313" s="66"/>
      <c r="G1313" s="63"/>
      <c r="H1313" s="67"/>
      <c r="I1313" s="68"/>
      <c r="J1313" s="68"/>
      <c r="K1313" s="32"/>
      <c r="L1313" s="75">
        <v>1313</v>
      </c>
      <c r="M1313" s="75"/>
      <c r="N1313" s="70"/>
      <c r="O1313" s="77" t="s">
        <v>179</v>
      </c>
      <c r="P1313" s="79">
        <v>45176.12841435185</v>
      </c>
      <c r="Q1313" s="77" t="s">
        <v>2091</v>
      </c>
      <c r="R1313" s="77">
        <v>0</v>
      </c>
      <c r="S1313" s="77">
        <v>1</v>
      </c>
      <c r="T1313" s="77">
        <v>0</v>
      </c>
      <c r="U1313" s="77">
        <v>0</v>
      </c>
      <c r="V1313" s="77">
        <v>121</v>
      </c>
      <c r="W1313" s="82" t="s">
        <v>5537</v>
      </c>
      <c r="X1313" s="77"/>
      <c r="Y1313" s="77"/>
      <c r="Z1313" s="77"/>
      <c r="AA1313" s="77" t="s">
        <v>7341</v>
      </c>
      <c r="AB1313" s="77" t="s">
        <v>7742</v>
      </c>
      <c r="AC1313" s="82" t="s">
        <v>7752</v>
      </c>
      <c r="AD1313" s="77" t="s">
        <v>7788</v>
      </c>
      <c r="AE1313" s="80" t="str">
        <f>HYPERLINK("https://twitter.com/edsonsilva_sv/status/1699619731207000111")</f>
        <v>https://twitter.com/edsonsilva_sv/status/1699619731207000111</v>
      </c>
      <c r="AF1313" s="79">
        <v>45176.12841435185</v>
      </c>
      <c r="AG1313" s="85">
        <v>45176</v>
      </c>
      <c r="AH1313" s="82" t="s">
        <v>8948</v>
      </c>
      <c r="AI1313" s="77" t="b">
        <v>0</v>
      </c>
      <c r="AJ1313" s="77"/>
      <c r="AK1313" s="77"/>
      <c r="AL1313" s="77"/>
      <c r="AM1313" s="77"/>
      <c r="AN1313" s="77"/>
      <c r="AO1313" s="77"/>
      <c r="AP1313" s="77"/>
      <c r="AQ1313" s="77" t="s">
        <v>11313</v>
      </c>
      <c r="AR1313" s="77"/>
      <c r="AS1313" s="77"/>
      <c r="AT1313" s="77"/>
      <c r="AU1313" s="77"/>
      <c r="AV1313" s="80" t="str">
        <f>HYPERLINK("https://pbs.twimg.com/media/F5ZDIwxWoAAcVoO.jpg")</f>
        <v>https://pbs.twimg.com/media/F5ZDIwxWoAAcVoO.jpg</v>
      </c>
      <c r="AW1313" s="82" t="s">
        <v>12977</v>
      </c>
      <c r="AX1313" s="82" t="s">
        <v>12977</v>
      </c>
      <c r="AY1313" s="77"/>
      <c r="AZ1313" s="82" t="s">
        <v>15984</v>
      </c>
      <c r="BA1313" s="82" t="s">
        <v>15984</v>
      </c>
      <c r="BB1313" s="82" t="s">
        <v>15984</v>
      </c>
      <c r="BC1313" s="82" t="s">
        <v>12977</v>
      </c>
      <c r="BD1313" s="82" t="s">
        <v>16323</v>
      </c>
      <c r="BE1313" s="77"/>
      <c r="BF1313" s="77"/>
      <c r="BG1313" s="77"/>
      <c r="BH1313" s="77"/>
      <c r="BI1313" s="77"/>
    </row>
    <row r="1314" spans="1:61" x14ac:dyDescent="0.25">
      <c r="A1314" s="62" t="s">
        <v>609</v>
      </c>
      <c r="B1314" s="62" t="s">
        <v>609</v>
      </c>
      <c r="C1314" s="63"/>
      <c r="D1314" s="64"/>
      <c r="E1314" s="65"/>
      <c r="F1314" s="66"/>
      <c r="G1314" s="63"/>
      <c r="H1314" s="67"/>
      <c r="I1314" s="68"/>
      <c r="J1314" s="68"/>
      <c r="K1314" s="32"/>
      <c r="L1314" s="75">
        <v>1314</v>
      </c>
      <c r="M1314" s="75"/>
      <c r="N1314" s="70"/>
      <c r="O1314" s="77" t="s">
        <v>898</v>
      </c>
      <c r="P1314" s="79">
        <v>45158.577418981484</v>
      </c>
      <c r="Q1314" s="77" t="s">
        <v>2092</v>
      </c>
      <c r="R1314" s="77">
        <v>0</v>
      </c>
      <c r="S1314" s="77">
        <v>0</v>
      </c>
      <c r="T1314" s="77">
        <v>0</v>
      </c>
      <c r="U1314" s="77">
        <v>0</v>
      </c>
      <c r="V1314" s="77">
        <v>10</v>
      </c>
      <c r="W1314" s="82" t="s">
        <v>5538</v>
      </c>
      <c r="X1314" s="77"/>
      <c r="Y1314" s="77"/>
      <c r="Z1314" s="77"/>
      <c r="AA1314" s="77"/>
      <c r="AB1314" s="77"/>
      <c r="AC1314" s="82" t="s">
        <v>7752</v>
      </c>
      <c r="AD1314" s="77" t="s">
        <v>7788</v>
      </c>
      <c r="AE1314" s="80" t="str">
        <f>HYPERLINK("https://twitter.com/canaldomvicto/status/1693259461001990359")</f>
        <v>https://twitter.com/canaldomvicto/status/1693259461001990359</v>
      </c>
      <c r="AF1314" s="79">
        <v>45158.577418981484</v>
      </c>
      <c r="AG1314" s="85">
        <v>45158</v>
      </c>
      <c r="AH1314" s="82" t="s">
        <v>8949</v>
      </c>
      <c r="AI1314" s="77"/>
      <c r="AJ1314" s="77"/>
      <c r="AK1314" s="77"/>
      <c r="AL1314" s="77"/>
      <c r="AM1314" s="77"/>
      <c r="AN1314" s="77"/>
      <c r="AO1314" s="77"/>
      <c r="AP1314" s="77"/>
      <c r="AQ1314" s="77"/>
      <c r="AR1314" s="77"/>
      <c r="AS1314" s="77"/>
      <c r="AT1314" s="77"/>
      <c r="AU1314" s="77"/>
      <c r="AV1314" s="80" t="str">
        <f>HYPERLINK("https://pbs.twimg.com/profile_images/1699525735977758721/TBSX-xLJ_normal.jpg")</f>
        <v>https://pbs.twimg.com/profile_images/1699525735977758721/TBSX-xLJ_normal.jpg</v>
      </c>
      <c r="AW1314" s="82" t="s">
        <v>12978</v>
      </c>
      <c r="AX1314" s="82" t="s">
        <v>15873</v>
      </c>
      <c r="AY1314" s="82" t="s">
        <v>15966</v>
      </c>
      <c r="AZ1314" s="82" t="s">
        <v>16084</v>
      </c>
      <c r="BA1314" s="82" t="s">
        <v>15984</v>
      </c>
      <c r="BB1314" s="82" t="s">
        <v>15984</v>
      </c>
      <c r="BC1314" s="82" t="s">
        <v>16084</v>
      </c>
      <c r="BD1314" s="82" t="s">
        <v>15966</v>
      </c>
      <c r="BE1314" s="77"/>
      <c r="BF1314" s="77"/>
      <c r="BG1314" s="77"/>
      <c r="BH1314" s="77"/>
      <c r="BI1314" s="77"/>
    </row>
    <row r="1315" spans="1:61" x14ac:dyDescent="0.25">
      <c r="A1315" s="62" t="s">
        <v>610</v>
      </c>
      <c r="B1315" s="62" t="s">
        <v>709</v>
      </c>
      <c r="C1315" s="63"/>
      <c r="D1315" s="64"/>
      <c r="E1315" s="65"/>
      <c r="F1315" s="66"/>
      <c r="G1315" s="63"/>
      <c r="H1315" s="67"/>
      <c r="I1315" s="68"/>
      <c r="J1315" s="68"/>
      <c r="K1315" s="32"/>
      <c r="L1315" s="75">
        <v>1315</v>
      </c>
      <c r="M1315" s="75"/>
      <c r="N1315" s="70"/>
      <c r="O1315" s="77" t="s">
        <v>897</v>
      </c>
      <c r="P1315" s="79">
        <v>45193.110486111109</v>
      </c>
      <c r="Q1315" s="77" t="s">
        <v>2017</v>
      </c>
      <c r="R1315" s="77">
        <v>3</v>
      </c>
      <c r="S1315" s="77">
        <v>0</v>
      </c>
      <c r="T1315" s="77">
        <v>0</v>
      </c>
      <c r="U1315" s="77">
        <v>0</v>
      </c>
      <c r="V1315" s="77"/>
      <c r="W1315" s="77"/>
      <c r="X1315" s="77"/>
      <c r="Y1315" s="77"/>
      <c r="Z1315" s="77" t="s">
        <v>709</v>
      </c>
      <c r="AA1315" s="77"/>
      <c r="AB1315" s="77"/>
      <c r="AC1315" s="82" t="s">
        <v>7751</v>
      </c>
      <c r="AD1315" s="77" t="s">
        <v>7788</v>
      </c>
      <c r="AE1315" s="80" t="str">
        <f>HYPERLINK("https://twitter.com/_mattlcs/status/1705773827509076395")</f>
        <v>https://twitter.com/_mattlcs/status/1705773827509076395</v>
      </c>
      <c r="AF1315" s="79">
        <v>45193.110486111109</v>
      </c>
      <c r="AG1315" s="85">
        <v>45193</v>
      </c>
      <c r="AH1315" s="82" t="s">
        <v>8950</v>
      </c>
      <c r="AI1315" s="77"/>
      <c r="AJ1315" s="77"/>
      <c r="AK1315" s="77"/>
      <c r="AL1315" s="77"/>
      <c r="AM1315" s="77"/>
      <c r="AN1315" s="77"/>
      <c r="AO1315" s="77"/>
      <c r="AP1315" s="77"/>
      <c r="AQ1315" s="77"/>
      <c r="AR1315" s="77"/>
      <c r="AS1315" s="77"/>
      <c r="AT1315" s="77"/>
      <c r="AU1315" s="77"/>
      <c r="AV1315" s="80" t="str">
        <f>HYPERLINK("https://pbs.twimg.com/profile_images/1706420939850645504/YmGESuU4_normal.jpg")</f>
        <v>https://pbs.twimg.com/profile_images/1706420939850645504/YmGESuU4_normal.jpg</v>
      </c>
      <c r="AW1315" s="82" t="s">
        <v>12979</v>
      </c>
      <c r="AX1315" s="82" t="s">
        <v>12979</v>
      </c>
      <c r="AY1315" s="77"/>
      <c r="AZ1315" s="82" t="s">
        <v>15984</v>
      </c>
      <c r="BA1315" s="82" t="s">
        <v>15984</v>
      </c>
      <c r="BB1315" s="82" t="s">
        <v>13586</v>
      </c>
      <c r="BC1315" s="82" t="s">
        <v>13586</v>
      </c>
      <c r="BD1315" s="77">
        <v>502302340</v>
      </c>
      <c r="BE1315" s="77"/>
      <c r="BF1315" s="77"/>
      <c r="BG1315" s="77"/>
      <c r="BH1315" s="77"/>
      <c r="BI1315" s="77"/>
    </row>
    <row r="1316" spans="1:61" x14ac:dyDescent="0.25">
      <c r="A1316" s="62" t="s">
        <v>611</v>
      </c>
      <c r="B1316" s="62" t="s">
        <v>611</v>
      </c>
      <c r="C1316" s="63"/>
      <c r="D1316" s="64"/>
      <c r="E1316" s="65"/>
      <c r="F1316" s="66"/>
      <c r="G1316" s="63"/>
      <c r="H1316" s="67"/>
      <c r="I1316" s="68"/>
      <c r="J1316" s="68"/>
      <c r="K1316" s="32"/>
      <c r="L1316" s="75">
        <v>1316</v>
      </c>
      <c r="M1316" s="75"/>
      <c r="N1316" s="70"/>
      <c r="O1316" s="77" t="s">
        <v>179</v>
      </c>
      <c r="P1316" s="79">
        <v>45118.208761574075</v>
      </c>
      <c r="Q1316" s="77" t="s">
        <v>2093</v>
      </c>
      <c r="R1316" s="77">
        <v>0</v>
      </c>
      <c r="S1316" s="77">
        <v>0</v>
      </c>
      <c r="T1316" s="77">
        <v>0</v>
      </c>
      <c r="U1316" s="77">
        <v>0</v>
      </c>
      <c r="V1316" s="77">
        <v>14</v>
      </c>
      <c r="W1316" s="82" t="s">
        <v>5539</v>
      </c>
      <c r="X1316" s="80" t="str">
        <f>HYPERLINK("https://youtu.be/_w3-Kma_grE")</f>
        <v>https://youtu.be/_w3-Kma_grE</v>
      </c>
      <c r="Y1316" s="77" t="s">
        <v>6472</v>
      </c>
      <c r="Z1316" s="77"/>
      <c r="AA1316" s="77"/>
      <c r="AB1316" s="77"/>
      <c r="AC1316" s="82" t="s">
        <v>7752</v>
      </c>
      <c r="AD1316" s="77" t="s">
        <v>7788</v>
      </c>
      <c r="AE1316" s="80" t="str">
        <f>HYPERLINK("https://twitter.com/mariocssantana/status/1678630348475846657")</f>
        <v>https://twitter.com/mariocssantana/status/1678630348475846657</v>
      </c>
      <c r="AF1316" s="79">
        <v>45118.208761574075</v>
      </c>
      <c r="AG1316" s="85">
        <v>45118</v>
      </c>
      <c r="AH1316" s="82" t="s">
        <v>8951</v>
      </c>
      <c r="AI1316" s="77" t="b">
        <v>0</v>
      </c>
      <c r="AJ1316" s="77"/>
      <c r="AK1316" s="77"/>
      <c r="AL1316" s="77"/>
      <c r="AM1316" s="77"/>
      <c r="AN1316" s="77"/>
      <c r="AO1316" s="77"/>
      <c r="AP1316" s="77"/>
      <c r="AQ1316" s="77"/>
      <c r="AR1316" s="77"/>
      <c r="AS1316" s="77"/>
      <c r="AT1316" s="77"/>
      <c r="AU1316" s="77"/>
      <c r="AV1316" s="80" t="str">
        <f>HYPERLINK("https://pbs.twimg.com/profile_images/962056121358807047/tkSvPRCm_normal.jpg")</f>
        <v>https://pbs.twimg.com/profile_images/962056121358807047/tkSvPRCm_normal.jpg</v>
      </c>
      <c r="AW1316" s="82" t="s">
        <v>12980</v>
      </c>
      <c r="AX1316" s="82" t="s">
        <v>12980</v>
      </c>
      <c r="AY1316" s="77"/>
      <c r="AZ1316" s="82" t="s">
        <v>15984</v>
      </c>
      <c r="BA1316" s="82" t="s">
        <v>15984</v>
      </c>
      <c r="BB1316" s="82" t="s">
        <v>15984</v>
      </c>
      <c r="BC1316" s="82" t="s">
        <v>12980</v>
      </c>
      <c r="BD1316" s="77">
        <v>289986224</v>
      </c>
      <c r="BE1316" s="77"/>
      <c r="BF1316" s="77"/>
      <c r="BG1316" s="77"/>
      <c r="BH1316" s="77"/>
      <c r="BI1316" s="77"/>
    </row>
    <row r="1317" spans="1:61" x14ac:dyDescent="0.25">
      <c r="A1317" s="62" t="s">
        <v>612</v>
      </c>
      <c r="B1317" s="62" t="s">
        <v>612</v>
      </c>
      <c r="C1317" s="63"/>
      <c r="D1317" s="64"/>
      <c r="E1317" s="65"/>
      <c r="F1317" s="66"/>
      <c r="G1317" s="63"/>
      <c r="H1317" s="67"/>
      <c r="I1317" s="68"/>
      <c r="J1317" s="68"/>
      <c r="K1317" s="32"/>
      <c r="L1317" s="75">
        <v>1317</v>
      </c>
      <c r="M1317" s="75"/>
      <c r="N1317" s="70"/>
      <c r="O1317" s="77" t="s">
        <v>179</v>
      </c>
      <c r="P1317" s="79">
        <v>45125.906041666669</v>
      </c>
      <c r="Q1317" s="77" t="s">
        <v>2094</v>
      </c>
      <c r="R1317" s="77">
        <v>0</v>
      </c>
      <c r="S1317" s="77">
        <v>0</v>
      </c>
      <c r="T1317" s="77">
        <v>1</v>
      </c>
      <c r="U1317" s="77">
        <v>0</v>
      </c>
      <c r="V1317" s="77">
        <v>156</v>
      </c>
      <c r="W1317" s="82" t="s">
        <v>4810</v>
      </c>
      <c r="X1317" s="77"/>
      <c r="Y1317" s="77"/>
      <c r="Z1317" s="77"/>
      <c r="AA1317" s="77"/>
      <c r="AB1317" s="77"/>
      <c r="AC1317" s="82" t="s">
        <v>7750</v>
      </c>
      <c r="AD1317" s="77" t="s">
        <v>7788</v>
      </c>
      <c r="AE1317" s="80" t="str">
        <f>HYPERLINK("https://twitter.com/funpresp/status/1681419752026021895")</f>
        <v>https://twitter.com/funpresp/status/1681419752026021895</v>
      </c>
      <c r="AF1317" s="79">
        <v>45125.906041666669</v>
      </c>
      <c r="AG1317" s="85">
        <v>45125</v>
      </c>
      <c r="AH1317" s="82" t="s">
        <v>8952</v>
      </c>
      <c r="AI1317" s="77"/>
      <c r="AJ1317" s="77"/>
      <c r="AK1317" s="77"/>
      <c r="AL1317" s="77"/>
      <c r="AM1317" s="77"/>
      <c r="AN1317" s="77"/>
      <c r="AO1317" s="77"/>
      <c r="AP1317" s="77"/>
      <c r="AQ1317" s="77"/>
      <c r="AR1317" s="77"/>
      <c r="AS1317" s="77"/>
      <c r="AT1317" s="77"/>
      <c r="AU1317" s="77"/>
      <c r="AV1317" s="80" t="str">
        <f>HYPERLINK("https://pbs.twimg.com/profile_images/1635742791455105024/qQ063iQa_normal.jpg")</f>
        <v>https://pbs.twimg.com/profile_images/1635742791455105024/qQ063iQa_normal.jpg</v>
      </c>
      <c r="AW1317" s="82" t="s">
        <v>12981</v>
      </c>
      <c r="AX1317" s="82" t="s">
        <v>12981</v>
      </c>
      <c r="AY1317" s="77"/>
      <c r="AZ1317" s="82" t="s">
        <v>15984</v>
      </c>
      <c r="BA1317" s="82" t="s">
        <v>15984</v>
      </c>
      <c r="BB1317" s="82" t="s">
        <v>15984</v>
      </c>
      <c r="BC1317" s="82" t="s">
        <v>12981</v>
      </c>
      <c r="BD1317" s="77">
        <v>1136991139</v>
      </c>
      <c r="BE1317" s="77"/>
      <c r="BF1317" s="77"/>
      <c r="BG1317" s="77"/>
      <c r="BH1317" s="77"/>
      <c r="BI1317" s="77"/>
    </row>
    <row r="1318" spans="1:61" x14ac:dyDescent="0.25">
      <c r="A1318" s="62" t="s">
        <v>613</v>
      </c>
      <c r="B1318" s="62" t="s">
        <v>613</v>
      </c>
      <c r="C1318" s="63"/>
      <c r="D1318" s="64"/>
      <c r="E1318" s="65"/>
      <c r="F1318" s="66"/>
      <c r="G1318" s="63"/>
      <c r="H1318" s="67"/>
      <c r="I1318" s="68"/>
      <c r="J1318" s="68"/>
      <c r="K1318" s="32"/>
      <c r="L1318" s="75">
        <v>1318</v>
      </c>
      <c r="M1318" s="75"/>
      <c r="N1318" s="70"/>
      <c r="O1318" s="77" t="s">
        <v>179</v>
      </c>
      <c r="P1318" s="79">
        <v>45173.508136574077</v>
      </c>
      <c r="Q1318" s="77" t="s">
        <v>2095</v>
      </c>
      <c r="R1318" s="77">
        <v>0</v>
      </c>
      <c r="S1318" s="77">
        <v>0</v>
      </c>
      <c r="T1318" s="77">
        <v>0</v>
      </c>
      <c r="U1318" s="77">
        <v>0</v>
      </c>
      <c r="V1318" s="77">
        <v>10</v>
      </c>
      <c r="W1318" s="82" t="s">
        <v>5540</v>
      </c>
      <c r="X1318" s="80" t="str">
        <f>HYPERLINK("http://wix.to/KNwUffP")</f>
        <v>http://wix.to/KNwUffP</v>
      </c>
      <c r="Y1318" s="77" t="s">
        <v>6544</v>
      </c>
      <c r="Z1318" s="77"/>
      <c r="AA1318" s="77"/>
      <c r="AB1318" s="77"/>
      <c r="AC1318" s="82" t="s">
        <v>7774</v>
      </c>
      <c r="AD1318" s="77" t="s">
        <v>7788</v>
      </c>
      <c r="AE1318" s="80" t="str">
        <f>HYPERLINK("https://twitter.com/izzinvest/status/1698670173417582962")</f>
        <v>https://twitter.com/izzinvest/status/1698670173417582962</v>
      </c>
      <c r="AF1318" s="79">
        <v>45173.508136574077</v>
      </c>
      <c r="AG1318" s="85">
        <v>45173</v>
      </c>
      <c r="AH1318" s="82" t="s">
        <v>8953</v>
      </c>
      <c r="AI1318" s="77" t="b">
        <v>0</v>
      </c>
      <c r="AJ1318" s="77"/>
      <c r="AK1318" s="77"/>
      <c r="AL1318" s="77"/>
      <c r="AM1318" s="77"/>
      <c r="AN1318" s="77"/>
      <c r="AO1318" s="77"/>
      <c r="AP1318" s="77"/>
      <c r="AQ1318" s="77"/>
      <c r="AR1318" s="77"/>
      <c r="AS1318" s="77"/>
      <c r="AT1318" s="77"/>
      <c r="AU1318" s="77"/>
      <c r="AV1318" s="80" t="str">
        <f>HYPERLINK("https://pbs.twimg.com/profile_images/1531432052767309824/ZIroamAA_normal.jpg")</f>
        <v>https://pbs.twimg.com/profile_images/1531432052767309824/ZIroamAA_normal.jpg</v>
      </c>
      <c r="AW1318" s="82" t="s">
        <v>12982</v>
      </c>
      <c r="AX1318" s="82" t="s">
        <v>12982</v>
      </c>
      <c r="AY1318" s="77"/>
      <c r="AZ1318" s="82" t="s">
        <v>15984</v>
      </c>
      <c r="BA1318" s="82" t="s">
        <v>15984</v>
      </c>
      <c r="BB1318" s="82" t="s">
        <v>15984</v>
      </c>
      <c r="BC1318" s="82" t="s">
        <v>12982</v>
      </c>
      <c r="BD1318" s="82" t="s">
        <v>16324</v>
      </c>
      <c r="BE1318" s="77"/>
      <c r="BF1318" s="77"/>
      <c r="BG1318" s="77"/>
      <c r="BH1318" s="77"/>
      <c r="BI1318" s="77"/>
    </row>
    <row r="1319" spans="1:61" x14ac:dyDescent="0.25">
      <c r="A1319" s="62" t="s">
        <v>614</v>
      </c>
      <c r="B1319" s="62" t="s">
        <v>824</v>
      </c>
      <c r="C1319" s="63"/>
      <c r="D1319" s="64"/>
      <c r="E1319" s="65"/>
      <c r="F1319" s="66"/>
      <c r="G1319" s="63"/>
      <c r="H1319" s="67"/>
      <c r="I1319" s="68"/>
      <c r="J1319" s="68"/>
      <c r="K1319" s="32"/>
      <c r="L1319" s="75">
        <v>1319</v>
      </c>
      <c r="M1319" s="75"/>
      <c r="N1319" s="70"/>
      <c r="O1319" s="77" t="s">
        <v>895</v>
      </c>
      <c r="P1319" s="79">
        <v>45132.481203703705</v>
      </c>
      <c r="Q1319" s="77" t="s">
        <v>2096</v>
      </c>
      <c r="R1319" s="77">
        <v>0</v>
      </c>
      <c r="S1319" s="77">
        <v>3</v>
      </c>
      <c r="T1319" s="77">
        <v>0</v>
      </c>
      <c r="U1319" s="77">
        <v>0</v>
      </c>
      <c r="V1319" s="77">
        <v>1190</v>
      </c>
      <c r="W1319" s="82" t="s">
        <v>4821</v>
      </c>
      <c r="X1319" s="80" t="str">
        <f>HYPERLINK("https://www.valoraanalitik.com/2023/07/25/incentivo-almacenamiento-de-arroz-colombia-del-gobierno-petro/")</f>
        <v>https://www.valoraanalitik.com/2023/07/25/incentivo-almacenamiento-de-arroz-colombia-del-gobierno-petro/</v>
      </c>
      <c r="Y1319" s="77" t="s">
        <v>6471</v>
      </c>
      <c r="Z1319" s="77" t="s">
        <v>6592</v>
      </c>
      <c r="AA1319" s="77"/>
      <c r="AB1319" s="77"/>
      <c r="AC1319" s="82" t="s">
        <v>7750</v>
      </c>
      <c r="AD1319" s="77" t="s">
        <v>7790</v>
      </c>
      <c r="AE1319" s="80" t="str">
        <f>HYPERLINK("https://twitter.com/valoraanalitik/status/1683802510140612608")</f>
        <v>https://twitter.com/valoraanalitik/status/1683802510140612608</v>
      </c>
      <c r="AF1319" s="79">
        <v>45132.481203703705</v>
      </c>
      <c r="AG1319" s="85">
        <v>45132</v>
      </c>
      <c r="AH1319" s="82" t="s">
        <v>8954</v>
      </c>
      <c r="AI1319" s="77" t="b">
        <v>0</v>
      </c>
      <c r="AJ1319" s="77"/>
      <c r="AK1319" s="77"/>
      <c r="AL1319" s="77"/>
      <c r="AM1319" s="77"/>
      <c r="AN1319" s="77"/>
      <c r="AO1319" s="77"/>
      <c r="AP1319" s="77"/>
      <c r="AQ1319" s="77"/>
      <c r="AR1319" s="77"/>
      <c r="AS1319" s="77"/>
      <c r="AT1319" s="77"/>
      <c r="AU1319" s="77"/>
      <c r="AV1319" s="80" t="str">
        <f>HYPERLINK("https://pbs.twimg.com/profile_images/1475155236713029641/7Lb8npQr_normal.jpg")</f>
        <v>https://pbs.twimg.com/profile_images/1475155236713029641/7Lb8npQr_normal.jpg</v>
      </c>
      <c r="AW1319" s="82" t="s">
        <v>12983</v>
      </c>
      <c r="AX1319" s="82" t="s">
        <v>12983</v>
      </c>
      <c r="AY1319" s="77"/>
      <c r="AZ1319" s="82" t="s">
        <v>15984</v>
      </c>
      <c r="BA1319" s="82" t="s">
        <v>15984</v>
      </c>
      <c r="BB1319" s="82" t="s">
        <v>15984</v>
      </c>
      <c r="BC1319" s="82" t="s">
        <v>12983</v>
      </c>
      <c r="BD1319" s="77">
        <v>20980846</v>
      </c>
      <c r="BE1319" s="77"/>
      <c r="BF1319" s="77"/>
      <c r="BG1319" s="77"/>
      <c r="BH1319" s="77"/>
      <c r="BI1319" s="77"/>
    </row>
    <row r="1320" spans="1:61" x14ac:dyDescent="0.25">
      <c r="A1320" s="62" t="s">
        <v>614</v>
      </c>
      <c r="B1320" s="62" t="s">
        <v>825</v>
      </c>
      <c r="C1320" s="63"/>
      <c r="D1320" s="64"/>
      <c r="E1320" s="65"/>
      <c r="F1320" s="66"/>
      <c r="G1320" s="63"/>
      <c r="H1320" s="67"/>
      <c r="I1320" s="68"/>
      <c r="J1320" s="68"/>
      <c r="K1320" s="32"/>
      <c r="L1320" s="75">
        <v>1320</v>
      </c>
      <c r="M1320" s="75"/>
      <c r="N1320" s="70"/>
      <c r="O1320" s="77" t="s">
        <v>895</v>
      </c>
      <c r="P1320" s="79">
        <v>45131.485138888886</v>
      </c>
      <c r="Q1320" s="77" t="s">
        <v>2097</v>
      </c>
      <c r="R1320" s="77">
        <v>1</v>
      </c>
      <c r="S1320" s="77">
        <v>10</v>
      </c>
      <c r="T1320" s="77">
        <v>0</v>
      </c>
      <c r="U1320" s="77">
        <v>4</v>
      </c>
      <c r="V1320" s="77">
        <v>2263</v>
      </c>
      <c r="W1320" s="82" t="s">
        <v>4821</v>
      </c>
      <c r="X1320" s="80" t="str">
        <f>HYPERLINK("https://www.valoraanalitik.com/2023/07/24/plataformas-digitales-colombia-gobierno-petro-dice-que-paguen-mas-impuestos/")</f>
        <v>https://www.valoraanalitik.com/2023/07/24/plataformas-digitales-colombia-gobierno-petro-dice-que-paguen-mas-impuestos/</v>
      </c>
      <c r="Y1320" s="77" t="s">
        <v>6471</v>
      </c>
      <c r="Z1320" s="77" t="s">
        <v>6593</v>
      </c>
      <c r="AA1320" s="77"/>
      <c r="AB1320" s="77"/>
      <c r="AC1320" s="82" t="s">
        <v>7750</v>
      </c>
      <c r="AD1320" s="77" t="s">
        <v>7790</v>
      </c>
      <c r="AE1320" s="80" t="str">
        <f>HYPERLINK("https://twitter.com/valoraanalitik/status/1683441547797209090")</f>
        <v>https://twitter.com/valoraanalitik/status/1683441547797209090</v>
      </c>
      <c r="AF1320" s="79">
        <v>45131.485138888886</v>
      </c>
      <c r="AG1320" s="85">
        <v>45131</v>
      </c>
      <c r="AH1320" s="82" t="s">
        <v>8955</v>
      </c>
      <c r="AI1320" s="77" t="b">
        <v>0</v>
      </c>
      <c r="AJ1320" s="77"/>
      <c r="AK1320" s="77"/>
      <c r="AL1320" s="77"/>
      <c r="AM1320" s="77"/>
      <c r="AN1320" s="77"/>
      <c r="AO1320" s="77"/>
      <c r="AP1320" s="77"/>
      <c r="AQ1320" s="77"/>
      <c r="AR1320" s="77"/>
      <c r="AS1320" s="77"/>
      <c r="AT1320" s="77"/>
      <c r="AU1320" s="77"/>
      <c r="AV1320" s="80" t="str">
        <f>HYPERLINK("https://pbs.twimg.com/profile_images/1475155236713029641/7Lb8npQr_normal.jpg")</f>
        <v>https://pbs.twimg.com/profile_images/1475155236713029641/7Lb8npQr_normal.jpg</v>
      </c>
      <c r="AW1320" s="82" t="s">
        <v>12984</v>
      </c>
      <c r="AX1320" s="82" t="s">
        <v>12984</v>
      </c>
      <c r="AY1320" s="77"/>
      <c r="AZ1320" s="82" t="s">
        <v>15984</v>
      </c>
      <c r="BA1320" s="82" t="s">
        <v>15984</v>
      </c>
      <c r="BB1320" s="82" t="s">
        <v>15984</v>
      </c>
      <c r="BC1320" s="82" t="s">
        <v>12984</v>
      </c>
      <c r="BD1320" s="77">
        <v>20980846</v>
      </c>
      <c r="BE1320" s="77"/>
      <c r="BF1320" s="77"/>
      <c r="BG1320" s="77"/>
      <c r="BH1320" s="77"/>
      <c r="BI1320" s="77"/>
    </row>
    <row r="1321" spans="1:61" x14ac:dyDescent="0.25">
      <c r="A1321" s="62" t="s">
        <v>614</v>
      </c>
      <c r="B1321" s="62" t="s">
        <v>826</v>
      </c>
      <c r="C1321" s="63"/>
      <c r="D1321" s="64"/>
      <c r="E1321" s="65"/>
      <c r="F1321" s="66"/>
      <c r="G1321" s="63"/>
      <c r="H1321" s="67"/>
      <c r="I1321" s="68"/>
      <c r="J1321" s="68"/>
      <c r="K1321" s="32"/>
      <c r="L1321" s="75">
        <v>1321</v>
      </c>
      <c r="M1321" s="75"/>
      <c r="N1321" s="70"/>
      <c r="O1321" s="77" t="s">
        <v>895</v>
      </c>
      <c r="P1321" s="79">
        <v>45120.722233796296</v>
      </c>
      <c r="Q1321" s="77" t="s">
        <v>2098</v>
      </c>
      <c r="R1321" s="77">
        <v>0</v>
      </c>
      <c r="S1321" s="77">
        <v>1</v>
      </c>
      <c r="T1321" s="77">
        <v>0</v>
      </c>
      <c r="U1321" s="77">
        <v>1</v>
      </c>
      <c r="V1321" s="77">
        <v>637</v>
      </c>
      <c r="W1321" s="82" t="s">
        <v>4821</v>
      </c>
      <c r="X1321" s="80" t="str">
        <f>HYPERLINK("https://bit.ly/3pQDNKE")</f>
        <v>https://bit.ly/3pQDNKE</v>
      </c>
      <c r="Y1321" s="77" t="s">
        <v>6468</v>
      </c>
      <c r="Z1321" s="77" t="s">
        <v>826</v>
      </c>
      <c r="AA1321" s="77"/>
      <c r="AB1321" s="77"/>
      <c r="AC1321" s="82" t="s">
        <v>7775</v>
      </c>
      <c r="AD1321" s="77" t="s">
        <v>7790</v>
      </c>
      <c r="AE1321" s="80" t="str">
        <f>HYPERLINK("https://twitter.com/valoraanalitik/status/1679541200192167960")</f>
        <v>https://twitter.com/valoraanalitik/status/1679541200192167960</v>
      </c>
      <c r="AF1321" s="79">
        <v>45120.722233796296</v>
      </c>
      <c r="AG1321" s="85">
        <v>45120</v>
      </c>
      <c r="AH1321" s="82" t="s">
        <v>8956</v>
      </c>
      <c r="AI1321" s="77" t="b">
        <v>0</v>
      </c>
      <c r="AJ1321" s="77"/>
      <c r="AK1321" s="77"/>
      <c r="AL1321" s="77"/>
      <c r="AM1321" s="77"/>
      <c r="AN1321" s="77"/>
      <c r="AO1321" s="77"/>
      <c r="AP1321" s="77"/>
      <c r="AQ1321" s="77"/>
      <c r="AR1321" s="77"/>
      <c r="AS1321" s="77"/>
      <c r="AT1321" s="77"/>
      <c r="AU1321" s="77"/>
      <c r="AV1321" s="80" t="str">
        <f>HYPERLINK("https://pbs.twimg.com/profile_images/1475155236713029641/7Lb8npQr_normal.jpg")</f>
        <v>https://pbs.twimg.com/profile_images/1475155236713029641/7Lb8npQr_normal.jpg</v>
      </c>
      <c r="AW1321" s="82" t="s">
        <v>12985</v>
      </c>
      <c r="AX1321" s="82" t="s">
        <v>12985</v>
      </c>
      <c r="AY1321" s="77"/>
      <c r="AZ1321" s="82" t="s">
        <v>15984</v>
      </c>
      <c r="BA1321" s="82" t="s">
        <v>15984</v>
      </c>
      <c r="BB1321" s="82" t="s">
        <v>15984</v>
      </c>
      <c r="BC1321" s="82" t="s">
        <v>12985</v>
      </c>
      <c r="BD1321" s="77">
        <v>20980846</v>
      </c>
      <c r="BE1321" s="77"/>
      <c r="BF1321" s="77"/>
      <c r="BG1321" s="77"/>
      <c r="BH1321" s="77"/>
      <c r="BI1321" s="77"/>
    </row>
    <row r="1322" spans="1:61" x14ac:dyDescent="0.25">
      <c r="A1322" s="62" t="s">
        <v>614</v>
      </c>
      <c r="B1322" s="62" t="s">
        <v>827</v>
      </c>
      <c r="C1322" s="63"/>
      <c r="D1322" s="64"/>
      <c r="E1322" s="65"/>
      <c r="F1322" s="66"/>
      <c r="G1322" s="63"/>
      <c r="H1322" s="67"/>
      <c r="I1322" s="68"/>
      <c r="J1322" s="68"/>
      <c r="K1322" s="32"/>
      <c r="L1322" s="75">
        <v>1322</v>
      </c>
      <c r="M1322" s="75"/>
      <c r="N1322" s="70"/>
      <c r="O1322" s="77" t="s">
        <v>895</v>
      </c>
      <c r="P1322" s="79">
        <v>45120.626759259256</v>
      </c>
      <c r="Q1322" s="77" t="s">
        <v>2099</v>
      </c>
      <c r="R1322" s="77">
        <v>0</v>
      </c>
      <c r="S1322" s="77">
        <v>3</v>
      </c>
      <c r="T1322" s="77">
        <v>0</v>
      </c>
      <c r="U1322" s="77">
        <v>0</v>
      </c>
      <c r="V1322" s="77">
        <v>747</v>
      </c>
      <c r="W1322" s="82" t="s">
        <v>4821</v>
      </c>
      <c r="X1322" s="80" t="str">
        <f>HYPERLINK("https://bit.ly/46Lbeiw")</f>
        <v>https://bit.ly/46Lbeiw</v>
      </c>
      <c r="Y1322" s="77" t="s">
        <v>6468</v>
      </c>
      <c r="Z1322" s="77" t="s">
        <v>827</v>
      </c>
      <c r="AA1322" s="77"/>
      <c r="AB1322" s="77"/>
      <c r="AC1322" s="82" t="s">
        <v>7775</v>
      </c>
      <c r="AD1322" s="77" t="s">
        <v>7790</v>
      </c>
      <c r="AE1322" s="80" t="str">
        <f>HYPERLINK("https://twitter.com/valoraanalitik/status/1679506601143566336")</f>
        <v>https://twitter.com/valoraanalitik/status/1679506601143566336</v>
      </c>
      <c r="AF1322" s="79">
        <v>45120.626759259256</v>
      </c>
      <c r="AG1322" s="85">
        <v>45120</v>
      </c>
      <c r="AH1322" s="82" t="s">
        <v>8957</v>
      </c>
      <c r="AI1322" s="77" t="b">
        <v>0</v>
      </c>
      <c r="AJ1322" s="77"/>
      <c r="AK1322" s="77"/>
      <c r="AL1322" s="77"/>
      <c r="AM1322" s="77"/>
      <c r="AN1322" s="77"/>
      <c r="AO1322" s="77"/>
      <c r="AP1322" s="77"/>
      <c r="AQ1322" s="77"/>
      <c r="AR1322" s="77"/>
      <c r="AS1322" s="77"/>
      <c r="AT1322" s="77"/>
      <c r="AU1322" s="77"/>
      <c r="AV1322" s="80" t="str">
        <f>HYPERLINK("https://pbs.twimg.com/profile_images/1475155236713029641/7Lb8npQr_normal.jpg")</f>
        <v>https://pbs.twimg.com/profile_images/1475155236713029641/7Lb8npQr_normal.jpg</v>
      </c>
      <c r="AW1322" s="82" t="s">
        <v>12986</v>
      </c>
      <c r="AX1322" s="82" t="s">
        <v>12986</v>
      </c>
      <c r="AY1322" s="77"/>
      <c r="AZ1322" s="82" t="s">
        <v>15984</v>
      </c>
      <c r="BA1322" s="82" t="s">
        <v>15984</v>
      </c>
      <c r="BB1322" s="82" t="s">
        <v>15984</v>
      </c>
      <c r="BC1322" s="82" t="s">
        <v>12986</v>
      </c>
      <c r="BD1322" s="77">
        <v>20980846</v>
      </c>
      <c r="BE1322" s="77"/>
      <c r="BF1322" s="77"/>
      <c r="BG1322" s="77"/>
      <c r="BH1322" s="77"/>
      <c r="BI1322" s="77"/>
    </row>
    <row r="1323" spans="1:61" x14ac:dyDescent="0.25">
      <c r="A1323" s="62" t="s">
        <v>614</v>
      </c>
      <c r="B1323" s="62" t="s">
        <v>828</v>
      </c>
      <c r="C1323" s="63"/>
      <c r="D1323" s="64"/>
      <c r="E1323" s="65"/>
      <c r="F1323" s="66"/>
      <c r="G1323" s="63"/>
      <c r="H1323" s="67"/>
      <c r="I1323" s="68"/>
      <c r="J1323" s="68"/>
      <c r="K1323" s="32"/>
      <c r="L1323" s="75">
        <v>1323</v>
      </c>
      <c r="M1323" s="75"/>
      <c r="N1323" s="70"/>
      <c r="O1323" s="77" t="s">
        <v>895</v>
      </c>
      <c r="P1323" s="79">
        <v>45119.671053240738</v>
      </c>
      <c r="Q1323" s="77" t="s">
        <v>2100</v>
      </c>
      <c r="R1323" s="77">
        <v>4</v>
      </c>
      <c r="S1323" s="77">
        <v>8</v>
      </c>
      <c r="T1323" s="77">
        <v>0</v>
      </c>
      <c r="U1323" s="77">
        <v>0</v>
      </c>
      <c r="V1323" s="77">
        <v>1150</v>
      </c>
      <c r="W1323" s="82" t="s">
        <v>4821</v>
      </c>
      <c r="X1323" s="80" t="str">
        <f>HYPERLINK("https://bit.ly/3Dacjml")</f>
        <v>https://bit.ly/3Dacjml</v>
      </c>
      <c r="Y1323" s="77" t="s">
        <v>6468</v>
      </c>
      <c r="Z1323" s="77" t="s">
        <v>828</v>
      </c>
      <c r="AA1323" s="77"/>
      <c r="AB1323" s="77"/>
      <c r="AC1323" s="82" t="s">
        <v>7775</v>
      </c>
      <c r="AD1323" s="77" t="s">
        <v>7790</v>
      </c>
      <c r="AE1323" s="80" t="str">
        <f>HYPERLINK("https://twitter.com/valoraanalitik/status/1679160264527171587")</f>
        <v>https://twitter.com/valoraanalitik/status/1679160264527171587</v>
      </c>
      <c r="AF1323" s="79">
        <v>45119.671053240738</v>
      </c>
      <c r="AG1323" s="85">
        <v>45119</v>
      </c>
      <c r="AH1323" s="82" t="s">
        <v>8958</v>
      </c>
      <c r="AI1323" s="77" t="b">
        <v>0</v>
      </c>
      <c r="AJ1323" s="77"/>
      <c r="AK1323" s="77"/>
      <c r="AL1323" s="77"/>
      <c r="AM1323" s="77"/>
      <c r="AN1323" s="77"/>
      <c r="AO1323" s="77"/>
      <c r="AP1323" s="77"/>
      <c r="AQ1323" s="77"/>
      <c r="AR1323" s="77"/>
      <c r="AS1323" s="77"/>
      <c r="AT1323" s="77"/>
      <c r="AU1323" s="77"/>
      <c r="AV1323" s="80" t="str">
        <f>HYPERLINK("https://pbs.twimg.com/profile_images/1475155236713029641/7Lb8npQr_normal.jpg")</f>
        <v>https://pbs.twimg.com/profile_images/1475155236713029641/7Lb8npQr_normal.jpg</v>
      </c>
      <c r="AW1323" s="82" t="s">
        <v>12987</v>
      </c>
      <c r="AX1323" s="82" t="s">
        <v>12987</v>
      </c>
      <c r="AY1323" s="77"/>
      <c r="AZ1323" s="82" t="s">
        <v>15984</v>
      </c>
      <c r="BA1323" s="82" t="s">
        <v>15984</v>
      </c>
      <c r="BB1323" s="82" t="s">
        <v>15984</v>
      </c>
      <c r="BC1323" s="82" t="s">
        <v>12987</v>
      </c>
      <c r="BD1323" s="77">
        <v>20980846</v>
      </c>
      <c r="BE1323" s="77"/>
      <c r="BF1323" s="77"/>
      <c r="BG1323" s="77"/>
      <c r="BH1323" s="77"/>
      <c r="BI1323" s="77"/>
    </row>
    <row r="1324" spans="1:61" x14ac:dyDescent="0.25">
      <c r="A1324" s="62" t="s">
        <v>614</v>
      </c>
      <c r="B1324" s="62" t="s">
        <v>828</v>
      </c>
      <c r="C1324" s="63"/>
      <c r="D1324" s="64"/>
      <c r="E1324" s="65"/>
      <c r="F1324" s="66"/>
      <c r="G1324" s="63"/>
      <c r="H1324" s="67"/>
      <c r="I1324" s="68"/>
      <c r="J1324" s="68"/>
      <c r="K1324" s="32"/>
      <c r="L1324" s="75">
        <v>1324</v>
      </c>
      <c r="M1324" s="75"/>
      <c r="N1324" s="70"/>
      <c r="O1324" s="77" t="s">
        <v>895</v>
      </c>
      <c r="P1324" s="79">
        <v>45147.656608796293</v>
      </c>
      <c r="Q1324" s="77" t="s">
        <v>2101</v>
      </c>
      <c r="R1324" s="77">
        <v>0</v>
      </c>
      <c r="S1324" s="77">
        <v>1</v>
      </c>
      <c r="T1324" s="77">
        <v>0</v>
      </c>
      <c r="U1324" s="77">
        <v>0</v>
      </c>
      <c r="V1324" s="77">
        <v>824</v>
      </c>
      <c r="W1324" s="82" t="s">
        <v>4821</v>
      </c>
      <c r="X1324" s="80" t="str">
        <f>HYPERLINK("https://www.valoraanalitik.com/2023/08/09/volvio-a-caer-confianza-del-consumidor-en-colombia-en-julio/")</f>
        <v>https://www.valoraanalitik.com/2023/08/09/volvio-a-caer-confianza-del-consumidor-en-colombia-en-julio/</v>
      </c>
      <c r="Y1324" s="77" t="s">
        <v>6471</v>
      </c>
      <c r="Z1324" s="77" t="s">
        <v>828</v>
      </c>
      <c r="AA1324" s="77"/>
      <c r="AB1324" s="77"/>
      <c r="AC1324" s="82" t="s">
        <v>7750</v>
      </c>
      <c r="AD1324" s="77" t="s">
        <v>7790</v>
      </c>
      <c r="AE1324" s="80" t="str">
        <f>HYPERLINK("https://twitter.com/valoraanalitik/status/1689301894143823873")</f>
        <v>https://twitter.com/valoraanalitik/status/1689301894143823873</v>
      </c>
      <c r="AF1324" s="79">
        <v>45147.656608796293</v>
      </c>
      <c r="AG1324" s="85">
        <v>45147</v>
      </c>
      <c r="AH1324" s="82" t="s">
        <v>8959</v>
      </c>
      <c r="AI1324" s="77" t="b">
        <v>0</v>
      </c>
      <c r="AJ1324" s="77"/>
      <c r="AK1324" s="77"/>
      <c r="AL1324" s="77"/>
      <c r="AM1324" s="77"/>
      <c r="AN1324" s="77"/>
      <c r="AO1324" s="77"/>
      <c r="AP1324" s="77"/>
      <c r="AQ1324" s="77"/>
      <c r="AR1324" s="77"/>
      <c r="AS1324" s="77"/>
      <c r="AT1324" s="77"/>
      <c r="AU1324" s="77"/>
      <c r="AV1324" s="80" t="str">
        <f>HYPERLINK("https://pbs.twimg.com/profile_images/1475155236713029641/7Lb8npQr_normal.jpg")</f>
        <v>https://pbs.twimg.com/profile_images/1475155236713029641/7Lb8npQr_normal.jpg</v>
      </c>
      <c r="AW1324" s="82" t="s">
        <v>12988</v>
      </c>
      <c r="AX1324" s="82" t="s">
        <v>12988</v>
      </c>
      <c r="AY1324" s="77"/>
      <c r="AZ1324" s="82" t="s">
        <v>15984</v>
      </c>
      <c r="BA1324" s="82" t="s">
        <v>15984</v>
      </c>
      <c r="BB1324" s="82" t="s">
        <v>15984</v>
      </c>
      <c r="BC1324" s="82" t="s">
        <v>12988</v>
      </c>
      <c r="BD1324" s="77">
        <v>20980846</v>
      </c>
      <c r="BE1324" s="77"/>
      <c r="BF1324" s="77"/>
      <c r="BG1324" s="77"/>
      <c r="BH1324" s="77"/>
      <c r="BI1324" s="77"/>
    </row>
    <row r="1325" spans="1:61" x14ac:dyDescent="0.25">
      <c r="A1325" s="62" t="s">
        <v>614</v>
      </c>
      <c r="B1325" s="62" t="s">
        <v>829</v>
      </c>
      <c r="C1325" s="63"/>
      <c r="D1325" s="64"/>
      <c r="E1325" s="65"/>
      <c r="F1325" s="66"/>
      <c r="G1325" s="63"/>
      <c r="H1325" s="67"/>
      <c r="I1325" s="68"/>
      <c r="J1325" s="68"/>
      <c r="K1325" s="32"/>
      <c r="L1325" s="75">
        <v>1325</v>
      </c>
      <c r="M1325" s="75"/>
      <c r="N1325" s="70"/>
      <c r="O1325" s="77" t="s">
        <v>895</v>
      </c>
      <c r="P1325" s="79">
        <v>45147.637731481482</v>
      </c>
      <c r="Q1325" s="77" t="s">
        <v>2102</v>
      </c>
      <c r="R1325" s="77">
        <v>2</v>
      </c>
      <c r="S1325" s="77">
        <v>4</v>
      </c>
      <c r="T1325" s="77">
        <v>0</v>
      </c>
      <c r="U1325" s="77">
        <v>0</v>
      </c>
      <c r="V1325" s="77">
        <v>873</v>
      </c>
      <c r="W1325" s="82" t="s">
        <v>4821</v>
      </c>
      <c r="X1325" s="80" t="str">
        <f>HYPERLINK("https://www.valoraanalitik.com/2023/08/09/dias-sin-iva-colombia-revivirian-por-ley/")</f>
        <v>https://www.valoraanalitik.com/2023/08/09/dias-sin-iva-colombia-revivirian-por-ley/</v>
      </c>
      <c r="Y1325" s="77" t="s">
        <v>6471</v>
      </c>
      <c r="Z1325" s="77" t="s">
        <v>6594</v>
      </c>
      <c r="AA1325" s="77"/>
      <c r="AB1325" s="77"/>
      <c r="AC1325" s="82" t="s">
        <v>7750</v>
      </c>
      <c r="AD1325" s="77" t="s">
        <v>7790</v>
      </c>
      <c r="AE1325" s="80" t="str">
        <f>HYPERLINK("https://twitter.com/valoraanalitik/status/1689295052105760768")</f>
        <v>https://twitter.com/valoraanalitik/status/1689295052105760768</v>
      </c>
      <c r="AF1325" s="79">
        <v>45147.637731481482</v>
      </c>
      <c r="AG1325" s="85">
        <v>45147</v>
      </c>
      <c r="AH1325" s="82" t="s">
        <v>8960</v>
      </c>
      <c r="AI1325" s="77" t="b">
        <v>0</v>
      </c>
      <c r="AJ1325" s="77"/>
      <c r="AK1325" s="77"/>
      <c r="AL1325" s="77"/>
      <c r="AM1325" s="77"/>
      <c r="AN1325" s="77"/>
      <c r="AO1325" s="77"/>
      <c r="AP1325" s="77"/>
      <c r="AQ1325" s="77"/>
      <c r="AR1325" s="77"/>
      <c r="AS1325" s="77"/>
      <c r="AT1325" s="77"/>
      <c r="AU1325" s="77"/>
      <c r="AV1325" s="80" t="str">
        <f>HYPERLINK("https://pbs.twimg.com/profile_images/1475155236713029641/7Lb8npQr_normal.jpg")</f>
        <v>https://pbs.twimg.com/profile_images/1475155236713029641/7Lb8npQr_normal.jpg</v>
      </c>
      <c r="AW1325" s="82" t="s">
        <v>12989</v>
      </c>
      <c r="AX1325" s="82" t="s">
        <v>12989</v>
      </c>
      <c r="AY1325" s="77"/>
      <c r="AZ1325" s="82" t="s">
        <v>15984</v>
      </c>
      <c r="BA1325" s="82" t="s">
        <v>15984</v>
      </c>
      <c r="BB1325" s="82" t="s">
        <v>15984</v>
      </c>
      <c r="BC1325" s="82" t="s">
        <v>12989</v>
      </c>
      <c r="BD1325" s="77">
        <v>20980846</v>
      </c>
      <c r="BE1325" s="77"/>
      <c r="BF1325" s="77"/>
      <c r="BG1325" s="77"/>
      <c r="BH1325" s="77"/>
      <c r="BI1325" s="77"/>
    </row>
    <row r="1326" spans="1:61" x14ac:dyDescent="0.25">
      <c r="A1326" s="62" t="s">
        <v>614</v>
      </c>
      <c r="B1326" s="62" t="s">
        <v>830</v>
      </c>
      <c r="C1326" s="63"/>
      <c r="D1326" s="64"/>
      <c r="E1326" s="65"/>
      <c r="F1326" s="66"/>
      <c r="G1326" s="63"/>
      <c r="H1326" s="67"/>
      <c r="I1326" s="68"/>
      <c r="J1326" s="68"/>
      <c r="K1326" s="32"/>
      <c r="L1326" s="75">
        <v>1326</v>
      </c>
      <c r="M1326" s="75"/>
      <c r="N1326" s="70"/>
      <c r="O1326" s="77" t="s">
        <v>895</v>
      </c>
      <c r="P1326" s="79">
        <v>45147.637731481482</v>
      </c>
      <c r="Q1326" s="77" t="s">
        <v>2102</v>
      </c>
      <c r="R1326" s="77">
        <v>2</v>
      </c>
      <c r="S1326" s="77">
        <v>4</v>
      </c>
      <c r="T1326" s="77">
        <v>0</v>
      </c>
      <c r="U1326" s="77">
        <v>0</v>
      </c>
      <c r="V1326" s="77">
        <v>873</v>
      </c>
      <c r="W1326" s="82" t="s">
        <v>4821</v>
      </c>
      <c r="X1326" s="80" t="str">
        <f>HYPERLINK("https://www.valoraanalitik.com/2023/08/09/dias-sin-iva-colombia-revivirian-por-ley/")</f>
        <v>https://www.valoraanalitik.com/2023/08/09/dias-sin-iva-colombia-revivirian-por-ley/</v>
      </c>
      <c r="Y1326" s="77" t="s">
        <v>6471</v>
      </c>
      <c r="Z1326" s="77" t="s">
        <v>6594</v>
      </c>
      <c r="AA1326" s="77"/>
      <c r="AB1326" s="77"/>
      <c r="AC1326" s="82" t="s">
        <v>7750</v>
      </c>
      <c r="AD1326" s="77" t="s">
        <v>7790</v>
      </c>
      <c r="AE1326" s="80" t="str">
        <f>HYPERLINK("https://twitter.com/valoraanalitik/status/1689295052105760768")</f>
        <v>https://twitter.com/valoraanalitik/status/1689295052105760768</v>
      </c>
      <c r="AF1326" s="79">
        <v>45147.637731481482</v>
      </c>
      <c r="AG1326" s="85">
        <v>45147</v>
      </c>
      <c r="AH1326" s="82" t="s">
        <v>8960</v>
      </c>
      <c r="AI1326" s="77" t="b">
        <v>0</v>
      </c>
      <c r="AJ1326" s="77"/>
      <c r="AK1326" s="77"/>
      <c r="AL1326" s="77"/>
      <c r="AM1326" s="77"/>
      <c r="AN1326" s="77"/>
      <c r="AO1326" s="77"/>
      <c r="AP1326" s="77"/>
      <c r="AQ1326" s="77"/>
      <c r="AR1326" s="77"/>
      <c r="AS1326" s="77"/>
      <c r="AT1326" s="77"/>
      <c r="AU1326" s="77"/>
      <c r="AV1326" s="80" t="str">
        <f>HYPERLINK("https://pbs.twimg.com/profile_images/1475155236713029641/7Lb8npQr_normal.jpg")</f>
        <v>https://pbs.twimg.com/profile_images/1475155236713029641/7Lb8npQr_normal.jpg</v>
      </c>
      <c r="AW1326" s="82" t="s">
        <v>12989</v>
      </c>
      <c r="AX1326" s="82" t="s">
        <v>12989</v>
      </c>
      <c r="AY1326" s="77"/>
      <c r="AZ1326" s="82" t="s">
        <v>15984</v>
      </c>
      <c r="BA1326" s="82" t="s">
        <v>15984</v>
      </c>
      <c r="BB1326" s="82" t="s">
        <v>15984</v>
      </c>
      <c r="BC1326" s="82" t="s">
        <v>12989</v>
      </c>
      <c r="BD1326" s="77">
        <v>20980846</v>
      </c>
      <c r="BE1326" s="77"/>
      <c r="BF1326" s="77"/>
      <c r="BG1326" s="77"/>
      <c r="BH1326" s="77"/>
      <c r="BI1326" s="77"/>
    </row>
    <row r="1327" spans="1:61" x14ac:dyDescent="0.25">
      <c r="A1327" s="62" t="s">
        <v>614</v>
      </c>
      <c r="B1327" s="62" t="s">
        <v>831</v>
      </c>
      <c r="C1327" s="63"/>
      <c r="D1327" s="64"/>
      <c r="E1327" s="65"/>
      <c r="F1327" s="66"/>
      <c r="G1327" s="63"/>
      <c r="H1327" s="67"/>
      <c r="I1327" s="68"/>
      <c r="J1327" s="68"/>
      <c r="K1327" s="32"/>
      <c r="L1327" s="75">
        <v>1327</v>
      </c>
      <c r="M1327" s="75"/>
      <c r="N1327" s="70"/>
      <c r="O1327" s="77" t="s">
        <v>895</v>
      </c>
      <c r="P1327" s="79">
        <v>45117.793541666666</v>
      </c>
      <c r="Q1327" s="77" t="s">
        <v>2103</v>
      </c>
      <c r="R1327" s="77">
        <v>1</v>
      </c>
      <c r="S1327" s="77">
        <v>4</v>
      </c>
      <c r="T1327" s="77">
        <v>0</v>
      </c>
      <c r="U1327" s="77">
        <v>0</v>
      </c>
      <c r="V1327" s="77">
        <v>1023</v>
      </c>
      <c r="W1327" s="82" t="s">
        <v>4821</v>
      </c>
      <c r="X1327" s="80" t="str">
        <f>HYPERLINK("https://bit.ly/44A8Lpa")</f>
        <v>https://bit.ly/44A8Lpa</v>
      </c>
      <c r="Y1327" s="77" t="s">
        <v>6468</v>
      </c>
      <c r="Z1327" s="77" t="s">
        <v>831</v>
      </c>
      <c r="AA1327" s="77"/>
      <c r="AB1327" s="77"/>
      <c r="AC1327" s="82" t="s">
        <v>7775</v>
      </c>
      <c r="AD1327" s="77" t="s">
        <v>7790</v>
      </c>
      <c r="AE1327" s="80" t="str">
        <f>HYPERLINK("https://twitter.com/valoraanalitik/status/1678479879895937042")</f>
        <v>https://twitter.com/valoraanalitik/status/1678479879895937042</v>
      </c>
      <c r="AF1327" s="79">
        <v>45117.793541666666</v>
      </c>
      <c r="AG1327" s="85">
        <v>45117</v>
      </c>
      <c r="AH1327" s="82" t="s">
        <v>8961</v>
      </c>
      <c r="AI1327" s="77" t="b">
        <v>0</v>
      </c>
      <c r="AJ1327" s="77"/>
      <c r="AK1327" s="77"/>
      <c r="AL1327" s="77"/>
      <c r="AM1327" s="77"/>
      <c r="AN1327" s="77"/>
      <c r="AO1327" s="77"/>
      <c r="AP1327" s="77"/>
      <c r="AQ1327" s="77"/>
      <c r="AR1327" s="77"/>
      <c r="AS1327" s="77"/>
      <c r="AT1327" s="77"/>
      <c r="AU1327" s="77"/>
      <c r="AV1327" s="80" t="str">
        <f>HYPERLINK("https://pbs.twimg.com/profile_images/1475155236713029641/7Lb8npQr_normal.jpg")</f>
        <v>https://pbs.twimg.com/profile_images/1475155236713029641/7Lb8npQr_normal.jpg</v>
      </c>
      <c r="AW1327" s="82" t="s">
        <v>12990</v>
      </c>
      <c r="AX1327" s="82" t="s">
        <v>12990</v>
      </c>
      <c r="AY1327" s="77"/>
      <c r="AZ1327" s="82" t="s">
        <v>15984</v>
      </c>
      <c r="BA1327" s="82" t="s">
        <v>15984</v>
      </c>
      <c r="BB1327" s="82" t="s">
        <v>15984</v>
      </c>
      <c r="BC1327" s="82" t="s">
        <v>12990</v>
      </c>
      <c r="BD1327" s="77">
        <v>20980846</v>
      </c>
      <c r="BE1327" s="77"/>
      <c r="BF1327" s="77"/>
      <c r="BG1327" s="77"/>
      <c r="BH1327" s="77"/>
      <c r="BI1327" s="77"/>
    </row>
    <row r="1328" spans="1:61" x14ac:dyDescent="0.25">
      <c r="A1328" s="62" t="s">
        <v>614</v>
      </c>
      <c r="B1328" s="62" t="s">
        <v>832</v>
      </c>
      <c r="C1328" s="63"/>
      <c r="D1328" s="64"/>
      <c r="E1328" s="65"/>
      <c r="F1328" s="66"/>
      <c r="G1328" s="63"/>
      <c r="H1328" s="67"/>
      <c r="I1328" s="68"/>
      <c r="J1328" s="68"/>
      <c r="K1328" s="32"/>
      <c r="L1328" s="75">
        <v>1328</v>
      </c>
      <c r="M1328" s="75"/>
      <c r="N1328" s="70"/>
      <c r="O1328" s="77" t="s">
        <v>895</v>
      </c>
      <c r="P1328" s="79">
        <v>45140.022210648145</v>
      </c>
      <c r="Q1328" s="77" t="s">
        <v>2104</v>
      </c>
      <c r="R1328" s="77">
        <v>5</v>
      </c>
      <c r="S1328" s="77">
        <v>10</v>
      </c>
      <c r="T1328" s="77">
        <v>0</v>
      </c>
      <c r="U1328" s="77">
        <v>0</v>
      </c>
      <c r="V1328" s="77">
        <v>1558</v>
      </c>
      <c r="W1328" s="82" t="s">
        <v>4821</v>
      </c>
      <c r="X1328" s="80" t="str">
        <f>HYPERLINK("https://bit.ly/3YhCVLT")</f>
        <v>https://bit.ly/3YhCVLT</v>
      </c>
      <c r="Y1328" s="77" t="s">
        <v>6468</v>
      </c>
      <c r="Z1328" s="77" t="s">
        <v>832</v>
      </c>
      <c r="AA1328" s="77"/>
      <c r="AB1328" s="77"/>
      <c r="AC1328" s="82" t="s">
        <v>7775</v>
      </c>
      <c r="AD1328" s="77" t="s">
        <v>7790</v>
      </c>
      <c r="AE1328" s="80" t="str">
        <f>HYPERLINK("https://twitter.com/valoraanalitik/status/1686535277123129344")</f>
        <v>https://twitter.com/valoraanalitik/status/1686535277123129344</v>
      </c>
      <c r="AF1328" s="79">
        <v>45140.022210648145</v>
      </c>
      <c r="AG1328" s="85">
        <v>45140</v>
      </c>
      <c r="AH1328" s="82" t="s">
        <v>8962</v>
      </c>
      <c r="AI1328" s="77" t="b">
        <v>0</v>
      </c>
      <c r="AJ1328" s="77"/>
      <c r="AK1328" s="77"/>
      <c r="AL1328" s="77"/>
      <c r="AM1328" s="77"/>
      <c r="AN1328" s="77"/>
      <c r="AO1328" s="77"/>
      <c r="AP1328" s="77"/>
      <c r="AQ1328" s="77"/>
      <c r="AR1328" s="77"/>
      <c r="AS1328" s="77"/>
      <c r="AT1328" s="77"/>
      <c r="AU1328" s="77"/>
      <c r="AV1328" s="80" t="str">
        <f>HYPERLINK("https://pbs.twimg.com/profile_images/1475155236713029641/7Lb8npQr_normal.jpg")</f>
        <v>https://pbs.twimg.com/profile_images/1475155236713029641/7Lb8npQr_normal.jpg</v>
      </c>
      <c r="AW1328" s="82" t="s">
        <v>12991</v>
      </c>
      <c r="AX1328" s="82" t="s">
        <v>12991</v>
      </c>
      <c r="AY1328" s="77"/>
      <c r="AZ1328" s="82" t="s">
        <v>15984</v>
      </c>
      <c r="BA1328" s="82" t="s">
        <v>15984</v>
      </c>
      <c r="BB1328" s="82" t="s">
        <v>15984</v>
      </c>
      <c r="BC1328" s="82" t="s">
        <v>12991</v>
      </c>
      <c r="BD1328" s="77">
        <v>20980846</v>
      </c>
      <c r="BE1328" s="77"/>
      <c r="BF1328" s="77"/>
      <c r="BG1328" s="77"/>
      <c r="BH1328" s="77"/>
      <c r="BI1328" s="77"/>
    </row>
    <row r="1329" spans="1:61" x14ac:dyDescent="0.25">
      <c r="A1329" s="62" t="s">
        <v>614</v>
      </c>
      <c r="B1329" s="62" t="s">
        <v>833</v>
      </c>
      <c r="C1329" s="63"/>
      <c r="D1329" s="64"/>
      <c r="E1329" s="65"/>
      <c r="F1329" s="66"/>
      <c r="G1329" s="63"/>
      <c r="H1329" s="67"/>
      <c r="I1329" s="68"/>
      <c r="J1329" s="68"/>
      <c r="K1329" s="32"/>
      <c r="L1329" s="75">
        <v>1329</v>
      </c>
      <c r="M1329" s="75"/>
      <c r="N1329" s="70"/>
      <c r="O1329" s="77" t="s">
        <v>895</v>
      </c>
      <c r="P1329" s="79">
        <v>45139.990069444444</v>
      </c>
      <c r="Q1329" s="77" t="s">
        <v>2105</v>
      </c>
      <c r="R1329" s="77">
        <v>3</v>
      </c>
      <c r="S1329" s="77">
        <v>2</v>
      </c>
      <c r="T1329" s="77">
        <v>0</v>
      </c>
      <c r="U1329" s="77">
        <v>0</v>
      </c>
      <c r="V1329" s="77">
        <v>1052</v>
      </c>
      <c r="W1329" s="82" t="s">
        <v>4821</v>
      </c>
      <c r="X1329" s="80" t="str">
        <f>HYPERLINK("https://bit.ly/3QnIeaO")</f>
        <v>https://bit.ly/3QnIeaO</v>
      </c>
      <c r="Y1329" s="77" t="s">
        <v>6468</v>
      </c>
      <c r="Z1329" s="77" t="s">
        <v>833</v>
      </c>
      <c r="AA1329" s="77"/>
      <c r="AB1329" s="77"/>
      <c r="AC1329" s="82" t="s">
        <v>7775</v>
      </c>
      <c r="AD1329" s="77" t="s">
        <v>7790</v>
      </c>
      <c r="AE1329" s="80" t="str">
        <f>HYPERLINK("https://twitter.com/valoraanalitik/status/1686523630178463745")</f>
        <v>https://twitter.com/valoraanalitik/status/1686523630178463745</v>
      </c>
      <c r="AF1329" s="79">
        <v>45139.990069444444</v>
      </c>
      <c r="AG1329" s="85">
        <v>45139</v>
      </c>
      <c r="AH1329" s="82" t="s">
        <v>8963</v>
      </c>
      <c r="AI1329" s="77" t="b">
        <v>0</v>
      </c>
      <c r="AJ1329" s="77"/>
      <c r="AK1329" s="77"/>
      <c r="AL1329" s="77"/>
      <c r="AM1329" s="77"/>
      <c r="AN1329" s="77"/>
      <c r="AO1329" s="77"/>
      <c r="AP1329" s="77"/>
      <c r="AQ1329" s="77"/>
      <c r="AR1329" s="77"/>
      <c r="AS1329" s="77"/>
      <c r="AT1329" s="77"/>
      <c r="AU1329" s="77"/>
      <c r="AV1329" s="80" t="str">
        <f>HYPERLINK("https://pbs.twimg.com/profile_images/1475155236713029641/7Lb8npQr_normal.jpg")</f>
        <v>https://pbs.twimg.com/profile_images/1475155236713029641/7Lb8npQr_normal.jpg</v>
      </c>
      <c r="AW1329" s="82" t="s">
        <v>12992</v>
      </c>
      <c r="AX1329" s="82" t="s">
        <v>12992</v>
      </c>
      <c r="AY1329" s="77"/>
      <c r="AZ1329" s="82" t="s">
        <v>15984</v>
      </c>
      <c r="BA1329" s="82" t="s">
        <v>15984</v>
      </c>
      <c r="BB1329" s="82" t="s">
        <v>15984</v>
      </c>
      <c r="BC1329" s="82" t="s">
        <v>12992</v>
      </c>
      <c r="BD1329" s="77">
        <v>20980846</v>
      </c>
      <c r="BE1329" s="77"/>
      <c r="BF1329" s="77"/>
      <c r="BG1329" s="77"/>
      <c r="BH1329" s="77"/>
      <c r="BI1329" s="77"/>
    </row>
    <row r="1330" spans="1:61" x14ac:dyDescent="0.25">
      <c r="A1330" s="62" t="s">
        <v>614</v>
      </c>
      <c r="B1330" s="62" t="s">
        <v>834</v>
      </c>
      <c r="C1330" s="63"/>
      <c r="D1330" s="64"/>
      <c r="E1330" s="65"/>
      <c r="F1330" s="66"/>
      <c r="G1330" s="63"/>
      <c r="H1330" s="67"/>
      <c r="I1330" s="68"/>
      <c r="J1330" s="68"/>
      <c r="K1330" s="32"/>
      <c r="L1330" s="75">
        <v>1330</v>
      </c>
      <c r="M1330" s="75"/>
      <c r="N1330" s="70"/>
      <c r="O1330" s="77" t="s">
        <v>895</v>
      </c>
      <c r="P1330" s="79">
        <v>45139.9765625</v>
      </c>
      <c r="Q1330" s="77" t="s">
        <v>2106</v>
      </c>
      <c r="R1330" s="77">
        <v>2</v>
      </c>
      <c r="S1330" s="77">
        <v>2</v>
      </c>
      <c r="T1330" s="77">
        <v>0</v>
      </c>
      <c r="U1330" s="77">
        <v>0</v>
      </c>
      <c r="V1330" s="77">
        <v>1074</v>
      </c>
      <c r="W1330" s="82" t="s">
        <v>4821</v>
      </c>
      <c r="X1330" s="80" t="str">
        <f>HYPERLINK("https://bit.ly/3OeNP0x")</f>
        <v>https://bit.ly/3OeNP0x</v>
      </c>
      <c r="Y1330" s="77" t="s">
        <v>6468</v>
      </c>
      <c r="Z1330" s="77" t="s">
        <v>834</v>
      </c>
      <c r="AA1330" s="77"/>
      <c r="AB1330" s="77"/>
      <c r="AC1330" s="82" t="s">
        <v>7775</v>
      </c>
      <c r="AD1330" s="77" t="s">
        <v>7790</v>
      </c>
      <c r="AE1330" s="80" t="str">
        <f>HYPERLINK("https://twitter.com/valoraanalitik/status/1686518737409581056")</f>
        <v>https://twitter.com/valoraanalitik/status/1686518737409581056</v>
      </c>
      <c r="AF1330" s="79">
        <v>45139.9765625</v>
      </c>
      <c r="AG1330" s="85">
        <v>45139</v>
      </c>
      <c r="AH1330" s="82" t="s">
        <v>8964</v>
      </c>
      <c r="AI1330" s="77" t="b">
        <v>0</v>
      </c>
      <c r="AJ1330" s="77"/>
      <c r="AK1330" s="77"/>
      <c r="AL1330" s="77"/>
      <c r="AM1330" s="77"/>
      <c r="AN1330" s="77"/>
      <c r="AO1330" s="77"/>
      <c r="AP1330" s="77"/>
      <c r="AQ1330" s="77"/>
      <c r="AR1330" s="77"/>
      <c r="AS1330" s="77"/>
      <c r="AT1330" s="77"/>
      <c r="AU1330" s="77"/>
      <c r="AV1330" s="80" t="str">
        <f>HYPERLINK("https://pbs.twimg.com/profile_images/1475155236713029641/7Lb8npQr_normal.jpg")</f>
        <v>https://pbs.twimg.com/profile_images/1475155236713029641/7Lb8npQr_normal.jpg</v>
      </c>
      <c r="AW1330" s="82" t="s">
        <v>12993</v>
      </c>
      <c r="AX1330" s="82" t="s">
        <v>12993</v>
      </c>
      <c r="AY1330" s="77"/>
      <c r="AZ1330" s="82" t="s">
        <v>15984</v>
      </c>
      <c r="BA1330" s="82" t="s">
        <v>15984</v>
      </c>
      <c r="BB1330" s="82" t="s">
        <v>15984</v>
      </c>
      <c r="BC1330" s="82" t="s">
        <v>12993</v>
      </c>
      <c r="BD1330" s="77">
        <v>20980846</v>
      </c>
      <c r="BE1330" s="77"/>
      <c r="BF1330" s="77"/>
      <c r="BG1330" s="77"/>
      <c r="BH1330" s="77"/>
      <c r="BI1330" s="77"/>
    </row>
    <row r="1331" spans="1:61" x14ac:dyDescent="0.25">
      <c r="A1331" s="62" t="s">
        <v>614</v>
      </c>
      <c r="B1331" s="62" t="s">
        <v>835</v>
      </c>
      <c r="C1331" s="63"/>
      <c r="D1331" s="64"/>
      <c r="E1331" s="65"/>
      <c r="F1331" s="66"/>
      <c r="G1331" s="63"/>
      <c r="H1331" s="67"/>
      <c r="I1331" s="68"/>
      <c r="J1331" s="68"/>
      <c r="K1331" s="32"/>
      <c r="L1331" s="75">
        <v>1331</v>
      </c>
      <c r="M1331" s="75"/>
      <c r="N1331" s="70"/>
      <c r="O1331" s="77" t="s">
        <v>895</v>
      </c>
      <c r="P1331" s="79">
        <v>45139.962025462963</v>
      </c>
      <c r="Q1331" s="77" t="s">
        <v>2107</v>
      </c>
      <c r="R1331" s="77">
        <v>1</v>
      </c>
      <c r="S1331" s="77">
        <v>0</v>
      </c>
      <c r="T1331" s="77">
        <v>0</v>
      </c>
      <c r="U1331" s="77">
        <v>0</v>
      </c>
      <c r="V1331" s="77">
        <v>1125</v>
      </c>
      <c r="W1331" s="82" t="s">
        <v>4821</v>
      </c>
      <c r="X1331" s="80" t="str">
        <f>HYPERLINK("https://bit.ly/3KnSRH0")</f>
        <v>https://bit.ly/3KnSRH0</v>
      </c>
      <c r="Y1331" s="77" t="s">
        <v>6468</v>
      </c>
      <c r="Z1331" s="77" t="s">
        <v>835</v>
      </c>
      <c r="AA1331" s="77"/>
      <c r="AB1331" s="77"/>
      <c r="AC1331" s="82" t="s">
        <v>7775</v>
      </c>
      <c r="AD1331" s="77" t="s">
        <v>7790</v>
      </c>
      <c r="AE1331" s="80" t="str">
        <f>HYPERLINK("https://twitter.com/valoraanalitik/status/1686513468726272001")</f>
        <v>https://twitter.com/valoraanalitik/status/1686513468726272001</v>
      </c>
      <c r="AF1331" s="79">
        <v>45139.962025462963</v>
      </c>
      <c r="AG1331" s="85">
        <v>45139</v>
      </c>
      <c r="AH1331" s="82" t="s">
        <v>8965</v>
      </c>
      <c r="AI1331" s="77" t="b">
        <v>0</v>
      </c>
      <c r="AJ1331" s="77"/>
      <c r="AK1331" s="77"/>
      <c r="AL1331" s="77"/>
      <c r="AM1331" s="77"/>
      <c r="AN1331" s="77"/>
      <c r="AO1331" s="77"/>
      <c r="AP1331" s="77"/>
      <c r="AQ1331" s="77"/>
      <c r="AR1331" s="77"/>
      <c r="AS1331" s="77"/>
      <c r="AT1331" s="77"/>
      <c r="AU1331" s="77"/>
      <c r="AV1331" s="80" t="str">
        <f>HYPERLINK("https://pbs.twimg.com/profile_images/1475155236713029641/7Lb8npQr_normal.jpg")</f>
        <v>https://pbs.twimg.com/profile_images/1475155236713029641/7Lb8npQr_normal.jpg</v>
      </c>
      <c r="AW1331" s="82" t="s">
        <v>12994</v>
      </c>
      <c r="AX1331" s="82" t="s">
        <v>12994</v>
      </c>
      <c r="AY1331" s="77"/>
      <c r="AZ1331" s="82" t="s">
        <v>15984</v>
      </c>
      <c r="BA1331" s="82" t="s">
        <v>15984</v>
      </c>
      <c r="BB1331" s="82" t="s">
        <v>15984</v>
      </c>
      <c r="BC1331" s="82" t="s">
        <v>12994</v>
      </c>
      <c r="BD1331" s="77">
        <v>20980846</v>
      </c>
      <c r="BE1331" s="77"/>
      <c r="BF1331" s="77"/>
      <c r="BG1331" s="77"/>
      <c r="BH1331" s="77"/>
      <c r="BI1331" s="77"/>
    </row>
    <row r="1332" spans="1:61" x14ac:dyDescent="0.25">
      <c r="A1332" s="62" t="s">
        <v>614</v>
      </c>
      <c r="B1332" s="62" t="s">
        <v>836</v>
      </c>
      <c r="C1332" s="63"/>
      <c r="D1332" s="64"/>
      <c r="E1332" s="65"/>
      <c r="F1332" s="66"/>
      <c r="G1332" s="63"/>
      <c r="H1332" s="67"/>
      <c r="I1332" s="68"/>
      <c r="J1332" s="68"/>
      <c r="K1332" s="32"/>
      <c r="L1332" s="75">
        <v>1332</v>
      </c>
      <c r="M1332" s="75"/>
      <c r="N1332" s="70"/>
      <c r="O1332" s="77" t="s">
        <v>895</v>
      </c>
      <c r="P1332" s="79">
        <v>45143.959050925929</v>
      </c>
      <c r="Q1332" s="77" t="s">
        <v>2108</v>
      </c>
      <c r="R1332" s="77">
        <v>1</v>
      </c>
      <c r="S1332" s="77">
        <v>0</v>
      </c>
      <c r="T1332" s="77">
        <v>0</v>
      </c>
      <c r="U1332" s="77">
        <v>0</v>
      </c>
      <c r="V1332" s="77">
        <v>1484</v>
      </c>
      <c r="W1332" s="82" t="s">
        <v>4821</v>
      </c>
      <c r="X1332" s="80" t="str">
        <f>HYPERLINK("https://bit.ly/3qh0DLT")</f>
        <v>https://bit.ly/3qh0DLT</v>
      </c>
      <c r="Y1332" s="77" t="s">
        <v>6468</v>
      </c>
      <c r="Z1332" s="77" t="s">
        <v>836</v>
      </c>
      <c r="AA1332" s="77"/>
      <c r="AB1332" s="77"/>
      <c r="AC1332" s="82" t="s">
        <v>7775</v>
      </c>
      <c r="AD1332" s="77" t="s">
        <v>7790</v>
      </c>
      <c r="AE1332" s="80" t="str">
        <f>HYPERLINK("https://twitter.com/valoraanalitik/status/1687961942768451584")</f>
        <v>https://twitter.com/valoraanalitik/status/1687961942768451584</v>
      </c>
      <c r="AF1332" s="79">
        <v>45143.959050925929</v>
      </c>
      <c r="AG1332" s="85">
        <v>45143</v>
      </c>
      <c r="AH1332" s="82" t="s">
        <v>8966</v>
      </c>
      <c r="AI1332" s="77" t="b">
        <v>0</v>
      </c>
      <c r="AJ1332" s="77"/>
      <c r="AK1332" s="77"/>
      <c r="AL1332" s="77"/>
      <c r="AM1332" s="77"/>
      <c r="AN1332" s="77"/>
      <c r="AO1332" s="77"/>
      <c r="AP1332" s="77"/>
      <c r="AQ1332" s="77"/>
      <c r="AR1332" s="77"/>
      <c r="AS1332" s="77"/>
      <c r="AT1332" s="77"/>
      <c r="AU1332" s="77"/>
      <c r="AV1332" s="80" t="str">
        <f>HYPERLINK("https://pbs.twimg.com/profile_images/1475155236713029641/7Lb8npQr_normal.jpg")</f>
        <v>https://pbs.twimg.com/profile_images/1475155236713029641/7Lb8npQr_normal.jpg</v>
      </c>
      <c r="AW1332" s="82" t="s">
        <v>12995</v>
      </c>
      <c r="AX1332" s="82" t="s">
        <v>12995</v>
      </c>
      <c r="AY1332" s="77"/>
      <c r="AZ1332" s="82" t="s">
        <v>15984</v>
      </c>
      <c r="BA1332" s="82" t="s">
        <v>15984</v>
      </c>
      <c r="BB1332" s="82" t="s">
        <v>15984</v>
      </c>
      <c r="BC1332" s="82" t="s">
        <v>12995</v>
      </c>
      <c r="BD1332" s="77">
        <v>20980846</v>
      </c>
      <c r="BE1332" s="77"/>
      <c r="BF1332" s="77"/>
      <c r="BG1332" s="77"/>
      <c r="BH1332" s="77"/>
      <c r="BI1332" s="77"/>
    </row>
    <row r="1333" spans="1:61" x14ac:dyDescent="0.25">
      <c r="A1333" s="62" t="s">
        <v>614</v>
      </c>
      <c r="B1333" s="62" t="s">
        <v>837</v>
      </c>
      <c r="C1333" s="63"/>
      <c r="D1333" s="64"/>
      <c r="E1333" s="65"/>
      <c r="F1333" s="66"/>
      <c r="G1333" s="63"/>
      <c r="H1333" s="67"/>
      <c r="I1333" s="68"/>
      <c r="J1333" s="68"/>
      <c r="K1333" s="32"/>
      <c r="L1333" s="75">
        <v>1333</v>
      </c>
      <c r="M1333" s="75"/>
      <c r="N1333" s="70"/>
      <c r="O1333" s="77" t="s">
        <v>895</v>
      </c>
      <c r="P1333" s="79">
        <v>45154.647604166668</v>
      </c>
      <c r="Q1333" s="77" t="s">
        <v>2109</v>
      </c>
      <c r="R1333" s="77">
        <v>12</v>
      </c>
      <c r="S1333" s="77">
        <v>25</v>
      </c>
      <c r="T1333" s="77">
        <v>1</v>
      </c>
      <c r="U1333" s="77">
        <v>0</v>
      </c>
      <c r="V1333" s="77">
        <v>1689</v>
      </c>
      <c r="W1333" s="82" t="s">
        <v>4821</v>
      </c>
      <c r="X1333" s="80" t="str">
        <f>HYPERLINK("https://bit.ly/45bgwTg")</f>
        <v>https://bit.ly/45bgwTg</v>
      </c>
      <c r="Y1333" s="77" t="s">
        <v>6468</v>
      </c>
      <c r="Z1333" s="77" t="s">
        <v>6595</v>
      </c>
      <c r="AA1333" s="77"/>
      <c r="AB1333" s="77"/>
      <c r="AC1333" s="82" t="s">
        <v>7775</v>
      </c>
      <c r="AD1333" s="77" t="s">
        <v>7790</v>
      </c>
      <c r="AE1333" s="80" t="str">
        <f>HYPERLINK("https://twitter.com/valoraanalitik/status/1691835343551463931")</f>
        <v>https://twitter.com/valoraanalitik/status/1691835343551463931</v>
      </c>
      <c r="AF1333" s="79">
        <v>45154.647604166668</v>
      </c>
      <c r="AG1333" s="85">
        <v>45154</v>
      </c>
      <c r="AH1333" s="82" t="s">
        <v>8967</v>
      </c>
      <c r="AI1333" s="77" t="b">
        <v>0</v>
      </c>
      <c r="AJ1333" s="77"/>
      <c r="AK1333" s="77"/>
      <c r="AL1333" s="77"/>
      <c r="AM1333" s="77"/>
      <c r="AN1333" s="77"/>
      <c r="AO1333" s="77"/>
      <c r="AP1333" s="77"/>
      <c r="AQ1333" s="77"/>
      <c r="AR1333" s="77"/>
      <c r="AS1333" s="77"/>
      <c r="AT1333" s="77"/>
      <c r="AU1333" s="77"/>
      <c r="AV1333" s="80" t="str">
        <f>HYPERLINK("https://pbs.twimg.com/profile_images/1475155236713029641/7Lb8npQr_normal.jpg")</f>
        <v>https://pbs.twimg.com/profile_images/1475155236713029641/7Lb8npQr_normal.jpg</v>
      </c>
      <c r="AW1333" s="82" t="s">
        <v>12996</v>
      </c>
      <c r="AX1333" s="82" t="s">
        <v>12996</v>
      </c>
      <c r="AY1333" s="77"/>
      <c r="AZ1333" s="82" t="s">
        <v>15984</v>
      </c>
      <c r="BA1333" s="82" t="s">
        <v>15984</v>
      </c>
      <c r="BB1333" s="82" t="s">
        <v>15984</v>
      </c>
      <c r="BC1333" s="82" t="s">
        <v>12996</v>
      </c>
      <c r="BD1333" s="77">
        <v>20980846</v>
      </c>
      <c r="BE1333" s="77"/>
      <c r="BF1333" s="77"/>
      <c r="BG1333" s="77"/>
      <c r="BH1333" s="77"/>
      <c r="BI1333" s="77"/>
    </row>
    <row r="1334" spans="1:61" x14ac:dyDescent="0.25">
      <c r="A1334" s="62" t="s">
        <v>614</v>
      </c>
      <c r="B1334" s="62" t="s">
        <v>838</v>
      </c>
      <c r="C1334" s="63"/>
      <c r="D1334" s="64"/>
      <c r="E1334" s="65"/>
      <c r="F1334" s="66"/>
      <c r="G1334" s="63"/>
      <c r="H1334" s="67"/>
      <c r="I1334" s="68"/>
      <c r="J1334" s="68"/>
      <c r="K1334" s="32"/>
      <c r="L1334" s="75">
        <v>1334</v>
      </c>
      <c r="M1334" s="75"/>
      <c r="N1334" s="70"/>
      <c r="O1334" s="77" t="s">
        <v>895</v>
      </c>
      <c r="P1334" s="79">
        <v>45147.057893518519</v>
      </c>
      <c r="Q1334" s="77" t="s">
        <v>2110</v>
      </c>
      <c r="R1334" s="77">
        <v>3</v>
      </c>
      <c r="S1334" s="77">
        <v>24</v>
      </c>
      <c r="T1334" s="77">
        <v>2</v>
      </c>
      <c r="U1334" s="77">
        <v>0</v>
      </c>
      <c r="V1334" s="77">
        <v>4317</v>
      </c>
      <c r="W1334" s="82" t="s">
        <v>4821</v>
      </c>
      <c r="X1334" s="80" t="str">
        <f>HYPERLINK("https://bit.ly/47rJcc4")</f>
        <v>https://bit.ly/47rJcc4</v>
      </c>
      <c r="Y1334" s="77" t="s">
        <v>6468</v>
      </c>
      <c r="Z1334" s="77" t="s">
        <v>838</v>
      </c>
      <c r="AA1334" s="77"/>
      <c r="AB1334" s="77"/>
      <c r="AC1334" s="82" t="s">
        <v>7775</v>
      </c>
      <c r="AD1334" s="77" t="s">
        <v>7790</v>
      </c>
      <c r="AE1334" s="80" t="str">
        <f>HYPERLINK("https://twitter.com/valoraanalitik/status/1689084926254092288")</f>
        <v>https://twitter.com/valoraanalitik/status/1689084926254092288</v>
      </c>
      <c r="AF1334" s="79">
        <v>45147.057893518519</v>
      </c>
      <c r="AG1334" s="85">
        <v>45147</v>
      </c>
      <c r="AH1334" s="82" t="s">
        <v>8968</v>
      </c>
      <c r="AI1334" s="77" t="b">
        <v>0</v>
      </c>
      <c r="AJ1334" s="77"/>
      <c r="AK1334" s="77"/>
      <c r="AL1334" s="77"/>
      <c r="AM1334" s="77"/>
      <c r="AN1334" s="77"/>
      <c r="AO1334" s="77"/>
      <c r="AP1334" s="77"/>
      <c r="AQ1334" s="77"/>
      <c r="AR1334" s="77"/>
      <c r="AS1334" s="77"/>
      <c r="AT1334" s="77"/>
      <c r="AU1334" s="77"/>
      <c r="AV1334" s="80" t="str">
        <f>HYPERLINK("https://pbs.twimg.com/profile_images/1475155236713029641/7Lb8npQr_normal.jpg")</f>
        <v>https://pbs.twimg.com/profile_images/1475155236713029641/7Lb8npQr_normal.jpg</v>
      </c>
      <c r="AW1334" s="82" t="s">
        <v>12997</v>
      </c>
      <c r="AX1334" s="82" t="s">
        <v>12997</v>
      </c>
      <c r="AY1334" s="77"/>
      <c r="AZ1334" s="82" t="s">
        <v>15984</v>
      </c>
      <c r="BA1334" s="82" t="s">
        <v>15984</v>
      </c>
      <c r="BB1334" s="82" t="s">
        <v>15984</v>
      </c>
      <c r="BC1334" s="82" t="s">
        <v>12997</v>
      </c>
      <c r="BD1334" s="77">
        <v>20980846</v>
      </c>
      <c r="BE1334" s="77"/>
      <c r="BF1334" s="77"/>
      <c r="BG1334" s="77"/>
      <c r="BH1334" s="77"/>
      <c r="BI1334" s="77"/>
    </row>
    <row r="1335" spans="1:61" x14ac:dyDescent="0.25">
      <c r="A1335" s="62" t="s">
        <v>614</v>
      </c>
      <c r="B1335" s="62" t="s">
        <v>839</v>
      </c>
      <c r="C1335" s="63"/>
      <c r="D1335" s="64"/>
      <c r="E1335" s="65"/>
      <c r="F1335" s="66"/>
      <c r="G1335" s="63"/>
      <c r="H1335" s="67"/>
      <c r="I1335" s="68"/>
      <c r="J1335" s="68"/>
      <c r="K1335" s="32"/>
      <c r="L1335" s="75">
        <v>1335</v>
      </c>
      <c r="M1335" s="75"/>
      <c r="N1335" s="70"/>
      <c r="O1335" s="77" t="s">
        <v>895</v>
      </c>
      <c r="P1335" s="79">
        <v>45174.547314814816</v>
      </c>
      <c r="Q1335" s="77" t="s">
        <v>2111</v>
      </c>
      <c r="R1335" s="77">
        <v>3</v>
      </c>
      <c r="S1335" s="77">
        <v>4</v>
      </c>
      <c r="T1335" s="77">
        <v>0</v>
      </c>
      <c r="U1335" s="77">
        <v>0</v>
      </c>
      <c r="V1335" s="77">
        <v>1149</v>
      </c>
      <c r="W1335" s="82" t="s">
        <v>5541</v>
      </c>
      <c r="X1335" s="80" t="str">
        <f>HYPERLINK("https://bit.ly/44CLOBl")</f>
        <v>https://bit.ly/44CLOBl</v>
      </c>
      <c r="Y1335" s="77" t="s">
        <v>6468</v>
      </c>
      <c r="Z1335" s="77" t="s">
        <v>6596</v>
      </c>
      <c r="AA1335" s="77"/>
      <c r="AB1335" s="77"/>
      <c r="AC1335" s="82" t="s">
        <v>7775</v>
      </c>
      <c r="AD1335" s="77" t="s">
        <v>7790</v>
      </c>
      <c r="AE1335" s="80" t="str">
        <f>HYPERLINK("https://twitter.com/valoraanalitik/status/1699046758033051744")</f>
        <v>https://twitter.com/valoraanalitik/status/1699046758033051744</v>
      </c>
      <c r="AF1335" s="79">
        <v>45174.547314814816</v>
      </c>
      <c r="AG1335" s="85">
        <v>45174</v>
      </c>
      <c r="AH1335" s="82" t="s">
        <v>8969</v>
      </c>
      <c r="AI1335" s="77" t="b">
        <v>0</v>
      </c>
      <c r="AJ1335" s="77"/>
      <c r="AK1335" s="77"/>
      <c r="AL1335" s="77"/>
      <c r="AM1335" s="77"/>
      <c r="AN1335" s="77"/>
      <c r="AO1335" s="77"/>
      <c r="AP1335" s="77"/>
      <c r="AQ1335" s="77"/>
      <c r="AR1335" s="77"/>
      <c r="AS1335" s="77"/>
      <c r="AT1335" s="77"/>
      <c r="AU1335" s="77"/>
      <c r="AV1335" s="80" t="str">
        <f>HYPERLINK("https://pbs.twimg.com/profile_images/1475155236713029641/7Lb8npQr_normal.jpg")</f>
        <v>https://pbs.twimg.com/profile_images/1475155236713029641/7Lb8npQr_normal.jpg</v>
      </c>
      <c r="AW1335" s="82" t="s">
        <v>12998</v>
      </c>
      <c r="AX1335" s="82" t="s">
        <v>12998</v>
      </c>
      <c r="AY1335" s="77"/>
      <c r="AZ1335" s="82" t="s">
        <v>15984</v>
      </c>
      <c r="BA1335" s="82" t="s">
        <v>15984</v>
      </c>
      <c r="BB1335" s="82" t="s">
        <v>15984</v>
      </c>
      <c r="BC1335" s="82" t="s">
        <v>12998</v>
      </c>
      <c r="BD1335" s="77">
        <v>20980846</v>
      </c>
      <c r="BE1335" s="77"/>
      <c r="BF1335" s="77"/>
      <c r="BG1335" s="77"/>
      <c r="BH1335" s="77"/>
      <c r="BI1335" s="77"/>
    </row>
    <row r="1336" spans="1:61" x14ac:dyDescent="0.25">
      <c r="A1336" s="62" t="s">
        <v>614</v>
      </c>
      <c r="B1336" s="62" t="s">
        <v>840</v>
      </c>
      <c r="C1336" s="63"/>
      <c r="D1336" s="64"/>
      <c r="E1336" s="65"/>
      <c r="F1336" s="66"/>
      <c r="G1336" s="63"/>
      <c r="H1336" s="67"/>
      <c r="I1336" s="68"/>
      <c r="J1336" s="68"/>
      <c r="K1336" s="32"/>
      <c r="L1336" s="75">
        <v>1336</v>
      </c>
      <c r="M1336" s="75"/>
      <c r="N1336" s="70"/>
      <c r="O1336" s="77" t="s">
        <v>895</v>
      </c>
      <c r="P1336" s="79">
        <v>45152.055555555555</v>
      </c>
      <c r="Q1336" s="77" t="s">
        <v>2112</v>
      </c>
      <c r="R1336" s="77">
        <v>2</v>
      </c>
      <c r="S1336" s="77">
        <v>5</v>
      </c>
      <c r="T1336" s="77">
        <v>0</v>
      </c>
      <c r="U1336" s="77">
        <v>0</v>
      </c>
      <c r="V1336" s="77">
        <v>1784</v>
      </c>
      <c r="W1336" s="82" t="s">
        <v>4821</v>
      </c>
      <c r="X1336" s="80" t="str">
        <f>HYPERLINK("https://www.valoraanalitik.com/2023/08/13/inflacion-colombia-la-ciudad-que-roza-un-digito-en-variacion-anual")</f>
        <v>https://www.valoraanalitik.com/2023/08/13/inflacion-colombia-la-ciudad-que-roza-un-digito-en-variacion-anual</v>
      </c>
      <c r="Y1336" s="77" t="s">
        <v>6471</v>
      </c>
      <c r="Z1336" s="77" t="s">
        <v>6597</v>
      </c>
      <c r="AA1336" s="77"/>
      <c r="AB1336" s="77"/>
      <c r="AC1336" s="82" t="s">
        <v>7750</v>
      </c>
      <c r="AD1336" s="77" t="s">
        <v>7790</v>
      </c>
      <c r="AE1336" s="80" t="str">
        <f>HYPERLINK("https://twitter.com/valoraanalitik/status/1690896016164171776")</f>
        <v>https://twitter.com/valoraanalitik/status/1690896016164171776</v>
      </c>
      <c r="AF1336" s="79">
        <v>45152.055555555555</v>
      </c>
      <c r="AG1336" s="85">
        <v>45152</v>
      </c>
      <c r="AH1336" s="82" t="s">
        <v>8970</v>
      </c>
      <c r="AI1336" s="77" t="b">
        <v>0</v>
      </c>
      <c r="AJ1336" s="77"/>
      <c r="AK1336" s="77"/>
      <c r="AL1336" s="77"/>
      <c r="AM1336" s="77"/>
      <c r="AN1336" s="77"/>
      <c r="AO1336" s="77"/>
      <c r="AP1336" s="77"/>
      <c r="AQ1336" s="77"/>
      <c r="AR1336" s="77"/>
      <c r="AS1336" s="77"/>
      <c r="AT1336" s="77"/>
      <c r="AU1336" s="77"/>
      <c r="AV1336" s="80" t="str">
        <f>HYPERLINK("https://pbs.twimg.com/profile_images/1475155236713029641/7Lb8npQr_normal.jpg")</f>
        <v>https://pbs.twimg.com/profile_images/1475155236713029641/7Lb8npQr_normal.jpg</v>
      </c>
      <c r="AW1336" s="82" t="s">
        <v>12999</v>
      </c>
      <c r="AX1336" s="82" t="s">
        <v>12999</v>
      </c>
      <c r="AY1336" s="77"/>
      <c r="AZ1336" s="82" t="s">
        <v>15984</v>
      </c>
      <c r="BA1336" s="82" t="s">
        <v>15984</v>
      </c>
      <c r="BB1336" s="82" t="s">
        <v>15984</v>
      </c>
      <c r="BC1336" s="82" t="s">
        <v>12999</v>
      </c>
      <c r="BD1336" s="77">
        <v>20980846</v>
      </c>
      <c r="BE1336" s="77"/>
      <c r="BF1336" s="77"/>
      <c r="BG1336" s="77"/>
      <c r="BH1336" s="77"/>
      <c r="BI1336" s="77"/>
    </row>
    <row r="1337" spans="1:61" x14ac:dyDescent="0.25">
      <c r="A1337" s="62" t="s">
        <v>614</v>
      </c>
      <c r="B1337" s="62" t="s">
        <v>841</v>
      </c>
      <c r="C1337" s="63"/>
      <c r="D1337" s="64"/>
      <c r="E1337" s="65"/>
      <c r="F1337" s="66"/>
      <c r="G1337" s="63"/>
      <c r="H1337" s="67"/>
      <c r="I1337" s="68"/>
      <c r="J1337" s="68"/>
      <c r="K1337" s="32"/>
      <c r="L1337" s="75">
        <v>1337</v>
      </c>
      <c r="M1337" s="75"/>
      <c r="N1337" s="70"/>
      <c r="O1337" s="77" t="s">
        <v>895</v>
      </c>
      <c r="P1337" s="79">
        <v>45136.084097222221</v>
      </c>
      <c r="Q1337" s="77" t="s">
        <v>2113</v>
      </c>
      <c r="R1337" s="77">
        <v>1</v>
      </c>
      <c r="S1337" s="77">
        <v>6</v>
      </c>
      <c r="T1337" s="77">
        <v>0</v>
      </c>
      <c r="U1337" s="77">
        <v>0</v>
      </c>
      <c r="V1337" s="77">
        <v>1709</v>
      </c>
      <c r="W1337" s="82" t="s">
        <v>4821</v>
      </c>
      <c r="X1337" s="80" t="str">
        <f>HYPERLINK("https://bit.ly/43QzkWi")</f>
        <v>https://bit.ly/43QzkWi</v>
      </c>
      <c r="Y1337" s="77" t="s">
        <v>6468</v>
      </c>
      <c r="Z1337" s="77" t="s">
        <v>841</v>
      </c>
      <c r="AA1337" s="77"/>
      <c r="AB1337" s="77"/>
      <c r="AC1337" s="82" t="s">
        <v>7775</v>
      </c>
      <c r="AD1337" s="77" t="s">
        <v>7790</v>
      </c>
      <c r="AE1337" s="80" t="str">
        <f>HYPERLINK("https://twitter.com/valoraanalitik/status/1685108156366536705")</f>
        <v>https://twitter.com/valoraanalitik/status/1685108156366536705</v>
      </c>
      <c r="AF1337" s="79">
        <v>45136.084097222221</v>
      </c>
      <c r="AG1337" s="85">
        <v>45136</v>
      </c>
      <c r="AH1337" s="82" t="s">
        <v>8971</v>
      </c>
      <c r="AI1337" s="77" t="b">
        <v>0</v>
      </c>
      <c r="AJ1337" s="77"/>
      <c r="AK1337" s="77"/>
      <c r="AL1337" s="77"/>
      <c r="AM1337" s="77"/>
      <c r="AN1337" s="77"/>
      <c r="AO1337" s="77"/>
      <c r="AP1337" s="77"/>
      <c r="AQ1337" s="77"/>
      <c r="AR1337" s="77"/>
      <c r="AS1337" s="77"/>
      <c r="AT1337" s="77"/>
      <c r="AU1337" s="77"/>
      <c r="AV1337" s="80" t="str">
        <f>HYPERLINK("https://pbs.twimg.com/profile_images/1475155236713029641/7Lb8npQr_normal.jpg")</f>
        <v>https://pbs.twimg.com/profile_images/1475155236713029641/7Lb8npQr_normal.jpg</v>
      </c>
      <c r="AW1337" s="82" t="s">
        <v>13000</v>
      </c>
      <c r="AX1337" s="82" t="s">
        <v>13000</v>
      </c>
      <c r="AY1337" s="77"/>
      <c r="AZ1337" s="82" t="s">
        <v>15984</v>
      </c>
      <c r="BA1337" s="82" t="s">
        <v>15984</v>
      </c>
      <c r="BB1337" s="82" t="s">
        <v>15984</v>
      </c>
      <c r="BC1337" s="82" t="s">
        <v>13000</v>
      </c>
      <c r="BD1337" s="77">
        <v>20980846</v>
      </c>
      <c r="BE1337" s="77"/>
      <c r="BF1337" s="77"/>
      <c r="BG1337" s="77"/>
      <c r="BH1337" s="77"/>
      <c r="BI1337" s="77"/>
    </row>
    <row r="1338" spans="1:61" x14ac:dyDescent="0.25">
      <c r="A1338" s="62" t="s">
        <v>614</v>
      </c>
      <c r="B1338" s="62" t="s">
        <v>842</v>
      </c>
      <c r="C1338" s="63"/>
      <c r="D1338" s="64"/>
      <c r="E1338" s="65"/>
      <c r="F1338" s="66"/>
      <c r="G1338" s="63"/>
      <c r="H1338" s="67"/>
      <c r="I1338" s="68"/>
      <c r="J1338" s="68"/>
      <c r="K1338" s="32"/>
      <c r="L1338" s="75">
        <v>1338</v>
      </c>
      <c r="M1338" s="75"/>
      <c r="N1338" s="70"/>
      <c r="O1338" s="77" t="s">
        <v>895</v>
      </c>
      <c r="P1338" s="79">
        <v>45175.988726851851</v>
      </c>
      <c r="Q1338" s="77" t="s">
        <v>2114</v>
      </c>
      <c r="R1338" s="77">
        <v>2</v>
      </c>
      <c r="S1338" s="77">
        <v>0</v>
      </c>
      <c r="T1338" s="77">
        <v>3</v>
      </c>
      <c r="U1338" s="77">
        <v>3</v>
      </c>
      <c r="V1338" s="77">
        <v>3784</v>
      </c>
      <c r="W1338" s="82" t="s">
        <v>4821</v>
      </c>
      <c r="X1338" s="80" t="str">
        <f>HYPERLINK("https://www.valoraanalitik.com/2023/09/06/minhacienda-de-colombia-desestima-que-jpmorgan-diga-que-bolsa-de-colombia-perderia-estatus-emergente/")</f>
        <v>https://www.valoraanalitik.com/2023/09/06/minhacienda-de-colombia-desestima-que-jpmorgan-diga-que-bolsa-de-colombia-perderia-estatus-emergente/</v>
      </c>
      <c r="Y1338" s="77" t="s">
        <v>6471</v>
      </c>
      <c r="Z1338" s="77" t="s">
        <v>6598</v>
      </c>
      <c r="AA1338" s="77" t="s">
        <v>7342</v>
      </c>
      <c r="AB1338" s="77" t="s">
        <v>7742</v>
      </c>
      <c r="AC1338" s="82" t="s">
        <v>7750</v>
      </c>
      <c r="AD1338" s="77" t="s">
        <v>7790</v>
      </c>
      <c r="AE1338" s="80" t="str">
        <f>HYPERLINK("https://twitter.com/valoraanalitik/status/1699569106481971451")</f>
        <v>https://twitter.com/valoraanalitik/status/1699569106481971451</v>
      </c>
      <c r="AF1338" s="79">
        <v>45175.988726851851</v>
      </c>
      <c r="AG1338" s="85">
        <v>45175</v>
      </c>
      <c r="AH1338" s="82" t="s">
        <v>8972</v>
      </c>
      <c r="AI1338" s="77" t="b">
        <v>0</v>
      </c>
      <c r="AJ1338" s="77"/>
      <c r="AK1338" s="77"/>
      <c r="AL1338" s="77"/>
      <c r="AM1338" s="77"/>
      <c r="AN1338" s="77"/>
      <c r="AO1338" s="77"/>
      <c r="AP1338" s="77"/>
      <c r="AQ1338" s="77" t="s">
        <v>11314</v>
      </c>
      <c r="AR1338" s="77"/>
      <c r="AS1338" s="77"/>
      <c r="AT1338" s="77"/>
      <c r="AU1338" s="77"/>
      <c r="AV1338" s="80" t="str">
        <f>HYPERLINK("https://pbs.twimg.com/media/F5YU56EW0AA_O2G.png")</f>
        <v>https://pbs.twimg.com/media/F5YU56EW0AA_O2G.png</v>
      </c>
      <c r="AW1338" s="82" t="s">
        <v>13001</v>
      </c>
      <c r="AX1338" s="82" t="s">
        <v>13001</v>
      </c>
      <c r="AY1338" s="77"/>
      <c r="AZ1338" s="82" t="s">
        <v>15984</v>
      </c>
      <c r="BA1338" s="82" t="s">
        <v>15984</v>
      </c>
      <c r="BB1338" s="82" t="s">
        <v>15984</v>
      </c>
      <c r="BC1338" s="82" t="s">
        <v>13001</v>
      </c>
      <c r="BD1338" s="77">
        <v>20980846</v>
      </c>
      <c r="BE1338" s="77"/>
      <c r="BF1338" s="77"/>
      <c r="BG1338" s="77"/>
      <c r="BH1338" s="77"/>
      <c r="BI1338" s="77"/>
    </row>
    <row r="1339" spans="1:61" x14ac:dyDescent="0.25">
      <c r="A1339" s="62" t="s">
        <v>614</v>
      </c>
      <c r="B1339" s="62" t="s">
        <v>843</v>
      </c>
      <c r="C1339" s="63"/>
      <c r="D1339" s="64"/>
      <c r="E1339" s="65"/>
      <c r="F1339" s="66"/>
      <c r="G1339" s="63"/>
      <c r="H1339" s="67"/>
      <c r="I1339" s="68"/>
      <c r="J1339" s="68"/>
      <c r="K1339" s="32"/>
      <c r="L1339" s="75">
        <v>1339</v>
      </c>
      <c r="M1339" s="75"/>
      <c r="N1339" s="70"/>
      <c r="O1339" s="77" t="s">
        <v>895</v>
      </c>
      <c r="P1339" s="79">
        <v>45175.988726851851</v>
      </c>
      <c r="Q1339" s="77" t="s">
        <v>2114</v>
      </c>
      <c r="R1339" s="77">
        <v>2</v>
      </c>
      <c r="S1339" s="77">
        <v>0</v>
      </c>
      <c r="T1339" s="77">
        <v>3</v>
      </c>
      <c r="U1339" s="77">
        <v>3</v>
      </c>
      <c r="V1339" s="77">
        <v>3784</v>
      </c>
      <c r="W1339" s="82" t="s">
        <v>4821</v>
      </c>
      <c r="X1339" s="80" t="str">
        <f>HYPERLINK("https://www.valoraanalitik.com/2023/09/06/minhacienda-de-colombia-desestima-que-jpmorgan-diga-que-bolsa-de-colombia-perderia-estatus-emergente/")</f>
        <v>https://www.valoraanalitik.com/2023/09/06/minhacienda-de-colombia-desestima-que-jpmorgan-diga-que-bolsa-de-colombia-perderia-estatus-emergente/</v>
      </c>
      <c r="Y1339" s="77" t="s">
        <v>6471</v>
      </c>
      <c r="Z1339" s="77" t="s">
        <v>6598</v>
      </c>
      <c r="AA1339" s="77" t="s">
        <v>7342</v>
      </c>
      <c r="AB1339" s="77" t="s">
        <v>7742</v>
      </c>
      <c r="AC1339" s="82" t="s">
        <v>7750</v>
      </c>
      <c r="AD1339" s="77" t="s">
        <v>7790</v>
      </c>
      <c r="AE1339" s="80" t="str">
        <f>HYPERLINK("https://twitter.com/valoraanalitik/status/1699569106481971451")</f>
        <v>https://twitter.com/valoraanalitik/status/1699569106481971451</v>
      </c>
      <c r="AF1339" s="79">
        <v>45175.988726851851</v>
      </c>
      <c r="AG1339" s="85">
        <v>45175</v>
      </c>
      <c r="AH1339" s="82" t="s">
        <v>8972</v>
      </c>
      <c r="AI1339" s="77" t="b">
        <v>0</v>
      </c>
      <c r="AJ1339" s="77"/>
      <c r="AK1339" s="77"/>
      <c r="AL1339" s="77"/>
      <c r="AM1339" s="77"/>
      <c r="AN1339" s="77"/>
      <c r="AO1339" s="77"/>
      <c r="AP1339" s="77"/>
      <c r="AQ1339" s="77" t="s">
        <v>11314</v>
      </c>
      <c r="AR1339" s="77"/>
      <c r="AS1339" s="77"/>
      <c r="AT1339" s="77"/>
      <c r="AU1339" s="77"/>
      <c r="AV1339" s="80" t="str">
        <f>HYPERLINK("https://pbs.twimg.com/media/F5YU56EW0AA_O2G.png")</f>
        <v>https://pbs.twimg.com/media/F5YU56EW0AA_O2G.png</v>
      </c>
      <c r="AW1339" s="82" t="s">
        <v>13001</v>
      </c>
      <c r="AX1339" s="82" t="s">
        <v>13001</v>
      </c>
      <c r="AY1339" s="77"/>
      <c r="AZ1339" s="82" t="s">
        <v>15984</v>
      </c>
      <c r="BA1339" s="82" t="s">
        <v>15984</v>
      </c>
      <c r="BB1339" s="82" t="s">
        <v>15984</v>
      </c>
      <c r="BC1339" s="82" t="s">
        <v>13001</v>
      </c>
      <c r="BD1339" s="77">
        <v>20980846</v>
      </c>
      <c r="BE1339" s="77"/>
      <c r="BF1339" s="77"/>
      <c r="BG1339" s="77"/>
      <c r="BH1339" s="77"/>
      <c r="BI1339" s="77"/>
    </row>
    <row r="1340" spans="1:61" x14ac:dyDescent="0.25">
      <c r="A1340" s="62" t="s">
        <v>614</v>
      </c>
      <c r="B1340" s="62" t="s">
        <v>844</v>
      </c>
      <c r="C1340" s="63"/>
      <c r="D1340" s="64"/>
      <c r="E1340" s="65"/>
      <c r="F1340" s="66"/>
      <c r="G1340" s="63"/>
      <c r="H1340" s="67"/>
      <c r="I1340" s="68"/>
      <c r="J1340" s="68"/>
      <c r="K1340" s="32"/>
      <c r="L1340" s="75">
        <v>1340</v>
      </c>
      <c r="M1340" s="75"/>
      <c r="N1340" s="70"/>
      <c r="O1340" s="77" t="s">
        <v>895</v>
      </c>
      <c r="P1340" s="79">
        <v>45146.000694444447</v>
      </c>
      <c r="Q1340" s="77" t="s">
        <v>2115</v>
      </c>
      <c r="R1340" s="77">
        <v>0</v>
      </c>
      <c r="S1340" s="77">
        <v>2</v>
      </c>
      <c r="T1340" s="77">
        <v>0</v>
      </c>
      <c r="U1340" s="77">
        <v>0</v>
      </c>
      <c r="V1340" s="77">
        <v>1660</v>
      </c>
      <c r="W1340" s="82" t="s">
        <v>4821</v>
      </c>
      <c r="X1340" s="80" t="str">
        <f>HYPERLINK("https://www.valoraanalitik.com/2023/08/07/inflacion-colombia-julio-del-2023-de-cuanto-habria-sido")</f>
        <v>https://www.valoraanalitik.com/2023/08/07/inflacion-colombia-julio-del-2023-de-cuanto-habria-sido</v>
      </c>
      <c r="Y1340" s="77" t="s">
        <v>6471</v>
      </c>
      <c r="Z1340" s="77" t="s">
        <v>6599</v>
      </c>
      <c r="AA1340" s="77"/>
      <c r="AB1340" s="77"/>
      <c r="AC1340" s="82" t="s">
        <v>7750</v>
      </c>
      <c r="AD1340" s="77" t="s">
        <v>7790</v>
      </c>
      <c r="AE1340" s="80" t="str">
        <f>HYPERLINK("https://twitter.com/valoraanalitik/status/1688701808049541120")</f>
        <v>https://twitter.com/valoraanalitik/status/1688701808049541120</v>
      </c>
      <c r="AF1340" s="79">
        <v>45146.000694444447</v>
      </c>
      <c r="AG1340" s="85">
        <v>45146</v>
      </c>
      <c r="AH1340" s="82" t="s">
        <v>8973</v>
      </c>
      <c r="AI1340" s="77" t="b">
        <v>0</v>
      </c>
      <c r="AJ1340" s="77"/>
      <c r="AK1340" s="77"/>
      <c r="AL1340" s="77"/>
      <c r="AM1340" s="77"/>
      <c r="AN1340" s="77"/>
      <c r="AO1340" s="77"/>
      <c r="AP1340" s="77"/>
      <c r="AQ1340" s="77"/>
      <c r="AR1340" s="77"/>
      <c r="AS1340" s="77"/>
      <c r="AT1340" s="77"/>
      <c r="AU1340" s="77"/>
      <c r="AV1340" s="80" t="str">
        <f>HYPERLINK("https://pbs.twimg.com/profile_images/1475155236713029641/7Lb8npQr_normal.jpg")</f>
        <v>https://pbs.twimg.com/profile_images/1475155236713029641/7Lb8npQr_normal.jpg</v>
      </c>
      <c r="AW1340" s="82" t="s">
        <v>13002</v>
      </c>
      <c r="AX1340" s="82" t="s">
        <v>13002</v>
      </c>
      <c r="AY1340" s="77"/>
      <c r="AZ1340" s="82" t="s">
        <v>15984</v>
      </c>
      <c r="BA1340" s="82" t="s">
        <v>15984</v>
      </c>
      <c r="BB1340" s="82" t="s">
        <v>15984</v>
      </c>
      <c r="BC1340" s="82" t="s">
        <v>13002</v>
      </c>
      <c r="BD1340" s="77">
        <v>20980846</v>
      </c>
      <c r="BE1340" s="77"/>
      <c r="BF1340" s="77"/>
      <c r="BG1340" s="77"/>
      <c r="BH1340" s="77"/>
      <c r="BI1340" s="77"/>
    </row>
    <row r="1341" spans="1:61" x14ac:dyDescent="0.25">
      <c r="A1341" s="62" t="s">
        <v>614</v>
      </c>
      <c r="B1341" s="62" t="s">
        <v>845</v>
      </c>
      <c r="C1341" s="63"/>
      <c r="D1341" s="64"/>
      <c r="E1341" s="65"/>
      <c r="F1341" s="66"/>
      <c r="G1341" s="63"/>
      <c r="H1341" s="67"/>
      <c r="I1341" s="68"/>
      <c r="J1341" s="68"/>
      <c r="K1341" s="32"/>
      <c r="L1341" s="75">
        <v>1341</v>
      </c>
      <c r="M1341" s="75"/>
      <c r="N1341" s="70"/>
      <c r="O1341" s="77" t="s">
        <v>895</v>
      </c>
      <c r="P1341" s="79">
        <v>45175.056979166664</v>
      </c>
      <c r="Q1341" s="77" t="s">
        <v>2116</v>
      </c>
      <c r="R1341" s="77">
        <v>1</v>
      </c>
      <c r="S1341" s="77">
        <v>2</v>
      </c>
      <c r="T1341" s="77">
        <v>1</v>
      </c>
      <c r="U1341" s="77">
        <v>0</v>
      </c>
      <c r="V1341" s="77">
        <v>1277</v>
      </c>
      <c r="W1341" s="82" t="s">
        <v>4821</v>
      </c>
      <c r="X1341" s="80" t="str">
        <f>HYPERLINK("https://bit.ly/45ZUDX6")</f>
        <v>https://bit.ly/45ZUDX6</v>
      </c>
      <c r="Y1341" s="77" t="s">
        <v>6468</v>
      </c>
      <c r="Z1341" s="77" t="s">
        <v>845</v>
      </c>
      <c r="AA1341" s="77"/>
      <c r="AB1341" s="77"/>
      <c r="AC1341" s="82" t="s">
        <v>7775</v>
      </c>
      <c r="AD1341" s="77" t="s">
        <v>7790</v>
      </c>
      <c r="AE1341" s="80" t="str">
        <f>HYPERLINK("https://twitter.com/valoraanalitik/status/1699231452590690736")</f>
        <v>https://twitter.com/valoraanalitik/status/1699231452590690736</v>
      </c>
      <c r="AF1341" s="79">
        <v>45175.056979166664</v>
      </c>
      <c r="AG1341" s="85">
        <v>45175</v>
      </c>
      <c r="AH1341" s="82" t="s">
        <v>8974</v>
      </c>
      <c r="AI1341" s="77" t="b">
        <v>0</v>
      </c>
      <c r="AJ1341" s="77"/>
      <c r="AK1341" s="77"/>
      <c r="AL1341" s="77"/>
      <c r="AM1341" s="77"/>
      <c r="AN1341" s="77"/>
      <c r="AO1341" s="77"/>
      <c r="AP1341" s="77"/>
      <c r="AQ1341" s="77"/>
      <c r="AR1341" s="77"/>
      <c r="AS1341" s="77"/>
      <c r="AT1341" s="77"/>
      <c r="AU1341" s="77"/>
      <c r="AV1341" s="80" t="str">
        <f>HYPERLINK("https://pbs.twimg.com/profile_images/1475155236713029641/7Lb8npQr_normal.jpg")</f>
        <v>https://pbs.twimg.com/profile_images/1475155236713029641/7Lb8npQr_normal.jpg</v>
      </c>
      <c r="AW1341" s="82" t="s">
        <v>13003</v>
      </c>
      <c r="AX1341" s="82" t="s">
        <v>13003</v>
      </c>
      <c r="AY1341" s="77"/>
      <c r="AZ1341" s="82" t="s">
        <v>15984</v>
      </c>
      <c r="BA1341" s="82" t="s">
        <v>15984</v>
      </c>
      <c r="BB1341" s="82" t="s">
        <v>15984</v>
      </c>
      <c r="BC1341" s="82" t="s">
        <v>13003</v>
      </c>
      <c r="BD1341" s="77">
        <v>20980846</v>
      </c>
      <c r="BE1341" s="77"/>
      <c r="BF1341" s="77"/>
      <c r="BG1341" s="77"/>
      <c r="BH1341" s="77"/>
      <c r="BI1341" s="77"/>
    </row>
    <row r="1342" spans="1:61" x14ac:dyDescent="0.25">
      <c r="A1342" s="62" t="s">
        <v>614</v>
      </c>
      <c r="B1342" s="62" t="s">
        <v>846</v>
      </c>
      <c r="C1342" s="63"/>
      <c r="D1342" s="64"/>
      <c r="E1342" s="65"/>
      <c r="F1342" s="66"/>
      <c r="G1342" s="63"/>
      <c r="H1342" s="67"/>
      <c r="I1342" s="68"/>
      <c r="J1342" s="68"/>
      <c r="K1342" s="32"/>
      <c r="L1342" s="75">
        <v>1342</v>
      </c>
      <c r="M1342" s="75"/>
      <c r="N1342" s="70"/>
      <c r="O1342" s="77" t="s">
        <v>895</v>
      </c>
      <c r="P1342" s="79">
        <v>45126.651562500003</v>
      </c>
      <c r="Q1342" s="77" t="s">
        <v>2117</v>
      </c>
      <c r="R1342" s="77">
        <v>11</v>
      </c>
      <c r="S1342" s="77">
        <v>23</v>
      </c>
      <c r="T1342" s="77">
        <v>0</v>
      </c>
      <c r="U1342" s="77">
        <v>0</v>
      </c>
      <c r="V1342" s="77">
        <v>1742</v>
      </c>
      <c r="W1342" s="82" t="s">
        <v>4821</v>
      </c>
      <c r="X1342" s="80" t="str">
        <f>HYPERLINK("https://bit.ly/46Tbpbz")</f>
        <v>https://bit.ly/46Tbpbz</v>
      </c>
      <c r="Y1342" s="77" t="s">
        <v>6468</v>
      </c>
      <c r="Z1342" s="77" t="s">
        <v>6600</v>
      </c>
      <c r="AA1342" s="77"/>
      <c r="AB1342" s="77"/>
      <c r="AC1342" s="82" t="s">
        <v>7775</v>
      </c>
      <c r="AD1342" s="77" t="s">
        <v>7790</v>
      </c>
      <c r="AE1342" s="80" t="str">
        <f>HYPERLINK("https://twitter.com/valoraanalitik/status/1681689918685192193")</f>
        <v>https://twitter.com/valoraanalitik/status/1681689918685192193</v>
      </c>
      <c r="AF1342" s="79">
        <v>45126.651562500003</v>
      </c>
      <c r="AG1342" s="85">
        <v>45126</v>
      </c>
      <c r="AH1342" s="82" t="s">
        <v>8975</v>
      </c>
      <c r="AI1342" s="77" t="b">
        <v>0</v>
      </c>
      <c r="AJ1342" s="77"/>
      <c r="AK1342" s="77"/>
      <c r="AL1342" s="77"/>
      <c r="AM1342" s="77"/>
      <c r="AN1342" s="77"/>
      <c r="AO1342" s="77"/>
      <c r="AP1342" s="77"/>
      <c r="AQ1342" s="77"/>
      <c r="AR1342" s="77"/>
      <c r="AS1342" s="77"/>
      <c r="AT1342" s="77"/>
      <c r="AU1342" s="77"/>
      <c r="AV1342" s="80" t="str">
        <f>HYPERLINK("https://pbs.twimg.com/profile_images/1475155236713029641/7Lb8npQr_normal.jpg")</f>
        <v>https://pbs.twimg.com/profile_images/1475155236713029641/7Lb8npQr_normal.jpg</v>
      </c>
      <c r="AW1342" s="82" t="s">
        <v>13004</v>
      </c>
      <c r="AX1342" s="82" t="s">
        <v>13004</v>
      </c>
      <c r="AY1342" s="77"/>
      <c r="AZ1342" s="82" t="s">
        <v>15984</v>
      </c>
      <c r="BA1342" s="82" t="s">
        <v>15984</v>
      </c>
      <c r="BB1342" s="82" t="s">
        <v>15984</v>
      </c>
      <c r="BC1342" s="82" t="s">
        <v>13004</v>
      </c>
      <c r="BD1342" s="77">
        <v>20980846</v>
      </c>
      <c r="BE1342" s="77"/>
      <c r="BF1342" s="77"/>
      <c r="BG1342" s="77"/>
      <c r="BH1342" s="77"/>
      <c r="BI1342" s="77"/>
    </row>
    <row r="1343" spans="1:61" x14ac:dyDescent="0.25">
      <c r="A1343" s="62" t="s">
        <v>614</v>
      </c>
      <c r="B1343" s="62" t="s">
        <v>847</v>
      </c>
      <c r="C1343" s="63"/>
      <c r="D1343" s="64"/>
      <c r="E1343" s="65"/>
      <c r="F1343" s="66"/>
      <c r="G1343" s="63"/>
      <c r="H1343" s="67"/>
      <c r="I1343" s="68"/>
      <c r="J1343" s="68"/>
      <c r="K1343" s="32"/>
      <c r="L1343" s="75">
        <v>1343</v>
      </c>
      <c r="M1343" s="75"/>
      <c r="N1343" s="70"/>
      <c r="O1343" s="77" t="s">
        <v>895</v>
      </c>
      <c r="P1343" s="79">
        <v>45126.516203703701</v>
      </c>
      <c r="Q1343" s="77" t="s">
        <v>2118</v>
      </c>
      <c r="R1343" s="77">
        <v>1</v>
      </c>
      <c r="S1343" s="77">
        <v>1</v>
      </c>
      <c r="T1343" s="77">
        <v>0</v>
      </c>
      <c r="U1343" s="77">
        <v>1</v>
      </c>
      <c r="V1343" s="77">
        <v>1298</v>
      </c>
      <c r="W1343" s="82" t="s">
        <v>4821</v>
      </c>
      <c r="X1343" s="80" t="str">
        <f>HYPERLINK("https://www.valoraanalitik.com/2023/07/19/cierre-via-bogota-villavicencio-aumentara-precio-de-alimentos/")</f>
        <v>https://www.valoraanalitik.com/2023/07/19/cierre-via-bogota-villavicencio-aumentara-precio-de-alimentos/</v>
      </c>
      <c r="Y1343" s="77" t="s">
        <v>6471</v>
      </c>
      <c r="Z1343" s="77" t="s">
        <v>6601</v>
      </c>
      <c r="AA1343" s="77"/>
      <c r="AB1343" s="77"/>
      <c r="AC1343" s="82" t="s">
        <v>7750</v>
      </c>
      <c r="AD1343" s="77" t="s">
        <v>7790</v>
      </c>
      <c r="AE1343" s="80" t="str">
        <f>HYPERLINK("https://twitter.com/valoraanalitik/status/1681640867939876864")</f>
        <v>https://twitter.com/valoraanalitik/status/1681640867939876864</v>
      </c>
      <c r="AF1343" s="79">
        <v>45126.516203703701</v>
      </c>
      <c r="AG1343" s="85">
        <v>45126</v>
      </c>
      <c r="AH1343" s="82" t="s">
        <v>8976</v>
      </c>
      <c r="AI1343" s="77" t="b">
        <v>0</v>
      </c>
      <c r="AJ1343" s="77"/>
      <c r="AK1343" s="77"/>
      <c r="AL1343" s="77"/>
      <c r="AM1343" s="77"/>
      <c r="AN1343" s="77"/>
      <c r="AO1343" s="77"/>
      <c r="AP1343" s="77"/>
      <c r="AQ1343" s="77"/>
      <c r="AR1343" s="77"/>
      <c r="AS1343" s="77"/>
      <c r="AT1343" s="77"/>
      <c r="AU1343" s="77"/>
      <c r="AV1343" s="80" t="str">
        <f>HYPERLINK("https://pbs.twimg.com/profile_images/1475155236713029641/7Lb8npQr_normal.jpg")</f>
        <v>https://pbs.twimg.com/profile_images/1475155236713029641/7Lb8npQr_normal.jpg</v>
      </c>
      <c r="AW1343" s="82" t="s">
        <v>13005</v>
      </c>
      <c r="AX1343" s="82" t="s">
        <v>13005</v>
      </c>
      <c r="AY1343" s="77"/>
      <c r="AZ1343" s="82" t="s">
        <v>15984</v>
      </c>
      <c r="BA1343" s="82" t="s">
        <v>15984</v>
      </c>
      <c r="BB1343" s="82" t="s">
        <v>15984</v>
      </c>
      <c r="BC1343" s="82" t="s">
        <v>13005</v>
      </c>
      <c r="BD1343" s="77">
        <v>20980846</v>
      </c>
      <c r="BE1343" s="77"/>
      <c r="BF1343" s="77"/>
      <c r="BG1343" s="77"/>
      <c r="BH1343" s="77"/>
      <c r="BI1343" s="77"/>
    </row>
    <row r="1344" spans="1:61" x14ac:dyDescent="0.25">
      <c r="A1344" s="62" t="s">
        <v>614</v>
      </c>
      <c r="B1344" s="62" t="s">
        <v>848</v>
      </c>
      <c r="C1344" s="63"/>
      <c r="D1344" s="64"/>
      <c r="E1344" s="65"/>
      <c r="F1344" s="66"/>
      <c r="G1344" s="63"/>
      <c r="H1344" s="67"/>
      <c r="I1344" s="68"/>
      <c r="J1344" s="68"/>
      <c r="K1344" s="32"/>
      <c r="L1344" s="75">
        <v>1344</v>
      </c>
      <c r="M1344" s="75"/>
      <c r="N1344" s="70"/>
      <c r="O1344" s="77" t="s">
        <v>895</v>
      </c>
      <c r="P1344" s="79">
        <v>45126.516203703701</v>
      </c>
      <c r="Q1344" s="77" t="s">
        <v>2118</v>
      </c>
      <c r="R1344" s="77">
        <v>1</v>
      </c>
      <c r="S1344" s="77">
        <v>1</v>
      </c>
      <c r="T1344" s="77">
        <v>0</v>
      </c>
      <c r="U1344" s="77">
        <v>1</v>
      </c>
      <c r="V1344" s="77">
        <v>1298</v>
      </c>
      <c r="W1344" s="82" t="s">
        <v>4821</v>
      </c>
      <c r="X1344" s="80" t="str">
        <f>HYPERLINK("https://www.valoraanalitik.com/2023/07/19/cierre-via-bogota-villavicencio-aumentara-precio-de-alimentos/")</f>
        <v>https://www.valoraanalitik.com/2023/07/19/cierre-via-bogota-villavicencio-aumentara-precio-de-alimentos/</v>
      </c>
      <c r="Y1344" s="77" t="s">
        <v>6471</v>
      </c>
      <c r="Z1344" s="77" t="s">
        <v>6601</v>
      </c>
      <c r="AA1344" s="77"/>
      <c r="AB1344" s="77"/>
      <c r="AC1344" s="82" t="s">
        <v>7750</v>
      </c>
      <c r="AD1344" s="77" t="s">
        <v>7790</v>
      </c>
      <c r="AE1344" s="80" t="str">
        <f>HYPERLINK("https://twitter.com/valoraanalitik/status/1681640867939876864")</f>
        <v>https://twitter.com/valoraanalitik/status/1681640867939876864</v>
      </c>
      <c r="AF1344" s="79">
        <v>45126.516203703701</v>
      </c>
      <c r="AG1344" s="85">
        <v>45126</v>
      </c>
      <c r="AH1344" s="82" t="s">
        <v>8976</v>
      </c>
      <c r="AI1344" s="77" t="b">
        <v>0</v>
      </c>
      <c r="AJ1344" s="77"/>
      <c r="AK1344" s="77"/>
      <c r="AL1344" s="77"/>
      <c r="AM1344" s="77"/>
      <c r="AN1344" s="77"/>
      <c r="AO1344" s="77"/>
      <c r="AP1344" s="77"/>
      <c r="AQ1344" s="77"/>
      <c r="AR1344" s="77"/>
      <c r="AS1344" s="77"/>
      <c r="AT1344" s="77"/>
      <c r="AU1344" s="77"/>
      <c r="AV1344" s="80" t="str">
        <f>HYPERLINK("https://pbs.twimg.com/profile_images/1475155236713029641/7Lb8npQr_normal.jpg")</f>
        <v>https://pbs.twimg.com/profile_images/1475155236713029641/7Lb8npQr_normal.jpg</v>
      </c>
      <c r="AW1344" s="82" t="s">
        <v>13005</v>
      </c>
      <c r="AX1344" s="82" t="s">
        <v>13005</v>
      </c>
      <c r="AY1344" s="77"/>
      <c r="AZ1344" s="82" t="s">
        <v>15984</v>
      </c>
      <c r="BA1344" s="82" t="s">
        <v>15984</v>
      </c>
      <c r="BB1344" s="82" t="s">
        <v>15984</v>
      </c>
      <c r="BC1344" s="82" t="s">
        <v>13005</v>
      </c>
      <c r="BD1344" s="77">
        <v>20980846</v>
      </c>
      <c r="BE1344" s="77"/>
      <c r="BF1344" s="77"/>
      <c r="BG1344" s="77"/>
      <c r="BH1344" s="77"/>
      <c r="BI1344" s="77"/>
    </row>
    <row r="1345" spans="1:61" x14ac:dyDescent="0.25">
      <c r="A1345" s="62" t="s">
        <v>614</v>
      </c>
      <c r="B1345" s="62" t="s">
        <v>849</v>
      </c>
      <c r="C1345" s="63"/>
      <c r="D1345" s="64"/>
      <c r="E1345" s="65"/>
      <c r="F1345" s="66"/>
      <c r="G1345" s="63"/>
      <c r="H1345" s="67"/>
      <c r="I1345" s="68"/>
      <c r="J1345" s="68"/>
      <c r="K1345" s="32"/>
      <c r="L1345" s="75">
        <v>1345</v>
      </c>
      <c r="M1345" s="75"/>
      <c r="N1345" s="70"/>
      <c r="O1345" s="77" t="s">
        <v>895</v>
      </c>
      <c r="P1345" s="79">
        <v>45156.510416666664</v>
      </c>
      <c r="Q1345" s="77" t="s">
        <v>2119</v>
      </c>
      <c r="R1345" s="77">
        <v>23</v>
      </c>
      <c r="S1345" s="77">
        <v>31</v>
      </c>
      <c r="T1345" s="77">
        <v>1</v>
      </c>
      <c r="U1345" s="77">
        <v>1</v>
      </c>
      <c r="V1345" s="77">
        <v>3704</v>
      </c>
      <c r="W1345" s="82" t="s">
        <v>4821</v>
      </c>
      <c r="X1345" s="80" t="str">
        <f>HYPERLINK("https://www.valoraanalitik.com/2023/08/18/venta-vivienda-colombia-vuelve-y-se-desploma/")</f>
        <v>https://www.valoraanalitik.com/2023/08/18/venta-vivienda-colombia-vuelve-y-se-desploma/</v>
      </c>
      <c r="Y1345" s="77" t="s">
        <v>6471</v>
      </c>
      <c r="Z1345" s="77" t="s">
        <v>6602</v>
      </c>
      <c r="AA1345" s="77"/>
      <c r="AB1345" s="77"/>
      <c r="AC1345" s="82" t="s">
        <v>7750</v>
      </c>
      <c r="AD1345" s="77" t="s">
        <v>7790</v>
      </c>
      <c r="AE1345" s="80" t="str">
        <f>HYPERLINK("https://twitter.com/valoraanalitik/status/1692510404113519097")</f>
        <v>https://twitter.com/valoraanalitik/status/1692510404113519097</v>
      </c>
      <c r="AF1345" s="79">
        <v>45156.510416666664</v>
      </c>
      <c r="AG1345" s="85">
        <v>45156</v>
      </c>
      <c r="AH1345" s="82" t="s">
        <v>8977</v>
      </c>
      <c r="AI1345" s="77" t="b">
        <v>0</v>
      </c>
      <c r="AJ1345" s="77"/>
      <c r="AK1345" s="77"/>
      <c r="AL1345" s="77"/>
      <c r="AM1345" s="77"/>
      <c r="AN1345" s="77"/>
      <c r="AO1345" s="77"/>
      <c r="AP1345" s="77"/>
      <c r="AQ1345" s="77"/>
      <c r="AR1345" s="77"/>
      <c r="AS1345" s="77"/>
      <c r="AT1345" s="77"/>
      <c r="AU1345" s="77"/>
      <c r="AV1345" s="80" t="str">
        <f>HYPERLINK("https://pbs.twimg.com/profile_images/1475155236713029641/7Lb8npQr_normal.jpg")</f>
        <v>https://pbs.twimg.com/profile_images/1475155236713029641/7Lb8npQr_normal.jpg</v>
      </c>
      <c r="AW1345" s="82" t="s">
        <v>13006</v>
      </c>
      <c r="AX1345" s="82" t="s">
        <v>13006</v>
      </c>
      <c r="AY1345" s="77"/>
      <c r="AZ1345" s="82" t="s">
        <v>15984</v>
      </c>
      <c r="BA1345" s="82" t="s">
        <v>15984</v>
      </c>
      <c r="BB1345" s="82" t="s">
        <v>15984</v>
      </c>
      <c r="BC1345" s="82" t="s">
        <v>13006</v>
      </c>
      <c r="BD1345" s="77">
        <v>20980846</v>
      </c>
      <c r="BE1345" s="77"/>
      <c r="BF1345" s="77"/>
      <c r="BG1345" s="77"/>
      <c r="BH1345" s="77"/>
      <c r="BI1345" s="77"/>
    </row>
    <row r="1346" spans="1:61" x14ac:dyDescent="0.25">
      <c r="A1346" s="62" t="s">
        <v>614</v>
      </c>
      <c r="B1346" s="62" t="s">
        <v>850</v>
      </c>
      <c r="C1346" s="63"/>
      <c r="D1346" s="64"/>
      <c r="E1346" s="65"/>
      <c r="F1346" s="66"/>
      <c r="G1346" s="63"/>
      <c r="H1346" s="67"/>
      <c r="I1346" s="68"/>
      <c r="J1346" s="68"/>
      <c r="K1346" s="32"/>
      <c r="L1346" s="75">
        <v>1346</v>
      </c>
      <c r="M1346" s="75"/>
      <c r="N1346" s="70"/>
      <c r="O1346" s="77" t="s">
        <v>895</v>
      </c>
      <c r="P1346" s="79">
        <v>45156.510416666664</v>
      </c>
      <c r="Q1346" s="77" t="s">
        <v>2119</v>
      </c>
      <c r="R1346" s="77">
        <v>23</v>
      </c>
      <c r="S1346" s="77">
        <v>31</v>
      </c>
      <c r="T1346" s="77">
        <v>1</v>
      </c>
      <c r="U1346" s="77">
        <v>1</v>
      </c>
      <c r="V1346" s="77">
        <v>3704</v>
      </c>
      <c r="W1346" s="82" t="s">
        <v>4821</v>
      </c>
      <c r="X1346" s="80" t="str">
        <f>HYPERLINK("https://www.valoraanalitik.com/2023/08/18/venta-vivienda-colombia-vuelve-y-se-desploma/")</f>
        <v>https://www.valoraanalitik.com/2023/08/18/venta-vivienda-colombia-vuelve-y-se-desploma/</v>
      </c>
      <c r="Y1346" s="77" t="s">
        <v>6471</v>
      </c>
      <c r="Z1346" s="77" t="s">
        <v>6602</v>
      </c>
      <c r="AA1346" s="77"/>
      <c r="AB1346" s="77"/>
      <c r="AC1346" s="82" t="s">
        <v>7750</v>
      </c>
      <c r="AD1346" s="77" t="s">
        <v>7790</v>
      </c>
      <c r="AE1346" s="80" t="str">
        <f>HYPERLINK("https://twitter.com/valoraanalitik/status/1692510404113519097")</f>
        <v>https://twitter.com/valoraanalitik/status/1692510404113519097</v>
      </c>
      <c r="AF1346" s="79">
        <v>45156.510416666664</v>
      </c>
      <c r="AG1346" s="85">
        <v>45156</v>
      </c>
      <c r="AH1346" s="82" t="s">
        <v>8977</v>
      </c>
      <c r="AI1346" s="77" t="b">
        <v>0</v>
      </c>
      <c r="AJ1346" s="77"/>
      <c r="AK1346" s="77"/>
      <c r="AL1346" s="77"/>
      <c r="AM1346" s="77"/>
      <c r="AN1346" s="77"/>
      <c r="AO1346" s="77"/>
      <c r="AP1346" s="77"/>
      <c r="AQ1346" s="77"/>
      <c r="AR1346" s="77"/>
      <c r="AS1346" s="77"/>
      <c r="AT1346" s="77"/>
      <c r="AU1346" s="77"/>
      <c r="AV1346" s="80" t="str">
        <f>HYPERLINK("https://pbs.twimg.com/profile_images/1475155236713029641/7Lb8npQr_normal.jpg")</f>
        <v>https://pbs.twimg.com/profile_images/1475155236713029641/7Lb8npQr_normal.jpg</v>
      </c>
      <c r="AW1346" s="82" t="s">
        <v>13006</v>
      </c>
      <c r="AX1346" s="82" t="s">
        <v>13006</v>
      </c>
      <c r="AY1346" s="77"/>
      <c r="AZ1346" s="82" t="s">
        <v>15984</v>
      </c>
      <c r="BA1346" s="82" t="s">
        <v>15984</v>
      </c>
      <c r="BB1346" s="82" t="s">
        <v>15984</v>
      </c>
      <c r="BC1346" s="82" t="s">
        <v>13006</v>
      </c>
      <c r="BD1346" s="77">
        <v>20980846</v>
      </c>
      <c r="BE1346" s="77"/>
      <c r="BF1346" s="77"/>
      <c r="BG1346" s="77"/>
      <c r="BH1346" s="77"/>
      <c r="BI1346" s="77"/>
    </row>
    <row r="1347" spans="1:61" x14ac:dyDescent="0.25">
      <c r="A1347" s="62" t="s">
        <v>614</v>
      </c>
      <c r="B1347" s="62" t="s">
        <v>851</v>
      </c>
      <c r="C1347" s="63"/>
      <c r="D1347" s="64"/>
      <c r="E1347" s="65"/>
      <c r="F1347" s="66"/>
      <c r="G1347" s="63"/>
      <c r="H1347" s="67"/>
      <c r="I1347" s="68"/>
      <c r="J1347" s="68"/>
      <c r="K1347" s="32"/>
      <c r="L1347" s="75">
        <v>1347</v>
      </c>
      <c r="M1347" s="75"/>
      <c r="N1347" s="70"/>
      <c r="O1347" s="77" t="s">
        <v>895</v>
      </c>
      <c r="P1347" s="79">
        <v>45150.968807870369</v>
      </c>
      <c r="Q1347" s="77" t="s">
        <v>2120</v>
      </c>
      <c r="R1347" s="77">
        <v>14</v>
      </c>
      <c r="S1347" s="77">
        <v>24</v>
      </c>
      <c r="T1347" s="77">
        <v>1</v>
      </c>
      <c r="U1347" s="77">
        <v>5</v>
      </c>
      <c r="V1347" s="77">
        <v>14453</v>
      </c>
      <c r="W1347" s="82" t="s">
        <v>4821</v>
      </c>
      <c r="X1347" s="80" t="str">
        <f>HYPERLINK("https://www.valoraanalitik.com/2023/08/12/como-mantener-la-confianza-para-la-inversion-extranjera/")</f>
        <v>https://www.valoraanalitik.com/2023/08/12/como-mantener-la-confianza-para-la-inversion-extranjera/</v>
      </c>
      <c r="Y1347" s="77" t="s">
        <v>6471</v>
      </c>
      <c r="Z1347" s="77" t="s">
        <v>851</v>
      </c>
      <c r="AA1347" s="77"/>
      <c r="AB1347" s="77"/>
      <c r="AC1347" s="82" t="s">
        <v>7775</v>
      </c>
      <c r="AD1347" s="77" t="s">
        <v>7790</v>
      </c>
      <c r="AE1347" s="80" t="str">
        <f>HYPERLINK("https://twitter.com/valoraanalitik/status/1690502195035123713")</f>
        <v>https://twitter.com/valoraanalitik/status/1690502195035123713</v>
      </c>
      <c r="AF1347" s="79">
        <v>45150.968807870369</v>
      </c>
      <c r="AG1347" s="85">
        <v>45150</v>
      </c>
      <c r="AH1347" s="82" t="s">
        <v>8978</v>
      </c>
      <c r="AI1347" s="77" t="b">
        <v>0</v>
      </c>
      <c r="AJ1347" s="77"/>
      <c r="AK1347" s="77"/>
      <c r="AL1347" s="77"/>
      <c r="AM1347" s="77"/>
      <c r="AN1347" s="77"/>
      <c r="AO1347" s="77"/>
      <c r="AP1347" s="77"/>
      <c r="AQ1347" s="77"/>
      <c r="AR1347" s="77"/>
      <c r="AS1347" s="77"/>
      <c r="AT1347" s="77"/>
      <c r="AU1347" s="77"/>
      <c r="AV1347" s="80" t="str">
        <f>HYPERLINK("https://pbs.twimg.com/profile_images/1475155236713029641/7Lb8npQr_normal.jpg")</f>
        <v>https://pbs.twimg.com/profile_images/1475155236713029641/7Lb8npQr_normal.jpg</v>
      </c>
      <c r="AW1347" s="82" t="s">
        <v>13007</v>
      </c>
      <c r="AX1347" s="82" t="s">
        <v>13007</v>
      </c>
      <c r="AY1347" s="77"/>
      <c r="AZ1347" s="82" t="s">
        <v>15984</v>
      </c>
      <c r="BA1347" s="82" t="s">
        <v>15984</v>
      </c>
      <c r="BB1347" s="82" t="s">
        <v>15984</v>
      </c>
      <c r="BC1347" s="82" t="s">
        <v>13007</v>
      </c>
      <c r="BD1347" s="77">
        <v>20980846</v>
      </c>
      <c r="BE1347" s="77"/>
      <c r="BF1347" s="77"/>
      <c r="BG1347" s="77"/>
      <c r="BH1347" s="77"/>
      <c r="BI1347" s="77"/>
    </row>
    <row r="1348" spans="1:61" x14ac:dyDescent="0.25">
      <c r="A1348" s="62" t="s">
        <v>614</v>
      </c>
      <c r="B1348" s="62" t="s">
        <v>852</v>
      </c>
      <c r="C1348" s="63"/>
      <c r="D1348" s="64"/>
      <c r="E1348" s="65"/>
      <c r="F1348" s="66"/>
      <c r="G1348" s="63"/>
      <c r="H1348" s="67"/>
      <c r="I1348" s="68"/>
      <c r="J1348" s="68"/>
      <c r="K1348" s="32"/>
      <c r="L1348" s="75">
        <v>1348</v>
      </c>
      <c r="M1348" s="75"/>
      <c r="N1348" s="70"/>
      <c r="O1348" s="77" t="s">
        <v>895</v>
      </c>
      <c r="P1348" s="79">
        <v>45183.480208333334</v>
      </c>
      <c r="Q1348" s="77" t="s">
        <v>2121</v>
      </c>
      <c r="R1348" s="77">
        <v>4</v>
      </c>
      <c r="S1348" s="77">
        <v>8</v>
      </c>
      <c r="T1348" s="77">
        <v>1</v>
      </c>
      <c r="U1348" s="77">
        <v>0</v>
      </c>
      <c r="V1348" s="77">
        <v>1765</v>
      </c>
      <c r="W1348" s="82" t="s">
        <v>4821</v>
      </c>
      <c r="X1348" s="80" t="str">
        <f>HYPERLINK("https://www.valoraanalitik.com/2023/09/14/reforma-laboral-colombia-pequenos-empresarios-alertan-por-efectos/")</f>
        <v>https://www.valoraanalitik.com/2023/09/14/reforma-laboral-colombia-pequenos-empresarios-alertan-por-efectos/</v>
      </c>
      <c r="Y1348" s="77" t="s">
        <v>6471</v>
      </c>
      <c r="Z1348" s="77" t="s">
        <v>6603</v>
      </c>
      <c r="AA1348" s="77"/>
      <c r="AB1348" s="77"/>
      <c r="AC1348" s="82" t="s">
        <v>7750</v>
      </c>
      <c r="AD1348" s="77" t="s">
        <v>7790</v>
      </c>
      <c r="AE1348" s="80" t="str">
        <f>HYPERLINK("https://twitter.com/valoraanalitik/status/1702283931003851177")</f>
        <v>https://twitter.com/valoraanalitik/status/1702283931003851177</v>
      </c>
      <c r="AF1348" s="79">
        <v>45183.480208333334</v>
      </c>
      <c r="AG1348" s="85">
        <v>45183</v>
      </c>
      <c r="AH1348" s="82" t="s">
        <v>8979</v>
      </c>
      <c r="AI1348" s="77" t="b">
        <v>0</v>
      </c>
      <c r="AJ1348" s="77"/>
      <c r="AK1348" s="77"/>
      <c r="AL1348" s="77"/>
      <c r="AM1348" s="77"/>
      <c r="AN1348" s="77"/>
      <c r="AO1348" s="77"/>
      <c r="AP1348" s="77"/>
      <c r="AQ1348" s="77"/>
      <c r="AR1348" s="77"/>
      <c r="AS1348" s="77"/>
      <c r="AT1348" s="77"/>
      <c r="AU1348" s="77"/>
      <c r="AV1348" s="80" t="str">
        <f>HYPERLINK("https://pbs.twimg.com/profile_images/1475155236713029641/7Lb8npQr_normal.jpg")</f>
        <v>https://pbs.twimg.com/profile_images/1475155236713029641/7Lb8npQr_normal.jpg</v>
      </c>
      <c r="AW1348" s="82" t="s">
        <v>13008</v>
      </c>
      <c r="AX1348" s="82" t="s">
        <v>13008</v>
      </c>
      <c r="AY1348" s="77"/>
      <c r="AZ1348" s="82" t="s">
        <v>15984</v>
      </c>
      <c r="BA1348" s="82" t="s">
        <v>15984</v>
      </c>
      <c r="BB1348" s="82" t="s">
        <v>15984</v>
      </c>
      <c r="BC1348" s="82" t="s">
        <v>13008</v>
      </c>
      <c r="BD1348" s="77">
        <v>20980846</v>
      </c>
      <c r="BE1348" s="77"/>
      <c r="BF1348" s="77"/>
      <c r="BG1348" s="77"/>
      <c r="BH1348" s="77"/>
      <c r="BI1348" s="77"/>
    </row>
    <row r="1349" spans="1:61" x14ac:dyDescent="0.25">
      <c r="A1349" s="62" t="s">
        <v>614</v>
      </c>
      <c r="B1349" s="62" t="s">
        <v>853</v>
      </c>
      <c r="C1349" s="63"/>
      <c r="D1349" s="64"/>
      <c r="E1349" s="65"/>
      <c r="F1349" s="66"/>
      <c r="G1349" s="63"/>
      <c r="H1349" s="67"/>
      <c r="I1349" s="68"/>
      <c r="J1349" s="68"/>
      <c r="K1349" s="32"/>
      <c r="L1349" s="75">
        <v>1349</v>
      </c>
      <c r="M1349" s="75"/>
      <c r="N1349" s="70"/>
      <c r="O1349" s="77" t="s">
        <v>895</v>
      </c>
      <c r="P1349" s="79">
        <v>45132.791805555556</v>
      </c>
      <c r="Q1349" s="77" t="s">
        <v>2122</v>
      </c>
      <c r="R1349" s="77">
        <v>0</v>
      </c>
      <c r="S1349" s="77">
        <v>2</v>
      </c>
      <c r="T1349" s="77">
        <v>0</v>
      </c>
      <c r="U1349" s="77">
        <v>0</v>
      </c>
      <c r="V1349" s="77">
        <v>717</v>
      </c>
      <c r="W1349" s="82" t="s">
        <v>4821</v>
      </c>
      <c r="X1349" s="80" t="str">
        <f>HYPERLINK("https://bit.ly/44XvZFY")</f>
        <v>https://bit.ly/44XvZFY</v>
      </c>
      <c r="Y1349" s="77" t="s">
        <v>6468</v>
      </c>
      <c r="Z1349" s="77" t="s">
        <v>853</v>
      </c>
      <c r="AA1349" s="77"/>
      <c r="AB1349" s="77"/>
      <c r="AC1349" s="82" t="s">
        <v>7775</v>
      </c>
      <c r="AD1349" s="77" t="s">
        <v>7790</v>
      </c>
      <c r="AE1349" s="80" t="str">
        <f>HYPERLINK("https://twitter.com/valoraanalitik/status/1683915068247793678")</f>
        <v>https://twitter.com/valoraanalitik/status/1683915068247793678</v>
      </c>
      <c r="AF1349" s="79">
        <v>45132.791805555556</v>
      </c>
      <c r="AG1349" s="85">
        <v>45132</v>
      </c>
      <c r="AH1349" s="82" t="s">
        <v>8980</v>
      </c>
      <c r="AI1349" s="77" t="b">
        <v>0</v>
      </c>
      <c r="AJ1349" s="77"/>
      <c r="AK1349" s="77"/>
      <c r="AL1349" s="77"/>
      <c r="AM1349" s="77"/>
      <c r="AN1349" s="77"/>
      <c r="AO1349" s="77"/>
      <c r="AP1349" s="77"/>
      <c r="AQ1349" s="77"/>
      <c r="AR1349" s="77"/>
      <c r="AS1349" s="77"/>
      <c r="AT1349" s="77"/>
      <c r="AU1349" s="77"/>
      <c r="AV1349" s="80" t="str">
        <f>HYPERLINK("https://pbs.twimg.com/profile_images/1475155236713029641/7Lb8npQr_normal.jpg")</f>
        <v>https://pbs.twimg.com/profile_images/1475155236713029641/7Lb8npQr_normal.jpg</v>
      </c>
      <c r="AW1349" s="82" t="s">
        <v>13009</v>
      </c>
      <c r="AX1349" s="82" t="s">
        <v>13009</v>
      </c>
      <c r="AY1349" s="77"/>
      <c r="AZ1349" s="82" t="s">
        <v>15984</v>
      </c>
      <c r="BA1349" s="82" t="s">
        <v>15984</v>
      </c>
      <c r="BB1349" s="82" t="s">
        <v>15984</v>
      </c>
      <c r="BC1349" s="82" t="s">
        <v>13009</v>
      </c>
      <c r="BD1349" s="77">
        <v>20980846</v>
      </c>
      <c r="BE1349" s="77"/>
      <c r="BF1349" s="77"/>
      <c r="BG1349" s="77"/>
      <c r="BH1349" s="77"/>
      <c r="BI1349" s="77"/>
    </row>
    <row r="1350" spans="1:61" x14ac:dyDescent="0.25">
      <c r="A1350" s="62" t="s">
        <v>614</v>
      </c>
      <c r="B1350" s="62" t="s">
        <v>854</v>
      </c>
      <c r="C1350" s="63"/>
      <c r="D1350" s="64"/>
      <c r="E1350" s="65"/>
      <c r="F1350" s="66"/>
      <c r="G1350" s="63"/>
      <c r="H1350" s="67"/>
      <c r="I1350" s="68"/>
      <c r="J1350" s="68"/>
      <c r="K1350" s="32"/>
      <c r="L1350" s="75">
        <v>1350</v>
      </c>
      <c r="M1350" s="75"/>
      <c r="N1350" s="70"/>
      <c r="O1350" s="77" t="s">
        <v>895</v>
      </c>
      <c r="P1350" s="79">
        <v>45125.517534722225</v>
      </c>
      <c r="Q1350" s="77" t="s">
        <v>2123</v>
      </c>
      <c r="R1350" s="77">
        <v>9</v>
      </c>
      <c r="S1350" s="77">
        <v>20</v>
      </c>
      <c r="T1350" s="77">
        <v>1</v>
      </c>
      <c r="U1350" s="77">
        <v>0</v>
      </c>
      <c r="V1350" s="77">
        <v>2248</v>
      </c>
      <c r="W1350" s="82" t="s">
        <v>4821</v>
      </c>
      <c r="X1350" s="80" t="str">
        <f>HYPERLINK("https://www.valoraanalitik.com/2023/07/18/precio-gasolina-colombia-buscaran-bajarlo-mediante-le/")</f>
        <v>https://www.valoraanalitik.com/2023/07/18/precio-gasolina-colombia-buscaran-bajarlo-mediante-le/</v>
      </c>
      <c r="Y1350" s="77" t="s">
        <v>6471</v>
      </c>
      <c r="Z1350" s="77" t="s">
        <v>6604</v>
      </c>
      <c r="AA1350" s="77"/>
      <c r="AB1350" s="77"/>
      <c r="AC1350" s="82" t="s">
        <v>7750</v>
      </c>
      <c r="AD1350" s="77" t="s">
        <v>7790</v>
      </c>
      <c r="AE1350" s="80" t="str">
        <f>HYPERLINK("https://twitter.com/valoraanalitik/status/1681278958900334592")</f>
        <v>https://twitter.com/valoraanalitik/status/1681278958900334592</v>
      </c>
      <c r="AF1350" s="79">
        <v>45125.517534722225</v>
      </c>
      <c r="AG1350" s="85">
        <v>45125</v>
      </c>
      <c r="AH1350" s="82" t="s">
        <v>8981</v>
      </c>
      <c r="AI1350" s="77" t="b">
        <v>0</v>
      </c>
      <c r="AJ1350" s="77"/>
      <c r="AK1350" s="77"/>
      <c r="AL1350" s="77"/>
      <c r="AM1350" s="77"/>
      <c r="AN1350" s="77"/>
      <c r="AO1350" s="77"/>
      <c r="AP1350" s="77"/>
      <c r="AQ1350" s="77"/>
      <c r="AR1350" s="77"/>
      <c r="AS1350" s="77"/>
      <c r="AT1350" s="77"/>
      <c r="AU1350" s="77"/>
      <c r="AV1350" s="80" t="str">
        <f>HYPERLINK("https://pbs.twimg.com/profile_images/1475155236713029641/7Lb8npQr_normal.jpg")</f>
        <v>https://pbs.twimg.com/profile_images/1475155236713029641/7Lb8npQr_normal.jpg</v>
      </c>
      <c r="AW1350" s="82" t="s">
        <v>13010</v>
      </c>
      <c r="AX1350" s="82" t="s">
        <v>13010</v>
      </c>
      <c r="AY1350" s="77"/>
      <c r="AZ1350" s="82" t="s">
        <v>15984</v>
      </c>
      <c r="BA1350" s="82" t="s">
        <v>15984</v>
      </c>
      <c r="BB1350" s="82" t="s">
        <v>15984</v>
      </c>
      <c r="BC1350" s="82" t="s">
        <v>13010</v>
      </c>
      <c r="BD1350" s="77">
        <v>20980846</v>
      </c>
      <c r="BE1350" s="77"/>
      <c r="BF1350" s="77"/>
      <c r="BG1350" s="77"/>
      <c r="BH1350" s="77"/>
      <c r="BI1350" s="77"/>
    </row>
    <row r="1351" spans="1:61" x14ac:dyDescent="0.25">
      <c r="A1351" s="62" t="s">
        <v>614</v>
      </c>
      <c r="B1351" s="62" t="s">
        <v>855</v>
      </c>
      <c r="C1351" s="63"/>
      <c r="D1351" s="64"/>
      <c r="E1351" s="65"/>
      <c r="F1351" s="66"/>
      <c r="G1351" s="63"/>
      <c r="H1351" s="67"/>
      <c r="I1351" s="68"/>
      <c r="J1351" s="68"/>
      <c r="K1351" s="32"/>
      <c r="L1351" s="75">
        <v>1351</v>
      </c>
      <c r="M1351" s="75"/>
      <c r="N1351" s="70"/>
      <c r="O1351" s="77" t="s">
        <v>895</v>
      </c>
      <c r="P1351" s="79">
        <v>45168.62804398148</v>
      </c>
      <c r="Q1351" s="77" t="s">
        <v>2124</v>
      </c>
      <c r="R1351" s="77">
        <v>1</v>
      </c>
      <c r="S1351" s="77">
        <v>4</v>
      </c>
      <c r="T1351" s="77">
        <v>1</v>
      </c>
      <c r="U1351" s="77">
        <v>0</v>
      </c>
      <c r="V1351" s="77">
        <v>853</v>
      </c>
      <c r="W1351" s="82" t="s">
        <v>4821</v>
      </c>
      <c r="X1351" s="80" t="str">
        <f>HYPERLINK("https://www.valoraanalitik.com/2023/08/30/impuestos-empresas-colombia-que-tanto-pesan-en-el-pais/")</f>
        <v>https://www.valoraanalitik.com/2023/08/30/impuestos-empresas-colombia-que-tanto-pesan-en-el-pais/</v>
      </c>
      <c r="Y1351" s="77" t="s">
        <v>6471</v>
      </c>
      <c r="Z1351" s="77" t="s">
        <v>6605</v>
      </c>
      <c r="AA1351" s="77"/>
      <c r="AB1351" s="77"/>
      <c r="AC1351" s="82" t="s">
        <v>7750</v>
      </c>
      <c r="AD1351" s="77" t="s">
        <v>7790</v>
      </c>
      <c r="AE1351" s="80" t="str">
        <f>HYPERLINK("https://twitter.com/valoraanalitik/status/1696901684218221039")</f>
        <v>https://twitter.com/valoraanalitik/status/1696901684218221039</v>
      </c>
      <c r="AF1351" s="79">
        <v>45168.62804398148</v>
      </c>
      <c r="AG1351" s="85">
        <v>45168</v>
      </c>
      <c r="AH1351" s="82" t="s">
        <v>8982</v>
      </c>
      <c r="AI1351" s="77" t="b">
        <v>0</v>
      </c>
      <c r="AJ1351" s="77"/>
      <c r="AK1351" s="77"/>
      <c r="AL1351" s="77"/>
      <c r="AM1351" s="77"/>
      <c r="AN1351" s="77"/>
      <c r="AO1351" s="77"/>
      <c r="AP1351" s="77"/>
      <c r="AQ1351" s="77"/>
      <c r="AR1351" s="77"/>
      <c r="AS1351" s="77"/>
      <c r="AT1351" s="77"/>
      <c r="AU1351" s="77"/>
      <c r="AV1351" s="80" t="str">
        <f>HYPERLINK("https://pbs.twimg.com/profile_images/1475155236713029641/7Lb8npQr_normal.jpg")</f>
        <v>https://pbs.twimg.com/profile_images/1475155236713029641/7Lb8npQr_normal.jpg</v>
      </c>
      <c r="AW1351" s="82" t="s">
        <v>13011</v>
      </c>
      <c r="AX1351" s="82" t="s">
        <v>13011</v>
      </c>
      <c r="AY1351" s="77"/>
      <c r="AZ1351" s="82" t="s">
        <v>15984</v>
      </c>
      <c r="BA1351" s="82" t="s">
        <v>15984</v>
      </c>
      <c r="BB1351" s="82" t="s">
        <v>15984</v>
      </c>
      <c r="BC1351" s="82" t="s">
        <v>13011</v>
      </c>
      <c r="BD1351" s="77">
        <v>20980846</v>
      </c>
      <c r="BE1351" s="77"/>
      <c r="BF1351" s="77"/>
      <c r="BG1351" s="77"/>
      <c r="BH1351" s="77"/>
      <c r="BI1351" s="77"/>
    </row>
    <row r="1352" spans="1:61" x14ac:dyDescent="0.25">
      <c r="A1352" s="62" t="s">
        <v>614</v>
      </c>
      <c r="B1352" s="62" t="s">
        <v>856</v>
      </c>
      <c r="C1352" s="63"/>
      <c r="D1352" s="64"/>
      <c r="E1352" s="65"/>
      <c r="F1352" s="66"/>
      <c r="G1352" s="63"/>
      <c r="H1352" s="67"/>
      <c r="I1352" s="68"/>
      <c r="J1352" s="68"/>
      <c r="K1352" s="32"/>
      <c r="L1352" s="75">
        <v>1352</v>
      </c>
      <c r="M1352" s="75"/>
      <c r="N1352" s="70"/>
      <c r="O1352" s="77" t="s">
        <v>895</v>
      </c>
      <c r="P1352" s="79">
        <v>45168.62804398148</v>
      </c>
      <c r="Q1352" s="77" t="s">
        <v>2124</v>
      </c>
      <c r="R1352" s="77">
        <v>1</v>
      </c>
      <c r="S1352" s="77">
        <v>4</v>
      </c>
      <c r="T1352" s="77">
        <v>1</v>
      </c>
      <c r="U1352" s="77">
        <v>0</v>
      </c>
      <c r="V1352" s="77">
        <v>853</v>
      </c>
      <c r="W1352" s="82" t="s">
        <v>4821</v>
      </c>
      <c r="X1352" s="80" t="str">
        <f>HYPERLINK("https://www.valoraanalitik.com/2023/08/30/impuestos-empresas-colombia-que-tanto-pesan-en-el-pais/")</f>
        <v>https://www.valoraanalitik.com/2023/08/30/impuestos-empresas-colombia-que-tanto-pesan-en-el-pais/</v>
      </c>
      <c r="Y1352" s="77" t="s">
        <v>6471</v>
      </c>
      <c r="Z1352" s="77" t="s">
        <v>6605</v>
      </c>
      <c r="AA1352" s="77"/>
      <c r="AB1352" s="77"/>
      <c r="AC1352" s="82" t="s">
        <v>7750</v>
      </c>
      <c r="AD1352" s="77" t="s">
        <v>7790</v>
      </c>
      <c r="AE1352" s="80" t="str">
        <f>HYPERLINK("https://twitter.com/valoraanalitik/status/1696901684218221039")</f>
        <v>https://twitter.com/valoraanalitik/status/1696901684218221039</v>
      </c>
      <c r="AF1352" s="79">
        <v>45168.62804398148</v>
      </c>
      <c r="AG1352" s="85">
        <v>45168</v>
      </c>
      <c r="AH1352" s="82" t="s">
        <v>8982</v>
      </c>
      <c r="AI1352" s="77" t="b">
        <v>0</v>
      </c>
      <c r="AJ1352" s="77"/>
      <c r="AK1352" s="77"/>
      <c r="AL1352" s="77"/>
      <c r="AM1352" s="77"/>
      <c r="AN1352" s="77"/>
      <c r="AO1352" s="77"/>
      <c r="AP1352" s="77"/>
      <c r="AQ1352" s="77"/>
      <c r="AR1352" s="77"/>
      <c r="AS1352" s="77"/>
      <c r="AT1352" s="77"/>
      <c r="AU1352" s="77"/>
      <c r="AV1352" s="80" t="str">
        <f>HYPERLINK("https://pbs.twimg.com/profile_images/1475155236713029641/7Lb8npQr_normal.jpg")</f>
        <v>https://pbs.twimg.com/profile_images/1475155236713029641/7Lb8npQr_normal.jpg</v>
      </c>
      <c r="AW1352" s="82" t="s">
        <v>13011</v>
      </c>
      <c r="AX1352" s="82" t="s">
        <v>13011</v>
      </c>
      <c r="AY1352" s="77"/>
      <c r="AZ1352" s="82" t="s">
        <v>15984</v>
      </c>
      <c r="BA1352" s="82" t="s">
        <v>15984</v>
      </c>
      <c r="BB1352" s="82" t="s">
        <v>15984</v>
      </c>
      <c r="BC1352" s="82" t="s">
        <v>13011</v>
      </c>
      <c r="BD1352" s="77">
        <v>20980846</v>
      </c>
      <c r="BE1352" s="77"/>
      <c r="BF1352" s="77"/>
      <c r="BG1352" s="77"/>
      <c r="BH1352" s="77"/>
      <c r="BI1352" s="77"/>
    </row>
    <row r="1353" spans="1:61" x14ac:dyDescent="0.25">
      <c r="A1353" s="62" t="s">
        <v>614</v>
      </c>
      <c r="B1353" s="62" t="s">
        <v>857</v>
      </c>
      <c r="C1353" s="63"/>
      <c r="D1353" s="64"/>
      <c r="E1353" s="65"/>
      <c r="F1353" s="66"/>
      <c r="G1353" s="63"/>
      <c r="H1353" s="67"/>
      <c r="I1353" s="68"/>
      <c r="J1353" s="68"/>
      <c r="K1353" s="32"/>
      <c r="L1353" s="75">
        <v>1353</v>
      </c>
      <c r="M1353" s="75"/>
      <c r="N1353" s="70"/>
      <c r="O1353" s="77" t="s">
        <v>895</v>
      </c>
      <c r="P1353" s="79">
        <v>45154.690949074073</v>
      </c>
      <c r="Q1353" s="77" t="s">
        <v>2125</v>
      </c>
      <c r="R1353" s="77">
        <v>0</v>
      </c>
      <c r="S1353" s="77">
        <v>3</v>
      </c>
      <c r="T1353" s="77">
        <v>0</v>
      </c>
      <c r="U1353" s="77">
        <v>0</v>
      </c>
      <c r="V1353" s="77">
        <v>950</v>
      </c>
      <c r="W1353" s="82" t="s">
        <v>4821</v>
      </c>
      <c r="X1353" s="80" t="str">
        <f>HYPERLINK("https://bit.ly/459Jkvu")</f>
        <v>https://bit.ly/459Jkvu</v>
      </c>
      <c r="Y1353" s="77" t="s">
        <v>6468</v>
      </c>
      <c r="Z1353" s="77" t="s">
        <v>6606</v>
      </c>
      <c r="AA1353" s="77"/>
      <c r="AB1353" s="77"/>
      <c r="AC1353" s="82" t="s">
        <v>7775</v>
      </c>
      <c r="AD1353" s="77" t="s">
        <v>7790</v>
      </c>
      <c r="AE1353" s="80" t="str">
        <f>HYPERLINK("https://twitter.com/valoraanalitik/status/1691851051136155831")</f>
        <v>https://twitter.com/valoraanalitik/status/1691851051136155831</v>
      </c>
      <c r="AF1353" s="79">
        <v>45154.690949074073</v>
      </c>
      <c r="AG1353" s="85">
        <v>45154</v>
      </c>
      <c r="AH1353" s="82" t="s">
        <v>8983</v>
      </c>
      <c r="AI1353" s="77" t="b">
        <v>0</v>
      </c>
      <c r="AJ1353" s="77"/>
      <c r="AK1353" s="77"/>
      <c r="AL1353" s="77"/>
      <c r="AM1353" s="77"/>
      <c r="AN1353" s="77"/>
      <c r="AO1353" s="77"/>
      <c r="AP1353" s="77"/>
      <c r="AQ1353" s="77"/>
      <c r="AR1353" s="77"/>
      <c r="AS1353" s="77"/>
      <c r="AT1353" s="77"/>
      <c r="AU1353" s="77"/>
      <c r="AV1353" s="80" t="str">
        <f>HYPERLINK("https://pbs.twimg.com/profile_images/1475155236713029641/7Lb8npQr_normal.jpg")</f>
        <v>https://pbs.twimg.com/profile_images/1475155236713029641/7Lb8npQr_normal.jpg</v>
      </c>
      <c r="AW1353" s="82" t="s">
        <v>13012</v>
      </c>
      <c r="AX1353" s="82" t="s">
        <v>13012</v>
      </c>
      <c r="AY1353" s="77"/>
      <c r="AZ1353" s="82" t="s">
        <v>15984</v>
      </c>
      <c r="BA1353" s="82" t="s">
        <v>15984</v>
      </c>
      <c r="BB1353" s="82" t="s">
        <v>15984</v>
      </c>
      <c r="BC1353" s="82" t="s">
        <v>13012</v>
      </c>
      <c r="BD1353" s="77">
        <v>20980846</v>
      </c>
      <c r="BE1353" s="77"/>
      <c r="BF1353" s="77"/>
      <c r="BG1353" s="77"/>
      <c r="BH1353" s="77"/>
      <c r="BI1353" s="77"/>
    </row>
    <row r="1354" spans="1:61" x14ac:dyDescent="0.25">
      <c r="A1354" s="62" t="s">
        <v>614</v>
      </c>
      <c r="B1354" s="62" t="s">
        <v>858</v>
      </c>
      <c r="C1354" s="63"/>
      <c r="D1354" s="64"/>
      <c r="E1354" s="65"/>
      <c r="F1354" s="66"/>
      <c r="G1354" s="63"/>
      <c r="H1354" s="67"/>
      <c r="I1354" s="68"/>
      <c r="J1354" s="68"/>
      <c r="K1354" s="32"/>
      <c r="L1354" s="75">
        <v>1354</v>
      </c>
      <c r="M1354" s="75"/>
      <c r="N1354" s="70"/>
      <c r="O1354" s="77" t="s">
        <v>895</v>
      </c>
      <c r="P1354" s="79">
        <v>45154.690949074073</v>
      </c>
      <c r="Q1354" s="77" t="s">
        <v>2125</v>
      </c>
      <c r="R1354" s="77">
        <v>0</v>
      </c>
      <c r="S1354" s="77">
        <v>3</v>
      </c>
      <c r="T1354" s="77">
        <v>0</v>
      </c>
      <c r="U1354" s="77">
        <v>0</v>
      </c>
      <c r="V1354" s="77">
        <v>950</v>
      </c>
      <c r="W1354" s="82" t="s">
        <v>4821</v>
      </c>
      <c r="X1354" s="80" t="str">
        <f>HYPERLINK("https://bit.ly/459Jkvu")</f>
        <v>https://bit.ly/459Jkvu</v>
      </c>
      <c r="Y1354" s="77" t="s">
        <v>6468</v>
      </c>
      <c r="Z1354" s="77" t="s">
        <v>6606</v>
      </c>
      <c r="AA1354" s="77"/>
      <c r="AB1354" s="77"/>
      <c r="AC1354" s="82" t="s">
        <v>7775</v>
      </c>
      <c r="AD1354" s="77" t="s">
        <v>7790</v>
      </c>
      <c r="AE1354" s="80" t="str">
        <f>HYPERLINK("https://twitter.com/valoraanalitik/status/1691851051136155831")</f>
        <v>https://twitter.com/valoraanalitik/status/1691851051136155831</v>
      </c>
      <c r="AF1354" s="79">
        <v>45154.690949074073</v>
      </c>
      <c r="AG1354" s="85">
        <v>45154</v>
      </c>
      <c r="AH1354" s="82" t="s">
        <v>8983</v>
      </c>
      <c r="AI1354" s="77" t="b">
        <v>0</v>
      </c>
      <c r="AJ1354" s="77"/>
      <c r="AK1354" s="77"/>
      <c r="AL1354" s="77"/>
      <c r="AM1354" s="77"/>
      <c r="AN1354" s="77"/>
      <c r="AO1354" s="77"/>
      <c r="AP1354" s="77"/>
      <c r="AQ1354" s="77"/>
      <c r="AR1354" s="77"/>
      <c r="AS1354" s="77"/>
      <c r="AT1354" s="77"/>
      <c r="AU1354" s="77"/>
      <c r="AV1354" s="80" t="str">
        <f>HYPERLINK("https://pbs.twimg.com/profile_images/1475155236713029641/7Lb8npQr_normal.jpg")</f>
        <v>https://pbs.twimg.com/profile_images/1475155236713029641/7Lb8npQr_normal.jpg</v>
      </c>
      <c r="AW1354" s="82" t="s">
        <v>13012</v>
      </c>
      <c r="AX1354" s="82" t="s">
        <v>13012</v>
      </c>
      <c r="AY1354" s="77"/>
      <c r="AZ1354" s="82" t="s">
        <v>15984</v>
      </c>
      <c r="BA1354" s="82" t="s">
        <v>15984</v>
      </c>
      <c r="BB1354" s="82" t="s">
        <v>15984</v>
      </c>
      <c r="BC1354" s="82" t="s">
        <v>13012</v>
      </c>
      <c r="BD1354" s="77">
        <v>20980846</v>
      </c>
      <c r="BE1354" s="77"/>
      <c r="BF1354" s="77"/>
      <c r="BG1354" s="77"/>
      <c r="BH1354" s="77"/>
      <c r="BI1354" s="77"/>
    </row>
    <row r="1355" spans="1:61" x14ac:dyDescent="0.25">
      <c r="A1355" s="62" t="s">
        <v>614</v>
      </c>
      <c r="B1355" s="62" t="s">
        <v>859</v>
      </c>
      <c r="C1355" s="63"/>
      <c r="D1355" s="64"/>
      <c r="E1355" s="65"/>
      <c r="F1355" s="66"/>
      <c r="G1355" s="63"/>
      <c r="H1355" s="67"/>
      <c r="I1355" s="68"/>
      <c r="J1355" s="68"/>
      <c r="K1355" s="32"/>
      <c r="L1355" s="75">
        <v>1355</v>
      </c>
      <c r="M1355" s="75"/>
      <c r="N1355" s="70"/>
      <c r="O1355" s="77" t="s">
        <v>895</v>
      </c>
      <c r="P1355" s="79">
        <v>45187.48369212963</v>
      </c>
      <c r="Q1355" s="77" t="s">
        <v>2126</v>
      </c>
      <c r="R1355" s="77">
        <v>18</v>
      </c>
      <c r="S1355" s="77">
        <v>35</v>
      </c>
      <c r="T1355" s="77">
        <v>3</v>
      </c>
      <c r="U1355" s="77">
        <v>1</v>
      </c>
      <c r="V1355" s="77">
        <v>3819</v>
      </c>
      <c r="W1355" s="82" t="s">
        <v>4821</v>
      </c>
      <c r="X1355" s="80" t="str">
        <f>HYPERLINK("https://www.valoraanalitik.com/2023/09/18/regla-fiscal-mauricio-cardenas-dice-que-petro-no-la-cumplira/")</f>
        <v>https://www.valoraanalitik.com/2023/09/18/regla-fiscal-mauricio-cardenas-dice-que-petro-no-la-cumplira/</v>
      </c>
      <c r="Y1355" s="77" t="s">
        <v>6471</v>
      </c>
      <c r="Z1355" s="77" t="s">
        <v>6607</v>
      </c>
      <c r="AA1355" s="77"/>
      <c r="AB1355" s="77"/>
      <c r="AC1355" s="82" t="s">
        <v>7750</v>
      </c>
      <c r="AD1355" s="77" t="s">
        <v>7790</v>
      </c>
      <c r="AE1355" s="80" t="str">
        <f>HYPERLINK("https://twitter.com/valoraanalitik/status/1703734742909157757")</f>
        <v>https://twitter.com/valoraanalitik/status/1703734742909157757</v>
      </c>
      <c r="AF1355" s="79">
        <v>45187.48369212963</v>
      </c>
      <c r="AG1355" s="85">
        <v>45187</v>
      </c>
      <c r="AH1355" s="82" t="s">
        <v>8984</v>
      </c>
      <c r="AI1355" s="77" t="b">
        <v>0</v>
      </c>
      <c r="AJ1355" s="77"/>
      <c r="AK1355" s="77"/>
      <c r="AL1355" s="77"/>
      <c r="AM1355" s="77"/>
      <c r="AN1355" s="77"/>
      <c r="AO1355" s="77"/>
      <c r="AP1355" s="77"/>
      <c r="AQ1355" s="77"/>
      <c r="AR1355" s="77"/>
      <c r="AS1355" s="77"/>
      <c r="AT1355" s="77"/>
      <c r="AU1355" s="77"/>
      <c r="AV1355" s="80" t="str">
        <f>HYPERLINK("https://pbs.twimg.com/profile_images/1475155236713029641/7Lb8npQr_normal.jpg")</f>
        <v>https://pbs.twimg.com/profile_images/1475155236713029641/7Lb8npQr_normal.jpg</v>
      </c>
      <c r="AW1355" s="82" t="s">
        <v>13013</v>
      </c>
      <c r="AX1355" s="82" t="s">
        <v>13013</v>
      </c>
      <c r="AY1355" s="77"/>
      <c r="AZ1355" s="82" t="s">
        <v>15984</v>
      </c>
      <c r="BA1355" s="82" t="s">
        <v>15984</v>
      </c>
      <c r="BB1355" s="82" t="s">
        <v>15984</v>
      </c>
      <c r="BC1355" s="82" t="s">
        <v>13013</v>
      </c>
      <c r="BD1355" s="77">
        <v>20980846</v>
      </c>
      <c r="BE1355" s="77"/>
      <c r="BF1355" s="77"/>
      <c r="BG1355" s="77"/>
      <c r="BH1355" s="77"/>
      <c r="BI1355" s="77"/>
    </row>
    <row r="1356" spans="1:61" x14ac:dyDescent="0.25">
      <c r="A1356" s="62" t="s">
        <v>614</v>
      </c>
      <c r="B1356" s="62" t="s">
        <v>860</v>
      </c>
      <c r="C1356" s="63"/>
      <c r="D1356" s="64"/>
      <c r="E1356" s="65"/>
      <c r="F1356" s="66"/>
      <c r="G1356" s="63"/>
      <c r="H1356" s="67"/>
      <c r="I1356" s="68"/>
      <c r="J1356" s="68"/>
      <c r="K1356" s="32"/>
      <c r="L1356" s="75">
        <v>1356</v>
      </c>
      <c r="M1356" s="75"/>
      <c r="N1356" s="70"/>
      <c r="O1356" s="77" t="s">
        <v>895</v>
      </c>
      <c r="P1356" s="79">
        <v>45157.66746527778</v>
      </c>
      <c r="Q1356" s="77" t="s">
        <v>2127</v>
      </c>
      <c r="R1356" s="77">
        <v>4</v>
      </c>
      <c r="S1356" s="77">
        <v>6</v>
      </c>
      <c r="T1356" s="77">
        <v>0</v>
      </c>
      <c r="U1356" s="77">
        <v>0</v>
      </c>
      <c r="V1356" s="77">
        <v>1344</v>
      </c>
      <c r="W1356" s="82" t="s">
        <v>4821</v>
      </c>
      <c r="X1356" s="80" t="str">
        <f>HYPERLINK("https://bit.ly/45dAWuF")</f>
        <v>https://bit.ly/45dAWuF</v>
      </c>
      <c r="Y1356" s="77" t="s">
        <v>6468</v>
      </c>
      <c r="Z1356" s="77" t="s">
        <v>6608</v>
      </c>
      <c r="AA1356" s="77" t="s">
        <v>7343</v>
      </c>
      <c r="AB1356" s="77" t="s">
        <v>7742</v>
      </c>
      <c r="AC1356" s="82" t="s">
        <v>7775</v>
      </c>
      <c r="AD1356" s="77" t="s">
        <v>7790</v>
      </c>
      <c r="AE1356" s="80" t="str">
        <f>HYPERLINK("https://twitter.com/valoraanalitik/status/1692929703483527673")</f>
        <v>https://twitter.com/valoraanalitik/status/1692929703483527673</v>
      </c>
      <c r="AF1356" s="79">
        <v>45157.66746527778</v>
      </c>
      <c r="AG1356" s="85">
        <v>45157</v>
      </c>
      <c r="AH1356" s="82" t="s">
        <v>8985</v>
      </c>
      <c r="AI1356" s="77" t="b">
        <v>0</v>
      </c>
      <c r="AJ1356" s="77"/>
      <c r="AK1356" s="77"/>
      <c r="AL1356" s="77"/>
      <c r="AM1356" s="77"/>
      <c r="AN1356" s="77"/>
      <c r="AO1356" s="77"/>
      <c r="AP1356" s="77"/>
      <c r="AQ1356" s="77" t="s">
        <v>11315</v>
      </c>
      <c r="AR1356" s="77"/>
      <c r="AS1356" s="77"/>
      <c r="AT1356" s="77"/>
      <c r="AU1356" s="77"/>
      <c r="AV1356" s="80" t="str">
        <f>HYPERLINK("https://pbs.twimg.com/media/F35-mAfXEAAS3sS.jpg")</f>
        <v>https://pbs.twimg.com/media/F35-mAfXEAAS3sS.jpg</v>
      </c>
      <c r="AW1356" s="82" t="s">
        <v>13014</v>
      </c>
      <c r="AX1356" s="82" t="s">
        <v>13014</v>
      </c>
      <c r="AY1356" s="77"/>
      <c r="AZ1356" s="82" t="s">
        <v>15984</v>
      </c>
      <c r="BA1356" s="82" t="s">
        <v>15984</v>
      </c>
      <c r="BB1356" s="82" t="s">
        <v>15984</v>
      </c>
      <c r="BC1356" s="82" t="s">
        <v>13014</v>
      </c>
      <c r="BD1356" s="77">
        <v>20980846</v>
      </c>
      <c r="BE1356" s="77"/>
      <c r="BF1356" s="77"/>
      <c r="BG1356" s="77"/>
      <c r="BH1356" s="77"/>
      <c r="BI1356" s="77"/>
    </row>
    <row r="1357" spans="1:61" x14ac:dyDescent="0.25">
      <c r="A1357" s="62" t="s">
        <v>614</v>
      </c>
      <c r="B1357" s="62" t="s">
        <v>861</v>
      </c>
      <c r="C1357" s="63"/>
      <c r="D1357" s="64"/>
      <c r="E1357" s="65"/>
      <c r="F1357" s="66"/>
      <c r="G1357" s="63"/>
      <c r="H1357" s="67"/>
      <c r="I1357" s="68"/>
      <c r="J1357" s="68"/>
      <c r="K1357" s="32"/>
      <c r="L1357" s="75">
        <v>1357</v>
      </c>
      <c r="M1357" s="75"/>
      <c r="N1357" s="70"/>
      <c r="O1357" s="77" t="s">
        <v>895</v>
      </c>
      <c r="P1357" s="79">
        <v>45182.634918981479</v>
      </c>
      <c r="Q1357" s="77" t="s">
        <v>2128</v>
      </c>
      <c r="R1357" s="77">
        <v>2</v>
      </c>
      <c r="S1357" s="77">
        <v>3</v>
      </c>
      <c r="T1357" s="77">
        <v>0</v>
      </c>
      <c r="U1357" s="77">
        <v>0</v>
      </c>
      <c r="V1357" s="77">
        <v>558</v>
      </c>
      <c r="W1357" s="82" t="s">
        <v>4821</v>
      </c>
      <c r="X1357" s="80" t="str">
        <f>HYPERLINK("https://www.valoraanalitik.com/2023/09/13/comercio-exterior-en-el-agro-desafios-y-oportunidades-para-empresas/")</f>
        <v>https://www.valoraanalitik.com/2023/09/13/comercio-exterior-en-el-agro-desafios-y-oportunidades-para-empresas/</v>
      </c>
      <c r="Y1357" s="77" t="s">
        <v>6471</v>
      </c>
      <c r="Z1357" s="77" t="s">
        <v>861</v>
      </c>
      <c r="AA1357" s="77"/>
      <c r="AB1357" s="77"/>
      <c r="AC1357" s="82" t="s">
        <v>7750</v>
      </c>
      <c r="AD1357" s="77" t="s">
        <v>7790</v>
      </c>
      <c r="AE1357" s="80" t="str">
        <f>HYPERLINK("https://twitter.com/valoraanalitik/status/1701977606826922211")</f>
        <v>https://twitter.com/valoraanalitik/status/1701977606826922211</v>
      </c>
      <c r="AF1357" s="79">
        <v>45182.634918981479</v>
      </c>
      <c r="AG1357" s="85">
        <v>45182</v>
      </c>
      <c r="AH1357" s="82" t="s">
        <v>8986</v>
      </c>
      <c r="AI1357" s="77" t="b">
        <v>0</v>
      </c>
      <c r="AJ1357" s="77"/>
      <c r="AK1357" s="77"/>
      <c r="AL1357" s="77"/>
      <c r="AM1357" s="77"/>
      <c r="AN1357" s="77"/>
      <c r="AO1357" s="77"/>
      <c r="AP1357" s="77"/>
      <c r="AQ1357" s="77"/>
      <c r="AR1357" s="77"/>
      <c r="AS1357" s="77"/>
      <c r="AT1357" s="77"/>
      <c r="AU1357" s="77"/>
      <c r="AV1357" s="80" t="str">
        <f>HYPERLINK("https://pbs.twimg.com/profile_images/1475155236713029641/7Lb8npQr_normal.jpg")</f>
        <v>https://pbs.twimg.com/profile_images/1475155236713029641/7Lb8npQr_normal.jpg</v>
      </c>
      <c r="AW1357" s="82" t="s">
        <v>13015</v>
      </c>
      <c r="AX1357" s="82" t="s">
        <v>13015</v>
      </c>
      <c r="AY1357" s="77"/>
      <c r="AZ1357" s="82" t="s">
        <v>15984</v>
      </c>
      <c r="BA1357" s="82" t="s">
        <v>15984</v>
      </c>
      <c r="BB1357" s="82" t="s">
        <v>15984</v>
      </c>
      <c r="BC1357" s="82" t="s">
        <v>13015</v>
      </c>
      <c r="BD1357" s="77">
        <v>20980846</v>
      </c>
      <c r="BE1357" s="77"/>
      <c r="BF1357" s="77"/>
      <c r="BG1357" s="77"/>
      <c r="BH1357" s="77"/>
      <c r="BI1357" s="77"/>
    </row>
    <row r="1358" spans="1:61" x14ac:dyDescent="0.25">
      <c r="A1358" s="62" t="s">
        <v>614</v>
      </c>
      <c r="B1358" s="62" t="s">
        <v>862</v>
      </c>
      <c r="C1358" s="63"/>
      <c r="D1358" s="64"/>
      <c r="E1358" s="65"/>
      <c r="F1358" s="66"/>
      <c r="G1358" s="63"/>
      <c r="H1358" s="67"/>
      <c r="I1358" s="68"/>
      <c r="J1358" s="68"/>
      <c r="K1358" s="32"/>
      <c r="L1358" s="75">
        <v>1358</v>
      </c>
      <c r="M1358" s="75"/>
      <c r="N1358" s="70"/>
      <c r="O1358" s="77" t="s">
        <v>895</v>
      </c>
      <c r="P1358" s="79">
        <v>45159.055555555555</v>
      </c>
      <c r="Q1358" s="77" t="s">
        <v>2129</v>
      </c>
      <c r="R1358" s="77">
        <v>0</v>
      </c>
      <c r="S1358" s="77">
        <v>7</v>
      </c>
      <c r="T1358" s="77">
        <v>0</v>
      </c>
      <c r="U1358" s="77">
        <v>1</v>
      </c>
      <c r="V1358" s="77">
        <v>1697</v>
      </c>
      <c r="W1358" s="82" t="s">
        <v>4821</v>
      </c>
      <c r="X1358" s="80" t="str">
        <f>HYPERLINK("http://valoraanalitik.com/2023/08/20/chelsea-ha-gastado-mas-en-fichajes-que-colombia-en-cereales/")</f>
        <v>http://valoraanalitik.com/2023/08/20/chelsea-ha-gastado-mas-en-fichajes-que-colombia-en-cereales/</v>
      </c>
      <c r="Y1358" s="77" t="s">
        <v>6471</v>
      </c>
      <c r="Z1358" s="77" t="s">
        <v>6609</v>
      </c>
      <c r="AA1358" s="77"/>
      <c r="AB1358" s="77"/>
      <c r="AC1358" s="82" t="s">
        <v>7750</v>
      </c>
      <c r="AD1358" s="77" t="s">
        <v>7790</v>
      </c>
      <c r="AE1358" s="80" t="str">
        <f>HYPERLINK("https://twitter.com/valoraanalitik/status/1693432731160752609")</f>
        <v>https://twitter.com/valoraanalitik/status/1693432731160752609</v>
      </c>
      <c r="AF1358" s="79">
        <v>45159.055555555555</v>
      </c>
      <c r="AG1358" s="85">
        <v>45159</v>
      </c>
      <c r="AH1358" s="82" t="s">
        <v>8970</v>
      </c>
      <c r="AI1358" s="77" t="b">
        <v>0</v>
      </c>
      <c r="AJ1358" s="77"/>
      <c r="AK1358" s="77"/>
      <c r="AL1358" s="77"/>
      <c r="AM1358" s="77"/>
      <c r="AN1358" s="77"/>
      <c r="AO1358" s="77"/>
      <c r="AP1358" s="77"/>
      <c r="AQ1358" s="77"/>
      <c r="AR1358" s="77"/>
      <c r="AS1358" s="77"/>
      <c r="AT1358" s="77"/>
      <c r="AU1358" s="77"/>
      <c r="AV1358" s="80" t="str">
        <f>HYPERLINK("https://pbs.twimg.com/profile_images/1475155236713029641/7Lb8npQr_normal.jpg")</f>
        <v>https://pbs.twimg.com/profile_images/1475155236713029641/7Lb8npQr_normal.jpg</v>
      </c>
      <c r="AW1358" s="82" t="s">
        <v>13016</v>
      </c>
      <c r="AX1358" s="82" t="s">
        <v>13016</v>
      </c>
      <c r="AY1358" s="77"/>
      <c r="AZ1358" s="82" t="s">
        <v>15984</v>
      </c>
      <c r="BA1358" s="82" t="s">
        <v>15984</v>
      </c>
      <c r="BB1358" s="82" t="s">
        <v>15984</v>
      </c>
      <c r="BC1358" s="82" t="s">
        <v>13016</v>
      </c>
      <c r="BD1358" s="77">
        <v>20980846</v>
      </c>
      <c r="BE1358" s="77"/>
      <c r="BF1358" s="77"/>
      <c r="BG1358" s="77"/>
      <c r="BH1358" s="77"/>
      <c r="BI1358" s="77"/>
    </row>
    <row r="1359" spans="1:61" x14ac:dyDescent="0.25">
      <c r="A1359" s="62" t="s">
        <v>614</v>
      </c>
      <c r="B1359" s="62" t="s">
        <v>863</v>
      </c>
      <c r="C1359" s="63"/>
      <c r="D1359" s="64"/>
      <c r="E1359" s="65"/>
      <c r="F1359" s="66"/>
      <c r="G1359" s="63"/>
      <c r="H1359" s="67"/>
      <c r="I1359" s="68"/>
      <c r="J1359" s="68"/>
      <c r="K1359" s="32"/>
      <c r="L1359" s="75">
        <v>1359</v>
      </c>
      <c r="M1359" s="75"/>
      <c r="N1359" s="70"/>
      <c r="O1359" s="77" t="s">
        <v>895</v>
      </c>
      <c r="P1359" s="79">
        <v>45121.484039351853</v>
      </c>
      <c r="Q1359" s="77" t="s">
        <v>2130</v>
      </c>
      <c r="R1359" s="77">
        <v>1</v>
      </c>
      <c r="S1359" s="77">
        <v>15</v>
      </c>
      <c r="T1359" s="77">
        <v>1</v>
      </c>
      <c r="U1359" s="77">
        <v>1</v>
      </c>
      <c r="V1359" s="77">
        <v>2663</v>
      </c>
      <c r="W1359" s="82" t="s">
        <v>4821</v>
      </c>
      <c r="X1359" s="80" t="str">
        <f>HYPERLINK("https://www.valoraanalitik.com/2023/07/14/camioneros-en-contra-del-ministro-bonilla-por-alza-en-el-diesel/")</f>
        <v>https://www.valoraanalitik.com/2023/07/14/camioneros-en-contra-del-ministro-bonilla-por-alza-en-el-diesel/</v>
      </c>
      <c r="Y1359" s="77" t="s">
        <v>6471</v>
      </c>
      <c r="Z1359" s="77" t="s">
        <v>6610</v>
      </c>
      <c r="AA1359" s="77"/>
      <c r="AB1359" s="77"/>
      <c r="AC1359" s="82" t="s">
        <v>7750</v>
      </c>
      <c r="AD1359" s="77" t="s">
        <v>7790</v>
      </c>
      <c r="AE1359" s="80" t="str">
        <f>HYPERLINK("https://twitter.com/valoraanalitik/status/1679817270065876993")</f>
        <v>https://twitter.com/valoraanalitik/status/1679817270065876993</v>
      </c>
      <c r="AF1359" s="79">
        <v>45121.484039351853</v>
      </c>
      <c r="AG1359" s="85">
        <v>45121</v>
      </c>
      <c r="AH1359" s="82" t="s">
        <v>8987</v>
      </c>
      <c r="AI1359" s="77" t="b">
        <v>0</v>
      </c>
      <c r="AJ1359" s="77"/>
      <c r="AK1359" s="77"/>
      <c r="AL1359" s="77"/>
      <c r="AM1359" s="77"/>
      <c r="AN1359" s="77"/>
      <c r="AO1359" s="77"/>
      <c r="AP1359" s="77"/>
      <c r="AQ1359" s="77"/>
      <c r="AR1359" s="77"/>
      <c r="AS1359" s="77"/>
      <c r="AT1359" s="77"/>
      <c r="AU1359" s="77"/>
      <c r="AV1359" s="80" t="str">
        <f>HYPERLINK("https://pbs.twimg.com/profile_images/1475155236713029641/7Lb8npQr_normal.jpg")</f>
        <v>https://pbs.twimg.com/profile_images/1475155236713029641/7Lb8npQr_normal.jpg</v>
      </c>
      <c r="AW1359" s="82" t="s">
        <v>13017</v>
      </c>
      <c r="AX1359" s="82" t="s">
        <v>13017</v>
      </c>
      <c r="AY1359" s="77"/>
      <c r="AZ1359" s="82" t="s">
        <v>15984</v>
      </c>
      <c r="BA1359" s="82" t="s">
        <v>15984</v>
      </c>
      <c r="BB1359" s="82" t="s">
        <v>15984</v>
      </c>
      <c r="BC1359" s="82" t="s">
        <v>13017</v>
      </c>
      <c r="BD1359" s="77">
        <v>20980846</v>
      </c>
      <c r="BE1359" s="77"/>
      <c r="BF1359" s="77"/>
      <c r="BG1359" s="77"/>
      <c r="BH1359" s="77"/>
      <c r="BI1359" s="77"/>
    </row>
    <row r="1360" spans="1:61" x14ac:dyDescent="0.25">
      <c r="A1360" s="62" t="s">
        <v>614</v>
      </c>
      <c r="B1360" s="62" t="s">
        <v>864</v>
      </c>
      <c r="C1360" s="63"/>
      <c r="D1360" s="64"/>
      <c r="E1360" s="65"/>
      <c r="F1360" s="66"/>
      <c r="G1360" s="63"/>
      <c r="H1360" s="67"/>
      <c r="I1360" s="68"/>
      <c r="J1360" s="68"/>
      <c r="K1360" s="32"/>
      <c r="L1360" s="75">
        <v>1360</v>
      </c>
      <c r="M1360" s="75"/>
      <c r="N1360" s="70"/>
      <c r="O1360" s="77" t="s">
        <v>895</v>
      </c>
      <c r="P1360" s="79">
        <v>45193.024722222224</v>
      </c>
      <c r="Q1360" s="77" t="s">
        <v>2131</v>
      </c>
      <c r="R1360" s="77">
        <v>3</v>
      </c>
      <c r="S1360" s="77">
        <v>4</v>
      </c>
      <c r="T1360" s="77">
        <v>0</v>
      </c>
      <c r="U1360" s="77">
        <v>0</v>
      </c>
      <c r="V1360" s="77">
        <v>1605</v>
      </c>
      <c r="W1360" s="82" t="s">
        <v>4821</v>
      </c>
      <c r="X1360" s="80" t="str">
        <f>HYPERLINK("https://www.valoraanalitik.com/2023/09/23/subir-precio-peajes-colombia-la-peticion-del-exministro-ocampo/")</f>
        <v>https://www.valoraanalitik.com/2023/09/23/subir-precio-peajes-colombia-la-peticion-del-exministro-ocampo/</v>
      </c>
      <c r="Y1360" s="77" t="s">
        <v>6471</v>
      </c>
      <c r="Z1360" s="77" t="s">
        <v>6611</v>
      </c>
      <c r="AA1360" s="77"/>
      <c r="AB1360" s="77"/>
      <c r="AC1360" s="82" t="s">
        <v>7750</v>
      </c>
      <c r="AD1360" s="77" t="s">
        <v>7790</v>
      </c>
      <c r="AE1360" s="80" t="str">
        <f>HYPERLINK("https://twitter.com/valoraanalitik/status/1705742744524566919")</f>
        <v>https://twitter.com/valoraanalitik/status/1705742744524566919</v>
      </c>
      <c r="AF1360" s="79">
        <v>45193.024722222224</v>
      </c>
      <c r="AG1360" s="85">
        <v>45193</v>
      </c>
      <c r="AH1360" s="82" t="s">
        <v>8988</v>
      </c>
      <c r="AI1360" s="77" t="b">
        <v>0</v>
      </c>
      <c r="AJ1360" s="77"/>
      <c r="AK1360" s="77"/>
      <c r="AL1360" s="77"/>
      <c r="AM1360" s="77"/>
      <c r="AN1360" s="77"/>
      <c r="AO1360" s="77"/>
      <c r="AP1360" s="77"/>
      <c r="AQ1360" s="77"/>
      <c r="AR1360" s="77"/>
      <c r="AS1360" s="77"/>
      <c r="AT1360" s="77"/>
      <c r="AU1360" s="77"/>
      <c r="AV1360" s="80" t="str">
        <f>HYPERLINK("https://pbs.twimg.com/profile_images/1475155236713029641/7Lb8npQr_normal.jpg")</f>
        <v>https://pbs.twimg.com/profile_images/1475155236713029641/7Lb8npQr_normal.jpg</v>
      </c>
      <c r="AW1360" s="82" t="s">
        <v>13018</v>
      </c>
      <c r="AX1360" s="82" t="s">
        <v>13018</v>
      </c>
      <c r="AY1360" s="77"/>
      <c r="AZ1360" s="82" t="s">
        <v>15984</v>
      </c>
      <c r="BA1360" s="82" t="s">
        <v>15984</v>
      </c>
      <c r="BB1360" s="82" t="s">
        <v>15984</v>
      </c>
      <c r="BC1360" s="82" t="s">
        <v>13018</v>
      </c>
      <c r="BD1360" s="77">
        <v>20980846</v>
      </c>
      <c r="BE1360" s="77"/>
      <c r="BF1360" s="77"/>
      <c r="BG1360" s="77"/>
      <c r="BH1360" s="77"/>
      <c r="BI1360" s="77"/>
    </row>
    <row r="1361" spans="1:61" x14ac:dyDescent="0.25">
      <c r="A1361" s="62" t="s">
        <v>614</v>
      </c>
      <c r="B1361" s="62" t="s">
        <v>865</v>
      </c>
      <c r="C1361" s="63"/>
      <c r="D1361" s="64"/>
      <c r="E1361" s="65"/>
      <c r="F1361" s="66"/>
      <c r="G1361" s="63"/>
      <c r="H1361" s="67"/>
      <c r="I1361" s="68"/>
      <c r="J1361" s="68"/>
      <c r="K1361" s="32"/>
      <c r="L1361" s="75">
        <v>1361</v>
      </c>
      <c r="M1361" s="75"/>
      <c r="N1361" s="70"/>
      <c r="O1361" s="77" t="s">
        <v>895</v>
      </c>
      <c r="P1361" s="79">
        <v>45192.763032407405</v>
      </c>
      <c r="Q1361" s="77" t="s">
        <v>2132</v>
      </c>
      <c r="R1361" s="77">
        <v>3</v>
      </c>
      <c r="S1361" s="77">
        <v>7</v>
      </c>
      <c r="T1361" s="77">
        <v>0</v>
      </c>
      <c r="U1361" s="77">
        <v>0</v>
      </c>
      <c r="V1361" s="77">
        <v>979</v>
      </c>
      <c r="W1361" s="82" t="s">
        <v>4821</v>
      </c>
      <c r="X1361" s="80" t="str">
        <f>HYPERLINK("https://www.valoraanalitik.com/2023/09/23/cuando-se-considera-que-una-persona-es-pobre-en-colombia/")</f>
        <v>https://www.valoraanalitik.com/2023/09/23/cuando-se-considera-que-una-persona-es-pobre-en-colombia/</v>
      </c>
      <c r="Y1361" s="77" t="s">
        <v>6471</v>
      </c>
      <c r="Z1361" s="77" t="s">
        <v>6612</v>
      </c>
      <c r="AA1361" s="77"/>
      <c r="AB1361" s="77"/>
      <c r="AC1361" s="82" t="s">
        <v>7750</v>
      </c>
      <c r="AD1361" s="77" t="s">
        <v>7790</v>
      </c>
      <c r="AE1361" s="80" t="str">
        <f>HYPERLINK("https://twitter.com/valoraanalitik/status/1705647912670146946")</f>
        <v>https://twitter.com/valoraanalitik/status/1705647912670146946</v>
      </c>
      <c r="AF1361" s="79">
        <v>45192.763032407405</v>
      </c>
      <c r="AG1361" s="85">
        <v>45192</v>
      </c>
      <c r="AH1361" s="82" t="s">
        <v>8989</v>
      </c>
      <c r="AI1361" s="77" t="b">
        <v>0</v>
      </c>
      <c r="AJ1361" s="77"/>
      <c r="AK1361" s="77"/>
      <c r="AL1361" s="77"/>
      <c r="AM1361" s="77"/>
      <c r="AN1361" s="77"/>
      <c r="AO1361" s="77"/>
      <c r="AP1361" s="77"/>
      <c r="AQ1361" s="77"/>
      <c r="AR1361" s="77"/>
      <c r="AS1361" s="77"/>
      <c r="AT1361" s="77"/>
      <c r="AU1361" s="77"/>
      <c r="AV1361" s="80" t="str">
        <f>HYPERLINK("https://pbs.twimg.com/profile_images/1475155236713029641/7Lb8npQr_normal.jpg")</f>
        <v>https://pbs.twimg.com/profile_images/1475155236713029641/7Lb8npQr_normal.jpg</v>
      </c>
      <c r="AW1361" s="82" t="s">
        <v>13019</v>
      </c>
      <c r="AX1361" s="82" t="s">
        <v>13019</v>
      </c>
      <c r="AY1361" s="77"/>
      <c r="AZ1361" s="82" t="s">
        <v>15984</v>
      </c>
      <c r="BA1361" s="82" t="s">
        <v>15984</v>
      </c>
      <c r="BB1361" s="82" t="s">
        <v>15984</v>
      </c>
      <c r="BC1361" s="82" t="s">
        <v>13019</v>
      </c>
      <c r="BD1361" s="77">
        <v>20980846</v>
      </c>
      <c r="BE1361" s="77"/>
      <c r="BF1361" s="77"/>
      <c r="BG1361" s="77"/>
      <c r="BH1361" s="77"/>
      <c r="BI1361" s="77"/>
    </row>
    <row r="1362" spans="1:61" x14ac:dyDescent="0.25">
      <c r="A1362" s="62" t="s">
        <v>614</v>
      </c>
      <c r="B1362" s="62" t="s">
        <v>866</v>
      </c>
      <c r="C1362" s="63"/>
      <c r="D1362" s="64"/>
      <c r="E1362" s="65"/>
      <c r="F1362" s="66"/>
      <c r="G1362" s="63"/>
      <c r="H1362" s="67"/>
      <c r="I1362" s="68"/>
      <c r="J1362" s="68"/>
      <c r="K1362" s="32"/>
      <c r="L1362" s="75">
        <v>1362</v>
      </c>
      <c r="M1362" s="75"/>
      <c r="N1362" s="70"/>
      <c r="O1362" s="77" t="s">
        <v>895</v>
      </c>
      <c r="P1362" s="79">
        <v>45156.903344907405</v>
      </c>
      <c r="Q1362" s="77" t="s">
        <v>2133</v>
      </c>
      <c r="R1362" s="77">
        <v>1</v>
      </c>
      <c r="S1362" s="77">
        <v>2</v>
      </c>
      <c r="T1362" s="77">
        <v>1</v>
      </c>
      <c r="U1362" s="77">
        <v>0</v>
      </c>
      <c r="V1362" s="77">
        <v>867</v>
      </c>
      <c r="W1362" s="82" t="s">
        <v>4821</v>
      </c>
      <c r="X1362" s="80" t="str">
        <f>HYPERLINK("https://bit.ly/3QLupD7")</f>
        <v>https://bit.ly/3QLupD7</v>
      </c>
      <c r="Y1362" s="77" t="s">
        <v>6468</v>
      </c>
      <c r="Z1362" s="77" t="s">
        <v>6613</v>
      </c>
      <c r="AA1362" s="77"/>
      <c r="AB1362" s="77"/>
      <c r="AC1362" s="82" t="s">
        <v>7775</v>
      </c>
      <c r="AD1362" s="77" t="s">
        <v>7790</v>
      </c>
      <c r="AE1362" s="80" t="str">
        <f>HYPERLINK("https://twitter.com/valoraanalitik/status/1692652797953486966")</f>
        <v>https://twitter.com/valoraanalitik/status/1692652797953486966</v>
      </c>
      <c r="AF1362" s="79">
        <v>45156.903344907405</v>
      </c>
      <c r="AG1362" s="85">
        <v>45156</v>
      </c>
      <c r="AH1362" s="82" t="s">
        <v>8990</v>
      </c>
      <c r="AI1362" s="77" t="b">
        <v>0</v>
      </c>
      <c r="AJ1362" s="77"/>
      <c r="AK1362" s="77"/>
      <c r="AL1362" s="77"/>
      <c r="AM1362" s="77"/>
      <c r="AN1362" s="77"/>
      <c r="AO1362" s="77"/>
      <c r="AP1362" s="77"/>
      <c r="AQ1362" s="77"/>
      <c r="AR1362" s="77"/>
      <c r="AS1362" s="77"/>
      <c r="AT1362" s="77"/>
      <c r="AU1362" s="77"/>
      <c r="AV1362" s="80" t="str">
        <f>HYPERLINK("https://pbs.twimg.com/profile_images/1475155236713029641/7Lb8npQr_normal.jpg")</f>
        <v>https://pbs.twimg.com/profile_images/1475155236713029641/7Lb8npQr_normal.jpg</v>
      </c>
      <c r="AW1362" s="82" t="s">
        <v>13020</v>
      </c>
      <c r="AX1362" s="82" t="s">
        <v>13020</v>
      </c>
      <c r="AY1362" s="77"/>
      <c r="AZ1362" s="82" t="s">
        <v>15984</v>
      </c>
      <c r="BA1362" s="82" t="s">
        <v>15984</v>
      </c>
      <c r="BB1362" s="82" t="s">
        <v>15984</v>
      </c>
      <c r="BC1362" s="82" t="s">
        <v>13020</v>
      </c>
      <c r="BD1362" s="77">
        <v>20980846</v>
      </c>
      <c r="BE1362" s="77"/>
      <c r="BF1362" s="77"/>
      <c r="BG1362" s="77"/>
      <c r="BH1362" s="77"/>
      <c r="BI1362" s="77"/>
    </row>
    <row r="1363" spans="1:61" x14ac:dyDescent="0.25">
      <c r="A1363" s="62" t="s">
        <v>614</v>
      </c>
      <c r="B1363" s="62" t="s">
        <v>866</v>
      </c>
      <c r="C1363" s="63"/>
      <c r="D1363" s="64"/>
      <c r="E1363" s="65"/>
      <c r="F1363" s="66"/>
      <c r="G1363" s="63"/>
      <c r="H1363" s="67"/>
      <c r="I1363" s="68"/>
      <c r="J1363" s="68"/>
      <c r="K1363" s="32"/>
      <c r="L1363" s="75">
        <v>1363</v>
      </c>
      <c r="M1363" s="75"/>
      <c r="N1363" s="70"/>
      <c r="O1363" s="77" t="s">
        <v>895</v>
      </c>
      <c r="P1363" s="79">
        <v>45191.506944444445</v>
      </c>
      <c r="Q1363" s="77" t="s">
        <v>2134</v>
      </c>
      <c r="R1363" s="77">
        <v>4</v>
      </c>
      <c r="S1363" s="77">
        <v>7</v>
      </c>
      <c r="T1363" s="77">
        <v>0</v>
      </c>
      <c r="U1363" s="77">
        <v>0</v>
      </c>
      <c r="V1363" s="77">
        <v>894</v>
      </c>
      <c r="W1363" s="82" t="s">
        <v>4821</v>
      </c>
      <c r="X1363" s="80" t="str">
        <f>HYPERLINK("https://www.valoraanalitik.com/2023/09/22/estados-unidos-no-cree-que-sea-hora-de-renegociar-tlc-con-colombia/")</f>
        <v>https://www.valoraanalitik.com/2023/09/22/estados-unidos-no-cree-que-sea-hora-de-renegociar-tlc-con-colombia/</v>
      </c>
      <c r="Y1363" s="77" t="s">
        <v>6471</v>
      </c>
      <c r="Z1363" s="77" t="s">
        <v>866</v>
      </c>
      <c r="AA1363" s="77"/>
      <c r="AB1363" s="77"/>
      <c r="AC1363" s="82" t="s">
        <v>7750</v>
      </c>
      <c r="AD1363" s="77" t="s">
        <v>7790</v>
      </c>
      <c r="AE1363" s="80" t="str">
        <f>HYPERLINK("https://twitter.com/valoraanalitik/status/1705192720762024144")</f>
        <v>https://twitter.com/valoraanalitik/status/1705192720762024144</v>
      </c>
      <c r="AF1363" s="79">
        <v>45191.506944444445</v>
      </c>
      <c r="AG1363" s="85">
        <v>45191</v>
      </c>
      <c r="AH1363" s="82" t="s">
        <v>8991</v>
      </c>
      <c r="AI1363" s="77" t="b">
        <v>0</v>
      </c>
      <c r="AJ1363" s="77"/>
      <c r="AK1363" s="77"/>
      <c r="AL1363" s="77"/>
      <c r="AM1363" s="77"/>
      <c r="AN1363" s="77"/>
      <c r="AO1363" s="77"/>
      <c r="AP1363" s="77"/>
      <c r="AQ1363" s="77"/>
      <c r="AR1363" s="77"/>
      <c r="AS1363" s="77"/>
      <c r="AT1363" s="77"/>
      <c r="AU1363" s="77"/>
      <c r="AV1363" s="80" t="str">
        <f>HYPERLINK("https://pbs.twimg.com/profile_images/1475155236713029641/7Lb8npQr_normal.jpg")</f>
        <v>https://pbs.twimg.com/profile_images/1475155236713029641/7Lb8npQr_normal.jpg</v>
      </c>
      <c r="AW1363" s="82" t="s">
        <v>13021</v>
      </c>
      <c r="AX1363" s="82" t="s">
        <v>13021</v>
      </c>
      <c r="AY1363" s="77"/>
      <c r="AZ1363" s="82" t="s">
        <v>15984</v>
      </c>
      <c r="BA1363" s="82" t="s">
        <v>15984</v>
      </c>
      <c r="BB1363" s="82" t="s">
        <v>15984</v>
      </c>
      <c r="BC1363" s="82" t="s">
        <v>13021</v>
      </c>
      <c r="BD1363" s="77">
        <v>20980846</v>
      </c>
      <c r="BE1363" s="77"/>
      <c r="BF1363" s="77"/>
      <c r="BG1363" s="77"/>
      <c r="BH1363" s="77"/>
      <c r="BI1363" s="77"/>
    </row>
    <row r="1364" spans="1:61" x14ac:dyDescent="0.25">
      <c r="A1364" s="62" t="s">
        <v>614</v>
      </c>
      <c r="B1364" s="62" t="s">
        <v>867</v>
      </c>
      <c r="C1364" s="63"/>
      <c r="D1364" s="64"/>
      <c r="E1364" s="65"/>
      <c r="F1364" s="66"/>
      <c r="G1364" s="63"/>
      <c r="H1364" s="67"/>
      <c r="I1364" s="68"/>
      <c r="J1364" s="68"/>
      <c r="K1364" s="32"/>
      <c r="L1364" s="75">
        <v>1364</v>
      </c>
      <c r="M1364" s="75"/>
      <c r="N1364" s="70"/>
      <c r="O1364" s="77" t="s">
        <v>895</v>
      </c>
      <c r="P1364" s="79">
        <v>45191.476921296293</v>
      </c>
      <c r="Q1364" s="77" t="s">
        <v>2135</v>
      </c>
      <c r="R1364" s="77">
        <v>0</v>
      </c>
      <c r="S1364" s="77">
        <v>6</v>
      </c>
      <c r="T1364" s="77">
        <v>0</v>
      </c>
      <c r="U1364" s="77">
        <v>0</v>
      </c>
      <c r="V1364" s="77">
        <v>821</v>
      </c>
      <c r="W1364" s="82" t="s">
        <v>4821</v>
      </c>
      <c r="X1364" s="80" t="str">
        <f>HYPERLINK("https://www.valoraanalitik.com/2023/09/22/pobreza-colombia-690000-ciudadanos-habrian-salido-de-ella/")</f>
        <v>https://www.valoraanalitik.com/2023/09/22/pobreza-colombia-690000-ciudadanos-habrian-salido-de-ella/</v>
      </c>
      <c r="Y1364" s="77" t="s">
        <v>6471</v>
      </c>
      <c r="Z1364" s="77" t="s">
        <v>6614</v>
      </c>
      <c r="AA1364" s="77"/>
      <c r="AB1364" s="77"/>
      <c r="AC1364" s="82" t="s">
        <v>7750</v>
      </c>
      <c r="AD1364" s="77" t="s">
        <v>7790</v>
      </c>
      <c r="AE1364" s="80" t="str">
        <f>HYPERLINK("https://twitter.com/valoraanalitik/status/1705181843463569659")</f>
        <v>https://twitter.com/valoraanalitik/status/1705181843463569659</v>
      </c>
      <c r="AF1364" s="79">
        <v>45191.476921296293</v>
      </c>
      <c r="AG1364" s="85">
        <v>45191</v>
      </c>
      <c r="AH1364" s="82" t="s">
        <v>8992</v>
      </c>
      <c r="AI1364" s="77" t="b">
        <v>0</v>
      </c>
      <c r="AJ1364" s="77"/>
      <c r="AK1364" s="77"/>
      <c r="AL1364" s="77"/>
      <c r="AM1364" s="77"/>
      <c r="AN1364" s="77"/>
      <c r="AO1364" s="77"/>
      <c r="AP1364" s="77"/>
      <c r="AQ1364" s="77"/>
      <c r="AR1364" s="77"/>
      <c r="AS1364" s="77"/>
      <c r="AT1364" s="77"/>
      <c r="AU1364" s="77"/>
      <c r="AV1364" s="80" t="str">
        <f>HYPERLINK("https://pbs.twimg.com/profile_images/1475155236713029641/7Lb8npQr_normal.jpg")</f>
        <v>https://pbs.twimg.com/profile_images/1475155236713029641/7Lb8npQr_normal.jpg</v>
      </c>
      <c r="AW1364" s="82" t="s">
        <v>13022</v>
      </c>
      <c r="AX1364" s="82" t="s">
        <v>13022</v>
      </c>
      <c r="AY1364" s="77"/>
      <c r="AZ1364" s="82" t="s">
        <v>15984</v>
      </c>
      <c r="BA1364" s="82" t="s">
        <v>15984</v>
      </c>
      <c r="BB1364" s="82" t="s">
        <v>15984</v>
      </c>
      <c r="BC1364" s="82" t="s">
        <v>13022</v>
      </c>
      <c r="BD1364" s="77">
        <v>20980846</v>
      </c>
      <c r="BE1364" s="77"/>
      <c r="BF1364" s="77"/>
      <c r="BG1364" s="77"/>
      <c r="BH1364" s="77"/>
      <c r="BI1364" s="77"/>
    </row>
    <row r="1365" spans="1:61" x14ac:dyDescent="0.25">
      <c r="A1365" s="62" t="s">
        <v>614</v>
      </c>
      <c r="B1365" s="62" t="s">
        <v>868</v>
      </c>
      <c r="C1365" s="63"/>
      <c r="D1365" s="64"/>
      <c r="E1365" s="65"/>
      <c r="F1365" s="66"/>
      <c r="G1365" s="63"/>
      <c r="H1365" s="67"/>
      <c r="I1365" s="68"/>
      <c r="J1365" s="68"/>
      <c r="K1365" s="32"/>
      <c r="L1365" s="75">
        <v>1365</v>
      </c>
      <c r="M1365" s="75"/>
      <c r="N1365" s="70"/>
      <c r="O1365" s="77" t="s">
        <v>895</v>
      </c>
      <c r="P1365" s="79">
        <v>45137.688275462962</v>
      </c>
      <c r="Q1365" s="77" t="s">
        <v>2136</v>
      </c>
      <c r="R1365" s="77">
        <v>0</v>
      </c>
      <c r="S1365" s="77">
        <v>3</v>
      </c>
      <c r="T1365" s="77">
        <v>1</v>
      </c>
      <c r="U1365" s="77">
        <v>0</v>
      </c>
      <c r="V1365" s="77">
        <v>1233</v>
      </c>
      <c r="W1365" s="82" t="s">
        <v>4821</v>
      </c>
      <c r="X1365" s="80" t="str">
        <f>HYPERLINK("https://bit.ly/3ODu4RO")</f>
        <v>https://bit.ly/3ODu4RO</v>
      </c>
      <c r="Y1365" s="77" t="s">
        <v>6468</v>
      </c>
      <c r="Z1365" s="77" t="s">
        <v>868</v>
      </c>
      <c r="AA1365" s="77"/>
      <c r="AB1365" s="77"/>
      <c r="AC1365" s="82" t="s">
        <v>7775</v>
      </c>
      <c r="AD1365" s="77" t="s">
        <v>7790</v>
      </c>
      <c r="AE1365" s="80" t="str">
        <f>HYPERLINK("https://twitter.com/valoraanalitik/status/1685689490512211968")</f>
        <v>https://twitter.com/valoraanalitik/status/1685689490512211968</v>
      </c>
      <c r="AF1365" s="79">
        <v>45137.688275462962</v>
      </c>
      <c r="AG1365" s="85">
        <v>45137</v>
      </c>
      <c r="AH1365" s="82" t="s">
        <v>8993</v>
      </c>
      <c r="AI1365" s="77" t="b">
        <v>0</v>
      </c>
      <c r="AJ1365" s="77"/>
      <c r="AK1365" s="77"/>
      <c r="AL1365" s="77"/>
      <c r="AM1365" s="77"/>
      <c r="AN1365" s="77"/>
      <c r="AO1365" s="77"/>
      <c r="AP1365" s="77"/>
      <c r="AQ1365" s="77"/>
      <c r="AR1365" s="77"/>
      <c r="AS1365" s="77"/>
      <c r="AT1365" s="77"/>
      <c r="AU1365" s="77"/>
      <c r="AV1365" s="80" t="str">
        <f>HYPERLINK("https://pbs.twimg.com/profile_images/1475155236713029641/7Lb8npQr_normal.jpg")</f>
        <v>https://pbs.twimg.com/profile_images/1475155236713029641/7Lb8npQr_normal.jpg</v>
      </c>
      <c r="AW1365" s="82" t="s">
        <v>13023</v>
      </c>
      <c r="AX1365" s="82" t="s">
        <v>13023</v>
      </c>
      <c r="AY1365" s="77"/>
      <c r="AZ1365" s="82" t="s">
        <v>15984</v>
      </c>
      <c r="BA1365" s="82" t="s">
        <v>15984</v>
      </c>
      <c r="BB1365" s="82" t="s">
        <v>15984</v>
      </c>
      <c r="BC1365" s="82" t="s">
        <v>13023</v>
      </c>
      <c r="BD1365" s="77">
        <v>20980846</v>
      </c>
      <c r="BE1365" s="77"/>
      <c r="BF1365" s="77"/>
      <c r="BG1365" s="77"/>
      <c r="BH1365" s="77"/>
      <c r="BI1365" s="77"/>
    </row>
    <row r="1366" spans="1:61" x14ac:dyDescent="0.25">
      <c r="A1366" s="62" t="s">
        <v>614</v>
      </c>
      <c r="B1366" s="62" t="s">
        <v>868</v>
      </c>
      <c r="C1366" s="63"/>
      <c r="D1366" s="64"/>
      <c r="E1366" s="65"/>
      <c r="F1366" s="66"/>
      <c r="G1366" s="63"/>
      <c r="H1366" s="67"/>
      <c r="I1366" s="68"/>
      <c r="J1366" s="68"/>
      <c r="K1366" s="32"/>
      <c r="L1366" s="75">
        <v>1366</v>
      </c>
      <c r="M1366" s="75"/>
      <c r="N1366" s="70"/>
      <c r="O1366" s="77" t="s">
        <v>895</v>
      </c>
      <c r="P1366" s="79">
        <v>45184.837245370371</v>
      </c>
      <c r="Q1366" s="77" t="s">
        <v>2137</v>
      </c>
      <c r="R1366" s="77">
        <v>1</v>
      </c>
      <c r="S1366" s="77">
        <v>3</v>
      </c>
      <c r="T1366" s="77">
        <v>0</v>
      </c>
      <c r="U1366" s="77">
        <v>0</v>
      </c>
      <c r="V1366" s="77">
        <v>726</v>
      </c>
      <c r="W1366" s="82" t="s">
        <v>4821</v>
      </c>
      <c r="X1366" s="80" t="str">
        <f>HYPERLINK("https://bit.ly/3rj9tJx")</f>
        <v>https://bit.ly/3rj9tJx</v>
      </c>
      <c r="Y1366" s="77" t="s">
        <v>6468</v>
      </c>
      <c r="Z1366" s="77" t="s">
        <v>6615</v>
      </c>
      <c r="AA1366" s="77"/>
      <c r="AB1366" s="77"/>
      <c r="AC1366" s="82" t="s">
        <v>7775</v>
      </c>
      <c r="AD1366" s="77" t="s">
        <v>7790</v>
      </c>
      <c r="AE1366" s="80" t="str">
        <f>HYPERLINK("https://twitter.com/valoraanalitik/status/1702775704373338369")</f>
        <v>https://twitter.com/valoraanalitik/status/1702775704373338369</v>
      </c>
      <c r="AF1366" s="79">
        <v>45184.837245370371</v>
      </c>
      <c r="AG1366" s="85">
        <v>45184</v>
      </c>
      <c r="AH1366" s="82" t="s">
        <v>8994</v>
      </c>
      <c r="AI1366" s="77" t="b">
        <v>0</v>
      </c>
      <c r="AJ1366" s="77"/>
      <c r="AK1366" s="77"/>
      <c r="AL1366" s="77"/>
      <c r="AM1366" s="77"/>
      <c r="AN1366" s="77"/>
      <c r="AO1366" s="77"/>
      <c r="AP1366" s="77"/>
      <c r="AQ1366" s="77"/>
      <c r="AR1366" s="77"/>
      <c r="AS1366" s="77"/>
      <c r="AT1366" s="77"/>
      <c r="AU1366" s="77"/>
      <c r="AV1366" s="80" t="str">
        <f>HYPERLINK("https://pbs.twimg.com/profile_images/1475155236713029641/7Lb8npQr_normal.jpg")</f>
        <v>https://pbs.twimg.com/profile_images/1475155236713029641/7Lb8npQr_normal.jpg</v>
      </c>
      <c r="AW1366" s="82" t="s">
        <v>13024</v>
      </c>
      <c r="AX1366" s="82" t="s">
        <v>13024</v>
      </c>
      <c r="AY1366" s="77"/>
      <c r="AZ1366" s="82" t="s">
        <v>15984</v>
      </c>
      <c r="BA1366" s="82" t="s">
        <v>15984</v>
      </c>
      <c r="BB1366" s="82" t="s">
        <v>15984</v>
      </c>
      <c r="BC1366" s="82" t="s">
        <v>13024</v>
      </c>
      <c r="BD1366" s="77">
        <v>20980846</v>
      </c>
      <c r="BE1366" s="77"/>
      <c r="BF1366" s="77"/>
      <c r="BG1366" s="77"/>
      <c r="BH1366" s="77"/>
      <c r="BI1366" s="77"/>
    </row>
    <row r="1367" spans="1:61" x14ac:dyDescent="0.25">
      <c r="A1367" s="62" t="s">
        <v>614</v>
      </c>
      <c r="B1367" s="62" t="s">
        <v>869</v>
      </c>
      <c r="C1367" s="63"/>
      <c r="D1367" s="64"/>
      <c r="E1367" s="65"/>
      <c r="F1367" s="66"/>
      <c r="G1367" s="63"/>
      <c r="H1367" s="67"/>
      <c r="I1367" s="68"/>
      <c r="J1367" s="68"/>
      <c r="K1367" s="32"/>
      <c r="L1367" s="75">
        <v>1367</v>
      </c>
      <c r="M1367" s="75"/>
      <c r="N1367" s="70"/>
      <c r="O1367" s="77" t="s">
        <v>895</v>
      </c>
      <c r="P1367" s="79">
        <v>45153.587951388887</v>
      </c>
      <c r="Q1367" s="77" t="s">
        <v>2138</v>
      </c>
      <c r="R1367" s="77">
        <v>2</v>
      </c>
      <c r="S1367" s="77">
        <v>6</v>
      </c>
      <c r="T1367" s="77">
        <v>0</v>
      </c>
      <c r="U1367" s="77">
        <v>0</v>
      </c>
      <c r="V1367" s="77">
        <v>1192</v>
      </c>
      <c r="W1367" s="82" t="s">
        <v>4821</v>
      </c>
      <c r="X1367" s="80" t="str">
        <f>HYPERLINK("https://bit.ly/3ODTMnV")</f>
        <v>https://bit.ly/3ODTMnV</v>
      </c>
      <c r="Y1367" s="77" t="s">
        <v>6468</v>
      </c>
      <c r="Z1367" s="77" t="s">
        <v>6616</v>
      </c>
      <c r="AA1367" s="77"/>
      <c r="AB1367" s="77"/>
      <c r="AC1367" s="82" t="s">
        <v>7775</v>
      </c>
      <c r="AD1367" s="77" t="s">
        <v>7790</v>
      </c>
      <c r="AE1367" s="80" t="str">
        <f>HYPERLINK("https://twitter.com/valoraanalitik/status/1691451339497492482")</f>
        <v>https://twitter.com/valoraanalitik/status/1691451339497492482</v>
      </c>
      <c r="AF1367" s="79">
        <v>45153.587951388887</v>
      </c>
      <c r="AG1367" s="85">
        <v>45153</v>
      </c>
      <c r="AH1367" s="82" t="s">
        <v>8995</v>
      </c>
      <c r="AI1367" s="77" t="b">
        <v>0</v>
      </c>
      <c r="AJ1367" s="77"/>
      <c r="AK1367" s="77"/>
      <c r="AL1367" s="77"/>
      <c r="AM1367" s="77"/>
      <c r="AN1367" s="77"/>
      <c r="AO1367" s="77"/>
      <c r="AP1367" s="77"/>
      <c r="AQ1367" s="77"/>
      <c r="AR1367" s="77"/>
      <c r="AS1367" s="77"/>
      <c r="AT1367" s="77"/>
      <c r="AU1367" s="77"/>
      <c r="AV1367" s="80" t="str">
        <f>HYPERLINK("https://pbs.twimg.com/profile_images/1475155236713029641/7Lb8npQr_normal.jpg")</f>
        <v>https://pbs.twimg.com/profile_images/1475155236713029641/7Lb8npQr_normal.jpg</v>
      </c>
      <c r="AW1367" s="82" t="s">
        <v>13025</v>
      </c>
      <c r="AX1367" s="82" t="s">
        <v>13025</v>
      </c>
      <c r="AY1367" s="77"/>
      <c r="AZ1367" s="82" t="s">
        <v>15984</v>
      </c>
      <c r="BA1367" s="82" t="s">
        <v>15984</v>
      </c>
      <c r="BB1367" s="82" t="s">
        <v>15984</v>
      </c>
      <c r="BC1367" s="82" t="s">
        <v>13025</v>
      </c>
      <c r="BD1367" s="77">
        <v>20980846</v>
      </c>
      <c r="BE1367" s="77"/>
      <c r="BF1367" s="77"/>
      <c r="BG1367" s="77"/>
      <c r="BH1367" s="77"/>
      <c r="BI1367" s="77"/>
    </row>
    <row r="1368" spans="1:61" x14ac:dyDescent="0.25">
      <c r="A1368" s="62" t="s">
        <v>614</v>
      </c>
      <c r="B1368" s="62" t="s">
        <v>869</v>
      </c>
      <c r="C1368" s="63"/>
      <c r="D1368" s="64"/>
      <c r="E1368" s="65"/>
      <c r="F1368" s="66"/>
      <c r="G1368" s="63"/>
      <c r="H1368" s="67"/>
      <c r="I1368" s="68"/>
      <c r="J1368" s="68"/>
      <c r="K1368" s="32"/>
      <c r="L1368" s="75">
        <v>1368</v>
      </c>
      <c r="M1368" s="75"/>
      <c r="N1368" s="70"/>
      <c r="O1368" s="77" t="s">
        <v>895</v>
      </c>
      <c r="P1368" s="79">
        <v>45184.837245370371</v>
      </c>
      <c r="Q1368" s="77" t="s">
        <v>2137</v>
      </c>
      <c r="R1368" s="77">
        <v>1</v>
      </c>
      <c r="S1368" s="77">
        <v>3</v>
      </c>
      <c r="T1368" s="77">
        <v>0</v>
      </c>
      <c r="U1368" s="77">
        <v>0</v>
      </c>
      <c r="V1368" s="77">
        <v>726</v>
      </c>
      <c r="W1368" s="82" t="s">
        <v>4821</v>
      </c>
      <c r="X1368" s="80" t="str">
        <f>HYPERLINK("https://bit.ly/3rj9tJx")</f>
        <v>https://bit.ly/3rj9tJx</v>
      </c>
      <c r="Y1368" s="77" t="s">
        <v>6468</v>
      </c>
      <c r="Z1368" s="77" t="s">
        <v>6615</v>
      </c>
      <c r="AA1368" s="77"/>
      <c r="AB1368" s="77"/>
      <c r="AC1368" s="82" t="s">
        <v>7775</v>
      </c>
      <c r="AD1368" s="77" t="s">
        <v>7790</v>
      </c>
      <c r="AE1368" s="80" t="str">
        <f>HYPERLINK("https://twitter.com/valoraanalitik/status/1702775704373338369")</f>
        <v>https://twitter.com/valoraanalitik/status/1702775704373338369</v>
      </c>
      <c r="AF1368" s="79">
        <v>45184.837245370371</v>
      </c>
      <c r="AG1368" s="85">
        <v>45184</v>
      </c>
      <c r="AH1368" s="82" t="s">
        <v>8994</v>
      </c>
      <c r="AI1368" s="77" t="b">
        <v>0</v>
      </c>
      <c r="AJ1368" s="77"/>
      <c r="AK1368" s="77"/>
      <c r="AL1368" s="77"/>
      <c r="AM1368" s="77"/>
      <c r="AN1368" s="77"/>
      <c r="AO1368" s="77"/>
      <c r="AP1368" s="77"/>
      <c r="AQ1368" s="77"/>
      <c r="AR1368" s="77"/>
      <c r="AS1368" s="77"/>
      <c r="AT1368" s="77"/>
      <c r="AU1368" s="77"/>
      <c r="AV1368" s="80" t="str">
        <f>HYPERLINK("https://pbs.twimg.com/profile_images/1475155236713029641/7Lb8npQr_normal.jpg")</f>
        <v>https://pbs.twimg.com/profile_images/1475155236713029641/7Lb8npQr_normal.jpg</v>
      </c>
      <c r="AW1368" s="82" t="s">
        <v>13024</v>
      </c>
      <c r="AX1368" s="82" t="s">
        <v>13024</v>
      </c>
      <c r="AY1368" s="77"/>
      <c r="AZ1368" s="82" t="s">
        <v>15984</v>
      </c>
      <c r="BA1368" s="82" t="s">
        <v>15984</v>
      </c>
      <c r="BB1368" s="82" t="s">
        <v>15984</v>
      </c>
      <c r="BC1368" s="82" t="s">
        <v>13024</v>
      </c>
      <c r="BD1368" s="77">
        <v>20980846</v>
      </c>
      <c r="BE1368" s="77"/>
      <c r="BF1368" s="77"/>
      <c r="BG1368" s="77"/>
      <c r="BH1368" s="77"/>
      <c r="BI1368" s="77"/>
    </row>
    <row r="1369" spans="1:61" x14ac:dyDescent="0.25">
      <c r="A1369" s="62" t="s">
        <v>614</v>
      </c>
      <c r="B1369" s="62" t="s">
        <v>870</v>
      </c>
      <c r="C1369" s="63"/>
      <c r="D1369" s="64"/>
      <c r="E1369" s="65"/>
      <c r="F1369" s="66"/>
      <c r="G1369" s="63"/>
      <c r="H1369" s="67"/>
      <c r="I1369" s="68"/>
      <c r="J1369" s="68"/>
      <c r="K1369" s="32"/>
      <c r="L1369" s="75">
        <v>1369</v>
      </c>
      <c r="M1369" s="75"/>
      <c r="N1369" s="70"/>
      <c r="O1369" s="77" t="s">
        <v>895</v>
      </c>
      <c r="P1369" s="79">
        <v>45132.481203703705</v>
      </c>
      <c r="Q1369" s="77" t="s">
        <v>2096</v>
      </c>
      <c r="R1369" s="77">
        <v>0</v>
      </c>
      <c r="S1369" s="77">
        <v>3</v>
      </c>
      <c r="T1369" s="77">
        <v>0</v>
      </c>
      <c r="U1369" s="77">
        <v>0</v>
      </c>
      <c r="V1369" s="77">
        <v>1190</v>
      </c>
      <c r="W1369" s="82" t="s">
        <v>4821</v>
      </c>
      <c r="X1369" s="80" t="str">
        <f>HYPERLINK("https://www.valoraanalitik.com/2023/07/25/incentivo-almacenamiento-de-arroz-colombia-del-gobierno-petro/")</f>
        <v>https://www.valoraanalitik.com/2023/07/25/incentivo-almacenamiento-de-arroz-colombia-del-gobierno-petro/</v>
      </c>
      <c r="Y1369" s="77" t="s">
        <v>6471</v>
      </c>
      <c r="Z1369" s="77" t="s">
        <v>6592</v>
      </c>
      <c r="AA1369" s="77"/>
      <c r="AB1369" s="77"/>
      <c r="AC1369" s="82" t="s">
        <v>7750</v>
      </c>
      <c r="AD1369" s="77" t="s">
        <v>7790</v>
      </c>
      <c r="AE1369" s="80" t="str">
        <f>HYPERLINK("https://twitter.com/valoraanalitik/status/1683802510140612608")</f>
        <v>https://twitter.com/valoraanalitik/status/1683802510140612608</v>
      </c>
      <c r="AF1369" s="79">
        <v>45132.481203703705</v>
      </c>
      <c r="AG1369" s="85">
        <v>45132</v>
      </c>
      <c r="AH1369" s="82" t="s">
        <v>8954</v>
      </c>
      <c r="AI1369" s="77" t="b">
        <v>0</v>
      </c>
      <c r="AJ1369" s="77"/>
      <c r="AK1369" s="77"/>
      <c r="AL1369" s="77"/>
      <c r="AM1369" s="77"/>
      <c r="AN1369" s="77"/>
      <c r="AO1369" s="77"/>
      <c r="AP1369" s="77"/>
      <c r="AQ1369" s="77"/>
      <c r="AR1369" s="77"/>
      <c r="AS1369" s="77"/>
      <c r="AT1369" s="77"/>
      <c r="AU1369" s="77"/>
      <c r="AV1369" s="80" t="str">
        <f>HYPERLINK("https://pbs.twimg.com/profile_images/1475155236713029641/7Lb8npQr_normal.jpg")</f>
        <v>https://pbs.twimg.com/profile_images/1475155236713029641/7Lb8npQr_normal.jpg</v>
      </c>
      <c r="AW1369" s="82" t="s">
        <v>12983</v>
      </c>
      <c r="AX1369" s="82" t="s">
        <v>12983</v>
      </c>
      <c r="AY1369" s="77"/>
      <c r="AZ1369" s="82" t="s">
        <v>15984</v>
      </c>
      <c r="BA1369" s="82" t="s">
        <v>15984</v>
      </c>
      <c r="BB1369" s="82" t="s">
        <v>15984</v>
      </c>
      <c r="BC1369" s="82" t="s">
        <v>12983</v>
      </c>
      <c r="BD1369" s="77">
        <v>20980846</v>
      </c>
      <c r="BE1369" s="77"/>
      <c r="BF1369" s="77"/>
      <c r="BG1369" s="77"/>
      <c r="BH1369" s="77"/>
      <c r="BI1369" s="77"/>
    </row>
    <row r="1370" spans="1:61" x14ac:dyDescent="0.25">
      <c r="A1370" s="62" t="s">
        <v>614</v>
      </c>
      <c r="B1370" s="62" t="s">
        <v>870</v>
      </c>
      <c r="C1370" s="63"/>
      <c r="D1370" s="64"/>
      <c r="E1370" s="65"/>
      <c r="F1370" s="66"/>
      <c r="G1370" s="63"/>
      <c r="H1370" s="67"/>
      <c r="I1370" s="68"/>
      <c r="J1370" s="68"/>
      <c r="K1370" s="32"/>
      <c r="L1370" s="75">
        <v>1370</v>
      </c>
      <c r="M1370" s="75"/>
      <c r="N1370" s="70"/>
      <c r="O1370" s="77" t="s">
        <v>895</v>
      </c>
      <c r="P1370" s="79">
        <v>45153.587951388887</v>
      </c>
      <c r="Q1370" s="77" t="s">
        <v>2138</v>
      </c>
      <c r="R1370" s="77">
        <v>2</v>
      </c>
      <c r="S1370" s="77">
        <v>6</v>
      </c>
      <c r="T1370" s="77">
        <v>0</v>
      </c>
      <c r="U1370" s="77">
        <v>0</v>
      </c>
      <c r="V1370" s="77">
        <v>1192</v>
      </c>
      <c r="W1370" s="82" t="s">
        <v>4821</v>
      </c>
      <c r="X1370" s="80" t="str">
        <f>HYPERLINK("https://bit.ly/3ODTMnV")</f>
        <v>https://bit.ly/3ODTMnV</v>
      </c>
      <c r="Y1370" s="77" t="s">
        <v>6468</v>
      </c>
      <c r="Z1370" s="77" t="s">
        <v>6616</v>
      </c>
      <c r="AA1370" s="77"/>
      <c r="AB1370" s="77"/>
      <c r="AC1370" s="82" t="s">
        <v>7775</v>
      </c>
      <c r="AD1370" s="77" t="s">
        <v>7790</v>
      </c>
      <c r="AE1370" s="80" t="str">
        <f>HYPERLINK("https://twitter.com/valoraanalitik/status/1691451339497492482")</f>
        <v>https://twitter.com/valoraanalitik/status/1691451339497492482</v>
      </c>
      <c r="AF1370" s="79">
        <v>45153.587951388887</v>
      </c>
      <c r="AG1370" s="85">
        <v>45153</v>
      </c>
      <c r="AH1370" s="82" t="s">
        <v>8995</v>
      </c>
      <c r="AI1370" s="77" t="b">
        <v>0</v>
      </c>
      <c r="AJ1370" s="77"/>
      <c r="AK1370" s="77"/>
      <c r="AL1370" s="77"/>
      <c r="AM1370" s="77"/>
      <c r="AN1370" s="77"/>
      <c r="AO1370" s="77"/>
      <c r="AP1370" s="77"/>
      <c r="AQ1370" s="77"/>
      <c r="AR1370" s="77"/>
      <c r="AS1370" s="77"/>
      <c r="AT1370" s="77"/>
      <c r="AU1370" s="77"/>
      <c r="AV1370" s="80" t="str">
        <f>HYPERLINK("https://pbs.twimg.com/profile_images/1475155236713029641/7Lb8npQr_normal.jpg")</f>
        <v>https://pbs.twimg.com/profile_images/1475155236713029641/7Lb8npQr_normal.jpg</v>
      </c>
      <c r="AW1370" s="82" t="s">
        <v>13025</v>
      </c>
      <c r="AX1370" s="82" t="s">
        <v>13025</v>
      </c>
      <c r="AY1370" s="77"/>
      <c r="AZ1370" s="82" t="s">
        <v>15984</v>
      </c>
      <c r="BA1370" s="82" t="s">
        <v>15984</v>
      </c>
      <c r="BB1370" s="82" t="s">
        <v>15984</v>
      </c>
      <c r="BC1370" s="82" t="s">
        <v>13025</v>
      </c>
      <c r="BD1370" s="77">
        <v>20980846</v>
      </c>
      <c r="BE1370" s="77"/>
      <c r="BF1370" s="77"/>
      <c r="BG1370" s="77"/>
      <c r="BH1370" s="77"/>
      <c r="BI1370" s="77"/>
    </row>
    <row r="1371" spans="1:61" x14ac:dyDescent="0.25">
      <c r="A1371" s="62" t="s">
        <v>614</v>
      </c>
      <c r="B1371" s="62" t="s">
        <v>870</v>
      </c>
      <c r="C1371" s="63"/>
      <c r="D1371" s="64"/>
      <c r="E1371" s="65"/>
      <c r="F1371" s="66"/>
      <c r="G1371" s="63"/>
      <c r="H1371" s="67"/>
      <c r="I1371" s="68"/>
      <c r="J1371" s="68"/>
      <c r="K1371" s="32"/>
      <c r="L1371" s="75">
        <v>1371</v>
      </c>
      <c r="M1371" s="75"/>
      <c r="N1371" s="70"/>
      <c r="O1371" s="77" t="s">
        <v>895</v>
      </c>
      <c r="P1371" s="79">
        <v>45183.867106481484</v>
      </c>
      <c r="Q1371" s="77" t="s">
        <v>2139</v>
      </c>
      <c r="R1371" s="77">
        <v>1</v>
      </c>
      <c r="S1371" s="77">
        <v>2</v>
      </c>
      <c r="T1371" s="77">
        <v>0</v>
      </c>
      <c r="U1371" s="77">
        <v>0</v>
      </c>
      <c r="V1371" s="77">
        <v>873</v>
      </c>
      <c r="W1371" s="82" t="s">
        <v>4821</v>
      </c>
      <c r="X1371" s="80" t="str">
        <f>HYPERLINK("https://bit.ly/44VkHBw")</f>
        <v>https://bit.ly/44VkHBw</v>
      </c>
      <c r="Y1371" s="77" t="s">
        <v>6468</v>
      </c>
      <c r="Z1371" s="77" t="s">
        <v>870</v>
      </c>
      <c r="AA1371" s="77"/>
      <c r="AB1371" s="77"/>
      <c r="AC1371" s="82" t="s">
        <v>7775</v>
      </c>
      <c r="AD1371" s="77" t="s">
        <v>7790</v>
      </c>
      <c r="AE1371" s="80" t="str">
        <f>HYPERLINK("https://twitter.com/valoraanalitik/status/1702424136117592439")</f>
        <v>https://twitter.com/valoraanalitik/status/1702424136117592439</v>
      </c>
      <c r="AF1371" s="79">
        <v>45183.867106481484</v>
      </c>
      <c r="AG1371" s="85">
        <v>45183</v>
      </c>
      <c r="AH1371" s="82" t="s">
        <v>8996</v>
      </c>
      <c r="AI1371" s="77" t="b">
        <v>0</v>
      </c>
      <c r="AJ1371" s="77"/>
      <c r="AK1371" s="77"/>
      <c r="AL1371" s="77"/>
      <c r="AM1371" s="77"/>
      <c r="AN1371" s="77"/>
      <c r="AO1371" s="77"/>
      <c r="AP1371" s="77"/>
      <c r="AQ1371" s="77"/>
      <c r="AR1371" s="77"/>
      <c r="AS1371" s="77"/>
      <c r="AT1371" s="77"/>
      <c r="AU1371" s="77"/>
      <c r="AV1371" s="80" t="str">
        <f>HYPERLINK("https://pbs.twimg.com/profile_images/1475155236713029641/7Lb8npQr_normal.jpg")</f>
        <v>https://pbs.twimg.com/profile_images/1475155236713029641/7Lb8npQr_normal.jpg</v>
      </c>
      <c r="AW1371" s="82" t="s">
        <v>13026</v>
      </c>
      <c r="AX1371" s="82" t="s">
        <v>13026</v>
      </c>
      <c r="AY1371" s="77"/>
      <c r="AZ1371" s="82" t="s">
        <v>15984</v>
      </c>
      <c r="BA1371" s="82" t="s">
        <v>15984</v>
      </c>
      <c r="BB1371" s="82" t="s">
        <v>15984</v>
      </c>
      <c r="BC1371" s="82" t="s">
        <v>13026</v>
      </c>
      <c r="BD1371" s="77">
        <v>20980846</v>
      </c>
      <c r="BE1371" s="77"/>
      <c r="BF1371" s="77"/>
      <c r="BG1371" s="77"/>
      <c r="BH1371" s="77"/>
      <c r="BI1371" s="77"/>
    </row>
    <row r="1372" spans="1:61" x14ac:dyDescent="0.25">
      <c r="A1372" s="62" t="s">
        <v>614</v>
      </c>
      <c r="B1372" s="62" t="s">
        <v>870</v>
      </c>
      <c r="C1372" s="63"/>
      <c r="D1372" s="64"/>
      <c r="E1372" s="65"/>
      <c r="F1372" s="66"/>
      <c r="G1372" s="63"/>
      <c r="H1372" s="67"/>
      <c r="I1372" s="68"/>
      <c r="J1372" s="68"/>
      <c r="K1372" s="32"/>
      <c r="L1372" s="75">
        <v>1372</v>
      </c>
      <c r="M1372" s="75"/>
      <c r="N1372" s="70"/>
      <c r="O1372" s="77" t="s">
        <v>895</v>
      </c>
      <c r="P1372" s="79">
        <v>45184.837245370371</v>
      </c>
      <c r="Q1372" s="77" t="s">
        <v>2137</v>
      </c>
      <c r="R1372" s="77">
        <v>1</v>
      </c>
      <c r="S1372" s="77">
        <v>3</v>
      </c>
      <c r="T1372" s="77">
        <v>0</v>
      </c>
      <c r="U1372" s="77">
        <v>0</v>
      </c>
      <c r="V1372" s="77">
        <v>726</v>
      </c>
      <c r="W1372" s="82" t="s">
        <v>4821</v>
      </c>
      <c r="X1372" s="80" t="str">
        <f>HYPERLINK("https://bit.ly/3rj9tJx")</f>
        <v>https://bit.ly/3rj9tJx</v>
      </c>
      <c r="Y1372" s="77" t="s">
        <v>6468</v>
      </c>
      <c r="Z1372" s="77" t="s">
        <v>6615</v>
      </c>
      <c r="AA1372" s="77"/>
      <c r="AB1372" s="77"/>
      <c r="AC1372" s="82" t="s">
        <v>7775</v>
      </c>
      <c r="AD1372" s="77" t="s">
        <v>7790</v>
      </c>
      <c r="AE1372" s="80" t="str">
        <f>HYPERLINK("https://twitter.com/valoraanalitik/status/1702775704373338369")</f>
        <v>https://twitter.com/valoraanalitik/status/1702775704373338369</v>
      </c>
      <c r="AF1372" s="79">
        <v>45184.837245370371</v>
      </c>
      <c r="AG1372" s="85">
        <v>45184</v>
      </c>
      <c r="AH1372" s="82" t="s">
        <v>8994</v>
      </c>
      <c r="AI1372" s="77" t="b">
        <v>0</v>
      </c>
      <c r="AJ1372" s="77"/>
      <c r="AK1372" s="77"/>
      <c r="AL1372" s="77"/>
      <c r="AM1372" s="77"/>
      <c r="AN1372" s="77"/>
      <c r="AO1372" s="77"/>
      <c r="AP1372" s="77"/>
      <c r="AQ1372" s="77"/>
      <c r="AR1372" s="77"/>
      <c r="AS1372" s="77"/>
      <c r="AT1372" s="77"/>
      <c r="AU1372" s="77"/>
      <c r="AV1372" s="80" t="str">
        <f>HYPERLINK("https://pbs.twimg.com/profile_images/1475155236713029641/7Lb8npQr_normal.jpg")</f>
        <v>https://pbs.twimg.com/profile_images/1475155236713029641/7Lb8npQr_normal.jpg</v>
      </c>
      <c r="AW1372" s="82" t="s">
        <v>13024</v>
      </c>
      <c r="AX1372" s="82" t="s">
        <v>13024</v>
      </c>
      <c r="AY1372" s="77"/>
      <c r="AZ1372" s="82" t="s">
        <v>15984</v>
      </c>
      <c r="BA1372" s="82" t="s">
        <v>15984</v>
      </c>
      <c r="BB1372" s="82" t="s">
        <v>15984</v>
      </c>
      <c r="BC1372" s="82" t="s">
        <v>13024</v>
      </c>
      <c r="BD1372" s="77">
        <v>20980846</v>
      </c>
      <c r="BE1372" s="77"/>
      <c r="BF1372" s="77"/>
      <c r="BG1372" s="77"/>
      <c r="BH1372" s="77"/>
      <c r="BI1372" s="77"/>
    </row>
    <row r="1373" spans="1:61" x14ac:dyDescent="0.25">
      <c r="A1373" s="62" t="s">
        <v>614</v>
      </c>
      <c r="B1373" s="62" t="s">
        <v>871</v>
      </c>
      <c r="C1373" s="63"/>
      <c r="D1373" s="64"/>
      <c r="E1373" s="65"/>
      <c r="F1373" s="66"/>
      <c r="G1373" s="63"/>
      <c r="H1373" s="67"/>
      <c r="I1373" s="68"/>
      <c r="J1373" s="68"/>
      <c r="K1373" s="32"/>
      <c r="L1373" s="75">
        <v>1373</v>
      </c>
      <c r="M1373" s="75"/>
      <c r="N1373" s="70"/>
      <c r="O1373" s="77" t="s">
        <v>895</v>
      </c>
      <c r="P1373" s="79">
        <v>45168.62804398148</v>
      </c>
      <c r="Q1373" s="77" t="s">
        <v>2124</v>
      </c>
      <c r="R1373" s="77">
        <v>1</v>
      </c>
      <c r="S1373" s="77">
        <v>4</v>
      </c>
      <c r="T1373" s="77">
        <v>1</v>
      </c>
      <c r="U1373" s="77">
        <v>0</v>
      </c>
      <c r="V1373" s="77">
        <v>853</v>
      </c>
      <c r="W1373" s="82" t="s">
        <v>4821</v>
      </c>
      <c r="X1373" s="80" t="str">
        <f>HYPERLINK("https://www.valoraanalitik.com/2023/08/30/impuestos-empresas-colombia-que-tanto-pesan-en-el-pais/")</f>
        <v>https://www.valoraanalitik.com/2023/08/30/impuestos-empresas-colombia-que-tanto-pesan-en-el-pais/</v>
      </c>
      <c r="Y1373" s="77" t="s">
        <v>6471</v>
      </c>
      <c r="Z1373" s="77" t="s">
        <v>6605</v>
      </c>
      <c r="AA1373" s="77"/>
      <c r="AB1373" s="77"/>
      <c r="AC1373" s="82" t="s">
        <v>7750</v>
      </c>
      <c r="AD1373" s="77" t="s">
        <v>7790</v>
      </c>
      <c r="AE1373" s="80" t="str">
        <f>HYPERLINK("https://twitter.com/valoraanalitik/status/1696901684218221039")</f>
        <v>https://twitter.com/valoraanalitik/status/1696901684218221039</v>
      </c>
      <c r="AF1373" s="79">
        <v>45168.62804398148</v>
      </c>
      <c r="AG1373" s="85">
        <v>45168</v>
      </c>
      <c r="AH1373" s="82" t="s">
        <v>8982</v>
      </c>
      <c r="AI1373" s="77" t="b">
        <v>0</v>
      </c>
      <c r="AJ1373" s="77"/>
      <c r="AK1373" s="77"/>
      <c r="AL1373" s="77"/>
      <c r="AM1373" s="77"/>
      <c r="AN1373" s="77"/>
      <c r="AO1373" s="77"/>
      <c r="AP1373" s="77"/>
      <c r="AQ1373" s="77"/>
      <c r="AR1373" s="77"/>
      <c r="AS1373" s="77"/>
      <c r="AT1373" s="77"/>
      <c r="AU1373" s="77"/>
      <c r="AV1373" s="80" t="str">
        <f>HYPERLINK("https://pbs.twimg.com/profile_images/1475155236713029641/7Lb8npQr_normal.jpg")</f>
        <v>https://pbs.twimg.com/profile_images/1475155236713029641/7Lb8npQr_normal.jpg</v>
      </c>
      <c r="AW1373" s="82" t="s">
        <v>13011</v>
      </c>
      <c r="AX1373" s="82" t="s">
        <v>13011</v>
      </c>
      <c r="AY1373" s="77"/>
      <c r="AZ1373" s="82" t="s">
        <v>15984</v>
      </c>
      <c r="BA1373" s="82" t="s">
        <v>15984</v>
      </c>
      <c r="BB1373" s="82" t="s">
        <v>15984</v>
      </c>
      <c r="BC1373" s="82" t="s">
        <v>13011</v>
      </c>
      <c r="BD1373" s="77">
        <v>20980846</v>
      </c>
      <c r="BE1373" s="77"/>
      <c r="BF1373" s="77"/>
      <c r="BG1373" s="77"/>
      <c r="BH1373" s="77"/>
      <c r="BI1373" s="77"/>
    </row>
    <row r="1374" spans="1:61" x14ac:dyDescent="0.25">
      <c r="A1374" s="62" t="s">
        <v>614</v>
      </c>
      <c r="B1374" s="62" t="s">
        <v>871</v>
      </c>
      <c r="C1374" s="63"/>
      <c r="D1374" s="64"/>
      <c r="E1374" s="65"/>
      <c r="F1374" s="66"/>
      <c r="G1374" s="63"/>
      <c r="H1374" s="67"/>
      <c r="I1374" s="68"/>
      <c r="J1374" s="68"/>
      <c r="K1374" s="32"/>
      <c r="L1374" s="75">
        <v>1374</v>
      </c>
      <c r="M1374" s="75"/>
      <c r="N1374" s="70"/>
      <c r="O1374" s="77" t="s">
        <v>895</v>
      </c>
      <c r="P1374" s="79">
        <v>45173.695868055554</v>
      </c>
      <c r="Q1374" s="77" t="s">
        <v>2140</v>
      </c>
      <c r="R1374" s="77">
        <v>1</v>
      </c>
      <c r="S1374" s="77">
        <v>8</v>
      </c>
      <c r="T1374" s="77">
        <v>0</v>
      </c>
      <c r="U1374" s="77">
        <v>1</v>
      </c>
      <c r="V1374" s="77">
        <v>986</v>
      </c>
      <c r="W1374" s="82" t="s">
        <v>4821</v>
      </c>
      <c r="X1374" s="80" t="str">
        <f>HYPERLINK("https://www.valoraanalitik.com/2023/09/04/gremios-piden-pista-para-construir-nuevo-texto-de-la-reforma-a-la-salud/")</f>
        <v>https://www.valoraanalitik.com/2023/09/04/gremios-piden-pista-para-construir-nuevo-texto-de-la-reforma-a-la-salud/</v>
      </c>
      <c r="Y1374" s="77" t="s">
        <v>6471</v>
      </c>
      <c r="Z1374" s="77" t="s">
        <v>6617</v>
      </c>
      <c r="AA1374" s="77"/>
      <c r="AB1374" s="77"/>
      <c r="AC1374" s="82" t="s">
        <v>7750</v>
      </c>
      <c r="AD1374" s="77" t="s">
        <v>7790</v>
      </c>
      <c r="AE1374" s="80" t="str">
        <f>HYPERLINK("https://twitter.com/valoraanalitik/status/1698738203266547809")</f>
        <v>https://twitter.com/valoraanalitik/status/1698738203266547809</v>
      </c>
      <c r="AF1374" s="79">
        <v>45173.695868055554</v>
      </c>
      <c r="AG1374" s="85">
        <v>45173</v>
      </c>
      <c r="AH1374" s="82" t="s">
        <v>8997</v>
      </c>
      <c r="AI1374" s="77" t="b">
        <v>0</v>
      </c>
      <c r="AJ1374" s="77"/>
      <c r="AK1374" s="77"/>
      <c r="AL1374" s="77"/>
      <c r="AM1374" s="77"/>
      <c r="AN1374" s="77"/>
      <c r="AO1374" s="77"/>
      <c r="AP1374" s="77"/>
      <c r="AQ1374" s="77"/>
      <c r="AR1374" s="77"/>
      <c r="AS1374" s="77"/>
      <c r="AT1374" s="77"/>
      <c r="AU1374" s="77"/>
      <c r="AV1374" s="80" t="str">
        <f>HYPERLINK("https://pbs.twimg.com/profile_images/1475155236713029641/7Lb8npQr_normal.jpg")</f>
        <v>https://pbs.twimg.com/profile_images/1475155236713029641/7Lb8npQr_normal.jpg</v>
      </c>
      <c r="AW1374" s="82" t="s">
        <v>13027</v>
      </c>
      <c r="AX1374" s="82" t="s">
        <v>13027</v>
      </c>
      <c r="AY1374" s="77"/>
      <c r="AZ1374" s="82" t="s">
        <v>15984</v>
      </c>
      <c r="BA1374" s="82" t="s">
        <v>15984</v>
      </c>
      <c r="BB1374" s="82" t="s">
        <v>15984</v>
      </c>
      <c r="BC1374" s="82" t="s">
        <v>13027</v>
      </c>
      <c r="BD1374" s="77">
        <v>20980846</v>
      </c>
      <c r="BE1374" s="77"/>
      <c r="BF1374" s="77"/>
      <c r="BG1374" s="77"/>
      <c r="BH1374" s="77"/>
      <c r="BI1374" s="77"/>
    </row>
    <row r="1375" spans="1:61" x14ac:dyDescent="0.25">
      <c r="A1375" s="62" t="s">
        <v>614</v>
      </c>
      <c r="B1375" s="62" t="s">
        <v>872</v>
      </c>
      <c r="C1375" s="63"/>
      <c r="D1375" s="64"/>
      <c r="E1375" s="65"/>
      <c r="F1375" s="66"/>
      <c r="G1375" s="63"/>
      <c r="H1375" s="67"/>
      <c r="I1375" s="68"/>
      <c r="J1375" s="68"/>
      <c r="K1375" s="32"/>
      <c r="L1375" s="75">
        <v>1375</v>
      </c>
      <c r="M1375" s="75"/>
      <c r="N1375" s="70"/>
      <c r="O1375" s="77" t="s">
        <v>895</v>
      </c>
      <c r="P1375" s="79">
        <v>45155.689120370371</v>
      </c>
      <c r="Q1375" s="77" t="s">
        <v>2141</v>
      </c>
      <c r="R1375" s="77">
        <v>5</v>
      </c>
      <c r="S1375" s="77">
        <v>10</v>
      </c>
      <c r="T1375" s="77">
        <v>0</v>
      </c>
      <c r="U1375" s="77">
        <v>0</v>
      </c>
      <c r="V1375" s="77">
        <v>1904</v>
      </c>
      <c r="W1375" s="82" t="s">
        <v>4821</v>
      </c>
      <c r="X1375" s="80" t="str">
        <f>HYPERLINK("https://bit.ly/45b1NHL")</f>
        <v>https://bit.ly/45b1NHL</v>
      </c>
      <c r="Y1375" s="77" t="s">
        <v>6468</v>
      </c>
      <c r="Z1375" s="77" t="s">
        <v>6618</v>
      </c>
      <c r="AA1375" s="77"/>
      <c r="AB1375" s="77"/>
      <c r="AC1375" s="82" t="s">
        <v>7775</v>
      </c>
      <c r="AD1375" s="77" t="s">
        <v>7790</v>
      </c>
      <c r="AE1375" s="80" t="str">
        <f>HYPERLINK("https://twitter.com/valoraanalitik/status/1692212776855384459")</f>
        <v>https://twitter.com/valoraanalitik/status/1692212776855384459</v>
      </c>
      <c r="AF1375" s="79">
        <v>45155.689120370371</v>
      </c>
      <c r="AG1375" s="85">
        <v>45155</v>
      </c>
      <c r="AH1375" s="82" t="s">
        <v>8998</v>
      </c>
      <c r="AI1375" s="77" t="b">
        <v>0</v>
      </c>
      <c r="AJ1375" s="77"/>
      <c r="AK1375" s="77"/>
      <c r="AL1375" s="77"/>
      <c r="AM1375" s="77"/>
      <c r="AN1375" s="77"/>
      <c r="AO1375" s="77"/>
      <c r="AP1375" s="77"/>
      <c r="AQ1375" s="77"/>
      <c r="AR1375" s="77"/>
      <c r="AS1375" s="77"/>
      <c r="AT1375" s="77"/>
      <c r="AU1375" s="77"/>
      <c r="AV1375" s="80" t="str">
        <f>HYPERLINK("https://pbs.twimg.com/profile_images/1475155236713029641/7Lb8npQr_normal.jpg")</f>
        <v>https://pbs.twimg.com/profile_images/1475155236713029641/7Lb8npQr_normal.jpg</v>
      </c>
      <c r="AW1375" s="82" t="s">
        <v>13028</v>
      </c>
      <c r="AX1375" s="82" t="s">
        <v>13028</v>
      </c>
      <c r="AY1375" s="77"/>
      <c r="AZ1375" s="82" t="s">
        <v>15984</v>
      </c>
      <c r="BA1375" s="82" t="s">
        <v>15984</v>
      </c>
      <c r="BB1375" s="82" t="s">
        <v>15984</v>
      </c>
      <c r="BC1375" s="82" t="s">
        <v>13028</v>
      </c>
      <c r="BD1375" s="77">
        <v>20980846</v>
      </c>
      <c r="BE1375" s="77"/>
      <c r="BF1375" s="77"/>
      <c r="BG1375" s="77"/>
      <c r="BH1375" s="77"/>
      <c r="BI1375" s="77"/>
    </row>
    <row r="1376" spans="1:61" x14ac:dyDescent="0.25">
      <c r="A1376" s="62" t="s">
        <v>614</v>
      </c>
      <c r="B1376" s="62" t="s">
        <v>872</v>
      </c>
      <c r="C1376" s="63"/>
      <c r="D1376" s="64"/>
      <c r="E1376" s="65"/>
      <c r="F1376" s="66"/>
      <c r="G1376" s="63"/>
      <c r="H1376" s="67"/>
      <c r="I1376" s="68"/>
      <c r="J1376" s="68"/>
      <c r="K1376" s="32"/>
      <c r="L1376" s="75">
        <v>1376</v>
      </c>
      <c r="M1376" s="75"/>
      <c r="N1376" s="70"/>
      <c r="O1376" s="77" t="s">
        <v>895</v>
      </c>
      <c r="P1376" s="79">
        <v>45159.728530092594</v>
      </c>
      <c r="Q1376" s="77" t="s">
        <v>2142</v>
      </c>
      <c r="R1376" s="77">
        <v>3</v>
      </c>
      <c r="S1376" s="77">
        <v>4</v>
      </c>
      <c r="T1376" s="77">
        <v>0</v>
      </c>
      <c r="U1376" s="77">
        <v>0</v>
      </c>
      <c r="V1376" s="77">
        <v>1206</v>
      </c>
      <c r="W1376" s="82" t="s">
        <v>4821</v>
      </c>
      <c r="X1376" s="80" t="str">
        <f>HYPERLINK("https://bit.ly/44dDQhW")</f>
        <v>https://bit.ly/44dDQhW</v>
      </c>
      <c r="Y1376" s="77" t="s">
        <v>6468</v>
      </c>
      <c r="Z1376" s="77" t="s">
        <v>6619</v>
      </c>
      <c r="AA1376" s="77"/>
      <c r="AB1376" s="77"/>
      <c r="AC1376" s="82" t="s">
        <v>7775</v>
      </c>
      <c r="AD1376" s="77" t="s">
        <v>7790</v>
      </c>
      <c r="AE1376" s="80" t="str">
        <f>HYPERLINK("https://twitter.com/valoraanalitik/status/1693676609402708047")</f>
        <v>https://twitter.com/valoraanalitik/status/1693676609402708047</v>
      </c>
      <c r="AF1376" s="79">
        <v>45159.728530092594</v>
      </c>
      <c r="AG1376" s="85">
        <v>45159</v>
      </c>
      <c r="AH1376" s="82" t="s">
        <v>8999</v>
      </c>
      <c r="AI1376" s="77" t="b">
        <v>0</v>
      </c>
      <c r="AJ1376" s="77"/>
      <c r="AK1376" s="77"/>
      <c r="AL1376" s="77"/>
      <c r="AM1376" s="77"/>
      <c r="AN1376" s="77"/>
      <c r="AO1376" s="77"/>
      <c r="AP1376" s="77"/>
      <c r="AQ1376" s="77"/>
      <c r="AR1376" s="77"/>
      <c r="AS1376" s="77"/>
      <c r="AT1376" s="77"/>
      <c r="AU1376" s="77"/>
      <c r="AV1376" s="80" t="str">
        <f>HYPERLINK("https://pbs.twimg.com/profile_images/1475155236713029641/7Lb8npQr_normal.jpg")</f>
        <v>https://pbs.twimg.com/profile_images/1475155236713029641/7Lb8npQr_normal.jpg</v>
      </c>
      <c r="AW1376" s="82" t="s">
        <v>13029</v>
      </c>
      <c r="AX1376" s="82" t="s">
        <v>13029</v>
      </c>
      <c r="AY1376" s="77"/>
      <c r="AZ1376" s="82" t="s">
        <v>15984</v>
      </c>
      <c r="BA1376" s="82" t="s">
        <v>15984</v>
      </c>
      <c r="BB1376" s="82" t="s">
        <v>15984</v>
      </c>
      <c r="BC1376" s="82" t="s">
        <v>13029</v>
      </c>
      <c r="BD1376" s="77">
        <v>20980846</v>
      </c>
      <c r="BE1376" s="77"/>
      <c r="BF1376" s="77"/>
      <c r="BG1376" s="77"/>
      <c r="BH1376" s="77"/>
      <c r="BI1376" s="77"/>
    </row>
    <row r="1377" spans="1:61" x14ac:dyDescent="0.25">
      <c r="A1377" s="62" t="s">
        <v>614</v>
      </c>
      <c r="B1377" s="62" t="s">
        <v>872</v>
      </c>
      <c r="C1377" s="63"/>
      <c r="D1377" s="64"/>
      <c r="E1377" s="65"/>
      <c r="F1377" s="66"/>
      <c r="G1377" s="63"/>
      <c r="H1377" s="67"/>
      <c r="I1377" s="68"/>
      <c r="J1377" s="68"/>
      <c r="K1377" s="32"/>
      <c r="L1377" s="75">
        <v>1377</v>
      </c>
      <c r="M1377" s="75"/>
      <c r="N1377" s="70"/>
      <c r="O1377" s="77" t="s">
        <v>895</v>
      </c>
      <c r="P1377" s="79">
        <v>45168.62804398148</v>
      </c>
      <c r="Q1377" s="77" t="s">
        <v>2124</v>
      </c>
      <c r="R1377" s="77">
        <v>1</v>
      </c>
      <c r="S1377" s="77">
        <v>4</v>
      </c>
      <c r="T1377" s="77">
        <v>1</v>
      </c>
      <c r="U1377" s="77">
        <v>0</v>
      </c>
      <c r="V1377" s="77">
        <v>853</v>
      </c>
      <c r="W1377" s="82" t="s">
        <v>4821</v>
      </c>
      <c r="X1377" s="80" t="str">
        <f>HYPERLINK("https://www.valoraanalitik.com/2023/08/30/impuestos-empresas-colombia-que-tanto-pesan-en-el-pais/")</f>
        <v>https://www.valoraanalitik.com/2023/08/30/impuestos-empresas-colombia-que-tanto-pesan-en-el-pais/</v>
      </c>
      <c r="Y1377" s="77" t="s">
        <v>6471</v>
      </c>
      <c r="Z1377" s="77" t="s">
        <v>6605</v>
      </c>
      <c r="AA1377" s="77"/>
      <c r="AB1377" s="77"/>
      <c r="AC1377" s="82" t="s">
        <v>7750</v>
      </c>
      <c r="AD1377" s="77" t="s">
        <v>7790</v>
      </c>
      <c r="AE1377" s="80" t="str">
        <f>HYPERLINK("https://twitter.com/valoraanalitik/status/1696901684218221039")</f>
        <v>https://twitter.com/valoraanalitik/status/1696901684218221039</v>
      </c>
      <c r="AF1377" s="79">
        <v>45168.62804398148</v>
      </c>
      <c r="AG1377" s="85">
        <v>45168</v>
      </c>
      <c r="AH1377" s="82" t="s">
        <v>8982</v>
      </c>
      <c r="AI1377" s="77" t="b">
        <v>0</v>
      </c>
      <c r="AJ1377" s="77"/>
      <c r="AK1377" s="77"/>
      <c r="AL1377" s="77"/>
      <c r="AM1377" s="77"/>
      <c r="AN1377" s="77"/>
      <c r="AO1377" s="77"/>
      <c r="AP1377" s="77"/>
      <c r="AQ1377" s="77"/>
      <c r="AR1377" s="77"/>
      <c r="AS1377" s="77"/>
      <c r="AT1377" s="77"/>
      <c r="AU1377" s="77"/>
      <c r="AV1377" s="80" t="str">
        <f>HYPERLINK("https://pbs.twimg.com/profile_images/1475155236713029641/7Lb8npQr_normal.jpg")</f>
        <v>https://pbs.twimg.com/profile_images/1475155236713029641/7Lb8npQr_normal.jpg</v>
      </c>
      <c r="AW1377" s="82" t="s">
        <v>13011</v>
      </c>
      <c r="AX1377" s="82" t="s">
        <v>13011</v>
      </c>
      <c r="AY1377" s="77"/>
      <c r="AZ1377" s="82" t="s">
        <v>15984</v>
      </c>
      <c r="BA1377" s="82" t="s">
        <v>15984</v>
      </c>
      <c r="BB1377" s="82" t="s">
        <v>15984</v>
      </c>
      <c r="BC1377" s="82" t="s">
        <v>13011</v>
      </c>
      <c r="BD1377" s="77">
        <v>20980846</v>
      </c>
      <c r="BE1377" s="77"/>
      <c r="BF1377" s="77"/>
      <c r="BG1377" s="77"/>
      <c r="BH1377" s="77"/>
      <c r="BI1377" s="77"/>
    </row>
    <row r="1378" spans="1:61" x14ac:dyDescent="0.25">
      <c r="A1378" s="62" t="s">
        <v>614</v>
      </c>
      <c r="B1378" s="62" t="s">
        <v>872</v>
      </c>
      <c r="C1378" s="63"/>
      <c r="D1378" s="64"/>
      <c r="E1378" s="65"/>
      <c r="F1378" s="66"/>
      <c r="G1378" s="63"/>
      <c r="H1378" s="67"/>
      <c r="I1378" s="68"/>
      <c r="J1378" s="68"/>
      <c r="K1378" s="32"/>
      <c r="L1378" s="75">
        <v>1378</v>
      </c>
      <c r="M1378" s="75"/>
      <c r="N1378" s="70"/>
      <c r="O1378" s="77" t="s">
        <v>895</v>
      </c>
      <c r="P1378" s="79">
        <v>45173.695868055554</v>
      </c>
      <c r="Q1378" s="77" t="s">
        <v>2140</v>
      </c>
      <c r="R1378" s="77">
        <v>1</v>
      </c>
      <c r="S1378" s="77">
        <v>8</v>
      </c>
      <c r="T1378" s="77">
        <v>0</v>
      </c>
      <c r="U1378" s="77">
        <v>1</v>
      </c>
      <c r="V1378" s="77">
        <v>986</v>
      </c>
      <c r="W1378" s="82" t="s">
        <v>4821</v>
      </c>
      <c r="X1378" s="80" t="str">
        <f>HYPERLINK("https://www.valoraanalitik.com/2023/09/04/gremios-piden-pista-para-construir-nuevo-texto-de-la-reforma-a-la-salud/")</f>
        <v>https://www.valoraanalitik.com/2023/09/04/gremios-piden-pista-para-construir-nuevo-texto-de-la-reforma-a-la-salud/</v>
      </c>
      <c r="Y1378" s="77" t="s">
        <v>6471</v>
      </c>
      <c r="Z1378" s="77" t="s">
        <v>6617</v>
      </c>
      <c r="AA1378" s="77"/>
      <c r="AB1378" s="77"/>
      <c r="AC1378" s="82" t="s">
        <v>7750</v>
      </c>
      <c r="AD1378" s="77" t="s">
        <v>7790</v>
      </c>
      <c r="AE1378" s="80" t="str">
        <f>HYPERLINK("https://twitter.com/valoraanalitik/status/1698738203266547809")</f>
        <v>https://twitter.com/valoraanalitik/status/1698738203266547809</v>
      </c>
      <c r="AF1378" s="79">
        <v>45173.695868055554</v>
      </c>
      <c r="AG1378" s="85">
        <v>45173</v>
      </c>
      <c r="AH1378" s="82" t="s">
        <v>8997</v>
      </c>
      <c r="AI1378" s="77" t="b">
        <v>0</v>
      </c>
      <c r="AJ1378" s="77"/>
      <c r="AK1378" s="77"/>
      <c r="AL1378" s="77"/>
      <c r="AM1378" s="77"/>
      <c r="AN1378" s="77"/>
      <c r="AO1378" s="77"/>
      <c r="AP1378" s="77"/>
      <c r="AQ1378" s="77"/>
      <c r="AR1378" s="77"/>
      <c r="AS1378" s="77"/>
      <c r="AT1378" s="77"/>
      <c r="AU1378" s="77"/>
      <c r="AV1378" s="80" t="str">
        <f>HYPERLINK("https://pbs.twimg.com/profile_images/1475155236713029641/7Lb8npQr_normal.jpg")</f>
        <v>https://pbs.twimg.com/profile_images/1475155236713029641/7Lb8npQr_normal.jpg</v>
      </c>
      <c r="AW1378" s="82" t="s">
        <v>13027</v>
      </c>
      <c r="AX1378" s="82" t="s">
        <v>13027</v>
      </c>
      <c r="AY1378" s="77"/>
      <c r="AZ1378" s="82" t="s">
        <v>15984</v>
      </c>
      <c r="BA1378" s="82" t="s">
        <v>15984</v>
      </c>
      <c r="BB1378" s="82" t="s">
        <v>15984</v>
      </c>
      <c r="BC1378" s="82" t="s">
        <v>13027</v>
      </c>
      <c r="BD1378" s="77">
        <v>20980846</v>
      </c>
      <c r="BE1378" s="77"/>
      <c r="BF1378" s="77"/>
      <c r="BG1378" s="77"/>
      <c r="BH1378" s="77"/>
      <c r="BI1378" s="77"/>
    </row>
    <row r="1379" spans="1:61" x14ac:dyDescent="0.25">
      <c r="A1379" s="62" t="s">
        <v>614</v>
      </c>
      <c r="B1379" s="62" t="s">
        <v>873</v>
      </c>
      <c r="C1379" s="63"/>
      <c r="D1379" s="64"/>
      <c r="E1379" s="65"/>
      <c r="F1379" s="66"/>
      <c r="G1379" s="63"/>
      <c r="H1379" s="67"/>
      <c r="I1379" s="68"/>
      <c r="J1379" s="68"/>
      <c r="K1379" s="32"/>
      <c r="L1379" s="75">
        <v>1379</v>
      </c>
      <c r="M1379" s="75"/>
      <c r="N1379" s="70"/>
      <c r="O1379" s="77" t="s">
        <v>895</v>
      </c>
      <c r="P1379" s="79">
        <v>45124.514386574076</v>
      </c>
      <c r="Q1379" s="77" t="s">
        <v>2143</v>
      </c>
      <c r="R1379" s="77">
        <v>2</v>
      </c>
      <c r="S1379" s="77">
        <v>6</v>
      </c>
      <c r="T1379" s="77">
        <v>0</v>
      </c>
      <c r="U1379" s="77">
        <v>0</v>
      </c>
      <c r="V1379" s="77">
        <v>1551</v>
      </c>
      <c r="W1379" s="82" t="s">
        <v>4821</v>
      </c>
      <c r="X1379" s="80" t="str">
        <f>HYPERLINK("https://www.valoraanalitik.com/2023/07/17/bonilla-respondio-a-camioneros-por-alzas-en-precio-del-acpm/")</f>
        <v>https://www.valoraanalitik.com/2023/07/17/bonilla-respondio-a-camioneros-por-alzas-en-precio-del-acpm/</v>
      </c>
      <c r="Y1379" s="77" t="s">
        <v>6471</v>
      </c>
      <c r="Z1379" s="77" t="s">
        <v>6620</v>
      </c>
      <c r="AA1379" s="77"/>
      <c r="AB1379" s="77"/>
      <c r="AC1379" s="82" t="s">
        <v>7750</v>
      </c>
      <c r="AD1379" s="77" t="s">
        <v>7790</v>
      </c>
      <c r="AE1379" s="80" t="str">
        <f>HYPERLINK("https://twitter.com/valoraanalitik/status/1680915430280396800")</f>
        <v>https://twitter.com/valoraanalitik/status/1680915430280396800</v>
      </c>
      <c r="AF1379" s="79">
        <v>45124.514386574076</v>
      </c>
      <c r="AG1379" s="85">
        <v>45124</v>
      </c>
      <c r="AH1379" s="82" t="s">
        <v>9000</v>
      </c>
      <c r="AI1379" s="77" t="b">
        <v>0</v>
      </c>
      <c r="AJ1379" s="77"/>
      <c r="AK1379" s="77"/>
      <c r="AL1379" s="77"/>
      <c r="AM1379" s="77"/>
      <c r="AN1379" s="77"/>
      <c r="AO1379" s="77"/>
      <c r="AP1379" s="77"/>
      <c r="AQ1379" s="77"/>
      <c r="AR1379" s="77"/>
      <c r="AS1379" s="77"/>
      <c r="AT1379" s="77"/>
      <c r="AU1379" s="77"/>
      <c r="AV1379" s="80" t="str">
        <f>HYPERLINK("https://pbs.twimg.com/profile_images/1475155236713029641/7Lb8npQr_normal.jpg")</f>
        <v>https://pbs.twimg.com/profile_images/1475155236713029641/7Lb8npQr_normal.jpg</v>
      </c>
      <c r="AW1379" s="82" t="s">
        <v>13030</v>
      </c>
      <c r="AX1379" s="82" t="s">
        <v>13030</v>
      </c>
      <c r="AY1379" s="77"/>
      <c r="AZ1379" s="82" t="s">
        <v>15984</v>
      </c>
      <c r="BA1379" s="82" t="s">
        <v>15984</v>
      </c>
      <c r="BB1379" s="82" t="s">
        <v>15984</v>
      </c>
      <c r="BC1379" s="82" t="s">
        <v>13030</v>
      </c>
      <c r="BD1379" s="77">
        <v>20980846</v>
      </c>
      <c r="BE1379" s="77"/>
      <c r="BF1379" s="77"/>
      <c r="BG1379" s="77"/>
      <c r="BH1379" s="77"/>
      <c r="BI1379" s="77"/>
    </row>
    <row r="1380" spans="1:61" x14ac:dyDescent="0.25">
      <c r="A1380" s="62" t="s">
        <v>614</v>
      </c>
      <c r="B1380" s="62" t="s">
        <v>874</v>
      </c>
      <c r="C1380" s="63"/>
      <c r="D1380" s="64"/>
      <c r="E1380" s="65"/>
      <c r="F1380" s="66"/>
      <c r="G1380" s="63"/>
      <c r="H1380" s="67"/>
      <c r="I1380" s="68"/>
      <c r="J1380" s="68"/>
      <c r="K1380" s="32"/>
      <c r="L1380" s="75">
        <v>1380</v>
      </c>
      <c r="M1380" s="75"/>
      <c r="N1380" s="70"/>
      <c r="O1380" s="77" t="s">
        <v>895</v>
      </c>
      <c r="P1380" s="79">
        <v>45131.485138888886</v>
      </c>
      <c r="Q1380" s="77" t="s">
        <v>2097</v>
      </c>
      <c r="R1380" s="77">
        <v>1</v>
      </c>
      <c r="S1380" s="77">
        <v>10</v>
      </c>
      <c r="T1380" s="77">
        <v>0</v>
      </c>
      <c r="U1380" s="77">
        <v>4</v>
      </c>
      <c r="V1380" s="77">
        <v>2263</v>
      </c>
      <c r="W1380" s="82" t="s">
        <v>4821</v>
      </c>
      <c r="X1380" s="80" t="str">
        <f>HYPERLINK("https://www.valoraanalitik.com/2023/07/24/plataformas-digitales-colombia-gobierno-petro-dice-que-paguen-mas-impuestos/")</f>
        <v>https://www.valoraanalitik.com/2023/07/24/plataformas-digitales-colombia-gobierno-petro-dice-que-paguen-mas-impuestos/</v>
      </c>
      <c r="Y1380" s="77" t="s">
        <v>6471</v>
      </c>
      <c r="Z1380" s="77" t="s">
        <v>6593</v>
      </c>
      <c r="AA1380" s="77"/>
      <c r="AB1380" s="77"/>
      <c r="AC1380" s="82" t="s">
        <v>7750</v>
      </c>
      <c r="AD1380" s="77" t="s">
        <v>7790</v>
      </c>
      <c r="AE1380" s="80" t="str">
        <f>HYPERLINK("https://twitter.com/valoraanalitik/status/1683441547797209090")</f>
        <v>https://twitter.com/valoraanalitik/status/1683441547797209090</v>
      </c>
      <c r="AF1380" s="79">
        <v>45131.485138888886</v>
      </c>
      <c r="AG1380" s="85">
        <v>45131</v>
      </c>
      <c r="AH1380" s="82" t="s">
        <v>8955</v>
      </c>
      <c r="AI1380" s="77" t="b">
        <v>0</v>
      </c>
      <c r="AJ1380" s="77"/>
      <c r="AK1380" s="77"/>
      <c r="AL1380" s="77"/>
      <c r="AM1380" s="77"/>
      <c r="AN1380" s="77"/>
      <c r="AO1380" s="77"/>
      <c r="AP1380" s="77"/>
      <c r="AQ1380" s="77"/>
      <c r="AR1380" s="77"/>
      <c r="AS1380" s="77"/>
      <c r="AT1380" s="77"/>
      <c r="AU1380" s="77"/>
      <c r="AV1380" s="80" t="str">
        <f>HYPERLINK("https://pbs.twimg.com/profile_images/1475155236713029641/7Lb8npQr_normal.jpg")</f>
        <v>https://pbs.twimg.com/profile_images/1475155236713029641/7Lb8npQr_normal.jpg</v>
      </c>
      <c r="AW1380" s="82" t="s">
        <v>12984</v>
      </c>
      <c r="AX1380" s="82" t="s">
        <v>12984</v>
      </c>
      <c r="AY1380" s="77"/>
      <c r="AZ1380" s="82" t="s">
        <v>15984</v>
      </c>
      <c r="BA1380" s="82" t="s">
        <v>15984</v>
      </c>
      <c r="BB1380" s="82" t="s">
        <v>15984</v>
      </c>
      <c r="BC1380" s="82" t="s">
        <v>12984</v>
      </c>
      <c r="BD1380" s="77">
        <v>20980846</v>
      </c>
      <c r="BE1380" s="77"/>
      <c r="BF1380" s="77"/>
      <c r="BG1380" s="77"/>
      <c r="BH1380" s="77"/>
      <c r="BI1380" s="77"/>
    </row>
    <row r="1381" spans="1:61" x14ac:dyDescent="0.25">
      <c r="A1381" s="62" t="s">
        <v>614</v>
      </c>
      <c r="B1381" s="62" t="s">
        <v>874</v>
      </c>
      <c r="C1381" s="63"/>
      <c r="D1381" s="64"/>
      <c r="E1381" s="65"/>
      <c r="F1381" s="66"/>
      <c r="G1381" s="63"/>
      <c r="H1381" s="67"/>
      <c r="I1381" s="68"/>
      <c r="J1381" s="68"/>
      <c r="K1381" s="32"/>
      <c r="L1381" s="75">
        <v>1381</v>
      </c>
      <c r="M1381" s="75"/>
      <c r="N1381" s="70"/>
      <c r="O1381" s="77" t="s">
        <v>895</v>
      </c>
      <c r="P1381" s="79">
        <v>45141.741550925923</v>
      </c>
      <c r="Q1381" s="77" t="s">
        <v>2144</v>
      </c>
      <c r="R1381" s="77">
        <v>1</v>
      </c>
      <c r="S1381" s="77">
        <v>4</v>
      </c>
      <c r="T1381" s="77">
        <v>0</v>
      </c>
      <c r="U1381" s="77">
        <v>0</v>
      </c>
      <c r="V1381" s="77">
        <v>913</v>
      </c>
      <c r="W1381" s="82" t="s">
        <v>5542</v>
      </c>
      <c r="X1381" s="80" t="str">
        <f>HYPERLINK("https://bit.ly/3rYJPK8")</f>
        <v>https://bit.ly/3rYJPK8</v>
      </c>
      <c r="Y1381" s="77" t="s">
        <v>6468</v>
      </c>
      <c r="Z1381" s="77" t="s">
        <v>6621</v>
      </c>
      <c r="AA1381" s="77"/>
      <c r="AB1381" s="77"/>
      <c r="AC1381" s="82" t="s">
        <v>7775</v>
      </c>
      <c r="AD1381" s="77" t="s">
        <v>7790</v>
      </c>
      <c r="AE1381" s="80" t="str">
        <f>HYPERLINK("https://twitter.com/valoraanalitik/status/1687158347546443787")</f>
        <v>https://twitter.com/valoraanalitik/status/1687158347546443787</v>
      </c>
      <c r="AF1381" s="79">
        <v>45141.741550925923</v>
      </c>
      <c r="AG1381" s="85">
        <v>45141</v>
      </c>
      <c r="AH1381" s="82" t="s">
        <v>9001</v>
      </c>
      <c r="AI1381" s="77" t="b">
        <v>0</v>
      </c>
      <c r="AJ1381" s="77"/>
      <c r="AK1381" s="77"/>
      <c r="AL1381" s="77"/>
      <c r="AM1381" s="77"/>
      <c r="AN1381" s="77"/>
      <c r="AO1381" s="77"/>
      <c r="AP1381" s="77"/>
      <c r="AQ1381" s="77"/>
      <c r="AR1381" s="77"/>
      <c r="AS1381" s="77"/>
      <c r="AT1381" s="77"/>
      <c r="AU1381" s="77"/>
      <c r="AV1381" s="80" t="str">
        <f>HYPERLINK("https://pbs.twimg.com/profile_images/1475155236713029641/7Lb8npQr_normal.jpg")</f>
        <v>https://pbs.twimg.com/profile_images/1475155236713029641/7Lb8npQr_normal.jpg</v>
      </c>
      <c r="AW1381" s="82" t="s">
        <v>13031</v>
      </c>
      <c r="AX1381" s="82" t="s">
        <v>13031</v>
      </c>
      <c r="AY1381" s="77"/>
      <c r="AZ1381" s="82" t="s">
        <v>15984</v>
      </c>
      <c r="BA1381" s="82" t="s">
        <v>15984</v>
      </c>
      <c r="BB1381" s="82" t="s">
        <v>15984</v>
      </c>
      <c r="BC1381" s="82" t="s">
        <v>13031</v>
      </c>
      <c r="BD1381" s="77">
        <v>20980846</v>
      </c>
      <c r="BE1381" s="77"/>
      <c r="BF1381" s="77"/>
      <c r="BG1381" s="77"/>
      <c r="BH1381" s="77"/>
      <c r="BI1381" s="77"/>
    </row>
    <row r="1382" spans="1:61" x14ac:dyDescent="0.25">
      <c r="A1382" s="62" t="s">
        <v>614</v>
      </c>
      <c r="B1382" s="62" t="s">
        <v>874</v>
      </c>
      <c r="C1382" s="63"/>
      <c r="D1382" s="64"/>
      <c r="E1382" s="65"/>
      <c r="F1382" s="66"/>
      <c r="G1382" s="63"/>
      <c r="H1382" s="67"/>
      <c r="I1382" s="68"/>
      <c r="J1382" s="68"/>
      <c r="K1382" s="32"/>
      <c r="L1382" s="75">
        <v>1382</v>
      </c>
      <c r="M1382" s="75"/>
      <c r="N1382" s="70"/>
      <c r="O1382" s="77" t="s">
        <v>895</v>
      </c>
      <c r="P1382" s="79">
        <v>45122.500011574077</v>
      </c>
      <c r="Q1382" s="77" t="s">
        <v>2145</v>
      </c>
      <c r="R1382" s="77">
        <v>5</v>
      </c>
      <c r="S1382" s="77">
        <v>12</v>
      </c>
      <c r="T1382" s="77">
        <v>4</v>
      </c>
      <c r="U1382" s="77">
        <v>1</v>
      </c>
      <c r="V1382" s="77">
        <v>3446</v>
      </c>
      <c r="W1382" s="82" t="s">
        <v>4821</v>
      </c>
      <c r="X1382" s="80" t="str">
        <f>HYPERLINK("https://www.valoraanalitik.com/2023/07/15/que-se-pone-barato-con-un-dolar-a-4000-en-colombia")</f>
        <v>https://www.valoraanalitik.com/2023/07/15/que-se-pone-barato-con-un-dolar-a-4000-en-colombia</v>
      </c>
      <c r="Y1382" s="77" t="s">
        <v>6471</v>
      </c>
      <c r="Z1382" s="77" t="s">
        <v>6622</v>
      </c>
      <c r="AA1382" s="77"/>
      <c r="AB1382" s="77"/>
      <c r="AC1382" s="82" t="s">
        <v>7750</v>
      </c>
      <c r="AD1382" s="77" t="s">
        <v>7790</v>
      </c>
      <c r="AE1382" s="80" t="str">
        <f>HYPERLINK("https://twitter.com/valoraanalitik/status/1680185447656587265")</f>
        <v>https://twitter.com/valoraanalitik/status/1680185447656587265</v>
      </c>
      <c r="AF1382" s="79">
        <v>45122.500011574077</v>
      </c>
      <c r="AG1382" s="85">
        <v>45122</v>
      </c>
      <c r="AH1382" s="82" t="s">
        <v>9002</v>
      </c>
      <c r="AI1382" s="77" t="b">
        <v>0</v>
      </c>
      <c r="AJ1382" s="77"/>
      <c r="AK1382" s="77"/>
      <c r="AL1382" s="77"/>
      <c r="AM1382" s="77"/>
      <c r="AN1382" s="77"/>
      <c r="AO1382" s="77"/>
      <c r="AP1382" s="77"/>
      <c r="AQ1382" s="77"/>
      <c r="AR1382" s="77"/>
      <c r="AS1382" s="77"/>
      <c r="AT1382" s="77"/>
      <c r="AU1382" s="77"/>
      <c r="AV1382" s="80" t="str">
        <f>HYPERLINK("https://pbs.twimg.com/profile_images/1475155236713029641/7Lb8npQr_normal.jpg")</f>
        <v>https://pbs.twimg.com/profile_images/1475155236713029641/7Lb8npQr_normal.jpg</v>
      </c>
      <c r="AW1382" s="82" t="s">
        <v>13032</v>
      </c>
      <c r="AX1382" s="82" t="s">
        <v>13032</v>
      </c>
      <c r="AY1382" s="77"/>
      <c r="AZ1382" s="82" t="s">
        <v>15984</v>
      </c>
      <c r="BA1382" s="82" t="s">
        <v>15984</v>
      </c>
      <c r="BB1382" s="82" t="s">
        <v>15984</v>
      </c>
      <c r="BC1382" s="82" t="s">
        <v>13032</v>
      </c>
      <c r="BD1382" s="77">
        <v>20980846</v>
      </c>
      <c r="BE1382" s="77"/>
      <c r="BF1382" s="77"/>
      <c r="BG1382" s="77"/>
      <c r="BH1382" s="77"/>
      <c r="BI1382" s="77"/>
    </row>
    <row r="1383" spans="1:61" x14ac:dyDescent="0.25">
      <c r="A1383" s="62" t="s">
        <v>614</v>
      </c>
      <c r="B1383" s="62" t="s">
        <v>874</v>
      </c>
      <c r="C1383" s="63"/>
      <c r="D1383" s="64"/>
      <c r="E1383" s="65"/>
      <c r="F1383" s="66"/>
      <c r="G1383" s="63"/>
      <c r="H1383" s="67"/>
      <c r="I1383" s="68"/>
      <c r="J1383" s="68"/>
      <c r="K1383" s="32"/>
      <c r="L1383" s="75">
        <v>1383</v>
      </c>
      <c r="M1383" s="75"/>
      <c r="N1383" s="70"/>
      <c r="O1383" s="77" t="s">
        <v>895</v>
      </c>
      <c r="P1383" s="79">
        <v>45119.70103009259</v>
      </c>
      <c r="Q1383" s="77" t="s">
        <v>2146</v>
      </c>
      <c r="R1383" s="77">
        <v>1</v>
      </c>
      <c r="S1383" s="77">
        <v>0</v>
      </c>
      <c r="T1383" s="77">
        <v>0</v>
      </c>
      <c r="U1383" s="77">
        <v>0</v>
      </c>
      <c r="V1383" s="77">
        <v>790</v>
      </c>
      <c r="W1383" s="82" t="s">
        <v>4821</v>
      </c>
      <c r="X1383" s="80" t="str">
        <f>HYPERLINK("https://bit.ly/3JWIt8C")</f>
        <v>https://bit.ly/3JWIt8C</v>
      </c>
      <c r="Y1383" s="77" t="s">
        <v>6468</v>
      </c>
      <c r="Z1383" s="77" t="s">
        <v>6621</v>
      </c>
      <c r="AA1383" s="77"/>
      <c r="AB1383" s="77"/>
      <c r="AC1383" s="82" t="s">
        <v>7775</v>
      </c>
      <c r="AD1383" s="77" t="s">
        <v>7790</v>
      </c>
      <c r="AE1383" s="80" t="str">
        <f>HYPERLINK("https://twitter.com/valoraanalitik/status/1679171129125093387")</f>
        <v>https://twitter.com/valoraanalitik/status/1679171129125093387</v>
      </c>
      <c r="AF1383" s="79">
        <v>45119.70103009259</v>
      </c>
      <c r="AG1383" s="85">
        <v>45119</v>
      </c>
      <c r="AH1383" s="82" t="s">
        <v>9003</v>
      </c>
      <c r="AI1383" s="77" t="b">
        <v>0</v>
      </c>
      <c r="AJ1383" s="77"/>
      <c r="AK1383" s="77"/>
      <c r="AL1383" s="77"/>
      <c r="AM1383" s="77"/>
      <c r="AN1383" s="77"/>
      <c r="AO1383" s="77"/>
      <c r="AP1383" s="77"/>
      <c r="AQ1383" s="77"/>
      <c r="AR1383" s="77"/>
      <c r="AS1383" s="77"/>
      <c r="AT1383" s="77"/>
      <c r="AU1383" s="77"/>
      <c r="AV1383" s="80" t="str">
        <f>HYPERLINK("https://pbs.twimg.com/profile_images/1475155236713029641/7Lb8npQr_normal.jpg")</f>
        <v>https://pbs.twimg.com/profile_images/1475155236713029641/7Lb8npQr_normal.jpg</v>
      </c>
      <c r="AW1383" s="82" t="s">
        <v>13033</v>
      </c>
      <c r="AX1383" s="82" t="s">
        <v>13033</v>
      </c>
      <c r="AY1383" s="77"/>
      <c r="AZ1383" s="82" t="s">
        <v>15984</v>
      </c>
      <c r="BA1383" s="82" t="s">
        <v>15984</v>
      </c>
      <c r="BB1383" s="82" t="s">
        <v>15984</v>
      </c>
      <c r="BC1383" s="82" t="s">
        <v>13033</v>
      </c>
      <c r="BD1383" s="77">
        <v>20980846</v>
      </c>
      <c r="BE1383" s="77"/>
      <c r="BF1383" s="77"/>
      <c r="BG1383" s="77"/>
      <c r="BH1383" s="77"/>
      <c r="BI1383" s="77"/>
    </row>
    <row r="1384" spans="1:61" x14ac:dyDescent="0.25">
      <c r="A1384" s="62" t="s">
        <v>614</v>
      </c>
      <c r="B1384" s="62" t="s">
        <v>874</v>
      </c>
      <c r="C1384" s="63"/>
      <c r="D1384" s="64"/>
      <c r="E1384" s="65"/>
      <c r="F1384" s="66"/>
      <c r="G1384" s="63"/>
      <c r="H1384" s="67"/>
      <c r="I1384" s="68"/>
      <c r="J1384" s="68"/>
      <c r="K1384" s="32"/>
      <c r="L1384" s="75">
        <v>1384</v>
      </c>
      <c r="M1384" s="75"/>
      <c r="N1384" s="70"/>
      <c r="O1384" s="77" t="s">
        <v>895</v>
      </c>
      <c r="P1384" s="79">
        <v>45138.5234837963</v>
      </c>
      <c r="Q1384" s="77" t="s">
        <v>2147</v>
      </c>
      <c r="R1384" s="77">
        <v>1</v>
      </c>
      <c r="S1384" s="77">
        <v>4</v>
      </c>
      <c r="T1384" s="77">
        <v>0</v>
      </c>
      <c r="U1384" s="77">
        <v>0</v>
      </c>
      <c r="V1384" s="77">
        <v>937</v>
      </c>
      <c r="W1384" s="82" t="s">
        <v>4821</v>
      </c>
      <c r="X1384" s="80" t="str">
        <f>HYPERLINK("https://bit.ly/3rPNFoN")</f>
        <v>https://bit.ly/3rPNFoN</v>
      </c>
      <c r="Y1384" s="77" t="s">
        <v>6468</v>
      </c>
      <c r="Z1384" s="77" t="s">
        <v>6621</v>
      </c>
      <c r="AA1384" s="77"/>
      <c r="AB1384" s="77"/>
      <c r="AC1384" s="82" t="s">
        <v>7775</v>
      </c>
      <c r="AD1384" s="77" t="s">
        <v>7790</v>
      </c>
      <c r="AE1384" s="80" t="str">
        <f>HYPERLINK("https://twitter.com/valoraanalitik/status/1685992159327961089")</f>
        <v>https://twitter.com/valoraanalitik/status/1685992159327961089</v>
      </c>
      <c r="AF1384" s="79">
        <v>45138.5234837963</v>
      </c>
      <c r="AG1384" s="85">
        <v>45138</v>
      </c>
      <c r="AH1384" s="82" t="s">
        <v>9004</v>
      </c>
      <c r="AI1384" s="77" t="b">
        <v>0</v>
      </c>
      <c r="AJ1384" s="77"/>
      <c r="AK1384" s="77"/>
      <c r="AL1384" s="77"/>
      <c r="AM1384" s="77"/>
      <c r="AN1384" s="77"/>
      <c r="AO1384" s="77"/>
      <c r="AP1384" s="77"/>
      <c r="AQ1384" s="77"/>
      <c r="AR1384" s="77"/>
      <c r="AS1384" s="77"/>
      <c r="AT1384" s="77"/>
      <c r="AU1384" s="77"/>
      <c r="AV1384" s="80" t="str">
        <f>HYPERLINK("https://pbs.twimg.com/profile_images/1475155236713029641/7Lb8npQr_normal.jpg")</f>
        <v>https://pbs.twimg.com/profile_images/1475155236713029641/7Lb8npQr_normal.jpg</v>
      </c>
      <c r="AW1384" s="82" t="s">
        <v>13034</v>
      </c>
      <c r="AX1384" s="82" t="s">
        <v>13034</v>
      </c>
      <c r="AY1384" s="77"/>
      <c r="AZ1384" s="82" t="s">
        <v>15984</v>
      </c>
      <c r="BA1384" s="82" t="s">
        <v>15984</v>
      </c>
      <c r="BB1384" s="82" t="s">
        <v>15984</v>
      </c>
      <c r="BC1384" s="82" t="s">
        <v>13034</v>
      </c>
      <c r="BD1384" s="77">
        <v>20980846</v>
      </c>
      <c r="BE1384" s="77"/>
      <c r="BF1384" s="77"/>
      <c r="BG1384" s="77"/>
      <c r="BH1384" s="77"/>
      <c r="BI1384" s="77"/>
    </row>
    <row r="1385" spans="1:61" x14ac:dyDescent="0.25">
      <c r="A1385" s="62" t="s">
        <v>614</v>
      </c>
      <c r="B1385" s="62" t="s">
        <v>874</v>
      </c>
      <c r="C1385" s="63"/>
      <c r="D1385" s="64"/>
      <c r="E1385" s="65"/>
      <c r="F1385" s="66"/>
      <c r="G1385" s="63"/>
      <c r="H1385" s="67"/>
      <c r="I1385" s="68"/>
      <c r="J1385" s="68"/>
      <c r="K1385" s="32"/>
      <c r="L1385" s="75">
        <v>1385</v>
      </c>
      <c r="M1385" s="75"/>
      <c r="N1385" s="70"/>
      <c r="O1385" s="77" t="s">
        <v>895</v>
      </c>
      <c r="P1385" s="79">
        <v>45155.73170138889</v>
      </c>
      <c r="Q1385" s="77" t="s">
        <v>2148</v>
      </c>
      <c r="R1385" s="77">
        <v>1</v>
      </c>
      <c r="S1385" s="77">
        <v>3</v>
      </c>
      <c r="T1385" s="77">
        <v>0</v>
      </c>
      <c r="U1385" s="77">
        <v>0</v>
      </c>
      <c r="V1385" s="77">
        <v>1221</v>
      </c>
      <c r="W1385" s="82" t="s">
        <v>5543</v>
      </c>
      <c r="X1385" s="80" t="str">
        <f>HYPERLINK("https://bit.ly/45exfoA")</f>
        <v>https://bit.ly/45exfoA</v>
      </c>
      <c r="Y1385" s="77" t="s">
        <v>6468</v>
      </c>
      <c r="Z1385" s="77" t="s">
        <v>6621</v>
      </c>
      <c r="AA1385" s="77"/>
      <c r="AB1385" s="77"/>
      <c r="AC1385" s="82" t="s">
        <v>7775</v>
      </c>
      <c r="AD1385" s="77" t="s">
        <v>7790</v>
      </c>
      <c r="AE1385" s="80" t="str">
        <f>HYPERLINK("https://twitter.com/valoraanalitik/status/1692228208131789189")</f>
        <v>https://twitter.com/valoraanalitik/status/1692228208131789189</v>
      </c>
      <c r="AF1385" s="79">
        <v>45155.73170138889</v>
      </c>
      <c r="AG1385" s="85">
        <v>45155</v>
      </c>
      <c r="AH1385" s="82" t="s">
        <v>9005</v>
      </c>
      <c r="AI1385" s="77" t="b">
        <v>0</v>
      </c>
      <c r="AJ1385" s="77"/>
      <c r="AK1385" s="77"/>
      <c r="AL1385" s="77"/>
      <c r="AM1385" s="77"/>
      <c r="AN1385" s="77"/>
      <c r="AO1385" s="77"/>
      <c r="AP1385" s="77"/>
      <c r="AQ1385" s="77"/>
      <c r="AR1385" s="77"/>
      <c r="AS1385" s="77"/>
      <c r="AT1385" s="77"/>
      <c r="AU1385" s="77"/>
      <c r="AV1385" s="80" t="str">
        <f>HYPERLINK("https://pbs.twimg.com/profile_images/1475155236713029641/7Lb8npQr_normal.jpg")</f>
        <v>https://pbs.twimg.com/profile_images/1475155236713029641/7Lb8npQr_normal.jpg</v>
      </c>
      <c r="AW1385" s="82" t="s">
        <v>13035</v>
      </c>
      <c r="AX1385" s="82" t="s">
        <v>13035</v>
      </c>
      <c r="AY1385" s="77"/>
      <c r="AZ1385" s="82" t="s">
        <v>15984</v>
      </c>
      <c r="BA1385" s="82" t="s">
        <v>15984</v>
      </c>
      <c r="BB1385" s="82" t="s">
        <v>15984</v>
      </c>
      <c r="BC1385" s="82" t="s">
        <v>13035</v>
      </c>
      <c r="BD1385" s="77">
        <v>20980846</v>
      </c>
      <c r="BE1385" s="77"/>
      <c r="BF1385" s="77"/>
      <c r="BG1385" s="77"/>
      <c r="BH1385" s="77"/>
      <c r="BI1385" s="77"/>
    </row>
    <row r="1386" spans="1:61" x14ac:dyDescent="0.25">
      <c r="A1386" s="62" t="s">
        <v>614</v>
      </c>
      <c r="B1386" s="62" t="s">
        <v>874</v>
      </c>
      <c r="C1386" s="63"/>
      <c r="D1386" s="64"/>
      <c r="E1386" s="65"/>
      <c r="F1386" s="66"/>
      <c r="G1386" s="63"/>
      <c r="H1386" s="67"/>
      <c r="I1386" s="68"/>
      <c r="J1386" s="68"/>
      <c r="K1386" s="32"/>
      <c r="L1386" s="75">
        <v>1386</v>
      </c>
      <c r="M1386" s="75"/>
      <c r="N1386" s="70"/>
      <c r="O1386" s="77" t="s">
        <v>895</v>
      </c>
      <c r="P1386" s="79">
        <v>45144.555555555555</v>
      </c>
      <c r="Q1386" s="77" t="s">
        <v>2149</v>
      </c>
      <c r="R1386" s="77">
        <v>8</v>
      </c>
      <c r="S1386" s="77">
        <v>8</v>
      </c>
      <c r="T1386" s="77">
        <v>0</v>
      </c>
      <c r="U1386" s="77">
        <v>0</v>
      </c>
      <c r="V1386" s="77">
        <v>1574</v>
      </c>
      <c r="W1386" s="82" t="s">
        <v>4821</v>
      </c>
      <c r="X1386" s="80" t="str">
        <f>HYPERLINK("https://www.valoraanalitik.com/2023/08/06/dolar-colombia-en-gobierno-petro-asi-le-ha-ido-en-el-primer-ano")</f>
        <v>https://www.valoraanalitik.com/2023/08/06/dolar-colombia-en-gobierno-petro-asi-le-ha-ido-en-el-primer-ano</v>
      </c>
      <c r="Y1386" s="77" t="s">
        <v>6471</v>
      </c>
      <c r="Z1386" s="77" t="s">
        <v>6623</v>
      </c>
      <c r="AA1386" s="77"/>
      <c r="AB1386" s="77"/>
      <c r="AC1386" s="82" t="s">
        <v>7750</v>
      </c>
      <c r="AD1386" s="77" t="s">
        <v>7790</v>
      </c>
      <c r="AE1386" s="80" t="str">
        <f>HYPERLINK("https://twitter.com/valoraanalitik/status/1688178107046313984")</f>
        <v>https://twitter.com/valoraanalitik/status/1688178107046313984</v>
      </c>
      <c r="AF1386" s="79">
        <v>45144.555555555555</v>
      </c>
      <c r="AG1386" s="85">
        <v>45144</v>
      </c>
      <c r="AH1386" s="82" t="s">
        <v>7864</v>
      </c>
      <c r="AI1386" s="77" t="b">
        <v>0</v>
      </c>
      <c r="AJ1386" s="77"/>
      <c r="AK1386" s="77"/>
      <c r="AL1386" s="77"/>
      <c r="AM1386" s="77"/>
      <c r="AN1386" s="77"/>
      <c r="AO1386" s="77"/>
      <c r="AP1386" s="77"/>
      <c r="AQ1386" s="77"/>
      <c r="AR1386" s="77"/>
      <c r="AS1386" s="77"/>
      <c r="AT1386" s="77"/>
      <c r="AU1386" s="77"/>
      <c r="AV1386" s="80" t="str">
        <f>HYPERLINK("https://pbs.twimg.com/profile_images/1475155236713029641/7Lb8npQr_normal.jpg")</f>
        <v>https://pbs.twimg.com/profile_images/1475155236713029641/7Lb8npQr_normal.jpg</v>
      </c>
      <c r="AW1386" s="82" t="s">
        <v>13036</v>
      </c>
      <c r="AX1386" s="82" t="s">
        <v>13036</v>
      </c>
      <c r="AY1386" s="77"/>
      <c r="AZ1386" s="82" t="s">
        <v>15984</v>
      </c>
      <c r="BA1386" s="82" t="s">
        <v>15984</v>
      </c>
      <c r="BB1386" s="82" t="s">
        <v>15984</v>
      </c>
      <c r="BC1386" s="82" t="s">
        <v>13036</v>
      </c>
      <c r="BD1386" s="77">
        <v>20980846</v>
      </c>
      <c r="BE1386" s="77"/>
      <c r="BF1386" s="77"/>
      <c r="BG1386" s="77"/>
      <c r="BH1386" s="77"/>
      <c r="BI1386" s="77"/>
    </row>
    <row r="1387" spans="1:61" x14ac:dyDescent="0.25">
      <c r="A1387" s="62" t="s">
        <v>614</v>
      </c>
      <c r="B1387" s="62" t="s">
        <v>874</v>
      </c>
      <c r="C1387" s="63"/>
      <c r="D1387" s="64"/>
      <c r="E1387" s="65"/>
      <c r="F1387" s="66"/>
      <c r="G1387" s="63"/>
      <c r="H1387" s="67"/>
      <c r="I1387" s="68"/>
      <c r="J1387" s="68"/>
      <c r="K1387" s="32"/>
      <c r="L1387" s="75">
        <v>1387</v>
      </c>
      <c r="M1387" s="75"/>
      <c r="N1387" s="70"/>
      <c r="O1387" s="77" t="s">
        <v>895</v>
      </c>
      <c r="P1387" s="79">
        <v>45155.689120370371</v>
      </c>
      <c r="Q1387" s="77" t="s">
        <v>2141</v>
      </c>
      <c r="R1387" s="77">
        <v>5</v>
      </c>
      <c r="S1387" s="77">
        <v>10</v>
      </c>
      <c r="T1387" s="77">
        <v>0</v>
      </c>
      <c r="U1387" s="77">
        <v>0</v>
      </c>
      <c r="V1387" s="77">
        <v>1904</v>
      </c>
      <c r="W1387" s="82" t="s">
        <v>4821</v>
      </c>
      <c r="X1387" s="80" t="str">
        <f>HYPERLINK("https://bit.ly/45b1NHL")</f>
        <v>https://bit.ly/45b1NHL</v>
      </c>
      <c r="Y1387" s="77" t="s">
        <v>6468</v>
      </c>
      <c r="Z1387" s="77" t="s">
        <v>6618</v>
      </c>
      <c r="AA1387" s="77"/>
      <c r="AB1387" s="77"/>
      <c r="AC1387" s="82" t="s">
        <v>7775</v>
      </c>
      <c r="AD1387" s="77" t="s">
        <v>7790</v>
      </c>
      <c r="AE1387" s="80" t="str">
        <f>HYPERLINK("https://twitter.com/valoraanalitik/status/1692212776855384459")</f>
        <v>https://twitter.com/valoraanalitik/status/1692212776855384459</v>
      </c>
      <c r="AF1387" s="79">
        <v>45155.689120370371</v>
      </c>
      <c r="AG1387" s="85">
        <v>45155</v>
      </c>
      <c r="AH1387" s="82" t="s">
        <v>8998</v>
      </c>
      <c r="AI1387" s="77" t="b">
        <v>0</v>
      </c>
      <c r="AJ1387" s="77"/>
      <c r="AK1387" s="77"/>
      <c r="AL1387" s="77"/>
      <c r="AM1387" s="77"/>
      <c r="AN1387" s="77"/>
      <c r="AO1387" s="77"/>
      <c r="AP1387" s="77"/>
      <c r="AQ1387" s="77"/>
      <c r="AR1387" s="77"/>
      <c r="AS1387" s="77"/>
      <c r="AT1387" s="77"/>
      <c r="AU1387" s="77"/>
      <c r="AV1387" s="80" t="str">
        <f>HYPERLINK("https://pbs.twimg.com/profile_images/1475155236713029641/7Lb8npQr_normal.jpg")</f>
        <v>https://pbs.twimg.com/profile_images/1475155236713029641/7Lb8npQr_normal.jpg</v>
      </c>
      <c r="AW1387" s="82" t="s">
        <v>13028</v>
      </c>
      <c r="AX1387" s="82" t="s">
        <v>13028</v>
      </c>
      <c r="AY1387" s="77"/>
      <c r="AZ1387" s="82" t="s">
        <v>15984</v>
      </c>
      <c r="BA1387" s="82" t="s">
        <v>15984</v>
      </c>
      <c r="BB1387" s="82" t="s">
        <v>15984</v>
      </c>
      <c r="BC1387" s="82" t="s">
        <v>13028</v>
      </c>
      <c r="BD1387" s="77">
        <v>20980846</v>
      </c>
      <c r="BE1387" s="77"/>
      <c r="BF1387" s="77"/>
      <c r="BG1387" s="77"/>
      <c r="BH1387" s="77"/>
      <c r="BI1387" s="77"/>
    </row>
    <row r="1388" spans="1:61" x14ac:dyDescent="0.25">
      <c r="A1388" s="62" t="s">
        <v>614</v>
      </c>
      <c r="B1388" s="62" t="s">
        <v>874</v>
      </c>
      <c r="C1388" s="63"/>
      <c r="D1388" s="64"/>
      <c r="E1388" s="65"/>
      <c r="F1388" s="66"/>
      <c r="G1388" s="63"/>
      <c r="H1388" s="67"/>
      <c r="I1388" s="68"/>
      <c r="J1388" s="68"/>
      <c r="K1388" s="32"/>
      <c r="L1388" s="75">
        <v>1388</v>
      </c>
      <c r="M1388" s="75"/>
      <c r="N1388" s="70"/>
      <c r="O1388" s="77" t="s">
        <v>895</v>
      </c>
      <c r="P1388" s="79">
        <v>45159.728530092594</v>
      </c>
      <c r="Q1388" s="77" t="s">
        <v>2142</v>
      </c>
      <c r="R1388" s="77">
        <v>3</v>
      </c>
      <c r="S1388" s="77">
        <v>4</v>
      </c>
      <c r="T1388" s="77">
        <v>0</v>
      </c>
      <c r="U1388" s="77">
        <v>0</v>
      </c>
      <c r="V1388" s="77">
        <v>1206</v>
      </c>
      <c r="W1388" s="82" t="s">
        <v>4821</v>
      </c>
      <c r="X1388" s="80" t="str">
        <f>HYPERLINK("https://bit.ly/44dDQhW")</f>
        <v>https://bit.ly/44dDQhW</v>
      </c>
      <c r="Y1388" s="77" t="s">
        <v>6468</v>
      </c>
      <c r="Z1388" s="77" t="s">
        <v>6619</v>
      </c>
      <c r="AA1388" s="77"/>
      <c r="AB1388" s="77"/>
      <c r="AC1388" s="82" t="s">
        <v>7775</v>
      </c>
      <c r="AD1388" s="77" t="s">
        <v>7790</v>
      </c>
      <c r="AE1388" s="80" t="str">
        <f>HYPERLINK("https://twitter.com/valoraanalitik/status/1693676609402708047")</f>
        <v>https://twitter.com/valoraanalitik/status/1693676609402708047</v>
      </c>
      <c r="AF1388" s="79">
        <v>45159.728530092594</v>
      </c>
      <c r="AG1388" s="85">
        <v>45159</v>
      </c>
      <c r="AH1388" s="82" t="s">
        <v>8999</v>
      </c>
      <c r="AI1388" s="77" t="b">
        <v>0</v>
      </c>
      <c r="AJ1388" s="77"/>
      <c r="AK1388" s="77"/>
      <c r="AL1388" s="77"/>
      <c r="AM1388" s="77"/>
      <c r="AN1388" s="77"/>
      <c r="AO1388" s="77"/>
      <c r="AP1388" s="77"/>
      <c r="AQ1388" s="77"/>
      <c r="AR1388" s="77"/>
      <c r="AS1388" s="77"/>
      <c r="AT1388" s="77"/>
      <c r="AU1388" s="77"/>
      <c r="AV1388" s="80" t="str">
        <f>HYPERLINK("https://pbs.twimg.com/profile_images/1475155236713029641/7Lb8npQr_normal.jpg")</f>
        <v>https://pbs.twimg.com/profile_images/1475155236713029641/7Lb8npQr_normal.jpg</v>
      </c>
      <c r="AW1388" s="82" t="s">
        <v>13029</v>
      </c>
      <c r="AX1388" s="82" t="s">
        <v>13029</v>
      </c>
      <c r="AY1388" s="77"/>
      <c r="AZ1388" s="82" t="s">
        <v>15984</v>
      </c>
      <c r="BA1388" s="82" t="s">
        <v>15984</v>
      </c>
      <c r="BB1388" s="82" t="s">
        <v>15984</v>
      </c>
      <c r="BC1388" s="82" t="s">
        <v>13029</v>
      </c>
      <c r="BD1388" s="77">
        <v>20980846</v>
      </c>
      <c r="BE1388" s="77"/>
      <c r="BF1388" s="77"/>
      <c r="BG1388" s="77"/>
      <c r="BH1388" s="77"/>
      <c r="BI1388" s="77"/>
    </row>
    <row r="1389" spans="1:61" x14ac:dyDescent="0.25">
      <c r="A1389" s="62" t="s">
        <v>614</v>
      </c>
      <c r="B1389" s="62" t="s">
        <v>874</v>
      </c>
      <c r="C1389" s="63"/>
      <c r="D1389" s="64"/>
      <c r="E1389" s="65"/>
      <c r="F1389" s="66"/>
      <c r="G1389" s="63"/>
      <c r="H1389" s="67"/>
      <c r="I1389" s="68"/>
      <c r="J1389" s="68"/>
      <c r="K1389" s="32"/>
      <c r="L1389" s="75">
        <v>1389</v>
      </c>
      <c r="M1389" s="75"/>
      <c r="N1389" s="70"/>
      <c r="O1389" s="77" t="s">
        <v>895</v>
      </c>
      <c r="P1389" s="79">
        <v>45121.949675925927</v>
      </c>
      <c r="Q1389" s="77" t="s">
        <v>2150</v>
      </c>
      <c r="R1389" s="77">
        <v>5</v>
      </c>
      <c r="S1389" s="77">
        <v>15</v>
      </c>
      <c r="T1389" s="77">
        <v>0</v>
      </c>
      <c r="U1389" s="77">
        <v>0</v>
      </c>
      <c r="V1389" s="77">
        <v>2464</v>
      </c>
      <c r="W1389" s="82" t="s">
        <v>4821</v>
      </c>
      <c r="X1389" s="80" t="str">
        <f>HYPERLINK("https://www.valoraanalitik.com/2023/07/14/grupo-bicentenario-sera-el-banco-publico-de-colombia/")</f>
        <v>https://www.valoraanalitik.com/2023/07/14/grupo-bicentenario-sera-el-banco-publico-de-colombia/</v>
      </c>
      <c r="Y1389" s="77" t="s">
        <v>6471</v>
      </c>
      <c r="Z1389" s="77" t="s">
        <v>6621</v>
      </c>
      <c r="AA1389" s="77"/>
      <c r="AB1389" s="77"/>
      <c r="AC1389" s="82" t="s">
        <v>7750</v>
      </c>
      <c r="AD1389" s="77" t="s">
        <v>7790</v>
      </c>
      <c r="AE1389" s="80" t="str">
        <f>HYPERLINK("https://twitter.com/valoraanalitik/status/1679986012838043648")</f>
        <v>https://twitter.com/valoraanalitik/status/1679986012838043648</v>
      </c>
      <c r="AF1389" s="79">
        <v>45121.949675925927</v>
      </c>
      <c r="AG1389" s="85">
        <v>45121</v>
      </c>
      <c r="AH1389" s="82" t="s">
        <v>9006</v>
      </c>
      <c r="AI1389" s="77" t="b">
        <v>0</v>
      </c>
      <c r="AJ1389" s="77"/>
      <c r="AK1389" s="77"/>
      <c r="AL1389" s="77"/>
      <c r="AM1389" s="77"/>
      <c r="AN1389" s="77"/>
      <c r="AO1389" s="77"/>
      <c r="AP1389" s="77"/>
      <c r="AQ1389" s="77"/>
      <c r="AR1389" s="77"/>
      <c r="AS1389" s="77"/>
      <c r="AT1389" s="77"/>
      <c r="AU1389" s="77"/>
      <c r="AV1389" s="80" t="str">
        <f>HYPERLINK("https://pbs.twimg.com/profile_images/1475155236713029641/7Lb8npQr_normal.jpg")</f>
        <v>https://pbs.twimg.com/profile_images/1475155236713029641/7Lb8npQr_normal.jpg</v>
      </c>
      <c r="AW1389" s="82" t="s">
        <v>13037</v>
      </c>
      <c r="AX1389" s="82" t="s">
        <v>13037</v>
      </c>
      <c r="AY1389" s="77"/>
      <c r="AZ1389" s="82" t="s">
        <v>15984</v>
      </c>
      <c r="BA1389" s="82" t="s">
        <v>15984</v>
      </c>
      <c r="BB1389" s="82" t="s">
        <v>15984</v>
      </c>
      <c r="BC1389" s="82" t="s">
        <v>13037</v>
      </c>
      <c r="BD1389" s="77">
        <v>20980846</v>
      </c>
      <c r="BE1389" s="77"/>
      <c r="BF1389" s="77"/>
      <c r="BG1389" s="77"/>
      <c r="BH1389" s="77"/>
      <c r="BI1389" s="77"/>
    </row>
    <row r="1390" spans="1:61" x14ac:dyDescent="0.25">
      <c r="A1390" s="62" t="s">
        <v>614</v>
      </c>
      <c r="B1390" s="62" t="s">
        <v>874</v>
      </c>
      <c r="C1390" s="63"/>
      <c r="D1390" s="64"/>
      <c r="E1390" s="65"/>
      <c r="F1390" s="66"/>
      <c r="G1390" s="63"/>
      <c r="H1390" s="67"/>
      <c r="I1390" s="68"/>
      <c r="J1390" s="68"/>
      <c r="K1390" s="32"/>
      <c r="L1390" s="75">
        <v>1390</v>
      </c>
      <c r="M1390" s="75"/>
      <c r="N1390" s="70"/>
      <c r="O1390" s="77" t="s">
        <v>895</v>
      </c>
      <c r="P1390" s="79">
        <v>45134.918194444443</v>
      </c>
      <c r="Q1390" s="77" t="s">
        <v>2151</v>
      </c>
      <c r="R1390" s="77">
        <v>4</v>
      </c>
      <c r="S1390" s="77">
        <v>7</v>
      </c>
      <c r="T1390" s="77">
        <v>0</v>
      </c>
      <c r="U1390" s="77">
        <v>1</v>
      </c>
      <c r="V1390" s="77">
        <v>1438</v>
      </c>
      <c r="W1390" s="82" t="s">
        <v>4821</v>
      </c>
      <c r="X1390" s="80" t="str">
        <f>HYPERLINK("https://bit.ly/47bpu4u")</f>
        <v>https://bit.ly/47bpu4u</v>
      </c>
      <c r="Y1390" s="77" t="s">
        <v>6468</v>
      </c>
      <c r="Z1390" s="77" t="s">
        <v>6621</v>
      </c>
      <c r="AA1390" s="77"/>
      <c r="AB1390" s="77"/>
      <c r="AC1390" s="82" t="s">
        <v>7775</v>
      </c>
      <c r="AD1390" s="77" t="s">
        <v>7790</v>
      </c>
      <c r="AE1390" s="80" t="str">
        <f>HYPERLINK("https://twitter.com/valoraanalitik/status/1684685646441439232")</f>
        <v>https://twitter.com/valoraanalitik/status/1684685646441439232</v>
      </c>
      <c r="AF1390" s="79">
        <v>45134.918194444443</v>
      </c>
      <c r="AG1390" s="85">
        <v>45134</v>
      </c>
      <c r="AH1390" s="82" t="s">
        <v>9007</v>
      </c>
      <c r="AI1390" s="77" t="b">
        <v>0</v>
      </c>
      <c r="AJ1390" s="77"/>
      <c r="AK1390" s="77"/>
      <c r="AL1390" s="77"/>
      <c r="AM1390" s="77"/>
      <c r="AN1390" s="77"/>
      <c r="AO1390" s="77"/>
      <c r="AP1390" s="77"/>
      <c r="AQ1390" s="77"/>
      <c r="AR1390" s="77"/>
      <c r="AS1390" s="77"/>
      <c r="AT1390" s="77"/>
      <c r="AU1390" s="77"/>
      <c r="AV1390" s="80" t="str">
        <f>HYPERLINK("https://pbs.twimg.com/profile_images/1475155236713029641/7Lb8npQr_normal.jpg")</f>
        <v>https://pbs.twimg.com/profile_images/1475155236713029641/7Lb8npQr_normal.jpg</v>
      </c>
      <c r="AW1390" s="82" t="s">
        <v>13038</v>
      </c>
      <c r="AX1390" s="82" t="s">
        <v>13038</v>
      </c>
      <c r="AY1390" s="77"/>
      <c r="AZ1390" s="82" t="s">
        <v>15984</v>
      </c>
      <c r="BA1390" s="82" t="s">
        <v>15984</v>
      </c>
      <c r="BB1390" s="82" t="s">
        <v>15984</v>
      </c>
      <c r="BC1390" s="82" t="s">
        <v>13038</v>
      </c>
      <c r="BD1390" s="77">
        <v>20980846</v>
      </c>
      <c r="BE1390" s="77"/>
      <c r="BF1390" s="77"/>
      <c r="BG1390" s="77"/>
      <c r="BH1390" s="77"/>
      <c r="BI1390" s="77"/>
    </row>
    <row r="1391" spans="1:61" x14ac:dyDescent="0.25">
      <c r="A1391" s="62" t="s">
        <v>614</v>
      </c>
      <c r="B1391" s="62" t="s">
        <v>874</v>
      </c>
      <c r="C1391" s="63"/>
      <c r="D1391" s="64"/>
      <c r="E1391" s="65"/>
      <c r="F1391" s="66"/>
      <c r="G1391" s="63"/>
      <c r="H1391" s="67"/>
      <c r="I1391" s="68"/>
      <c r="J1391" s="68"/>
      <c r="K1391" s="32"/>
      <c r="L1391" s="75">
        <v>1391</v>
      </c>
      <c r="M1391" s="75"/>
      <c r="N1391" s="70"/>
      <c r="O1391" s="77" t="s">
        <v>895</v>
      </c>
      <c r="P1391" s="79">
        <v>45174.502326388887</v>
      </c>
      <c r="Q1391" s="77" t="s">
        <v>2152</v>
      </c>
      <c r="R1391" s="77">
        <v>0</v>
      </c>
      <c r="S1391" s="77">
        <v>4</v>
      </c>
      <c r="T1391" s="77">
        <v>0</v>
      </c>
      <c r="U1391" s="77">
        <v>0</v>
      </c>
      <c r="V1391" s="77">
        <v>984</v>
      </c>
      <c r="W1391" s="82" t="s">
        <v>4821</v>
      </c>
      <c r="X1391" s="80" t="str">
        <f>HYPERLINK("https://www.valoraanalitik.com/2023/09/05/inflacion-da-para-que-tasas-de-interes-en-colombia-bajen/")</f>
        <v>https://www.valoraanalitik.com/2023/09/05/inflacion-da-para-que-tasas-de-interes-en-colombia-bajen/</v>
      </c>
      <c r="Y1391" s="77" t="s">
        <v>6471</v>
      </c>
      <c r="Z1391" s="77" t="s">
        <v>6624</v>
      </c>
      <c r="AA1391" s="77"/>
      <c r="AB1391" s="77"/>
      <c r="AC1391" s="82" t="s">
        <v>7750</v>
      </c>
      <c r="AD1391" s="77" t="s">
        <v>7790</v>
      </c>
      <c r="AE1391" s="80" t="str">
        <f>HYPERLINK("https://twitter.com/valoraanalitik/status/1699030454790164584")</f>
        <v>https://twitter.com/valoraanalitik/status/1699030454790164584</v>
      </c>
      <c r="AF1391" s="79">
        <v>45174.502326388887</v>
      </c>
      <c r="AG1391" s="85">
        <v>45174</v>
      </c>
      <c r="AH1391" s="82" t="s">
        <v>9008</v>
      </c>
      <c r="AI1391" s="77" t="b">
        <v>0</v>
      </c>
      <c r="AJ1391" s="77"/>
      <c r="AK1391" s="77"/>
      <c r="AL1391" s="77"/>
      <c r="AM1391" s="77"/>
      <c r="AN1391" s="77"/>
      <c r="AO1391" s="77"/>
      <c r="AP1391" s="77"/>
      <c r="AQ1391" s="77"/>
      <c r="AR1391" s="77"/>
      <c r="AS1391" s="77"/>
      <c r="AT1391" s="77"/>
      <c r="AU1391" s="77"/>
      <c r="AV1391" s="80" t="str">
        <f>HYPERLINK("https://pbs.twimg.com/profile_images/1475155236713029641/7Lb8npQr_normal.jpg")</f>
        <v>https://pbs.twimg.com/profile_images/1475155236713029641/7Lb8npQr_normal.jpg</v>
      </c>
      <c r="AW1391" s="82" t="s">
        <v>13039</v>
      </c>
      <c r="AX1391" s="82" t="s">
        <v>13039</v>
      </c>
      <c r="AY1391" s="77"/>
      <c r="AZ1391" s="82" t="s">
        <v>15984</v>
      </c>
      <c r="BA1391" s="82" t="s">
        <v>15984</v>
      </c>
      <c r="BB1391" s="82" t="s">
        <v>15984</v>
      </c>
      <c r="BC1391" s="82" t="s">
        <v>13039</v>
      </c>
      <c r="BD1391" s="77">
        <v>20980846</v>
      </c>
      <c r="BE1391" s="77"/>
      <c r="BF1391" s="77"/>
      <c r="BG1391" s="77"/>
      <c r="BH1391" s="77"/>
      <c r="BI1391" s="77"/>
    </row>
    <row r="1392" spans="1:61" x14ac:dyDescent="0.25">
      <c r="A1392" s="62" t="s">
        <v>614</v>
      </c>
      <c r="B1392" s="62" t="s">
        <v>874</v>
      </c>
      <c r="C1392" s="63"/>
      <c r="D1392" s="64"/>
      <c r="E1392" s="65"/>
      <c r="F1392" s="66"/>
      <c r="G1392" s="63"/>
      <c r="H1392" s="67"/>
      <c r="I1392" s="68"/>
      <c r="J1392" s="68"/>
      <c r="K1392" s="32"/>
      <c r="L1392" s="75">
        <v>1392</v>
      </c>
      <c r="M1392" s="75"/>
      <c r="N1392" s="70"/>
      <c r="O1392" s="77" t="s">
        <v>895</v>
      </c>
      <c r="P1392" s="79">
        <v>45118.488449074073</v>
      </c>
      <c r="Q1392" s="77" t="s">
        <v>2153</v>
      </c>
      <c r="R1392" s="77">
        <v>1</v>
      </c>
      <c r="S1392" s="77">
        <v>6</v>
      </c>
      <c r="T1392" s="77">
        <v>0</v>
      </c>
      <c r="U1392" s="77">
        <v>0</v>
      </c>
      <c r="V1392" s="77">
        <v>2025</v>
      </c>
      <c r="W1392" s="82" t="s">
        <v>4821</v>
      </c>
      <c r="X1392" s="80" t="str">
        <f>HYPERLINK("https://www.valoraanalitik.com/2023/07/11/inflacion-colombia-ya-no-le-pega-mas-fuerte-a-hogares-pobres/")</f>
        <v>https://www.valoraanalitik.com/2023/07/11/inflacion-colombia-ya-no-le-pega-mas-fuerte-a-hogares-pobres/</v>
      </c>
      <c r="Y1392" s="77" t="s">
        <v>6471</v>
      </c>
      <c r="Z1392" s="77" t="s">
        <v>6625</v>
      </c>
      <c r="AA1392" s="77"/>
      <c r="AB1392" s="77"/>
      <c r="AC1392" s="82" t="s">
        <v>7750</v>
      </c>
      <c r="AD1392" s="77" t="s">
        <v>7790</v>
      </c>
      <c r="AE1392" s="80" t="str">
        <f>HYPERLINK("https://twitter.com/valoraanalitik/status/1678731706898042881")</f>
        <v>https://twitter.com/valoraanalitik/status/1678731706898042881</v>
      </c>
      <c r="AF1392" s="79">
        <v>45118.488449074073</v>
      </c>
      <c r="AG1392" s="85">
        <v>45118</v>
      </c>
      <c r="AH1392" s="82" t="s">
        <v>9009</v>
      </c>
      <c r="AI1392" s="77" t="b">
        <v>0</v>
      </c>
      <c r="AJ1392" s="77"/>
      <c r="AK1392" s="77"/>
      <c r="AL1392" s="77"/>
      <c r="AM1392" s="77"/>
      <c r="AN1392" s="77"/>
      <c r="AO1392" s="77"/>
      <c r="AP1392" s="77"/>
      <c r="AQ1392" s="77"/>
      <c r="AR1392" s="77"/>
      <c r="AS1392" s="77"/>
      <c r="AT1392" s="77"/>
      <c r="AU1392" s="77"/>
      <c r="AV1392" s="80" t="str">
        <f>HYPERLINK("https://pbs.twimg.com/profile_images/1475155236713029641/7Lb8npQr_normal.jpg")</f>
        <v>https://pbs.twimg.com/profile_images/1475155236713029641/7Lb8npQr_normal.jpg</v>
      </c>
      <c r="AW1392" s="82" t="s">
        <v>13040</v>
      </c>
      <c r="AX1392" s="82" t="s">
        <v>13040</v>
      </c>
      <c r="AY1392" s="77"/>
      <c r="AZ1392" s="82" t="s">
        <v>15984</v>
      </c>
      <c r="BA1392" s="82" t="s">
        <v>15984</v>
      </c>
      <c r="BB1392" s="82" t="s">
        <v>15984</v>
      </c>
      <c r="BC1392" s="82" t="s">
        <v>13040</v>
      </c>
      <c r="BD1392" s="77">
        <v>20980846</v>
      </c>
      <c r="BE1392" s="77"/>
      <c r="BF1392" s="77"/>
      <c r="BG1392" s="77"/>
      <c r="BH1392" s="77"/>
      <c r="BI1392" s="77"/>
    </row>
    <row r="1393" spans="1:61" x14ac:dyDescent="0.25">
      <c r="A1393" s="62" t="s">
        <v>614</v>
      </c>
      <c r="B1393" s="62" t="s">
        <v>874</v>
      </c>
      <c r="C1393" s="63"/>
      <c r="D1393" s="64"/>
      <c r="E1393" s="65"/>
      <c r="F1393" s="66"/>
      <c r="G1393" s="63"/>
      <c r="H1393" s="67"/>
      <c r="I1393" s="68"/>
      <c r="J1393" s="68"/>
      <c r="K1393" s="32"/>
      <c r="L1393" s="75">
        <v>1393</v>
      </c>
      <c r="M1393" s="75"/>
      <c r="N1393" s="70"/>
      <c r="O1393" s="77" t="s">
        <v>895</v>
      </c>
      <c r="P1393" s="79">
        <v>45146.000694444447</v>
      </c>
      <c r="Q1393" s="77" t="s">
        <v>2115</v>
      </c>
      <c r="R1393" s="77">
        <v>0</v>
      </c>
      <c r="S1393" s="77">
        <v>2</v>
      </c>
      <c r="T1393" s="77">
        <v>0</v>
      </c>
      <c r="U1393" s="77">
        <v>0</v>
      </c>
      <c r="V1393" s="77">
        <v>1660</v>
      </c>
      <c r="W1393" s="82" t="s">
        <v>4821</v>
      </c>
      <c r="X1393" s="80" t="str">
        <f>HYPERLINK("https://www.valoraanalitik.com/2023/08/07/inflacion-colombia-julio-del-2023-de-cuanto-habria-sido")</f>
        <v>https://www.valoraanalitik.com/2023/08/07/inflacion-colombia-julio-del-2023-de-cuanto-habria-sido</v>
      </c>
      <c r="Y1393" s="77" t="s">
        <v>6471</v>
      </c>
      <c r="Z1393" s="77" t="s">
        <v>6599</v>
      </c>
      <c r="AA1393" s="77"/>
      <c r="AB1393" s="77"/>
      <c r="AC1393" s="82" t="s">
        <v>7750</v>
      </c>
      <c r="AD1393" s="77" t="s">
        <v>7790</v>
      </c>
      <c r="AE1393" s="80" t="str">
        <f>HYPERLINK("https://twitter.com/valoraanalitik/status/1688701808049541120")</f>
        <v>https://twitter.com/valoraanalitik/status/1688701808049541120</v>
      </c>
      <c r="AF1393" s="79">
        <v>45146.000694444447</v>
      </c>
      <c r="AG1393" s="85">
        <v>45146</v>
      </c>
      <c r="AH1393" s="82" t="s">
        <v>8973</v>
      </c>
      <c r="AI1393" s="77" t="b">
        <v>0</v>
      </c>
      <c r="AJ1393" s="77"/>
      <c r="AK1393" s="77"/>
      <c r="AL1393" s="77"/>
      <c r="AM1393" s="77"/>
      <c r="AN1393" s="77"/>
      <c r="AO1393" s="77"/>
      <c r="AP1393" s="77"/>
      <c r="AQ1393" s="77"/>
      <c r="AR1393" s="77"/>
      <c r="AS1393" s="77"/>
      <c r="AT1393" s="77"/>
      <c r="AU1393" s="77"/>
      <c r="AV1393" s="80" t="str">
        <f>HYPERLINK("https://pbs.twimg.com/profile_images/1475155236713029641/7Lb8npQr_normal.jpg")</f>
        <v>https://pbs.twimg.com/profile_images/1475155236713029641/7Lb8npQr_normal.jpg</v>
      </c>
      <c r="AW1393" s="82" t="s">
        <v>13002</v>
      </c>
      <c r="AX1393" s="82" t="s">
        <v>13002</v>
      </c>
      <c r="AY1393" s="77"/>
      <c r="AZ1393" s="82" t="s">
        <v>15984</v>
      </c>
      <c r="BA1393" s="82" t="s">
        <v>15984</v>
      </c>
      <c r="BB1393" s="82" t="s">
        <v>15984</v>
      </c>
      <c r="BC1393" s="82" t="s">
        <v>13002</v>
      </c>
      <c r="BD1393" s="77">
        <v>20980846</v>
      </c>
      <c r="BE1393" s="77"/>
      <c r="BF1393" s="77"/>
      <c r="BG1393" s="77"/>
      <c r="BH1393" s="77"/>
      <c r="BI1393" s="77"/>
    </row>
    <row r="1394" spans="1:61" x14ac:dyDescent="0.25">
      <c r="A1394" s="62" t="s">
        <v>614</v>
      </c>
      <c r="B1394" s="62" t="s">
        <v>874</v>
      </c>
      <c r="C1394" s="63"/>
      <c r="D1394" s="64"/>
      <c r="E1394" s="65"/>
      <c r="F1394" s="66"/>
      <c r="G1394" s="63"/>
      <c r="H1394" s="67"/>
      <c r="I1394" s="68"/>
      <c r="J1394" s="68"/>
      <c r="K1394" s="32"/>
      <c r="L1394" s="75">
        <v>1394</v>
      </c>
      <c r="M1394" s="75"/>
      <c r="N1394" s="70"/>
      <c r="O1394" s="77" t="s">
        <v>895</v>
      </c>
      <c r="P1394" s="79">
        <v>45176.490254629629</v>
      </c>
      <c r="Q1394" s="77" t="s">
        <v>2154</v>
      </c>
      <c r="R1394" s="77">
        <v>2</v>
      </c>
      <c r="S1394" s="77">
        <v>2</v>
      </c>
      <c r="T1394" s="77">
        <v>0</v>
      </c>
      <c r="U1394" s="77">
        <v>0</v>
      </c>
      <c r="V1394" s="77">
        <v>988</v>
      </c>
      <c r="W1394" s="82" t="s">
        <v>4821</v>
      </c>
      <c r="X1394" s="80" t="str">
        <f>HYPERLINK("https://www.valoraanalitik.com/2023/09/07/inflacion-colombia-se-encamina-a-un-digito/")</f>
        <v>https://www.valoraanalitik.com/2023/09/07/inflacion-colombia-se-encamina-a-un-digito/</v>
      </c>
      <c r="Y1394" s="77" t="s">
        <v>6471</v>
      </c>
      <c r="Z1394" s="77" t="s">
        <v>6626</v>
      </c>
      <c r="AA1394" s="77"/>
      <c r="AB1394" s="77"/>
      <c r="AC1394" s="82" t="s">
        <v>7750</v>
      </c>
      <c r="AD1394" s="77" t="s">
        <v>7790</v>
      </c>
      <c r="AE1394" s="80" t="str">
        <f>HYPERLINK("https://twitter.com/valoraanalitik/status/1699750853773599215")</f>
        <v>https://twitter.com/valoraanalitik/status/1699750853773599215</v>
      </c>
      <c r="AF1394" s="79">
        <v>45176.490254629629</v>
      </c>
      <c r="AG1394" s="85">
        <v>45176</v>
      </c>
      <c r="AH1394" s="82" t="s">
        <v>9010</v>
      </c>
      <c r="AI1394" s="77" t="b">
        <v>0</v>
      </c>
      <c r="AJ1394" s="77"/>
      <c r="AK1394" s="77"/>
      <c r="AL1394" s="77"/>
      <c r="AM1394" s="77"/>
      <c r="AN1394" s="77"/>
      <c r="AO1394" s="77"/>
      <c r="AP1394" s="77"/>
      <c r="AQ1394" s="77"/>
      <c r="AR1394" s="77"/>
      <c r="AS1394" s="77"/>
      <c r="AT1394" s="77"/>
      <c r="AU1394" s="77"/>
      <c r="AV1394" s="80" t="str">
        <f>HYPERLINK("https://pbs.twimg.com/profile_images/1475155236713029641/7Lb8npQr_normal.jpg")</f>
        <v>https://pbs.twimg.com/profile_images/1475155236713029641/7Lb8npQr_normal.jpg</v>
      </c>
      <c r="AW1394" s="82" t="s">
        <v>13041</v>
      </c>
      <c r="AX1394" s="82" t="s">
        <v>13041</v>
      </c>
      <c r="AY1394" s="77"/>
      <c r="AZ1394" s="82" t="s">
        <v>15984</v>
      </c>
      <c r="BA1394" s="82" t="s">
        <v>15984</v>
      </c>
      <c r="BB1394" s="82" t="s">
        <v>15984</v>
      </c>
      <c r="BC1394" s="82" t="s">
        <v>13041</v>
      </c>
      <c r="BD1394" s="77">
        <v>20980846</v>
      </c>
      <c r="BE1394" s="77"/>
      <c r="BF1394" s="77"/>
      <c r="BG1394" s="77"/>
      <c r="BH1394" s="77"/>
      <c r="BI1394" s="77"/>
    </row>
    <row r="1395" spans="1:61" x14ac:dyDescent="0.25">
      <c r="A1395" s="62" t="s">
        <v>614</v>
      </c>
      <c r="B1395" s="62" t="s">
        <v>874</v>
      </c>
      <c r="C1395" s="63"/>
      <c r="D1395" s="64"/>
      <c r="E1395" s="65"/>
      <c r="F1395" s="66"/>
      <c r="G1395" s="63"/>
      <c r="H1395" s="67"/>
      <c r="I1395" s="68"/>
      <c r="J1395" s="68"/>
      <c r="K1395" s="32"/>
      <c r="L1395" s="75">
        <v>1395</v>
      </c>
      <c r="M1395" s="75"/>
      <c r="N1395" s="70"/>
      <c r="O1395" s="77" t="s">
        <v>895</v>
      </c>
      <c r="P1395" s="79">
        <v>45126.651562500003</v>
      </c>
      <c r="Q1395" s="77" t="s">
        <v>2117</v>
      </c>
      <c r="R1395" s="77">
        <v>11</v>
      </c>
      <c r="S1395" s="77">
        <v>23</v>
      </c>
      <c r="T1395" s="77">
        <v>0</v>
      </c>
      <c r="U1395" s="77">
        <v>0</v>
      </c>
      <c r="V1395" s="77">
        <v>1742</v>
      </c>
      <c r="W1395" s="82" t="s">
        <v>4821</v>
      </c>
      <c r="X1395" s="80" t="str">
        <f>HYPERLINK("https://bit.ly/46Tbpbz")</f>
        <v>https://bit.ly/46Tbpbz</v>
      </c>
      <c r="Y1395" s="77" t="s">
        <v>6468</v>
      </c>
      <c r="Z1395" s="77" t="s">
        <v>6600</v>
      </c>
      <c r="AA1395" s="77"/>
      <c r="AB1395" s="77"/>
      <c r="AC1395" s="82" t="s">
        <v>7775</v>
      </c>
      <c r="AD1395" s="77" t="s">
        <v>7790</v>
      </c>
      <c r="AE1395" s="80" t="str">
        <f>HYPERLINK("https://twitter.com/valoraanalitik/status/1681689918685192193")</f>
        <v>https://twitter.com/valoraanalitik/status/1681689918685192193</v>
      </c>
      <c r="AF1395" s="79">
        <v>45126.651562500003</v>
      </c>
      <c r="AG1395" s="85">
        <v>45126</v>
      </c>
      <c r="AH1395" s="82" t="s">
        <v>8975</v>
      </c>
      <c r="AI1395" s="77" t="b">
        <v>0</v>
      </c>
      <c r="AJ1395" s="77"/>
      <c r="AK1395" s="77"/>
      <c r="AL1395" s="77"/>
      <c r="AM1395" s="77"/>
      <c r="AN1395" s="77"/>
      <c r="AO1395" s="77"/>
      <c r="AP1395" s="77"/>
      <c r="AQ1395" s="77"/>
      <c r="AR1395" s="77"/>
      <c r="AS1395" s="77"/>
      <c r="AT1395" s="77"/>
      <c r="AU1395" s="77"/>
      <c r="AV1395" s="80" t="str">
        <f>HYPERLINK("https://pbs.twimg.com/profile_images/1475155236713029641/7Lb8npQr_normal.jpg")</f>
        <v>https://pbs.twimg.com/profile_images/1475155236713029641/7Lb8npQr_normal.jpg</v>
      </c>
      <c r="AW1395" s="82" t="s">
        <v>13004</v>
      </c>
      <c r="AX1395" s="82" t="s">
        <v>13004</v>
      </c>
      <c r="AY1395" s="77"/>
      <c r="AZ1395" s="82" t="s">
        <v>15984</v>
      </c>
      <c r="BA1395" s="82" t="s">
        <v>15984</v>
      </c>
      <c r="BB1395" s="82" t="s">
        <v>15984</v>
      </c>
      <c r="BC1395" s="82" t="s">
        <v>13004</v>
      </c>
      <c r="BD1395" s="77">
        <v>20980846</v>
      </c>
      <c r="BE1395" s="77"/>
      <c r="BF1395" s="77"/>
      <c r="BG1395" s="77"/>
      <c r="BH1395" s="77"/>
      <c r="BI1395" s="77"/>
    </row>
    <row r="1396" spans="1:61" x14ac:dyDescent="0.25">
      <c r="A1396" s="62" t="s">
        <v>614</v>
      </c>
      <c r="B1396" s="62" t="s">
        <v>874</v>
      </c>
      <c r="C1396" s="63"/>
      <c r="D1396" s="64"/>
      <c r="E1396" s="65"/>
      <c r="F1396" s="66"/>
      <c r="G1396" s="63"/>
      <c r="H1396" s="67"/>
      <c r="I1396" s="68"/>
      <c r="J1396" s="68"/>
      <c r="K1396" s="32"/>
      <c r="L1396" s="75">
        <v>1396</v>
      </c>
      <c r="M1396" s="75"/>
      <c r="N1396" s="70"/>
      <c r="O1396" s="77" t="s">
        <v>895</v>
      </c>
      <c r="P1396" s="79">
        <v>45126.516203703701</v>
      </c>
      <c r="Q1396" s="77" t="s">
        <v>2118</v>
      </c>
      <c r="R1396" s="77">
        <v>1</v>
      </c>
      <c r="S1396" s="77">
        <v>1</v>
      </c>
      <c r="T1396" s="77">
        <v>0</v>
      </c>
      <c r="U1396" s="77">
        <v>1</v>
      </c>
      <c r="V1396" s="77">
        <v>1298</v>
      </c>
      <c r="W1396" s="82" t="s">
        <v>4821</v>
      </c>
      <c r="X1396" s="80" t="str">
        <f>HYPERLINK("https://www.valoraanalitik.com/2023/07/19/cierre-via-bogota-villavicencio-aumentara-precio-de-alimentos/")</f>
        <v>https://www.valoraanalitik.com/2023/07/19/cierre-via-bogota-villavicencio-aumentara-precio-de-alimentos/</v>
      </c>
      <c r="Y1396" s="77" t="s">
        <v>6471</v>
      </c>
      <c r="Z1396" s="77" t="s">
        <v>6601</v>
      </c>
      <c r="AA1396" s="77"/>
      <c r="AB1396" s="77"/>
      <c r="AC1396" s="82" t="s">
        <v>7750</v>
      </c>
      <c r="AD1396" s="77" t="s">
        <v>7790</v>
      </c>
      <c r="AE1396" s="80" t="str">
        <f>HYPERLINK("https://twitter.com/valoraanalitik/status/1681640867939876864")</f>
        <v>https://twitter.com/valoraanalitik/status/1681640867939876864</v>
      </c>
      <c r="AF1396" s="79">
        <v>45126.516203703701</v>
      </c>
      <c r="AG1396" s="85">
        <v>45126</v>
      </c>
      <c r="AH1396" s="82" t="s">
        <v>8976</v>
      </c>
      <c r="AI1396" s="77" t="b">
        <v>0</v>
      </c>
      <c r="AJ1396" s="77"/>
      <c r="AK1396" s="77"/>
      <c r="AL1396" s="77"/>
      <c r="AM1396" s="77"/>
      <c r="AN1396" s="77"/>
      <c r="AO1396" s="77"/>
      <c r="AP1396" s="77"/>
      <c r="AQ1396" s="77"/>
      <c r="AR1396" s="77"/>
      <c r="AS1396" s="77"/>
      <c r="AT1396" s="77"/>
      <c r="AU1396" s="77"/>
      <c r="AV1396" s="80" t="str">
        <f>HYPERLINK("https://pbs.twimg.com/profile_images/1475155236713029641/7Lb8npQr_normal.jpg")</f>
        <v>https://pbs.twimg.com/profile_images/1475155236713029641/7Lb8npQr_normal.jpg</v>
      </c>
      <c r="AW1396" s="82" t="s">
        <v>13005</v>
      </c>
      <c r="AX1396" s="82" t="s">
        <v>13005</v>
      </c>
      <c r="AY1396" s="77"/>
      <c r="AZ1396" s="82" t="s">
        <v>15984</v>
      </c>
      <c r="BA1396" s="82" t="s">
        <v>15984</v>
      </c>
      <c r="BB1396" s="82" t="s">
        <v>15984</v>
      </c>
      <c r="BC1396" s="82" t="s">
        <v>13005</v>
      </c>
      <c r="BD1396" s="77">
        <v>20980846</v>
      </c>
      <c r="BE1396" s="77"/>
      <c r="BF1396" s="77"/>
      <c r="BG1396" s="77"/>
      <c r="BH1396" s="77"/>
      <c r="BI1396" s="77"/>
    </row>
    <row r="1397" spans="1:61" x14ac:dyDescent="0.25">
      <c r="A1397" s="62" t="s">
        <v>614</v>
      </c>
      <c r="B1397" s="62" t="s">
        <v>874</v>
      </c>
      <c r="C1397" s="63"/>
      <c r="D1397" s="64"/>
      <c r="E1397" s="65"/>
      <c r="F1397" s="66"/>
      <c r="G1397" s="63"/>
      <c r="H1397" s="67"/>
      <c r="I1397" s="68"/>
      <c r="J1397" s="68"/>
      <c r="K1397" s="32"/>
      <c r="L1397" s="75">
        <v>1397</v>
      </c>
      <c r="M1397" s="75"/>
      <c r="N1397" s="70"/>
      <c r="O1397" s="77" t="s">
        <v>895</v>
      </c>
      <c r="P1397" s="79">
        <v>45126.482476851852</v>
      </c>
      <c r="Q1397" s="77" t="s">
        <v>2155</v>
      </c>
      <c r="R1397" s="77">
        <v>1</v>
      </c>
      <c r="S1397" s="77">
        <v>3</v>
      </c>
      <c r="T1397" s="77">
        <v>2</v>
      </c>
      <c r="U1397" s="77">
        <v>0</v>
      </c>
      <c r="V1397" s="77">
        <v>1577</v>
      </c>
      <c r="W1397" s="82" t="s">
        <v>4821</v>
      </c>
      <c r="X1397" s="80" t="str">
        <f>HYPERLINK("https://www.valoraanalitik.com/2023/07/19/petro-hablo-del-comportamiento-del-dolar-en-colombia/")</f>
        <v>https://www.valoraanalitik.com/2023/07/19/petro-hablo-del-comportamiento-del-dolar-en-colombia/</v>
      </c>
      <c r="Y1397" s="77" t="s">
        <v>6471</v>
      </c>
      <c r="Z1397" s="77" t="s">
        <v>6623</v>
      </c>
      <c r="AA1397" s="77"/>
      <c r="AB1397" s="77"/>
      <c r="AC1397" s="82" t="s">
        <v>7750</v>
      </c>
      <c r="AD1397" s="77" t="s">
        <v>7790</v>
      </c>
      <c r="AE1397" s="80" t="str">
        <f>HYPERLINK("https://twitter.com/valoraanalitik/status/1681628641854193664")</f>
        <v>https://twitter.com/valoraanalitik/status/1681628641854193664</v>
      </c>
      <c r="AF1397" s="79">
        <v>45126.482476851852</v>
      </c>
      <c r="AG1397" s="85">
        <v>45126</v>
      </c>
      <c r="AH1397" s="82" t="s">
        <v>9011</v>
      </c>
      <c r="AI1397" s="77" t="b">
        <v>0</v>
      </c>
      <c r="AJ1397" s="77"/>
      <c r="AK1397" s="77"/>
      <c r="AL1397" s="77"/>
      <c r="AM1397" s="77"/>
      <c r="AN1397" s="77"/>
      <c r="AO1397" s="77"/>
      <c r="AP1397" s="77"/>
      <c r="AQ1397" s="77"/>
      <c r="AR1397" s="77"/>
      <c r="AS1397" s="77"/>
      <c r="AT1397" s="77"/>
      <c r="AU1397" s="77"/>
      <c r="AV1397" s="80" t="str">
        <f>HYPERLINK("https://pbs.twimg.com/profile_images/1475155236713029641/7Lb8npQr_normal.jpg")</f>
        <v>https://pbs.twimg.com/profile_images/1475155236713029641/7Lb8npQr_normal.jpg</v>
      </c>
      <c r="AW1397" s="82" t="s">
        <v>13042</v>
      </c>
      <c r="AX1397" s="82" t="s">
        <v>13042</v>
      </c>
      <c r="AY1397" s="77"/>
      <c r="AZ1397" s="82" t="s">
        <v>15984</v>
      </c>
      <c r="BA1397" s="82" t="s">
        <v>15984</v>
      </c>
      <c r="BB1397" s="82" t="s">
        <v>15984</v>
      </c>
      <c r="BC1397" s="82" t="s">
        <v>13042</v>
      </c>
      <c r="BD1397" s="77">
        <v>20980846</v>
      </c>
      <c r="BE1397" s="77"/>
      <c r="BF1397" s="77"/>
      <c r="BG1397" s="77"/>
      <c r="BH1397" s="77"/>
      <c r="BI1397" s="77"/>
    </row>
    <row r="1398" spans="1:61" x14ac:dyDescent="0.25">
      <c r="A1398" s="62" t="s">
        <v>614</v>
      </c>
      <c r="B1398" s="62" t="s">
        <v>874</v>
      </c>
      <c r="C1398" s="63"/>
      <c r="D1398" s="64"/>
      <c r="E1398" s="65"/>
      <c r="F1398" s="66"/>
      <c r="G1398" s="63"/>
      <c r="H1398" s="67"/>
      <c r="I1398" s="68"/>
      <c r="J1398" s="68"/>
      <c r="K1398" s="32"/>
      <c r="L1398" s="75">
        <v>1398</v>
      </c>
      <c r="M1398" s="75"/>
      <c r="N1398" s="70"/>
      <c r="O1398" s="77" t="s">
        <v>895</v>
      </c>
      <c r="P1398" s="79">
        <v>45181.669733796298</v>
      </c>
      <c r="Q1398" s="77" t="s">
        <v>2156</v>
      </c>
      <c r="R1398" s="77">
        <v>3</v>
      </c>
      <c r="S1398" s="77">
        <v>7</v>
      </c>
      <c r="T1398" s="77">
        <v>3</v>
      </c>
      <c r="U1398" s="77">
        <v>0</v>
      </c>
      <c r="V1398" s="77">
        <v>1764</v>
      </c>
      <c r="W1398" s="82" t="s">
        <v>4821</v>
      </c>
      <c r="X1398" s="80" t="str">
        <f>HYPERLINK("https://bit.ly/3RfLWUf")</f>
        <v>https://bit.ly/3RfLWUf</v>
      </c>
      <c r="Y1398" s="77" t="s">
        <v>6468</v>
      </c>
      <c r="Z1398" s="77" t="s">
        <v>6621</v>
      </c>
      <c r="AA1398" s="77"/>
      <c r="AB1398" s="77"/>
      <c r="AC1398" s="82" t="s">
        <v>7775</v>
      </c>
      <c r="AD1398" s="77" t="s">
        <v>7790</v>
      </c>
      <c r="AE1398" s="80" t="str">
        <f>HYPERLINK("https://twitter.com/valoraanalitik/status/1701627834869891251")</f>
        <v>https://twitter.com/valoraanalitik/status/1701627834869891251</v>
      </c>
      <c r="AF1398" s="79">
        <v>45181.669733796298</v>
      </c>
      <c r="AG1398" s="85">
        <v>45181</v>
      </c>
      <c r="AH1398" s="82" t="s">
        <v>9012</v>
      </c>
      <c r="AI1398" s="77" t="b">
        <v>0</v>
      </c>
      <c r="AJ1398" s="77"/>
      <c r="AK1398" s="77"/>
      <c r="AL1398" s="77"/>
      <c r="AM1398" s="77"/>
      <c r="AN1398" s="77"/>
      <c r="AO1398" s="77"/>
      <c r="AP1398" s="77"/>
      <c r="AQ1398" s="77"/>
      <c r="AR1398" s="77"/>
      <c r="AS1398" s="77"/>
      <c r="AT1398" s="77"/>
      <c r="AU1398" s="77"/>
      <c r="AV1398" s="80" t="str">
        <f>HYPERLINK("https://pbs.twimg.com/profile_images/1475155236713029641/7Lb8npQr_normal.jpg")</f>
        <v>https://pbs.twimg.com/profile_images/1475155236713029641/7Lb8npQr_normal.jpg</v>
      </c>
      <c r="AW1398" s="82" t="s">
        <v>13043</v>
      </c>
      <c r="AX1398" s="82" t="s">
        <v>13043</v>
      </c>
      <c r="AY1398" s="77"/>
      <c r="AZ1398" s="82" t="s">
        <v>15984</v>
      </c>
      <c r="BA1398" s="82" t="s">
        <v>15984</v>
      </c>
      <c r="BB1398" s="82" t="s">
        <v>15984</v>
      </c>
      <c r="BC1398" s="82" t="s">
        <v>13043</v>
      </c>
      <c r="BD1398" s="77">
        <v>20980846</v>
      </c>
      <c r="BE1398" s="77"/>
      <c r="BF1398" s="77"/>
      <c r="BG1398" s="77"/>
      <c r="BH1398" s="77"/>
      <c r="BI1398" s="77"/>
    </row>
    <row r="1399" spans="1:61" x14ac:dyDescent="0.25">
      <c r="A1399" s="62" t="s">
        <v>614</v>
      </c>
      <c r="B1399" s="62" t="s">
        <v>874</v>
      </c>
      <c r="C1399" s="63"/>
      <c r="D1399" s="64"/>
      <c r="E1399" s="65"/>
      <c r="F1399" s="66"/>
      <c r="G1399" s="63"/>
      <c r="H1399" s="67"/>
      <c r="I1399" s="68"/>
      <c r="J1399" s="68"/>
      <c r="K1399" s="32"/>
      <c r="L1399" s="75">
        <v>1399</v>
      </c>
      <c r="M1399" s="75"/>
      <c r="N1399" s="70"/>
      <c r="O1399" s="77" t="s">
        <v>895</v>
      </c>
      <c r="P1399" s="79">
        <v>45155.517581018517</v>
      </c>
      <c r="Q1399" s="77" t="s">
        <v>2157</v>
      </c>
      <c r="R1399" s="77">
        <v>2</v>
      </c>
      <c r="S1399" s="77">
        <v>6</v>
      </c>
      <c r="T1399" s="77">
        <v>0</v>
      </c>
      <c r="U1399" s="77">
        <v>1</v>
      </c>
      <c r="V1399" s="77">
        <v>1239</v>
      </c>
      <c r="W1399" s="82" t="s">
        <v>4821</v>
      </c>
      <c r="X1399" s="80" t="str">
        <f>HYPERLINK("https://www.valoraanalitik.com/2023/08/17/renegociacion-tlc-estados-unidos-colombia-alertan-por-efectos/")</f>
        <v>https://www.valoraanalitik.com/2023/08/17/renegociacion-tlc-estados-unidos-colombia-alertan-por-efectos/</v>
      </c>
      <c r="Y1399" s="77" t="s">
        <v>6471</v>
      </c>
      <c r="Z1399" s="77" t="s">
        <v>6623</v>
      </c>
      <c r="AA1399" s="77"/>
      <c r="AB1399" s="77"/>
      <c r="AC1399" s="82" t="s">
        <v>7750</v>
      </c>
      <c r="AD1399" s="77" t="s">
        <v>7790</v>
      </c>
      <c r="AE1399" s="80" t="str">
        <f>HYPERLINK("https://twitter.com/valoraanalitik/status/1692150613000245270")</f>
        <v>https://twitter.com/valoraanalitik/status/1692150613000245270</v>
      </c>
      <c r="AF1399" s="79">
        <v>45155.517581018517</v>
      </c>
      <c r="AG1399" s="85">
        <v>45155</v>
      </c>
      <c r="AH1399" s="82" t="s">
        <v>9013</v>
      </c>
      <c r="AI1399" s="77" t="b">
        <v>0</v>
      </c>
      <c r="AJ1399" s="77"/>
      <c r="AK1399" s="77"/>
      <c r="AL1399" s="77"/>
      <c r="AM1399" s="77"/>
      <c r="AN1399" s="77"/>
      <c r="AO1399" s="77"/>
      <c r="AP1399" s="77"/>
      <c r="AQ1399" s="77"/>
      <c r="AR1399" s="77"/>
      <c r="AS1399" s="77"/>
      <c r="AT1399" s="77"/>
      <c r="AU1399" s="77"/>
      <c r="AV1399" s="80" t="str">
        <f>HYPERLINK("https://pbs.twimg.com/profile_images/1475155236713029641/7Lb8npQr_normal.jpg")</f>
        <v>https://pbs.twimg.com/profile_images/1475155236713029641/7Lb8npQr_normal.jpg</v>
      </c>
      <c r="AW1399" s="82" t="s">
        <v>13044</v>
      </c>
      <c r="AX1399" s="82" t="s">
        <v>13044</v>
      </c>
      <c r="AY1399" s="77"/>
      <c r="AZ1399" s="82" t="s">
        <v>15984</v>
      </c>
      <c r="BA1399" s="82" t="s">
        <v>15984</v>
      </c>
      <c r="BB1399" s="82" t="s">
        <v>15984</v>
      </c>
      <c r="BC1399" s="82" t="s">
        <v>13044</v>
      </c>
      <c r="BD1399" s="77">
        <v>20980846</v>
      </c>
      <c r="BE1399" s="77"/>
      <c r="BF1399" s="77"/>
      <c r="BG1399" s="77"/>
      <c r="BH1399" s="77"/>
      <c r="BI1399" s="77"/>
    </row>
    <row r="1400" spans="1:61" x14ac:dyDescent="0.25">
      <c r="A1400" s="62" t="s">
        <v>614</v>
      </c>
      <c r="B1400" s="62" t="s">
        <v>874</v>
      </c>
      <c r="C1400" s="63"/>
      <c r="D1400" s="64"/>
      <c r="E1400" s="65"/>
      <c r="F1400" s="66"/>
      <c r="G1400" s="63"/>
      <c r="H1400" s="67"/>
      <c r="I1400" s="68"/>
      <c r="J1400" s="68"/>
      <c r="K1400" s="32"/>
      <c r="L1400" s="75">
        <v>1400</v>
      </c>
      <c r="M1400" s="75"/>
      <c r="N1400" s="70"/>
      <c r="O1400" s="77" t="s">
        <v>895</v>
      </c>
      <c r="P1400" s="79">
        <v>45172.863229166665</v>
      </c>
      <c r="Q1400" s="77" t="s">
        <v>2158</v>
      </c>
      <c r="R1400" s="77">
        <v>0</v>
      </c>
      <c r="S1400" s="77">
        <v>0</v>
      </c>
      <c r="T1400" s="77">
        <v>0</v>
      </c>
      <c r="U1400" s="77">
        <v>0</v>
      </c>
      <c r="V1400" s="77">
        <v>1231</v>
      </c>
      <c r="W1400" s="82" t="s">
        <v>4821</v>
      </c>
      <c r="X1400" s="80" t="str">
        <f>HYPERLINK("https://www.valoraanalitik.com/2023/09/03/inflacion-colombia-agosto-2023-de-cuanto-habria-sido/")</f>
        <v>https://www.valoraanalitik.com/2023/09/03/inflacion-colombia-agosto-2023-de-cuanto-habria-sido/</v>
      </c>
      <c r="Y1400" s="77" t="s">
        <v>6471</v>
      </c>
      <c r="Z1400" s="77" t="s">
        <v>6627</v>
      </c>
      <c r="AA1400" s="77"/>
      <c r="AB1400" s="77"/>
      <c r="AC1400" s="82" t="s">
        <v>7750</v>
      </c>
      <c r="AD1400" s="77" t="s">
        <v>7790</v>
      </c>
      <c r="AE1400" s="80" t="str">
        <f>HYPERLINK("https://twitter.com/valoraanalitik/status/1698436465934352421")</f>
        <v>https://twitter.com/valoraanalitik/status/1698436465934352421</v>
      </c>
      <c r="AF1400" s="79">
        <v>45172.863229166665</v>
      </c>
      <c r="AG1400" s="85">
        <v>45172</v>
      </c>
      <c r="AH1400" s="82" t="s">
        <v>9014</v>
      </c>
      <c r="AI1400" s="77" t="b">
        <v>0</v>
      </c>
      <c r="AJ1400" s="77"/>
      <c r="AK1400" s="77"/>
      <c r="AL1400" s="77"/>
      <c r="AM1400" s="77"/>
      <c r="AN1400" s="77"/>
      <c r="AO1400" s="77"/>
      <c r="AP1400" s="77"/>
      <c r="AQ1400" s="77"/>
      <c r="AR1400" s="77"/>
      <c r="AS1400" s="77"/>
      <c r="AT1400" s="77"/>
      <c r="AU1400" s="77"/>
      <c r="AV1400" s="80" t="str">
        <f>HYPERLINK("https://pbs.twimg.com/profile_images/1475155236713029641/7Lb8npQr_normal.jpg")</f>
        <v>https://pbs.twimg.com/profile_images/1475155236713029641/7Lb8npQr_normal.jpg</v>
      </c>
      <c r="AW1400" s="82" t="s">
        <v>13045</v>
      </c>
      <c r="AX1400" s="82" t="s">
        <v>13045</v>
      </c>
      <c r="AY1400" s="77"/>
      <c r="AZ1400" s="82" t="s">
        <v>15984</v>
      </c>
      <c r="BA1400" s="82" t="s">
        <v>15984</v>
      </c>
      <c r="BB1400" s="82" t="s">
        <v>15984</v>
      </c>
      <c r="BC1400" s="82" t="s">
        <v>13045</v>
      </c>
      <c r="BD1400" s="77">
        <v>20980846</v>
      </c>
      <c r="BE1400" s="77"/>
      <c r="BF1400" s="77"/>
      <c r="BG1400" s="77"/>
      <c r="BH1400" s="77"/>
      <c r="BI1400" s="77"/>
    </row>
    <row r="1401" spans="1:61" x14ac:dyDescent="0.25">
      <c r="A1401" s="62" t="s">
        <v>614</v>
      </c>
      <c r="B1401" s="62" t="s">
        <v>874</v>
      </c>
      <c r="C1401" s="63"/>
      <c r="D1401" s="64"/>
      <c r="E1401" s="65"/>
      <c r="F1401" s="66"/>
      <c r="G1401" s="63"/>
      <c r="H1401" s="67"/>
      <c r="I1401" s="68"/>
      <c r="J1401" s="68"/>
      <c r="K1401" s="32"/>
      <c r="L1401" s="75">
        <v>1401</v>
      </c>
      <c r="M1401" s="75"/>
      <c r="N1401" s="70"/>
      <c r="O1401" s="77" t="s">
        <v>895</v>
      </c>
      <c r="P1401" s="79">
        <v>45125.517534722225</v>
      </c>
      <c r="Q1401" s="77" t="s">
        <v>2123</v>
      </c>
      <c r="R1401" s="77">
        <v>9</v>
      </c>
      <c r="S1401" s="77">
        <v>20</v>
      </c>
      <c r="T1401" s="77">
        <v>1</v>
      </c>
      <c r="U1401" s="77">
        <v>0</v>
      </c>
      <c r="V1401" s="77">
        <v>2248</v>
      </c>
      <c r="W1401" s="82" t="s">
        <v>4821</v>
      </c>
      <c r="X1401" s="80" t="str">
        <f>HYPERLINK("https://www.valoraanalitik.com/2023/07/18/precio-gasolina-colombia-buscaran-bajarlo-mediante-le/")</f>
        <v>https://www.valoraanalitik.com/2023/07/18/precio-gasolina-colombia-buscaran-bajarlo-mediante-le/</v>
      </c>
      <c r="Y1401" s="77" t="s">
        <v>6471</v>
      </c>
      <c r="Z1401" s="77" t="s">
        <v>6604</v>
      </c>
      <c r="AA1401" s="77"/>
      <c r="AB1401" s="77"/>
      <c r="AC1401" s="82" t="s">
        <v>7750</v>
      </c>
      <c r="AD1401" s="77" t="s">
        <v>7790</v>
      </c>
      <c r="AE1401" s="80" t="str">
        <f>HYPERLINK("https://twitter.com/valoraanalitik/status/1681278958900334592")</f>
        <v>https://twitter.com/valoraanalitik/status/1681278958900334592</v>
      </c>
      <c r="AF1401" s="79">
        <v>45125.517534722225</v>
      </c>
      <c r="AG1401" s="85">
        <v>45125</v>
      </c>
      <c r="AH1401" s="82" t="s">
        <v>8981</v>
      </c>
      <c r="AI1401" s="77" t="b">
        <v>0</v>
      </c>
      <c r="AJ1401" s="77"/>
      <c r="AK1401" s="77"/>
      <c r="AL1401" s="77"/>
      <c r="AM1401" s="77"/>
      <c r="AN1401" s="77"/>
      <c r="AO1401" s="77"/>
      <c r="AP1401" s="77"/>
      <c r="AQ1401" s="77"/>
      <c r="AR1401" s="77"/>
      <c r="AS1401" s="77"/>
      <c r="AT1401" s="77"/>
      <c r="AU1401" s="77"/>
      <c r="AV1401" s="80" t="str">
        <f>HYPERLINK("https://pbs.twimg.com/profile_images/1475155236713029641/7Lb8npQr_normal.jpg")</f>
        <v>https://pbs.twimg.com/profile_images/1475155236713029641/7Lb8npQr_normal.jpg</v>
      </c>
      <c r="AW1401" s="82" t="s">
        <v>13010</v>
      </c>
      <c r="AX1401" s="82" t="s">
        <v>13010</v>
      </c>
      <c r="AY1401" s="77"/>
      <c r="AZ1401" s="82" t="s">
        <v>15984</v>
      </c>
      <c r="BA1401" s="82" t="s">
        <v>15984</v>
      </c>
      <c r="BB1401" s="82" t="s">
        <v>15984</v>
      </c>
      <c r="BC1401" s="82" t="s">
        <v>13010</v>
      </c>
      <c r="BD1401" s="77">
        <v>20980846</v>
      </c>
      <c r="BE1401" s="77"/>
      <c r="BF1401" s="77"/>
      <c r="BG1401" s="77"/>
      <c r="BH1401" s="77"/>
      <c r="BI1401" s="77"/>
    </row>
    <row r="1402" spans="1:61" x14ac:dyDescent="0.25">
      <c r="A1402" s="62" t="s">
        <v>614</v>
      </c>
      <c r="B1402" s="62" t="s">
        <v>874</v>
      </c>
      <c r="C1402" s="63"/>
      <c r="D1402" s="64"/>
      <c r="E1402" s="65"/>
      <c r="F1402" s="66"/>
      <c r="G1402" s="63"/>
      <c r="H1402" s="67"/>
      <c r="I1402" s="68"/>
      <c r="J1402" s="68"/>
      <c r="K1402" s="32"/>
      <c r="L1402" s="75">
        <v>1402</v>
      </c>
      <c r="M1402" s="75"/>
      <c r="N1402" s="70"/>
      <c r="O1402" s="77" t="s">
        <v>895</v>
      </c>
      <c r="P1402" s="79">
        <v>45139.714814814812</v>
      </c>
      <c r="Q1402" s="77" t="s">
        <v>2159</v>
      </c>
      <c r="R1402" s="77">
        <v>4</v>
      </c>
      <c r="S1402" s="77">
        <v>5</v>
      </c>
      <c r="T1402" s="77">
        <v>1</v>
      </c>
      <c r="U1402" s="77">
        <v>0</v>
      </c>
      <c r="V1402" s="77">
        <v>1254</v>
      </c>
      <c r="W1402" s="82" t="s">
        <v>4821</v>
      </c>
      <c r="X1402" s="80" t="str">
        <f>HYPERLINK("https://bit.ly/478FbcF")</f>
        <v>https://bit.ly/478FbcF</v>
      </c>
      <c r="Y1402" s="77" t="s">
        <v>6468</v>
      </c>
      <c r="Z1402" s="77" t="s">
        <v>6628</v>
      </c>
      <c r="AA1402" s="77"/>
      <c r="AB1402" s="77"/>
      <c r="AC1402" s="82" t="s">
        <v>7775</v>
      </c>
      <c r="AD1402" s="77" t="s">
        <v>7790</v>
      </c>
      <c r="AE1402" s="80" t="str">
        <f>HYPERLINK("https://twitter.com/valoraanalitik/status/1686423882960457747")</f>
        <v>https://twitter.com/valoraanalitik/status/1686423882960457747</v>
      </c>
      <c r="AF1402" s="79">
        <v>45139.714814814812</v>
      </c>
      <c r="AG1402" s="85">
        <v>45139</v>
      </c>
      <c r="AH1402" s="82" t="s">
        <v>9015</v>
      </c>
      <c r="AI1402" s="77" t="b">
        <v>0</v>
      </c>
      <c r="AJ1402" s="77"/>
      <c r="AK1402" s="77"/>
      <c r="AL1402" s="77"/>
      <c r="AM1402" s="77"/>
      <c r="AN1402" s="77"/>
      <c r="AO1402" s="77"/>
      <c r="AP1402" s="77"/>
      <c r="AQ1402" s="77"/>
      <c r="AR1402" s="77"/>
      <c r="AS1402" s="77"/>
      <c r="AT1402" s="77"/>
      <c r="AU1402" s="77"/>
      <c r="AV1402" s="80" t="str">
        <f>HYPERLINK("https://pbs.twimg.com/profile_images/1475155236713029641/7Lb8npQr_normal.jpg")</f>
        <v>https://pbs.twimg.com/profile_images/1475155236713029641/7Lb8npQr_normal.jpg</v>
      </c>
      <c r="AW1402" s="82" t="s">
        <v>13046</v>
      </c>
      <c r="AX1402" s="82" t="s">
        <v>13046</v>
      </c>
      <c r="AY1402" s="77"/>
      <c r="AZ1402" s="82" t="s">
        <v>15984</v>
      </c>
      <c r="BA1402" s="82" t="s">
        <v>15984</v>
      </c>
      <c r="BB1402" s="82" t="s">
        <v>15984</v>
      </c>
      <c r="BC1402" s="82" t="s">
        <v>13046</v>
      </c>
      <c r="BD1402" s="77">
        <v>20980846</v>
      </c>
      <c r="BE1402" s="77"/>
      <c r="BF1402" s="77"/>
      <c r="BG1402" s="77"/>
      <c r="BH1402" s="77"/>
      <c r="BI1402" s="77"/>
    </row>
    <row r="1403" spans="1:61" x14ac:dyDescent="0.25">
      <c r="A1403" s="62" t="s">
        <v>614</v>
      </c>
      <c r="B1403" s="62" t="s">
        <v>874</v>
      </c>
      <c r="C1403" s="63"/>
      <c r="D1403" s="64"/>
      <c r="E1403" s="65"/>
      <c r="F1403" s="66"/>
      <c r="G1403" s="63"/>
      <c r="H1403" s="67"/>
      <c r="I1403" s="68"/>
      <c r="J1403" s="68"/>
      <c r="K1403" s="32"/>
      <c r="L1403" s="75">
        <v>1403</v>
      </c>
      <c r="M1403" s="75"/>
      <c r="N1403" s="70"/>
      <c r="O1403" s="77" t="s">
        <v>895</v>
      </c>
      <c r="P1403" s="79">
        <v>45139.485590277778</v>
      </c>
      <c r="Q1403" s="77" t="s">
        <v>2160</v>
      </c>
      <c r="R1403" s="77">
        <v>4</v>
      </c>
      <c r="S1403" s="77">
        <v>7</v>
      </c>
      <c r="T1403" s="77">
        <v>1</v>
      </c>
      <c r="U1403" s="77">
        <v>0</v>
      </c>
      <c r="V1403" s="77">
        <v>1794</v>
      </c>
      <c r="W1403" s="82" t="s">
        <v>4821</v>
      </c>
      <c r="X1403" s="80" t="str">
        <f>HYPERLINK("https://www.valoraanalitik.com/2023/08/01/dolar-colombia-podria-impulsar-la-baja-de-precios/")</f>
        <v>https://www.valoraanalitik.com/2023/08/01/dolar-colombia-podria-impulsar-la-baja-de-precios/</v>
      </c>
      <c r="Y1403" s="77" t="s">
        <v>6471</v>
      </c>
      <c r="Z1403" s="77" t="s">
        <v>6629</v>
      </c>
      <c r="AA1403" s="77"/>
      <c r="AB1403" s="77"/>
      <c r="AC1403" s="82" t="s">
        <v>7750</v>
      </c>
      <c r="AD1403" s="77" t="s">
        <v>7790</v>
      </c>
      <c r="AE1403" s="80" t="str">
        <f>HYPERLINK("https://twitter.com/valoraanalitik/status/1686340813322674176")</f>
        <v>https://twitter.com/valoraanalitik/status/1686340813322674176</v>
      </c>
      <c r="AF1403" s="79">
        <v>45139.485590277778</v>
      </c>
      <c r="AG1403" s="85">
        <v>45139</v>
      </c>
      <c r="AH1403" s="82" t="s">
        <v>9016</v>
      </c>
      <c r="AI1403" s="77" t="b">
        <v>0</v>
      </c>
      <c r="AJ1403" s="77"/>
      <c r="AK1403" s="77"/>
      <c r="AL1403" s="77"/>
      <c r="AM1403" s="77"/>
      <c r="AN1403" s="77"/>
      <c r="AO1403" s="77"/>
      <c r="AP1403" s="77"/>
      <c r="AQ1403" s="77"/>
      <c r="AR1403" s="77"/>
      <c r="AS1403" s="77"/>
      <c r="AT1403" s="77"/>
      <c r="AU1403" s="77"/>
      <c r="AV1403" s="80" t="str">
        <f>HYPERLINK("https://pbs.twimg.com/profile_images/1475155236713029641/7Lb8npQr_normal.jpg")</f>
        <v>https://pbs.twimg.com/profile_images/1475155236713029641/7Lb8npQr_normal.jpg</v>
      </c>
      <c r="AW1403" s="82" t="s">
        <v>13047</v>
      </c>
      <c r="AX1403" s="82" t="s">
        <v>13047</v>
      </c>
      <c r="AY1403" s="77"/>
      <c r="AZ1403" s="82" t="s">
        <v>15984</v>
      </c>
      <c r="BA1403" s="82" t="s">
        <v>15984</v>
      </c>
      <c r="BB1403" s="82" t="s">
        <v>15984</v>
      </c>
      <c r="BC1403" s="82" t="s">
        <v>13047</v>
      </c>
      <c r="BD1403" s="77">
        <v>20980846</v>
      </c>
      <c r="BE1403" s="77"/>
      <c r="BF1403" s="77"/>
      <c r="BG1403" s="77"/>
      <c r="BH1403" s="77"/>
      <c r="BI1403" s="77"/>
    </row>
    <row r="1404" spans="1:61" x14ac:dyDescent="0.25">
      <c r="A1404" s="62" t="s">
        <v>614</v>
      </c>
      <c r="B1404" s="62" t="s">
        <v>874</v>
      </c>
      <c r="C1404" s="63"/>
      <c r="D1404" s="64"/>
      <c r="E1404" s="65"/>
      <c r="F1404" s="66"/>
      <c r="G1404" s="63"/>
      <c r="H1404" s="67"/>
      <c r="I1404" s="68"/>
      <c r="J1404" s="68"/>
      <c r="K1404" s="32"/>
      <c r="L1404" s="75">
        <v>1404</v>
      </c>
      <c r="M1404" s="75"/>
      <c r="N1404" s="70"/>
      <c r="O1404" s="77" t="s">
        <v>895</v>
      </c>
      <c r="P1404" s="79">
        <v>45121.484039351853</v>
      </c>
      <c r="Q1404" s="77" t="s">
        <v>2130</v>
      </c>
      <c r="R1404" s="77">
        <v>1</v>
      </c>
      <c r="S1404" s="77">
        <v>15</v>
      </c>
      <c r="T1404" s="77">
        <v>1</v>
      </c>
      <c r="U1404" s="77">
        <v>1</v>
      </c>
      <c r="V1404" s="77">
        <v>2663</v>
      </c>
      <c r="W1404" s="82" t="s">
        <v>4821</v>
      </c>
      <c r="X1404" s="80" t="str">
        <f>HYPERLINK("https://www.valoraanalitik.com/2023/07/14/camioneros-en-contra-del-ministro-bonilla-por-alza-en-el-diesel/")</f>
        <v>https://www.valoraanalitik.com/2023/07/14/camioneros-en-contra-del-ministro-bonilla-por-alza-en-el-diesel/</v>
      </c>
      <c r="Y1404" s="77" t="s">
        <v>6471</v>
      </c>
      <c r="Z1404" s="77" t="s">
        <v>6610</v>
      </c>
      <c r="AA1404" s="77"/>
      <c r="AB1404" s="77"/>
      <c r="AC1404" s="82" t="s">
        <v>7750</v>
      </c>
      <c r="AD1404" s="77" t="s">
        <v>7790</v>
      </c>
      <c r="AE1404" s="80" t="str">
        <f>HYPERLINK("https://twitter.com/valoraanalitik/status/1679817270065876993")</f>
        <v>https://twitter.com/valoraanalitik/status/1679817270065876993</v>
      </c>
      <c r="AF1404" s="79">
        <v>45121.484039351853</v>
      </c>
      <c r="AG1404" s="85">
        <v>45121</v>
      </c>
      <c r="AH1404" s="82" t="s">
        <v>8987</v>
      </c>
      <c r="AI1404" s="77" t="b">
        <v>0</v>
      </c>
      <c r="AJ1404" s="77"/>
      <c r="AK1404" s="77"/>
      <c r="AL1404" s="77"/>
      <c r="AM1404" s="77"/>
      <c r="AN1404" s="77"/>
      <c r="AO1404" s="77"/>
      <c r="AP1404" s="77"/>
      <c r="AQ1404" s="77"/>
      <c r="AR1404" s="77"/>
      <c r="AS1404" s="77"/>
      <c r="AT1404" s="77"/>
      <c r="AU1404" s="77"/>
      <c r="AV1404" s="80" t="str">
        <f>HYPERLINK("https://pbs.twimg.com/profile_images/1475155236713029641/7Lb8npQr_normal.jpg")</f>
        <v>https://pbs.twimg.com/profile_images/1475155236713029641/7Lb8npQr_normal.jpg</v>
      </c>
      <c r="AW1404" s="82" t="s">
        <v>13017</v>
      </c>
      <c r="AX1404" s="82" t="s">
        <v>13017</v>
      </c>
      <c r="AY1404" s="77"/>
      <c r="AZ1404" s="82" t="s">
        <v>15984</v>
      </c>
      <c r="BA1404" s="82" t="s">
        <v>15984</v>
      </c>
      <c r="BB1404" s="82" t="s">
        <v>15984</v>
      </c>
      <c r="BC1404" s="82" t="s">
        <v>13017</v>
      </c>
      <c r="BD1404" s="77">
        <v>20980846</v>
      </c>
      <c r="BE1404" s="77"/>
      <c r="BF1404" s="77"/>
      <c r="BG1404" s="77"/>
      <c r="BH1404" s="77"/>
      <c r="BI1404" s="77"/>
    </row>
    <row r="1405" spans="1:61" x14ac:dyDescent="0.25">
      <c r="A1405" s="62" t="s">
        <v>614</v>
      </c>
      <c r="B1405" s="62" t="s">
        <v>874</v>
      </c>
      <c r="C1405" s="63"/>
      <c r="D1405" s="64"/>
      <c r="E1405" s="65"/>
      <c r="F1405" s="66"/>
      <c r="G1405" s="63"/>
      <c r="H1405" s="67"/>
      <c r="I1405" s="68"/>
      <c r="J1405" s="68"/>
      <c r="K1405" s="32"/>
      <c r="L1405" s="75">
        <v>1405</v>
      </c>
      <c r="M1405" s="75"/>
      <c r="N1405" s="70"/>
      <c r="O1405" s="77" t="s">
        <v>895</v>
      </c>
      <c r="P1405" s="79">
        <v>45193.024722222224</v>
      </c>
      <c r="Q1405" s="77" t="s">
        <v>2131</v>
      </c>
      <c r="R1405" s="77">
        <v>3</v>
      </c>
      <c r="S1405" s="77">
        <v>4</v>
      </c>
      <c r="T1405" s="77">
        <v>0</v>
      </c>
      <c r="U1405" s="77">
        <v>0</v>
      </c>
      <c r="V1405" s="77">
        <v>1605</v>
      </c>
      <c r="W1405" s="82" t="s">
        <v>4821</v>
      </c>
      <c r="X1405" s="80" t="str">
        <f>HYPERLINK("https://www.valoraanalitik.com/2023/09/23/subir-precio-peajes-colombia-la-peticion-del-exministro-ocampo/")</f>
        <v>https://www.valoraanalitik.com/2023/09/23/subir-precio-peajes-colombia-la-peticion-del-exministro-ocampo/</v>
      </c>
      <c r="Y1405" s="77" t="s">
        <v>6471</v>
      </c>
      <c r="Z1405" s="77" t="s">
        <v>6611</v>
      </c>
      <c r="AA1405" s="77"/>
      <c r="AB1405" s="77"/>
      <c r="AC1405" s="82" t="s">
        <v>7750</v>
      </c>
      <c r="AD1405" s="77" t="s">
        <v>7790</v>
      </c>
      <c r="AE1405" s="80" t="str">
        <f>HYPERLINK("https://twitter.com/valoraanalitik/status/1705742744524566919")</f>
        <v>https://twitter.com/valoraanalitik/status/1705742744524566919</v>
      </c>
      <c r="AF1405" s="79">
        <v>45193.024722222224</v>
      </c>
      <c r="AG1405" s="85">
        <v>45193</v>
      </c>
      <c r="AH1405" s="82" t="s">
        <v>8988</v>
      </c>
      <c r="AI1405" s="77" t="b">
        <v>0</v>
      </c>
      <c r="AJ1405" s="77"/>
      <c r="AK1405" s="77"/>
      <c r="AL1405" s="77"/>
      <c r="AM1405" s="77"/>
      <c r="AN1405" s="77"/>
      <c r="AO1405" s="77"/>
      <c r="AP1405" s="77"/>
      <c r="AQ1405" s="77"/>
      <c r="AR1405" s="77"/>
      <c r="AS1405" s="77"/>
      <c r="AT1405" s="77"/>
      <c r="AU1405" s="77"/>
      <c r="AV1405" s="80" t="str">
        <f>HYPERLINK("https://pbs.twimg.com/profile_images/1475155236713029641/7Lb8npQr_normal.jpg")</f>
        <v>https://pbs.twimg.com/profile_images/1475155236713029641/7Lb8npQr_normal.jpg</v>
      </c>
      <c r="AW1405" s="82" t="s">
        <v>13018</v>
      </c>
      <c r="AX1405" s="82" t="s">
        <v>13018</v>
      </c>
      <c r="AY1405" s="77"/>
      <c r="AZ1405" s="82" t="s">
        <v>15984</v>
      </c>
      <c r="BA1405" s="82" t="s">
        <v>15984</v>
      </c>
      <c r="BB1405" s="82" t="s">
        <v>15984</v>
      </c>
      <c r="BC1405" s="82" t="s">
        <v>13018</v>
      </c>
      <c r="BD1405" s="77">
        <v>20980846</v>
      </c>
      <c r="BE1405" s="77"/>
      <c r="BF1405" s="77"/>
      <c r="BG1405" s="77"/>
      <c r="BH1405" s="77"/>
      <c r="BI1405" s="77"/>
    </row>
    <row r="1406" spans="1:61" x14ac:dyDescent="0.25">
      <c r="A1406" s="62" t="s">
        <v>614</v>
      </c>
      <c r="B1406" s="62" t="s">
        <v>874</v>
      </c>
      <c r="C1406" s="63"/>
      <c r="D1406" s="64"/>
      <c r="E1406" s="65"/>
      <c r="F1406" s="66"/>
      <c r="G1406" s="63"/>
      <c r="H1406" s="67"/>
      <c r="I1406" s="68"/>
      <c r="J1406" s="68"/>
      <c r="K1406" s="32"/>
      <c r="L1406" s="75">
        <v>1406</v>
      </c>
      <c r="M1406" s="75"/>
      <c r="N1406" s="70"/>
      <c r="O1406" s="77" t="s">
        <v>895</v>
      </c>
      <c r="P1406" s="79">
        <v>45141.789641203701</v>
      </c>
      <c r="Q1406" s="77" t="s">
        <v>2161</v>
      </c>
      <c r="R1406" s="77">
        <v>5</v>
      </c>
      <c r="S1406" s="77">
        <v>6</v>
      </c>
      <c r="T1406" s="77">
        <v>1</v>
      </c>
      <c r="U1406" s="77">
        <v>0</v>
      </c>
      <c r="V1406" s="77">
        <v>8263</v>
      </c>
      <c r="W1406" s="82" t="s">
        <v>4821</v>
      </c>
      <c r="X1406" s="80" t="str">
        <f>HYPERLINK("https://bit.ly/44R8rTn")</f>
        <v>https://bit.ly/44R8rTn</v>
      </c>
      <c r="Y1406" s="77" t="s">
        <v>6468</v>
      </c>
      <c r="Z1406" s="77" t="s">
        <v>6622</v>
      </c>
      <c r="AA1406" s="77"/>
      <c r="AB1406" s="77"/>
      <c r="AC1406" s="82" t="s">
        <v>7775</v>
      </c>
      <c r="AD1406" s="77" t="s">
        <v>7790</v>
      </c>
      <c r="AE1406" s="80" t="str">
        <f>HYPERLINK("https://twitter.com/valoraanalitik/status/1687175776536346626")</f>
        <v>https://twitter.com/valoraanalitik/status/1687175776536346626</v>
      </c>
      <c r="AF1406" s="79">
        <v>45141.789641203701</v>
      </c>
      <c r="AG1406" s="85">
        <v>45141</v>
      </c>
      <c r="AH1406" s="82" t="s">
        <v>9017</v>
      </c>
      <c r="AI1406" s="77" t="b">
        <v>0</v>
      </c>
      <c r="AJ1406" s="77"/>
      <c r="AK1406" s="77"/>
      <c r="AL1406" s="77"/>
      <c r="AM1406" s="77"/>
      <c r="AN1406" s="77"/>
      <c r="AO1406" s="77"/>
      <c r="AP1406" s="77"/>
      <c r="AQ1406" s="77"/>
      <c r="AR1406" s="77"/>
      <c r="AS1406" s="77"/>
      <c r="AT1406" s="77"/>
      <c r="AU1406" s="77"/>
      <c r="AV1406" s="80" t="str">
        <f>HYPERLINK("https://pbs.twimg.com/profile_images/1475155236713029641/7Lb8npQr_normal.jpg")</f>
        <v>https://pbs.twimg.com/profile_images/1475155236713029641/7Lb8npQr_normal.jpg</v>
      </c>
      <c r="AW1406" s="82" t="s">
        <v>13048</v>
      </c>
      <c r="AX1406" s="82" t="s">
        <v>13048</v>
      </c>
      <c r="AY1406" s="77"/>
      <c r="AZ1406" s="82" t="s">
        <v>15984</v>
      </c>
      <c r="BA1406" s="82" t="s">
        <v>15984</v>
      </c>
      <c r="BB1406" s="82" t="s">
        <v>15984</v>
      </c>
      <c r="BC1406" s="82" t="s">
        <v>13048</v>
      </c>
      <c r="BD1406" s="77">
        <v>20980846</v>
      </c>
      <c r="BE1406" s="77"/>
      <c r="BF1406" s="77"/>
      <c r="BG1406" s="77"/>
      <c r="BH1406" s="77"/>
      <c r="BI1406" s="77"/>
    </row>
    <row r="1407" spans="1:61" x14ac:dyDescent="0.25">
      <c r="A1407" s="62" t="s">
        <v>614</v>
      </c>
      <c r="B1407" s="62" t="s">
        <v>874</v>
      </c>
      <c r="C1407" s="63"/>
      <c r="D1407" s="64"/>
      <c r="E1407" s="65"/>
      <c r="F1407" s="66"/>
      <c r="G1407" s="63"/>
      <c r="H1407" s="67"/>
      <c r="I1407" s="68"/>
      <c r="J1407" s="68"/>
      <c r="K1407" s="32"/>
      <c r="L1407" s="75">
        <v>1407</v>
      </c>
      <c r="M1407" s="75"/>
      <c r="N1407" s="70"/>
      <c r="O1407" s="77" t="s">
        <v>895</v>
      </c>
      <c r="P1407" s="79">
        <v>45124.514386574076</v>
      </c>
      <c r="Q1407" s="77" t="s">
        <v>2143</v>
      </c>
      <c r="R1407" s="77">
        <v>2</v>
      </c>
      <c r="S1407" s="77">
        <v>6</v>
      </c>
      <c r="T1407" s="77">
        <v>0</v>
      </c>
      <c r="U1407" s="77">
        <v>0</v>
      </c>
      <c r="V1407" s="77">
        <v>1551</v>
      </c>
      <c r="W1407" s="82" t="s">
        <v>4821</v>
      </c>
      <c r="X1407" s="80" t="str">
        <f>HYPERLINK("https://www.valoraanalitik.com/2023/07/17/bonilla-respondio-a-camioneros-por-alzas-en-precio-del-acpm/")</f>
        <v>https://www.valoraanalitik.com/2023/07/17/bonilla-respondio-a-camioneros-por-alzas-en-precio-del-acpm/</v>
      </c>
      <c r="Y1407" s="77" t="s">
        <v>6471</v>
      </c>
      <c r="Z1407" s="77" t="s">
        <v>6620</v>
      </c>
      <c r="AA1407" s="77"/>
      <c r="AB1407" s="77"/>
      <c r="AC1407" s="82" t="s">
        <v>7750</v>
      </c>
      <c r="AD1407" s="77" t="s">
        <v>7790</v>
      </c>
      <c r="AE1407" s="80" t="str">
        <f>HYPERLINK("https://twitter.com/valoraanalitik/status/1680915430280396800")</f>
        <v>https://twitter.com/valoraanalitik/status/1680915430280396800</v>
      </c>
      <c r="AF1407" s="79">
        <v>45124.514386574076</v>
      </c>
      <c r="AG1407" s="85">
        <v>45124</v>
      </c>
      <c r="AH1407" s="82" t="s">
        <v>9000</v>
      </c>
      <c r="AI1407" s="77" t="b">
        <v>0</v>
      </c>
      <c r="AJ1407" s="77"/>
      <c r="AK1407" s="77"/>
      <c r="AL1407" s="77"/>
      <c r="AM1407" s="77"/>
      <c r="AN1407" s="77"/>
      <c r="AO1407" s="77"/>
      <c r="AP1407" s="77"/>
      <c r="AQ1407" s="77"/>
      <c r="AR1407" s="77"/>
      <c r="AS1407" s="77"/>
      <c r="AT1407" s="77"/>
      <c r="AU1407" s="77"/>
      <c r="AV1407" s="80" t="str">
        <f>HYPERLINK("https://pbs.twimg.com/profile_images/1475155236713029641/7Lb8npQr_normal.jpg")</f>
        <v>https://pbs.twimg.com/profile_images/1475155236713029641/7Lb8npQr_normal.jpg</v>
      </c>
      <c r="AW1407" s="82" t="s">
        <v>13030</v>
      </c>
      <c r="AX1407" s="82" t="s">
        <v>13030</v>
      </c>
      <c r="AY1407" s="77"/>
      <c r="AZ1407" s="82" t="s">
        <v>15984</v>
      </c>
      <c r="BA1407" s="82" t="s">
        <v>15984</v>
      </c>
      <c r="BB1407" s="82" t="s">
        <v>15984</v>
      </c>
      <c r="BC1407" s="82" t="s">
        <v>13030</v>
      </c>
      <c r="BD1407" s="77">
        <v>20980846</v>
      </c>
      <c r="BE1407" s="77"/>
      <c r="BF1407" s="77"/>
      <c r="BG1407" s="77"/>
      <c r="BH1407" s="77"/>
      <c r="BI1407" s="77"/>
    </row>
    <row r="1408" spans="1:61" x14ac:dyDescent="0.25">
      <c r="A1408" s="62" t="s">
        <v>614</v>
      </c>
      <c r="B1408" s="62" t="s">
        <v>742</v>
      </c>
      <c r="C1408" s="63"/>
      <c r="D1408" s="64"/>
      <c r="E1408" s="65"/>
      <c r="F1408" s="66"/>
      <c r="G1408" s="63"/>
      <c r="H1408" s="67"/>
      <c r="I1408" s="68"/>
      <c r="J1408" s="68"/>
      <c r="K1408" s="32"/>
      <c r="L1408" s="75">
        <v>1408</v>
      </c>
      <c r="M1408" s="75"/>
      <c r="N1408" s="70"/>
      <c r="O1408" s="77" t="s">
        <v>895</v>
      </c>
      <c r="P1408" s="79">
        <v>45146.966168981482</v>
      </c>
      <c r="Q1408" s="77" t="s">
        <v>2162</v>
      </c>
      <c r="R1408" s="77">
        <v>3</v>
      </c>
      <c r="S1408" s="77">
        <v>5</v>
      </c>
      <c r="T1408" s="77">
        <v>0</v>
      </c>
      <c r="U1408" s="77">
        <v>1</v>
      </c>
      <c r="V1408" s="77">
        <v>1439</v>
      </c>
      <c r="W1408" s="82" t="s">
        <v>4821</v>
      </c>
      <c r="X1408" s="80" t="str">
        <f>HYPERLINK("https://bit.ly/442U1i3")</f>
        <v>https://bit.ly/442U1i3</v>
      </c>
      <c r="Y1408" s="77" t="s">
        <v>6468</v>
      </c>
      <c r="Z1408" s="77" t="s">
        <v>742</v>
      </c>
      <c r="AA1408" s="77"/>
      <c r="AB1408" s="77"/>
      <c r="AC1408" s="82" t="s">
        <v>7775</v>
      </c>
      <c r="AD1408" s="77" t="s">
        <v>7790</v>
      </c>
      <c r="AE1408" s="80" t="str">
        <f>HYPERLINK("https://twitter.com/valoraanalitik/status/1689051686583590912")</f>
        <v>https://twitter.com/valoraanalitik/status/1689051686583590912</v>
      </c>
      <c r="AF1408" s="79">
        <v>45146.966168981482</v>
      </c>
      <c r="AG1408" s="85">
        <v>45146</v>
      </c>
      <c r="AH1408" s="82" t="s">
        <v>9018</v>
      </c>
      <c r="AI1408" s="77" t="b">
        <v>0</v>
      </c>
      <c r="AJ1408" s="77"/>
      <c r="AK1408" s="77"/>
      <c r="AL1408" s="77"/>
      <c r="AM1408" s="77"/>
      <c r="AN1408" s="77"/>
      <c r="AO1408" s="77"/>
      <c r="AP1408" s="77"/>
      <c r="AQ1408" s="77"/>
      <c r="AR1408" s="77"/>
      <c r="AS1408" s="77"/>
      <c r="AT1408" s="77"/>
      <c r="AU1408" s="77"/>
      <c r="AV1408" s="80" t="str">
        <f>HYPERLINK("https://pbs.twimg.com/profile_images/1475155236713029641/7Lb8npQr_normal.jpg")</f>
        <v>https://pbs.twimg.com/profile_images/1475155236713029641/7Lb8npQr_normal.jpg</v>
      </c>
      <c r="AW1408" s="82" t="s">
        <v>13049</v>
      </c>
      <c r="AX1408" s="82" t="s">
        <v>13049</v>
      </c>
      <c r="AY1408" s="77"/>
      <c r="AZ1408" s="82" t="s">
        <v>15984</v>
      </c>
      <c r="BA1408" s="82" t="s">
        <v>15984</v>
      </c>
      <c r="BB1408" s="82" t="s">
        <v>15984</v>
      </c>
      <c r="BC1408" s="82" t="s">
        <v>13049</v>
      </c>
      <c r="BD1408" s="77">
        <v>20980846</v>
      </c>
      <c r="BE1408" s="77"/>
      <c r="BF1408" s="77"/>
      <c r="BG1408" s="77"/>
      <c r="BH1408" s="77"/>
      <c r="BI1408" s="77"/>
    </row>
    <row r="1409" spans="1:61" x14ac:dyDescent="0.25">
      <c r="A1409" s="62" t="s">
        <v>614</v>
      </c>
      <c r="B1409" s="62" t="s">
        <v>742</v>
      </c>
      <c r="C1409" s="63"/>
      <c r="D1409" s="64"/>
      <c r="E1409" s="65"/>
      <c r="F1409" s="66"/>
      <c r="G1409" s="63"/>
      <c r="H1409" s="67"/>
      <c r="I1409" s="68"/>
      <c r="J1409" s="68"/>
      <c r="K1409" s="32"/>
      <c r="L1409" s="75">
        <v>1409</v>
      </c>
      <c r="M1409" s="75"/>
      <c r="N1409" s="70"/>
      <c r="O1409" s="77" t="s">
        <v>895</v>
      </c>
      <c r="P1409" s="79">
        <v>45119.968148148146</v>
      </c>
      <c r="Q1409" s="77" t="s">
        <v>2163</v>
      </c>
      <c r="R1409" s="77">
        <v>2</v>
      </c>
      <c r="S1409" s="77">
        <v>7</v>
      </c>
      <c r="T1409" s="77">
        <v>1</v>
      </c>
      <c r="U1409" s="77">
        <v>0</v>
      </c>
      <c r="V1409" s="77">
        <v>1834</v>
      </c>
      <c r="W1409" s="82" t="s">
        <v>4821</v>
      </c>
      <c r="X1409" s="80" t="str">
        <f>HYPERLINK("https://bit.ly/3rmiotj")</f>
        <v>https://bit.ly/3rmiotj</v>
      </c>
      <c r="Y1409" s="77" t="s">
        <v>6468</v>
      </c>
      <c r="Z1409" s="77" t="s">
        <v>742</v>
      </c>
      <c r="AA1409" s="77"/>
      <c r="AB1409" s="77"/>
      <c r="AC1409" s="82" t="s">
        <v>7775</v>
      </c>
      <c r="AD1409" s="77" t="s">
        <v>7790</v>
      </c>
      <c r="AE1409" s="80" t="str">
        <f>HYPERLINK("https://twitter.com/valoraanalitik/status/1679267931631304707")</f>
        <v>https://twitter.com/valoraanalitik/status/1679267931631304707</v>
      </c>
      <c r="AF1409" s="79">
        <v>45119.968148148146</v>
      </c>
      <c r="AG1409" s="85">
        <v>45119</v>
      </c>
      <c r="AH1409" s="82" t="s">
        <v>9019</v>
      </c>
      <c r="AI1409" s="77" t="b">
        <v>0</v>
      </c>
      <c r="AJ1409" s="77"/>
      <c r="AK1409" s="77"/>
      <c r="AL1409" s="77"/>
      <c r="AM1409" s="77"/>
      <c r="AN1409" s="77"/>
      <c r="AO1409" s="77"/>
      <c r="AP1409" s="77"/>
      <c r="AQ1409" s="77"/>
      <c r="AR1409" s="77"/>
      <c r="AS1409" s="77"/>
      <c r="AT1409" s="77"/>
      <c r="AU1409" s="77"/>
      <c r="AV1409" s="80" t="str">
        <f>HYPERLINK("https://pbs.twimg.com/profile_images/1475155236713029641/7Lb8npQr_normal.jpg")</f>
        <v>https://pbs.twimg.com/profile_images/1475155236713029641/7Lb8npQr_normal.jpg</v>
      </c>
      <c r="AW1409" s="82" t="s">
        <v>13050</v>
      </c>
      <c r="AX1409" s="82" t="s">
        <v>13050</v>
      </c>
      <c r="AY1409" s="77"/>
      <c r="AZ1409" s="82" t="s">
        <v>15984</v>
      </c>
      <c r="BA1409" s="82" t="s">
        <v>15984</v>
      </c>
      <c r="BB1409" s="82" t="s">
        <v>15984</v>
      </c>
      <c r="BC1409" s="82" t="s">
        <v>13050</v>
      </c>
      <c r="BD1409" s="77">
        <v>20980846</v>
      </c>
      <c r="BE1409" s="77"/>
      <c r="BF1409" s="77"/>
      <c r="BG1409" s="77"/>
      <c r="BH1409" s="77"/>
      <c r="BI1409" s="77"/>
    </row>
    <row r="1410" spans="1:61" x14ac:dyDescent="0.25">
      <c r="A1410" s="62" t="s">
        <v>614</v>
      </c>
      <c r="B1410" s="62" t="s">
        <v>742</v>
      </c>
      <c r="C1410" s="63"/>
      <c r="D1410" s="64"/>
      <c r="E1410" s="65"/>
      <c r="F1410" s="66"/>
      <c r="G1410" s="63"/>
      <c r="H1410" s="67"/>
      <c r="I1410" s="68"/>
      <c r="J1410" s="68"/>
      <c r="K1410" s="32"/>
      <c r="L1410" s="75">
        <v>1410</v>
      </c>
      <c r="M1410" s="75"/>
      <c r="N1410" s="70"/>
      <c r="O1410" s="77" t="s">
        <v>895</v>
      </c>
      <c r="P1410" s="79">
        <v>45118.816064814811</v>
      </c>
      <c r="Q1410" s="77" t="s">
        <v>2164</v>
      </c>
      <c r="R1410" s="77">
        <v>2</v>
      </c>
      <c r="S1410" s="77">
        <v>3</v>
      </c>
      <c r="T1410" s="77">
        <v>0</v>
      </c>
      <c r="U1410" s="77">
        <v>1</v>
      </c>
      <c r="V1410" s="77">
        <v>979</v>
      </c>
      <c r="W1410" s="82" t="s">
        <v>4821</v>
      </c>
      <c r="X1410" s="80" t="str">
        <f>HYPERLINK("https://bit.ly/3Db40qm")</f>
        <v>https://bit.ly/3Db40qm</v>
      </c>
      <c r="Y1410" s="77" t="s">
        <v>6468</v>
      </c>
      <c r="Z1410" s="77" t="s">
        <v>742</v>
      </c>
      <c r="AA1410" s="77"/>
      <c r="AB1410" s="77"/>
      <c r="AC1410" s="82" t="s">
        <v>7775</v>
      </c>
      <c r="AD1410" s="77" t="s">
        <v>7790</v>
      </c>
      <c r="AE1410" s="80" t="str">
        <f>HYPERLINK("https://twitter.com/valoraanalitik/status/1678850430833512448")</f>
        <v>https://twitter.com/valoraanalitik/status/1678850430833512448</v>
      </c>
      <c r="AF1410" s="79">
        <v>45118.816064814811</v>
      </c>
      <c r="AG1410" s="85">
        <v>45118</v>
      </c>
      <c r="AH1410" s="82" t="s">
        <v>9020</v>
      </c>
      <c r="AI1410" s="77" t="b">
        <v>0</v>
      </c>
      <c r="AJ1410" s="77"/>
      <c r="AK1410" s="77"/>
      <c r="AL1410" s="77"/>
      <c r="AM1410" s="77"/>
      <c r="AN1410" s="77"/>
      <c r="AO1410" s="77"/>
      <c r="AP1410" s="77"/>
      <c r="AQ1410" s="77"/>
      <c r="AR1410" s="77"/>
      <c r="AS1410" s="77"/>
      <c r="AT1410" s="77"/>
      <c r="AU1410" s="77"/>
      <c r="AV1410" s="80" t="str">
        <f>HYPERLINK("https://pbs.twimg.com/profile_images/1475155236713029641/7Lb8npQr_normal.jpg")</f>
        <v>https://pbs.twimg.com/profile_images/1475155236713029641/7Lb8npQr_normal.jpg</v>
      </c>
      <c r="AW1410" s="82" t="s">
        <v>13051</v>
      </c>
      <c r="AX1410" s="82" t="s">
        <v>13051</v>
      </c>
      <c r="AY1410" s="77"/>
      <c r="AZ1410" s="82" t="s">
        <v>15984</v>
      </c>
      <c r="BA1410" s="82" t="s">
        <v>15984</v>
      </c>
      <c r="BB1410" s="82" t="s">
        <v>15984</v>
      </c>
      <c r="BC1410" s="82" t="s">
        <v>13051</v>
      </c>
      <c r="BD1410" s="77">
        <v>20980846</v>
      </c>
      <c r="BE1410" s="77"/>
      <c r="BF1410" s="77"/>
      <c r="BG1410" s="77"/>
      <c r="BH1410" s="77"/>
      <c r="BI1410" s="77"/>
    </row>
    <row r="1411" spans="1:61" x14ac:dyDescent="0.25">
      <c r="A1411" s="62" t="s">
        <v>614</v>
      </c>
      <c r="B1411" s="62" t="s">
        <v>742</v>
      </c>
      <c r="C1411" s="63"/>
      <c r="D1411" s="64"/>
      <c r="E1411" s="65"/>
      <c r="F1411" s="66"/>
      <c r="G1411" s="63"/>
      <c r="H1411" s="67"/>
      <c r="I1411" s="68"/>
      <c r="J1411" s="68"/>
      <c r="K1411" s="32"/>
      <c r="L1411" s="75">
        <v>1411</v>
      </c>
      <c r="M1411" s="75"/>
      <c r="N1411" s="70"/>
      <c r="O1411" s="77" t="s">
        <v>895</v>
      </c>
      <c r="P1411" s="79">
        <v>45152.055555555555</v>
      </c>
      <c r="Q1411" s="77" t="s">
        <v>2112</v>
      </c>
      <c r="R1411" s="77">
        <v>2</v>
      </c>
      <c r="S1411" s="77">
        <v>5</v>
      </c>
      <c r="T1411" s="77">
        <v>0</v>
      </c>
      <c r="U1411" s="77">
        <v>0</v>
      </c>
      <c r="V1411" s="77">
        <v>1784</v>
      </c>
      <c r="W1411" s="82" t="s">
        <v>4821</v>
      </c>
      <c r="X1411" s="80" t="str">
        <f>HYPERLINK("https://www.valoraanalitik.com/2023/08/13/inflacion-colombia-la-ciudad-que-roza-un-digito-en-variacion-anual")</f>
        <v>https://www.valoraanalitik.com/2023/08/13/inflacion-colombia-la-ciudad-que-roza-un-digito-en-variacion-anual</v>
      </c>
      <c r="Y1411" s="77" t="s">
        <v>6471</v>
      </c>
      <c r="Z1411" s="77" t="s">
        <v>6597</v>
      </c>
      <c r="AA1411" s="77"/>
      <c r="AB1411" s="77"/>
      <c r="AC1411" s="82" t="s">
        <v>7750</v>
      </c>
      <c r="AD1411" s="77" t="s">
        <v>7790</v>
      </c>
      <c r="AE1411" s="80" t="str">
        <f>HYPERLINK("https://twitter.com/valoraanalitik/status/1690896016164171776")</f>
        <v>https://twitter.com/valoraanalitik/status/1690896016164171776</v>
      </c>
      <c r="AF1411" s="79">
        <v>45152.055555555555</v>
      </c>
      <c r="AG1411" s="85">
        <v>45152</v>
      </c>
      <c r="AH1411" s="82" t="s">
        <v>8970</v>
      </c>
      <c r="AI1411" s="77" t="b">
        <v>0</v>
      </c>
      <c r="AJ1411" s="77"/>
      <c r="AK1411" s="77"/>
      <c r="AL1411" s="77"/>
      <c r="AM1411" s="77"/>
      <c r="AN1411" s="77"/>
      <c r="AO1411" s="77"/>
      <c r="AP1411" s="77"/>
      <c r="AQ1411" s="77"/>
      <c r="AR1411" s="77"/>
      <c r="AS1411" s="77"/>
      <c r="AT1411" s="77"/>
      <c r="AU1411" s="77"/>
      <c r="AV1411" s="80" t="str">
        <f>HYPERLINK("https://pbs.twimg.com/profile_images/1475155236713029641/7Lb8npQr_normal.jpg")</f>
        <v>https://pbs.twimg.com/profile_images/1475155236713029641/7Lb8npQr_normal.jpg</v>
      </c>
      <c r="AW1411" s="82" t="s">
        <v>12999</v>
      </c>
      <c r="AX1411" s="82" t="s">
        <v>12999</v>
      </c>
      <c r="AY1411" s="77"/>
      <c r="AZ1411" s="82" t="s">
        <v>15984</v>
      </c>
      <c r="BA1411" s="82" t="s">
        <v>15984</v>
      </c>
      <c r="BB1411" s="82" t="s">
        <v>15984</v>
      </c>
      <c r="BC1411" s="82" t="s">
        <v>12999</v>
      </c>
      <c r="BD1411" s="77">
        <v>20980846</v>
      </c>
      <c r="BE1411" s="77"/>
      <c r="BF1411" s="77"/>
      <c r="BG1411" s="77"/>
      <c r="BH1411" s="77"/>
      <c r="BI1411" s="77"/>
    </row>
    <row r="1412" spans="1:61" x14ac:dyDescent="0.25">
      <c r="A1412" s="62" t="s">
        <v>614</v>
      </c>
      <c r="B1412" s="62" t="s">
        <v>742</v>
      </c>
      <c r="C1412" s="63"/>
      <c r="D1412" s="64"/>
      <c r="E1412" s="65"/>
      <c r="F1412" s="66"/>
      <c r="G1412" s="63"/>
      <c r="H1412" s="67"/>
      <c r="I1412" s="68"/>
      <c r="J1412" s="68"/>
      <c r="K1412" s="32"/>
      <c r="L1412" s="75">
        <v>1412</v>
      </c>
      <c r="M1412" s="75"/>
      <c r="N1412" s="70"/>
      <c r="O1412" s="77" t="s">
        <v>895</v>
      </c>
      <c r="P1412" s="79">
        <v>45118.488449074073</v>
      </c>
      <c r="Q1412" s="77" t="s">
        <v>2153</v>
      </c>
      <c r="R1412" s="77">
        <v>1</v>
      </c>
      <c r="S1412" s="77">
        <v>6</v>
      </c>
      <c r="T1412" s="77">
        <v>0</v>
      </c>
      <c r="U1412" s="77">
        <v>0</v>
      </c>
      <c r="V1412" s="77">
        <v>2025</v>
      </c>
      <c r="W1412" s="82" t="s">
        <v>4821</v>
      </c>
      <c r="X1412" s="80" t="str">
        <f>HYPERLINK("https://www.valoraanalitik.com/2023/07/11/inflacion-colombia-ya-no-le-pega-mas-fuerte-a-hogares-pobres/")</f>
        <v>https://www.valoraanalitik.com/2023/07/11/inflacion-colombia-ya-no-le-pega-mas-fuerte-a-hogares-pobres/</v>
      </c>
      <c r="Y1412" s="77" t="s">
        <v>6471</v>
      </c>
      <c r="Z1412" s="77" t="s">
        <v>6625</v>
      </c>
      <c r="AA1412" s="77"/>
      <c r="AB1412" s="77"/>
      <c r="AC1412" s="82" t="s">
        <v>7750</v>
      </c>
      <c r="AD1412" s="77" t="s">
        <v>7790</v>
      </c>
      <c r="AE1412" s="80" t="str">
        <f>HYPERLINK("https://twitter.com/valoraanalitik/status/1678731706898042881")</f>
        <v>https://twitter.com/valoraanalitik/status/1678731706898042881</v>
      </c>
      <c r="AF1412" s="79">
        <v>45118.488449074073</v>
      </c>
      <c r="AG1412" s="85">
        <v>45118</v>
      </c>
      <c r="AH1412" s="82" t="s">
        <v>9009</v>
      </c>
      <c r="AI1412" s="77" t="b">
        <v>0</v>
      </c>
      <c r="AJ1412" s="77"/>
      <c r="AK1412" s="77"/>
      <c r="AL1412" s="77"/>
      <c r="AM1412" s="77"/>
      <c r="AN1412" s="77"/>
      <c r="AO1412" s="77"/>
      <c r="AP1412" s="77"/>
      <c r="AQ1412" s="77"/>
      <c r="AR1412" s="77"/>
      <c r="AS1412" s="77"/>
      <c r="AT1412" s="77"/>
      <c r="AU1412" s="77"/>
      <c r="AV1412" s="80" t="str">
        <f>HYPERLINK("https://pbs.twimg.com/profile_images/1475155236713029641/7Lb8npQr_normal.jpg")</f>
        <v>https://pbs.twimg.com/profile_images/1475155236713029641/7Lb8npQr_normal.jpg</v>
      </c>
      <c r="AW1412" s="82" t="s">
        <v>13040</v>
      </c>
      <c r="AX1412" s="82" t="s">
        <v>13040</v>
      </c>
      <c r="AY1412" s="77"/>
      <c r="AZ1412" s="82" t="s">
        <v>15984</v>
      </c>
      <c r="BA1412" s="82" t="s">
        <v>15984</v>
      </c>
      <c r="BB1412" s="82" t="s">
        <v>15984</v>
      </c>
      <c r="BC1412" s="82" t="s">
        <v>13040</v>
      </c>
      <c r="BD1412" s="77">
        <v>20980846</v>
      </c>
      <c r="BE1412" s="77"/>
      <c r="BF1412" s="77"/>
      <c r="BG1412" s="77"/>
      <c r="BH1412" s="77"/>
      <c r="BI1412" s="77"/>
    </row>
    <row r="1413" spans="1:61" x14ac:dyDescent="0.25">
      <c r="A1413" s="62" t="s">
        <v>614</v>
      </c>
      <c r="B1413" s="62" t="s">
        <v>742</v>
      </c>
      <c r="C1413" s="63"/>
      <c r="D1413" s="64"/>
      <c r="E1413" s="65"/>
      <c r="F1413" s="66"/>
      <c r="G1413" s="63"/>
      <c r="H1413" s="67"/>
      <c r="I1413" s="68"/>
      <c r="J1413" s="68"/>
      <c r="K1413" s="32"/>
      <c r="L1413" s="75">
        <v>1413</v>
      </c>
      <c r="M1413" s="75"/>
      <c r="N1413" s="70"/>
      <c r="O1413" s="77" t="s">
        <v>895</v>
      </c>
      <c r="P1413" s="79">
        <v>45146.000694444447</v>
      </c>
      <c r="Q1413" s="77" t="s">
        <v>2115</v>
      </c>
      <c r="R1413" s="77">
        <v>0</v>
      </c>
      <c r="S1413" s="77">
        <v>2</v>
      </c>
      <c r="T1413" s="77">
        <v>0</v>
      </c>
      <c r="U1413" s="77">
        <v>0</v>
      </c>
      <c r="V1413" s="77">
        <v>1660</v>
      </c>
      <c r="W1413" s="82" t="s">
        <v>4821</v>
      </c>
      <c r="X1413" s="80" t="str">
        <f>HYPERLINK("https://www.valoraanalitik.com/2023/08/07/inflacion-colombia-julio-del-2023-de-cuanto-habria-sido")</f>
        <v>https://www.valoraanalitik.com/2023/08/07/inflacion-colombia-julio-del-2023-de-cuanto-habria-sido</v>
      </c>
      <c r="Y1413" s="77" t="s">
        <v>6471</v>
      </c>
      <c r="Z1413" s="77" t="s">
        <v>6599</v>
      </c>
      <c r="AA1413" s="77"/>
      <c r="AB1413" s="77"/>
      <c r="AC1413" s="82" t="s">
        <v>7750</v>
      </c>
      <c r="AD1413" s="77" t="s">
        <v>7790</v>
      </c>
      <c r="AE1413" s="80" t="str">
        <f>HYPERLINK("https://twitter.com/valoraanalitik/status/1688701808049541120")</f>
        <v>https://twitter.com/valoraanalitik/status/1688701808049541120</v>
      </c>
      <c r="AF1413" s="79">
        <v>45146.000694444447</v>
      </c>
      <c r="AG1413" s="85">
        <v>45146</v>
      </c>
      <c r="AH1413" s="82" t="s">
        <v>8973</v>
      </c>
      <c r="AI1413" s="77" t="b">
        <v>0</v>
      </c>
      <c r="AJ1413" s="77"/>
      <c r="AK1413" s="77"/>
      <c r="AL1413" s="77"/>
      <c r="AM1413" s="77"/>
      <c r="AN1413" s="77"/>
      <c r="AO1413" s="77"/>
      <c r="AP1413" s="77"/>
      <c r="AQ1413" s="77"/>
      <c r="AR1413" s="77"/>
      <c r="AS1413" s="77"/>
      <c r="AT1413" s="77"/>
      <c r="AU1413" s="77"/>
      <c r="AV1413" s="80" t="str">
        <f>HYPERLINK("https://pbs.twimg.com/profile_images/1475155236713029641/7Lb8npQr_normal.jpg")</f>
        <v>https://pbs.twimg.com/profile_images/1475155236713029641/7Lb8npQr_normal.jpg</v>
      </c>
      <c r="AW1413" s="82" t="s">
        <v>13002</v>
      </c>
      <c r="AX1413" s="82" t="s">
        <v>13002</v>
      </c>
      <c r="AY1413" s="77"/>
      <c r="AZ1413" s="82" t="s">
        <v>15984</v>
      </c>
      <c r="BA1413" s="82" t="s">
        <v>15984</v>
      </c>
      <c r="BB1413" s="82" t="s">
        <v>15984</v>
      </c>
      <c r="BC1413" s="82" t="s">
        <v>13002</v>
      </c>
      <c r="BD1413" s="77">
        <v>20980846</v>
      </c>
      <c r="BE1413" s="77"/>
      <c r="BF1413" s="77"/>
      <c r="BG1413" s="77"/>
      <c r="BH1413" s="77"/>
      <c r="BI1413" s="77"/>
    </row>
    <row r="1414" spans="1:61" x14ac:dyDescent="0.25">
      <c r="A1414" s="62" t="s">
        <v>614</v>
      </c>
      <c r="B1414" s="62" t="s">
        <v>742</v>
      </c>
      <c r="C1414" s="63"/>
      <c r="D1414" s="64"/>
      <c r="E1414" s="65"/>
      <c r="F1414" s="66"/>
      <c r="G1414" s="63"/>
      <c r="H1414" s="67"/>
      <c r="I1414" s="68"/>
      <c r="J1414" s="68"/>
      <c r="K1414" s="32"/>
      <c r="L1414" s="75">
        <v>1414</v>
      </c>
      <c r="M1414" s="75"/>
      <c r="N1414" s="70"/>
      <c r="O1414" s="77" t="s">
        <v>895</v>
      </c>
      <c r="P1414" s="79">
        <v>45153.713171296295</v>
      </c>
      <c r="Q1414" s="77" t="s">
        <v>2165</v>
      </c>
      <c r="R1414" s="77">
        <v>3</v>
      </c>
      <c r="S1414" s="77">
        <v>13</v>
      </c>
      <c r="T1414" s="77">
        <v>0</v>
      </c>
      <c r="U1414" s="77">
        <v>0</v>
      </c>
      <c r="V1414" s="77">
        <v>1176</v>
      </c>
      <c r="W1414" s="82" t="s">
        <v>4821</v>
      </c>
      <c r="X1414" s="80" t="str">
        <f>HYPERLINK("https://bit.ly/3YEd4OG")</f>
        <v>https://bit.ly/3YEd4OG</v>
      </c>
      <c r="Y1414" s="77" t="s">
        <v>6468</v>
      </c>
      <c r="Z1414" s="77" t="s">
        <v>742</v>
      </c>
      <c r="AA1414" s="77"/>
      <c r="AB1414" s="77"/>
      <c r="AC1414" s="82" t="s">
        <v>7775</v>
      </c>
      <c r="AD1414" s="77" t="s">
        <v>7790</v>
      </c>
      <c r="AE1414" s="80" t="str">
        <f>HYPERLINK("https://twitter.com/valoraanalitik/status/1691496715549802496")</f>
        <v>https://twitter.com/valoraanalitik/status/1691496715549802496</v>
      </c>
      <c r="AF1414" s="79">
        <v>45153.713171296295</v>
      </c>
      <c r="AG1414" s="85">
        <v>45153</v>
      </c>
      <c r="AH1414" s="82" t="s">
        <v>9021</v>
      </c>
      <c r="AI1414" s="77" t="b">
        <v>0</v>
      </c>
      <c r="AJ1414" s="77"/>
      <c r="AK1414" s="77"/>
      <c r="AL1414" s="77"/>
      <c r="AM1414" s="77"/>
      <c r="AN1414" s="77"/>
      <c r="AO1414" s="77"/>
      <c r="AP1414" s="77"/>
      <c r="AQ1414" s="77"/>
      <c r="AR1414" s="77"/>
      <c r="AS1414" s="77"/>
      <c r="AT1414" s="77"/>
      <c r="AU1414" s="77"/>
      <c r="AV1414" s="80" t="str">
        <f>HYPERLINK("https://pbs.twimg.com/profile_images/1475155236713029641/7Lb8npQr_normal.jpg")</f>
        <v>https://pbs.twimg.com/profile_images/1475155236713029641/7Lb8npQr_normal.jpg</v>
      </c>
      <c r="AW1414" s="82" t="s">
        <v>13052</v>
      </c>
      <c r="AX1414" s="82" t="s">
        <v>13052</v>
      </c>
      <c r="AY1414" s="77"/>
      <c r="AZ1414" s="82" t="s">
        <v>15984</v>
      </c>
      <c r="BA1414" s="82" t="s">
        <v>15984</v>
      </c>
      <c r="BB1414" s="82" t="s">
        <v>15984</v>
      </c>
      <c r="BC1414" s="82" t="s">
        <v>13052</v>
      </c>
      <c r="BD1414" s="77">
        <v>20980846</v>
      </c>
      <c r="BE1414" s="77"/>
      <c r="BF1414" s="77"/>
      <c r="BG1414" s="77"/>
      <c r="BH1414" s="77"/>
      <c r="BI1414" s="77"/>
    </row>
    <row r="1415" spans="1:61" x14ac:dyDescent="0.25">
      <c r="A1415" s="62" t="s">
        <v>614</v>
      </c>
      <c r="B1415" s="62" t="s">
        <v>742</v>
      </c>
      <c r="C1415" s="63"/>
      <c r="D1415" s="64"/>
      <c r="E1415" s="65"/>
      <c r="F1415" s="66"/>
      <c r="G1415" s="63"/>
      <c r="H1415" s="67"/>
      <c r="I1415" s="68"/>
      <c r="J1415" s="68"/>
      <c r="K1415" s="32"/>
      <c r="L1415" s="75">
        <v>1415</v>
      </c>
      <c r="M1415" s="75"/>
      <c r="N1415" s="70"/>
      <c r="O1415" s="77" t="s">
        <v>895</v>
      </c>
      <c r="P1415" s="79">
        <v>45126.050891203704</v>
      </c>
      <c r="Q1415" s="77" t="s">
        <v>2166</v>
      </c>
      <c r="R1415" s="77">
        <v>3</v>
      </c>
      <c r="S1415" s="77">
        <v>6</v>
      </c>
      <c r="T1415" s="77">
        <v>0</v>
      </c>
      <c r="U1415" s="77">
        <v>0</v>
      </c>
      <c r="V1415" s="77">
        <v>1396</v>
      </c>
      <c r="W1415" s="82" t="s">
        <v>4821</v>
      </c>
      <c r="X1415" s="80" t="str">
        <f>HYPERLINK("https://www.valoraanalitik.com/2023/07/18/economia-de-colombia-por-que-crecio-en-mayo-de-2023/")</f>
        <v>https://www.valoraanalitik.com/2023/07/18/economia-de-colombia-por-que-crecio-en-mayo-de-2023/</v>
      </c>
      <c r="Y1415" s="77" t="s">
        <v>6471</v>
      </c>
      <c r="Z1415" s="77" t="s">
        <v>742</v>
      </c>
      <c r="AA1415" s="77"/>
      <c r="AB1415" s="77"/>
      <c r="AC1415" s="82" t="s">
        <v>7750</v>
      </c>
      <c r="AD1415" s="77" t="s">
        <v>7790</v>
      </c>
      <c r="AE1415" s="80" t="str">
        <f>HYPERLINK("https://twitter.com/valoraanalitik/status/1681472243547742209")</f>
        <v>https://twitter.com/valoraanalitik/status/1681472243547742209</v>
      </c>
      <c r="AF1415" s="79">
        <v>45126.050891203704</v>
      </c>
      <c r="AG1415" s="85">
        <v>45126</v>
      </c>
      <c r="AH1415" s="82" t="s">
        <v>9022</v>
      </c>
      <c r="AI1415" s="77" t="b">
        <v>0</v>
      </c>
      <c r="AJ1415" s="77"/>
      <c r="AK1415" s="77"/>
      <c r="AL1415" s="77"/>
      <c r="AM1415" s="77"/>
      <c r="AN1415" s="77"/>
      <c r="AO1415" s="77"/>
      <c r="AP1415" s="77"/>
      <c r="AQ1415" s="77"/>
      <c r="AR1415" s="77"/>
      <c r="AS1415" s="77"/>
      <c r="AT1415" s="77"/>
      <c r="AU1415" s="77"/>
      <c r="AV1415" s="80" t="str">
        <f>HYPERLINK("https://pbs.twimg.com/profile_images/1475155236713029641/7Lb8npQr_normal.jpg")</f>
        <v>https://pbs.twimg.com/profile_images/1475155236713029641/7Lb8npQr_normal.jpg</v>
      </c>
      <c r="AW1415" s="82" t="s">
        <v>13053</v>
      </c>
      <c r="AX1415" s="82" t="s">
        <v>13053</v>
      </c>
      <c r="AY1415" s="77"/>
      <c r="AZ1415" s="82" t="s">
        <v>15984</v>
      </c>
      <c r="BA1415" s="82" t="s">
        <v>15984</v>
      </c>
      <c r="BB1415" s="82" t="s">
        <v>15984</v>
      </c>
      <c r="BC1415" s="82" t="s">
        <v>13053</v>
      </c>
      <c r="BD1415" s="77">
        <v>20980846</v>
      </c>
      <c r="BE1415" s="77"/>
      <c r="BF1415" s="77"/>
      <c r="BG1415" s="77"/>
      <c r="BH1415" s="77"/>
      <c r="BI1415" s="77"/>
    </row>
    <row r="1416" spans="1:61" x14ac:dyDescent="0.25">
      <c r="A1416" s="62" t="s">
        <v>614</v>
      </c>
      <c r="B1416" s="62" t="s">
        <v>742</v>
      </c>
      <c r="C1416" s="63"/>
      <c r="D1416" s="64"/>
      <c r="E1416" s="65"/>
      <c r="F1416" s="66"/>
      <c r="G1416" s="63"/>
      <c r="H1416" s="67"/>
      <c r="I1416" s="68"/>
      <c r="J1416" s="68"/>
      <c r="K1416" s="32"/>
      <c r="L1416" s="75">
        <v>1416</v>
      </c>
      <c r="M1416" s="75"/>
      <c r="N1416" s="70"/>
      <c r="O1416" s="77" t="s">
        <v>895</v>
      </c>
      <c r="P1416" s="79">
        <v>45126.751157407409</v>
      </c>
      <c r="Q1416" s="77" t="s">
        <v>2167</v>
      </c>
      <c r="R1416" s="77">
        <v>3</v>
      </c>
      <c r="S1416" s="77">
        <v>7</v>
      </c>
      <c r="T1416" s="77">
        <v>0</v>
      </c>
      <c r="U1416" s="77">
        <v>1</v>
      </c>
      <c r="V1416" s="77">
        <v>1740</v>
      </c>
      <c r="W1416" s="82" t="s">
        <v>4821</v>
      </c>
      <c r="X1416" s="80" t="str">
        <f>HYPERLINK("https://bit.ly/43x9SFh")</f>
        <v>https://bit.ly/43x9SFh</v>
      </c>
      <c r="Y1416" s="77" t="s">
        <v>6468</v>
      </c>
      <c r="Z1416" s="77" t="s">
        <v>742</v>
      </c>
      <c r="AA1416" s="77"/>
      <c r="AB1416" s="77"/>
      <c r="AC1416" s="82" t="s">
        <v>7775</v>
      </c>
      <c r="AD1416" s="77" t="s">
        <v>7790</v>
      </c>
      <c r="AE1416" s="80" t="str">
        <f>HYPERLINK("https://twitter.com/valoraanalitik/status/1681726011925250051")</f>
        <v>https://twitter.com/valoraanalitik/status/1681726011925250051</v>
      </c>
      <c r="AF1416" s="79">
        <v>45126.751157407409</v>
      </c>
      <c r="AG1416" s="85">
        <v>45126</v>
      </c>
      <c r="AH1416" s="82" t="s">
        <v>9023</v>
      </c>
      <c r="AI1416" s="77" t="b">
        <v>0</v>
      </c>
      <c r="AJ1416" s="77"/>
      <c r="AK1416" s="77"/>
      <c r="AL1416" s="77"/>
      <c r="AM1416" s="77"/>
      <c r="AN1416" s="77"/>
      <c r="AO1416" s="77"/>
      <c r="AP1416" s="77"/>
      <c r="AQ1416" s="77"/>
      <c r="AR1416" s="77"/>
      <c r="AS1416" s="77"/>
      <c r="AT1416" s="77"/>
      <c r="AU1416" s="77"/>
      <c r="AV1416" s="80" t="str">
        <f>HYPERLINK("https://pbs.twimg.com/profile_images/1475155236713029641/7Lb8npQr_normal.jpg")</f>
        <v>https://pbs.twimg.com/profile_images/1475155236713029641/7Lb8npQr_normal.jpg</v>
      </c>
      <c r="AW1416" s="82" t="s">
        <v>13054</v>
      </c>
      <c r="AX1416" s="82" t="s">
        <v>13054</v>
      </c>
      <c r="AY1416" s="77"/>
      <c r="AZ1416" s="82" t="s">
        <v>15984</v>
      </c>
      <c r="BA1416" s="82" t="s">
        <v>15984</v>
      </c>
      <c r="BB1416" s="82" t="s">
        <v>15984</v>
      </c>
      <c r="BC1416" s="82" t="s">
        <v>13054</v>
      </c>
      <c r="BD1416" s="77">
        <v>20980846</v>
      </c>
      <c r="BE1416" s="77"/>
      <c r="BF1416" s="77"/>
      <c r="BG1416" s="77"/>
      <c r="BH1416" s="77"/>
      <c r="BI1416" s="77"/>
    </row>
    <row r="1417" spans="1:61" x14ac:dyDescent="0.25">
      <c r="A1417" s="62" t="s">
        <v>614</v>
      </c>
      <c r="B1417" s="62" t="s">
        <v>742</v>
      </c>
      <c r="C1417" s="63"/>
      <c r="D1417" s="64"/>
      <c r="E1417" s="65"/>
      <c r="F1417" s="66"/>
      <c r="G1417" s="63"/>
      <c r="H1417" s="67"/>
      <c r="I1417" s="68"/>
      <c r="J1417" s="68"/>
      <c r="K1417" s="32"/>
      <c r="L1417" s="75">
        <v>1417</v>
      </c>
      <c r="M1417" s="75"/>
      <c r="N1417" s="70"/>
      <c r="O1417" s="77" t="s">
        <v>895</v>
      </c>
      <c r="P1417" s="79">
        <v>45182.962268518517</v>
      </c>
      <c r="Q1417" s="77" t="s">
        <v>2168</v>
      </c>
      <c r="R1417" s="77">
        <v>1</v>
      </c>
      <c r="S1417" s="77">
        <v>2</v>
      </c>
      <c r="T1417" s="77">
        <v>0</v>
      </c>
      <c r="U1417" s="77">
        <v>0</v>
      </c>
      <c r="V1417" s="77">
        <v>850</v>
      </c>
      <c r="W1417" s="82" t="s">
        <v>4821</v>
      </c>
      <c r="X1417" s="80" t="str">
        <f>HYPERLINK("https://www.valoraanalitik.com/2023/09/13/pib-de-bogota-solo-crecio-02-en-el-segundo-trimestre-en-medio-de-la-desaceleracion-nacional/")</f>
        <v>https://www.valoraanalitik.com/2023/09/13/pib-de-bogota-solo-crecio-02-en-el-segundo-trimestre-en-medio-de-la-desaceleracion-nacional/</v>
      </c>
      <c r="Y1417" s="77" t="s">
        <v>6471</v>
      </c>
      <c r="Z1417" s="77" t="s">
        <v>742</v>
      </c>
      <c r="AA1417" s="77" t="s">
        <v>7344</v>
      </c>
      <c r="AB1417" s="77" t="s">
        <v>7742</v>
      </c>
      <c r="AC1417" s="82" t="s">
        <v>7750</v>
      </c>
      <c r="AD1417" s="77" t="s">
        <v>7790</v>
      </c>
      <c r="AE1417" s="80" t="str">
        <f>HYPERLINK("https://twitter.com/valoraanalitik/status/1702096234679324722")</f>
        <v>https://twitter.com/valoraanalitik/status/1702096234679324722</v>
      </c>
      <c r="AF1417" s="79">
        <v>45182.962268518517</v>
      </c>
      <c r="AG1417" s="85">
        <v>45182</v>
      </c>
      <c r="AH1417" s="82" t="s">
        <v>9024</v>
      </c>
      <c r="AI1417" s="77" t="b">
        <v>0</v>
      </c>
      <c r="AJ1417" s="77"/>
      <c r="AK1417" s="77"/>
      <c r="AL1417" s="77"/>
      <c r="AM1417" s="77"/>
      <c r="AN1417" s="77"/>
      <c r="AO1417" s="77"/>
      <c r="AP1417" s="77"/>
      <c r="AQ1417" s="77" t="s">
        <v>11316</v>
      </c>
      <c r="AR1417" s="77"/>
      <c r="AS1417" s="77"/>
      <c r="AT1417" s="77"/>
      <c r="AU1417" s="77"/>
      <c r="AV1417" s="80" t="str">
        <f>HYPERLINK("https://pbs.twimg.com/media/F58PaCRXMAEEerB.png")</f>
        <v>https://pbs.twimg.com/media/F58PaCRXMAEEerB.png</v>
      </c>
      <c r="AW1417" s="82" t="s">
        <v>13055</v>
      </c>
      <c r="AX1417" s="82" t="s">
        <v>13055</v>
      </c>
      <c r="AY1417" s="77"/>
      <c r="AZ1417" s="82" t="s">
        <v>15984</v>
      </c>
      <c r="BA1417" s="82" t="s">
        <v>15984</v>
      </c>
      <c r="BB1417" s="82" t="s">
        <v>15984</v>
      </c>
      <c r="BC1417" s="82" t="s">
        <v>13055</v>
      </c>
      <c r="BD1417" s="77">
        <v>20980846</v>
      </c>
      <c r="BE1417" s="77"/>
      <c r="BF1417" s="77"/>
      <c r="BG1417" s="77"/>
      <c r="BH1417" s="77"/>
      <c r="BI1417" s="77"/>
    </row>
    <row r="1418" spans="1:61" x14ac:dyDescent="0.25">
      <c r="A1418" s="62" t="s">
        <v>614</v>
      </c>
      <c r="B1418" s="62" t="s">
        <v>742</v>
      </c>
      <c r="C1418" s="63"/>
      <c r="D1418" s="64"/>
      <c r="E1418" s="65"/>
      <c r="F1418" s="66"/>
      <c r="G1418" s="63"/>
      <c r="H1418" s="67"/>
      <c r="I1418" s="68"/>
      <c r="J1418" s="68"/>
      <c r="K1418" s="32"/>
      <c r="L1418" s="75">
        <v>1418</v>
      </c>
      <c r="M1418" s="75"/>
      <c r="N1418" s="70"/>
      <c r="O1418" s="77" t="s">
        <v>895</v>
      </c>
      <c r="P1418" s="79">
        <v>45174.880706018521</v>
      </c>
      <c r="Q1418" s="77" t="s">
        <v>2169</v>
      </c>
      <c r="R1418" s="77">
        <v>5</v>
      </c>
      <c r="S1418" s="77">
        <v>5</v>
      </c>
      <c r="T1418" s="77">
        <v>1</v>
      </c>
      <c r="U1418" s="77">
        <v>1</v>
      </c>
      <c r="V1418" s="77">
        <v>879</v>
      </c>
      <c r="W1418" s="82" t="s">
        <v>4821</v>
      </c>
      <c r="X1418" s="80" t="str">
        <f>HYPERLINK("https://bit.ly/460Ozxg")</f>
        <v>https://bit.ly/460Ozxg</v>
      </c>
      <c r="Y1418" s="77" t="s">
        <v>6468</v>
      </c>
      <c r="Z1418" s="77" t="s">
        <v>742</v>
      </c>
      <c r="AA1418" s="77"/>
      <c r="AB1418" s="77"/>
      <c r="AC1418" s="82" t="s">
        <v>7775</v>
      </c>
      <c r="AD1418" s="77" t="s">
        <v>7790</v>
      </c>
      <c r="AE1418" s="80" t="str">
        <f>HYPERLINK("https://twitter.com/valoraanalitik/status/1699167576180318632")</f>
        <v>https://twitter.com/valoraanalitik/status/1699167576180318632</v>
      </c>
      <c r="AF1418" s="79">
        <v>45174.880706018521</v>
      </c>
      <c r="AG1418" s="85">
        <v>45174</v>
      </c>
      <c r="AH1418" s="82" t="s">
        <v>9025</v>
      </c>
      <c r="AI1418" s="77" t="b">
        <v>0</v>
      </c>
      <c r="AJ1418" s="77"/>
      <c r="AK1418" s="77"/>
      <c r="AL1418" s="77"/>
      <c r="AM1418" s="77"/>
      <c r="AN1418" s="77"/>
      <c r="AO1418" s="77"/>
      <c r="AP1418" s="77"/>
      <c r="AQ1418" s="77"/>
      <c r="AR1418" s="77"/>
      <c r="AS1418" s="77"/>
      <c r="AT1418" s="77"/>
      <c r="AU1418" s="77"/>
      <c r="AV1418" s="80" t="str">
        <f>HYPERLINK("https://pbs.twimg.com/profile_images/1475155236713029641/7Lb8npQr_normal.jpg")</f>
        <v>https://pbs.twimg.com/profile_images/1475155236713029641/7Lb8npQr_normal.jpg</v>
      </c>
      <c r="AW1418" s="82" t="s">
        <v>13056</v>
      </c>
      <c r="AX1418" s="82" t="s">
        <v>13056</v>
      </c>
      <c r="AY1418" s="77"/>
      <c r="AZ1418" s="82" t="s">
        <v>15984</v>
      </c>
      <c r="BA1418" s="82" t="s">
        <v>15984</v>
      </c>
      <c r="BB1418" s="82" t="s">
        <v>15984</v>
      </c>
      <c r="BC1418" s="82" t="s">
        <v>13056</v>
      </c>
      <c r="BD1418" s="77">
        <v>20980846</v>
      </c>
      <c r="BE1418" s="77"/>
      <c r="BF1418" s="77"/>
      <c r="BG1418" s="77"/>
      <c r="BH1418" s="77"/>
      <c r="BI1418" s="77"/>
    </row>
    <row r="1419" spans="1:61" x14ac:dyDescent="0.25">
      <c r="A1419" s="62" t="s">
        <v>614</v>
      </c>
      <c r="B1419" s="62" t="s">
        <v>742</v>
      </c>
      <c r="C1419" s="63"/>
      <c r="D1419" s="64"/>
      <c r="E1419" s="65"/>
      <c r="F1419" s="66"/>
      <c r="G1419" s="63"/>
      <c r="H1419" s="67"/>
      <c r="I1419" s="68"/>
      <c r="J1419" s="68"/>
      <c r="K1419" s="32"/>
      <c r="L1419" s="75">
        <v>1419</v>
      </c>
      <c r="M1419" s="75"/>
      <c r="N1419" s="70"/>
      <c r="O1419" s="77" t="s">
        <v>895</v>
      </c>
      <c r="P1419" s="79">
        <v>45174.858634259261</v>
      </c>
      <c r="Q1419" s="77" t="s">
        <v>2170</v>
      </c>
      <c r="R1419" s="77">
        <v>1</v>
      </c>
      <c r="S1419" s="77">
        <v>1</v>
      </c>
      <c r="T1419" s="77">
        <v>0</v>
      </c>
      <c r="U1419" s="77">
        <v>0</v>
      </c>
      <c r="V1419" s="77">
        <v>658</v>
      </c>
      <c r="W1419" s="82" t="s">
        <v>4821</v>
      </c>
      <c r="X1419" s="80" t="str">
        <f>HYPERLINK("https://www.valoraanalitik.com/2023/09/05/textiles-y-confecciones-con-caidas-en-produccion-y-exportaciones/")</f>
        <v>https://www.valoraanalitik.com/2023/09/05/textiles-y-confecciones-con-caidas-en-produccion-y-exportaciones/</v>
      </c>
      <c r="Y1419" s="77" t="s">
        <v>6471</v>
      </c>
      <c r="Z1419" s="77" t="s">
        <v>742</v>
      </c>
      <c r="AA1419" s="77"/>
      <c r="AB1419" s="77"/>
      <c r="AC1419" s="82" t="s">
        <v>7750</v>
      </c>
      <c r="AD1419" s="77" t="s">
        <v>7790</v>
      </c>
      <c r="AE1419" s="80" t="str">
        <f>HYPERLINK("https://twitter.com/valoraanalitik/status/1699159578275881038")</f>
        <v>https://twitter.com/valoraanalitik/status/1699159578275881038</v>
      </c>
      <c r="AF1419" s="79">
        <v>45174.858634259261</v>
      </c>
      <c r="AG1419" s="85">
        <v>45174</v>
      </c>
      <c r="AH1419" s="82" t="s">
        <v>9026</v>
      </c>
      <c r="AI1419" s="77" t="b">
        <v>0</v>
      </c>
      <c r="AJ1419" s="77"/>
      <c r="AK1419" s="77"/>
      <c r="AL1419" s="77"/>
      <c r="AM1419" s="77"/>
      <c r="AN1419" s="77"/>
      <c r="AO1419" s="77"/>
      <c r="AP1419" s="77"/>
      <c r="AQ1419" s="77"/>
      <c r="AR1419" s="77"/>
      <c r="AS1419" s="77"/>
      <c r="AT1419" s="77"/>
      <c r="AU1419" s="77"/>
      <c r="AV1419" s="80" t="str">
        <f>HYPERLINK("https://pbs.twimg.com/profile_images/1475155236713029641/7Lb8npQr_normal.jpg")</f>
        <v>https://pbs.twimg.com/profile_images/1475155236713029641/7Lb8npQr_normal.jpg</v>
      </c>
      <c r="AW1419" s="82" t="s">
        <v>13057</v>
      </c>
      <c r="AX1419" s="82" t="s">
        <v>13057</v>
      </c>
      <c r="AY1419" s="77"/>
      <c r="AZ1419" s="82" t="s">
        <v>15984</v>
      </c>
      <c r="BA1419" s="82" t="s">
        <v>15984</v>
      </c>
      <c r="BB1419" s="82" t="s">
        <v>15984</v>
      </c>
      <c r="BC1419" s="82" t="s">
        <v>13057</v>
      </c>
      <c r="BD1419" s="77">
        <v>20980846</v>
      </c>
      <c r="BE1419" s="77"/>
      <c r="BF1419" s="77"/>
      <c r="BG1419" s="77"/>
      <c r="BH1419" s="77"/>
      <c r="BI1419" s="77"/>
    </row>
    <row r="1420" spans="1:61" x14ac:dyDescent="0.25">
      <c r="A1420" s="62" t="s">
        <v>614</v>
      </c>
      <c r="B1420" s="62" t="s">
        <v>742</v>
      </c>
      <c r="C1420" s="63"/>
      <c r="D1420" s="64"/>
      <c r="E1420" s="65"/>
      <c r="F1420" s="66"/>
      <c r="G1420" s="63"/>
      <c r="H1420" s="67"/>
      <c r="I1420" s="68"/>
      <c r="J1420" s="68"/>
      <c r="K1420" s="32"/>
      <c r="L1420" s="75">
        <v>1420</v>
      </c>
      <c r="M1420" s="75"/>
      <c r="N1420" s="70"/>
      <c r="O1420" s="77" t="s">
        <v>895</v>
      </c>
      <c r="P1420" s="79">
        <v>45175.688981481479</v>
      </c>
      <c r="Q1420" s="77" t="s">
        <v>2171</v>
      </c>
      <c r="R1420" s="77">
        <v>0</v>
      </c>
      <c r="S1420" s="77">
        <v>1</v>
      </c>
      <c r="T1420" s="77">
        <v>0</v>
      </c>
      <c r="U1420" s="77">
        <v>0</v>
      </c>
      <c r="V1420" s="77">
        <v>613</v>
      </c>
      <c r="W1420" s="82" t="s">
        <v>4821</v>
      </c>
      <c r="X1420" s="80" t="str">
        <f>HYPERLINK("https://bit.ly/3Rajinq")</f>
        <v>https://bit.ly/3Rajinq</v>
      </c>
      <c r="Y1420" s="77" t="s">
        <v>6468</v>
      </c>
      <c r="Z1420" s="77" t="s">
        <v>742</v>
      </c>
      <c r="AA1420" s="77"/>
      <c r="AB1420" s="77"/>
      <c r="AC1420" s="82" t="s">
        <v>7775</v>
      </c>
      <c r="AD1420" s="77" t="s">
        <v>7790</v>
      </c>
      <c r="AE1420" s="80" t="str">
        <f>HYPERLINK("https://twitter.com/valoraanalitik/status/1699460482350903491")</f>
        <v>https://twitter.com/valoraanalitik/status/1699460482350903491</v>
      </c>
      <c r="AF1420" s="79">
        <v>45175.688981481479</v>
      </c>
      <c r="AG1420" s="85">
        <v>45175</v>
      </c>
      <c r="AH1420" s="82" t="s">
        <v>9027</v>
      </c>
      <c r="AI1420" s="77" t="b">
        <v>0</v>
      </c>
      <c r="AJ1420" s="77"/>
      <c r="AK1420" s="77"/>
      <c r="AL1420" s="77"/>
      <c r="AM1420" s="77"/>
      <c r="AN1420" s="77"/>
      <c r="AO1420" s="77"/>
      <c r="AP1420" s="77"/>
      <c r="AQ1420" s="77"/>
      <c r="AR1420" s="77"/>
      <c r="AS1420" s="77"/>
      <c r="AT1420" s="77"/>
      <c r="AU1420" s="77"/>
      <c r="AV1420" s="80" t="str">
        <f>HYPERLINK("https://pbs.twimg.com/profile_images/1475155236713029641/7Lb8npQr_normal.jpg")</f>
        <v>https://pbs.twimg.com/profile_images/1475155236713029641/7Lb8npQr_normal.jpg</v>
      </c>
      <c r="AW1420" s="82" t="s">
        <v>13058</v>
      </c>
      <c r="AX1420" s="82" t="s">
        <v>13058</v>
      </c>
      <c r="AY1420" s="77"/>
      <c r="AZ1420" s="82" t="s">
        <v>15984</v>
      </c>
      <c r="BA1420" s="82" t="s">
        <v>15984</v>
      </c>
      <c r="BB1420" s="82" t="s">
        <v>15984</v>
      </c>
      <c r="BC1420" s="82" t="s">
        <v>13058</v>
      </c>
      <c r="BD1420" s="77">
        <v>20980846</v>
      </c>
      <c r="BE1420" s="77"/>
      <c r="BF1420" s="77"/>
      <c r="BG1420" s="77"/>
      <c r="BH1420" s="77"/>
      <c r="BI1420" s="77"/>
    </row>
    <row r="1421" spans="1:61" x14ac:dyDescent="0.25">
      <c r="A1421" s="62" t="s">
        <v>614</v>
      </c>
      <c r="B1421" s="62" t="s">
        <v>742</v>
      </c>
      <c r="C1421" s="63"/>
      <c r="D1421" s="64"/>
      <c r="E1421" s="65"/>
      <c r="F1421" s="66"/>
      <c r="G1421" s="63"/>
      <c r="H1421" s="67"/>
      <c r="I1421" s="68"/>
      <c r="J1421" s="68"/>
      <c r="K1421" s="32"/>
      <c r="L1421" s="75">
        <v>1421</v>
      </c>
      <c r="M1421" s="75"/>
      <c r="N1421" s="70"/>
      <c r="O1421" s="77" t="s">
        <v>895</v>
      </c>
      <c r="P1421" s="79">
        <v>45172.863229166665</v>
      </c>
      <c r="Q1421" s="77" t="s">
        <v>2158</v>
      </c>
      <c r="R1421" s="77">
        <v>0</v>
      </c>
      <c r="S1421" s="77">
        <v>0</v>
      </c>
      <c r="T1421" s="77">
        <v>0</v>
      </c>
      <c r="U1421" s="77">
        <v>0</v>
      </c>
      <c r="V1421" s="77">
        <v>1231</v>
      </c>
      <c r="W1421" s="82" t="s">
        <v>4821</v>
      </c>
      <c r="X1421" s="80" t="str">
        <f>HYPERLINK("https://www.valoraanalitik.com/2023/09/03/inflacion-colombia-agosto-2023-de-cuanto-habria-sido/")</f>
        <v>https://www.valoraanalitik.com/2023/09/03/inflacion-colombia-agosto-2023-de-cuanto-habria-sido/</v>
      </c>
      <c r="Y1421" s="77" t="s">
        <v>6471</v>
      </c>
      <c r="Z1421" s="77" t="s">
        <v>6627</v>
      </c>
      <c r="AA1421" s="77"/>
      <c r="AB1421" s="77"/>
      <c r="AC1421" s="82" t="s">
        <v>7750</v>
      </c>
      <c r="AD1421" s="77" t="s">
        <v>7790</v>
      </c>
      <c r="AE1421" s="80" t="str">
        <f>HYPERLINK("https://twitter.com/valoraanalitik/status/1698436465934352421")</f>
        <v>https://twitter.com/valoraanalitik/status/1698436465934352421</v>
      </c>
      <c r="AF1421" s="79">
        <v>45172.863229166665</v>
      </c>
      <c r="AG1421" s="85">
        <v>45172</v>
      </c>
      <c r="AH1421" s="82" t="s">
        <v>9014</v>
      </c>
      <c r="AI1421" s="77" t="b">
        <v>0</v>
      </c>
      <c r="AJ1421" s="77"/>
      <c r="AK1421" s="77"/>
      <c r="AL1421" s="77"/>
      <c r="AM1421" s="77"/>
      <c r="AN1421" s="77"/>
      <c r="AO1421" s="77"/>
      <c r="AP1421" s="77"/>
      <c r="AQ1421" s="77"/>
      <c r="AR1421" s="77"/>
      <c r="AS1421" s="77"/>
      <c r="AT1421" s="77"/>
      <c r="AU1421" s="77"/>
      <c r="AV1421" s="80" t="str">
        <f>HYPERLINK("https://pbs.twimg.com/profile_images/1475155236713029641/7Lb8npQr_normal.jpg")</f>
        <v>https://pbs.twimg.com/profile_images/1475155236713029641/7Lb8npQr_normal.jpg</v>
      </c>
      <c r="AW1421" s="82" t="s">
        <v>13045</v>
      </c>
      <c r="AX1421" s="82" t="s">
        <v>13045</v>
      </c>
      <c r="AY1421" s="77"/>
      <c r="AZ1421" s="82" t="s">
        <v>15984</v>
      </c>
      <c r="BA1421" s="82" t="s">
        <v>15984</v>
      </c>
      <c r="BB1421" s="82" t="s">
        <v>15984</v>
      </c>
      <c r="BC1421" s="82" t="s">
        <v>13045</v>
      </c>
      <c r="BD1421" s="77">
        <v>20980846</v>
      </c>
      <c r="BE1421" s="77"/>
      <c r="BF1421" s="77"/>
      <c r="BG1421" s="77"/>
      <c r="BH1421" s="77"/>
      <c r="BI1421" s="77"/>
    </row>
    <row r="1422" spans="1:61" x14ac:dyDescent="0.25">
      <c r="A1422" s="62" t="s">
        <v>614</v>
      </c>
      <c r="B1422" s="62" t="s">
        <v>742</v>
      </c>
      <c r="C1422" s="63"/>
      <c r="D1422" s="64"/>
      <c r="E1422" s="65"/>
      <c r="F1422" s="66"/>
      <c r="G1422" s="63"/>
      <c r="H1422" s="67"/>
      <c r="I1422" s="68"/>
      <c r="J1422" s="68"/>
      <c r="K1422" s="32"/>
      <c r="L1422" s="75">
        <v>1422</v>
      </c>
      <c r="M1422" s="75"/>
      <c r="N1422" s="70"/>
      <c r="O1422" s="77" t="s">
        <v>895</v>
      </c>
      <c r="P1422" s="79">
        <v>45152.699988425928</v>
      </c>
      <c r="Q1422" s="77" t="s">
        <v>2172</v>
      </c>
      <c r="R1422" s="77">
        <v>5</v>
      </c>
      <c r="S1422" s="77">
        <v>7</v>
      </c>
      <c r="T1422" s="77">
        <v>0</v>
      </c>
      <c r="U1422" s="77">
        <v>0</v>
      </c>
      <c r="V1422" s="77">
        <v>1177</v>
      </c>
      <c r="W1422" s="82" t="s">
        <v>4821</v>
      </c>
      <c r="X1422" s="80" t="str">
        <f>HYPERLINK("https://bit.ly/3P5rCUp")</f>
        <v>https://bit.ly/3P5rCUp</v>
      </c>
      <c r="Y1422" s="77" t="s">
        <v>6468</v>
      </c>
      <c r="Z1422" s="77" t="s">
        <v>742</v>
      </c>
      <c r="AA1422" s="77"/>
      <c r="AB1422" s="77"/>
      <c r="AC1422" s="82" t="s">
        <v>7775</v>
      </c>
      <c r="AD1422" s="77" t="s">
        <v>7790</v>
      </c>
      <c r="AE1422" s="80" t="str">
        <f>HYPERLINK("https://twitter.com/valoraanalitik/status/1691129553362583552")</f>
        <v>https://twitter.com/valoraanalitik/status/1691129553362583552</v>
      </c>
      <c r="AF1422" s="79">
        <v>45152.699988425928</v>
      </c>
      <c r="AG1422" s="85">
        <v>45152</v>
      </c>
      <c r="AH1422" s="82" t="s">
        <v>9028</v>
      </c>
      <c r="AI1422" s="77" t="b">
        <v>0</v>
      </c>
      <c r="AJ1422" s="77"/>
      <c r="AK1422" s="77"/>
      <c r="AL1422" s="77"/>
      <c r="AM1422" s="77"/>
      <c r="AN1422" s="77"/>
      <c r="AO1422" s="77"/>
      <c r="AP1422" s="77"/>
      <c r="AQ1422" s="77"/>
      <c r="AR1422" s="77"/>
      <c r="AS1422" s="77"/>
      <c r="AT1422" s="77"/>
      <c r="AU1422" s="77"/>
      <c r="AV1422" s="80" t="str">
        <f>HYPERLINK("https://pbs.twimg.com/profile_images/1475155236713029641/7Lb8npQr_normal.jpg")</f>
        <v>https://pbs.twimg.com/profile_images/1475155236713029641/7Lb8npQr_normal.jpg</v>
      </c>
      <c r="AW1422" s="82" t="s">
        <v>13059</v>
      </c>
      <c r="AX1422" s="82" t="s">
        <v>13059</v>
      </c>
      <c r="AY1422" s="77"/>
      <c r="AZ1422" s="82" t="s">
        <v>15984</v>
      </c>
      <c r="BA1422" s="82" t="s">
        <v>15984</v>
      </c>
      <c r="BB1422" s="82" t="s">
        <v>15984</v>
      </c>
      <c r="BC1422" s="82" t="s">
        <v>13059</v>
      </c>
      <c r="BD1422" s="77">
        <v>20980846</v>
      </c>
      <c r="BE1422" s="77"/>
      <c r="BF1422" s="77"/>
      <c r="BG1422" s="77"/>
      <c r="BH1422" s="77"/>
      <c r="BI1422" s="77"/>
    </row>
    <row r="1423" spans="1:61" x14ac:dyDescent="0.25">
      <c r="A1423" s="62" t="s">
        <v>614</v>
      </c>
      <c r="B1423" s="62" t="s">
        <v>742</v>
      </c>
      <c r="C1423" s="63"/>
      <c r="D1423" s="64"/>
      <c r="E1423" s="65"/>
      <c r="F1423" s="66"/>
      <c r="G1423" s="63"/>
      <c r="H1423" s="67"/>
      <c r="I1423" s="68"/>
      <c r="J1423" s="68"/>
      <c r="K1423" s="32"/>
      <c r="L1423" s="75">
        <v>1423</v>
      </c>
      <c r="M1423" s="75"/>
      <c r="N1423" s="70"/>
      <c r="O1423" s="77" t="s">
        <v>895</v>
      </c>
      <c r="P1423" s="79">
        <v>45177.702708333331</v>
      </c>
      <c r="Q1423" s="77" t="s">
        <v>2173</v>
      </c>
      <c r="R1423" s="77">
        <v>3</v>
      </c>
      <c r="S1423" s="77">
        <v>4</v>
      </c>
      <c r="T1423" s="77">
        <v>1</v>
      </c>
      <c r="U1423" s="77">
        <v>0</v>
      </c>
      <c r="V1423" s="77">
        <v>796</v>
      </c>
      <c r="W1423" s="82" t="s">
        <v>4821</v>
      </c>
      <c r="X1423" s="80" t="str">
        <f>HYPERLINK("https://www.valoraanalitik.com/2023/09/08/inflacion-en-colombia-a-agosto-fue-una-fea-sorpresa-para-analistas-piden-prudencia-por-tasas-de-interes/")</f>
        <v>https://www.valoraanalitik.com/2023/09/08/inflacion-en-colombia-a-agosto-fue-una-fea-sorpresa-para-analistas-piden-prudencia-por-tasas-de-interes/</v>
      </c>
      <c r="Y1423" s="77" t="s">
        <v>6471</v>
      </c>
      <c r="Z1423" s="77" t="s">
        <v>742</v>
      </c>
      <c r="AA1423" s="77"/>
      <c r="AB1423" s="77"/>
      <c r="AC1423" s="82" t="s">
        <v>7750</v>
      </c>
      <c r="AD1423" s="77" t="s">
        <v>7790</v>
      </c>
      <c r="AE1423" s="80" t="str">
        <f>HYPERLINK("https://twitter.com/valoraanalitik/status/1700190235370356754")</f>
        <v>https://twitter.com/valoraanalitik/status/1700190235370356754</v>
      </c>
      <c r="AF1423" s="79">
        <v>45177.702708333331</v>
      </c>
      <c r="AG1423" s="85">
        <v>45177</v>
      </c>
      <c r="AH1423" s="82" t="s">
        <v>9029</v>
      </c>
      <c r="AI1423" s="77" t="b">
        <v>0</v>
      </c>
      <c r="AJ1423" s="77"/>
      <c r="AK1423" s="77"/>
      <c r="AL1423" s="77"/>
      <c r="AM1423" s="77"/>
      <c r="AN1423" s="77"/>
      <c r="AO1423" s="77"/>
      <c r="AP1423" s="77"/>
      <c r="AQ1423" s="77"/>
      <c r="AR1423" s="77"/>
      <c r="AS1423" s="77"/>
      <c r="AT1423" s="77"/>
      <c r="AU1423" s="77"/>
      <c r="AV1423" s="80" t="str">
        <f>HYPERLINK("https://pbs.twimg.com/profile_images/1475155236713029641/7Lb8npQr_normal.jpg")</f>
        <v>https://pbs.twimg.com/profile_images/1475155236713029641/7Lb8npQr_normal.jpg</v>
      </c>
      <c r="AW1423" s="82" t="s">
        <v>13060</v>
      </c>
      <c r="AX1423" s="82" t="s">
        <v>13060</v>
      </c>
      <c r="AY1423" s="77"/>
      <c r="AZ1423" s="82" t="s">
        <v>15984</v>
      </c>
      <c r="BA1423" s="82" t="s">
        <v>15984</v>
      </c>
      <c r="BB1423" s="82" t="s">
        <v>15984</v>
      </c>
      <c r="BC1423" s="82" t="s">
        <v>13060</v>
      </c>
      <c r="BD1423" s="77">
        <v>20980846</v>
      </c>
      <c r="BE1423" s="77"/>
      <c r="BF1423" s="77"/>
      <c r="BG1423" s="77"/>
      <c r="BH1423" s="77"/>
      <c r="BI1423" s="77"/>
    </row>
    <row r="1424" spans="1:61" x14ac:dyDescent="0.25">
      <c r="A1424" s="62" t="s">
        <v>614</v>
      </c>
      <c r="B1424" s="62" t="s">
        <v>742</v>
      </c>
      <c r="C1424" s="63"/>
      <c r="D1424" s="64"/>
      <c r="E1424" s="65"/>
      <c r="F1424" s="66"/>
      <c r="G1424" s="63"/>
      <c r="H1424" s="67"/>
      <c r="I1424" s="68"/>
      <c r="J1424" s="68"/>
      <c r="K1424" s="32"/>
      <c r="L1424" s="75">
        <v>1424</v>
      </c>
      <c r="M1424" s="75"/>
      <c r="N1424" s="70"/>
      <c r="O1424" s="77" t="s">
        <v>895</v>
      </c>
      <c r="P1424" s="79">
        <v>45173.908437500002</v>
      </c>
      <c r="Q1424" s="77" t="s">
        <v>2174</v>
      </c>
      <c r="R1424" s="77">
        <v>2</v>
      </c>
      <c r="S1424" s="77">
        <v>3</v>
      </c>
      <c r="T1424" s="77">
        <v>0</v>
      </c>
      <c r="U1424" s="77">
        <v>0</v>
      </c>
      <c r="V1424" s="77">
        <v>885</v>
      </c>
      <c r="W1424" s="82" t="s">
        <v>4821</v>
      </c>
      <c r="X1424" s="80" t="str">
        <f>HYPERLINK("https://www.valoraanalitik.com/2023/09/04/minhacienda-espera-inflacion-estable-en-agosto/")</f>
        <v>https://www.valoraanalitik.com/2023/09/04/minhacienda-espera-inflacion-estable-en-agosto/</v>
      </c>
      <c r="Y1424" s="77" t="s">
        <v>6471</v>
      </c>
      <c r="Z1424" s="77" t="s">
        <v>6630</v>
      </c>
      <c r="AA1424" s="77"/>
      <c r="AB1424" s="77"/>
      <c r="AC1424" s="82" t="s">
        <v>7750</v>
      </c>
      <c r="AD1424" s="77" t="s">
        <v>7790</v>
      </c>
      <c r="AE1424" s="80" t="str">
        <f>HYPERLINK("https://twitter.com/valoraanalitik/status/1698815238156538154")</f>
        <v>https://twitter.com/valoraanalitik/status/1698815238156538154</v>
      </c>
      <c r="AF1424" s="79">
        <v>45173.908437500002</v>
      </c>
      <c r="AG1424" s="85">
        <v>45173</v>
      </c>
      <c r="AH1424" s="82" t="s">
        <v>9030</v>
      </c>
      <c r="AI1424" s="77" t="b">
        <v>0</v>
      </c>
      <c r="AJ1424" s="77"/>
      <c r="AK1424" s="77"/>
      <c r="AL1424" s="77"/>
      <c r="AM1424" s="77"/>
      <c r="AN1424" s="77"/>
      <c r="AO1424" s="77"/>
      <c r="AP1424" s="77"/>
      <c r="AQ1424" s="77"/>
      <c r="AR1424" s="77"/>
      <c r="AS1424" s="77"/>
      <c r="AT1424" s="77"/>
      <c r="AU1424" s="77"/>
      <c r="AV1424" s="80" t="str">
        <f>HYPERLINK("https://pbs.twimg.com/profile_images/1475155236713029641/7Lb8npQr_normal.jpg")</f>
        <v>https://pbs.twimg.com/profile_images/1475155236713029641/7Lb8npQr_normal.jpg</v>
      </c>
      <c r="AW1424" s="82" t="s">
        <v>13061</v>
      </c>
      <c r="AX1424" s="82" t="s">
        <v>13061</v>
      </c>
      <c r="AY1424" s="77"/>
      <c r="AZ1424" s="82" t="s">
        <v>15984</v>
      </c>
      <c r="BA1424" s="82" t="s">
        <v>15984</v>
      </c>
      <c r="BB1424" s="82" t="s">
        <v>15984</v>
      </c>
      <c r="BC1424" s="82" t="s">
        <v>13061</v>
      </c>
      <c r="BD1424" s="77">
        <v>20980846</v>
      </c>
      <c r="BE1424" s="77"/>
      <c r="BF1424" s="77"/>
      <c r="BG1424" s="77"/>
      <c r="BH1424" s="77"/>
      <c r="BI1424" s="77"/>
    </row>
    <row r="1425" spans="1:61" x14ac:dyDescent="0.25">
      <c r="A1425" s="62" t="s">
        <v>614</v>
      </c>
      <c r="B1425" s="62" t="s">
        <v>742</v>
      </c>
      <c r="C1425" s="63"/>
      <c r="D1425" s="64"/>
      <c r="E1425" s="65"/>
      <c r="F1425" s="66"/>
      <c r="G1425" s="63"/>
      <c r="H1425" s="67"/>
      <c r="I1425" s="68"/>
      <c r="J1425" s="68"/>
      <c r="K1425" s="32"/>
      <c r="L1425" s="75">
        <v>1425</v>
      </c>
      <c r="M1425" s="75"/>
      <c r="N1425" s="70"/>
      <c r="O1425" s="77" t="s">
        <v>895</v>
      </c>
      <c r="P1425" s="79">
        <v>45159.055555555555</v>
      </c>
      <c r="Q1425" s="77" t="s">
        <v>2129</v>
      </c>
      <c r="R1425" s="77">
        <v>0</v>
      </c>
      <c r="S1425" s="77">
        <v>7</v>
      </c>
      <c r="T1425" s="77">
        <v>0</v>
      </c>
      <c r="U1425" s="77">
        <v>1</v>
      </c>
      <c r="V1425" s="77">
        <v>1697</v>
      </c>
      <c r="W1425" s="82" t="s">
        <v>4821</v>
      </c>
      <c r="X1425" s="80" t="str">
        <f>HYPERLINK("http://valoraanalitik.com/2023/08/20/chelsea-ha-gastado-mas-en-fichajes-que-colombia-en-cereales/")</f>
        <v>http://valoraanalitik.com/2023/08/20/chelsea-ha-gastado-mas-en-fichajes-que-colombia-en-cereales/</v>
      </c>
      <c r="Y1425" s="77" t="s">
        <v>6471</v>
      </c>
      <c r="Z1425" s="77" t="s">
        <v>6609</v>
      </c>
      <c r="AA1425" s="77"/>
      <c r="AB1425" s="77"/>
      <c r="AC1425" s="82" t="s">
        <v>7750</v>
      </c>
      <c r="AD1425" s="77" t="s">
        <v>7790</v>
      </c>
      <c r="AE1425" s="80" t="str">
        <f>HYPERLINK("https://twitter.com/valoraanalitik/status/1693432731160752609")</f>
        <v>https://twitter.com/valoraanalitik/status/1693432731160752609</v>
      </c>
      <c r="AF1425" s="79">
        <v>45159.055555555555</v>
      </c>
      <c r="AG1425" s="85">
        <v>45159</v>
      </c>
      <c r="AH1425" s="82" t="s">
        <v>8970</v>
      </c>
      <c r="AI1425" s="77" t="b">
        <v>0</v>
      </c>
      <c r="AJ1425" s="77"/>
      <c r="AK1425" s="77"/>
      <c r="AL1425" s="77"/>
      <c r="AM1425" s="77"/>
      <c r="AN1425" s="77"/>
      <c r="AO1425" s="77"/>
      <c r="AP1425" s="77"/>
      <c r="AQ1425" s="77"/>
      <c r="AR1425" s="77"/>
      <c r="AS1425" s="77"/>
      <c r="AT1425" s="77"/>
      <c r="AU1425" s="77"/>
      <c r="AV1425" s="80" t="str">
        <f>HYPERLINK("https://pbs.twimg.com/profile_images/1475155236713029641/7Lb8npQr_normal.jpg")</f>
        <v>https://pbs.twimg.com/profile_images/1475155236713029641/7Lb8npQr_normal.jpg</v>
      </c>
      <c r="AW1425" s="82" t="s">
        <v>13016</v>
      </c>
      <c r="AX1425" s="82" t="s">
        <v>13016</v>
      </c>
      <c r="AY1425" s="77"/>
      <c r="AZ1425" s="82" t="s">
        <v>15984</v>
      </c>
      <c r="BA1425" s="82" t="s">
        <v>15984</v>
      </c>
      <c r="BB1425" s="82" t="s">
        <v>15984</v>
      </c>
      <c r="BC1425" s="82" t="s">
        <v>13016</v>
      </c>
      <c r="BD1425" s="77">
        <v>20980846</v>
      </c>
      <c r="BE1425" s="77"/>
      <c r="BF1425" s="77"/>
      <c r="BG1425" s="77"/>
      <c r="BH1425" s="77"/>
      <c r="BI1425" s="77"/>
    </row>
    <row r="1426" spans="1:61" x14ac:dyDescent="0.25">
      <c r="A1426" s="62" t="s">
        <v>614</v>
      </c>
      <c r="B1426" s="62" t="s">
        <v>742</v>
      </c>
      <c r="C1426" s="63"/>
      <c r="D1426" s="64"/>
      <c r="E1426" s="65"/>
      <c r="F1426" s="66"/>
      <c r="G1426" s="63"/>
      <c r="H1426" s="67"/>
      <c r="I1426" s="68"/>
      <c r="J1426" s="68"/>
      <c r="K1426" s="32"/>
      <c r="L1426" s="75">
        <v>1426</v>
      </c>
      <c r="M1426" s="75"/>
      <c r="N1426" s="70"/>
      <c r="O1426" s="77" t="s">
        <v>895</v>
      </c>
      <c r="P1426" s="79">
        <v>45121.723807870374</v>
      </c>
      <c r="Q1426" s="77" t="s">
        <v>2175</v>
      </c>
      <c r="R1426" s="77">
        <v>0</v>
      </c>
      <c r="S1426" s="77">
        <v>3</v>
      </c>
      <c r="T1426" s="77">
        <v>0</v>
      </c>
      <c r="U1426" s="77">
        <v>0</v>
      </c>
      <c r="V1426" s="77">
        <v>755</v>
      </c>
      <c r="W1426" s="82" t="s">
        <v>4821</v>
      </c>
      <c r="X1426" s="80" t="str">
        <f>HYPERLINK("https://bit.ly/3pWpaFH")</f>
        <v>https://bit.ly/3pWpaFH</v>
      </c>
      <c r="Y1426" s="77" t="s">
        <v>6468</v>
      </c>
      <c r="Z1426" s="77" t="s">
        <v>742</v>
      </c>
      <c r="AA1426" s="77"/>
      <c r="AB1426" s="77"/>
      <c r="AC1426" s="82" t="s">
        <v>7775</v>
      </c>
      <c r="AD1426" s="77" t="s">
        <v>7790</v>
      </c>
      <c r="AE1426" s="80" t="str">
        <f>HYPERLINK("https://twitter.com/valoraanalitik/status/1679904161649786880")</f>
        <v>https://twitter.com/valoraanalitik/status/1679904161649786880</v>
      </c>
      <c r="AF1426" s="79">
        <v>45121.723807870374</v>
      </c>
      <c r="AG1426" s="85">
        <v>45121</v>
      </c>
      <c r="AH1426" s="82" t="s">
        <v>9031</v>
      </c>
      <c r="AI1426" s="77" t="b">
        <v>0</v>
      </c>
      <c r="AJ1426" s="77"/>
      <c r="AK1426" s="77"/>
      <c r="AL1426" s="77"/>
      <c r="AM1426" s="77"/>
      <c r="AN1426" s="77"/>
      <c r="AO1426" s="77"/>
      <c r="AP1426" s="77"/>
      <c r="AQ1426" s="77"/>
      <c r="AR1426" s="77"/>
      <c r="AS1426" s="77"/>
      <c r="AT1426" s="77"/>
      <c r="AU1426" s="77"/>
      <c r="AV1426" s="80" t="str">
        <f>HYPERLINK("https://pbs.twimg.com/profile_images/1475155236713029641/7Lb8npQr_normal.jpg")</f>
        <v>https://pbs.twimg.com/profile_images/1475155236713029641/7Lb8npQr_normal.jpg</v>
      </c>
      <c r="AW1426" s="82" t="s">
        <v>13062</v>
      </c>
      <c r="AX1426" s="82" t="s">
        <v>13062</v>
      </c>
      <c r="AY1426" s="77"/>
      <c r="AZ1426" s="82" t="s">
        <v>15984</v>
      </c>
      <c r="BA1426" s="82" t="s">
        <v>15984</v>
      </c>
      <c r="BB1426" s="82" t="s">
        <v>15984</v>
      </c>
      <c r="BC1426" s="82" t="s">
        <v>13062</v>
      </c>
      <c r="BD1426" s="77">
        <v>20980846</v>
      </c>
      <c r="BE1426" s="77"/>
      <c r="BF1426" s="77"/>
      <c r="BG1426" s="77"/>
      <c r="BH1426" s="77"/>
      <c r="BI1426" s="77"/>
    </row>
    <row r="1427" spans="1:61" x14ac:dyDescent="0.25">
      <c r="A1427" s="62" t="s">
        <v>614</v>
      </c>
      <c r="B1427" s="62" t="s">
        <v>742</v>
      </c>
      <c r="C1427" s="63"/>
      <c r="D1427" s="64"/>
      <c r="E1427" s="65"/>
      <c r="F1427" s="66"/>
      <c r="G1427" s="63"/>
      <c r="H1427" s="67"/>
      <c r="I1427" s="68"/>
      <c r="J1427" s="68"/>
      <c r="K1427" s="32"/>
      <c r="L1427" s="75">
        <v>1427</v>
      </c>
      <c r="M1427" s="75"/>
      <c r="N1427" s="70"/>
      <c r="O1427" s="77" t="s">
        <v>895</v>
      </c>
      <c r="P1427" s="79">
        <v>45191.476921296293</v>
      </c>
      <c r="Q1427" s="77" t="s">
        <v>2135</v>
      </c>
      <c r="R1427" s="77">
        <v>0</v>
      </c>
      <c r="S1427" s="77">
        <v>6</v>
      </c>
      <c r="T1427" s="77">
        <v>0</v>
      </c>
      <c r="U1427" s="77">
        <v>0</v>
      </c>
      <c r="V1427" s="77">
        <v>821</v>
      </c>
      <c r="W1427" s="82" t="s">
        <v>4821</v>
      </c>
      <c r="X1427" s="80" t="str">
        <f>HYPERLINK("https://www.valoraanalitik.com/2023/09/22/pobreza-colombia-690000-ciudadanos-habrian-salido-de-ella/")</f>
        <v>https://www.valoraanalitik.com/2023/09/22/pobreza-colombia-690000-ciudadanos-habrian-salido-de-ella/</v>
      </c>
      <c r="Y1427" s="77" t="s">
        <v>6471</v>
      </c>
      <c r="Z1427" s="77" t="s">
        <v>6614</v>
      </c>
      <c r="AA1427" s="77"/>
      <c r="AB1427" s="77"/>
      <c r="AC1427" s="82" t="s">
        <v>7750</v>
      </c>
      <c r="AD1427" s="77" t="s">
        <v>7790</v>
      </c>
      <c r="AE1427" s="80" t="str">
        <f>HYPERLINK("https://twitter.com/valoraanalitik/status/1705181843463569659")</f>
        <v>https://twitter.com/valoraanalitik/status/1705181843463569659</v>
      </c>
      <c r="AF1427" s="79">
        <v>45191.476921296293</v>
      </c>
      <c r="AG1427" s="85">
        <v>45191</v>
      </c>
      <c r="AH1427" s="82" t="s">
        <v>8992</v>
      </c>
      <c r="AI1427" s="77" t="b">
        <v>0</v>
      </c>
      <c r="AJ1427" s="77"/>
      <c r="AK1427" s="77"/>
      <c r="AL1427" s="77"/>
      <c r="AM1427" s="77"/>
      <c r="AN1427" s="77"/>
      <c r="AO1427" s="77"/>
      <c r="AP1427" s="77"/>
      <c r="AQ1427" s="77"/>
      <c r="AR1427" s="77"/>
      <c r="AS1427" s="77"/>
      <c r="AT1427" s="77"/>
      <c r="AU1427" s="77"/>
      <c r="AV1427" s="80" t="str">
        <f>HYPERLINK("https://pbs.twimg.com/profile_images/1475155236713029641/7Lb8npQr_normal.jpg")</f>
        <v>https://pbs.twimg.com/profile_images/1475155236713029641/7Lb8npQr_normal.jpg</v>
      </c>
      <c r="AW1427" s="82" t="s">
        <v>13022</v>
      </c>
      <c r="AX1427" s="82" t="s">
        <v>13022</v>
      </c>
      <c r="AY1427" s="77"/>
      <c r="AZ1427" s="82" t="s">
        <v>15984</v>
      </c>
      <c r="BA1427" s="82" t="s">
        <v>15984</v>
      </c>
      <c r="BB1427" s="82" t="s">
        <v>15984</v>
      </c>
      <c r="BC1427" s="82" t="s">
        <v>13022</v>
      </c>
      <c r="BD1427" s="77">
        <v>20980846</v>
      </c>
      <c r="BE1427" s="77"/>
      <c r="BF1427" s="77"/>
      <c r="BG1427" s="77"/>
      <c r="BH1427" s="77"/>
      <c r="BI1427" s="77"/>
    </row>
    <row r="1428" spans="1:61" x14ac:dyDescent="0.25">
      <c r="A1428" s="62" t="s">
        <v>614</v>
      </c>
      <c r="B1428" s="62" t="s">
        <v>742</v>
      </c>
      <c r="C1428" s="63"/>
      <c r="D1428" s="64"/>
      <c r="E1428" s="65"/>
      <c r="F1428" s="66"/>
      <c r="G1428" s="63"/>
      <c r="H1428" s="67"/>
      <c r="I1428" s="68"/>
      <c r="J1428" s="68"/>
      <c r="K1428" s="32"/>
      <c r="L1428" s="75">
        <v>1428</v>
      </c>
      <c r="M1428" s="75"/>
      <c r="N1428" s="70"/>
      <c r="O1428" s="77" t="s">
        <v>895</v>
      </c>
      <c r="P1428" s="79">
        <v>45171.46875</v>
      </c>
      <c r="Q1428" s="77" t="s">
        <v>2176</v>
      </c>
      <c r="R1428" s="77">
        <v>2</v>
      </c>
      <c r="S1428" s="77">
        <v>4</v>
      </c>
      <c r="T1428" s="77">
        <v>0</v>
      </c>
      <c r="U1428" s="77">
        <v>0</v>
      </c>
      <c r="V1428" s="77">
        <v>1486</v>
      </c>
      <c r="W1428" s="82" t="s">
        <v>4821</v>
      </c>
      <c r="X1428" s="80" t="str">
        <f>HYPERLINK("https://www.valoraanalitik.com/2023/09/02/sectores-que-mas-generan-puestos-de-trabajo-en-colombia")</f>
        <v>https://www.valoraanalitik.com/2023/09/02/sectores-que-mas-generan-puestos-de-trabajo-en-colombia</v>
      </c>
      <c r="Y1428" s="77" t="s">
        <v>6471</v>
      </c>
      <c r="Z1428" s="77" t="s">
        <v>742</v>
      </c>
      <c r="AA1428" s="77"/>
      <c r="AB1428" s="77"/>
      <c r="AC1428" s="82" t="s">
        <v>7750</v>
      </c>
      <c r="AD1428" s="77" t="s">
        <v>7790</v>
      </c>
      <c r="AE1428" s="80" t="str">
        <f>HYPERLINK("https://twitter.com/valoraanalitik/status/1697931122447946054")</f>
        <v>https://twitter.com/valoraanalitik/status/1697931122447946054</v>
      </c>
      <c r="AF1428" s="79">
        <v>45171.46875</v>
      </c>
      <c r="AG1428" s="85">
        <v>45171</v>
      </c>
      <c r="AH1428" s="82" t="s">
        <v>9032</v>
      </c>
      <c r="AI1428" s="77" t="b">
        <v>0</v>
      </c>
      <c r="AJ1428" s="77"/>
      <c r="AK1428" s="77"/>
      <c r="AL1428" s="77"/>
      <c r="AM1428" s="77"/>
      <c r="AN1428" s="77"/>
      <c r="AO1428" s="77"/>
      <c r="AP1428" s="77"/>
      <c r="AQ1428" s="77"/>
      <c r="AR1428" s="77"/>
      <c r="AS1428" s="77"/>
      <c r="AT1428" s="77"/>
      <c r="AU1428" s="77"/>
      <c r="AV1428" s="80" t="str">
        <f>HYPERLINK("https://pbs.twimg.com/profile_images/1475155236713029641/7Lb8npQr_normal.jpg")</f>
        <v>https://pbs.twimg.com/profile_images/1475155236713029641/7Lb8npQr_normal.jpg</v>
      </c>
      <c r="AW1428" s="82" t="s">
        <v>13063</v>
      </c>
      <c r="AX1428" s="82" t="s">
        <v>13063</v>
      </c>
      <c r="AY1428" s="77"/>
      <c r="AZ1428" s="82" t="s">
        <v>15984</v>
      </c>
      <c r="BA1428" s="82" t="s">
        <v>15984</v>
      </c>
      <c r="BB1428" s="82" t="s">
        <v>15984</v>
      </c>
      <c r="BC1428" s="82" t="s">
        <v>13063</v>
      </c>
      <c r="BD1428" s="77">
        <v>20980846</v>
      </c>
      <c r="BE1428" s="77"/>
      <c r="BF1428" s="77"/>
      <c r="BG1428" s="77"/>
      <c r="BH1428" s="77"/>
      <c r="BI1428" s="77"/>
    </row>
    <row r="1429" spans="1:61" x14ac:dyDescent="0.25">
      <c r="A1429" s="62" t="s">
        <v>614</v>
      </c>
      <c r="B1429" s="62" t="s">
        <v>875</v>
      </c>
      <c r="C1429" s="63"/>
      <c r="D1429" s="64"/>
      <c r="E1429" s="65"/>
      <c r="F1429" s="66"/>
      <c r="G1429" s="63"/>
      <c r="H1429" s="67"/>
      <c r="I1429" s="68"/>
      <c r="J1429" s="68"/>
      <c r="K1429" s="32"/>
      <c r="L1429" s="75">
        <v>1429</v>
      </c>
      <c r="M1429" s="75"/>
      <c r="N1429" s="70"/>
      <c r="O1429" s="77" t="s">
        <v>895</v>
      </c>
      <c r="P1429" s="79">
        <v>45184.501828703702</v>
      </c>
      <c r="Q1429" s="77" t="s">
        <v>2177</v>
      </c>
      <c r="R1429" s="77">
        <v>2</v>
      </c>
      <c r="S1429" s="77">
        <v>8</v>
      </c>
      <c r="T1429" s="77">
        <v>0</v>
      </c>
      <c r="U1429" s="77">
        <v>0</v>
      </c>
      <c r="V1429" s="77">
        <v>1258</v>
      </c>
      <c r="W1429" s="82" t="s">
        <v>4821</v>
      </c>
      <c r="X1429" s="80" t="str">
        <f>HYPERLINK("https://www.valoraanalitik.com/2023/09/15/dolar-colombia-3800-esto-es-lo-que-deberia-pasar-2/")</f>
        <v>https://www.valoraanalitik.com/2023/09/15/dolar-colombia-3800-esto-es-lo-que-deberia-pasar-2/</v>
      </c>
      <c r="Y1429" s="77" t="s">
        <v>6471</v>
      </c>
      <c r="Z1429" s="77" t="s">
        <v>6631</v>
      </c>
      <c r="AA1429" s="77"/>
      <c r="AB1429" s="77"/>
      <c r="AC1429" s="82" t="s">
        <v>7750</v>
      </c>
      <c r="AD1429" s="77" t="s">
        <v>7790</v>
      </c>
      <c r="AE1429" s="80" t="str">
        <f>HYPERLINK("https://twitter.com/valoraanalitik/status/1702654153283998144")</f>
        <v>https://twitter.com/valoraanalitik/status/1702654153283998144</v>
      </c>
      <c r="AF1429" s="79">
        <v>45184.501828703702</v>
      </c>
      <c r="AG1429" s="85">
        <v>45184</v>
      </c>
      <c r="AH1429" s="82" t="s">
        <v>9033</v>
      </c>
      <c r="AI1429" s="77" t="b">
        <v>0</v>
      </c>
      <c r="AJ1429" s="77"/>
      <c r="AK1429" s="77"/>
      <c r="AL1429" s="77"/>
      <c r="AM1429" s="77"/>
      <c r="AN1429" s="77"/>
      <c r="AO1429" s="77"/>
      <c r="AP1429" s="77"/>
      <c r="AQ1429" s="77"/>
      <c r="AR1429" s="77"/>
      <c r="AS1429" s="77"/>
      <c r="AT1429" s="77"/>
      <c r="AU1429" s="77"/>
      <c r="AV1429" s="80" t="str">
        <f>HYPERLINK("https://pbs.twimg.com/profile_images/1475155236713029641/7Lb8npQr_normal.jpg")</f>
        <v>https://pbs.twimg.com/profile_images/1475155236713029641/7Lb8npQr_normal.jpg</v>
      </c>
      <c r="AW1429" s="82" t="s">
        <v>13064</v>
      </c>
      <c r="AX1429" s="82" t="s">
        <v>13064</v>
      </c>
      <c r="AY1429" s="77"/>
      <c r="AZ1429" s="82" t="s">
        <v>15984</v>
      </c>
      <c r="BA1429" s="82" t="s">
        <v>15984</v>
      </c>
      <c r="BB1429" s="82" t="s">
        <v>15984</v>
      </c>
      <c r="BC1429" s="82" t="s">
        <v>13064</v>
      </c>
      <c r="BD1429" s="77">
        <v>20980846</v>
      </c>
      <c r="BE1429" s="77"/>
      <c r="BF1429" s="77"/>
      <c r="BG1429" s="77"/>
      <c r="BH1429" s="77"/>
      <c r="BI1429" s="77"/>
    </row>
    <row r="1430" spans="1:61" x14ac:dyDescent="0.25">
      <c r="A1430" s="62" t="s">
        <v>614</v>
      </c>
      <c r="B1430" s="62" t="s">
        <v>875</v>
      </c>
      <c r="C1430" s="63"/>
      <c r="D1430" s="64"/>
      <c r="E1430" s="65"/>
      <c r="F1430" s="66"/>
      <c r="G1430" s="63"/>
      <c r="H1430" s="67"/>
      <c r="I1430" s="68"/>
      <c r="J1430" s="68"/>
      <c r="K1430" s="32"/>
      <c r="L1430" s="75">
        <v>1430</v>
      </c>
      <c r="M1430" s="75"/>
      <c r="N1430" s="70"/>
      <c r="O1430" s="77" t="s">
        <v>895</v>
      </c>
      <c r="P1430" s="79">
        <v>45125.675057870372</v>
      </c>
      <c r="Q1430" s="77" t="s">
        <v>2178</v>
      </c>
      <c r="R1430" s="77">
        <v>2</v>
      </c>
      <c r="S1430" s="77">
        <v>2</v>
      </c>
      <c r="T1430" s="77">
        <v>0</v>
      </c>
      <c r="U1430" s="77">
        <v>0</v>
      </c>
      <c r="V1430" s="77">
        <v>941</v>
      </c>
      <c r="W1430" s="82" t="s">
        <v>4821</v>
      </c>
      <c r="X1430" s="80" t="str">
        <f>HYPERLINK("https://bit.ly/3XVlYXo")</f>
        <v>https://bit.ly/3XVlYXo</v>
      </c>
      <c r="Y1430" s="77" t="s">
        <v>6468</v>
      </c>
      <c r="Z1430" s="77" t="s">
        <v>6632</v>
      </c>
      <c r="AA1430" s="77"/>
      <c r="AB1430" s="77"/>
      <c r="AC1430" s="82" t="s">
        <v>7775</v>
      </c>
      <c r="AD1430" s="77" t="s">
        <v>7790</v>
      </c>
      <c r="AE1430" s="80" t="str">
        <f>HYPERLINK("https://twitter.com/valoraanalitik/status/1681336043717509121")</f>
        <v>https://twitter.com/valoraanalitik/status/1681336043717509121</v>
      </c>
      <c r="AF1430" s="79">
        <v>45125.675057870372</v>
      </c>
      <c r="AG1430" s="85">
        <v>45125</v>
      </c>
      <c r="AH1430" s="82" t="s">
        <v>9034</v>
      </c>
      <c r="AI1430" s="77" t="b">
        <v>0</v>
      </c>
      <c r="AJ1430" s="77"/>
      <c r="AK1430" s="77"/>
      <c r="AL1430" s="77"/>
      <c r="AM1430" s="77"/>
      <c r="AN1430" s="77"/>
      <c r="AO1430" s="77"/>
      <c r="AP1430" s="77"/>
      <c r="AQ1430" s="77"/>
      <c r="AR1430" s="77"/>
      <c r="AS1430" s="77"/>
      <c r="AT1430" s="77"/>
      <c r="AU1430" s="77"/>
      <c r="AV1430" s="80" t="str">
        <f>HYPERLINK("https://pbs.twimg.com/profile_images/1475155236713029641/7Lb8npQr_normal.jpg")</f>
        <v>https://pbs.twimg.com/profile_images/1475155236713029641/7Lb8npQr_normal.jpg</v>
      </c>
      <c r="AW1430" s="82" t="s">
        <v>13065</v>
      </c>
      <c r="AX1430" s="82" t="s">
        <v>13065</v>
      </c>
      <c r="AY1430" s="77"/>
      <c r="AZ1430" s="82" t="s">
        <v>15984</v>
      </c>
      <c r="BA1430" s="82" t="s">
        <v>15984</v>
      </c>
      <c r="BB1430" s="82" t="s">
        <v>15984</v>
      </c>
      <c r="BC1430" s="82" t="s">
        <v>13065</v>
      </c>
      <c r="BD1430" s="77">
        <v>20980846</v>
      </c>
      <c r="BE1430" s="77"/>
      <c r="BF1430" s="77"/>
      <c r="BG1430" s="77"/>
      <c r="BH1430" s="77"/>
      <c r="BI1430" s="77"/>
    </row>
    <row r="1431" spans="1:61" x14ac:dyDescent="0.25">
      <c r="A1431" s="62" t="s">
        <v>614</v>
      </c>
      <c r="B1431" s="62" t="s">
        <v>875</v>
      </c>
      <c r="C1431" s="63"/>
      <c r="D1431" s="64"/>
      <c r="E1431" s="65"/>
      <c r="F1431" s="66"/>
      <c r="G1431" s="63"/>
      <c r="H1431" s="67"/>
      <c r="I1431" s="68"/>
      <c r="J1431" s="68"/>
      <c r="K1431" s="32"/>
      <c r="L1431" s="75">
        <v>1431</v>
      </c>
      <c r="M1431" s="75"/>
      <c r="N1431" s="70"/>
      <c r="O1431" s="77" t="s">
        <v>895</v>
      </c>
      <c r="P1431" s="79">
        <v>45191.663657407407</v>
      </c>
      <c r="Q1431" s="77" t="s">
        <v>2179</v>
      </c>
      <c r="R1431" s="77">
        <v>1</v>
      </c>
      <c r="S1431" s="77">
        <v>4</v>
      </c>
      <c r="T1431" s="77">
        <v>0</v>
      </c>
      <c r="U1431" s="77">
        <v>0</v>
      </c>
      <c r="V1431" s="77">
        <v>592</v>
      </c>
      <c r="W1431" s="82" t="s">
        <v>4821</v>
      </c>
      <c r="X1431" s="80" t="str">
        <f>HYPERLINK("https://bit.ly/3PNUdxF")</f>
        <v>https://bit.ly/3PNUdxF</v>
      </c>
      <c r="Y1431" s="77" t="s">
        <v>6468</v>
      </c>
      <c r="Z1431" s="77" t="s">
        <v>875</v>
      </c>
      <c r="AA1431" s="77"/>
      <c r="AB1431" s="77"/>
      <c r="AC1431" s="82" t="s">
        <v>7775</v>
      </c>
      <c r="AD1431" s="77" t="s">
        <v>7790</v>
      </c>
      <c r="AE1431" s="80" t="str">
        <f>HYPERLINK("https://twitter.com/valoraanalitik/status/1705249511260471382")</f>
        <v>https://twitter.com/valoraanalitik/status/1705249511260471382</v>
      </c>
      <c r="AF1431" s="79">
        <v>45191.663657407407</v>
      </c>
      <c r="AG1431" s="85">
        <v>45191</v>
      </c>
      <c r="AH1431" s="82" t="s">
        <v>9035</v>
      </c>
      <c r="AI1431" s="77" t="b">
        <v>0</v>
      </c>
      <c r="AJ1431" s="77"/>
      <c r="AK1431" s="77"/>
      <c r="AL1431" s="77"/>
      <c r="AM1431" s="77"/>
      <c r="AN1431" s="77"/>
      <c r="AO1431" s="77"/>
      <c r="AP1431" s="77"/>
      <c r="AQ1431" s="77"/>
      <c r="AR1431" s="77"/>
      <c r="AS1431" s="77"/>
      <c r="AT1431" s="77"/>
      <c r="AU1431" s="77"/>
      <c r="AV1431" s="80" t="str">
        <f>HYPERLINK("https://pbs.twimg.com/profile_images/1475155236713029641/7Lb8npQr_normal.jpg")</f>
        <v>https://pbs.twimg.com/profile_images/1475155236713029641/7Lb8npQr_normal.jpg</v>
      </c>
      <c r="AW1431" s="82" t="s">
        <v>13066</v>
      </c>
      <c r="AX1431" s="82" t="s">
        <v>13066</v>
      </c>
      <c r="AY1431" s="77"/>
      <c r="AZ1431" s="82" t="s">
        <v>15984</v>
      </c>
      <c r="BA1431" s="82" t="s">
        <v>15984</v>
      </c>
      <c r="BB1431" s="82" t="s">
        <v>15984</v>
      </c>
      <c r="BC1431" s="82" t="s">
        <v>13066</v>
      </c>
      <c r="BD1431" s="77">
        <v>20980846</v>
      </c>
      <c r="BE1431" s="77"/>
      <c r="BF1431" s="77"/>
      <c r="BG1431" s="77"/>
      <c r="BH1431" s="77"/>
      <c r="BI1431" s="77"/>
    </row>
    <row r="1432" spans="1:61" x14ac:dyDescent="0.25">
      <c r="A1432" s="62" t="s">
        <v>614</v>
      </c>
      <c r="B1432" s="62" t="s">
        <v>875</v>
      </c>
      <c r="C1432" s="63"/>
      <c r="D1432" s="64"/>
      <c r="E1432" s="65"/>
      <c r="F1432" s="66"/>
      <c r="G1432" s="63"/>
      <c r="H1432" s="67"/>
      <c r="I1432" s="68"/>
      <c r="J1432" s="68"/>
      <c r="K1432" s="32"/>
      <c r="L1432" s="75">
        <v>1432</v>
      </c>
      <c r="M1432" s="75"/>
      <c r="N1432" s="70"/>
      <c r="O1432" s="77" t="s">
        <v>895</v>
      </c>
      <c r="P1432" s="79">
        <v>45172.626817129632</v>
      </c>
      <c r="Q1432" s="77" t="s">
        <v>2180</v>
      </c>
      <c r="R1432" s="77">
        <v>0</v>
      </c>
      <c r="S1432" s="77">
        <v>2</v>
      </c>
      <c r="T1432" s="77">
        <v>0</v>
      </c>
      <c r="U1432" s="77">
        <v>0</v>
      </c>
      <c r="V1432" s="77">
        <v>1225</v>
      </c>
      <c r="W1432" s="82" t="s">
        <v>4821</v>
      </c>
      <c r="X1432" s="80" t="str">
        <f>HYPERLINK("https://bit.ly/3P5EkkI")</f>
        <v>https://bit.ly/3P5EkkI</v>
      </c>
      <c r="Y1432" s="77" t="s">
        <v>6468</v>
      </c>
      <c r="Z1432" s="77" t="s">
        <v>875</v>
      </c>
      <c r="AA1432" s="77"/>
      <c r="AB1432" s="77"/>
      <c r="AC1432" s="82" t="s">
        <v>7775</v>
      </c>
      <c r="AD1432" s="77" t="s">
        <v>7790</v>
      </c>
      <c r="AE1432" s="80" t="str">
        <f>HYPERLINK("https://twitter.com/valoraanalitik/status/1698350794007826548")</f>
        <v>https://twitter.com/valoraanalitik/status/1698350794007826548</v>
      </c>
      <c r="AF1432" s="79">
        <v>45172.626817129632</v>
      </c>
      <c r="AG1432" s="85">
        <v>45172</v>
      </c>
      <c r="AH1432" s="82" t="s">
        <v>9036</v>
      </c>
      <c r="AI1432" s="77" t="b">
        <v>0</v>
      </c>
      <c r="AJ1432" s="77"/>
      <c r="AK1432" s="77"/>
      <c r="AL1432" s="77"/>
      <c r="AM1432" s="77"/>
      <c r="AN1432" s="77"/>
      <c r="AO1432" s="77"/>
      <c r="AP1432" s="77"/>
      <c r="AQ1432" s="77"/>
      <c r="AR1432" s="77"/>
      <c r="AS1432" s="77"/>
      <c r="AT1432" s="77"/>
      <c r="AU1432" s="77"/>
      <c r="AV1432" s="80" t="str">
        <f>HYPERLINK("https://pbs.twimg.com/profile_images/1475155236713029641/7Lb8npQr_normal.jpg")</f>
        <v>https://pbs.twimg.com/profile_images/1475155236713029641/7Lb8npQr_normal.jpg</v>
      </c>
      <c r="AW1432" s="82" t="s">
        <v>13067</v>
      </c>
      <c r="AX1432" s="82" t="s">
        <v>13067</v>
      </c>
      <c r="AY1432" s="77"/>
      <c r="AZ1432" s="82" t="s">
        <v>15984</v>
      </c>
      <c r="BA1432" s="82" t="s">
        <v>15984</v>
      </c>
      <c r="BB1432" s="82" t="s">
        <v>15984</v>
      </c>
      <c r="BC1432" s="82" t="s">
        <v>13067</v>
      </c>
      <c r="BD1432" s="77">
        <v>20980846</v>
      </c>
      <c r="BE1432" s="77"/>
      <c r="BF1432" s="77"/>
      <c r="BG1432" s="77"/>
      <c r="BH1432" s="77"/>
      <c r="BI1432" s="77"/>
    </row>
    <row r="1433" spans="1:61" x14ac:dyDescent="0.25">
      <c r="A1433" s="62" t="s">
        <v>614</v>
      </c>
      <c r="B1433" s="62" t="s">
        <v>875</v>
      </c>
      <c r="C1433" s="63"/>
      <c r="D1433" s="64"/>
      <c r="E1433" s="65"/>
      <c r="F1433" s="66"/>
      <c r="G1433" s="63"/>
      <c r="H1433" s="67"/>
      <c r="I1433" s="68"/>
      <c r="J1433" s="68"/>
      <c r="K1433" s="32"/>
      <c r="L1433" s="75">
        <v>1433</v>
      </c>
      <c r="M1433" s="75"/>
      <c r="N1433" s="70"/>
      <c r="O1433" s="77" t="s">
        <v>895</v>
      </c>
      <c r="P1433" s="79">
        <v>45149.47729166667</v>
      </c>
      <c r="Q1433" s="77" t="s">
        <v>2181</v>
      </c>
      <c r="R1433" s="77">
        <v>1</v>
      </c>
      <c r="S1433" s="77">
        <v>2</v>
      </c>
      <c r="T1433" s="77">
        <v>0</v>
      </c>
      <c r="U1433" s="77">
        <v>0</v>
      </c>
      <c r="V1433" s="77">
        <v>885</v>
      </c>
      <c r="W1433" s="82" t="s">
        <v>4821</v>
      </c>
      <c r="X1433" s="80" t="str">
        <f>HYPERLINK("https://www.valoraanalitik.com/2023/08/11/soat-motos-colombia-podria-subir-de-precio/")</f>
        <v>https://www.valoraanalitik.com/2023/08/11/soat-motos-colombia-podria-subir-de-precio/</v>
      </c>
      <c r="Y1433" s="77" t="s">
        <v>6471</v>
      </c>
      <c r="Z1433" s="77" t="s">
        <v>6633</v>
      </c>
      <c r="AA1433" s="77"/>
      <c r="AB1433" s="77"/>
      <c r="AC1433" s="82" t="s">
        <v>7750</v>
      </c>
      <c r="AD1433" s="77" t="s">
        <v>7790</v>
      </c>
      <c r="AE1433" s="80" t="str">
        <f>HYPERLINK("https://twitter.com/valoraanalitik/status/1689961683777691648")</f>
        <v>https://twitter.com/valoraanalitik/status/1689961683777691648</v>
      </c>
      <c r="AF1433" s="79">
        <v>45149.47729166667</v>
      </c>
      <c r="AG1433" s="85">
        <v>45149</v>
      </c>
      <c r="AH1433" s="82" t="s">
        <v>9037</v>
      </c>
      <c r="AI1433" s="77" t="b">
        <v>0</v>
      </c>
      <c r="AJ1433" s="77"/>
      <c r="AK1433" s="77"/>
      <c r="AL1433" s="77"/>
      <c r="AM1433" s="77"/>
      <c r="AN1433" s="77"/>
      <c r="AO1433" s="77"/>
      <c r="AP1433" s="77"/>
      <c r="AQ1433" s="77"/>
      <c r="AR1433" s="77"/>
      <c r="AS1433" s="77"/>
      <c r="AT1433" s="77"/>
      <c r="AU1433" s="77"/>
      <c r="AV1433" s="80" t="str">
        <f>HYPERLINK("https://pbs.twimg.com/profile_images/1475155236713029641/7Lb8npQr_normal.jpg")</f>
        <v>https://pbs.twimg.com/profile_images/1475155236713029641/7Lb8npQr_normal.jpg</v>
      </c>
      <c r="AW1433" s="82" t="s">
        <v>13068</v>
      </c>
      <c r="AX1433" s="82" t="s">
        <v>13068</v>
      </c>
      <c r="AY1433" s="77"/>
      <c r="AZ1433" s="82" t="s">
        <v>15984</v>
      </c>
      <c r="BA1433" s="82" t="s">
        <v>15984</v>
      </c>
      <c r="BB1433" s="82" t="s">
        <v>15984</v>
      </c>
      <c r="BC1433" s="82" t="s">
        <v>13068</v>
      </c>
      <c r="BD1433" s="77">
        <v>20980846</v>
      </c>
      <c r="BE1433" s="77"/>
      <c r="BF1433" s="77"/>
      <c r="BG1433" s="77"/>
      <c r="BH1433" s="77"/>
      <c r="BI1433" s="77"/>
    </row>
    <row r="1434" spans="1:61" x14ac:dyDescent="0.25">
      <c r="A1434" s="62" t="s">
        <v>614</v>
      </c>
      <c r="B1434" s="62" t="s">
        <v>876</v>
      </c>
      <c r="C1434" s="63"/>
      <c r="D1434" s="64"/>
      <c r="E1434" s="65"/>
      <c r="F1434" s="66"/>
      <c r="G1434" s="63"/>
      <c r="H1434" s="67"/>
      <c r="I1434" s="68"/>
      <c r="J1434" s="68"/>
      <c r="K1434" s="32"/>
      <c r="L1434" s="75">
        <v>1434</v>
      </c>
      <c r="M1434" s="75"/>
      <c r="N1434" s="70"/>
      <c r="O1434" s="77" t="s">
        <v>895</v>
      </c>
      <c r="P1434" s="79">
        <v>45149.47729166667</v>
      </c>
      <c r="Q1434" s="77" t="s">
        <v>2181</v>
      </c>
      <c r="R1434" s="77">
        <v>1</v>
      </c>
      <c r="S1434" s="77">
        <v>2</v>
      </c>
      <c r="T1434" s="77">
        <v>0</v>
      </c>
      <c r="U1434" s="77">
        <v>0</v>
      </c>
      <c r="V1434" s="77">
        <v>885</v>
      </c>
      <c r="W1434" s="82" t="s">
        <v>4821</v>
      </c>
      <c r="X1434" s="80" t="str">
        <f>HYPERLINK("https://www.valoraanalitik.com/2023/08/11/soat-motos-colombia-podria-subir-de-precio/")</f>
        <v>https://www.valoraanalitik.com/2023/08/11/soat-motos-colombia-podria-subir-de-precio/</v>
      </c>
      <c r="Y1434" s="77" t="s">
        <v>6471</v>
      </c>
      <c r="Z1434" s="77" t="s">
        <v>6633</v>
      </c>
      <c r="AA1434" s="77"/>
      <c r="AB1434" s="77"/>
      <c r="AC1434" s="82" t="s">
        <v>7750</v>
      </c>
      <c r="AD1434" s="77" t="s">
        <v>7790</v>
      </c>
      <c r="AE1434" s="80" t="str">
        <f>HYPERLINK("https://twitter.com/valoraanalitik/status/1689961683777691648")</f>
        <v>https://twitter.com/valoraanalitik/status/1689961683777691648</v>
      </c>
      <c r="AF1434" s="79">
        <v>45149.47729166667</v>
      </c>
      <c r="AG1434" s="85">
        <v>45149</v>
      </c>
      <c r="AH1434" s="82" t="s">
        <v>9037</v>
      </c>
      <c r="AI1434" s="77" t="b">
        <v>0</v>
      </c>
      <c r="AJ1434" s="77"/>
      <c r="AK1434" s="77"/>
      <c r="AL1434" s="77"/>
      <c r="AM1434" s="77"/>
      <c r="AN1434" s="77"/>
      <c r="AO1434" s="77"/>
      <c r="AP1434" s="77"/>
      <c r="AQ1434" s="77"/>
      <c r="AR1434" s="77"/>
      <c r="AS1434" s="77"/>
      <c r="AT1434" s="77"/>
      <c r="AU1434" s="77"/>
      <c r="AV1434" s="80" t="str">
        <f>HYPERLINK("https://pbs.twimg.com/profile_images/1475155236713029641/7Lb8npQr_normal.jpg")</f>
        <v>https://pbs.twimg.com/profile_images/1475155236713029641/7Lb8npQr_normal.jpg</v>
      </c>
      <c r="AW1434" s="82" t="s">
        <v>13068</v>
      </c>
      <c r="AX1434" s="82" t="s">
        <v>13068</v>
      </c>
      <c r="AY1434" s="77"/>
      <c r="AZ1434" s="82" t="s">
        <v>15984</v>
      </c>
      <c r="BA1434" s="82" t="s">
        <v>15984</v>
      </c>
      <c r="BB1434" s="82" t="s">
        <v>15984</v>
      </c>
      <c r="BC1434" s="82" t="s">
        <v>13068</v>
      </c>
      <c r="BD1434" s="77">
        <v>20980846</v>
      </c>
      <c r="BE1434" s="77"/>
      <c r="BF1434" s="77"/>
      <c r="BG1434" s="77"/>
      <c r="BH1434" s="77"/>
      <c r="BI1434" s="77"/>
    </row>
    <row r="1435" spans="1:61" x14ac:dyDescent="0.25">
      <c r="A1435" s="62" t="s">
        <v>614</v>
      </c>
      <c r="B1435" s="62" t="s">
        <v>877</v>
      </c>
      <c r="C1435" s="63"/>
      <c r="D1435" s="64"/>
      <c r="E1435" s="65"/>
      <c r="F1435" s="66"/>
      <c r="G1435" s="63"/>
      <c r="H1435" s="67"/>
      <c r="I1435" s="68"/>
      <c r="J1435" s="68"/>
      <c r="K1435" s="32"/>
      <c r="L1435" s="75">
        <v>1435</v>
      </c>
      <c r="M1435" s="75"/>
      <c r="N1435" s="70"/>
      <c r="O1435" s="77" t="s">
        <v>895</v>
      </c>
      <c r="P1435" s="79">
        <v>45149.125405092593</v>
      </c>
      <c r="Q1435" s="77" t="s">
        <v>2182</v>
      </c>
      <c r="R1435" s="77">
        <v>0</v>
      </c>
      <c r="S1435" s="77">
        <v>0</v>
      </c>
      <c r="T1435" s="77">
        <v>0</v>
      </c>
      <c r="U1435" s="77">
        <v>0</v>
      </c>
      <c r="V1435" s="77">
        <v>1155</v>
      </c>
      <c r="W1435" s="82" t="s">
        <v>4821</v>
      </c>
      <c r="X1435" s="80" t="str">
        <f>HYPERLINK("https://www.valoraanalitik.com/2023/08/10/america-latina-y-asia-impulsaron-la-entrada-de-capitales-en-julio-iif/")</f>
        <v>https://www.valoraanalitik.com/2023/08/10/america-latina-y-asia-impulsaron-la-entrada-de-capitales-en-julio-iif/</v>
      </c>
      <c r="Y1435" s="77" t="s">
        <v>6471</v>
      </c>
      <c r="Z1435" s="77" t="s">
        <v>877</v>
      </c>
      <c r="AA1435" s="77"/>
      <c r="AB1435" s="77"/>
      <c r="AC1435" s="82" t="s">
        <v>7750</v>
      </c>
      <c r="AD1435" s="77" t="s">
        <v>7790</v>
      </c>
      <c r="AE1435" s="80" t="str">
        <f>HYPERLINK("https://twitter.com/valoraanalitik/status/1689834167448600576")</f>
        <v>https://twitter.com/valoraanalitik/status/1689834167448600576</v>
      </c>
      <c r="AF1435" s="79">
        <v>45149.125405092593</v>
      </c>
      <c r="AG1435" s="85">
        <v>45149</v>
      </c>
      <c r="AH1435" s="82" t="s">
        <v>9038</v>
      </c>
      <c r="AI1435" s="77" t="b">
        <v>0</v>
      </c>
      <c r="AJ1435" s="77"/>
      <c r="AK1435" s="77"/>
      <c r="AL1435" s="77"/>
      <c r="AM1435" s="77"/>
      <c r="AN1435" s="77"/>
      <c r="AO1435" s="77"/>
      <c r="AP1435" s="77"/>
      <c r="AQ1435" s="77"/>
      <c r="AR1435" s="77"/>
      <c r="AS1435" s="77"/>
      <c r="AT1435" s="77"/>
      <c r="AU1435" s="77"/>
      <c r="AV1435" s="80" t="str">
        <f>HYPERLINK("https://pbs.twimg.com/profile_images/1475155236713029641/7Lb8npQr_normal.jpg")</f>
        <v>https://pbs.twimg.com/profile_images/1475155236713029641/7Lb8npQr_normal.jpg</v>
      </c>
      <c r="AW1435" s="82" t="s">
        <v>13069</v>
      </c>
      <c r="AX1435" s="82" t="s">
        <v>13069</v>
      </c>
      <c r="AY1435" s="77"/>
      <c r="AZ1435" s="82" t="s">
        <v>15984</v>
      </c>
      <c r="BA1435" s="82" t="s">
        <v>15984</v>
      </c>
      <c r="BB1435" s="82" t="s">
        <v>15984</v>
      </c>
      <c r="BC1435" s="82" t="s">
        <v>13069</v>
      </c>
      <c r="BD1435" s="77">
        <v>20980846</v>
      </c>
      <c r="BE1435" s="77"/>
      <c r="BF1435" s="77"/>
      <c r="BG1435" s="77"/>
      <c r="BH1435" s="77"/>
      <c r="BI1435" s="77"/>
    </row>
    <row r="1436" spans="1:61" x14ac:dyDescent="0.25">
      <c r="A1436" s="62" t="s">
        <v>614</v>
      </c>
      <c r="B1436" s="62" t="s">
        <v>817</v>
      </c>
      <c r="C1436" s="63"/>
      <c r="D1436" s="64"/>
      <c r="E1436" s="65"/>
      <c r="F1436" s="66"/>
      <c r="G1436" s="63"/>
      <c r="H1436" s="67"/>
      <c r="I1436" s="68"/>
      <c r="J1436" s="68"/>
      <c r="K1436" s="32"/>
      <c r="L1436" s="75">
        <v>1436</v>
      </c>
      <c r="M1436" s="75"/>
      <c r="N1436" s="70"/>
      <c r="O1436" s="77" t="s">
        <v>895</v>
      </c>
      <c r="P1436" s="79">
        <v>45187.965266203704</v>
      </c>
      <c r="Q1436" s="77" t="s">
        <v>2183</v>
      </c>
      <c r="R1436" s="77">
        <v>1</v>
      </c>
      <c r="S1436" s="77">
        <v>1</v>
      </c>
      <c r="T1436" s="77">
        <v>0</v>
      </c>
      <c r="U1436" s="77">
        <v>0</v>
      </c>
      <c r="V1436" s="77">
        <v>847</v>
      </c>
      <c r="W1436" s="82" t="s">
        <v>4821</v>
      </c>
      <c r="X1436" s="80" t="str">
        <f>HYPERLINK("https://bit.ly/3ZkVek3")</f>
        <v>https://bit.ly/3ZkVek3</v>
      </c>
      <c r="Y1436" s="77" t="s">
        <v>6468</v>
      </c>
      <c r="Z1436" s="77" t="s">
        <v>817</v>
      </c>
      <c r="AA1436" s="77"/>
      <c r="AB1436" s="77"/>
      <c r="AC1436" s="82" t="s">
        <v>7775</v>
      </c>
      <c r="AD1436" s="77" t="s">
        <v>7790</v>
      </c>
      <c r="AE1436" s="80" t="str">
        <f>HYPERLINK("https://twitter.com/valoraanalitik/status/1703909262638841960")</f>
        <v>https://twitter.com/valoraanalitik/status/1703909262638841960</v>
      </c>
      <c r="AF1436" s="79">
        <v>45187.965266203704</v>
      </c>
      <c r="AG1436" s="85">
        <v>45187</v>
      </c>
      <c r="AH1436" s="82" t="s">
        <v>9039</v>
      </c>
      <c r="AI1436" s="77" t="b">
        <v>0</v>
      </c>
      <c r="AJ1436" s="77"/>
      <c r="AK1436" s="77"/>
      <c r="AL1436" s="77"/>
      <c r="AM1436" s="77"/>
      <c r="AN1436" s="77"/>
      <c r="AO1436" s="77"/>
      <c r="AP1436" s="77"/>
      <c r="AQ1436" s="77"/>
      <c r="AR1436" s="77"/>
      <c r="AS1436" s="77"/>
      <c r="AT1436" s="77"/>
      <c r="AU1436" s="77"/>
      <c r="AV1436" s="80" t="str">
        <f>HYPERLINK("https://pbs.twimg.com/profile_images/1475155236713029641/7Lb8npQr_normal.jpg")</f>
        <v>https://pbs.twimg.com/profile_images/1475155236713029641/7Lb8npQr_normal.jpg</v>
      </c>
      <c r="AW1436" s="82" t="s">
        <v>13070</v>
      </c>
      <c r="AX1436" s="82" t="s">
        <v>13070</v>
      </c>
      <c r="AY1436" s="77"/>
      <c r="AZ1436" s="82" t="s">
        <v>15984</v>
      </c>
      <c r="BA1436" s="82" t="s">
        <v>15984</v>
      </c>
      <c r="BB1436" s="82" t="s">
        <v>15984</v>
      </c>
      <c r="BC1436" s="82" t="s">
        <v>13070</v>
      </c>
      <c r="BD1436" s="77">
        <v>20980846</v>
      </c>
      <c r="BE1436" s="77"/>
      <c r="BF1436" s="77"/>
      <c r="BG1436" s="77"/>
      <c r="BH1436" s="77"/>
      <c r="BI1436" s="77"/>
    </row>
    <row r="1437" spans="1:61" x14ac:dyDescent="0.25">
      <c r="A1437" s="62" t="s">
        <v>614</v>
      </c>
      <c r="B1437" s="62" t="s">
        <v>817</v>
      </c>
      <c r="C1437" s="63"/>
      <c r="D1437" s="64"/>
      <c r="E1437" s="65"/>
      <c r="F1437" s="66"/>
      <c r="G1437" s="63"/>
      <c r="H1437" s="67"/>
      <c r="I1437" s="68"/>
      <c r="J1437" s="68"/>
      <c r="K1437" s="32"/>
      <c r="L1437" s="75">
        <v>1437</v>
      </c>
      <c r="M1437" s="75"/>
      <c r="N1437" s="70"/>
      <c r="O1437" s="77" t="s">
        <v>895</v>
      </c>
      <c r="P1437" s="79">
        <v>45161.963518518518</v>
      </c>
      <c r="Q1437" s="77" t="s">
        <v>2184</v>
      </c>
      <c r="R1437" s="77">
        <v>3</v>
      </c>
      <c r="S1437" s="77">
        <v>4</v>
      </c>
      <c r="T1437" s="77">
        <v>0</v>
      </c>
      <c r="U1437" s="77">
        <v>1</v>
      </c>
      <c r="V1437" s="77">
        <v>1259</v>
      </c>
      <c r="W1437" s="82" t="s">
        <v>4821</v>
      </c>
      <c r="X1437" s="80" t="str">
        <f>HYPERLINK("https://bit.ly/3sox1Nc")</f>
        <v>https://bit.ly/3sox1Nc</v>
      </c>
      <c r="Y1437" s="77" t="s">
        <v>6468</v>
      </c>
      <c r="Z1437" s="77" t="s">
        <v>817</v>
      </c>
      <c r="AA1437" s="77"/>
      <c r="AB1437" s="77"/>
      <c r="AC1437" s="82" t="s">
        <v>7775</v>
      </c>
      <c r="AD1437" s="77" t="s">
        <v>7790</v>
      </c>
      <c r="AE1437" s="80" t="str">
        <f>HYPERLINK("https://twitter.com/valoraanalitik/status/1694486541505036373")</f>
        <v>https://twitter.com/valoraanalitik/status/1694486541505036373</v>
      </c>
      <c r="AF1437" s="79">
        <v>45161.963518518518</v>
      </c>
      <c r="AG1437" s="85">
        <v>45161</v>
      </c>
      <c r="AH1437" s="82" t="s">
        <v>9040</v>
      </c>
      <c r="AI1437" s="77" t="b">
        <v>0</v>
      </c>
      <c r="AJ1437" s="77"/>
      <c r="AK1437" s="77"/>
      <c r="AL1437" s="77"/>
      <c r="AM1437" s="77"/>
      <c r="AN1437" s="77"/>
      <c r="AO1437" s="77"/>
      <c r="AP1437" s="77"/>
      <c r="AQ1437" s="77"/>
      <c r="AR1437" s="77"/>
      <c r="AS1437" s="77"/>
      <c r="AT1437" s="77"/>
      <c r="AU1437" s="77"/>
      <c r="AV1437" s="80" t="str">
        <f>HYPERLINK("https://pbs.twimg.com/profile_images/1475155236713029641/7Lb8npQr_normal.jpg")</f>
        <v>https://pbs.twimg.com/profile_images/1475155236713029641/7Lb8npQr_normal.jpg</v>
      </c>
      <c r="AW1437" s="82" t="s">
        <v>13071</v>
      </c>
      <c r="AX1437" s="82" t="s">
        <v>13071</v>
      </c>
      <c r="AY1437" s="77"/>
      <c r="AZ1437" s="82" t="s">
        <v>15984</v>
      </c>
      <c r="BA1437" s="82" t="s">
        <v>15984</v>
      </c>
      <c r="BB1437" s="82" t="s">
        <v>15984</v>
      </c>
      <c r="BC1437" s="82" t="s">
        <v>13071</v>
      </c>
      <c r="BD1437" s="77">
        <v>20980846</v>
      </c>
      <c r="BE1437" s="77"/>
      <c r="BF1437" s="77"/>
      <c r="BG1437" s="77"/>
      <c r="BH1437" s="77"/>
      <c r="BI1437" s="77"/>
    </row>
    <row r="1438" spans="1:61" x14ac:dyDescent="0.25">
      <c r="A1438" s="62" t="s">
        <v>614</v>
      </c>
      <c r="B1438" s="62" t="s">
        <v>817</v>
      </c>
      <c r="C1438" s="63"/>
      <c r="D1438" s="64"/>
      <c r="E1438" s="65"/>
      <c r="F1438" s="66"/>
      <c r="G1438" s="63"/>
      <c r="H1438" s="67"/>
      <c r="I1438" s="68"/>
      <c r="J1438" s="68"/>
      <c r="K1438" s="32"/>
      <c r="L1438" s="75">
        <v>1438</v>
      </c>
      <c r="M1438" s="75"/>
      <c r="N1438" s="70"/>
      <c r="O1438" s="77" t="s">
        <v>895</v>
      </c>
      <c r="P1438" s="79">
        <v>45194.966944444444</v>
      </c>
      <c r="Q1438" s="77" t="s">
        <v>2185</v>
      </c>
      <c r="R1438" s="77">
        <v>5</v>
      </c>
      <c r="S1438" s="77">
        <v>6</v>
      </c>
      <c r="T1438" s="77">
        <v>0</v>
      </c>
      <c r="U1438" s="77">
        <v>0</v>
      </c>
      <c r="V1438" s="77">
        <v>2161</v>
      </c>
      <c r="W1438" s="82" t="s">
        <v>4821</v>
      </c>
      <c r="X1438" s="80" t="str">
        <f>HYPERLINK("https://bit.ly/450Z0Al")</f>
        <v>https://bit.ly/450Z0Al</v>
      </c>
      <c r="Y1438" s="77" t="s">
        <v>6468</v>
      </c>
      <c r="Z1438" s="77" t="s">
        <v>817</v>
      </c>
      <c r="AA1438" s="77"/>
      <c r="AB1438" s="77"/>
      <c r="AC1438" s="82" t="s">
        <v>7775</v>
      </c>
      <c r="AD1438" s="77" t="s">
        <v>7790</v>
      </c>
      <c r="AE1438" s="80" t="str">
        <f>HYPERLINK("https://twitter.com/valoraanalitik/status/1706446582164357338")</f>
        <v>https://twitter.com/valoraanalitik/status/1706446582164357338</v>
      </c>
      <c r="AF1438" s="79">
        <v>45194.966944444444</v>
      </c>
      <c r="AG1438" s="85">
        <v>45194</v>
      </c>
      <c r="AH1438" s="82" t="s">
        <v>9041</v>
      </c>
      <c r="AI1438" s="77" t="b">
        <v>0</v>
      </c>
      <c r="AJ1438" s="77"/>
      <c r="AK1438" s="77"/>
      <c r="AL1438" s="77"/>
      <c r="AM1438" s="77"/>
      <c r="AN1438" s="77"/>
      <c r="AO1438" s="77"/>
      <c r="AP1438" s="77"/>
      <c r="AQ1438" s="77"/>
      <c r="AR1438" s="77"/>
      <c r="AS1438" s="77"/>
      <c r="AT1438" s="77"/>
      <c r="AU1438" s="77"/>
      <c r="AV1438" s="80" t="str">
        <f>HYPERLINK("https://pbs.twimg.com/profile_images/1475155236713029641/7Lb8npQr_normal.jpg")</f>
        <v>https://pbs.twimg.com/profile_images/1475155236713029641/7Lb8npQr_normal.jpg</v>
      </c>
      <c r="AW1438" s="82" t="s">
        <v>13072</v>
      </c>
      <c r="AX1438" s="82" t="s">
        <v>13072</v>
      </c>
      <c r="AY1438" s="77"/>
      <c r="AZ1438" s="82" t="s">
        <v>15984</v>
      </c>
      <c r="BA1438" s="82" t="s">
        <v>15984</v>
      </c>
      <c r="BB1438" s="82" t="s">
        <v>15984</v>
      </c>
      <c r="BC1438" s="82" t="s">
        <v>13072</v>
      </c>
      <c r="BD1438" s="77">
        <v>20980846</v>
      </c>
      <c r="BE1438" s="77"/>
      <c r="BF1438" s="77"/>
      <c r="BG1438" s="77"/>
      <c r="BH1438" s="77"/>
      <c r="BI1438" s="77"/>
    </row>
    <row r="1439" spans="1:61" x14ac:dyDescent="0.25">
      <c r="A1439" s="62" t="s">
        <v>614</v>
      </c>
      <c r="B1439" s="62" t="s">
        <v>878</v>
      </c>
      <c r="C1439" s="63"/>
      <c r="D1439" s="64"/>
      <c r="E1439" s="65"/>
      <c r="F1439" s="66"/>
      <c r="G1439" s="63"/>
      <c r="H1439" s="67"/>
      <c r="I1439" s="68"/>
      <c r="J1439" s="68"/>
      <c r="K1439" s="32"/>
      <c r="L1439" s="75">
        <v>1439</v>
      </c>
      <c r="M1439" s="75"/>
      <c r="N1439" s="70"/>
      <c r="O1439" s="77" t="s">
        <v>895</v>
      </c>
      <c r="P1439" s="79">
        <v>45181.089629629627</v>
      </c>
      <c r="Q1439" s="77" t="s">
        <v>2186</v>
      </c>
      <c r="R1439" s="77">
        <v>7</v>
      </c>
      <c r="S1439" s="77">
        <v>14</v>
      </c>
      <c r="T1439" s="77">
        <v>0</v>
      </c>
      <c r="U1439" s="77">
        <v>0</v>
      </c>
      <c r="V1439" s="77">
        <v>2275</v>
      </c>
      <c r="W1439" s="82" t="s">
        <v>4821</v>
      </c>
      <c r="X1439" s="80" t="str">
        <f>HYPERLINK("https://bit.ly/484HvBT")</f>
        <v>https://bit.ly/484HvBT</v>
      </c>
      <c r="Y1439" s="77" t="s">
        <v>6468</v>
      </c>
      <c r="Z1439" s="77" t="s">
        <v>6634</v>
      </c>
      <c r="AA1439" s="77"/>
      <c r="AB1439" s="77"/>
      <c r="AC1439" s="82" t="s">
        <v>7775</v>
      </c>
      <c r="AD1439" s="77" t="s">
        <v>7790</v>
      </c>
      <c r="AE1439" s="80" t="str">
        <f>HYPERLINK("https://twitter.com/valoraanalitik/status/1701417613958455549")</f>
        <v>https://twitter.com/valoraanalitik/status/1701417613958455549</v>
      </c>
      <c r="AF1439" s="79">
        <v>45181.089629629627</v>
      </c>
      <c r="AG1439" s="85">
        <v>45181</v>
      </c>
      <c r="AH1439" s="82" t="s">
        <v>9042</v>
      </c>
      <c r="AI1439" s="77" t="b">
        <v>0</v>
      </c>
      <c r="AJ1439" s="77"/>
      <c r="AK1439" s="77"/>
      <c r="AL1439" s="77"/>
      <c r="AM1439" s="77"/>
      <c r="AN1439" s="77"/>
      <c r="AO1439" s="77"/>
      <c r="AP1439" s="77"/>
      <c r="AQ1439" s="77"/>
      <c r="AR1439" s="77"/>
      <c r="AS1439" s="77"/>
      <c r="AT1439" s="77"/>
      <c r="AU1439" s="77"/>
      <c r="AV1439" s="80" t="str">
        <f>HYPERLINK("https://pbs.twimg.com/profile_images/1475155236713029641/7Lb8npQr_normal.jpg")</f>
        <v>https://pbs.twimg.com/profile_images/1475155236713029641/7Lb8npQr_normal.jpg</v>
      </c>
      <c r="AW1439" s="82" t="s">
        <v>13073</v>
      </c>
      <c r="AX1439" s="82" t="s">
        <v>13073</v>
      </c>
      <c r="AY1439" s="77"/>
      <c r="AZ1439" s="82" t="s">
        <v>15984</v>
      </c>
      <c r="BA1439" s="82" t="s">
        <v>15984</v>
      </c>
      <c r="BB1439" s="82" t="s">
        <v>15984</v>
      </c>
      <c r="BC1439" s="82" t="s">
        <v>13073</v>
      </c>
      <c r="BD1439" s="77">
        <v>20980846</v>
      </c>
      <c r="BE1439" s="77"/>
      <c r="BF1439" s="77"/>
      <c r="BG1439" s="77"/>
      <c r="BH1439" s="77"/>
      <c r="BI1439" s="77"/>
    </row>
    <row r="1440" spans="1:61" x14ac:dyDescent="0.25">
      <c r="A1440" s="62" t="s">
        <v>614</v>
      </c>
      <c r="B1440" s="62" t="s">
        <v>879</v>
      </c>
      <c r="C1440" s="63"/>
      <c r="D1440" s="64"/>
      <c r="E1440" s="65"/>
      <c r="F1440" s="66"/>
      <c r="G1440" s="63"/>
      <c r="H1440" s="67"/>
      <c r="I1440" s="68"/>
      <c r="J1440" s="68"/>
      <c r="K1440" s="32"/>
      <c r="L1440" s="75">
        <v>1440</v>
      </c>
      <c r="M1440" s="75"/>
      <c r="N1440" s="70"/>
      <c r="O1440" s="77" t="s">
        <v>895</v>
      </c>
      <c r="P1440" s="79">
        <v>45147.637731481482</v>
      </c>
      <c r="Q1440" s="77" t="s">
        <v>2102</v>
      </c>
      <c r="R1440" s="77">
        <v>2</v>
      </c>
      <c r="S1440" s="77">
        <v>4</v>
      </c>
      <c r="T1440" s="77">
        <v>0</v>
      </c>
      <c r="U1440" s="77">
        <v>0</v>
      </c>
      <c r="V1440" s="77">
        <v>873</v>
      </c>
      <c r="W1440" s="82" t="s">
        <v>4821</v>
      </c>
      <c r="X1440" s="80" t="str">
        <f>HYPERLINK("https://www.valoraanalitik.com/2023/08/09/dias-sin-iva-colombia-revivirian-por-ley/")</f>
        <v>https://www.valoraanalitik.com/2023/08/09/dias-sin-iva-colombia-revivirian-por-ley/</v>
      </c>
      <c r="Y1440" s="77" t="s">
        <v>6471</v>
      </c>
      <c r="Z1440" s="77" t="s">
        <v>6594</v>
      </c>
      <c r="AA1440" s="77"/>
      <c r="AB1440" s="77"/>
      <c r="AC1440" s="82" t="s">
        <v>7750</v>
      </c>
      <c r="AD1440" s="77" t="s">
        <v>7790</v>
      </c>
      <c r="AE1440" s="80" t="str">
        <f>HYPERLINK("https://twitter.com/valoraanalitik/status/1689295052105760768")</f>
        <v>https://twitter.com/valoraanalitik/status/1689295052105760768</v>
      </c>
      <c r="AF1440" s="79">
        <v>45147.637731481482</v>
      </c>
      <c r="AG1440" s="85">
        <v>45147</v>
      </c>
      <c r="AH1440" s="82" t="s">
        <v>8960</v>
      </c>
      <c r="AI1440" s="77" t="b">
        <v>0</v>
      </c>
      <c r="AJ1440" s="77"/>
      <c r="AK1440" s="77"/>
      <c r="AL1440" s="77"/>
      <c r="AM1440" s="77"/>
      <c r="AN1440" s="77"/>
      <c r="AO1440" s="77"/>
      <c r="AP1440" s="77"/>
      <c r="AQ1440" s="77"/>
      <c r="AR1440" s="77"/>
      <c r="AS1440" s="77"/>
      <c r="AT1440" s="77"/>
      <c r="AU1440" s="77"/>
      <c r="AV1440" s="80" t="str">
        <f>HYPERLINK("https://pbs.twimg.com/profile_images/1475155236713029641/7Lb8npQr_normal.jpg")</f>
        <v>https://pbs.twimg.com/profile_images/1475155236713029641/7Lb8npQr_normal.jpg</v>
      </c>
      <c r="AW1440" s="82" t="s">
        <v>12989</v>
      </c>
      <c r="AX1440" s="82" t="s">
        <v>12989</v>
      </c>
      <c r="AY1440" s="77"/>
      <c r="AZ1440" s="82" t="s">
        <v>15984</v>
      </c>
      <c r="BA1440" s="82" t="s">
        <v>15984</v>
      </c>
      <c r="BB1440" s="82" t="s">
        <v>15984</v>
      </c>
      <c r="BC1440" s="82" t="s">
        <v>12989</v>
      </c>
      <c r="BD1440" s="77">
        <v>20980846</v>
      </c>
      <c r="BE1440" s="77"/>
      <c r="BF1440" s="77"/>
      <c r="BG1440" s="77"/>
      <c r="BH1440" s="77"/>
      <c r="BI1440" s="77"/>
    </row>
    <row r="1441" spans="1:61" x14ac:dyDescent="0.25">
      <c r="A1441" s="62" t="s">
        <v>614</v>
      </c>
      <c r="B1441" s="62" t="s">
        <v>879</v>
      </c>
      <c r="C1441" s="63"/>
      <c r="D1441" s="64"/>
      <c r="E1441" s="65"/>
      <c r="F1441" s="66"/>
      <c r="G1441" s="63"/>
      <c r="H1441" s="67"/>
      <c r="I1441" s="68"/>
      <c r="J1441" s="68"/>
      <c r="K1441" s="32"/>
      <c r="L1441" s="75">
        <v>1441</v>
      </c>
      <c r="M1441" s="75"/>
      <c r="N1441" s="70"/>
      <c r="O1441" s="77" t="s">
        <v>895</v>
      </c>
      <c r="P1441" s="79">
        <v>45181.089629629627</v>
      </c>
      <c r="Q1441" s="77" t="s">
        <v>2186</v>
      </c>
      <c r="R1441" s="77">
        <v>7</v>
      </c>
      <c r="S1441" s="77">
        <v>14</v>
      </c>
      <c r="T1441" s="77">
        <v>0</v>
      </c>
      <c r="U1441" s="77">
        <v>0</v>
      </c>
      <c r="V1441" s="77">
        <v>2275</v>
      </c>
      <c r="W1441" s="82" t="s">
        <v>4821</v>
      </c>
      <c r="X1441" s="80" t="str">
        <f>HYPERLINK("https://bit.ly/484HvBT")</f>
        <v>https://bit.ly/484HvBT</v>
      </c>
      <c r="Y1441" s="77" t="s">
        <v>6468</v>
      </c>
      <c r="Z1441" s="77" t="s">
        <v>6634</v>
      </c>
      <c r="AA1441" s="77"/>
      <c r="AB1441" s="77"/>
      <c r="AC1441" s="82" t="s">
        <v>7775</v>
      </c>
      <c r="AD1441" s="77" t="s">
        <v>7790</v>
      </c>
      <c r="AE1441" s="80" t="str">
        <f>HYPERLINK("https://twitter.com/valoraanalitik/status/1701417613958455549")</f>
        <v>https://twitter.com/valoraanalitik/status/1701417613958455549</v>
      </c>
      <c r="AF1441" s="79">
        <v>45181.089629629627</v>
      </c>
      <c r="AG1441" s="85">
        <v>45181</v>
      </c>
      <c r="AH1441" s="82" t="s">
        <v>9042</v>
      </c>
      <c r="AI1441" s="77" t="b">
        <v>0</v>
      </c>
      <c r="AJ1441" s="77"/>
      <c r="AK1441" s="77"/>
      <c r="AL1441" s="77"/>
      <c r="AM1441" s="77"/>
      <c r="AN1441" s="77"/>
      <c r="AO1441" s="77"/>
      <c r="AP1441" s="77"/>
      <c r="AQ1441" s="77"/>
      <c r="AR1441" s="77"/>
      <c r="AS1441" s="77"/>
      <c r="AT1441" s="77"/>
      <c r="AU1441" s="77"/>
      <c r="AV1441" s="80" t="str">
        <f>HYPERLINK("https://pbs.twimg.com/profile_images/1475155236713029641/7Lb8npQr_normal.jpg")</f>
        <v>https://pbs.twimg.com/profile_images/1475155236713029641/7Lb8npQr_normal.jpg</v>
      </c>
      <c r="AW1441" s="82" t="s">
        <v>13073</v>
      </c>
      <c r="AX1441" s="82" t="s">
        <v>13073</v>
      </c>
      <c r="AY1441" s="77"/>
      <c r="AZ1441" s="82" t="s">
        <v>15984</v>
      </c>
      <c r="BA1441" s="82" t="s">
        <v>15984</v>
      </c>
      <c r="BB1441" s="82" t="s">
        <v>15984</v>
      </c>
      <c r="BC1441" s="82" t="s">
        <v>13073</v>
      </c>
      <c r="BD1441" s="77">
        <v>20980846</v>
      </c>
      <c r="BE1441" s="77"/>
      <c r="BF1441" s="77"/>
      <c r="BG1441" s="77"/>
      <c r="BH1441" s="77"/>
      <c r="BI1441" s="77"/>
    </row>
    <row r="1442" spans="1:61" x14ac:dyDescent="0.25">
      <c r="A1442" s="62" t="s">
        <v>614</v>
      </c>
      <c r="B1442" s="62" t="s">
        <v>880</v>
      </c>
      <c r="C1442" s="63"/>
      <c r="D1442" s="64"/>
      <c r="E1442" s="65"/>
      <c r="F1442" s="66"/>
      <c r="G1442" s="63"/>
      <c r="H1442" s="67"/>
      <c r="I1442" s="68"/>
      <c r="J1442" s="68"/>
      <c r="K1442" s="32"/>
      <c r="L1442" s="75">
        <v>1442</v>
      </c>
      <c r="M1442" s="75"/>
      <c r="N1442" s="70"/>
      <c r="O1442" s="77" t="s">
        <v>895</v>
      </c>
      <c r="P1442" s="79">
        <v>45147.637731481482</v>
      </c>
      <c r="Q1442" s="77" t="s">
        <v>2102</v>
      </c>
      <c r="R1442" s="77">
        <v>2</v>
      </c>
      <c r="S1442" s="77">
        <v>4</v>
      </c>
      <c r="T1442" s="77">
        <v>0</v>
      </c>
      <c r="U1442" s="77">
        <v>0</v>
      </c>
      <c r="V1442" s="77">
        <v>873</v>
      </c>
      <c r="W1442" s="82" t="s">
        <v>4821</v>
      </c>
      <c r="X1442" s="80" t="str">
        <f>HYPERLINK("https://www.valoraanalitik.com/2023/08/09/dias-sin-iva-colombia-revivirian-por-ley/")</f>
        <v>https://www.valoraanalitik.com/2023/08/09/dias-sin-iva-colombia-revivirian-por-ley/</v>
      </c>
      <c r="Y1442" s="77" t="s">
        <v>6471</v>
      </c>
      <c r="Z1442" s="77" t="s">
        <v>6594</v>
      </c>
      <c r="AA1442" s="77"/>
      <c r="AB1442" s="77"/>
      <c r="AC1442" s="82" t="s">
        <v>7750</v>
      </c>
      <c r="AD1442" s="77" t="s">
        <v>7790</v>
      </c>
      <c r="AE1442" s="80" t="str">
        <f>HYPERLINK("https://twitter.com/valoraanalitik/status/1689295052105760768")</f>
        <v>https://twitter.com/valoraanalitik/status/1689295052105760768</v>
      </c>
      <c r="AF1442" s="79">
        <v>45147.637731481482</v>
      </c>
      <c r="AG1442" s="85">
        <v>45147</v>
      </c>
      <c r="AH1442" s="82" t="s">
        <v>8960</v>
      </c>
      <c r="AI1442" s="77" t="b">
        <v>0</v>
      </c>
      <c r="AJ1442" s="77"/>
      <c r="AK1442" s="77"/>
      <c r="AL1442" s="77"/>
      <c r="AM1442" s="77"/>
      <c r="AN1442" s="77"/>
      <c r="AO1442" s="77"/>
      <c r="AP1442" s="77"/>
      <c r="AQ1442" s="77"/>
      <c r="AR1442" s="77"/>
      <c r="AS1442" s="77"/>
      <c r="AT1442" s="77"/>
      <c r="AU1442" s="77"/>
      <c r="AV1442" s="80" t="str">
        <f>HYPERLINK("https://pbs.twimg.com/profile_images/1475155236713029641/7Lb8npQr_normal.jpg")</f>
        <v>https://pbs.twimg.com/profile_images/1475155236713029641/7Lb8npQr_normal.jpg</v>
      </c>
      <c r="AW1442" s="82" t="s">
        <v>12989</v>
      </c>
      <c r="AX1442" s="82" t="s">
        <v>12989</v>
      </c>
      <c r="AY1442" s="77"/>
      <c r="AZ1442" s="82" t="s">
        <v>15984</v>
      </c>
      <c r="BA1442" s="82" t="s">
        <v>15984</v>
      </c>
      <c r="BB1442" s="82" t="s">
        <v>15984</v>
      </c>
      <c r="BC1442" s="82" t="s">
        <v>12989</v>
      </c>
      <c r="BD1442" s="77">
        <v>20980846</v>
      </c>
      <c r="BE1442" s="77"/>
      <c r="BF1442" s="77"/>
      <c r="BG1442" s="77"/>
      <c r="BH1442" s="77"/>
      <c r="BI1442" s="77"/>
    </row>
    <row r="1443" spans="1:61" x14ac:dyDescent="0.25">
      <c r="A1443" s="62" t="s">
        <v>614</v>
      </c>
      <c r="B1443" s="62" t="s">
        <v>880</v>
      </c>
      <c r="C1443" s="63"/>
      <c r="D1443" s="64"/>
      <c r="E1443" s="65"/>
      <c r="F1443" s="66"/>
      <c r="G1443" s="63"/>
      <c r="H1443" s="67"/>
      <c r="I1443" s="68"/>
      <c r="J1443" s="68"/>
      <c r="K1443" s="32"/>
      <c r="L1443" s="75">
        <v>1443</v>
      </c>
      <c r="M1443" s="75"/>
      <c r="N1443" s="70"/>
      <c r="O1443" s="77" t="s">
        <v>895</v>
      </c>
      <c r="P1443" s="79">
        <v>45176.804907407408</v>
      </c>
      <c r="Q1443" s="77" t="s">
        <v>2187</v>
      </c>
      <c r="R1443" s="77">
        <v>0</v>
      </c>
      <c r="S1443" s="77">
        <v>0</v>
      </c>
      <c r="T1443" s="77">
        <v>0</v>
      </c>
      <c r="U1443" s="77">
        <v>0</v>
      </c>
      <c r="V1443" s="77">
        <v>613</v>
      </c>
      <c r="W1443" s="82" t="s">
        <v>4821</v>
      </c>
      <c r="X1443" s="80" t="str">
        <f>HYPERLINK("https://www.valoraanalitik.com/2023/09/07/revision-de-tlc-de-colombia-tambien-se-hara-con-mexico-y-brasil/")</f>
        <v>https://www.valoraanalitik.com/2023/09/07/revision-de-tlc-de-colombia-tambien-se-hara-con-mexico-y-brasil/</v>
      </c>
      <c r="Y1443" s="77" t="s">
        <v>6471</v>
      </c>
      <c r="Z1443" s="77" t="s">
        <v>880</v>
      </c>
      <c r="AA1443" s="77"/>
      <c r="AB1443" s="77"/>
      <c r="AC1443" s="82" t="s">
        <v>7750</v>
      </c>
      <c r="AD1443" s="77" t="s">
        <v>7790</v>
      </c>
      <c r="AE1443" s="80" t="str">
        <f>HYPERLINK("https://twitter.com/valoraanalitik/status/1699864884077350924")</f>
        <v>https://twitter.com/valoraanalitik/status/1699864884077350924</v>
      </c>
      <c r="AF1443" s="79">
        <v>45176.804907407408</v>
      </c>
      <c r="AG1443" s="85">
        <v>45176</v>
      </c>
      <c r="AH1443" s="82" t="s">
        <v>9043</v>
      </c>
      <c r="AI1443" s="77" t="b">
        <v>0</v>
      </c>
      <c r="AJ1443" s="77"/>
      <c r="AK1443" s="77"/>
      <c r="AL1443" s="77"/>
      <c r="AM1443" s="77"/>
      <c r="AN1443" s="77"/>
      <c r="AO1443" s="77"/>
      <c r="AP1443" s="77"/>
      <c r="AQ1443" s="77"/>
      <c r="AR1443" s="77"/>
      <c r="AS1443" s="77"/>
      <c r="AT1443" s="77"/>
      <c r="AU1443" s="77"/>
      <c r="AV1443" s="80" t="str">
        <f>HYPERLINK("https://pbs.twimg.com/profile_images/1475155236713029641/7Lb8npQr_normal.jpg")</f>
        <v>https://pbs.twimg.com/profile_images/1475155236713029641/7Lb8npQr_normal.jpg</v>
      </c>
      <c r="AW1443" s="82" t="s">
        <v>13074</v>
      </c>
      <c r="AX1443" s="82" t="s">
        <v>13074</v>
      </c>
      <c r="AY1443" s="77"/>
      <c r="AZ1443" s="82" t="s">
        <v>15984</v>
      </c>
      <c r="BA1443" s="82" t="s">
        <v>15984</v>
      </c>
      <c r="BB1443" s="82" t="s">
        <v>15984</v>
      </c>
      <c r="BC1443" s="82" t="s">
        <v>13074</v>
      </c>
      <c r="BD1443" s="77">
        <v>20980846</v>
      </c>
      <c r="BE1443" s="77"/>
      <c r="BF1443" s="77"/>
      <c r="BG1443" s="77"/>
      <c r="BH1443" s="77"/>
      <c r="BI1443" s="77"/>
    </row>
    <row r="1444" spans="1:61" x14ac:dyDescent="0.25">
      <c r="A1444" s="62" t="s">
        <v>614</v>
      </c>
      <c r="B1444" s="62" t="s">
        <v>880</v>
      </c>
      <c r="C1444" s="63"/>
      <c r="D1444" s="64"/>
      <c r="E1444" s="65"/>
      <c r="F1444" s="66"/>
      <c r="G1444" s="63"/>
      <c r="H1444" s="67"/>
      <c r="I1444" s="68"/>
      <c r="J1444" s="68"/>
      <c r="K1444" s="32"/>
      <c r="L1444" s="75">
        <v>1444</v>
      </c>
      <c r="M1444" s="75"/>
      <c r="N1444" s="70"/>
      <c r="O1444" s="77" t="s">
        <v>895</v>
      </c>
      <c r="P1444" s="79">
        <v>45156.903344907405</v>
      </c>
      <c r="Q1444" s="77" t="s">
        <v>2133</v>
      </c>
      <c r="R1444" s="77">
        <v>1</v>
      </c>
      <c r="S1444" s="77">
        <v>2</v>
      </c>
      <c r="T1444" s="77">
        <v>1</v>
      </c>
      <c r="U1444" s="77">
        <v>0</v>
      </c>
      <c r="V1444" s="77">
        <v>867</v>
      </c>
      <c r="W1444" s="82" t="s">
        <v>4821</v>
      </c>
      <c r="X1444" s="80" t="str">
        <f>HYPERLINK("https://bit.ly/3QLupD7")</f>
        <v>https://bit.ly/3QLupD7</v>
      </c>
      <c r="Y1444" s="77" t="s">
        <v>6468</v>
      </c>
      <c r="Z1444" s="77" t="s">
        <v>6613</v>
      </c>
      <c r="AA1444" s="77"/>
      <c r="AB1444" s="77"/>
      <c r="AC1444" s="82" t="s">
        <v>7775</v>
      </c>
      <c r="AD1444" s="77" t="s">
        <v>7790</v>
      </c>
      <c r="AE1444" s="80" t="str">
        <f>HYPERLINK("https://twitter.com/valoraanalitik/status/1692652797953486966")</f>
        <v>https://twitter.com/valoraanalitik/status/1692652797953486966</v>
      </c>
      <c r="AF1444" s="79">
        <v>45156.903344907405</v>
      </c>
      <c r="AG1444" s="85">
        <v>45156</v>
      </c>
      <c r="AH1444" s="82" t="s">
        <v>8990</v>
      </c>
      <c r="AI1444" s="77" t="b">
        <v>0</v>
      </c>
      <c r="AJ1444" s="77"/>
      <c r="AK1444" s="77"/>
      <c r="AL1444" s="77"/>
      <c r="AM1444" s="77"/>
      <c r="AN1444" s="77"/>
      <c r="AO1444" s="77"/>
      <c r="AP1444" s="77"/>
      <c r="AQ1444" s="77"/>
      <c r="AR1444" s="77"/>
      <c r="AS1444" s="77"/>
      <c r="AT1444" s="77"/>
      <c r="AU1444" s="77"/>
      <c r="AV1444" s="80" t="str">
        <f>HYPERLINK("https://pbs.twimg.com/profile_images/1475155236713029641/7Lb8npQr_normal.jpg")</f>
        <v>https://pbs.twimg.com/profile_images/1475155236713029641/7Lb8npQr_normal.jpg</v>
      </c>
      <c r="AW1444" s="82" t="s">
        <v>13020</v>
      </c>
      <c r="AX1444" s="82" t="s">
        <v>13020</v>
      </c>
      <c r="AY1444" s="77"/>
      <c r="AZ1444" s="82" t="s">
        <v>15984</v>
      </c>
      <c r="BA1444" s="82" t="s">
        <v>15984</v>
      </c>
      <c r="BB1444" s="82" t="s">
        <v>15984</v>
      </c>
      <c r="BC1444" s="82" t="s">
        <v>13020</v>
      </c>
      <c r="BD1444" s="77">
        <v>20980846</v>
      </c>
      <c r="BE1444" s="77"/>
      <c r="BF1444" s="77"/>
      <c r="BG1444" s="77"/>
      <c r="BH1444" s="77"/>
      <c r="BI1444" s="77"/>
    </row>
    <row r="1445" spans="1:61" x14ac:dyDescent="0.25">
      <c r="A1445" s="62" t="s">
        <v>614</v>
      </c>
      <c r="B1445" s="62" t="s">
        <v>880</v>
      </c>
      <c r="C1445" s="63"/>
      <c r="D1445" s="64"/>
      <c r="E1445" s="65"/>
      <c r="F1445" s="66"/>
      <c r="G1445" s="63"/>
      <c r="H1445" s="67"/>
      <c r="I1445" s="68"/>
      <c r="J1445" s="68"/>
      <c r="K1445" s="32"/>
      <c r="L1445" s="75">
        <v>1445</v>
      </c>
      <c r="M1445" s="75"/>
      <c r="N1445" s="70"/>
      <c r="O1445" s="77" t="s">
        <v>895</v>
      </c>
      <c r="P1445" s="79">
        <v>45154.84784722222</v>
      </c>
      <c r="Q1445" s="77" t="s">
        <v>2188</v>
      </c>
      <c r="R1445" s="77">
        <v>1</v>
      </c>
      <c r="S1445" s="77">
        <v>3</v>
      </c>
      <c r="T1445" s="77">
        <v>0</v>
      </c>
      <c r="U1445" s="77">
        <v>2</v>
      </c>
      <c r="V1445" s="77">
        <v>986</v>
      </c>
      <c r="W1445" s="82" t="s">
        <v>4821</v>
      </c>
      <c r="X1445" s="80" t="str">
        <f>HYPERLINK("https://www.valoraanalitik.com/2023/08/16/ocupacion-hotelera-cayo-en-17-regiones-de-colombia-en-julio/")</f>
        <v>https://www.valoraanalitik.com/2023/08/16/ocupacion-hotelera-cayo-en-17-regiones-de-colombia-en-julio/</v>
      </c>
      <c r="Y1445" s="77" t="s">
        <v>6471</v>
      </c>
      <c r="Z1445" s="77" t="s">
        <v>6635</v>
      </c>
      <c r="AA1445" s="77"/>
      <c r="AB1445" s="77"/>
      <c r="AC1445" s="82" t="s">
        <v>7750</v>
      </c>
      <c r="AD1445" s="77" t="s">
        <v>7790</v>
      </c>
      <c r="AE1445" s="80" t="str">
        <f>HYPERLINK("https://twitter.com/valoraanalitik/status/1691907909041467607")</f>
        <v>https://twitter.com/valoraanalitik/status/1691907909041467607</v>
      </c>
      <c r="AF1445" s="79">
        <v>45154.84784722222</v>
      </c>
      <c r="AG1445" s="85">
        <v>45154</v>
      </c>
      <c r="AH1445" s="82" t="s">
        <v>9044</v>
      </c>
      <c r="AI1445" s="77" t="b">
        <v>0</v>
      </c>
      <c r="AJ1445" s="77"/>
      <c r="AK1445" s="77"/>
      <c r="AL1445" s="77"/>
      <c r="AM1445" s="77"/>
      <c r="AN1445" s="77"/>
      <c r="AO1445" s="77"/>
      <c r="AP1445" s="77"/>
      <c r="AQ1445" s="77"/>
      <c r="AR1445" s="77"/>
      <c r="AS1445" s="77"/>
      <c r="AT1445" s="77"/>
      <c r="AU1445" s="77"/>
      <c r="AV1445" s="80" t="str">
        <f>HYPERLINK("https://pbs.twimg.com/profile_images/1475155236713029641/7Lb8npQr_normal.jpg")</f>
        <v>https://pbs.twimg.com/profile_images/1475155236713029641/7Lb8npQr_normal.jpg</v>
      </c>
      <c r="AW1445" s="82" t="s">
        <v>13075</v>
      </c>
      <c r="AX1445" s="82" t="s">
        <v>13075</v>
      </c>
      <c r="AY1445" s="77"/>
      <c r="AZ1445" s="82" t="s">
        <v>15984</v>
      </c>
      <c r="BA1445" s="82" t="s">
        <v>15984</v>
      </c>
      <c r="BB1445" s="82" t="s">
        <v>15984</v>
      </c>
      <c r="BC1445" s="82" t="s">
        <v>13075</v>
      </c>
      <c r="BD1445" s="77">
        <v>20980846</v>
      </c>
      <c r="BE1445" s="77"/>
      <c r="BF1445" s="77"/>
      <c r="BG1445" s="77"/>
      <c r="BH1445" s="77"/>
      <c r="BI1445" s="77"/>
    </row>
    <row r="1446" spans="1:61" x14ac:dyDescent="0.25">
      <c r="A1446" s="62" t="s">
        <v>614</v>
      </c>
      <c r="B1446" s="62" t="s">
        <v>881</v>
      </c>
      <c r="C1446" s="63"/>
      <c r="D1446" s="64"/>
      <c r="E1446" s="65"/>
      <c r="F1446" s="66"/>
      <c r="G1446" s="63"/>
      <c r="H1446" s="67"/>
      <c r="I1446" s="68"/>
      <c r="J1446" s="68"/>
      <c r="K1446" s="32"/>
      <c r="L1446" s="75">
        <v>1446</v>
      </c>
      <c r="M1446" s="75"/>
      <c r="N1446" s="70"/>
      <c r="O1446" s="77" t="s">
        <v>895</v>
      </c>
      <c r="P1446" s="79">
        <v>45154.84784722222</v>
      </c>
      <c r="Q1446" s="77" t="s">
        <v>2188</v>
      </c>
      <c r="R1446" s="77">
        <v>1</v>
      </c>
      <c r="S1446" s="77">
        <v>3</v>
      </c>
      <c r="T1446" s="77">
        <v>0</v>
      </c>
      <c r="U1446" s="77">
        <v>2</v>
      </c>
      <c r="V1446" s="77">
        <v>986</v>
      </c>
      <c r="W1446" s="82" t="s">
        <v>4821</v>
      </c>
      <c r="X1446" s="80" t="str">
        <f>HYPERLINK("https://www.valoraanalitik.com/2023/08/16/ocupacion-hotelera-cayo-en-17-regiones-de-colombia-en-julio/")</f>
        <v>https://www.valoraanalitik.com/2023/08/16/ocupacion-hotelera-cayo-en-17-regiones-de-colombia-en-julio/</v>
      </c>
      <c r="Y1446" s="77" t="s">
        <v>6471</v>
      </c>
      <c r="Z1446" s="77" t="s">
        <v>6635</v>
      </c>
      <c r="AA1446" s="77"/>
      <c r="AB1446" s="77"/>
      <c r="AC1446" s="82" t="s">
        <v>7750</v>
      </c>
      <c r="AD1446" s="77" t="s">
        <v>7790</v>
      </c>
      <c r="AE1446" s="80" t="str">
        <f>HYPERLINK("https://twitter.com/valoraanalitik/status/1691907909041467607")</f>
        <v>https://twitter.com/valoraanalitik/status/1691907909041467607</v>
      </c>
      <c r="AF1446" s="79">
        <v>45154.84784722222</v>
      </c>
      <c r="AG1446" s="85">
        <v>45154</v>
      </c>
      <c r="AH1446" s="82" t="s">
        <v>9044</v>
      </c>
      <c r="AI1446" s="77" t="b">
        <v>0</v>
      </c>
      <c r="AJ1446" s="77"/>
      <c r="AK1446" s="77"/>
      <c r="AL1446" s="77"/>
      <c r="AM1446" s="77"/>
      <c r="AN1446" s="77"/>
      <c r="AO1446" s="77"/>
      <c r="AP1446" s="77"/>
      <c r="AQ1446" s="77"/>
      <c r="AR1446" s="77"/>
      <c r="AS1446" s="77"/>
      <c r="AT1446" s="77"/>
      <c r="AU1446" s="77"/>
      <c r="AV1446" s="80" t="str">
        <f>HYPERLINK("https://pbs.twimg.com/profile_images/1475155236713029641/7Lb8npQr_normal.jpg")</f>
        <v>https://pbs.twimg.com/profile_images/1475155236713029641/7Lb8npQr_normal.jpg</v>
      </c>
      <c r="AW1446" s="82" t="s">
        <v>13075</v>
      </c>
      <c r="AX1446" s="82" t="s">
        <v>13075</v>
      </c>
      <c r="AY1446" s="77"/>
      <c r="AZ1446" s="82" t="s">
        <v>15984</v>
      </c>
      <c r="BA1446" s="82" t="s">
        <v>15984</v>
      </c>
      <c r="BB1446" s="82" t="s">
        <v>15984</v>
      </c>
      <c r="BC1446" s="82" t="s">
        <v>13075</v>
      </c>
      <c r="BD1446" s="77">
        <v>20980846</v>
      </c>
      <c r="BE1446" s="77"/>
      <c r="BF1446" s="77"/>
      <c r="BG1446" s="77"/>
      <c r="BH1446" s="77"/>
      <c r="BI1446" s="77"/>
    </row>
    <row r="1447" spans="1:61" x14ac:dyDescent="0.25">
      <c r="A1447" s="62" t="s">
        <v>615</v>
      </c>
      <c r="B1447" s="62" t="s">
        <v>615</v>
      </c>
      <c r="C1447" s="63"/>
      <c r="D1447" s="64"/>
      <c r="E1447" s="65"/>
      <c r="F1447" s="66"/>
      <c r="G1447" s="63"/>
      <c r="H1447" s="67"/>
      <c r="I1447" s="68"/>
      <c r="J1447" s="68"/>
      <c r="K1447" s="32"/>
      <c r="L1447" s="75">
        <v>1447</v>
      </c>
      <c r="M1447" s="75"/>
      <c r="N1447" s="70"/>
      <c r="O1447" s="77" t="s">
        <v>179</v>
      </c>
      <c r="P1447" s="79">
        <v>45180.928356481483</v>
      </c>
      <c r="Q1447" s="77" t="s">
        <v>2189</v>
      </c>
      <c r="R1447" s="77">
        <v>0</v>
      </c>
      <c r="S1447" s="77">
        <v>0</v>
      </c>
      <c r="T1447" s="77">
        <v>0</v>
      </c>
      <c r="U1447" s="77">
        <v>0</v>
      </c>
      <c r="V1447" s="77">
        <v>81</v>
      </c>
      <c r="W1447" s="82" t="s">
        <v>5544</v>
      </c>
      <c r="X1447" s="77"/>
      <c r="Y1447" s="77"/>
      <c r="Z1447" s="77"/>
      <c r="AA1447" s="77" t="s">
        <v>7345</v>
      </c>
      <c r="AB1447" s="77" t="s">
        <v>7743</v>
      </c>
      <c r="AC1447" s="82" t="s">
        <v>7751</v>
      </c>
      <c r="AD1447" s="77" t="s">
        <v>7790</v>
      </c>
      <c r="AE1447" s="80" t="str">
        <f>HYPERLINK("https://twitter.com/nahu_meler/status/1701359170824359993")</f>
        <v>https://twitter.com/nahu_meler/status/1701359170824359993</v>
      </c>
      <c r="AF1447" s="79">
        <v>45180.928356481483</v>
      </c>
      <c r="AG1447" s="85">
        <v>45180</v>
      </c>
      <c r="AH1447" s="82" t="s">
        <v>9045</v>
      </c>
      <c r="AI1447" s="77" t="b">
        <v>0</v>
      </c>
      <c r="AJ1447" s="77"/>
      <c r="AK1447" s="77"/>
      <c r="AL1447" s="77"/>
      <c r="AM1447" s="77"/>
      <c r="AN1447" s="77"/>
      <c r="AO1447" s="77"/>
      <c r="AP1447" s="77"/>
      <c r="AQ1447" s="77" t="s">
        <v>11317</v>
      </c>
      <c r="AR1447" s="77">
        <v>64533</v>
      </c>
      <c r="AS1447" s="77"/>
      <c r="AT1447" s="77"/>
      <c r="AU1447" s="77"/>
      <c r="AV1447" s="80" t="str">
        <f>HYPERLINK("https://pbs.twimg.com/ext_tw_video_thumb/1701359045783752704/pu/img/GlmHS9GPHCKM6mXT.jpg")</f>
        <v>https://pbs.twimg.com/ext_tw_video_thumb/1701359045783752704/pu/img/GlmHS9GPHCKM6mXT.jpg</v>
      </c>
      <c r="AW1447" s="82" t="s">
        <v>13076</v>
      </c>
      <c r="AX1447" s="82" t="s">
        <v>13076</v>
      </c>
      <c r="AY1447" s="77"/>
      <c r="AZ1447" s="82" t="s">
        <v>15984</v>
      </c>
      <c r="BA1447" s="82" t="s">
        <v>15984</v>
      </c>
      <c r="BB1447" s="82" t="s">
        <v>15984</v>
      </c>
      <c r="BC1447" s="82" t="s">
        <v>13076</v>
      </c>
      <c r="BD1447" s="82" t="s">
        <v>16325</v>
      </c>
      <c r="BE1447" s="77"/>
      <c r="BF1447" s="77"/>
      <c r="BG1447" s="77"/>
      <c r="BH1447" s="77"/>
      <c r="BI1447" s="77"/>
    </row>
    <row r="1448" spans="1:61" x14ac:dyDescent="0.25">
      <c r="A1448" s="62" t="s">
        <v>616</v>
      </c>
      <c r="B1448" s="62" t="s">
        <v>730</v>
      </c>
      <c r="C1448" s="63"/>
      <c r="D1448" s="64"/>
      <c r="E1448" s="65"/>
      <c r="F1448" s="66"/>
      <c r="G1448" s="63"/>
      <c r="H1448" s="67"/>
      <c r="I1448" s="68"/>
      <c r="J1448" s="68"/>
      <c r="K1448" s="32"/>
      <c r="L1448" s="75">
        <v>1448</v>
      </c>
      <c r="M1448" s="75"/>
      <c r="N1448" s="70"/>
      <c r="O1448" s="77" t="s">
        <v>897</v>
      </c>
      <c r="P1448" s="79">
        <v>45197.083819444444</v>
      </c>
      <c r="Q1448" s="77" t="s">
        <v>1994</v>
      </c>
      <c r="R1448" s="77">
        <v>3</v>
      </c>
      <c r="S1448" s="77">
        <v>0</v>
      </c>
      <c r="T1448" s="77">
        <v>0</v>
      </c>
      <c r="U1448" s="77">
        <v>0</v>
      </c>
      <c r="V1448" s="77"/>
      <c r="W1448" s="82" t="s">
        <v>5456</v>
      </c>
      <c r="X1448" s="77"/>
      <c r="Y1448" s="77"/>
      <c r="Z1448" s="77" t="s">
        <v>730</v>
      </c>
      <c r="AA1448" s="77"/>
      <c r="AB1448" s="77"/>
      <c r="AC1448" s="82" t="s">
        <v>7751</v>
      </c>
      <c r="AD1448" s="77" t="s">
        <v>7788</v>
      </c>
      <c r="AE1448" s="80" t="str">
        <f>HYPERLINK("https://twitter.com/joares_antonio/status/1707213715152552345")</f>
        <v>https://twitter.com/joares_antonio/status/1707213715152552345</v>
      </c>
      <c r="AF1448" s="79">
        <v>45197.083819444444</v>
      </c>
      <c r="AG1448" s="85">
        <v>45197</v>
      </c>
      <c r="AH1448" s="82" t="s">
        <v>9046</v>
      </c>
      <c r="AI1448" s="77"/>
      <c r="AJ1448" s="77"/>
      <c r="AK1448" s="77"/>
      <c r="AL1448" s="77"/>
      <c r="AM1448" s="77"/>
      <c r="AN1448" s="77"/>
      <c r="AO1448" s="77"/>
      <c r="AP1448" s="77"/>
      <c r="AQ1448" s="77"/>
      <c r="AR1448" s="77"/>
      <c r="AS1448" s="77"/>
      <c r="AT1448" s="77"/>
      <c r="AU1448" s="77"/>
      <c r="AV1448" s="80" t="str">
        <f>HYPERLINK("https://pbs.twimg.com/profile_images/1617919872213688321/8zzesXXa_normal.jpg")</f>
        <v>https://pbs.twimg.com/profile_images/1617919872213688321/8zzesXXa_normal.jpg</v>
      </c>
      <c r="AW1448" s="82" t="s">
        <v>13077</v>
      </c>
      <c r="AX1448" s="82" t="s">
        <v>13077</v>
      </c>
      <c r="AY1448" s="77"/>
      <c r="AZ1448" s="82" t="s">
        <v>15984</v>
      </c>
      <c r="BA1448" s="82" t="s">
        <v>15984</v>
      </c>
      <c r="BB1448" s="82" t="s">
        <v>15351</v>
      </c>
      <c r="BC1448" s="82" t="s">
        <v>15351</v>
      </c>
      <c r="BD1448" s="82" t="s">
        <v>16326</v>
      </c>
      <c r="BE1448" s="77"/>
      <c r="BF1448" s="77"/>
      <c r="BG1448" s="77"/>
      <c r="BH1448" s="77"/>
      <c r="BI1448" s="77"/>
    </row>
    <row r="1449" spans="1:61" x14ac:dyDescent="0.25">
      <c r="A1449" s="62" t="s">
        <v>617</v>
      </c>
      <c r="B1449" s="62" t="s">
        <v>617</v>
      </c>
      <c r="C1449" s="63"/>
      <c r="D1449" s="64"/>
      <c r="E1449" s="65"/>
      <c r="F1449" s="66"/>
      <c r="G1449" s="63"/>
      <c r="H1449" s="67"/>
      <c r="I1449" s="68"/>
      <c r="J1449" s="68"/>
      <c r="K1449" s="32"/>
      <c r="L1449" s="75">
        <v>1449</v>
      </c>
      <c r="M1449" s="75"/>
      <c r="N1449" s="70"/>
      <c r="O1449" s="77" t="s">
        <v>898</v>
      </c>
      <c r="P1449" s="79">
        <v>45190.457129629627</v>
      </c>
      <c r="Q1449" s="77" t="s">
        <v>2190</v>
      </c>
      <c r="R1449" s="77">
        <v>0</v>
      </c>
      <c r="S1449" s="77">
        <v>0</v>
      </c>
      <c r="T1449" s="77">
        <v>0</v>
      </c>
      <c r="U1449" s="77">
        <v>0</v>
      </c>
      <c r="V1449" s="77">
        <v>136</v>
      </c>
      <c r="W1449" s="82" t="s">
        <v>5545</v>
      </c>
      <c r="X1449" s="77"/>
      <c r="Y1449" s="77"/>
      <c r="Z1449" s="77"/>
      <c r="AA1449" s="77"/>
      <c r="AB1449" s="77"/>
      <c r="AC1449" s="82" t="s">
        <v>7750</v>
      </c>
      <c r="AD1449" s="77" t="s">
        <v>7790</v>
      </c>
      <c r="AE1449" s="80" t="str">
        <f>HYPERLINK("https://twitter.com/rintereconomia/status/1704812281840701626")</f>
        <v>https://twitter.com/rintereconomia/status/1704812281840701626</v>
      </c>
      <c r="AF1449" s="79">
        <v>45190.457129629627</v>
      </c>
      <c r="AG1449" s="85">
        <v>45190</v>
      </c>
      <c r="AH1449" s="82" t="s">
        <v>9047</v>
      </c>
      <c r="AI1449" s="77"/>
      <c r="AJ1449" s="77"/>
      <c r="AK1449" s="77"/>
      <c r="AL1449" s="77"/>
      <c r="AM1449" s="77"/>
      <c r="AN1449" s="77"/>
      <c r="AO1449" s="77"/>
      <c r="AP1449" s="77"/>
      <c r="AQ1449" s="77"/>
      <c r="AR1449" s="77"/>
      <c r="AS1449" s="77"/>
      <c r="AT1449" s="77"/>
      <c r="AU1449" s="77"/>
      <c r="AV1449" s="80" t="str">
        <f>HYPERLINK("https://pbs.twimg.com/profile_images/1612394971415322624/yh5vTeG0_normal.jpg")</f>
        <v>https://pbs.twimg.com/profile_images/1612394971415322624/yh5vTeG0_normal.jpg</v>
      </c>
      <c r="AW1449" s="82" t="s">
        <v>13078</v>
      </c>
      <c r="AX1449" s="82" t="s">
        <v>15874</v>
      </c>
      <c r="AY1449" s="82" t="s">
        <v>15967</v>
      </c>
      <c r="AZ1449" s="82" t="s">
        <v>16085</v>
      </c>
      <c r="BA1449" s="82" t="s">
        <v>15984</v>
      </c>
      <c r="BB1449" s="82" t="s">
        <v>15984</v>
      </c>
      <c r="BC1449" s="82" t="s">
        <v>16085</v>
      </c>
      <c r="BD1449" s="77">
        <v>16886866</v>
      </c>
      <c r="BE1449" s="77"/>
      <c r="BF1449" s="77"/>
      <c r="BG1449" s="77"/>
      <c r="BH1449" s="77"/>
      <c r="BI1449" s="77"/>
    </row>
    <row r="1450" spans="1:61" x14ac:dyDescent="0.25">
      <c r="A1450" s="62" t="s">
        <v>618</v>
      </c>
      <c r="B1450" s="62" t="s">
        <v>618</v>
      </c>
      <c r="C1450" s="63"/>
      <c r="D1450" s="64"/>
      <c r="E1450" s="65"/>
      <c r="F1450" s="66"/>
      <c r="G1450" s="63"/>
      <c r="H1450" s="67"/>
      <c r="I1450" s="68"/>
      <c r="J1450" s="68"/>
      <c r="K1450" s="32"/>
      <c r="L1450" s="75">
        <v>1450</v>
      </c>
      <c r="M1450" s="75"/>
      <c r="N1450" s="70"/>
      <c r="O1450" s="77" t="s">
        <v>179</v>
      </c>
      <c r="P1450" s="79">
        <v>45167.425810185188</v>
      </c>
      <c r="Q1450" s="77" t="s">
        <v>2191</v>
      </c>
      <c r="R1450" s="77">
        <v>0</v>
      </c>
      <c r="S1450" s="77">
        <v>1</v>
      </c>
      <c r="T1450" s="77">
        <v>0</v>
      </c>
      <c r="U1450" s="77">
        <v>0</v>
      </c>
      <c r="V1450" s="77">
        <v>6</v>
      </c>
      <c r="W1450" s="82" t="s">
        <v>5546</v>
      </c>
      <c r="X1450" s="80" t="str">
        <f>HYPERLINK("https://broker-qx.pro/sign-up/fast/?lid=82889")</f>
        <v>https://broker-qx.pro/sign-up/fast/?lid=82889</v>
      </c>
      <c r="Y1450" s="77" t="s">
        <v>6545</v>
      </c>
      <c r="Z1450" s="77"/>
      <c r="AA1450" s="77" t="s">
        <v>7346</v>
      </c>
      <c r="AB1450" s="77" t="s">
        <v>7742</v>
      </c>
      <c r="AC1450" s="82" t="s">
        <v>7750</v>
      </c>
      <c r="AD1450" s="77" t="s">
        <v>7788</v>
      </c>
      <c r="AE1450" s="80" t="str">
        <f>HYPERLINK("https://twitter.com/deniseedt/status/1696466012286140915")</f>
        <v>https://twitter.com/deniseedt/status/1696466012286140915</v>
      </c>
      <c r="AF1450" s="79">
        <v>45167.425810185188</v>
      </c>
      <c r="AG1450" s="85">
        <v>45167</v>
      </c>
      <c r="AH1450" s="82" t="s">
        <v>9048</v>
      </c>
      <c r="AI1450" s="77" t="b">
        <v>0</v>
      </c>
      <c r="AJ1450" s="77"/>
      <c r="AK1450" s="77"/>
      <c r="AL1450" s="77"/>
      <c r="AM1450" s="77"/>
      <c r="AN1450" s="77"/>
      <c r="AO1450" s="77"/>
      <c r="AP1450" s="77"/>
      <c r="AQ1450" s="77" t="s">
        <v>11318</v>
      </c>
      <c r="AR1450" s="77"/>
      <c r="AS1450" s="77"/>
      <c r="AT1450" s="77"/>
      <c r="AU1450" s="77"/>
      <c r="AV1450" s="80" t="str">
        <f>HYPERLINK("https://pbs.twimg.com/media/F4sOpaOWQAAua8O.jpg")</f>
        <v>https://pbs.twimg.com/media/F4sOpaOWQAAua8O.jpg</v>
      </c>
      <c r="AW1450" s="82" t="s">
        <v>13079</v>
      </c>
      <c r="AX1450" s="82" t="s">
        <v>13079</v>
      </c>
      <c r="AY1450" s="77"/>
      <c r="AZ1450" s="82" t="s">
        <v>15984</v>
      </c>
      <c r="BA1450" s="82" t="s">
        <v>15984</v>
      </c>
      <c r="BB1450" s="82" t="s">
        <v>15984</v>
      </c>
      <c r="BC1450" s="82" t="s">
        <v>13079</v>
      </c>
      <c r="BD1450" s="82" t="s">
        <v>15968</v>
      </c>
      <c r="BE1450" s="77"/>
      <c r="BF1450" s="77"/>
      <c r="BG1450" s="77"/>
      <c r="BH1450" s="77"/>
      <c r="BI1450" s="77"/>
    </row>
    <row r="1451" spans="1:61" x14ac:dyDescent="0.25">
      <c r="A1451" s="62" t="s">
        <v>618</v>
      </c>
      <c r="B1451" s="62" t="s">
        <v>618</v>
      </c>
      <c r="C1451" s="63"/>
      <c r="D1451" s="64"/>
      <c r="E1451" s="65"/>
      <c r="F1451" s="66"/>
      <c r="G1451" s="63"/>
      <c r="H1451" s="67"/>
      <c r="I1451" s="68"/>
      <c r="J1451" s="68"/>
      <c r="K1451" s="32"/>
      <c r="L1451" s="75">
        <v>1451</v>
      </c>
      <c r="M1451" s="75"/>
      <c r="N1451" s="70"/>
      <c r="O1451" s="77" t="s">
        <v>179</v>
      </c>
      <c r="P1451" s="79">
        <v>45172.904699074075</v>
      </c>
      <c r="Q1451" s="77" t="s">
        <v>2192</v>
      </c>
      <c r="R1451" s="77">
        <v>0</v>
      </c>
      <c r="S1451" s="77">
        <v>0</v>
      </c>
      <c r="T1451" s="77">
        <v>0</v>
      </c>
      <c r="U1451" s="77">
        <v>0</v>
      </c>
      <c r="V1451" s="77">
        <v>9</v>
      </c>
      <c r="W1451" s="82" t="s">
        <v>5547</v>
      </c>
      <c r="X1451" s="80" t="str">
        <f>HYPERLINK("https://conta.mercadobitcoin.com.br/cadastro?mgm_token=0eee3ffdda53c97726fdce036732f046294dcc2470d0b5cd99eb5f81dd77e5f7")</f>
        <v>https://conta.mercadobitcoin.com.br/cadastro?mgm_token=0eee3ffdda53c97726fdce036732f046294dcc2470d0b5cd99eb5f81dd77e5f7</v>
      </c>
      <c r="Y1451" s="77" t="s">
        <v>6470</v>
      </c>
      <c r="Z1451" s="77"/>
      <c r="AA1451" s="77" t="s">
        <v>7347</v>
      </c>
      <c r="AB1451" s="77" t="s">
        <v>7742</v>
      </c>
      <c r="AC1451" s="82" t="s">
        <v>7750</v>
      </c>
      <c r="AD1451" s="77" t="s">
        <v>7788</v>
      </c>
      <c r="AE1451" s="80" t="str">
        <f>HYPERLINK("https://twitter.com/deniseedt/status/1698451492913442961")</f>
        <v>https://twitter.com/deniseedt/status/1698451492913442961</v>
      </c>
      <c r="AF1451" s="79">
        <v>45172.904699074075</v>
      </c>
      <c r="AG1451" s="85">
        <v>45172</v>
      </c>
      <c r="AH1451" s="82" t="s">
        <v>9049</v>
      </c>
      <c r="AI1451" s="77" t="b">
        <v>0</v>
      </c>
      <c r="AJ1451" s="77"/>
      <c r="AK1451" s="77"/>
      <c r="AL1451" s="77"/>
      <c r="AM1451" s="77"/>
      <c r="AN1451" s="77"/>
      <c r="AO1451" s="77"/>
      <c r="AP1451" s="77"/>
      <c r="AQ1451" s="77" t="s">
        <v>11319</v>
      </c>
      <c r="AR1451" s="77"/>
      <c r="AS1451" s="77"/>
      <c r="AT1451" s="77"/>
      <c r="AU1451" s="77"/>
      <c r="AV1451" s="80" t="str">
        <f>HYPERLINK("https://pbs.twimg.com/media/F5Ica1dWEAAraHp.jpg")</f>
        <v>https://pbs.twimg.com/media/F5Ica1dWEAAraHp.jpg</v>
      </c>
      <c r="AW1451" s="82" t="s">
        <v>13080</v>
      </c>
      <c r="AX1451" s="82" t="s">
        <v>13080</v>
      </c>
      <c r="AY1451" s="77"/>
      <c r="AZ1451" s="82" t="s">
        <v>15984</v>
      </c>
      <c r="BA1451" s="82" t="s">
        <v>15984</v>
      </c>
      <c r="BB1451" s="82" t="s">
        <v>15984</v>
      </c>
      <c r="BC1451" s="82" t="s">
        <v>13080</v>
      </c>
      <c r="BD1451" s="82" t="s">
        <v>15968</v>
      </c>
      <c r="BE1451" s="77"/>
      <c r="BF1451" s="77"/>
      <c r="BG1451" s="77"/>
      <c r="BH1451" s="77"/>
      <c r="BI1451" s="77"/>
    </row>
    <row r="1452" spans="1:61" x14ac:dyDescent="0.25">
      <c r="A1452" s="62" t="s">
        <v>618</v>
      </c>
      <c r="B1452" s="62" t="s">
        <v>618</v>
      </c>
      <c r="C1452" s="63"/>
      <c r="D1452" s="64"/>
      <c r="E1452" s="65"/>
      <c r="F1452" s="66"/>
      <c r="G1452" s="63"/>
      <c r="H1452" s="67"/>
      <c r="I1452" s="68"/>
      <c r="J1452" s="68"/>
      <c r="K1452" s="32"/>
      <c r="L1452" s="75">
        <v>1452</v>
      </c>
      <c r="M1452" s="75"/>
      <c r="N1452" s="70"/>
      <c r="O1452" s="77" t="s">
        <v>898</v>
      </c>
      <c r="P1452" s="79">
        <v>45178.690497685187</v>
      </c>
      <c r="Q1452" s="77" t="s">
        <v>2193</v>
      </c>
      <c r="R1452" s="77">
        <v>0</v>
      </c>
      <c r="S1452" s="77">
        <v>1</v>
      </c>
      <c r="T1452" s="77">
        <v>0</v>
      </c>
      <c r="U1452" s="77">
        <v>0</v>
      </c>
      <c r="V1452" s="77">
        <v>4</v>
      </c>
      <c r="W1452" s="82" t="s">
        <v>5548</v>
      </c>
      <c r="X1452" s="77"/>
      <c r="Y1452" s="77"/>
      <c r="Z1452" s="77"/>
      <c r="AA1452" s="77"/>
      <c r="AB1452" s="77"/>
      <c r="AC1452" s="82" t="s">
        <v>7750</v>
      </c>
      <c r="AD1452" s="77" t="s">
        <v>7788</v>
      </c>
      <c r="AE1452" s="80" t="str">
        <f>HYPERLINK("https://twitter.com/deniseedt/status/1700548195036676581")</f>
        <v>https://twitter.com/deniseedt/status/1700548195036676581</v>
      </c>
      <c r="AF1452" s="79">
        <v>45178.690497685187</v>
      </c>
      <c r="AG1452" s="85">
        <v>45178</v>
      </c>
      <c r="AH1452" s="82" t="s">
        <v>9050</v>
      </c>
      <c r="AI1452" s="77"/>
      <c r="AJ1452" s="77"/>
      <c r="AK1452" s="77"/>
      <c r="AL1452" s="77"/>
      <c r="AM1452" s="77"/>
      <c r="AN1452" s="77"/>
      <c r="AO1452" s="77"/>
      <c r="AP1452" s="77"/>
      <c r="AQ1452" s="77"/>
      <c r="AR1452" s="77"/>
      <c r="AS1452" s="77"/>
      <c r="AT1452" s="77"/>
      <c r="AU1452" s="77"/>
      <c r="AV1452" s="80" t="str">
        <f>HYPERLINK("https://pbs.twimg.com/profile_images/1694508672339070976/E9FixVoR_normal.jpg")</f>
        <v>https://pbs.twimg.com/profile_images/1694508672339070976/E9FixVoR_normal.jpg</v>
      </c>
      <c r="AW1452" s="82" t="s">
        <v>13081</v>
      </c>
      <c r="AX1452" s="82" t="s">
        <v>15875</v>
      </c>
      <c r="AY1452" s="82" t="s">
        <v>15968</v>
      </c>
      <c r="AZ1452" s="82" t="s">
        <v>15875</v>
      </c>
      <c r="BA1452" s="82" t="s">
        <v>15984</v>
      </c>
      <c r="BB1452" s="82" t="s">
        <v>15984</v>
      </c>
      <c r="BC1452" s="82" t="s">
        <v>15875</v>
      </c>
      <c r="BD1452" s="82" t="s">
        <v>15968</v>
      </c>
      <c r="BE1452" s="77"/>
      <c r="BF1452" s="77"/>
      <c r="BG1452" s="77"/>
      <c r="BH1452" s="77"/>
      <c r="BI1452" s="77"/>
    </row>
    <row r="1453" spans="1:61" x14ac:dyDescent="0.25">
      <c r="A1453" s="62" t="s">
        <v>619</v>
      </c>
      <c r="B1453" s="62" t="s">
        <v>502</v>
      </c>
      <c r="C1453" s="63"/>
      <c r="D1453" s="64"/>
      <c r="E1453" s="65"/>
      <c r="F1453" s="66"/>
      <c r="G1453" s="63"/>
      <c r="H1453" s="67"/>
      <c r="I1453" s="68"/>
      <c r="J1453" s="68"/>
      <c r="K1453" s="32"/>
      <c r="L1453" s="75">
        <v>1453</v>
      </c>
      <c r="M1453" s="75"/>
      <c r="N1453" s="70"/>
      <c r="O1453" s="77" t="s">
        <v>897</v>
      </c>
      <c r="P1453" s="79">
        <v>45189.371979166666</v>
      </c>
      <c r="Q1453" s="77" t="s">
        <v>1118</v>
      </c>
      <c r="R1453" s="77">
        <v>12</v>
      </c>
      <c r="S1453" s="77">
        <v>0</v>
      </c>
      <c r="T1453" s="77">
        <v>0</v>
      </c>
      <c r="U1453" s="77">
        <v>0</v>
      </c>
      <c r="V1453" s="77"/>
      <c r="W1453" s="82" t="s">
        <v>4934</v>
      </c>
      <c r="X1453" s="77"/>
      <c r="Y1453" s="77"/>
      <c r="Z1453" s="77" t="s">
        <v>502</v>
      </c>
      <c r="AA1453" s="77"/>
      <c r="AB1453" s="77"/>
      <c r="AC1453" s="82" t="s">
        <v>7750</v>
      </c>
      <c r="AD1453" s="77" t="s">
        <v>7790</v>
      </c>
      <c r="AE1453" s="80" t="str">
        <f>HYPERLINK("https://twitter.com/armandoseoane/status/1704419037596242087")</f>
        <v>https://twitter.com/armandoseoane/status/1704419037596242087</v>
      </c>
      <c r="AF1453" s="79">
        <v>45189.371979166666</v>
      </c>
      <c r="AG1453" s="85">
        <v>45189</v>
      </c>
      <c r="AH1453" s="82" t="s">
        <v>9051</v>
      </c>
      <c r="AI1453" s="77"/>
      <c r="AJ1453" s="77"/>
      <c r="AK1453" s="77"/>
      <c r="AL1453" s="77"/>
      <c r="AM1453" s="77"/>
      <c r="AN1453" s="77"/>
      <c r="AO1453" s="77"/>
      <c r="AP1453" s="77"/>
      <c r="AQ1453" s="77"/>
      <c r="AR1453" s="77"/>
      <c r="AS1453" s="77"/>
      <c r="AT1453" s="77"/>
      <c r="AU1453" s="77"/>
      <c r="AV1453" s="80" t="str">
        <f>HYPERLINK("https://pbs.twimg.com/profile_images/889055576604516352/edWQCje8_normal.jpg")</f>
        <v>https://pbs.twimg.com/profile_images/889055576604516352/edWQCje8_normal.jpg</v>
      </c>
      <c r="AW1453" s="82" t="s">
        <v>13082</v>
      </c>
      <c r="AX1453" s="82" t="s">
        <v>13082</v>
      </c>
      <c r="AY1453" s="77"/>
      <c r="AZ1453" s="82" t="s">
        <v>15984</v>
      </c>
      <c r="BA1453" s="82" t="s">
        <v>15984</v>
      </c>
      <c r="BB1453" s="82" t="s">
        <v>13287</v>
      </c>
      <c r="BC1453" s="82" t="s">
        <v>13287</v>
      </c>
      <c r="BD1453" s="77">
        <v>422670466</v>
      </c>
      <c r="BE1453" s="77"/>
      <c r="BF1453" s="77"/>
      <c r="BG1453" s="77"/>
      <c r="BH1453" s="77"/>
      <c r="BI1453" s="77"/>
    </row>
    <row r="1454" spans="1:61" x14ac:dyDescent="0.25">
      <c r="A1454" s="62" t="s">
        <v>620</v>
      </c>
      <c r="B1454" s="62" t="s">
        <v>620</v>
      </c>
      <c r="C1454" s="63"/>
      <c r="D1454" s="64"/>
      <c r="E1454" s="65"/>
      <c r="F1454" s="66"/>
      <c r="G1454" s="63"/>
      <c r="H1454" s="67"/>
      <c r="I1454" s="68"/>
      <c r="J1454" s="68"/>
      <c r="K1454" s="32"/>
      <c r="L1454" s="75">
        <v>1454</v>
      </c>
      <c r="M1454" s="75"/>
      <c r="N1454" s="70"/>
      <c r="O1454" s="77" t="s">
        <v>179</v>
      </c>
      <c r="P1454" s="79">
        <v>45156.842245370368</v>
      </c>
      <c r="Q1454" s="77" t="s">
        <v>2194</v>
      </c>
      <c r="R1454" s="77">
        <v>0</v>
      </c>
      <c r="S1454" s="77">
        <v>2</v>
      </c>
      <c r="T1454" s="77">
        <v>0</v>
      </c>
      <c r="U1454" s="77">
        <v>0</v>
      </c>
      <c r="V1454" s="77">
        <v>628</v>
      </c>
      <c r="W1454" s="82" t="s">
        <v>5549</v>
      </c>
      <c r="X1454" s="77"/>
      <c r="Y1454" s="77"/>
      <c r="Z1454" s="77"/>
      <c r="AA1454" s="77" t="s">
        <v>7348</v>
      </c>
      <c r="AB1454" s="77" t="s">
        <v>7743</v>
      </c>
      <c r="AC1454" s="82" t="s">
        <v>7751</v>
      </c>
      <c r="AD1454" s="77" t="s">
        <v>7788</v>
      </c>
      <c r="AE1454" s="80" t="str">
        <f>HYPERLINK("https://twitter.com/eshaddows/status/1692630656214524352")</f>
        <v>https://twitter.com/eshaddows/status/1692630656214524352</v>
      </c>
      <c r="AF1454" s="79">
        <v>45156.842245370368</v>
      </c>
      <c r="AG1454" s="85">
        <v>45156</v>
      </c>
      <c r="AH1454" s="82" t="s">
        <v>9052</v>
      </c>
      <c r="AI1454" s="77" t="b">
        <v>0</v>
      </c>
      <c r="AJ1454" s="77"/>
      <c r="AK1454" s="77"/>
      <c r="AL1454" s="77"/>
      <c r="AM1454" s="77"/>
      <c r="AN1454" s="77"/>
      <c r="AO1454" s="77"/>
      <c r="AP1454" s="77"/>
      <c r="AQ1454" s="77" t="s">
        <v>11320</v>
      </c>
      <c r="AR1454" s="77">
        <v>51533</v>
      </c>
      <c r="AS1454" s="77"/>
      <c r="AT1454" s="77"/>
      <c r="AU1454" s="77"/>
      <c r="AV1454" s="80" t="str">
        <f>HYPERLINK("https://pbs.twimg.com/ext_tw_video_thumb/1692630551323168768/pu/img/4n2VQEJtCywTW8an.jpg")</f>
        <v>https://pbs.twimg.com/ext_tw_video_thumb/1692630551323168768/pu/img/4n2VQEJtCywTW8an.jpg</v>
      </c>
      <c r="AW1454" s="82" t="s">
        <v>13083</v>
      </c>
      <c r="AX1454" s="82" t="s">
        <v>13083</v>
      </c>
      <c r="AY1454" s="77"/>
      <c r="AZ1454" s="82" t="s">
        <v>15984</v>
      </c>
      <c r="BA1454" s="82" t="s">
        <v>15984</v>
      </c>
      <c r="BB1454" s="82" t="s">
        <v>15984</v>
      </c>
      <c r="BC1454" s="82" t="s">
        <v>13083</v>
      </c>
      <c r="BD1454" s="82" t="s">
        <v>16327</v>
      </c>
      <c r="BE1454" s="77"/>
      <c r="BF1454" s="77"/>
      <c r="BG1454" s="77"/>
      <c r="BH1454" s="77"/>
      <c r="BI1454" s="77"/>
    </row>
    <row r="1455" spans="1:61" x14ac:dyDescent="0.25">
      <c r="A1455" s="62" t="s">
        <v>621</v>
      </c>
      <c r="B1455" s="62" t="s">
        <v>621</v>
      </c>
      <c r="C1455" s="63"/>
      <c r="D1455" s="64"/>
      <c r="E1455" s="65"/>
      <c r="F1455" s="66"/>
      <c r="G1455" s="63"/>
      <c r="H1455" s="67"/>
      <c r="I1455" s="68"/>
      <c r="J1455" s="68"/>
      <c r="K1455" s="32"/>
      <c r="L1455" s="75">
        <v>1455</v>
      </c>
      <c r="M1455" s="75"/>
      <c r="N1455" s="70"/>
      <c r="O1455" s="77" t="s">
        <v>179</v>
      </c>
      <c r="P1455" s="79">
        <v>45145.81318287037</v>
      </c>
      <c r="Q1455" s="77" t="s">
        <v>2195</v>
      </c>
      <c r="R1455" s="77">
        <v>1</v>
      </c>
      <c r="S1455" s="77">
        <v>1</v>
      </c>
      <c r="T1455" s="77">
        <v>0</v>
      </c>
      <c r="U1455" s="77">
        <v>0</v>
      </c>
      <c r="V1455" s="77">
        <v>9</v>
      </c>
      <c r="W1455" s="82" t="s">
        <v>5550</v>
      </c>
      <c r="X1455" s="77"/>
      <c r="Y1455" s="77"/>
      <c r="Z1455" s="77"/>
      <c r="AA1455" s="77" t="s">
        <v>7349</v>
      </c>
      <c r="AB1455" s="77" t="s">
        <v>7742</v>
      </c>
      <c r="AC1455" s="82" t="s">
        <v>7776</v>
      </c>
      <c r="AD1455" s="77" t="s">
        <v>7788</v>
      </c>
      <c r="AE1455" s="80" t="str">
        <f>HYPERLINK("https://twitter.com/sm_news23/status/1688633858516733952")</f>
        <v>https://twitter.com/sm_news23/status/1688633858516733952</v>
      </c>
      <c r="AF1455" s="79">
        <v>45145.81318287037</v>
      </c>
      <c r="AG1455" s="85">
        <v>45145</v>
      </c>
      <c r="AH1455" s="82" t="s">
        <v>9053</v>
      </c>
      <c r="AI1455" s="77" t="b">
        <v>0</v>
      </c>
      <c r="AJ1455" s="77"/>
      <c r="AK1455" s="77"/>
      <c r="AL1455" s="77"/>
      <c r="AM1455" s="77"/>
      <c r="AN1455" s="77"/>
      <c r="AO1455" s="77"/>
      <c r="AP1455" s="77"/>
      <c r="AQ1455" s="77" t="s">
        <v>11321</v>
      </c>
      <c r="AR1455" s="77"/>
      <c r="AS1455" s="77"/>
      <c r="AT1455" s="77"/>
      <c r="AU1455" s="77"/>
      <c r="AV1455" s="80" t="str">
        <f>HYPERLINK("https://pbs.twimg.com/media/F287i2pWEAAYyLm.jpg")</f>
        <v>https://pbs.twimg.com/media/F287i2pWEAAYyLm.jpg</v>
      </c>
      <c r="AW1455" s="82" t="s">
        <v>13084</v>
      </c>
      <c r="AX1455" s="82" t="s">
        <v>13084</v>
      </c>
      <c r="AY1455" s="77"/>
      <c r="AZ1455" s="82" t="s">
        <v>15984</v>
      </c>
      <c r="BA1455" s="82" t="s">
        <v>15984</v>
      </c>
      <c r="BB1455" s="82" t="s">
        <v>15984</v>
      </c>
      <c r="BC1455" s="82" t="s">
        <v>13084</v>
      </c>
      <c r="BD1455" s="82" t="s">
        <v>16328</v>
      </c>
      <c r="BE1455" s="77"/>
      <c r="BF1455" s="77"/>
      <c r="BG1455" s="77"/>
      <c r="BH1455" s="77"/>
      <c r="BI1455" s="77"/>
    </row>
    <row r="1456" spans="1:61" x14ac:dyDescent="0.25">
      <c r="A1456" s="62" t="s">
        <v>622</v>
      </c>
      <c r="B1456" s="62" t="s">
        <v>622</v>
      </c>
      <c r="C1456" s="63"/>
      <c r="D1456" s="64"/>
      <c r="E1456" s="65"/>
      <c r="F1456" s="66"/>
      <c r="G1456" s="63"/>
      <c r="H1456" s="67"/>
      <c r="I1456" s="68"/>
      <c r="J1456" s="68"/>
      <c r="K1456" s="32"/>
      <c r="L1456" s="75">
        <v>1456</v>
      </c>
      <c r="M1456" s="75"/>
      <c r="N1456" s="70"/>
      <c r="O1456" s="77" t="s">
        <v>898</v>
      </c>
      <c r="P1456" s="79">
        <v>45131.967222222222</v>
      </c>
      <c r="Q1456" s="77" t="s">
        <v>2196</v>
      </c>
      <c r="R1456" s="77">
        <v>0</v>
      </c>
      <c r="S1456" s="77">
        <v>0</v>
      </c>
      <c r="T1456" s="77">
        <v>0</v>
      </c>
      <c r="U1456" s="77">
        <v>0</v>
      </c>
      <c r="V1456" s="77">
        <v>26</v>
      </c>
      <c r="W1456" s="82" t="s">
        <v>4833</v>
      </c>
      <c r="X1456" s="77"/>
      <c r="Y1456" s="77"/>
      <c r="Z1456" s="77"/>
      <c r="AA1456" s="77"/>
      <c r="AB1456" s="77"/>
      <c r="AC1456" s="82" t="s">
        <v>7777</v>
      </c>
      <c r="AD1456" s="77" t="s">
        <v>7788</v>
      </c>
      <c r="AE1456" s="80" t="str">
        <f>HYPERLINK("https://twitter.com/0xgabinvest/status/1683616249744441344")</f>
        <v>https://twitter.com/0xgabinvest/status/1683616249744441344</v>
      </c>
      <c r="AF1456" s="79">
        <v>45131.967222222222</v>
      </c>
      <c r="AG1456" s="85">
        <v>45131</v>
      </c>
      <c r="AH1456" s="82" t="s">
        <v>9054</v>
      </c>
      <c r="AI1456" s="77"/>
      <c r="AJ1456" s="77"/>
      <c r="AK1456" s="77"/>
      <c r="AL1456" s="77"/>
      <c r="AM1456" s="77"/>
      <c r="AN1456" s="77"/>
      <c r="AO1456" s="77"/>
      <c r="AP1456" s="77"/>
      <c r="AQ1456" s="77"/>
      <c r="AR1456" s="77"/>
      <c r="AS1456" s="77"/>
      <c r="AT1456" s="77"/>
      <c r="AU1456" s="77"/>
      <c r="AV1456" s="80" t="str">
        <f>HYPERLINK("https://pbs.twimg.com/profile_images/1643965260947234818/RA98abEy_normal.jpg")</f>
        <v>https://pbs.twimg.com/profile_images/1643965260947234818/RA98abEy_normal.jpg</v>
      </c>
      <c r="AW1456" s="82" t="s">
        <v>13085</v>
      </c>
      <c r="AX1456" s="82" t="s">
        <v>15876</v>
      </c>
      <c r="AY1456" s="82" t="s">
        <v>15969</v>
      </c>
      <c r="AZ1456" s="82" t="s">
        <v>16086</v>
      </c>
      <c r="BA1456" s="82" t="s">
        <v>15984</v>
      </c>
      <c r="BB1456" s="82" t="s">
        <v>15984</v>
      </c>
      <c r="BC1456" s="82" t="s">
        <v>16086</v>
      </c>
      <c r="BD1456" s="77">
        <v>349401590</v>
      </c>
      <c r="BE1456" s="77"/>
      <c r="BF1456" s="77"/>
      <c r="BG1456" s="77"/>
      <c r="BH1456" s="77"/>
      <c r="BI1456" s="77"/>
    </row>
    <row r="1457" spans="1:61" x14ac:dyDescent="0.25">
      <c r="A1457" s="62" t="s">
        <v>622</v>
      </c>
      <c r="B1457" s="62" t="s">
        <v>622</v>
      </c>
      <c r="C1457" s="63"/>
      <c r="D1457" s="64"/>
      <c r="E1457" s="65"/>
      <c r="F1457" s="66"/>
      <c r="G1457" s="63"/>
      <c r="H1457" s="67"/>
      <c r="I1457" s="68"/>
      <c r="J1457" s="68"/>
      <c r="K1457" s="32"/>
      <c r="L1457" s="75">
        <v>1457</v>
      </c>
      <c r="M1457" s="75"/>
      <c r="N1457" s="70"/>
      <c r="O1457" s="77" t="s">
        <v>898</v>
      </c>
      <c r="P1457" s="79">
        <v>45122.867847222224</v>
      </c>
      <c r="Q1457" s="77" t="s">
        <v>2197</v>
      </c>
      <c r="R1457" s="77">
        <v>0</v>
      </c>
      <c r="S1457" s="77">
        <v>0</v>
      </c>
      <c r="T1457" s="77">
        <v>1</v>
      </c>
      <c r="U1457" s="77">
        <v>0</v>
      </c>
      <c r="V1457" s="77">
        <v>6</v>
      </c>
      <c r="W1457" s="82" t="s">
        <v>5551</v>
      </c>
      <c r="X1457" s="77"/>
      <c r="Y1457" s="77"/>
      <c r="Z1457" s="77"/>
      <c r="AA1457" s="77"/>
      <c r="AB1457" s="77"/>
      <c r="AC1457" s="82" t="s">
        <v>7777</v>
      </c>
      <c r="AD1457" s="77" t="s">
        <v>7788</v>
      </c>
      <c r="AE1457" s="80" t="str">
        <f>HYPERLINK("https://twitter.com/0xgabinvest/status/1680318745678364674")</f>
        <v>https://twitter.com/0xgabinvest/status/1680318745678364674</v>
      </c>
      <c r="AF1457" s="79">
        <v>45122.867847222224</v>
      </c>
      <c r="AG1457" s="85">
        <v>45122</v>
      </c>
      <c r="AH1457" s="82" t="s">
        <v>9055</v>
      </c>
      <c r="AI1457" s="77"/>
      <c r="AJ1457" s="77"/>
      <c r="AK1457" s="77"/>
      <c r="AL1457" s="77"/>
      <c r="AM1457" s="77"/>
      <c r="AN1457" s="77"/>
      <c r="AO1457" s="77"/>
      <c r="AP1457" s="77"/>
      <c r="AQ1457" s="77"/>
      <c r="AR1457" s="77"/>
      <c r="AS1457" s="77"/>
      <c r="AT1457" s="77"/>
      <c r="AU1457" s="77"/>
      <c r="AV1457" s="80" t="str">
        <f>HYPERLINK("https://pbs.twimg.com/profile_images/1643965260947234818/RA98abEy_normal.jpg")</f>
        <v>https://pbs.twimg.com/profile_images/1643965260947234818/RA98abEy_normal.jpg</v>
      </c>
      <c r="AW1457" s="82" t="s">
        <v>13086</v>
      </c>
      <c r="AX1457" s="82" t="s">
        <v>15877</v>
      </c>
      <c r="AY1457" s="82" t="s">
        <v>15969</v>
      </c>
      <c r="AZ1457" s="82" t="s">
        <v>16087</v>
      </c>
      <c r="BA1457" s="82" t="s">
        <v>15984</v>
      </c>
      <c r="BB1457" s="82" t="s">
        <v>15984</v>
      </c>
      <c r="BC1457" s="82" t="s">
        <v>16087</v>
      </c>
      <c r="BD1457" s="77">
        <v>349401590</v>
      </c>
      <c r="BE1457" s="77"/>
      <c r="BF1457" s="77"/>
      <c r="BG1457" s="77"/>
      <c r="BH1457" s="77"/>
      <c r="BI1457" s="77"/>
    </row>
    <row r="1458" spans="1:61" x14ac:dyDescent="0.25">
      <c r="A1458" s="62" t="s">
        <v>623</v>
      </c>
      <c r="B1458" s="62" t="s">
        <v>623</v>
      </c>
      <c r="C1458" s="63"/>
      <c r="D1458" s="64"/>
      <c r="E1458" s="65"/>
      <c r="F1458" s="66"/>
      <c r="G1458" s="63"/>
      <c r="H1458" s="67"/>
      <c r="I1458" s="68"/>
      <c r="J1458" s="68"/>
      <c r="K1458" s="32"/>
      <c r="L1458" s="75">
        <v>1458</v>
      </c>
      <c r="M1458" s="75"/>
      <c r="N1458" s="70"/>
      <c r="O1458" s="77" t="s">
        <v>179</v>
      </c>
      <c r="P1458" s="79">
        <v>45129.410902777781</v>
      </c>
      <c r="Q1458" s="77" t="s">
        <v>2198</v>
      </c>
      <c r="R1458" s="77">
        <v>2</v>
      </c>
      <c r="S1458" s="77">
        <v>6</v>
      </c>
      <c r="T1458" s="77">
        <v>0</v>
      </c>
      <c r="U1458" s="77">
        <v>0</v>
      </c>
      <c r="V1458" s="77">
        <v>250</v>
      </c>
      <c r="W1458" s="82" t="s">
        <v>5552</v>
      </c>
      <c r="X1458" s="77"/>
      <c r="Y1458" s="77"/>
      <c r="Z1458" s="77"/>
      <c r="AA1458" s="77" t="s">
        <v>7350</v>
      </c>
      <c r="AB1458" s="77" t="s">
        <v>7743</v>
      </c>
      <c r="AC1458" s="82" t="s">
        <v>7752</v>
      </c>
      <c r="AD1458" s="77" t="s">
        <v>7790</v>
      </c>
      <c r="AE1458" s="80" t="str">
        <f>HYPERLINK("https://twitter.com/doctorencriptos/status/1682689869217247232")</f>
        <v>https://twitter.com/doctorencriptos/status/1682689869217247232</v>
      </c>
      <c r="AF1458" s="79">
        <v>45129.410902777781</v>
      </c>
      <c r="AG1458" s="85">
        <v>45129</v>
      </c>
      <c r="AH1458" s="82" t="s">
        <v>9056</v>
      </c>
      <c r="AI1458" s="77" t="b">
        <v>0</v>
      </c>
      <c r="AJ1458" s="77"/>
      <c r="AK1458" s="77"/>
      <c r="AL1458" s="77"/>
      <c r="AM1458" s="77"/>
      <c r="AN1458" s="77"/>
      <c r="AO1458" s="77"/>
      <c r="AP1458" s="77"/>
      <c r="AQ1458" s="77" t="s">
        <v>11322</v>
      </c>
      <c r="AR1458" s="77">
        <v>42375</v>
      </c>
      <c r="AS1458" s="77"/>
      <c r="AT1458" s="77"/>
      <c r="AU1458" s="77"/>
      <c r="AV1458" s="80" t="str">
        <f>HYPERLINK("https://pbs.twimg.com/ext_tw_video_thumb/1682689808655630336/pu/img/xUcl_d5OhyaDIxvq.jpg")</f>
        <v>https://pbs.twimg.com/ext_tw_video_thumb/1682689808655630336/pu/img/xUcl_d5OhyaDIxvq.jpg</v>
      </c>
      <c r="AW1458" s="82" t="s">
        <v>13087</v>
      </c>
      <c r="AX1458" s="82" t="s">
        <v>13087</v>
      </c>
      <c r="AY1458" s="77"/>
      <c r="AZ1458" s="82" t="s">
        <v>15984</v>
      </c>
      <c r="BA1458" s="82" t="s">
        <v>15984</v>
      </c>
      <c r="BB1458" s="82" t="s">
        <v>15984</v>
      </c>
      <c r="BC1458" s="82" t="s">
        <v>13087</v>
      </c>
      <c r="BD1458" s="82" t="s">
        <v>16329</v>
      </c>
      <c r="BE1458" s="77"/>
      <c r="BF1458" s="77"/>
      <c r="BG1458" s="77"/>
      <c r="BH1458" s="77"/>
      <c r="BI1458" s="77"/>
    </row>
    <row r="1459" spans="1:61" x14ac:dyDescent="0.25">
      <c r="A1459" s="62" t="s">
        <v>624</v>
      </c>
      <c r="B1459" s="62" t="s">
        <v>624</v>
      </c>
      <c r="C1459" s="63"/>
      <c r="D1459" s="64"/>
      <c r="E1459" s="65"/>
      <c r="F1459" s="66"/>
      <c r="G1459" s="63"/>
      <c r="H1459" s="67"/>
      <c r="I1459" s="68"/>
      <c r="J1459" s="68"/>
      <c r="K1459" s="32"/>
      <c r="L1459" s="75">
        <v>1459</v>
      </c>
      <c r="M1459" s="75"/>
      <c r="N1459" s="70"/>
      <c r="O1459" s="77" t="s">
        <v>179</v>
      </c>
      <c r="P1459" s="79">
        <v>45119.623645833337</v>
      </c>
      <c r="Q1459" s="77" t="s">
        <v>2199</v>
      </c>
      <c r="R1459" s="77">
        <v>0</v>
      </c>
      <c r="S1459" s="77">
        <v>0</v>
      </c>
      <c r="T1459" s="77">
        <v>0</v>
      </c>
      <c r="U1459" s="77">
        <v>0</v>
      </c>
      <c r="V1459" s="77">
        <v>440</v>
      </c>
      <c r="W1459" s="82" t="s">
        <v>4839</v>
      </c>
      <c r="X1459" s="80" t="str">
        <f>HYPERLINK("http://cbnvitoria.com.br")</f>
        <v>http://cbnvitoria.com.br</v>
      </c>
      <c r="Y1459" s="77" t="s">
        <v>6470</v>
      </c>
      <c r="Z1459" s="77"/>
      <c r="AA1459" s="77"/>
      <c r="AB1459" s="77"/>
      <c r="AC1459" s="82" t="s">
        <v>7750</v>
      </c>
      <c r="AD1459" s="77" t="s">
        <v>7788</v>
      </c>
      <c r="AE1459" s="80" t="str">
        <f>HYPERLINK("https://twitter.com/cbnvitoria/status/1679143088336543744")</f>
        <v>https://twitter.com/cbnvitoria/status/1679143088336543744</v>
      </c>
      <c r="AF1459" s="79">
        <v>45119.623645833337</v>
      </c>
      <c r="AG1459" s="85">
        <v>45119</v>
      </c>
      <c r="AH1459" s="82" t="s">
        <v>9057</v>
      </c>
      <c r="AI1459" s="77" t="b">
        <v>0</v>
      </c>
      <c r="AJ1459" s="77"/>
      <c r="AK1459" s="77"/>
      <c r="AL1459" s="77"/>
      <c r="AM1459" s="77"/>
      <c r="AN1459" s="77"/>
      <c r="AO1459" s="77"/>
      <c r="AP1459" s="77"/>
      <c r="AQ1459" s="77"/>
      <c r="AR1459" s="77"/>
      <c r="AS1459" s="77"/>
      <c r="AT1459" s="77"/>
      <c r="AU1459" s="77"/>
      <c r="AV1459" s="80" t="str">
        <f>HYPERLINK("https://pbs.twimg.com/profile_images/1382399554214068228/CWfKFSVp_normal.jpg")</f>
        <v>https://pbs.twimg.com/profile_images/1382399554214068228/CWfKFSVp_normal.jpg</v>
      </c>
      <c r="AW1459" s="82" t="s">
        <v>13088</v>
      </c>
      <c r="AX1459" s="82" t="s">
        <v>13088</v>
      </c>
      <c r="AY1459" s="77"/>
      <c r="AZ1459" s="82" t="s">
        <v>15984</v>
      </c>
      <c r="BA1459" s="82" t="s">
        <v>15984</v>
      </c>
      <c r="BB1459" s="82" t="s">
        <v>15984</v>
      </c>
      <c r="BC1459" s="82" t="s">
        <v>13088</v>
      </c>
      <c r="BD1459" s="77">
        <v>17523521</v>
      </c>
      <c r="BE1459" s="77"/>
      <c r="BF1459" s="77"/>
      <c r="BG1459" s="77"/>
      <c r="BH1459" s="77"/>
      <c r="BI1459" s="77"/>
    </row>
    <row r="1460" spans="1:61" x14ac:dyDescent="0.25">
      <c r="A1460" s="62" t="s">
        <v>624</v>
      </c>
      <c r="B1460" s="62" t="s">
        <v>624</v>
      </c>
      <c r="C1460" s="63"/>
      <c r="D1460" s="64"/>
      <c r="E1460" s="65"/>
      <c r="F1460" s="66"/>
      <c r="G1460" s="63"/>
      <c r="H1460" s="67"/>
      <c r="I1460" s="68"/>
      <c r="J1460" s="68"/>
      <c r="K1460" s="32"/>
      <c r="L1460" s="75">
        <v>1460</v>
      </c>
      <c r="M1460" s="75"/>
      <c r="N1460" s="70"/>
      <c r="O1460" s="77" t="s">
        <v>179</v>
      </c>
      <c r="P1460" s="79">
        <v>45120.623136574075</v>
      </c>
      <c r="Q1460" s="77" t="s">
        <v>2200</v>
      </c>
      <c r="R1460" s="77">
        <v>0</v>
      </c>
      <c r="S1460" s="77">
        <v>0</v>
      </c>
      <c r="T1460" s="77">
        <v>0</v>
      </c>
      <c r="U1460" s="77">
        <v>0</v>
      </c>
      <c r="V1460" s="77">
        <v>476</v>
      </c>
      <c r="W1460" s="82" t="s">
        <v>4839</v>
      </c>
      <c r="X1460" s="80" t="str">
        <f>HYPERLINK("http://cbnvitoria.com.br")</f>
        <v>http://cbnvitoria.com.br</v>
      </c>
      <c r="Y1460" s="77" t="s">
        <v>6470</v>
      </c>
      <c r="Z1460" s="77"/>
      <c r="AA1460" s="77"/>
      <c r="AB1460" s="77"/>
      <c r="AC1460" s="82" t="s">
        <v>7750</v>
      </c>
      <c r="AD1460" s="77" t="s">
        <v>7788</v>
      </c>
      <c r="AE1460" s="80" t="str">
        <f>HYPERLINK("https://twitter.com/cbnvitoria/status/1679505290658566149")</f>
        <v>https://twitter.com/cbnvitoria/status/1679505290658566149</v>
      </c>
      <c r="AF1460" s="79">
        <v>45120.623136574075</v>
      </c>
      <c r="AG1460" s="85">
        <v>45120</v>
      </c>
      <c r="AH1460" s="82" t="s">
        <v>9058</v>
      </c>
      <c r="AI1460" s="77" t="b">
        <v>0</v>
      </c>
      <c r="AJ1460" s="77"/>
      <c r="AK1460" s="77"/>
      <c r="AL1460" s="77"/>
      <c r="AM1460" s="77"/>
      <c r="AN1460" s="77"/>
      <c r="AO1460" s="77"/>
      <c r="AP1460" s="77"/>
      <c r="AQ1460" s="77"/>
      <c r="AR1460" s="77"/>
      <c r="AS1460" s="77"/>
      <c r="AT1460" s="77"/>
      <c r="AU1460" s="77"/>
      <c r="AV1460" s="80" t="str">
        <f>HYPERLINK("https://pbs.twimg.com/profile_images/1382399554214068228/CWfKFSVp_normal.jpg")</f>
        <v>https://pbs.twimg.com/profile_images/1382399554214068228/CWfKFSVp_normal.jpg</v>
      </c>
      <c r="AW1460" s="82" t="s">
        <v>13089</v>
      </c>
      <c r="AX1460" s="82" t="s">
        <v>13089</v>
      </c>
      <c r="AY1460" s="77"/>
      <c r="AZ1460" s="82" t="s">
        <v>15984</v>
      </c>
      <c r="BA1460" s="82" t="s">
        <v>15984</v>
      </c>
      <c r="BB1460" s="82" t="s">
        <v>15984</v>
      </c>
      <c r="BC1460" s="82" t="s">
        <v>13089</v>
      </c>
      <c r="BD1460" s="77">
        <v>17523521</v>
      </c>
      <c r="BE1460" s="77"/>
      <c r="BF1460" s="77"/>
      <c r="BG1460" s="77"/>
      <c r="BH1460" s="77"/>
      <c r="BI1460" s="77"/>
    </row>
    <row r="1461" spans="1:61" x14ac:dyDescent="0.25">
      <c r="A1461" s="62" t="s">
        <v>624</v>
      </c>
      <c r="B1461" s="62" t="s">
        <v>624</v>
      </c>
      <c r="C1461" s="63"/>
      <c r="D1461" s="64"/>
      <c r="E1461" s="65"/>
      <c r="F1461" s="66"/>
      <c r="G1461" s="63"/>
      <c r="H1461" s="67"/>
      <c r="I1461" s="68"/>
      <c r="J1461" s="68"/>
      <c r="K1461" s="32"/>
      <c r="L1461" s="75">
        <v>1461</v>
      </c>
      <c r="M1461" s="75"/>
      <c r="N1461" s="70"/>
      <c r="O1461" s="77" t="s">
        <v>179</v>
      </c>
      <c r="P1461" s="79">
        <v>45125.622175925928</v>
      </c>
      <c r="Q1461" s="77" t="s">
        <v>2201</v>
      </c>
      <c r="R1461" s="77">
        <v>0</v>
      </c>
      <c r="S1461" s="77">
        <v>0</v>
      </c>
      <c r="T1461" s="77">
        <v>0</v>
      </c>
      <c r="U1461" s="77">
        <v>0</v>
      </c>
      <c r="V1461" s="77">
        <v>580</v>
      </c>
      <c r="W1461" s="82" t="s">
        <v>4839</v>
      </c>
      <c r="X1461" s="80" t="str">
        <f>HYPERLINK("http://cbnvitoria.com.br")</f>
        <v>http://cbnvitoria.com.br</v>
      </c>
      <c r="Y1461" s="77" t="s">
        <v>6470</v>
      </c>
      <c r="Z1461" s="77"/>
      <c r="AA1461" s="77"/>
      <c r="AB1461" s="77"/>
      <c r="AC1461" s="82" t="s">
        <v>7750</v>
      </c>
      <c r="AD1461" s="77" t="s">
        <v>7788</v>
      </c>
      <c r="AE1461" s="80" t="str">
        <f>HYPERLINK("https://twitter.com/cbnvitoria/status/1681316879326154752")</f>
        <v>https://twitter.com/cbnvitoria/status/1681316879326154752</v>
      </c>
      <c r="AF1461" s="79">
        <v>45125.622175925928</v>
      </c>
      <c r="AG1461" s="85">
        <v>45125</v>
      </c>
      <c r="AH1461" s="82" t="s">
        <v>9059</v>
      </c>
      <c r="AI1461" s="77" t="b">
        <v>0</v>
      </c>
      <c r="AJ1461" s="77"/>
      <c r="AK1461" s="77"/>
      <c r="AL1461" s="77"/>
      <c r="AM1461" s="77"/>
      <c r="AN1461" s="77"/>
      <c r="AO1461" s="77"/>
      <c r="AP1461" s="77"/>
      <c r="AQ1461" s="77"/>
      <c r="AR1461" s="77"/>
      <c r="AS1461" s="77"/>
      <c r="AT1461" s="77"/>
      <c r="AU1461" s="77"/>
      <c r="AV1461" s="80" t="str">
        <f>HYPERLINK("https://pbs.twimg.com/profile_images/1382399554214068228/CWfKFSVp_normal.jpg")</f>
        <v>https://pbs.twimg.com/profile_images/1382399554214068228/CWfKFSVp_normal.jpg</v>
      </c>
      <c r="AW1461" s="82" t="s">
        <v>13090</v>
      </c>
      <c r="AX1461" s="82" t="s">
        <v>13090</v>
      </c>
      <c r="AY1461" s="77"/>
      <c r="AZ1461" s="82" t="s">
        <v>15984</v>
      </c>
      <c r="BA1461" s="82" t="s">
        <v>15984</v>
      </c>
      <c r="BB1461" s="82" t="s">
        <v>15984</v>
      </c>
      <c r="BC1461" s="82" t="s">
        <v>13090</v>
      </c>
      <c r="BD1461" s="77">
        <v>17523521</v>
      </c>
      <c r="BE1461" s="77"/>
      <c r="BF1461" s="77"/>
      <c r="BG1461" s="77"/>
      <c r="BH1461" s="77"/>
      <c r="BI1461" s="77"/>
    </row>
    <row r="1462" spans="1:61" x14ac:dyDescent="0.25">
      <c r="A1462" s="62" t="s">
        <v>614</v>
      </c>
      <c r="B1462" s="62" t="s">
        <v>762</v>
      </c>
      <c r="C1462" s="63"/>
      <c r="D1462" s="64"/>
      <c r="E1462" s="65"/>
      <c r="F1462" s="66"/>
      <c r="G1462" s="63"/>
      <c r="H1462" s="67"/>
      <c r="I1462" s="68"/>
      <c r="J1462" s="68"/>
      <c r="K1462" s="32"/>
      <c r="L1462" s="75">
        <v>1462</v>
      </c>
      <c r="M1462" s="75"/>
      <c r="N1462" s="70"/>
      <c r="O1462" s="77" t="s">
        <v>895</v>
      </c>
      <c r="P1462" s="79">
        <v>45193.722222222219</v>
      </c>
      <c r="Q1462" s="77" t="s">
        <v>2202</v>
      </c>
      <c r="R1462" s="77">
        <v>4</v>
      </c>
      <c r="S1462" s="77">
        <v>10</v>
      </c>
      <c r="T1462" s="77">
        <v>1</v>
      </c>
      <c r="U1462" s="77">
        <v>0</v>
      </c>
      <c r="V1462" s="77">
        <v>2004</v>
      </c>
      <c r="W1462" s="82" t="s">
        <v>4821</v>
      </c>
      <c r="X1462" s="80" t="str">
        <f>HYPERLINK("https://www.valoraanalitik.com/2023/09/24/pib-colombia-lo-que-deberia-pasar-para-crecer-al-2-por-ciento-en-2023/")</f>
        <v>https://www.valoraanalitik.com/2023/09/24/pib-colombia-lo-que-deberia-pasar-para-crecer-al-2-por-ciento-en-2023/</v>
      </c>
      <c r="Y1462" s="77" t="s">
        <v>6471</v>
      </c>
      <c r="Z1462" s="77" t="s">
        <v>6636</v>
      </c>
      <c r="AA1462" s="77"/>
      <c r="AB1462" s="77"/>
      <c r="AC1462" s="82" t="s">
        <v>7750</v>
      </c>
      <c r="AD1462" s="77" t="s">
        <v>7790</v>
      </c>
      <c r="AE1462" s="80" t="str">
        <f>HYPERLINK("https://twitter.com/valoraanalitik/status/1705995510400835890")</f>
        <v>https://twitter.com/valoraanalitik/status/1705995510400835890</v>
      </c>
      <c r="AF1462" s="79">
        <v>45193.722222222219</v>
      </c>
      <c r="AG1462" s="85">
        <v>45193</v>
      </c>
      <c r="AH1462" s="82" t="s">
        <v>7845</v>
      </c>
      <c r="AI1462" s="77" t="b">
        <v>0</v>
      </c>
      <c r="AJ1462" s="77"/>
      <c r="AK1462" s="77"/>
      <c r="AL1462" s="77"/>
      <c r="AM1462" s="77"/>
      <c r="AN1462" s="77"/>
      <c r="AO1462" s="77"/>
      <c r="AP1462" s="77"/>
      <c r="AQ1462" s="77"/>
      <c r="AR1462" s="77"/>
      <c r="AS1462" s="77"/>
      <c r="AT1462" s="77"/>
      <c r="AU1462" s="77"/>
      <c r="AV1462" s="80" t="str">
        <f>HYPERLINK("https://pbs.twimg.com/profile_images/1475155236713029641/7Lb8npQr_normal.jpg")</f>
        <v>https://pbs.twimg.com/profile_images/1475155236713029641/7Lb8npQr_normal.jpg</v>
      </c>
      <c r="AW1462" s="82" t="s">
        <v>13091</v>
      </c>
      <c r="AX1462" s="82" t="s">
        <v>13091</v>
      </c>
      <c r="AY1462" s="77"/>
      <c r="AZ1462" s="82" t="s">
        <v>15984</v>
      </c>
      <c r="BA1462" s="82" t="s">
        <v>15984</v>
      </c>
      <c r="BB1462" s="82" t="s">
        <v>15984</v>
      </c>
      <c r="BC1462" s="82" t="s">
        <v>13091</v>
      </c>
      <c r="BD1462" s="77">
        <v>20980846</v>
      </c>
      <c r="BE1462" s="77"/>
      <c r="BF1462" s="77"/>
      <c r="BG1462" s="77"/>
      <c r="BH1462" s="77"/>
      <c r="BI1462" s="77"/>
    </row>
    <row r="1463" spans="1:61" x14ac:dyDescent="0.25">
      <c r="A1463" s="62" t="s">
        <v>625</v>
      </c>
      <c r="B1463" s="62" t="s">
        <v>762</v>
      </c>
      <c r="C1463" s="63"/>
      <c r="D1463" s="64"/>
      <c r="E1463" s="65"/>
      <c r="F1463" s="66"/>
      <c r="G1463" s="63"/>
      <c r="H1463" s="67"/>
      <c r="I1463" s="68"/>
      <c r="J1463" s="68"/>
      <c r="K1463" s="32"/>
      <c r="L1463" s="75">
        <v>1463</v>
      </c>
      <c r="M1463" s="75"/>
      <c r="N1463" s="70"/>
      <c r="O1463" s="77" t="s">
        <v>899</v>
      </c>
      <c r="P1463" s="79">
        <v>45193.726203703707</v>
      </c>
      <c r="Q1463" s="77" t="s">
        <v>1173</v>
      </c>
      <c r="R1463" s="77">
        <v>4</v>
      </c>
      <c r="S1463" s="77">
        <v>0</v>
      </c>
      <c r="T1463" s="77">
        <v>0</v>
      </c>
      <c r="U1463" s="77">
        <v>0</v>
      </c>
      <c r="V1463" s="77"/>
      <c r="W1463" s="82" t="s">
        <v>4821</v>
      </c>
      <c r="X1463" s="77"/>
      <c r="Y1463" s="77"/>
      <c r="Z1463" s="77" t="s">
        <v>6567</v>
      </c>
      <c r="AA1463" s="77"/>
      <c r="AB1463" s="77"/>
      <c r="AC1463" s="82" t="s">
        <v>7751</v>
      </c>
      <c r="AD1463" s="77" t="s">
        <v>7790</v>
      </c>
      <c r="AE1463" s="80" t="str">
        <f>HYPERLINK("https://twitter.com/albeirobejarano/status/1705996955644530774")</f>
        <v>https://twitter.com/albeirobejarano/status/1705996955644530774</v>
      </c>
      <c r="AF1463" s="79">
        <v>45193.726203703707</v>
      </c>
      <c r="AG1463" s="85">
        <v>45193</v>
      </c>
      <c r="AH1463" s="82" t="s">
        <v>9060</v>
      </c>
      <c r="AI1463" s="77" t="b">
        <v>0</v>
      </c>
      <c r="AJ1463" s="77"/>
      <c r="AK1463" s="77"/>
      <c r="AL1463" s="77"/>
      <c r="AM1463" s="77"/>
      <c r="AN1463" s="77"/>
      <c r="AO1463" s="77"/>
      <c r="AP1463" s="77"/>
      <c r="AQ1463" s="77"/>
      <c r="AR1463" s="77"/>
      <c r="AS1463" s="77"/>
      <c r="AT1463" s="77"/>
      <c r="AU1463" s="77"/>
      <c r="AV1463" s="80" t="str">
        <f>HYPERLINK("https://pbs.twimg.com/profile_images/1671005656973729792/kT9bTh03_normal.jpg")</f>
        <v>https://pbs.twimg.com/profile_images/1671005656973729792/kT9bTh03_normal.jpg</v>
      </c>
      <c r="AW1463" s="82" t="s">
        <v>13092</v>
      </c>
      <c r="AX1463" s="82" t="s">
        <v>13092</v>
      </c>
      <c r="AY1463" s="77"/>
      <c r="AZ1463" s="82" t="s">
        <v>15984</v>
      </c>
      <c r="BA1463" s="82" t="s">
        <v>15984</v>
      </c>
      <c r="BB1463" s="82" t="s">
        <v>13091</v>
      </c>
      <c r="BC1463" s="82" t="s">
        <v>13091</v>
      </c>
      <c r="BD1463" s="77">
        <v>159658481</v>
      </c>
      <c r="BE1463" s="77"/>
      <c r="BF1463" s="77"/>
      <c r="BG1463" s="77"/>
      <c r="BH1463" s="77"/>
      <c r="BI1463" s="77"/>
    </row>
    <row r="1464" spans="1:61" x14ac:dyDescent="0.25">
      <c r="A1464" s="62" t="s">
        <v>625</v>
      </c>
      <c r="B1464" s="62" t="s">
        <v>763</v>
      </c>
      <c r="C1464" s="63"/>
      <c r="D1464" s="64"/>
      <c r="E1464" s="65"/>
      <c r="F1464" s="66"/>
      <c r="G1464" s="63"/>
      <c r="H1464" s="67"/>
      <c r="I1464" s="68"/>
      <c r="J1464" s="68"/>
      <c r="K1464" s="32"/>
      <c r="L1464" s="75">
        <v>1464</v>
      </c>
      <c r="M1464" s="75"/>
      <c r="N1464" s="70"/>
      <c r="O1464" s="77" t="s">
        <v>899</v>
      </c>
      <c r="P1464" s="79">
        <v>45193.726203703707</v>
      </c>
      <c r="Q1464" s="77" t="s">
        <v>1173</v>
      </c>
      <c r="R1464" s="77">
        <v>4</v>
      </c>
      <c r="S1464" s="77">
        <v>0</v>
      </c>
      <c r="T1464" s="77">
        <v>0</v>
      </c>
      <c r="U1464" s="77">
        <v>0</v>
      </c>
      <c r="V1464" s="77"/>
      <c r="W1464" s="82" t="s">
        <v>4821</v>
      </c>
      <c r="X1464" s="77"/>
      <c r="Y1464" s="77"/>
      <c r="Z1464" s="77" t="s">
        <v>6567</v>
      </c>
      <c r="AA1464" s="77"/>
      <c r="AB1464" s="77"/>
      <c r="AC1464" s="82" t="s">
        <v>7751</v>
      </c>
      <c r="AD1464" s="77" t="s">
        <v>7790</v>
      </c>
      <c r="AE1464" s="80" t="str">
        <f>HYPERLINK("https://twitter.com/albeirobejarano/status/1705996955644530774")</f>
        <v>https://twitter.com/albeirobejarano/status/1705996955644530774</v>
      </c>
      <c r="AF1464" s="79">
        <v>45193.726203703707</v>
      </c>
      <c r="AG1464" s="85">
        <v>45193</v>
      </c>
      <c r="AH1464" s="82" t="s">
        <v>9060</v>
      </c>
      <c r="AI1464" s="77" t="b">
        <v>0</v>
      </c>
      <c r="AJ1464" s="77"/>
      <c r="AK1464" s="77"/>
      <c r="AL1464" s="77"/>
      <c r="AM1464" s="77"/>
      <c r="AN1464" s="77"/>
      <c r="AO1464" s="77"/>
      <c r="AP1464" s="77"/>
      <c r="AQ1464" s="77"/>
      <c r="AR1464" s="77"/>
      <c r="AS1464" s="77"/>
      <c r="AT1464" s="77"/>
      <c r="AU1464" s="77"/>
      <c r="AV1464" s="80" t="str">
        <f>HYPERLINK("https://pbs.twimg.com/profile_images/1671005656973729792/kT9bTh03_normal.jpg")</f>
        <v>https://pbs.twimg.com/profile_images/1671005656973729792/kT9bTh03_normal.jpg</v>
      </c>
      <c r="AW1464" s="82" t="s">
        <v>13092</v>
      </c>
      <c r="AX1464" s="82" t="s">
        <v>13092</v>
      </c>
      <c r="AY1464" s="77"/>
      <c r="AZ1464" s="82" t="s">
        <v>15984</v>
      </c>
      <c r="BA1464" s="82" t="s">
        <v>15984</v>
      </c>
      <c r="BB1464" s="82" t="s">
        <v>13091</v>
      </c>
      <c r="BC1464" s="82" t="s">
        <v>13091</v>
      </c>
      <c r="BD1464" s="77">
        <v>159658481</v>
      </c>
      <c r="BE1464" s="77"/>
      <c r="BF1464" s="77"/>
      <c r="BG1464" s="77"/>
      <c r="BH1464" s="77"/>
      <c r="BI1464" s="77"/>
    </row>
    <row r="1465" spans="1:61" x14ac:dyDescent="0.25">
      <c r="A1465" s="62" t="s">
        <v>625</v>
      </c>
      <c r="B1465" s="62" t="s">
        <v>614</v>
      </c>
      <c r="C1465" s="63"/>
      <c r="D1465" s="64"/>
      <c r="E1465" s="65"/>
      <c r="F1465" s="66"/>
      <c r="G1465" s="63"/>
      <c r="H1465" s="67"/>
      <c r="I1465" s="68"/>
      <c r="J1465" s="68"/>
      <c r="K1465" s="32"/>
      <c r="L1465" s="75">
        <v>1465</v>
      </c>
      <c r="M1465" s="75"/>
      <c r="N1465" s="70"/>
      <c r="O1465" s="77" t="s">
        <v>897</v>
      </c>
      <c r="P1465" s="79">
        <v>45193.726203703707</v>
      </c>
      <c r="Q1465" s="77" t="s">
        <v>1173</v>
      </c>
      <c r="R1465" s="77">
        <v>4</v>
      </c>
      <c r="S1465" s="77">
        <v>0</v>
      </c>
      <c r="T1465" s="77">
        <v>0</v>
      </c>
      <c r="U1465" s="77">
        <v>0</v>
      </c>
      <c r="V1465" s="77"/>
      <c r="W1465" s="82" t="s">
        <v>4821</v>
      </c>
      <c r="X1465" s="77"/>
      <c r="Y1465" s="77"/>
      <c r="Z1465" s="77" t="s">
        <v>6567</v>
      </c>
      <c r="AA1465" s="77"/>
      <c r="AB1465" s="77"/>
      <c r="AC1465" s="82" t="s">
        <v>7751</v>
      </c>
      <c r="AD1465" s="77" t="s">
        <v>7790</v>
      </c>
      <c r="AE1465" s="80" t="str">
        <f>HYPERLINK("https://twitter.com/albeirobejarano/status/1705996955644530774")</f>
        <v>https://twitter.com/albeirobejarano/status/1705996955644530774</v>
      </c>
      <c r="AF1465" s="79">
        <v>45193.726203703707</v>
      </c>
      <c r="AG1465" s="85">
        <v>45193</v>
      </c>
      <c r="AH1465" s="82" t="s">
        <v>9060</v>
      </c>
      <c r="AI1465" s="77" t="b">
        <v>0</v>
      </c>
      <c r="AJ1465" s="77"/>
      <c r="AK1465" s="77"/>
      <c r="AL1465" s="77"/>
      <c r="AM1465" s="77"/>
      <c r="AN1465" s="77"/>
      <c r="AO1465" s="77"/>
      <c r="AP1465" s="77"/>
      <c r="AQ1465" s="77"/>
      <c r="AR1465" s="77"/>
      <c r="AS1465" s="77"/>
      <c r="AT1465" s="77"/>
      <c r="AU1465" s="77"/>
      <c r="AV1465" s="80" t="str">
        <f>HYPERLINK("https://pbs.twimg.com/profile_images/1671005656973729792/kT9bTh03_normal.jpg")</f>
        <v>https://pbs.twimg.com/profile_images/1671005656973729792/kT9bTh03_normal.jpg</v>
      </c>
      <c r="AW1465" s="82" t="s">
        <v>13092</v>
      </c>
      <c r="AX1465" s="82" t="s">
        <v>13092</v>
      </c>
      <c r="AY1465" s="77"/>
      <c r="AZ1465" s="82" t="s">
        <v>15984</v>
      </c>
      <c r="BA1465" s="82" t="s">
        <v>15984</v>
      </c>
      <c r="BB1465" s="82" t="s">
        <v>13091</v>
      </c>
      <c r="BC1465" s="82" t="s">
        <v>13091</v>
      </c>
      <c r="BD1465" s="77">
        <v>159658481</v>
      </c>
      <c r="BE1465" s="77"/>
      <c r="BF1465" s="77"/>
      <c r="BG1465" s="77"/>
      <c r="BH1465" s="77"/>
      <c r="BI1465" s="77"/>
    </row>
    <row r="1466" spans="1:61" x14ac:dyDescent="0.25">
      <c r="A1466" s="62" t="s">
        <v>626</v>
      </c>
      <c r="B1466" s="62" t="s">
        <v>626</v>
      </c>
      <c r="C1466" s="63"/>
      <c r="D1466" s="64"/>
      <c r="E1466" s="65"/>
      <c r="F1466" s="66"/>
      <c r="G1466" s="63"/>
      <c r="H1466" s="67"/>
      <c r="I1466" s="68"/>
      <c r="J1466" s="68"/>
      <c r="K1466" s="32"/>
      <c r="L1466" s="75">
        <v>1466</v>
      </c>
      <c r="M1466" s="75"/>
      <c r="N1466" s="70"/>
      <c r="O1466" s="77" t="s">
        <v>179</v>
      </c>
      <c r="P1466" s="79">
        <v>45118.770798611113</v>
      </c>
      <c r="Q1466" s="77" t="s">
        <v>2203</v>
      </c>
      <c r="R1466" s="77">
        <v>6</v>
      </c>
      <c r="S1466" s="77">
        <v>5</v>
      </c>
      <c r="T1466" s="77">
        <v>0</v>
      </c>
      <c r="U1466" s="77">
        <v>0</v>
      </c>
      <c r="V1466" s="77">
        <v>20</v>
      </c>
      <c r="W1466" s="82" t="s">
        <v>5553</v>
      </c>
      <c r="X1466" s="77"/>
      <c r="Y1466" s="77"/>
      <c r="Z1466" s="77"/>
      <c r="AA1466" s="77"/>
      <c r="AB1466" s="77"/>
      <c r="AC1466" s="82" t="s">
        <v>7750</v>
      </c>
      <c r="AD1466" s="77" t="s">
        <v>7789</v>
      </c>
      <c r="AE1466" s="80" t="str">
        <f>HYPERLINK("https://twitter.com/robert_johnsto/status/1678834025241145353")</f>
        <v>https://twitter.com/robert_johnsto/status/1678834025241145353</v>
      </c>
      <c r="AF1466" s="79">
        <v>45118.770798611113</v>
      </c>
      <c r="AG1466" s="85">
        <v>45118</v>
      </c>
      <c r="AH1466" s="82" t="s">
        <v>9061</v>
      </c>
      <c r="AI1466" s="77"/>
      <c r="AJ1466" s="77"/>
      <c r="AK1466" s="77"/>
      <c r="AL1466" s="77"/>
      <c r="AM1466" s="77"/>
      <c r="AN1466" s="77"/>
      <c r="AO1466" s="77"/>
      <c r="AP1466" s="77"/>
      <c r="AQ1466" s="77"/>
      <c r="AR1466" s="77"/>
      <c r="AS1466" s="77"/>
      <c r="AT1466" s="77"/>
      <c r="AU1466" s="77"/>
      <c r="AV1466" s="80" t="str">
        <f>HYPERLINK("https://pbs.twimg.com/profile_images/1556133071690285056/XG3AJ-An_normal.jpg")</f>
        <v>https://pbs.twimg.com/profile_images/1556133071690285056/XG3AJ-An_normal.jpg</v>
      </c>
      <c r="AW1466" s="82" t="s">
        <v>13093</v>
      </c>
      <c r="AX1466" s="82" t="s">
        <v>13093</v>
      </c>
      <c r="AY1466" s="77"/>
      <c r="AZ1466" s="82" t="s">
        <v>15984</v>
      </c>
      <c r="BA1466" s="82" t="s">
        <v>15984</v>
      </c>
      <c r="BB1466" s="82" t="s">
        <v>15984</v>
      </c>
      <c r="BC1466" s="82" t="s">
        <v>13093</v>
      </c>
      <c r="BD1466" s="82" t="s">
        <v>16330</v>
      </c>
      <c r="BE1466" s="77"/>
      <c r="BF1466" s="77"/>
      <c r="BG1466" s="77"/>
      <c r="BH1466" s="77"/>
      <c r="BI1466" s="77"/>
    </row>
    <row r="1467" spans="1:61" x14ac:dyDescent="0.25">
      <c r="A1467" s="62" t="s">
        <v>627</v>
      </c>
      <c r="B1467" s="62" t="s">
        <v>627</v>
      </c>
      <c r="C1467" s="63"/>
      <c r="D1467" s="64"/>
      <c r="E1467" s="65"/>
      <c r="F1467" s="66"/>
      <c r="G1467" s="63"/>
      <c r="H1467" s="67"/>
      <c r="I1467" s="68"/>
      <c r="J1467" s="68"/>
      <c r="K1467" s="32"/>
      <c r="L1467" s="75">
        <v>1467</v>
      </c>
      <c r="M1467" s="75"/>
      <c r="N1467" s="70"/>
      <c r="O1467" s="77" t="s">
        <v>179</v>
      </c>
      <c r="P1467" s="79">
        <v>45171.914629629631</v>
      </c>
      <c r="Q1467" s="77" t="s">
        <v>2204</v>
      </c>
      <c r="R1467" s="77">
        <v>0</v>
      </c>
      <c r="S1467" s="77">
        <v>0</v>
      </c>
      <c r="T1467" s="77">
        <v>0</v>
      </c>
      <c r="U1467" s="77">
        <v>0</v>
      </c>
      <c r="V1467" s="77">
        <v>23</v>
      </c>
      <c r="W1467" s="82" t="s">
        <v>5554</v>
      </c>
      <c r="X1467" s="77"/>
      <c r="Y1467" s="77"/>
      <c r="Z1467" s="77"/>
      <c r="AA1467" s="77" t="s">
        <v>7351</v>
      </c>
      <c r="AB1467" s="77" t="s">
        <v>7742</v>
      </c>
      <c r="AC1467" s="82" t="s">
        <v>7751</v>
      </c>
      <c r="AD1467" s="77" t="s">
        <v>7788</v>
      </c>
      <c r="AE1467" s="80" t="str">
        <f>HYPERLINK("https://twitter.com/rodrigobarboza7/status/1698092705195155661")</f>
        <v>https://twitter.com/rodrigobarboza7/status/1698092705195155661</v>
      </c>
      <c r="AF1467" s="79">
        <v>45171.914629629631</v>
      </c>
      <c r="AG1467" s="85">
        <v>45171</v>
      </c>
      <c r="AH1467" s="82" t="s">
        <v>9062</v>
      </c>
      <c r="AI1467" s="77" t="b">
        <v>1</v>
      </c>
      <c r="AJ1467" s="77"/>
      <c r="AK1467" s="77"/>
      <c r="AL1467" s="77"/>
      <c r="AM1467" s="77"/>
      <c r="AN1467" s="77"/>
      <c r="AO1467" s="77"/>
      <c r="AP1467" s="77"/>
      <c r="AQ1467" s="77" t="s">
        <v>11323</v>
      </c>
      <c r="AR1467" s="77"/>
      <c r="AS1467" s="77"/>
      <c r="AT1467" s="77"/>
      <c r="AU1467" s="77"/>
      <c r="AV1467" s="80" t="str">
        <f>HYPERLINK("https://pbs.twimg.com/media/F5DWUMOWsAAgt5x.jpg")</f>
        <v>https://pbs.twimg.com/media/F5DWUMOWsAAgt5x.jpg</v>
      </c>
      <c r="AW1467" s="82" t="s">
        <v>13094</v>
      </c>
      <c r="AX1467" s="82" t="s">
        <v>13094</v>
      </c>
      <c r="AY1467" s="77"/>
      <c r="AZ1467" s="82" t="s">
        <v>15984</v>
      </c>
      <c r="BA1467" s="82" t="s">
        <v>15984</v>
      </c>
      <c r="BB1467" s="82" t="s">
        <v>15984</v>
      </c>
      <c r="BC1467" s="82" t="s">
        <v>13094</v>
      </c>
      <c r="BD1467" s="77">
        <v>136452657</v>
      </c>
      <c r="BE1467" s="77"/>
      <c r="BF1467" s="77"/>
      <c r="BG1467" s="77"/>
      <c r="BH1467" s="77"/>
      <c r="BI1467" s="77"/>
    </row>
    <row r="1468" spans="1:61" x14ac:dyDescent="0.25">
      <c r="A1468" s="62" t="s">
        <v>628</v>
      </c>
      <c r="B1468" s="62" t="s">
        <v>387</v>
      </c>
      <c r="C1468" s="63"/>
      <c r="D1468" s="64"/>
      <c r="E1468" s="65"/>
      <c r="F1468" s="66"/>
      <c r="G1468" s="63"/>
      <c r="H1468" s="67"/>
      <c r="I1468" s="68"/>
      <c r="J1468" s="68"/>
      <c r="K1468" s="32"/>
      <c r="L1468" s="75">
        <v>1468</v>
      </c>
      <c r="M1468" s="75"/>
      <c r="N1468" s="70"/>
      <c r="O1468" s="77" t="s">
        <v>897</v>
      </c>
      <c r="P1468" s="79">
        <v>45191.857881944445</v>
      </c>
      <c r="Q1468" s="77" t="s">
        <v>2205</v>
      </c>
      <c r="R1468" s="77">
        <v>1</v>
      </c>
      <c r="S1468" s="77">
        <v>0</v>
      </c>
      <c r="T1468" s="77">
        <v>0</v>
      </c>
      <c r="U1468" s="77">
        <v>0</v>
      </c>
      <c r="V1468" s="77"/>
      <c r="W1468" s="82" t="s">
        <v>5555</v>
      </c>
      <c r="X1468" s="77"/>
      <c r="Y1468" s="77"/>
      <c r="Z1468" s="77" t="s">
        <v>387</v>
      </c>
      <c r="AA1468" s="77"/>
      <c r="AB1468" s="77"/>
      <c r="AC1468" s="82" t="s">
        <v>7752</v>
      </c>
      <c r="AD1468" s="77" t="s">
        <v>7788</v>
      </c>
      <c r="AE1468" s="80" t="str">
        <f>HYPERLINK("https://twitter.com/rodrigues590804/status/1705319896475652373")</f>
        <v>https://twitter.com/rodrigues590804/status/1705319896475652373</v>
      </c>
      <c r="AF1468" s="79">
        <v>45191.857881944445</v>
      </c>
      <c r="AG1468" s="85">
        <v>45191</v>
      </c>
      <c r="AH1468" s="82" t="s">
        <v>9063</v>
      </c>
      <c r="AI1468" s="77" t="b">
        <v>1</v>
      </c>
      <c r="AJ1468" s="77"/>
      <c r="AK1468" s="77"/>
      <c r="AL1468" s="77"/>
      <c r="AM1468" s="77"/>
      <c r="AN1468" s="77"/>
      <c r="AO1468" s="77"/>
      <c r="AP1468" s="77"/>
      <c r="AQ1468" s="77"/>
      <c r="AR1468" s="77"/>
      <c r="AS1468" s="77"/>
      <c r="AT1468" s="77"/>
      <c r="AU1468" s="77"/>
      <c r="AV1468" s="80" t="str">
        <f>HYPERLINK("https://pbs.twimg.com/profile_images/1520198843496808448/I6dxdUcT_normal.png")</f>
        <v>https://pbs.twimg.com/profile_images/1520198843496808448/I6dxdUcT_normal.png</v>
      </c>
      <c r="AW1468" s="82" t="s">
        <v>13095</v>
      </c>
      <c r="AX1468" s="82" t="s">
        <v>13095</v>
      </c>
      <c r="AY1468" s="77"/>
      <c r="AZ1468" s="82" t="s">
        <v>15984</v>
      </c>
      <c r="BA1468" s="82" t="s">
        <v>15984</v>
      </c>
      <c r="BB1468" s="82" t="s">
        <v>14946</v>
      </c>
      <c r="BC1468" s="82" t="s">
        <v>14946</v>
      </c>
      <c r="BD1468" s="82" t="s">
        <v>16331</v>
      </c>
      <c r="BE1468" s="77"/>
      <c r="BF1468" s="77"/>
      <c r="BG1468" s="77"/>
      <c r="BH1468" s="77"/>
      <c r="BI1468" s="77"/>
    </row>
    <row r="1469" spans="1:61" x14ac:dyDescent="0.25">
      <c r="A1469" s="62" t="s">
        <v>629</v>
      </c>
      <c r="B1469" s="62" t="s">
        <v>629</v>
      </c>
      <c r="C1469" s="63"/>
      <c r="D1469" s="64"/>
      <c r="E1469" s="65"/>
      <c r="F1469" s="66"/>
      <c r="G1469" s="63"/>
      <c r="H1469" s="67"/>
      <c r="I1469" s="68"/>
      <c r="J1469" s="68"/>
      <c r="K1469" s="32"/>
      <c r="L1469" s="75">
        <v>1469</v>
      </c>
      <c r="M1469" s="75"/>
      <c r="N1469" s="70"/>
      <c r="O1469" s="77" t="s">
        <v>179</v>
      </c>
      <c r="P1469" s="79">
        <v>45187.466365740744</v>
      </c>
      <c r="Q1469" s="77" t="s">
        <v>918</v>
      </c>
      <c r="R1469" s="77">
        <v>0</v>
      </c>
      <c r="S1469" s="77">
        <v>0</v>
      </c>
      <c r="T1469" s="77">
        <v>0</v>
      </c>
      <c r="U1469" s="77">
        <v>0</v>
      </c>
      <c r="V1469" s="77">
        <v>8</v>
      </c>
      <c r="W1469" s="82" t="s">
        <v>4815</v>
      </c>
      <c r="X1469" s="77"/>
      <c r="Y1469" s="77"/>
      <c r="Z1469" s="77"/>
      <c r="AA1469" s="77"/>
      <c r="AB1469" s="77"/>
      <c r="AC1469" s="82" t="s">
        <v>7750</v>
      </c>
      <c r="AD1469" s="77" t="s">
        <v>7789</v>
      </c>
      <c r="AE1469" s="80" t="str">
        <f>HYPERLINK("https://twitter.com/positivetradem1/status/1703728465730552236")</f>
        <v>https://twitter.com/positivetradem1/status/1703728465730552236</v>
      </c>
      <c r="AF1469" s="79">
        <v>45187.466365740744</v>
      </c>
      <c r="AG1469" s="85">
        <v>45187</v>
      </c>
      <c r="AH1469" s="82" t="s">
        <v>9064</v>
      </c>
      <c r="AI1469" s="77"/>
      <c r="AJ1469" s="77"/>
      <c r="AK1469" s="77"/>
      <c r="AL1469" s="77"/>
      <c r="AM1469" s="77"/>
      <c r="AN1469" s="77"/>
      <c r="AO1469" s="77"/>
      <c r="AP1469" s="77"/>
      <c r="AQ1469" s="77"/>
      <c r="AR1469" s="77"/>
      <c r="AS1469" s="77"/>
      <c r="AT1469" s="77"/>
      <c r="AU1469" s="77"/>
      <c r="AV1469" s="80" t="str">
        <f>HYPERLINK("https://pbs.twimg.com/profile_images/1699368046417022976/6bWzowvr_normal.jpg")</f>
        <v>https://pbs.twimg.com/profile_images/1699368046417022976/6bWzowvr_normal.jpg</v>
      </c>
      <c r="AW1469" s="82" t="s">
        <v>13096</v>
      </c>
      <c r="AX1469" s="82" t="s">
        <v>13096</v>
      </c>
      <c r="AY1469" s="77"/>
      <c r="AZ1469" s="82" t="s">
        <v>15984</v>
      </c>
      <c r="BA1469" s="82" t="s">
        <v>15984</v>
      </c>
      <c r="BB1469" s="82" t="s">
        <v>15984</v>
      </c>
      <c r="BC1469" s="82" t="s">
        <v>13096</v>
      </c>
      <c r="BD1469" s="82" t="s">
        <v>16332</v>
      </c>
      <c r="BE1469" s="77"/>
      <c r="BF1469" s="77"/>
      <c r="BG1469" s="77"/>
      <c r="BH1469" s="77"/>
      <c r="BI1469" s="77"/>
    </row>
    <row r="1470" spans="1:61" x14ac:dyDescent="0.25">
      <c r="A1470" s="62" t="s">
        <v>630</v>
      </c>
      <c r="B1470" s="62" t="s">
        <v>630</v>
      </c>
      <c r="C1470" s="63"/>
      <c r="D1470" s="64"/>
      <c r="E1470" s="65"/>
      <c r="F1470" s="66"/>
      <c r="G1470" s="63"/>
      <c r="H1470" s="67"/>
      <c r="I1470" s="68"/>
      <c r="J1470" s="68"/>
      <c r="K1470" s="32"/>
      <c r="L1470" s="75">
        <v>1470</v>
      </c>
      <c r="M1470" s="75"/>
      <c r="N1470" s="70"/>
      <c r="O1470" s="77" t="s">
        <v>179</v>
      </c>
      <c r="P1470" s="79">
        <v>45119.8903587963</v>
      </c>
      <c r="Q1470" s="77" t="s">
        <v>2206</v>
      </c>
      <c r="R1470" s="77">
        <v>0</v>
      </c>
      <c r="S1470" s="77">
        <v>1</v>
      </c>
      <c r="T1470" s="77">
        <v>0</v>
      </c>
      <c r="U1470" s="77">
        <v>1</v>
      </c>
      <c r="V1470" s="77">
        <v>630</v>
      </c>
      <c r="W1470" s="77"/>
      <c r="X1470" s="80" t="str">
        <f>HYPERLINK("https://www1.folha.uol.com.br/mercado/2023/07/petroleo-fecha-em-maior-patamar-desde-abril-e-pressiona-petrobras.shtml?utm_source=twitter&amp;utm_medium=social&amp;utm_campaign=twfolha")</f>
        <v>https://www1.folha.uol.com.br/mercado/2023/07/petroleo-fecha-em-maior-patamar-desde-abril-e-pressiona-petrobras.shtml?utm_source=twitter&amp;utm_medium=social&amp;utm_campaign=twfolha</v>
      </c>
      <c r="Y1470" s="77" t="s">
        <v>6470</v>
      </c>
      <c r="Z1470" s="77"/>
      <c r="AA1470" s="77"/>
      <c r="AB1470" s="77"/>
      <c r="AC1470" s="82" t="s">
        <v>7778</v>
      </c>
      <c r="AD1470" s="77" t="s">
        <v>7788</v>
      </c>
      <c r="AE1470" s="80" t="str">
        <f>HYPERLINK("https://twitter.com/folha_mercado/status/1679239739361116166")</f>
        <v>https://twitter.com/folha_mercado/status/1679239739361116166</v>
      </c>
      <c r="AF1470" s="79">
        <v>45119.8903587963</v>
      </c>
      <c r="AG1470" s="85">
        <v>45119</v>
      </c>
      <c r="AH1470" s="82" t="s">
        <v>9065</v>
      </c>
      <c r="AI1470" s="77" t="b">
        <v>0</v>
      </c>
      <c r="AJ1470" s="77"/>
      <c r="AK1470" s="77"/>
      <c r="AL1470" s="77"/>
      <c r="AM1470" s="77"/>
      <c r="AN1470" s="77"/>
      <c r="AO1470" s="77"/>
      <c r="AP1470" s="77"/>
      <c r="AQ1470" s="77"/>
      <c r="AR1470" s="77"/>
      <c r="AS1470" s="77"/>
      <c r="AT1470" s="77"/>
      <c r="AU1470" s="77"/>
      <c r="AV1470" s="80" t="str">
        <f>HYPERLINK("https://pbs.twimg.com/profile_images/839570010028838916/VQPRct0h_normal.jpg")</f>
        <v>https://pbs.twimg.com/profile_images/839570010028838916/VQPRct0h_normal.jpg</v>
      </c>
      <c r="AW1470" s="82" t="s">
        <v>13097</v>
      </c>
      <c r="AX1470" s="82" t="s">
        <v>13097</v>
      </c>
      <c r="AY1470" s="77"/>
      <c r="AZ1470" s="82" t="s">
        <v>15984</v>
      </c>
      <c r="BA1470" s="82" t="s">
        <v>15984</v>
      </c>
      <c r="BB1470" s="82" t="s">
        <v>15984</v>
      </c>
      <c r="BC1470" s="82" t="s">
        <v>13097</v>
      </c>
      <c r="BD1470" s="77">
        <v>91128788</v>
      </c>
      <c r="BE1470" s="77"/>
      <c r="BF1470" s="77"/>
      <c r="BG1470" s="77"/>
      <c r="BH1470" s="77"/>
      <c r="BI1470" s="77"/>
    </row>
    <row r="1471" spans="1:61" x14ac:dyDescent="0.25">
      <c r="A1471" s="62" t="s">
        <v>631</v>
      </c>
      <c r="B1471" s="62" t="s">
        <v>630</v>
      </c>
      <c r="C1471" s="63"/>
      <c r="D1471" s="64"/>
      <c r="E1471" s="65"/>
      <c r="F1471" s="66"/>
      <c r="G1471" s="63"/>
      <c r="H1471" s="67"/>
      <c r="I1471" s="68"/>
      <c r="J1471" s="68"/>
      <c r="K1471" s="32"/>
      <c r="L1471" s="75">
        <v>1471</v>
      </c>
      <c r="M1471" s="75"/>
      <c r="N1471" s="70"/>
      <c r="O1471" s="77" t="s">
        <v>896</v>
      </c>
      <c r="P1471" s="79">
        <v>45119.895104166666</v>
      </c>
      <c r="Q1471" s="77" t="s">
        <v>2207</v>
      </c>
      <c r="R1471" s="77">
        <v>0</v>
      </c>
      <c r="S1471" s="77">
        <v>0</v>
      </c>
      <c r="T1471" s="77">
        <v>0</v>
      </c>
      <c r="U1471" s="77">
        <v>0</v>
      </c>
      <c r="V1471" s="77">
        <v>3</v>
      </c>
      <c r="W1471" s="82" t="s">
        <v>5556</v>
      </c>
      <c r="X1471" s="77"/>
      <c r="Y1471" s="77"/>
      <c r="Z1471" s="77"/>
      <c r="AA1471" s="77"/>
      <c r="AB1471" s="77"/>
      <c r="AC1471" s="82" t="s">
        <v>7751</v>
      </c>
      <c r="AD1471" s="77" t="s">
        <v>7788</v>
      </c>
      <c r="AE1471" s="80" t="str">
        <f>HYPERLINK("https://twitter.com/ivana_p_almeida/status/1679241460573519874")</f>
        <v>https://twitter.com/ivana_p_almeida/status/1679241460573519874</v>
      </c>
      <c r="AF1471" s="79">
        <v>45119.895104166666</v>
      </c>
      <c r="AG1471" s="85">
        <v>45119</v>
      </c>
      <c r="AH1471" s="82" t="s">
        <v>9066</v>
      </c>
      <c r="AI1471" s="77"/>
      <c r="AJ1471" s="77"/>
      <c r="AK1471" s="77"/>
      <c r="AL1471" s="77"/>
      <c r="AM1471" s="77"/>
      <c r="AN1471" s="77"/>
      <c r="AO1471" s="77"/>
      <c r="AP1471" s="77"/>
      <c r="AQ1471" s="77"/>
      <c r="AR1471" s="77"/>
      <c r="AS1471" s="77"/>
      <c r="AT1471" s="77"/>
      <c r="AU1471" s="77"/>
      <c r="AV1471" s="80" t="str">
        <f>HYPERLINK("https://pbs.twimg.com/profile_images/1647855478846660609/XYlP1_dQ_normal.jpg")</f>
        <v>https://pbs.twimg.com/profile_images/1647855478846660609/XYlP1_dQ_normal.jpg</v>
      </c>
      <c r="AW1471" s="82" t="s">
        <v>13098</v>
      </c>
      <c r="AX1471" s="82" t="s">
        <v>13098</v>
      </c>
      <c r="AY1471" s="77"/>
      <c r="AZ1471" s="82" t="s">
        <v>15984</v>
      </c>
      <c r="BA1471" s="82" t="s">
        <v>13097</v>
      </c>
      <c r="BB1471" s="82" t="s">
        <v>15984</v>
      </c>
      <c r="BC1471" s="82" t="s">
        <v>13097</v>
      </c>
      <c r="BD1471" s="82" t="s">
        <v>16333</v>
      </c>
      <c r="BE1471" s="77"/>
      <c r="BF1471" s="77"/>
      <c r="BG1471" s="77"/>
      <c r="BH1471" s="77"/>
      <c r="BI1471" s="77"/>
    </row>
    <row r="1472" spans="1:61" x14ac:dyDescent="0.25">
      <c r="A1472" s="62" t="s">
        <v>632</v>
      </c>
      <c r="B1472" s="62" t="s">
        <v>632</v>
      </c>
      <c r="C1472" s="63"/>
      <c r="D1472" s="64"/>
      <c r="E1472" s="65"/>
      <c r="F1472" s="66"/>
      <c r="G1472" s="63"/>
      <c r="H1472" s="67"/>
      <c r="I1472" s="68"/>
      <c r="J1472" s="68"/>
      <c r="K1472" s="32"/>
      <c r="L1472" s="75">
        <v>1472</v>
      </c>
      <c r="M1472" s="75"/>
      <c r="N1472" s="70"/>
      <c r="O1472" s="77" t="s">
        <v>179</v>
      </c>
      <c r="P1472" s="79">
        <v>45153.782754629632</v>
      </c>
      <c r="Q1472" s="77" t="s">
        <v>2208</v>
      </c>
      <c r="R1472" s="77">
        <v>402</v>
      </c>
      <c r="S1472" s="77">
        <v>1137</v>
      </c>
      <c r="T1472" s="77">
        <v>58</v>
      </c>
      <c r="U1472" s="77">
        <v>72</v>
      </c>
      <c r="V1472" s="77">
        <v>52020</v>
      </c>
      <c r="W1472" s="77"/>
      <c r="X1472" s="77"/>
      <c r="Y1472" s="77"/>
      <c r="Z1472" s="77"/>
      <c r="AA1472" s="77" t="s">
        <v>7352</v>
      </c>
      <c r="AB1472" s="77" t="s">
        <v>7742</v>
      </c>
      <c r="AC1472" s="82" t="s">
        <v>7751</v>
      </c>
      <c r="AD1472" s="77" t="s">
        <v>7790</v>
      </c>
      <c r="AE1472" s="80" t="str">
        <f>HYPERLINK("https://twitter.com/datoworld/status/1691521935010594816")</f>
        <v>https://twitter.com/datoworld/status/1691521935010594816</v>
      </c>
      <c r="AF1472" s="79">
        <v>45153.782754629632</v>
      </c>
      <c r="AG1472" s="85">
        <v>45153</v>
      </c>
      <c r="AH1472" s="82" t="s">
        <v>9067</v>
      </c>
      <c r="AI1472" s="77" t="b">
        <v>1</v>
      </c>
      <c r="AJ1472" s="77"/>
      <c r="AK1472" s="77"/>
      <c r="AL1472" s="77"/>
      <c r="AM1472" s="77"/>
      <c r="AN1472" s="77"/>
      <c r="AO1472" s="77"/>
      <c r="AP1472" s="77"/>
      <c r="AQ1472" s="77" t="s">
        <v>11324</v>
      </c>
      <c r="AR1472" s="77"/>
      <c r="AS1472" s="77"/>
      <c r="AT1472" s="77"/>
      <c r="AU1472" s="77"/>
      <c r="AV1472" s="80" t="str">
        <f>HYPERLINK("https://pbs.twimg.com/media/F3l8zjYW0AEYUMm.jpg")</f>
        <v>https://pbs.twimg.com/media/F3l8zjYW0AEYUMm.jpg</v>
      </c>
      <c r="AW1472" s="82" t="s">
        <v>13099</v>
      </c>
      <c r="AX1472" s="82" t="s">
        <v>13099</v>
      </c>
      <c r="AY1472" s="77"/>
      <c r="AZ1472" s="82" t="s">
        <v>15984</v>
      </c>
      <c r="BA1472" s="82" t="s">
        <v>15984</v>
      </c>
      <c r="BB1472" s="82" t="s">
        <v>15984</v>
      </c>
      <c r="BC1472" s="82" t="s">
        <v>13099</v>
      </c>
      <c r="BD1472" s="77">
        <v>3094374405</v>
      </c>
      <c r="BE1472" s="77"/>
      <c r="BF1472" s="77"/>
      <c r="BG1472" s="77"/>
      <c r="BH1472" s="77"/>
      <c r="BI1472" s="77"/>
    </row>
    <row r="1473" spans="1:61" x14ac:dyDescent="0.25">
      <c r="A1473" s="62" t="s">
        <v>633</v>
      </c>
      <c r="B1473" s="62" t="s">
        <v>632</v>
      </c>
      <c r="C1473" s="63"/>
      <c r="D1473" s="64"/>
      <c r="E1473" s="65"/>
      <c r="F1473" s="66"/>
      <c r="G1473" s="63"/>
      <c r="H1473" s="67"/>
      <c r="I1473" s="68"/>
      <c r="J1473" s="68"/>
      <c r="K1473" s="32"/>
      <c r="L1473" s="75">
        <v>1473</v>
      </c>
      <c r="M1473" s="75"/>
      <c r="N1473" s="70"/>
      <c r="O1473" s="77" t="s">
        <v>896</v>
      </c>
      <c r="P1473" s="79">
        <v>45153.851099537038</v>
      </c>
      <c r="Q1473" s="77" t="s">
        <v>2209</v>
      </c>
      <c r="R1473" s="77">
        <v>2</v>
      </c>
      <c r="S1473" s="77">
        <v>6</v>
      </c>
      <c r="T1473" s="77">
        <v>2</v>
      </c>
      <c r="U1473" s="77">
        <v>0</v>
      </c>
      <c r="V1473" s="77">
        <v>836</v>
      </c>
      <c r="W1473" s="82" t="s">
        <v>4821</v>
      </c>
      <c r="X1473" s="77"/>
      <c r="Y1473" s="77"/>
      <c r="Z1473" s="77"/>
      <c r="AA1473" s="77"/>
      <c r="AB1473" s="77"/>
      <c r="AC1473" s="82" t="s">
        <v>7752</v>
      </c>
      <c r="AD1473" s="77" t="s">
        <v>7790</v>
      </c>
      <c r="AE1473" s="80" t="str">
        <f>HYPERLINK("https://twitter.com/obrodr/status/1691546699540332544")</f>
        <v>https://twitter.com/obrodr/status/1691546699540332544</v>
      </c>
      <c r="AF1473" s="79">
        <v>45153.851099537038</v>
      </c>
      <c r="AG1473" s="85">
        <v>45153</v>
      </c>
      <c r="AH1473" s="82" t="s">
        <v>9068</v>
      </c>
      <c r="AI1473" s="77"/>
      <c r="AJ1473" s="77"/>
      <c r="AK1473" s="77"/>
      <c r="AL1473" s="77"/>
      <c r="AM1473" s="77"/>
      <c r="AN1473" s="77"/>
      <c r="AO1473" s="77"/>
      <c r="AP1473" s="77"/>
      <c r="AQ1473" s="77"/>
      <c r="AR1473" s="77"/>
      <c r="AS1473" s="77"/>
      <c r="AT1473" s="77"/>
      <c r="AU1473" s="77"/>
      <c r="AV1473" s="80" t="str">
        <f>HYPERLINK("https://pbs.twimg.com/profile_images/1690178747171778560/j30iXxcZ_normal.jpg")</f>
        <v>https://pbs.twimg.com/profile_images/1690178747171778560/j30iXxcZ_normal.jpg</v>
      </c>
      <c r="AW1473" s="82" t="s">
        <v>13100</v>
      </c>
      <c r="AX1473" s="82" t="s">
        <v>13100</v>
      </c>
      <c r="AY1473" s="77"/>
      <c r="AZ1473" s="82" t="s">
        <v>15984</v>
      </c>
      <c r="BA1473" s="82" t="s">
        <v>13099</v>
      </c>
      <c r="BB1473" s="82" t="s">
        <v>15984</v>
      </c>
      <c r="BC1473" s="82" t="s">
        <v>13099</v>
      </c>
      <c r="BD1473" s="77">
        <v>2906797558</v>
      </c>
      <c r="BE1473" s="77"/>
      <c r="BF1473" s="77"/>
      <c r="BG1473" s="77"/>
      <c r="BH1473" s="77"/>
      <c r="BI1473" s="77"/>
    </row>
    <row r="1474" spans="1:61" x14ac:dyDescent="0.25">
      <c r="A1474" s="62" t="s">
        <v>633</v>
      </c>
      <c r="B1474" s="62" t="s">
        <v>633</v>
      </c>
      <c r="C1474" s="63"/>
      <c r="D1474" s="64"/>
      <c r="E1474" s="65"/>
      <c r="F1474" s="66"/>
      <c r="G1474" s="63"/>
      <c r="H1474" s="67"/>
      <c r="I1474" s="68"/>
      <c r="J1474" s="68"/>
      <c r="K1474" s="32"/>
      <c r="L1474" s="75">
        <v>1474</v>
      </c>
      <c r="M1474" s="75"/>
      <c r="N1474" s="70"/>
      <c r="O1474" s="77" t="s">
        <v>179</v>
      </c>
      <c r="P1474" s="79">
        <v>45146.917847222219</v>
      </c>
      <c r="Q1474" s="77" t="s">
        <v>2210</v>
      </c>
      <c r="R1474" s="77">
        <v>6</v>
      </c>
      <c r="S1474" s="77">
        <v>27</v>
      </c>
      <c r="T1474" s="77">
        <v>1</v>
      </c>
      <c r="U1474" s="77">
        <v>1</v>
      </c>
      <c r="V1474" s="77">
        <v>2281</v>
      </c>
      <c r="W1474" s="82" t="s">
        <v>5557</v>
      </c>
      <c r="X1474" s="77"/>
      <c r="Y1474" s="77"/>
      <c r="Z1474" s="77"/>
      <c r="AA1474" s="77" t="s">
        <v>7353</v>
      </c>
      <c r="AB1474" s="77" t="s">
        <v>7742</v>
      </c>
      <c r="AC1474" s="82" t="s">
        <v>7750</v>
      </c>
      <c r="AD1474" s="77" t="s">
        <v>7790</v>
      </c>
      <c r="AE1474" s="80" t="str">
        <f>HYPERLINK("https://twitter.com/obrodr/status/1689034172571045888")</f>
        <v>https://twitter.com/obrodr/status/1689034172571045888</v>
      </c>
      <c r="AF1474" s="79">
        <v>45146.917847222219</v>
      </c>
      <c r="AG1474" s="85">
        <v>45146</v>
      </c>
      <c r="AH1474" s="82" t="s">
        <v>9069</v>
      </c>
      <c r="AI1474" s="77" t="b">
        <v>0</v>
      </c>
      <c r="AJ1474" s="77"/>
      <c r="AK1474" s="77"/>
      <c r="AL1474" s="77"/>
      <c r="AM1474" s="77"/>
      <c r="AN1474" s="77"/>
      <c r="AO1474" s="77"/>
      <c r="AP1474" s="77"/>
      <c r="AQ1474" s="77" t="s">
        <v>11325</v>
      </c>
      <c r="AR1474" s="77"/>
      <c r="AS1474" s="77"/>
      <c r="AT1474" s="77"/>
      <c r="AU1474" s="77"/>
      <c r="AV1474" s="80" t="str">
        <f>HYPERLINK("https://pbs.twimg.com/media/F3Cm5z8WkAAPasn.jpg")</f>
        <v>https://pbs.twimg.com/media/F3Cm5z8WkAAPasn.jpg</v>
      </c>
      <c r="AW1474" s="82" t="s">
        <v>13101</v>
      </c>
      <c r="AX1474" s="82" t="s">
        <v>13101</v>
      </c>
      <c r="AY1474" s="77"/>
      <c r="AZ1474" s="82" t="s">
        <v>15984</v>
      </c>
      <c r="BA1474" s="82" t="s">
        <v>15984</v>
      </c>
      <c r="BB1474" s="82" t="s">
        <v>15984</v>
      </c>
      <c r="BC1474" s="82" t="s">
        <v>13101</v>
      </c>
      <c r="BD1474" s="77">
        <v>2906797558</v>
      </c>
      <c r="BE1474" s="77"/>
      <c r="BF1474" s="77"/>
      <c r="BG1474" s="77"/>
      <c r="BH1474" s="77"/>
      <c r="BI1474" s="77"/>
    </row>
    <row r="1475" spans="1:61" x14ac:dyDescent="0.25">
      <c r="A1475" s="62" t="s">
        <v>633</v>
      </c>
      <c r="B1475" s="62" t="s">
        <v>633</v>
      </c>
      <c r="C1475" s="63"/>
      <c r="D1475" s="64"/>
      <c r="E1475" s="65"/>
      <c r="F1475" s="66"/>
      <c r="G1475" s="63"/>
      <c r="H1475" s="67"/>
      <c r="I1475" s="68"/>
      <c r="J1475" s="68"/>
      <c r="K1475" s="32"/>
      <c r="L1475" s="75">
        <v>1475</v>
      </c>
      <c r="M1475" s="75"/>
      <c r="N1475" s="70"/>
      <c r="O1475" s="77" t="s">
        <v>179</v>
      </c>
      <c r="P1475" s="79">
        <v>45170.972222222219</v>
      </c>
      <c r="Q1475" s="77" t="s">
        <v>2211</v>
      </c>
      <c r="R1475" s="77">
        <v>20</v>
      </c>
      <c r="S1475" s="77">
        <v>31</v>
      </c>
      <c r="T1475" s="77">
        <v>1</v>
      </c>
      <c r="U1475" s="77">
        <v>2</v>
      </c>
      <c r="V1475" s="77">
        <v>1670</v>
      </c>
      <c r="W1475" s="82" t="s">
        <v>5558</v>
      </c>
      <c r="X1475" s="77"/>
      <c r="Y1475" s="77"/>
      <c r="Z1475" s="77"/>
      <c r="AA1475" s="77" t="s">
        <v>7354</v>
      </c>
      <c r="AB1475" s="77" t="s">
        <v>7742</v>
      </c>
      <c r="AC1475" s="82" t="s">
        <v>7750</v>
      </c>
      <c r="AD1475" s="77" t="s">
        <v>7790</v>
      </c>
      <c r="AE1475" s="80" t="str">
        <f>HYPERLINK("https://twitter.com/obrodr/status/1697751186554642528")</f>
        <v>https://twitter.com/obrodr/status/1697751186554642528</v>
      </c>
      <c r="AF1475" s="79">
        <v>45170.972222222219</v>
      </c>
      <c r="AG1475" s="85">
        <v>45170</v>
      </c>
      <c r="AH1475" s="82" t="s">
        <v>8310</v>
      </c>
      <c r="AI1475" s="77" t="b">
        <v>0</v>
      </c>
      <c r="AJ1475" s="77"/>
      <c r="AK1475" s="77"/>
      <c r="AL1475" s="77"/>
      <c r="AM1475" s="77"/>
      <c r="AN1475" s="77"/>
      <c r="AO1475" s="77"/>
      <c r="AP1475" s="77"/>
      <c r="AQ1475" s="77" t="s">
        <v>11326</v>
      </c>
      <c r="AR1475" s="77"/>
      <c r="AS1475" s="77"/>
      <c r="AT1475" s="77"/>
      <c r="AU1475" s="77"/>
      <c r="AV1475" s="80" t="str">
        <f>HYPERLINK("https://pbs.twimg.com/media/F46pC-TWEAA4njL.jpg")</f>
        <v>https://pbs.twimg.com/media/F46pC-TWEAA4njL.jpg</v>
      </c>
      <c r="AW1475" s="82" t="s">
        <v>13102</v>
      </c>
      <c r="AX1475" s="82" t="s">
        <v>13102</v>
      </c>
      <c r="AY1475" s="77"/>
      <c r="AZ1475" s="82" t="s">
        <v>15984</v>
      </c>
      <c r="BA1475" s="82" t="s">
        <v>15984</v>
      </c>
      <c r="BB1475" s="82" t="s">
        <v>15984</v>
      </c>
      <c r="BC1475" s="82" t="s">
        <v>13102</v>
      </c>
      <c r="BD1475" s="77">
        <v>2906797558</v>
      </c>
      <c r="BE1475" s="77"/>
      <c r="BF1475" s="77"/>
      <c r="BG1475" s="77"/>
      <c r="BH1475" s="77"/>
      <c r="BI1475" s="77"/>
    </row>
    <row r="1476" spans="1:61" x14ac:dyDescent="0.25">
      <c r="A1476" s="62" t="s">
        <v>634</v>
      </c>
      <c r="B1476" s="62" t="s">
        <v>634</v>
      </c>
      <c r="C1476" s="63"/>
      <c r="D1476" s="64"/>
      <c r="E1476" s="65"/>
      <c r="F1476" s="66"/>
      <c r="G1476" s="63"/>
      <c r="H1476" s="67"/>
      <c r="I1476" s="68"/>
      <c r="J1476" s="68"/>
      <c r="K1476" s="32"/>
      <c r="L1476" s="75">
        <v>1476</v>
      </c>
      <c r="M1476" s="75"/>
      <c r="N1476" s="70"/>
      <c r="O1476" s="77" t="s">
        <v>179</v>
      </c>
      <c r="P1476" s="79">
        <v>45166.15042824074</v>
      </c>
      <c r="Q1476" s="77" t="s">
        <v>2212</v>
      </c>
      <c r="R1476" s="77">
        <v>0</v>
      </c>
      <c r="S1476" s="77">
        <v>0</v>
      </c>
      <c r="T1476" s="77">
        <v>0</v>
      </c>
      <c r="U1476" s="77">
        <v>0</v>
      </c>
      <c r="V1476" s="77">
        <v>20</v>
      </c>
      <c r="W1476" s="82" t="s">
        <v>5559</v>
      </c>
      <c r="X1476" s="77"/>
      <c r="Y1476" s="77"/>
      <c r="Z1476" s="77"/>
      <c r="AA1476" s="77" t="s">
        <v>7355</v>
      </c>
      <c r="AB1476" s="77" t="s">
        <v>7743</v>
      </c>
      <c r="AC1476" s="82" t="s">
        <v>7752</v>
      </c>
      <c r="AD1476" s="77" t="s">
        <v>7788</v>
      </c>
      <c r="AE1476" s="80" t="str">
        <f>HYPERLINK("https://twitter.com/rafaeljuiz8/status/1696003826828927307")</f>
        <v>https://twitter.com/rafaeljuiz8/status/1696003826828927307</v>
      </c>
      <c r="AF1476" s="79">
        <v>45166.15042824074</v>
      </c>
      <c r="AG1476" s="85">
        <v>45166</v>
      </c>
      <c r="AH1476" s="82" t="s">
        <v>9070</v>
      </c>
      <c r="AI1476" s="77" t="b">
        <v>0</v>
      </c>
      <c r="AJ1476" s="77"/>
      <c r="AK1476" s="77"/>
      <c r="AL1476" s="77"/>
      <c r="AM1476" s="77"/>
      <c r="AN1476" s="77"/>
      <c r="AO1476" s="77"/>
      <c r="AP1476" s="77"/>
      <c r="AQ1476" s="77" t="s">
        <v>11327</v>
      </c>
      <c r="AR1476" s="77">
        <v>45000</v>
      </c>
      <c r="AS1476" s="77"/>
      <c r="AT1476" s="77"/>
      <c r="AU1476" s="77"/>
      <c r="AV1476" s="80" t="str">
        <f>HYPERLINK("https://pbs.twimg.com/ext_tw_video_thumb/1696003611581390850/pu/img/F_Vjo88bOAofUkQ7.jpg")</f>
        <v>https://pbs.twimg.com/ext_tw_video_thumb/1696003611581390850/pu/img/F_Vjo88bOAofUkQ7.jpg</v>
      </c>
      <c r="AW1476" s="82" t="s">
        <v>13103</v>
      </c>
      <c r="AX1476" s="82" t="s">
        <v>13103</v>
      </c>
      <c r="AY1476" s="77"/>
      <c r="AZ1476" s="82" t="s">
        <v>15984</v>
      </c>
      <c r="BA1476" s="82" t="s">
        <v>15984</v>
      </c>
      <c r="BB1476" s="82" t="s">
        <v>15984</v>
      </c>
      <c r="BC1476" s="82" t="s">
        <v>13103</v>
      </c>
      <c r="BD1476" s="82" t="s">
        <v>16334</v>
      </c>
      <c r="BE1476" s="77"/>
      <c r="BF1476" s="77"/>
      <c r="BG1476" s="77"/>
      <c r="BH1476" s="77"/>
      <c r="BI1476" s="77"/>
    </row>
    <row r="1477" spans="1:61" x14ac:dyDescent="0.25">
      <c r="A1477" s="62" t="s">
        <v>635</v>
      </c>
      <c r="B1477" s="62" t="s">
        <v>635</v>
      </c>
      <c r="C1477" s="63"/>
      <c r="D1477" s="64"/>
      <c r="E1477" s="65"/>
      <c r="F1477" s="66"/>
      <c r="G1477" s="63"/>
      <c r="H1477" s="67"/>
      <c r="I1477" s="68"/>
      <c r="J1477" s="68"/>
      <c r="K1477" s="32"/>
      <c r="L1477" s="75">
        <v>1477</v>
      </c>
      <c r="M1477" s="75"/>
      <c r="N1477" s="70"/>
      <c r="O1477" s="77" t="s">
        <v>179</v>
      </c>
      <c r="P1477" s="79">
        <v>45128.841608796298</v>
      </c>
      <c r="Q1477" s="77" t="s">
        <v>2213</v>
      </c>
      <c r="R1477" s="77">
        <v>0</v>
      </c>
      <c r="S1477" s="77">
        <v>1</v>
      </c>
      <c r="T1477" s="77">
        <v>0</v>
      </c>
      <c r="U1477" s="77">
        <v>0</v>
      </c>
      <c r="V1477" s="77">
        <v>39</v>
      </c>
      <c r="W1477" s="82" t="s">
        <v>4839</v>
      </c>
      <c r="X1477" s="77"/>
      <c r="Y1477" s="77"/>
      <c r="Z1477" s="77"/>
      <c r="AA1477" s="77" t="s">
        <v>7356</v>
      </c>
      <c r="AB1477" s="77" t="s">
        <v>7743</v>
      </c>
      <c r="AC1477" s="82" t="s">
        <v>7750</v>
      </c>
      <c r="AD1477" s="77" t="s">
        <v>7790</v>
      </c>
      <c r="AE1477" s="80" t="str">
        <f>HYPERLINK("https://twitter.com/fernand30827525/status/1682483564129001475")</f>
        <v>https://twitter.com/fernand30827525/status/1682483564129001475</v>
      </c>
      <c r="AF1477" s="79">
        <v>45128.841608796298</v>
      </c>
      <c r="AG1477" s="85">
        <v>45128</v>
      </c>
      <c r="AH1477" s="82" t="s">
        <v>9071</v>
      </c>
      <c r="AI1477" s="77" t="b">
        <v>0</v>
      </c>
      <c r="AJ1477" s="77"/>
      <c r="AK1477" s="77"/>
      <c r="AL1477" s="77"/>
      <c r="AM1477" s="77"/>
      <c r="AN1477" s="77"/>
      <c r="AO1477" s="77"/>
      <c r="AP1477" s="77"/>
      <c r="AQ1477" s="77" t="s">
        <v>11328</v>
      </c>
      <c r="AR1477" s="77">
        <v>10338</v>
      </c>
      <c r="AS1477" s="77"/>
      <c r="AT1477" s="77"/>
      <c r="AU1477" s="77"/>
      <c r="AV1477" s="80" t="str">
        <f>HYPERLINK("https://pbs.twimg.com/ext_tw_video_thumb/1682483382171623428/pu/img/dd6geWwILS_vH8I6.jpg")</f>
        <v>https://pbs.twimg.com/ext_tw_video_thumb/1682483382171623428/pu/img/dd6geWwILS_vH8I6.jpg</v>
      </c>
      <c r="AW1477" s="82" t="s">
        <v>13104</v>
      </c>
      <c r="AX1477" s="82" t="s">
        <v>13104</v>
      </c>
      <c r="AY1477" s="77"/>
      <c r="AZ1477" s="82" t="s">
        <v>15984</v>
      </c>
      <c r="BA1477" s="82" t="s">
        <v>15984</v>
      </c>
      <c r="BB1477" s="82" t="s">
        <v>15984</v>
      </c>
      <c r="BC1477" s="82" t="s">
        <v>13104</v>
      </c>
      <c r="BD1477" s="82" t="s">
        <v>16335</v>
      </c>
      <c r="BE1477" s="77"/>
      <c r="BF1477" s="77"/>
      <c r="BG1477" s="77"/>
      <c r="BH1477" s="77"/>
      <c r="BI1477" s="77"/>
    </row>
    <row r="1478" spans="1:61" x14ac:dyDescent="0.25">
      <c r="A1478" s="62" t="s">
        <v>636</v>
      </c>
      <c r="B1478" s="62" t="s">
        <v>387</v>
      </c>
      <c r="C1478" s="63"/>
      <c r="D1478" s="64"/>
      <c r="E1478" s="65"/>
      <c r="F1478" s="66"/>
      <c r="G1478" s="63"/>
      <c r="H1478" s="67"/>
      <c r="I1478" s="68"/>
      <c r="J1478" s="68"/>
      <c r="K1478" s="32"/>
      <c r="L1478" s="75">
        <v>1478</v>
      </c>
      <c r="M1478" s="75"/>
      <c r="N1478" s="70"/>
      <c r="O1478" s="77" t="s">
        <v>897</v>
      </c>
      <c r="P1478" s="79">
        <v>45189.752696759257</v>
      </c>
      <c r="Q1478" s="77" t="s">
        <v>2214</v>
      </c>
      <c r="R1478" s="77">
        <v>1</v>
      </c>
      <c r="S1478" s="77">
        <v>0</v>
      </c>
      <c r="T1478" s="77">
        <v>0</v>
      </c>
      <c r="U1478" s="77">
        <v>0</v>
      </c>
      <c r="V1478" s="77"/>
      <c r="W1478" s="77"/>
      <c r="X1478" s="77"/>
      <c r="Y1478" s="77"/>
      <c r="Z1478" s="77" t="s">
        <v>387</v>
      </c>
      <c r="AA1478" s="77"/>
      <c r="AB1478" s="77"/>
      <c r="AC1478" s="82" t="s">
        <v>7751</v>
      </c>
      <c r="AD1478" s="77" t="s">
        <v>7788</v>
      </c>
      <c r="AE1478" s="80" t="str">
        <f>HYPERLINK("https://twitter.com/gabrielaprocpi9/status/1704557004960768480")</f>
        <v>https://twitter.com/gabrielaprocpi9/status/1704557004960768480</v>
      </c>
      <c r="AF1478" s="79">
        <v>45189.752696759257</v>
      </c>
      <c r="AG1478" s="85">
        <v>45189</v>
      </c>
      <c r="AH1478" s="82" t="s">
        <v>9072</v>
      </c>
      <c r="AI1478" s="77" t="b">
        <v>0</v>
      </c>
      <c r="AJ1478" s="77"/>
      <c r="AK1478" s="77"/>
      <c r="AL1478" s="77"/>
      <c r="AM1478" s="77"/>
      <c r="AN1478" s="77"/>
      <c r="AO1478" s="77"/>
      <c r="AP1478" s="77"/>
      <c r="AQ1478" s="77"/>
      <c r="AR1478" s="77"/>
      <c r="AS1478" s="77"/>
      <c r="AT1478" s="77"/>
      <c r="AU1478" s="77"/>
      <c r="AV1478" s="80" t="str">
        <f>HYPERLINK("https://pbs.twimg.com/profile_images/1410013183226617856/0XifvNTL_normal.jpg")</f>
        <v>https://pbs.twimg.com/profile_images/1410013183226617856/0XifvNTL_normal.jpg</v>
      </c>
      <c r="AW1478" s="82" t="s">
        <v>13105</v>
      </c>
      <c r="AX1478" s="82" t="s">
        <v>13105</v>
      </c>
      <c r="AY1478" s="77"/>
      <c r="AZ1478" s="82" t="s">
        <v>15984</v>
      </c>
      <c r="BA1478" s="82" t="s">
        <v>15984</v>
      </c>
      <c r="BB1478" s="82" t="s">
        <v>14740</v>
      </c>
      <c r="BC1478" s="82" t="s">
        <v>14740</v>
      </c>
      <c r="BD1478" s="82" t="s">
        <v>16336</v>
      </c>
      <c r="BE1478" s="77"/>
      <c r="BF1478" s="77"/>
      <c r="BG1478" s="77"/>
      <c r="BH1478" s="77"/>
      <c r="BI1478" s="77"/>
    </row>
    <row r="1479" spans="1:61" x14ac:dyDescent="0.25">
      <c r="A1479" s="62" t="s">
        <v>636</v>
      </c>
      <c r="B1479" s="62" t="s">
        <v>387</v>
      </c>
      <c r="C1479" s="63"/>
      <c r="D1479" s="64"/>
      <c r="E1479" s="65"/>
      <c r="F1479" s="66"/>
      <c r="G1479" s="63"/>
      <c r="H1479" s="67"/>
      <c r="I1479" s="68"/>
      <c r="J1479" s="68"/>
      <c r="K1479" s="32"/>
      <c r="L1479" s="75">
        <v>1479</v>
      </c>
      <c r="M1479" s="75"/>
      <c r="N1479" s="70"/>
      <c r="O1479" s="77" t="s">
        <v>897</v>
      </c>
      <c r="P1479" s="79">
        <v>45190.914814814816</v>
      </c>
      <c r="Q1479" s="77" t="s">
        <v>2215</v>
      </c>
      <c r="R1479" s="77">
        <v>1</v>
      </c>
      <c r="S1479" s="77">
        <v>0</v>
      </c>
      <c r="T1479" s="77">
        <v>0</v>
      </c>
      <c r="U1479" s="77">
        <v>0</v>
      </c>
      <c r="V1479" s="77"/>
      <c r="W1479" s="77"/>
      <c r="X1479" s="77"/>
      <c r="Y1479" s="77"/>
      <c r="Z1479" s="77" t="s">
        <v>387</v>
      </c>
      <c r="AA1479" s="77"/>
      <c r="AB1479" s="77"/>
      <c r="AC1479" s="82" t="s">
        <v>7751</v>
      </c>
      <c r="AD1479" s="77" t="s">
        <v>7788</v>
      </c>
      <c r="AE1479" s="80" t="str">
        <f>HYPERLINK("https://twitter.com/gabrielaprocpi9/status/1704978142278959383")</f>
        <v>https://twitter.com/gabrielaprocpi9/status/1704978142278959383</v>
      </c>
      <c r="AF1479" s="79">
        <v>45190.914814814816</v>
      </c>
      <c r="AG1479" s="85">
        <v>45190</v>
      </c>
      <c r="AH1479" s="82" t="s">
        <v>9073</v>
      </c>
      <c r="AI1479" s="77" t="b">
        <v>0</v>
      </c>
      <c r="AJ1479" s="77"/>
      <c r="AK1479" s="77"/>
      <c r="AL1479" s="77"/>
      <c r="AM1479" s="77"/>
      <c r="AN1479" s="77"/>
      <c r="AO1479" s="77"/>
      <c r="AP1479" s="77"/>
      <c r="AQ1479" s="77"/>
      <c r="AR1479" s="77"/>
      <c r="AS1479" s="77"/>
      <c r="AT1479" s="77"/>
      <c r="AU1479" s="77"/>
      <c r="AV1479" s="80" t="str">
        <f>HYPERLINK("https://pbs.twimg.com/profile_images/1410013183226617856/0XifvNTL_normal.jpg")</f>
        <v>https://pbs.twimg.com/profile_images/1410013183226617856/0XifvNTL_normal.jpg</v>
      </c>
      <c r="AW1479" s="82" t="s">
        <v>13106</v>
      </c>
      <c r="AX1479" s="82" t="s">
        <v>13106</v>
      </c>
      <c r="AY1479" s="77"/>
      <c r="AZ1479" s="82" t="s">
        <v>15984</v>
      </c>
      <c r="BA1479" s="82" t="s">
        <v>15984</v>
      </c>
      <c r="BB1479" s="82" t="s">
        <v>15022</v>
      </c>
      <c r="BC1479" s="82" t="s">
        <v>15022</v>
      </c>
      <c r="BD1479" s="82" t="s">
        <v>16336</v>
      </c>
      <c r="BE1479" s="77"/>
      <c r="BF1479" s="77"/>
      <c r="BG1479" s="77"/>
      <c r="BH1479" s="77"/>
      <c r="BI1479" s="77"/>
    </row>
    <row r="1480" spans="1:61" x14ac:dyDescent="0.25">
      <c r="A1480" s="62" t="s">
        <v>636</v>
      </c>
      <c r="B1480" s="62" t="s">
        <v>387</v>
      </c>
      <c r="C1480" s="63"/>
      <c r="D1480" s="64"/>
      <c r="E1480" s="65"/>
      <c r="F1480" s="66"/>
      <c r="G1480" s="63"/>
      <c r="H1480" s="67"/>
      <c r="I1480" s="68"/>
      <c r="J1480" s="68"/>
      <c r="K1480" s="32"/>
      <c r="L1480" s="75">
        <v>1480</v>
      </c>
      <c r="M1480" s="75"/>
      <c r="N1480" s="70"/>
      <c r="O1480" s="77" t="s">
        <v>897</v>
      </c>
      <c r="P1480" s="79">
        <v>45191.771296296298</v>
      </c>
      <c r="Q1480" s="77" t="s">
        <v>2216</v>
      </c>
      <c r="R1480" s="77">
        <v>1</v>
      </c>
      <c r="S1480" s="77">
        <v>0</v>
      </c>
      <c r="T1480" s="77">
        <v>0</v>
      </c>
      <c r="U1480" s="77">
        <v>0</v>
      </c>
      <c r="V1480" s="77"/>
      <c r="W1480" s="77"/>
      <c r="X1480" s="77"/>
      <c r="Y1480" s="77"/>
      <c r="Z1480" s="77" t="s">
        <v>387</v>
      </c>
      <c r="AA1480" s="77"/>
      <c r="AB1480" s="77"/>
      <c r="AC1480" s="82" t="s">
        <v>7751</v>
      </c>
      <c r="AD1480" s="77" t="s">
        <v>7788</v>
      </c>
      <c r="AE1480" s="80" t="str">
        <f>HYPERLINK("https://twitter.com/gabrielaprocpi9/status/1705288518375768381")</f>
        <v>https://twitter.com/gabrielaprocpi9/status/1705288518375768381</v>
      </c>
      <c r="AF1480" s="79">
        <v>45191.771296296298</v>
      </c>
      <c r="AG1480" s="85">
        <v>45191</v>
      </c>
      <c r="AH1480" s="82" t="s">
        <v>9074</v>
      </c>
      <c r="AI1480" s="77" t="b">
        <v>0</v>
      </c>
      <c r="AJ1480" s="77"/>
      <c r="AK1480" s="77"/>
      <c r="AL1480" s="77"/>
      <c r="AM1480" s="77"/>
      <c r="AN1480" s="77"/>
      <c r="AO1480" s="77"/>
      <c r="AP1480" s="77"/>
      <c r="AQ1480" s="77"/>
      <c r="AR1480" s="77"/>
      <c r="AS1480" s="77"/>
      <c r="AT1480" s="77"/>
      <c r="AU1480" s="77"/>
      <c r="AV1480" s="80" t="str">
        <f>HYPERLINK("https://pbs.twimg.com/profile_images/1410013183226617856/0XifvNTL_normal.jpg")</f>
        <v>https://pbs.twimg.com/profile_images/1410013183226617856/0XifvNTL_normal.jpg</v>
      </c>
      <c r="AW1480" s="82" t="s">
        <v>13107</v>
      </c>
      <c r="AX1480" s="82" t="s">
        <v>13107</v>
      </c>
      <c r="AY1480" s="77"/>
      <c r="AZ1480" s="82" t="s">
        <v>15984</v>
      </c>
      <c r="BA1480" s="82" t="s">
        <v>15984</v>
      </c>
      <c r="BB1480" s="82" t="s">
        <v>14875</v>
      </c>
      <c r="BC1480" s="82" t="s">
        <v>14875</v>
      </c>
      <c r="BD1480" s="82" t="s">
        <v>16336</v>
      </c>
      <c r="BE1480" s="77"/>
      <c r="BF1480" s="77"/>
      <c r="BG1480" s="77"/>
      <c r="BH1480" s="77"/>
      <c r="BI1480" s="77"/>
    </row>
    <row r="1481" spans="1:61" x14ac:dyDescent="0.25">
      <c r="A1481" s="62" t="s">
        <v>636</v>
      </c>
      <c r="B1481" s="62" t="s">
        <v>387</v>
      </c>
      <c r="C1481" s="63"/>
      <c r="D1481" s="64"/>
      <c r="E1481" s="65"/>
      <c r="F1481" s="66"/>
      <c r="G1481" s="63"/>
      <c r="H1481" s="67"/>
      <c r="I1481" s="68"/>
      <c r="J1481" s="68"/>
      <c r="K1481" s="32"/>
      <c r="L1481" s="75">
        <v>1481</v>
      </c>
      <c r="M1481" s="75"/>
      <c r="N1481" s="70"/>
      <c r="O1481" s="77" t="s">
        <v>897</v>
      </c>
      <c r="P1481" s="79">
        <v>45196.872615740744</v>
      </c>
      <c r="Q1481" s="77" t="s">
        <v>2217</v>
      </c>
      <c r="R1481" s="77">
        <v>1</v>
      </c>
      <c r="S1481" s="77">
        <v>0</v>
      </c>
      <c r="T1481" s="77">
        <v>0</v>
      </c>
      <c r="U1481" s="77">
        <v>0</v>
      </c>
      <c r="V1481" s="77"/>
      <c r="W1481" s="77"/>
      <c r="X1481" s="77"/>
      <c r="Y1481" s="77"/>
      <c r="Z1481" s="77" t="s">
        <v>387</v>
      </c>
      <c r="AA1481" s="77"/>
      <c r="AB1481" s="77"/>
      <c r="AC1481" s="82" t="s">
        <v>7751</v>
      </c>
      <c r="AD1481" s="77" t="s">
        <v>7788</v>
      </c>
      <c r="AE1481" s="80" t="str">
        <f>HYPERLINK("https://twitter.com/gabrielaprocpi9/status/1707137174527955022")</f>
        <v>https://twitter.com/gabrielaprocpi9/status/1707137174527955022</v>
      </c>
      <c r="AF1481" s="79">
        <v>45196.872615740744</v>
      </c>
      <c r="AG1481" s="85">
        <v>45196</v>
      </c>
      <c r="AH1481" s="82" t="s">
        <v>9075</v>
      </c>
      <c r="AI1481" s="77" t="b">
        <v>0</v>
      </c>
      <c r="AJ1481" s="77"/>
      <c r="AK1481" s="77"/>
      <c r="AL1481" s="77"/>
      <c r="AM1481" s="77"/>
      <c r="AN1481" s="77"/>
      <c r="AO1481" s="77"/>
      <c r="AP1481" s="77"/>
      <c r="AQ1481" s="77"/>
      <c r="AR1481" s="77"/>
      <c r="AS1481" s="77"/>
      <c r="AT1481" s="77"/>
      <c r="AU1481" s="77"/>
      <c r="AV1481" s="80" t="str">
        <f>HYPERLINK("https://pbs.twimg.com/profile_images/1410013183226617856/0XifvNTL_normal.jpg")</f>
        <v>https://pbs.twimg.com/profile_images/1410013183226617856/0XifvNTL_normal.jpg</v>
      </c>
      <c r="AW1481" s="82" t="s">
        <v>13108</v>
      </c>
      <c r="AX1481" s="82" t="s">
        <v>13108</v>
      </c>
      <c r="AY1481" s="77"/>
      <c r="AZ1481" s="82" t="s">
        <v>15984</v>
      </c>
      <c r="BA1481" s="82" t="s">
        <v>15984</v>
      </c>
      <c r="BB1481" s="82" t="s">
        <v>14865</v>
      </c>
      <c r="BC1481" s="82" t="s">
        <v>14865</v>
      </c>
      <c r="BD1481" s="82" t="s">
        <v>16336</v>
      </c>
      <c r="BE1481" s="77"/>
      <c r="BF1481" s="77"/>
      <c r="BG1481" s="77"/>
      <c r="BH1481" s="77"/>
      <c r="BI1481" s="77"/>
    </row>
    <row r="1482" spans="1:61" x14ac:dyDescent="0.25">
      <c r="A1482" s="62" t="s">
        <v>636</v>
      </c>
      <c r="B1482" s="62" t="s">
        <v>387</v>
      </c>
      <c r="C1482" s="63"/>
      <c r="D1482" s="64"/>
      <c r="E1482" s="65"/>
      <c r="F1482" s="66"/>
      <c r="G1482" s="63"/>
      <c r="H1482" s="67"/>
      <c r="I1482" s="68"/>
      <c r="J1482" s="68"/>
      <c r="K1482" s="32"/>
      <c r="L1482" s="75">
        <v>1482</v>
      </c>
      <c r="M1482" s="75"/>
      <c r="N1482" s="70"/>
      <c r="O1482" s="77" t="s">
        <v>897</v>
      </c>
      <c r="P1482" s="79">
        <v>45193.865763888891</v>
      </c>
      <c r="Q1482" s="77" t="s">
        <v>2218</v>
      </c>
      <c r="R1482" s="77">
        <v>1</v>
      </c>
      <c r="S1482" s="77">
        <v>0</v>
      </c>
      <c r="T1482" s="77">
        <v>0</v>
      </c>
      <c r="U1482" s="77">
        <v>0</v>
      </c>
      <c r="V1482" s="77"/>
      <c r="W1482" s="82" t="s">
        <v>4839</v>
      </c>
      <c r="X1482" s="77"/>
      <c r="Y1482" s="77"/>
      <c r="Z1482" s="77" t="s">
        <v>387</v>
      </c>
      <c r="AA1482" s="77"/>
      <c r="AB1482" s="77"/>
      <c r="AC1482" s="82" t="s">
        <v>7751</v>
      </c>
      <c r="AD1482" s="77" t="s">
        <v>7788</v>
      </c>
      <c r="AE1482" s="80" t="str">
        <f>HYPERLINK("https://twitter.com/gabrielaprocpi9/status/1706047529941372935")</f>
        <v>https://twitter.com/gabrielaprocpi9/status/1706047529941372935</v>
      </c>
      <c r="AF1482" s="79">
        <v>45193.865763888891</v>
      </c>
      <c r="AG1482" s="85">
        <v>45193</v>
      </c>
      <c r="AH1482" s="82" t="s">
        <v>9076</v>
      </c>
      <c r="AI1482" s="77" t="b">
        <v>0</v>
      </c>
      <c r="AJ1482" s="77"/>
      <c r="AK1482" s="77"/>
      <c r="AL1482" s="77"/>
      <c r="AM1482" s="77"/>
      <c r="AN1482" s="77"/>
      <c r="AO1482" s="77"/>
      <c r="AP1482" s="77"/>
      <c r="AQ1482" s="77"/>
      <c r="AR1482" s="77"/>
      <c r="AS1482" s="77"/>
      <c r="AT1482" s="77"/>
      <c r="AU1482" s="77"/>
      <c r="AV1482" s="80" t="str">
        <f>HYPERLINK("https://pbs.twimg.com/profile_images/1410013183226617856/0XifvNTL_normal.jpg")</f>
        <v>https://pbs.twimg.com/profile_images/1410013183226617856/0XifvNTL_normal.jpg</v>
      </c>
      <c r="AW1482" s="82" t="s">
        <v>13109</v>
      </c>
      <c r="AX1482" s="82" t="s">
        <v>13109</v>
      </c>
      <c r="AY1482" s="77"/>
      <c r="AZ1482" s="82" t="s">
        <v>15984</v>
      </c>
      <c r="BA1482" s="82" t="s">
        <v>15984</v>
      </c>
      <c r="BB1482" s="82" t="s">
        <v>14784</v>
      </c>
      <c r="BC1482" s="82" t="s">
        <v>14784</v>
      </c>
      <c r="BD1482" s="82" t="s">
        <v>16336</v>
      </c>
      <c r="BE1482" s="77"/>
      <c r="BF1482" s="77"/>
      <c r="BG1482" s="77"/>
      <c r="BH1482" s="77"/>
      <c r="BI1482" s="77"/>
    </row>
    <row r="1483" spans="1:61" x14ac:dyDescent="0.25">
      <c r="A1483" s="62" t="s">
        <v>637</v>
      </c>
      <c r="B1483" s="62" t="s">
        <v>637</v>
      </c>
      <c r="C1483" s="63"/>
      <c r="D1483" s="64"/>
      <c r="E1483" s="65"/>
      <c r="F1483" s="66"/>
      <c r="G1483" s="63"/>
      <c r="H1483" s="67"/>
      <c r="I1483" s="68"/>
      <c r="J1483" s="68"/>
      <c r="K1483" s="32"/>
      <c r="L1483" s="75">
        <v>1483</v>
      </c>
      <c r="M1483" s="75"/>
      <c r="N1483" s="70"/>
      <c r="O1483" s="77" t="s">
        <v>179</v>
      </c>
      <c r="P1483" s="79">
        <v>45128.801817129628</v>
      </c>
      <c r="Q1483" s="77" t="s">
        <v>2219</v>
      </c>
      <c r="R1483" s="77">
        <v>0</v>
      </c>
      <c r="S1483" s="77">
        <v>0</v>
      </c>
      <c r="T1483" s="77">
        <v>0</v>
      </c>
      <c r="U1483" s="77">
        <v>0</v>
      </c>
      <c r="V1483" s="77">
        <v>67</v>
      </c>
      <c r="W1483" s="82" t="s">
        <v>5560</v>
      </c>
      <c r="X1483" s="80" t="str">
        <f>HYPERLINK("https://lamervaleta.com/en-el-mes-dycasa-sube-un-4907-con-solido-crecimiento-de-ingresos/")</f>
        <v>https://lamervaleta.com/en-el-mes-dycasa-sube-un-4907-con-solido-crecimiento-de-ingresos/</v>
      </c>
      <c r="Y1483" s="77" t="s">
        <v>6546</v>
      </c>
      <c r="Z1483" s="77"/>
      <c r="AA1483" s="77"/>
      <c r="AB1483" s="77"/>
      <c r="AC1483" s="82" t="s">
        <v>7750</v>
      </c>
      <c r="AD1483" s="77" t="s">
        <v>7790</v>
      </c>
      <c r="AE1483" s="80" t="str">
        <f>HYPERLINK("https://twitter.com/lamervaletacom/status/1682469145823125504")</f>
        <v>https://twitter.com/lamervaletacom/status/1682469145823125504</v>
      </c>
      <c r="AF1483" s="79">
        <v>45128.801817129628</v>
      </c>
      <c r="AG1483" s="85">
        <v>45128</v>
      </c>
      <c r="AH1483" s="82" t="s">
        <v>9077</v>
      </c>
      <c r="AI1483" s="77" t="b">
        <v>0</v>
      </c>
      <c r="AJ1483" s="77"/>
      <c r="AK1483" s="77"/>
      <c r="AL1483" s="77"/>
      <c r="AM1483" s="77"/>
      <c r="AN1483" s="77"/>
      <c r="AO1483" s="77"/>
      <c r="AP1483" s="77"/>
      <c r="AQ1483" s="77"/>
      <c r="AR1483" s="77"/>
      <c r="AS1483" s="77"/>
      <c r="AT1483" s="77"/>
      <c r="AU1483" s="77"/>
      <c r="AV1483" s="80" t="str">
        <f>HYPERLINK("https://pbs.twimg.com/profile_images/1673692151748632577/10Lo8nhx_normal.jpg")</f>
        <v>https://pbs.twimg.com/profile_images/1673692151748632577/10Lo8nhx_normal.jpg</v>
      </c>
      <c r="AW1483" s="82" t="s">
        <v>13110</v>
      </c>
      <c r="AX1483" s="82" t="s">
        <v>13110</v>
      </c>
      <c r="AY1483" s="77"/>
      <c r="AZ1483" s="82" t="s">
        <v>15984</v>
      </c>
      <c r="BA1483" s="82" t="s">
        <v>15984</v>
      </c>
      <c r="BB1483" s="82" t="s">
        <v>15984</v>
      </c>
      <c r="BC1483" s="82" t="s">
        <v>13110</v>
      </c>
      <c r="BD1483" s="77">
        <v>339340028</v>
      </c>
      <c r="BE1483" s="77"/>
      <c r="BF1483" s="77"/>
      <c r="BG1483" s="77"/>
      <c r="BH1483" s="77"/>
      <c r="BI1483" s="77"/>
    </row>
    <row r="1484" spans="1:61" x14ac:dyDescent="0.25">
      <c r="A1484" s="62" t="s">
        <v>638</v>
      </c>
      <c r="B1484" s="62" t="s">
        <v>882</v>
      </c>
      <c r="C1484" s="63"/>
      <c r="D1484" s="64"/>
      <c r="E1484" s="65"/>
      <c r="F1484" s="66"/>
      <c r="G1484" s="63"/>
      <c r="H1484" s="67"/>
      <c r="I1484" s="68"/>
      <c r="J1484" s="68"/>
      <c r="K1484" s="32"/>
      <c r="L1484" s="75">
        <v>1484</v>
      </c>
      <c r="M1484" s="75"/>
      <c r="N1484" s="70"/>
      <c r="O1484" s="77" t="s">
        <v>895</v>
      </c>
      <c r="P1484" s="79">
        <v>45141.008240740739</v>
      </c>
      <c r="Q1484" s="77" t="s">
        <v>2220</v>
      </c>
      <c r="R1484" s="77">
        <v>0</v>
      </c>
      <c r="S1484" s="77">
        <v>0</v>
      </c>
      <c r="T1484" s="77">
        <v>0</v>
      </c>
      <c r="U1484" s="77">
        <v>0</v>
      </c>
      <c r="V1484" s="77">
        <v>40</v>
      </c>
      <c r="W1484" s="82" t="s">
        <v>5561</v>
      </c>
      <c r="X1484" s="77"/>
      <c r="Y1484" s="77"/>
      <c r="Z1484" s="77" t="s">
        <v>882</v>
      </c>
      <c r="AA1484" s="77" t="s">
        <v>7357</v>
      </c>
      <c r="AB1484" s="77" t="s">
        <v>7743</v>
      </c>
      <c r="AC1484" s="82" t="s">
        <v>7752</v>
      </c>
      <c r="AD1484" s="77" t="s">
        <v>7790</v>
      </c>
      <c r="AE1484" s="80" t="str">
        <f>HYPERLINK("https://twitter.com/economia_prm/status/1686892606238629888")</f>
        <v>https://twitter.com/economia_prm/status/1686892606238629888</v>
      </c>
      <c r="AF1484" s="79">
        <v>45141.008240740739</v>
      </c>
      <c r="AG1484" s="85">
        <v>45141</v>
      </c>
      <c r="AH1484" s="82" t="s">
        <v>9078</v>
      </c>
      <c r="AI1484" s="77" t="b">
        <v>0</v>
      </c>
      <c r="AJ1484" s="77"/>
      <c r="AK1484" s="77"/>
      <c r="AL1484" s="77"/>
      <c r="AM1484" s="77"/>
      <c r="AN1484" s="77"/>
      <c r="AO1484" s="77"/>
      <c r="AP1484" s="77"/>
      <c r="AQ1484" s="77" t="s">
        <v>11329</v>
      </c>
      <c r="AR1484" s="77">
        <v>63435</v>
      </c>
      <c r="AS1484" s="77"/>
      <c r="AT1484" s="77"/>
      <c r="AU1484" s="77"/>
      <c r="AV1484" s="80" t="str">
        <f>HYPERLINK("https://pbs.twimg.com/ext_tw_video_thumb/1686892458674638848/pu/img/lqIPamhurhkDZzZd.jpg")</f>
        <v>https://pbs.twimg.com/ext_tw_video_thumb/1686892458674638848/pu/img/lqIPamhurhkDZzZd.jpg</v>
      </c>
      <c r="AW1484" s="82" t="s">
        <v>13111</v>
      </c>
      <c r="AX1484" s="82" t="s">
        <v>13111</v>
      </c>
      <c r="AY1484" s="77"/>
      <c r="AZ1484" s="82" t="s">
        <v>15984</v>
      </c>
      <c r="BA1484" s="82" t="s">
        <v>15984</v>
      </c>
      <c r="BB1484" s="82" t="s">
        <v>15984</v>
      </c>
      <c r="BC1484" s="82" t="s">
        <v>13111</v>
      </c>
      <c r="BD1484" s="82" t="s">
        <v>16337</v>
      </c>
      <c r="BE1484" s="77"/>
      <c r="BF1484" s="77"/>
      <c r="BG1484" s="77"/>
      <c r="BH1484" s="77"/>
      <c r="BI1484" s="77"/>
    </row>
    <row r="1485" spans="1:61" x14ac:dyDescent="0.25">
      <c r="A1485" s="62" t="s">
        <v>638</v>
      </c>
      <c r="B1485" s="62" t="s">
        <v>638</v>
      </c>
      <c r="C1485" s="63"/>
      <c r="D1485" s="64"/>
      <c r="E1485" s="65"/>
      <c r="F1485" s="66"/>
      <c r="G1485" s="63"/>
      <c r="H1485" s="67"/>
      <c r="I1485" s="68"/>
      <c r="J1485" s="68"/>
      <c r="K1485" s="32"/>
      <c r="L1485" s="75">
        <v>1485</v>
      </c>
      <c r="M1485" s="75"/>
      <c r="N1485" s="70"/>
      <c r="O1485" s="77" t="s">
        <v>179</v>
      </c>
      <c r="P1485" s="79">
        <v>45142.202534722222</v>
      </c>
      <c r="Q1485" s="77" t="s">
        <v>2221</v>
      </c>
      <c r="R1485" s="77">
        <v>0</v>
      </c>
      <c r="S1485" s="77">
        <v>0</v>
      </c>
      <c r="T1485" s="77">
        <v>0</v>
      </c>
      <c r="U1485" s="77">
        <v>0</v>
      </c>
      <c r="V1485" s="77">
        <v>38</v>
      </c>
      <c r="W1485" s="82" t="s">
        <v>5561</v>
      </c>
      <c r="X1485" s="77"/>
      <c r="Y1485" s="77"/>
      <c r="Z1485" s="77"/>
      <c r="AA1485" s="77" t="s">
        <v>7358</v>
      </c>
      <c r="AB1485" s="77" t="s">
        <v>7743</v>
      </c>
      <c r="AC1485" s="82" t="s">
        <v>7752</v>
      </c>
      <c r="AD1485" s="77" t="s">
        <v>7788</v>
      </c>
      <c r="AE1485" s="80" t="str">
        <f>HYPERLINK("https://twitter.com/economia_prm/status/1687325402912448512")</f>
        <v>https://twitter.com/economia_prm/status/1687325402912448512</v>
      </c>
      <c r="AF1485" s="79">
        <v>45142.202534722222</v>
      </c>
      <c r="AG1485" s="85">
        <v>45142</v>
      </c>
      <c r="AH1485" s="82" t="s">
        <v>9079</v>
      </c>
      <c r="AI1485" s="77" t="b">
        <v>0</v>
      </c>
      <c r="AJ1485" s="77"/>
      <c r="AK1485" s="77"/>
      <c r="AL1485" s="77"/>
      <c r="AM1485" s="77"/>
      <c r="AN1485" s="77"/>
      <c r="AO1485" s="77"/>
      <c r="AP1485" s="77"/>
      <c r="AQ1485" s="77" t="s">
        <v>11330</v>
      </c>
      <c r="AR1485" s="77">
        <v>13666</v>
      </c>
      <c r="AS1485" s="77"/>
      <c r="AT1485" s="77"/>
      <c r="AU1485" s="77"/>
      <c r="AV1485" s="80" t="str">
        <f>HYPERLINK("https://pbs.twimg.com/ext_tw_video_thumb/1687325376853258240/pu/img/InxBmIjtBfx8yDue.jpg")</f>
        <v>https://pbs.twimg.com/ext_tw_video_thumb/1687325376853258240/pu/img/InxBmIjtBfx8yDue.jpg</v>
      </c>
      <c r="AW1485" s="82" t="s">
        <v>13112</v>
      </c>
      <c r="AX1485" s="82" t="s">
        <v>13112</v>
      </c>
      <c r="AY1485" s="77"/>
      <c r="AZ1485" s="82" t="s">
        <v>15984</v>
      </c>
      <c r="BA1485" s="82" t="s">
        <v>15984</v>
      </c>
      <c r="BB1485" s="82" t="s">
        <v>15984</v>
      </c>
      <c r="BC1485" s="82" t="s">
        <v>13112</v>
      </c>
      <c r="BD1485" s="82" t="s">
        <v>16337</v>
      </c>
      <c r="BE1485" s="77"/>
      <c r="BF1485" s="77"/>
      <c r="BG1485" s="77"/>
      <c r="BH1485" s="77"/>
      <c r="BI1485" s="77"/>
    </row>
    <row r="1486" spans="1:61" x14ac:dyDescent="0.25">
      <c r="A1486" s="62" t="s">
        <v>638</v>
      </c>
      <c r="B1486" s="62" t="s">
        <v>638</v>
      </c>
      <c r="C1486" s="63"/>
      <c r="D1486" s="64"/>
      <c r="E1486" s="65"/>
      <c r="F1486" s="66"/>
      <c r="G1486" s="63"/>
      <c r="H1486" s="67"/>
      <c r="I1486" s="68"/>
      <c r="J1486" s="68"/>
      <c r="K1486" s="32"/>
      <c r="L1486" s="75">
        <v>1486</v>
      </c>
      <c r="M1486" s="75"/>
      <c r="N1486" s="70"/>
      <c r="O1486" s="77" t="s">
        <v>179</v>
      </c>
      <c r="P1486" s="79">
        <v>45144.738333333335</v>
      </c>
      <c r="Q1486" s="77" t="s">
        <v>2222</v>
      </c>
      <c r="R1486" s="77">
        <v>0</v>
      </c>
      <c r="S1486" s="77">
        <v>0</v>
      </c>
      <c r="T1486" s="77">
        <v>0</v>
      </c>
      <c r="U1486" s="77">
        <v>0</v>
      </c>
      <c r="V1486" s="77">
        <v>24</v>
      </c>
      <c r="W1486" s="82" t="s">
        <v>5561</v>
      </c>
      <c r="X1486" s="77"/>
      <c r="Y1486" s="77"/>
      <c r="Z1486" s="77"/>
      <c r="AA1486" s="77" t="s">
        <v>7359</v>
      </c>
      <c r="AB1486" s="77" t="s">
        <v>7744</v>
      </c>
      <c r="AC1486" s="82" t="s">
        <v>7751</v>
      </c>
      <c r="AD1486" s="77" t="s">
        <v>7790</v>
      </c>
      <c r="AE1486" s="80" t="str">
        <f>HYPERLINK("https://twitter.com/economia_prm/status/1688244346099761152")</f>
        <v>https://twitter.com/economia_prm/status/1688244346099761152</v>
      </c>
      <c r="AF1486" s="79">
        <v>45144.738333333335</v>
      </c>
      <c r="AG1486" s="85">
        <v>45144</v>
      </c>
      <c r="AH1486" s="82" t="s">
        <v>9080</v>
      </c>
      <c r="AI1486" s="77" t="b">
        <v>0</v>
      </c>
      <c r="AJ1486" s="77"/>
      <c r="AK1486" s="77"/>
      <c r="AL1486" s="77"/>
      <c r="AM1486" s="77"/>
      <c r="AN1486" s="77"/>
      <c r="AO1486" s="77"/>
      <c r="AP1486" s="77"/>
      <c r="AQ1486" s="77" t="s">
        <v>11331</v>
      </c>
      <c r="AR1486" s="77"/>
      <c r="AS1486" s="77"/>
      <c r="AT1486" s="77"/>
      <c r="AU1486" s="77"/>
      <c r="AV1486" s="80" t="str">
        <f>HYPERLINK("https://pbs.twimg.com/media/F23ZRWMXIAAYhcI.jpg")</f>
        <v>https://pbs.twimg.com/media/F23ZRWMXIAAYhcI.jpg</v>
      </c>
      <c r="AW1486" s="82" t="s">
        <v>13113</v>
      </c>
      <c r="AX1486" s="82" t="s">
        <v>13113</v>
      </c>
      <c r="AY1486" s="77"/>
      <c r="AZ1486" s="82" t="s">
        <v>15984</v>
      </c>
      <c r="BA1486" s="82" t="s">
        <v>15984</v>
      </c>
      <c r="BB1486" s="82" t="s">
        <v>15984</v>
      </c>
      <c r="BC1486" s="82" t="s">
        <v>13113</v>
      </c>
      <c r="BD1486" s="82" t="s">
        <v>16337</v>
      </c>
      <c r="BE1486" s="77"/>
      <c r="BF1486" s="77"/>
      <c r="BG1486" s="77"/>
      <c r="BH1486" s="77"/>
      <c r="BI1486" s="77"/>
    </row>
    <row r="1487" spans="1:61" x14ac:dyDescent="0.25">
      <c r="A1487" s="62" t="s">
        <v>614</v>
      </c>
      <c r="B1487" s="62" t="s">
        <v>763</v>
      </c>
      <c r="C1487" s="63"/>
      <c r="D1487" s="64"/>
      <c r="E1487" s="65"/>
      <c r="F1487" s="66"/>
      <c r="G1487" s="63"/>
      <c r="H1487" s="67"/>
      <c r="I1487" s="68"/>
      <c r="J1487" s="68"/>
      <c r="K1487" s="32"/>
      <c r="L1487" s="75">
        <v>1487</v>
      </c>
      <c r="M1487" s="75"/>
      <c r="N1487" s="70"/>
      <c r="O1487" s="77" t="s">
        <v>895</v>
      </c>
      <c r="P1487" s="79">
        <v>45132.481203703705</v>
      </c>
      <c r="Q1487" s="77" t="s">
        <v>2096</v>
      </c>
      <c r="R1487" s="77">
        <v>0</v>
      </c>
      <c r="S1487" s="77">
        <v>3</v>
      </c>
      <c r="T1487" s="77">
        <v>0</v>
      </c>
      <c r="U1487" s="77">
        <v>0</v>
      </c>
      <c r="V1487" s="77">
        <v>1190</v>
      </c>
      <c r="W1487" s="82" t="s">
        <v>4821</v>
      </c>
      <c r="X1487" s="80" t="str">
        <f>HYPERLINK("https://www.valoraanalitik.com/2023/07/25/incentivo-almacenamiento-de-arroz-colombia-del-gobierno-petro/")</f>
        <v>https://www.valoraanalitik.com/2023/07/25/incentivo-almacenamiento-de-arroz-colombia-del-gobierno-petro/</v>
      </c>
      <c r="Y1487" s="77" t="s">
        <v>6471</v>
      </c>
      <c r="Z1487" s="77" t="s">
        <v>6592</v>
      </c>
      <c r="AA1487" s="77"/>
      <c r="AB1487" s="77"/>
      <c r="AC1487" s="82" t="s">
        <v>7750</v>
      </c>
      <c r="AD1487" s="77" t="s">
        <v>7790</v>
      </c>
      <c r="AE1487" s="80" t="str">
        <f>HYPERLINK("https://twitter.com/valoraanalitik/status/1683802510140612608")</f>
        <v>https://twitter.com/valoraanalitik/status/1683802510140612608</v>
      </c>
      <c r="AF1487" s="79">
        <v>45132.481203703705</v>
      </c>
      <c r="AG1487" s="85">
        <v>45132</v>
      </c>
      <c r="AH1487" s="82" t="s">
        <v>8954</v>
      </c>
      <c r="AI1487" s="77" t="b">
        <v>0</v>
      </c>
      <c r="AJ1487" s="77"/>
      <c r="AK1487" s="77"/>
      <c r="AL1487" s="77"/>
      <c r="AM1487" s="77"/>
      <c r="AN1487" s="77"/>
      <c r="AO1487" s="77"/>
      <c r="AP1487" s="77"/>
      <c r="AQ1487" s="77"/>
      <c r="AR1487" s="77"/>
      <c r="AS1487" s="77"/>
      <c r="AT1487" s="77"/>
      <c r="AU1487" s="77"/>
      <c r="AV1487" s="80" t="str">
        <f>HYPERLINK("https://pbs.twimg.com/profile_images/1475155236713029641/7Lb8npQr_normal.jpg")</f>
        <v>https://pbs.twimg.com/profile_images/1475155236713029641/7Lb8npQr_normal.jpg</v>
      </c>
      <c r="AW1487" s="82" t="s">
        <v>12983</v>
      </c>
      <c r="AX1487" s="82" t="s">
        <v>12983</v>
      </c>
      <c r="AY1487" s="77"/>
      <c r="AZ1487" s="82" t="s">
        <v>15984</v>
      </c>
      <c r="BA1487" s="82" t="s">
        <v>15984</v>
      </c>
      <c r="BB1487" s="82" t="s">
        <v>15984</v>
      </c>
      <c r="BC1487" s="82" t="s">
        <v>12983</v>
      </c>
      <c r="BD1487" s="77">
        <v>20980846</v>
      </c>
      <c r="BE1487" s="77"/>
      <c r="BF1487" s="77"/>
      <c r="BG1487" s="77"/>
      <c r="BH1487" s="77"/>
      <c r="BI1487" s="77"/>
    </row>
    <row r="1488" spans="1:61" x14ac:dyDescent="0.25">
      <c r="A1488" s="62" t="s">
        <v>614</v>
      </c>
      <c r="B1488" s="62" t="s">
        <v>763</v>
      </c>
      <c r="C1488" s="63"/>
      <c r="D1488" s="64"/>
      <c r="E1488" s="65"/>
      <c r="F1488" s="66"/>
      <c r="G1488" s="63"/>
      <c r="H1488" s="67"/>
      <c r="I1488" s="68"/>
      <c r="J1488" s="68"/>
      <c r="K1488" s="32"/>
      <c r="L1488" s="75">
        <v>1488</v>
      </c>
      <c r="M1488" s="75"/>
      <c r="N1488" s="70"/>
      <c r="O1488" s="77" t="s">
        <v>895</v>
      </c>
      <c r="P1488" s="79">
        <v>45131.485138888886</v>
      </c>
      <c r="Q1488" s="77" t="s">
        <v>2097</v>
      </c>
      <c r="R1488" s="77">
        <v>1</v>
      </c>
      <c r="S1488" s="77">
        <v>10</v>
      </c>
      <c r="T1488" s="77">
        <v>0</v>
      </c>
      <c r="U1488" s="77">
        <v>4</v>
      </c>
      <c r="V1488" s="77">
        <v>2263</v>
      </c>
      <c r="W1488" s="82" t="s">
        <v>4821</v>
      </c>
      <c r="X1488" s="80" t="str">
        <f>HYPERLINK("https://www.valoraanalitik.com/2023/07/24/plataformas-digitales-colombia-gobierno-petro-dice-que-paguen-mas-impuestos/")</f>
        <v>https://www.valoraanalitik.com/2023/07/24/plataformas-digitales-colombia-gobierno-petro-dice-que-paguen-mas-impuestos/</v>
      </c>
      <c r="Y1488" s="77" t="s">
        <v>6471</v>
      </c>
      <c r="Z1488" s="77" t="s">
        <v>6593</v>
      </c>
      <c r="AA1488" s="77"/>
      <c r="AB1488" s="77"/>
      <c r="AC1488" s="82" t="s">
        <v>7750</v>
      </c>
      <c r="AD1488" s="77" t="s">
        <v>7790</v>
      </c>
      <c r="AE1488" s="80" t="str">
        <f>HYPERLINK("https://twitter.com/valoraanalitik/status/1683441547797209090")</f>
        <v>https://twitter.com/valoraanalitik/status/1683441547797209090</v>
      </c>
      <c r="AF1488" s="79">
        <v>45131.485138888886</v>
      </c>
      <c r="AG1488" s="85">
        <v>45131</v>
      </c>
      <c r="AH1488" s="82" t="s">
        <v>8955</v>
      </c>
      <c r="AI1488" s="77" t="b">
        <v>0</v>
      </c>
      <c r="AJ1488" s="77"/>
      <c r="AK1488" s="77"/>
      <c r="AL1488" s="77"/>
      <c r="AM1488" s="77"/>
      <c r="AN1488" s="77"/>
      <c r="AO1488" s="77"/>
      <c r="AP1488" s="77"/>
      <c r="AQ1488" s="77"/>
      <c r="AR1488" s="77"/>
      <c r="AS1488" s="77"/>
      <c r="AT1488" s="77"/>
      <c r="AU1488" s="77"/>
      <c r="AV1488" s="80" t="str">
        <f>HYPERLINK("https://pbs.twimg.com/profile_images/1475155236713029641/7Lb8npQr_normal.jpg")</f>
        <v>https://pbs.twimg.com/profile_images/1475155236713029641/7Lb8npQr_normal.jpg</v>
      </c>
      <c r="AW1488" s="82" t="s">
        <v>12984</v>
      </c>
      <c r="AX1488" s="82" t="s">
        <v>12984</v>
      </c>
      <c r="AY1488" s="77"/>
      <c r="AZ1488" s="82" t="s">
        <v>15984</v>
      </c>
      <c r="BA1488" s="82" t="s">
        <v>15984</v>
      </c>
      <c r="BB1488" s="82" t="s">
        <v>15984</v>
      </c>
      <c r="BC1488" s="82" t="s">
        <v>12984</v>
      </c>
      <c r="BD1488" s="77">
        <v>20980846</v>
      </c>
      <c r="BE1488" s="77"/>
      <c r="BF1488" s="77"/>
      <c r="BG1488" s="77"/>
      <c r="BH1488" s="77"/>
      <c r="BI1488" s="77"/>
    </row>
    <row r="1489" spans="1:61" x14ac:dyDescent="0.25">
      <c r="A1489" s="62" t="s">
        <v>614</v>
      </c>
      <c r="B1489" s="62" t="s">
        <v>763</v>
      </c>
      <c r="C1489" s="63"/>
      <c r="D1489" s="64"/>
      <c r="E1489" s="65"/>
      <c r="F1489" s="66"/>
      <c r="G1489" s="63"/>
      <c r="H1489" s="67"/>
      <c r="I1489" s="68"/>
      <c r="J1489" s="68"/>
      <c r="K1489" s="32"/>
      <c r="L1489" s="75">
        <v>1489</v>
      </c>
      <c r="M1489" s="75"/>
      <c r="N1489" s="70"/>
      <c r="O1489" s="77" t="s">
        <v>895</v>
      </c>
      <c r="P1489" s="79">
        <v>45119.507731481484</v>
      </c>
      <c r="Q1489" s="77" t="s">
        <v>2223</v>
      </c>
      <c r="R1489" s="77">
        <v>5</v>
      </c>
      <c r="S1489" s="77">
        <v>7</v>
      </c>
      <c r="T1489" s="77">
        <v>0</v>
      </c>
      <c r="U1489" s="77">
        <v>1</v>
      </c>
      <c r="V1489" s="77">
        <v>4408</v>
      </c>
      <c r="W1489" s="82" t="s">
        <v>4821</v>
      </c>
      <c r="X1489" s="80" t="str">
        <f>HYPERLINK("https://www.valoraanalitik.com/2023/07/12/incremento-precio-gasolina-colombia-el-segundo-mas-grande-de-america-latina/")</f>
        <v>https://www.valoraanalitik.com/2023/07/12/incremento-precio-gasolina-colombia-el-segundo-mas-grande-de-america-latina/</v>
      </c>
      <c r="Y1489" s="77" t="s">
        <v>6471</v>
      </c>
      <c r="Z1489" s="77" t="s">
        <v>6637</v>
      </c>
      <c r="AA1489" s="77"/>
      <c r="AB1489" s="77"/>
      <c r="AC1489" s="82" t="s">
        <v>7750</v>
      </c>
      <c r="AD1489" s="77" t="s">
        <v>7790</v>
      </c>
      <c r="AE1489" s="80" t="str">
        <f>HYPERLINK("https://twitter.com/valoraanalitik/status/1679101081513541633")</f>
        <v>https://twitter.com/valoraanalitik/status/1679101081513541633</v>
      </c>
      <c r="AF1489" s="79">
        <v>45119.507731481484</v>
      </c>
      <c r="AG1489" s="85">
        <v>45119</v>
      </c>
      <c r="AH1489" s="82" t="s">
        <v>9081</v>
      </c>
      <c r="AI1489" s="77" t="b">
        <v>0</v>
      </c>
      <c r="AJ1489" s="77"/>
      <c r="AK1489" s="77"/>
      <c r="AL1489" s="77"/>
      <c r="AM1489" s="77"/>
      <c r="AN1489" s="77"/>
      <c r="AO1489" s="77"/>
      <c r="AP1489" s="77"/>
      <c r="AQ1489" s="77"/>
      <c r="AR1489" s="77"/>
      <c r="AS1489" s="77"/>
      <c r="AT1489" s="77"/>
      <c r="AU1489" s="77"/>
      <c r="AV1489" s="80" t="str">
        <f>HYPERLINK("https://pbs.twimg.com/profile_images/1475155236713029641/7Lb8npQr_normal.jpg")</f>
        <v>https://pbs.twimg.com/profile_images/1475155236713029641/7Lb8npQr_normal.jpg</v>
      </c>
      <c r="AW1489" s="82" t="s">
        <v>13114</v>
      </c>
      <c r="AX1489" s="82" t="s">
        <v>13114</v>
      </c>
      <c r="AY1489" s="77"/>
      <c r="AZ1489" s="82" t="s">
        <v>15984</v>
      </c>
      <c r="BA1489" s="82" t="s">
        <v>15984</v>
      </c>
      <c r="BB1489" s="82" t="s">
        <v>15984</v>
      </c>
      <c r="BC1489" s="82" t="s">
        <v>13114</v>
      </c>
      <c r="BD1489" s="77">
        <v>20980846</v>
      </c>
      <c r="BE1489" s="77"/>
      <c r="BF1489" s="77"/>
      <c r="BG1489" s="77"/>
      <c r="BH1489" s="77"/>
      <c r="BI1489" s="77"/>
    </row>
    <row r="1490" spans="1:61" x14ac:dyDescent="0.25">
      <c r="A1490" s="62" t="s">
        <v>614</v>
      </c>
      <c r="B1490" s="62" t="s">
        <v>763</v>
      </c>
      <c r="C1490" s="63"/>
      <c r="D1490" s="64"/>
      <c r="E1490" s="65"/>
      <c r="F1490" s="66"/>
      <c r="G1490" s="63"/>
      <c r="H1490" s="67"/>
      <c r="I1490" s="68"/>
      <c r="J1490" s="68"/>
      <c r="K1490" s="32"/>
      <c r="L1490" s="75">
        <v>1490</v>
      </c>
      <c r="M1490" s="75"/>
      <c r="N1490" s="70"/>
      <c r="O1490" s="77" t="s">
        <v>895</v>
      </c>
      <c r="P1490" s="79">
        <v>45138.4846875</v>
      </c>
      <c r="Q1490" s="77" t="s">
        <v>2224</v>
      </c>
      <c r="R1490" s="77">
        <v>2</v>
      </c>
      <c r="S1490" s="77">
        <v>4</v>
      </c>
      <c r="T1490" s="77">
        <v>0</v>
      </c>
      <c r="U1490" s="77">
        <v>0</v>
      </c>
      <c r="V1490" s="77">
        <v>1533</v>
      </c>
      <c r="W1490" s="82" t="s">
        <v>4821</v>
      </c>
      <c r="X1490" s="80" t="str">
        <f>HYPERLINK("https://www.valoraanalitik.com/2023/07/31/presupuesto-colombia-2024-estos-son-los-sectores-clave/")</f>
        <v>https://www.valoraanalitik.com/2023/07/31/presupuesto-colombia-2024-estos-son-los-sectores-clave/</v>
      </c>
      <c r="Y1490" s="77" t="s">
        <v>6471</v>
      </c>
      <c r="Z1490" s="77" t="s">
        <v>6637</v>
      </c>
      <c r="AA1490" s="77"/>
      <c r="AB1490" s="77"/>
      <c r="AC1490" s="82" t="s">
        <v>7750</v>
      </c>
      <c r="AD1490" s="77" t="s">
        <v>7790</v>
      </c>
      <c r="AE1490" s="80" t="str">
        <f>HYPERLINK("https://twitter.com/valoraanalitik/status/1685978098095849474")</f>
        <v>https://twitter.com/valoraanalitik/status/1685978098095849474</v>
      </c>
      <c r="AF1490" s="79">
        <v>45138.4846875</v>
      </c>
      <c r="AG1490" s="85">
        <v>45138</v>
      </c>
      <c r="AH1490" s="82" t="s">
        <v>9082</v>
      </c>
      <c r="AI1490" s="77" t="b">
        <v>0</v>
      </c>
      <c r="AJ1490" s="77"/>
      <c r="AK1490" s="77"/>
      <c r="AL1490" s="77"/>
      <c r="AM1490" s="77"/>
      <c r="AN1490" s="77"/>
      <c r="AO1490" s="77"/>
      <c r="AP1490" s="77"/>
      <c r="AQ1490" s="77"/>
      <c r="AR1490" s="77"/>
      <c r="AS1490" s="77"/>
      <c r="AT1490" s="77"/>
      <c r="AU1490" s="77"/>
      <c r="AV1490" s="80" t="str">
        <f>HYPERLINK("https://pbs.twimg.com/profile_images/1475155236713029641/7Lb8npQr_normal.jpg")</f>
        <v>https://pbs.twimg.com/profile_images/1475155236713029641/7Lb8npQr_normal.jpg</v>
      </c>
      <c r="AW1490" s="82" t="s">
        <v>13115</v>
      </c>
      <c r="AX1490" s="82" t="s">
        <v>13115</v>
      </c>
      <c r="AY1490" s="77"/>
      <c r="AZ1490" s="82" t="s">
        <v>15984</v>
      </c>
      <c r="BA1490" s="82" t="s">
        <v>15984</v>
      </c>
      <c r="BB1490" s="82" t="s">
        <v>15984</v>
      </c>
      <c r="BC1490" s="82" t="s">
        <v>13115</v>
      </c>
      <c r="BD1490" s="77">
        <v>20980846</v>
      </c>
      <c r="BE1490" s="77"/>
      <c r="BF1490" s="77"/>
      <c r="BG1490" s="77"/>
      <c r="BH1490" s="77"/>
      <c r="BI1490" s="77"/>
    </row>
    <row r="1491" spans="1:61" x14ac:dyDescent="0.25">
      <c r="A1491" s="62" t="s">
        <v>614</v>
      </c>
      <c r="B1491" s="62" t="s">
        <v>763</v>
      </c>
      <c r="C1491" s="63"/>
      <c r="D1491" s="64"/>
      <c r="E1491" s="65"/>
      <c r="F1491" s="66"/>
      <c r="G1491" s="63"/>
      <c r="H1491" s="67"/>
      <c r="I1491" s="68"/>
      <c r="J1491" s="68"/>
      <c r="K1491" s="32"/>
      <c r="L1491" s="75">
        <v>1491</v>
      </c>
      <c r="M1491" s="75"/>
      <c r="N1491" s="70"/>
      <c r="O1491" s="77" t="s">
        <v>895</v>
      </c>
      <c r="P1491" s="79">
        <v>45144.555555555555</v>
      </c>
      <c r="Q1491" s="77" t="s">
        <v>2149</v>
      </c>
      <c r="R1491" s="77">
        <v>8</v>
      </c>
      <c r="S1491" s="77">
        <v>8</v>
      </c>
      <c r="T1491" s="77">
        <v>0</v>
      </c>
      <c r="U1491" s="77">
        <v>0</v>
      </c>
      <c r="V1491" s="77">
        <v>1574</v>
      </c>
      <c r="W1491" s="82" t="s">
        <v>4821</v>
      </c>
      <c r="X1491" s="80" t="str">
        <f>HYPERLINK("https://www.valoraanalitik.com/2023/08/06/dolar-colombia-en-gobierno-petro-asi-le-ha-ido-en-el-primer-ano")</f>
        <v>https://www.valoraanalitik.com/2023/08/06/dolar-colombia-en-gobierno-petro-asi-le-ha-ido-en-el-primer-ano</v>
      </c>
      <c r="Y1491" s="77" t="s">
        <v>6471</v>
      </c>
      <c r="Z1491" s="77" t="s">
        <v>6623</v>
      </c>
      <c r="AA1491" s="77"/>
      <c r="AB1491" s="77"/>
      <c r="AC1491" s="82" t="s">
        <v>7750</v>
      </c>
      <c r="AD1491" s="77" t="s">
        <v>7790</v>
      </c>
      <c r="AE1491" s="80" t="str">
        <f>HYPERLINK("https://twitter.com/valoraanalitik/status/1688178107046313984")</f>
        <v>https://twitter.com/valoraanalitik/status/1688178107046313984</v>
      </c>
      <c r="AF1491" s="79">
        <v>45144.555555555555</v>
      </c>
      <c r="AG1491" s="85">
        <v>45144</v>
      </c>
      <c r="AH1491" s="82" t="s">
        <v>7864</v>
      </c>
      <c r="AI1491" s="77" t="b">
        <v>0</v>
      </c>
      <c r="AJ1491" s="77"/>
      <c r="AK1491" s="77"/>
      <c r="AL1491" s="77"/>
      <c r="AM1491" s="77"/>
      <c r="AN1491" s="77"/>
      <c r="AO1491" s="77"/>
      <c r="AP1491" s="77"/>
      <c r="AQ1491" s="77"/>
      <c r="AR1491" s="77"/>
      <c r="AS1491" s="77"/>
      <c r="AT1491" s="77"/>
      <c r="AU1491" s="77"/>
      <c r="AV1491" s="80" t="str">
        <f>HYPERLINK("https://pbs.twimg.com/profile_images/1475155236713029641/7Lb8npQr_normal.jpg")</f>
        <v>https://pbs.twimg.com/profile_images/1475155236713029641/7Lb8npQr_normal.jpg</v>
      </c>
      <c r="AW1491" s="82" t="s">
        <v>13036</v>
      </c>
      <c r="AX1491" s="82" t="s">
        <v>13036</v>
      </c>
      <c r="AY1491" s="77"/>
      <c r="AZ1491" s="82" t="s">
        <v>15984</v>
      </c>
      <c r="BA1491" s="82" t="s">
        <v>15984</v>
      </c>
      <c r="BB1491" s="82" t="s">
        <v>15984</v>
      </c>
      <c r="BC1491" s="82" t="s">
        <v>13036</v>
      </c>
      <c r="BD1491" s="77">
        <v>20980846</v>
      </c>
      <c r="BE1491" s="77"/>
      <c r="BF1491" s="77"/>
      <c r="BG1491" s="77"/>
      <c r="BH1491" s="77"/>
      <c r="BI1491" s="77"/>
    </row>
    <row r="1492" spans="1:61" x14ac:dyDescent="0.25">
      <c r="A1492" s="62" t="s">
        <v>614</v>
      </c>
      <c r="B1492" s="62" t="s">
        <v>763</v>
      </c>
      <c r="C1492" s="63"/>
      <c r="D1492" s="64"/>
      <c r="E1492" s="65"/>
      <c r="F1492" s="66"/>
      <c r="G1492" s="63"/>
      <c r="H1492" s="67"/>
      <c r="I1492" s="68"/>
      <c r="J1492" s="68"/>
      <c r="K1492" s="32"/>
      <c r="L1492" s="75">
        <v>1492</v>
      </c>
      <c r="M1492" s="75"/>
      <c r="N1492" s="70"/>
      <c r="O1492" s="77" t="s">
        <v>895</v>
      </c>
      <c r="P1492" s="79">
        <v>45118.488449074073</v>
      </c>
      <c r="Q1492" s="77" t="s">
        <v>2153</v>
      </c>
      <c r="R1492" s="77">
        <v>1</v>
      </c>
      <c r="S1492" s="77">
        <v>6</v>
      </c>
      <c r="T1492" s="77">
        <v>0</v>
      </c>
      <c r="U1492" s="77">
        <v>0</v>
      </c>
      <c r="V1492" s="77">
        <v>2025</v>
      </c>
      <c r="W1492" s="82" t="s">
        <v>4821</v>
      </c>
      <c r="X1492" s="80" t="str">
        <f>HYPERLINK("https://www.valoraanalitik.com/2023/07/11/inflacion-colombia-ya-no-le-pega-mas-fuerte-a-hogares-pobres/")</f>
        <v>https://www.valoraanalitik.com/2023/07/11/inflacion-colombia-ya-no-le-pega-mas-fuerte-a-hogares-pobres/</v>
      </c>
      <c r="Y1492" s="77" t="s">
        <v>6471</v>
      </c>
      <c r="Z1492" s="77" t="s">
        <v>6625</v>
      </c>
      <c r="AA1492" s="77"/>
      <c r="AB1492" s="77"/>
      <c r="AC1492" s="82" t="s">
        <v>7750</v>
      </c>
      <c r="AD1492" s="77" t="s">
        <v>7790</v>
      </c>
      <c r="AE1492" s="80" t="str">
        <f>HYPERLINK("https://twitter.com/valoraanalitik/status/1678731706898042881")</f>
        <v>https://twitter.com/valoraanalitik/status/1678731706898042881</v>
      </c>
      <c r="AF1492" s="79">
        <v>45118.488449074073</v>
      </c>
      <c r="AG1492" s="85">
        <v>45118</v>
      </c>
      <c r="AH1492" s="82" t="s">
        <v>9009</v>
      </c>
      <c r="AI1492" s="77" t="b">
        <v>0</v>
      </c>
      <c r="AJ1492" s="77"/>
      <c r="AK1492" s="77"/>
      <c r="AL1492" s="77"/>
      <c r="AM1492" s="77"/>
      <c r="AN1492" s="77"/>
      <c r="AO1492" s="77"/>
      <c r="AP1492" s="77"/>
      <c r="AQ1492" s="77"/>
      <c r="AR1492" s="77"/>
      <c r="AS1492" s="77"/>
      <c r="AT1492" s="77"/>
      <c r="AU1492" s="77"/>
      <c r="AV1492" s="80" t="str">
        <f>HYPERLINK("https://pbs.twimg.com/profile_images/1475155236713029641/7Lb8npQr_normal.jpg")</f>
        <v>https://pbs.twimg.com/profile_images/1475155236713029641/7Lb8npQr_normal.jpg</v>
      </c>
      <c r="AW1492" s="82" t="s">
        <v>13040</v>
      </c>
      <c r="AX1492" s="82" t="s">
        <v>13040</v>
      </c>
      <c r="AY1492" s="77"/>
      <c r="AZ1492" s="82" t="s">
        <v>15984</v>
      </c>
      <c r="BA1492" s="82" t="s">
        <v>15984</v>
      </c>
      <c r="BB1492" s="82" t="s">
        <v>15984</v>
      </c>
      <c r="BC1492" s="82" t="s">
        <v>13040</v>
      </c>
      <c r="BD1492" s="77">
        <v>20980846</v>
      </c>
      <c r="BE1492" s="77"/>
      <c r="BF1492" s="77"/>
      <c r="BG1492" s="77"/>
      <c r="BH1492" s="77"/>
      <c r="BI1492" s="77"/>
    </row>
    <row r="1493" spans="1:61" x14ac:dyDescent="0.25">
      <c r="A1493" s="62" t="s">
        <v>614</v>
      </c>
      <c r="B1493" s="62" t="s">
        <v>763</v>
      </c>
      <c r="C1493" s="63"/>
      <c r="D1493" s="64"/>
      <c r="E1493" s="65"/>
      <c r="F1493" s="66"/>
      <c r="G1493" s="63"/>
      <c r="H1493" s="67"/>
      <c r="I1493" s="68"/>
      <c r="J1493" s="68"/>
      <c r="K1493" s="32"/>
      <c r="L1493" s="75">
        <v>1493</v>
      </c>
      <c r="M1493" s="75"/>
      <c r="N1493" s="70"/>
      <c r="O1493" s="77" t="s">
        <v>895</v>
      </c>
      <c r="P1493" s="79">
        <v>45176.490254629629</v>
      </c>
      <c r="Q1493" s="77" t="s">
        <v>2154</v>
      </c>
      <c r="R1493" s="77">
        <v>2</v>
      </c>
      <c r="S1493" s="77">
        <v>2</v>
      </c>
      <c r="T1493" s="77">
        <v>0</v>
      </c>
      <c r="U1493" s="77">
        <v>0</v>
      </c>
      <c r="V1493" s="77">
        <v>988</v>
      </c>
      <c r="W1493" s="82" t="s">
        <v>4821</v>
      </c>
      <c r="X1493" s="80" t="str">
        <f>HYPERLINK("https://www.valoraanalitik.com/2023/09/07/inflacion-colombia-se-encamina-a-un-digito/")</f>
        <v>https://www.valoraanalitik.com/2023/09/07/inflacion-colombia-se-encamina-a-un-digito/</v>
      </c>
      <c r="Y1493" s="77" t="s">
        <v>6471</v>
      </c>
      <c r="Z1493" s="77" t="s">
        <v>6626</v>
      </c>
      <c r="AA1493" s="77"/>
      <c r="AB1493" s="77"/>
      <c r="AC1493" s="82" t="s">
        <v>7750</v>
      </c>
      <c r="AD1493" s="77" t="s">
        <v>7790</v>
      </c>
      <c r="AE1493" s="80" t="str">
        <f>HYPERLINK("https://twitter.com/valoraanalitik/status/1699750853773599215")</f>
        <v>https://twitter.com/valoraanalitik/status/1699750853773599215</v>
      </c>
      <c r="AF1493" s="79">
        <v>45176.490254629629</v>
      </c>
      <c r="AG1493" s="85">
        <v>45176</v>
      </c>
      <c r="AH1493" s="82" t="s">
        <v>9010</v>
      </c>
      <c r="AI1493" s="77" t="b">
        <v>0</v>
      </c>
      <c r="AJ1493" s="77"/>
      <c r="AK1493" s="77"/>
      <c r="AL1493" s="77"/>
      <c r="AM1493" s="77"/>
      <c r="AN1493" s="77"/>
      <c r="AO1493" s="77"/>
      <c r="AP1493" s="77"/>
      <c r="AQ1493" s="77"/>
      <c r="AR1493" s="77"/>
      <c r="AS1493" s="77"/>
      <c r="AT1493" s="77"/>
      <c r="AU1493" s="77"/>
      <c r="AV1493" s="80" t="str">
        <f>HYPERLINK("https://pbs.twimg.com/profile_images/1475155236713029641/7Lb8npQr_normal.jpg")</f>
        <v>https://pbs.twimg.com/profile_images/1475155236713029641/7Lb8npQr_normal.jpg</v>
      </c>
      <c r="AW1493" s="82" t="s">
        <v>13041</v>
      </c>
      <c r="AX1493" s="82" t="s">
        <v>13041</v>
      </c>
      <c r="AY1493" s="77"/>
      <c r="AZ1493" s="82" t="s">
        <v>15984</v>
      </c>
      <c r="BA1493" s="82" t="s">
        <v>15984</v>
      </c>
      <c r="BB1493" s="82" t="s">
        <v>15984</v>
      </c>
      <c r="BC1493" s="82" t="s">
        <v>13041</v>
      </c>
      <c r="BD1493" s="77">
        <v>20980846</v>
      </c>
      <c r="BE1493" s="77"/>
      <c r="BF1493" s="77"/>
      <c r="BG1493" s="77"/>
      <c r="BH1493" s="77"/>
      <c r="BI1493" s="77"/>
    </row>
    <row r="1494" spans="1:61" x14ac:dyDescent="0.25">
      <c r="A1494" s="62" t="s">
        <v>614</v>
      </c>
      <c r="B1494" s="62" t="s">
        <v>763</v>
      </c>
      <c r="C1494" s="63"/>
      <c r="D1494" s="64"/>
      <c r="E1494" s="65"/>
      <c r="F1494" s="66"/>
      <c r="G1494" s="63"/>
      <c r="H1494" s="67"/>
      <c r="I1494" s="68"/>
      <c r="J1494" s="68"/>
      <c r="K1494" s="32"/>
      <c r="L1494" s="75">
        <v>1494</v>
      </c>
      <c r="M1494" s="75"/>
      <c r="N1494" s="70"/>
      <c r="O1494" s="77" t="s">
        <v>895</v>
      </c>
      <c r="P1494" s="79">
        <v>45176.586284722223</v>
      </c>
      <c r="Q1494" s="77" t="s">
        <v>2225</v>
      </c>
      <c r="R1494" s="77">
        <v>4</v>
      </c>
      <c r="S1494" s="77">
        <v>6</v>
      </c>
      <c r="T1494" s="77">
        <v>2</v>
      </c>
      <c r="U1494" s="77">
        <v>0</v>
      </c>
      <c r="V1494" s="77">
        <v>2508</v>
      </c>
      <c r="W1494" s="82" t="s">
        <v>4821</v>
      </c>
      <c r="X1494" s="80" t="str">
        <f>HYPERLINK("https://bit.ly/3sQIwx1")</f>
        <v>https://bit.ly/3sQIwx1</v>
      </c>
      <c r="Y1494" s="77" t="s">
        <v>6468</v>
      </c>
      <c r="Z1494" s="77" t="s">
        <v>763</v>
      </c>
      <c r="AA1494" s="77"/>
      <c r="AB1494" s="77"/>
      <c r="AC1494" s="82" t="s">
        <v>7775</v>
      </c>
      <c r="AD1494" s="77" t="s">
        <v>7790</v>
      </c>
      <c r="AE1494" s="80" t="str">
        <f>HYPERLINK("https://twitter.com/valoraanalitik/status/1699785654589370679")</f>
        <v>https://twitter.com/valoraanalitik/status/1699785654589370679</v>
      </c>
      <c r="AF1494" s="79">
        <v>45176.586284722223</v>
      </c>
      <c r="AG1494" s="85">
        <v>45176</v>
      </c>
      <c r="AH1494" s="82" t="s">
        <v>9083</v>
      </c>
      <c r="AI1494" s="77" t="b">
        <v>0</v>
      </c>
      <c r="AJ1494" s="77"/>
      <c r="AK1494" s="77"/>
      <c r="AL1494" s="77"/>
      <c r="AM1494" s="77"/>
      <c r="AN1494" s="77"/>
      <c r="AO1494" s="77"/>
      <c r="AP1494" s="77"/>
      <c r="AQ1494" s="77"/>
      <c r="AR1494" s="77"/>
      <c r="AS1494" s="77"/>
      <c r="AT1494" s="77"/>
      <c r="AU1494" s="77"/>
      <c r="AV1494" s="80" t="str">
        <f>HYPERLINK("https://pbs.twimg.com/profile_images/1475155236713029641/7Lb8npQr_normal.jpg")</f>
        <v>https://pbs.twimg.com/profile_images/1475155236713029641/7Lb8npQr_normal.jpg</v>
      </c>
      <c r="AW1494" s="82" t="s">
        <v>13116</v>
      </c>
      <c r="AX1494" s="82" t="s">
        <v>13116</v>
      </c>
      <c r="AY1494" s="77"/>
      <c r="AZ1494" s="82" t="s">
        <v>15984</v>
      </c>
      <c r="BA1494" s="82" t="s">
        <v>15984</v>
      </c>
      <c r="BB1494" s="82" t="s">
        <v>15984</v>
      </c>
      <c r="BC1494" s="82" t="s">
        <v>13116</v>
      </c>
      <c r="BD1494" s="77">
        <v>20980846</v>
      </c>
      <c r="BE1494" s="77"/>
      <c r="BF1494" s="77"/>
      <c r="BG1494" s="77"/>
      <c r="BH1494" s="77"/>
      <c r="BI1494" s="77"/>
    </row>
    <row r="1495" spans="1:61" x14ac:dyDescent="0.25">
      <c r="A1495" s="62" t="s">
        <v>614</v>
      </c>
      <c r="B1495" s="62" t="s">
        <v>763</v>
      </c>
      <c r="C1495" s="63"/>
      <c r="D1495" s="64"/>
      <c r="E1495" s="65"/>
      <c r="F1495" s="66"/>
      <c r="G1495" s="63"/>
      <c r="H1495" s="67"/>
      <c r="I1495" s="68"/>
      <c r="J1495" s="68"/>
      <c r="K1495" s="32"/>
      <c r="L1495" s="75">
        <v>1495</v>
      </c>
      <c r="M1495" s="75"/>
      <c r="N1495" s="70"/>
      <c r="O1495" s="77" t="s">
        <v>895</v>
      </c>
      <c r="P1495" s="79">
        <v>45174.78465277778</v>
      </c>
      <c r="Q1495" s="77" t="s">
        <v>2226</v>
      </c>
      <c r="R1495" s="77">
        <v>2</v>
      </c>
      <c r="S1495" s="77">
        <v>5</v>
      </c>
      <c r="T1495" s="77">
        <v>2</v>
      </c>
      <c r="U1495" s="77">
        <v>0</v>
      </c>
      <c r="V1495" s="77">
        <v>1502</v>
      </c>
      <c r="W1495" s="82" t="s">
        <v>4821</v>
      </c>
      <c r="X1495" s="80" t="str">
        <f>HYPERLINK("https://www.valoraanalitik.com/2023/09/05/colombia-busca-mover-pago-deuda-10-billones-en-2024/")</f>
        <v>https://www.valoraanalitik.com/2023/09/05/colombia-busca-mover-pago-deuda-10-billones-en-2024/</v>
      </c>
      <c r="Y1495" s="77" t="s">
        <v>6471</v>
      </c>
      <c r="Z1495" s="77" t="s">
        <v>763</v>
      </c>
      <c r="AA1495" s="77"/>
      <c r="AB1495" s="77"/>
      <c r="AC1495" s="82" t="s">
        <v>7750</v>
      </c>
      <c r="AD1495" s="77" t="s">
        <v>7790</v>
      </c>
      <c r="AE1495" s="80" t="str">
        <f>HYPERLINK("https://twitter.com/valoraanalitik/status/1699132764266561871")</f>
        <v>https://twitter.com/valoraanalitik/status/1699132764266561871</v>
      </c>
      <c r="AF1495" s="79">
        <v>45174.78465277778</v>
      </c>
      <c r="AG1495" s="85">
        <v>45174</v>
      </c>
      <c r="AH1495" s="82" t="s">
        <v>9084</v>
      </c>
      <c r="AI1495" s="77" t="b">
        <v>0</v>
      </c>
      <c r="AJ1495" s="77"/>
      <c r="AK1495" s="77"/>
      <c r="AL1495" s="77"/>
      <c r="AM1495" s="77"/>
      <c r="AN1495" s="77"/>
      <c r="AO1495" s="77"/>
      <c r="AP1495" s="77"/>
      <c r="AQ1495" s="77"/>
      <c r="AR1495" s="77"/>
      <c r="AS1495" s="77"/>
      <c r="AT1495" s="77"/>
      <c r="AU1495" s="77"/>
      <c r="AV1495" s="80" t="str">
        <f>HYPERLINK("https://pbs.twimg.com/profile_images/1475155236713029641/7Lb8npQr_normal.jpg")</f>
        <v>https://pbs.twimg.com/profile_images/1475155236713029641/7Lb8npQr_normal.jpg</v>
      </c>
      <c r="AW1495" s="82" t="s">
        <v>13117</v>
      </c>
      <c r="AX1495" s="82" t="s">
        <v>13117</v>
      </c>
      <c r="AY1495" s="77"/>
      <c r="AZ1495" s="82" t="s">
        <v>15984</v>
      </c>
      <c r="BA1495" s="82" t="s">
        <v>15984</v>
      </c>
      <c r="BB1495" s="82" t="s">
        <v>15984</v>
      </c>
      <c r="BC1495" s="82" t="s">
        <v>13117</v>
      </c>
      <c r="BD1495" s="77">
        <v>20980846</v>
      </c>
      <c r="BE1495" s="77"/>
      <c r="BF1495" s="77"/>
      <c r="BG1495" s="77"/>
      <c r="BH1495" s="77"/>
      <c r="BI1495" s="77"/>
    </row>
    <row r="1496" spans="1:61" x14ac:dyDescent="0.25">
      <c r="A1496" s="62" t="s">
        <v>614</v>
      </c>
      <c r="B1496" s="62" t="s">
        <v>763</v>
      </c>
      <c r="C1496" s="63"/>
      <c r="D1496" s="64"/>
      <c r="E1496" s="65"/>
      <c r="F1496" s="66"/>
      <c r="G1496" s="63"/>
      <c r="H1496" s="67"/>
      <c r="I1496" s="68"/>
      <c r="J1496" s="68"/>
      <c r="K1496" s="32"/>
      <c r="L1496" s="75">
        <v>1496</v>
      </c>
      <c r="M1496" s="75"/>
      <c r="N1496" s="70"/>
      <c r="O1496" s="77" t="s">
        <v>895</v>
      </c>
      <c r="P1496" s="79">
        <v>45126.482476851852</v>
      </c>
      <c r="Q1496" s="77" t="s">
        <v>2155</v>
      </c>
      <c r="R1496" s="77">
        <v>1</v>
      </c>
      <c r="S1496" s="77">
        <v>3</v>
      </c>
      <c r="T1496" s="77">
        <v>2</v>
      </c>
      <c r="U1496" s="77">
        <v>0</v>
      </c>
      <c r="V1496" s="77">
        <v>1577</v>
      </c>
      <c r="W1496" s="82" t="s">
        <v>4821</v>
      </c>
      <c r="X1496" s="80" t="str">
        <f>HYPERLINK("https://www.valoraanalitik.com/2023/07/19/petro-hablo-del-comportamiento-del-dolar-en-colombia/")</f>
        <v>https://www.valoraanalitik.com/2023/07/19/petro-hablo-del-comportamiento-del-dolar-en-colombia/</v>
      </c>
      <c r="Y1496" s="77" t="s">
        <v>6471</v>
      </c>
      <c r="Z1496" s="77" t="s">
        <v>6623</v>
      </c>
      <c r="AA1496" s="77"/>
      <c r="AB1496" s="77"/>
      <c r="AC1496" s="82" t="s">
        <v>7750</v>
      </c>
      <c r="AD1496" s="77" t="s">
        <v>7790</v>
      </c>
      <c r="AE1496" s="80" t="str">
        <f>HYPERLINK("https://twitter.com/valoraanalitik/status/1681628641854193664")</f>
        <v>https://twitter.com/valoraanalitik/status/1681628641854193664</v>
      </c>
      <c r="AF1496" s="79">
        <v>45126.482476851852</v>
      </c>
      <c r="AG1496" s="85">
        <v>45126</v>
      </c>
      <c r="AH1496" s="82" t="s">
        <v>9011</v>
      </c>
      <c r="AI1496" s="77" t="b">
        <v>0</v>
      </c>
      <c r="AJ1496" s="77"/>
      <c r="AK1496" s="77"/>
      <c r="AL1496" s="77"/>
      <c r="AM1496" s="77"/>
      <c r="AN1496" s="77"/>
      <c r="AO1496" s="77"/>
      <c r="AP1496" s="77"/>
      <c r="AQ1496" s="77"/>
      <c r="AR1496" s="77"/>
      <c r="AS1496" s="77"/>
      <c r="AT1496" s="77"/>
      <c r="AU1496" s="77"/>
      <c r="AV1496" s="80" t="str">
        <f>HYPERLINK("https://pbs.twimg.com/profile_images/1475155236713029641/7Lb8npQr_normal.jpg")</f>
        <v>https://pbs.twimg.com/profile_images/1475155236713029641/7Lb8npQr_normal.jpg</v>
      </c>
      <c r="AW1496" s="82" t="s">
        <v>13042</v>
      </c>
      <c r="AX1496" s="82" t="s">
        <v>13042</v>
      </c>
      <c r="AY1496" s="77"/>
      <c r="AZ1496" s="82" t="s">
        <v>15984</v>
      </c>
      <c r="BA1496" s="82" t="s">
        <v>15984</v>
      </c>
      <c r="BB1496" s="82" t="s">
        <v>15984</v>
      </c>
      <c r="BC1496" s="82" t="s">
        <v>13042</v>
      </c>
      <c r="BD1496" s="77">
        <v>20980846</v>
      </c>
      <c r="BE1496" s="77"/>
      <c r="BF1496" s="77"/>
      <c r="BG1496" s="77"/>
      <c r="BH1496" s="77"/>
      <c r="BI1496" s="77"/>
    </row>
    <row r="1497" spans="1:61" x14ac:dyDescent="0.25">
      <c r="A1497" s="62" t="s">
        <v>614</v>
      </c>
      <c r="B1497" s="62" t="s">
        <v>763</v>
      </c>
      <c r="C1497" s="63"/>
      <c r="D1497" s="64"/>
      <c r="E1497" s="65"/>
      <c r="F1497" s="66"/>
      <c r="G1497" s="63"/>
      <c r="H1497" s="67"/>
      <c r="I1497" s="68"/>
      <c r="J1497" s="68"/>
      <c r="K1497" s="32"/>
      <c r="L1497" s="75">
        <v>1497</v>
      </c>
      <c r="M1497" s="75"/>
      <c r="N1497" s="70"/>
      <c r="O1497" s="77" t="s">
        <v>895</v>
      </c>
      <c r="P1497" s="79">
        <v>45155.517581018517</v>
      </c>
      <c r="Q1497" s="77" t="s">
        <v>2157</v>
      </c>
      <c r="R1497" s="77">
        <v>2</v>
      </c>
      <c r="S1497" s="77">
        <v>6</v>
      </c>
      <c r="T1497" s="77">
        <v>0</v>
      </c>
      <c r="U1497" s="77">
        <v>1</v>
      </c>
      <c r="V1497" s="77">
        <v>1239</v>
      </c>
      <c r="W1497" s="82" t="s">
        <v>4821</v>
      </c>
      <c r="X1497" s="80" t="str">
        <f>HYPERLINK("https://www.valoraanalitik.com/2023/08/17/renegociacion-tlc-estados-unidos-colombia-alertan-por-efectos/")</f>
        <v>https://www.valoraanalitik.com/2023/08/17/renegociacion-tlc-estados-unidos-colombia-alertan-por-efectos/</v>
      </c>
      <c r="Y1497" s="77" t="s">
        <v>6471</v>
      </c>
      <c r="Z1497" s="77" t="s">
        <v>6623</v>
      </c>
      <c r="AA1497" s="77"/>
      <c r="AB1497" s="77"/>
      <c r="AC1497" s="82" t="s">
        <v>7750</v>
      </c>
      <c r="AD1497" s="77" t="s">
        <v>7790</v>
      </c>
      <c r="AE1497" s="80" t="str">
        <f>HYPERLINK("https://twitter.com/valoraanalitik/status/1692150613000245270")</f>
        <v>https://twitter.com/valoraanalitik/status/1692150613000245270</v>
      </c>
      <c r="AF1497" s="79">
        <v>45155.517581018517</v>
      </c>
      <c r="AG1497" s="85">
        <v>45155</v>
      </c>
      <c r="AH1497" s="82" t="s">
        <v>9013</v>
      </c>
      <c r="AI1497" s="77" t="b">
        <v>0</v>
      </c>
      <c r="AJ1497" s="77"/>
      <c r="AK1497" s="77"/>
      <c r="AL1497" s="77"/>
      <c r="AM1497" s="77"/>
      <c r="AN1497" s="77"/>
      <c r="AO1497" s="77"/>
      <c r="AP1497" s="77"/>
      <c r="AQ1497" s="77"/>
      <c r="AR1497" s="77"/>
      <c r="AS1497" s="77"/>
      <c r="AT1497" s="77"/>
      <c r="AU1497" s="77"/>
      <c r="AV1497" s="80" t="str">
        <f>HYPERLINK("https://pbs.twimg.com/profile_images/1475155236713029641/7Lb8npQr_normal.jpg")</f>
        <v>https://pbs.twimg.com/profile_images/1475155236713029641/7Lb8npQr_normal.jpg</v>
      </c>
      <c r="AW1497" s="82" t="s">
        <v>13044</v>
      </c>
      <c r="AX1497" s="82" t="s">
        <v>13044</v>
      </c>
      <c r="AY1497" s="77"/>
      <c r="AZ1497" s="82" t="s">
        <v>15984</v>
      </c>
      <c r="BA1497" s="82" t="s">
        <v>15984</v>
      </c>
      <c r="BB1497" s="82" t="s">
        <v>15984</v>
      </c>
      <c r="BC1497" s="82" t="s">
        <v>13044</v>
      </c>
      <c r="BD1497" s="77">
        <v>20980846</v>
      </c>
      <c r="BE1497" s="77"/>
      <c r="BF1497" s="77"/>
      <c r="BG1497" s="77"/>
      <c r="BH1497" s="77"/>
      <c r="BI1497" s="77"/>
    </row>
    <row r="1498" spans="1:61" x14ac:dyDescent="0.25">
      <c r="A1498" s="62" t="s">
        <v>614</v>
      </c>
      <c r="B1498" s="62" t="s">
        <v>763</v>
      </c>
      <c r="C1498" s="63"/>
      <c r="D1498" s="64"/>
      <c r="E1498" s="65"/>
      <c r="F1498" s="66"/>
      <c r="G1498" s="63"/>
      <c r="H1498" s="67"/>
      <c r="I1498" s="68"/>
      <c r="J1498" s="68"/>
      <c r="K1498" s="32"/>
      <c r="L1498" s="75">
        <v>1498</v>
      </c>
      <c r="M1498" s="75"/>
      <c r="N1498" s="70"/>
      <c r="O1498" s="77" t="s">
        <v>895</v>
      </c>
      <c r="P1498" s="79">
        <v>45156.510416666664</v>
      </c>
      <c r="Q1498" s="77" t="s">
        <v>2119</v>
      </c>
      <c r="R1498" s="77">
        <v>23</v>
      </c>
      <c r="S1498" s="77">
        <v>31</v>
      </c>
      <c r="T1498" s="77">
        <v>1</v>
      </c>
      <c r="U1498" s="77">
        <v>1</v>
      </c>
      <c r="V1498" s="77">
        <v>3704</v>
      </c>
      <c r="W1498" s="82" t="s">
        <v>4821</v>
      </c>
      <c r="X1498" s="80" t="str">
        <f>HYPERLINK("https://www.valoraanalitik.com/2023/08/18/venta-vivienda-colombia-vuelve-y-se-desploma/")</f>
        <v>https://www.valoraanalitik.com/2023/08/18/venta-vivienda-colombia-vuelve-y-se-desploma/</v>
      </c>
      <c r="Y1498" s="77" t="s">
        <v>6471</v>
      </c>
      <c r="Z1498" s="77" t="s">
        <v>6602</v>
      </c>
      <c r="AA1498" s="77"/>
      <c r="AB1498" s="77"/>
      <c r="AC1498" s="82" t="s">
        <v>7750</v>
      </c>
      <c r="AD1498" s="77" t="s">
        <v>7790</v>
      </c>
      <c r="AE1498" s="80" t="str">
        <f>HYPERLINK("https://twitter.com/valoraanalitik/status/1692510404113519097")</f>
        <v>https://twitter.com/valoraanalitik/status/1692510404113519097</v>
      </c>
      <c r="AF1498" s="79">
        <v>45156.510416666664</v>
      </c>
      <c r="AG1498" s="85">
        <v>45156</v>
      </c>
      <c r="AH1498" s="82" t="s">
        <v>8977</v>
      </c>
      <c r="AI1498" s="77" t="b">
        <v>0</v>
      </c>
      <c r="AJ1498" s="77"/>
      <c r="AK1498" s="77"/>
      <c r="AL1498" s="77"/>
      <c r="AM1498" s="77"/>
      <c r="AN1498" s="77"/>
      <c r="AO1498" s="77"/>
      <c r="AP1498" s="77"/>
      <c r="AQ1498" s="77"/>
      <c r="AR1498" s="77"/>
      <c r="AS1498" s="77"/>
      <c r="AT1498" s="77"/>
      <c r="AU1498" s="77"/>
      <c r="AV1498" s="80" t="str">
        <f>HYPERLINK("https://pbs.twimg.com/profile_images/1475155236713029641/7Lb8npQr_normal.jpg")</f>
        <v>https://pbs.twimg.com/profile_images/1475155236713029641/7Lb8npQr_normal.jpg</v>
      </c>
      <c r="AW1498" s="82" t="s">
        <v>13006</v>
      </c>
      <c r="AX1498" s="82" t="s">
        <v>13006</v>
      </c>
      <c r="AY1498" s="77"/>
      <c r="AZ1498" s="82" t="s">
        <v>15984</v>
      </c>
      <c r="BA1498" s="82" t="s">
        <v>15984</v>
      </c>
      <c r="BB1498" s="82" t="s">
        <v>15984</v>
      </c>
      <c r="BC1498" s="82" t="s">
        <v>13006</v>
      </c>
      <c r="BD1498" s="77">
        <v>20980846</v>
      </c>
      <c r="BE1498" s="77"/>
      <c r="BF1498" s="77"/>
      <c r="BG1498" s="77"/>
      <c r="BH1498" s="77"/>
      <c r="BI1498" s="77"/>
    </row>
    <row r="1499" spans="1:61" x14ac:dyDescent="0.25">
      <c r="A1499" s="62" t="s">
        <v>614</v>
      </c>
      <c r="B1499" s="62" t="s">
        <v>763</v>
      </c>
      <c r="C1499" s="63"/>
      <c r="D1499" s="64"/>
      <c r="E1499" s="65"/>
      <c r="F1499" s="66"/>
      <c r="G1499" s="63"/>
      <c r="H1499" s="67"/>
      <c r="I1499" s="68"/>
      <c r="J1499" s="68"/>
      <c r="K1499" s="32"/>
      <c r="L1499" s="75">
        <v>1499</v>
      </c>
      <c r="M1499" s="75"/>
      <c r="N1499" s="70"/>
      <c r="O1499" s="77" t="s">
        <v>895</v>
      </c>
      <c r="P1499" s="79">
        <v>45183.480208333334</v>
      </c>
      <c r="Q1499" s="77" t="s">
        <v>2121</v>
      </c>
      <c r="R1499" s="77">
        <v>4</v>
      </c>
      <c r="S1499" s="77">
        <v>8</v>
      </c>
      <c r="T1499" s="77">
        <v>1</v>
      </c>
      <c r="U1499" s="77">
        <v>0</v>
      </c>
      <c r="V1499" s="77">
        <v>1765</v>
      </c>
      <c r="W1499" s="82" t="s">
        <v>4821</v>
      </c>
      <c r="X1499" s="80" t="str">
        <f>HYPERLINK("https://www.valoraanalitik.com/2023/09/14/reforma-laboral-colombia-pequenos-empresarios-alertan-por-efectos/")</f>
        <v>https://www.valoraanalitik.com/2023/09/14/reforma-laboral-colombia-pequenos-empresarios-alertan-por-efectos/</v>
      </c>
      <c r="Y1499" s="77" t="s">
        <v>6471</v>
      </c>
      <c r="Z1499" s="77" t="s">
        <v>6603</v>
      </c>
      <c r="AA1499" s="77"/>
      <c r="AB1499" s="77"/>
      <c r="AC1499" s="82" t="s">
        <v>7750</v>
      </c>
      <c r="AD1499" s="77" t="s">
        <v>7790</v>
      </c>
      <c r="AE1499" s="80" t="str">
        <f>HYPERLINK("https://twitter.com/valoraanalitik/status/1702283931003851177")</f>
        <v>https://twitter.com/valoraanalitik/status/1702283931003851177</v>
      </c>
      <c r="AF1499" s="79">
        <v>45183.480208333334</v>
      </c>
      <c r="AG1499" s="85">
        <v>45183</v>
      </c>
      <c r="AH1499" s="82" t="s">
        <v>8979</v>
      </c>
      <c r="AI1499" s="77" t="b">
        <v>0</v>
      </c>
      <c r="AJ1499" s="77"/>
      <c r="AK1499" s="77"/>
      <c r="AL1499" s="77"/>
      <c r="AM1499" s="77"/>
      <c r="AN1499" s="77"/>
      <c r="AO1499" s="77"/>
      <c r="AP1499" s="77"/>
      <c r="AQ1499" s="77"/>
      <c r="AR1499" s="77"/>
      <c r="AS1499" s="77"/>
      <c r="AT1499" s="77"/>
      <c r="AU1499" s="77"/>
      <c r="AV1499" s="80" t="str">
        <f>HYPERLINK("https://pbs.twimg.com/profile_images/1475155236713029641/7Lb8npQr_normal.jpg")</f>
        <v>https://pbs.twimg.com/profile_images/1475155236713029641/7Lb8npQr_normal.jpg</v>
      </c>
      <c r="AW1499" s="82" t="s">
        <v>13008</v>
      </c>
      <c r="AX1499" s="82" t="s">
        <v>13008</v>
      </c>
      <c r="AY1499" s="77"/>
      <c r="AZ1499" s="82" t="s">
        <v>15984</v>
      </c>
      <c r="BA1499" s="82" t="s">
        <v>15984</v>
      </c>
      <c r="BB1499" s="82" t="s">
        <v>15984</v>
      </c>
      <c r="BC1499" s="82" t="s">
        <v>13008</v>
      </c>
      <c r="BD1499" s="77">
        <v>20980846</v>
      </c>
      <c r="BE1499" s="77"/>
      <c r="BF1499" s="77"/>
      <c r="BG1499" s="77"/>
      <c r="BH1499" s="77"/>
      <c r="BI1499" s="77"/>
    </row>
    <row r="1500" spans="1:61" x14ac:dyDescent="0.25">
      <c r="A1500" s="62" t="s">
        <v>614</v>
      </c>
      <c r="B1500" s="62" t="s">
        <v>763</v>
      </c>
      <c r="C1500" s="63"/>
      <c r="D1500" s="64"/>
      <c r="E1500" s="65"/>
      <c r="F1500" s="66"/>
      <c r="G1500" s="63"/>
      <c r="H1500" s="67"/>
      <c r="I1500" s="68"/>
      <c r="J1500" s="68"/>
      <c r="K1500" s="32"/>
      <c r="L1500" s="75">
        <v>1500</v>
      </c>
      <c r="M1500" s="75"/>
      <c r="N1500" s="70"/>
      <c r="O1500" s="77" t="s">
        <v>895</v>
      </c>
      <c r="P1500" s="79">
        <v>45125.517534722225</v>
      </c>
      <c r="Q1500" s="77" t="s">
        <v>2123</v>
      </c>
      <c r="R1500" s="77">
        <v>9</v>
      </c>
      <c r="S1500" s="77">
        <v>20</v>
      </c>
      <c r="T1500" s="77">
        <v>1</v>
      </c>
      <c r="U1500" s="77">
        <v>0</v>
      </c>
      <c r="V1500" s="77">
        <v>2248</v>
      </c>
      <c r="W1500" s="82" t="s">
        <v>4821</v>
      </c>
      <c r="X1500" s="80" t="str">
        <f>HYPERLINK("https://www.valoraanalitik.com/2023/07/18/precio-gasolina-colombia-buscaran-bajarlo-mediante-le/")</f>
        <v>https://www.valoraanalitik.com/2023/07/18/precio-gasolina-colombia-buscaran-bajarlo-mediante-le/</v>
      </c>
      <c r="Y1500" s="77" t="s">
        <v>6471</v>
      </c>
      <c r="Z1500" s="77" t="s">
        <v>6604</v>
      </c>
      <c r="AA1500" s="77"/>
      <c r="AB1500" s="77"/>
      <c r="AC1500" s="82" t="s">
        <v>7750</v>
      </c>
      <c r="AD1500" s="77" t="s">
        <v>7790</v>
      </c>
      <c r="AE1500" s="80" t="str">
        <f>HYPERLINK("https://twitter.com/valoraanalitik/status/1681278958900334592")</f>
        <v>https://twitter.com/valoraanalitik/status/1681278958900334592</v>
      </c>
      <c r="AF1500" s="79">
        <v>45125.517534722225</v>
      </c>
      <c r="AG1500" s="85">
        <v>45125</v>
      </c>
      <c r="AH1500" s="82" t="s">
        <v>8981</v>
      </c>
      <c r="AI1500" s="77" t="b">
        <v>0</v>
      </c>
      <c r="AJ1500" s="77"/>
      <c r="AK1500" s="77"/>
      <c r="AL1500" s="77"/>
      <c r="AM1500" s="77"/>
      <c r="AN1500" s="77"/>
      <c r="AO1500" s="77"/>
      <c r="AP1500" s="77"/>
      <c r="AQ1500" s="77"/>
      <c r="AR1500" s="77"/>
      <c r="AS1500" s="77"/>
      <c r="AT1500" s="77"/>
      <c r="AU1500" s="77"/>
      <c r="AV1500" s="80" t="str">
        <f>HYPERLINK("https://pbs.twimg.com/profile_images/1475155236713029641/7Lb8npQr_normal.jpg")</f>
        <v>https://pbs.twimg.com/profile_images/1475155236713029641/7Lb8npQr_normal.jpg</v>
      </c>
      <c r="AW1500" s="82" t="s">
        <v>13010</v>
      </c>
      <c r="AX1500" s="82" t="s">
        <v>13010</v>
      </c>
      <c r="AY1500" s="77"/>
      <c r="AZ1500" s="82" t="s">
        <v>15984</v>
      </c>
      <c r="BA1500" s="82" t="s">
        <v>15984</v>
      </c>
      <c r="BB1500" s="82" t="s">
        <v>15984</v>
      </c>
      <c r="BC1500" s="82" t="s">
        <v>13010</v>
      </c>
      <c r="BD1500" s="77">
        <v>20980846</v>
      </c>
      <c r="BE1500" s="77"/>
      <c r="BF1500" s="77"/>
      <c r="BG1500" s="77"/>
      <c r="BH1500" s="77"/>
      <c r="BI1500" s="77"/>
    </row>
    <row r="1501" spans="1:61" x14ac:dyDescent="0.25">
      <c r="A1501" s="62" t="s">
        <v>614</v>
      </c>
      <c r="B1501" s="62" t="s">
        <v>763</v>
      </c>
      <c r="C1501" s="63"/>
      <c r="D1501" s="64"/>
      <c r="E1501" s="65"/>
      <c r="F1501" s="66"/>
      <c r="G1501" s="63"/>
      <c r="H1501" s="67"/>
      <c r="I1501" s="68"/>
      <c r="J1501" s="68"/>
      <c r="K1501" s="32"/>
      <c r="L1501" s="75">
        <v>1501</v>
      </c>
      <c r="M1501" s="75"/>
      <c r="N1501" s="70"/>
      <c r="O1501" s="77" t="s">
        <v>895</v>
      </c>
      <c r="P1501" s="79">
        <v>45154.690949074073</v>
      </c>
      <c r="Q1501" s="77" t="s">
        <v>2125</v>
      </c>
      <c r="R1501" s="77">
        <v>0</v>
      </c>
      <c r="S1501" s="77">
        <v>3</v>
      </c>
      <c r="T1501" s="77">
        <v>0</v>
      </c>
      <c r="U1501" s="77">
        <v>0</v>
      </c>
      <c r="V1501" s="77">
        <v>950</v>
      </c>
      <c r="W1501" s="82" t="s">
        <v>4821</v>
      </c>
      <c r="X1501" s="80" t="str">
        <f>HYPERLINK("https://bit.ly/459Jkvu")</f>
        <v>https://bit.ly/459Jkvu</v>
      </c>
      <c r="Y1501" s="77" t="s">
        <v>6468</v>
      </c>
      <c r="Z1501" s="77" t="s">
        <v>6606</v>
      </c>
      <c r="AA1501" s="77"/>
      <c r="AB1501" s="77"/>
      <c r="AC1501" s="82" t="s">
        <v>7775</v>
      </c>
      <c r="AD1501" s="77" t="s">
        <v>7790</v>
      </c>
      <c r="AE1501" s="80" t="str">
        <f>HYPERLINK("https://twitter.com/valoraanalitik/status/1691851051136155831")</f>
        <v>https://twitter.com/valoraanalitik/status/1691851051136155831</v>
      </c>
      <c r="AF1501" s="79">
        <v>45154.690949074073</v>
      </c>
      <c r="AG1501" s="85">
        <v>45154</v>
      </c>
      <c r="AH1501" s="82" t="s">
        <v>8983</v>
      </c>
      <c r="AI1501" s="77" t="b">
        <v>0</v>
      </c>
      <c r="AJ1501" s="77"/>
      <c r="AK1501" s="77"/>
      <c r="AL1501" s="77"/>
      <c r="AM1501" s="77"/>
      <c r="AN1501" s="77"/>
      <c r="AO1501" s="77"/>
      <c r="AP1501" s="77"/>
      <c r="AQ1501" s="77"/>
      <c r="AR1501" s="77"/>
      <c r="AS1501" s="77"/>
      <c r="AT1501" s="77"/>
      <c r="AU1501" s="77"/>
      <c r="AV1501" s="80" t="str">
        <f>HYPERLINK("https://pbs.twimg.com/profile_images/1475155236713029641/7Lb8npQr_normal.jpg")</f>
        <v>https://pbs.twimg.com/profile_images/1475155236713029641/7Lb8npQr_normal.jpg</v>
      </c>
      <c r="AW1501" s="82" t="s">
        <v>13012</v>
      </c>
      <c r="AX1501" s="82" t="s">
        <v>13012</v>
      </c>
      <c r="AY1501" s="77"/>
      <c r="AZ1501" s="82" t="s">
        <v>15984</v>
      </c>
      <c r="BA1501" s="82" t="s">
        <v>15984</v>
      </c>
      <c r="BB1501" s="82" t="s">
        <v>15984</v>
      </c>
      <c r="BC1501" s="82" t="s">
        <v>13012</v>
      </c>
      <c r="BD1501" s="77">
        <v>20980846</v>
      </c>
      <c r="BE1501" s="77"/>
      <c r="BF1501" s="77"/>
      <c r="BG1501" s="77"/>
      <c r="BH1501" s="77"/>
      <c r="BI1501" s="77"/>
    </row>
    <row r="1502" spans="1:61" x14ac:dyDescent="0.25">
      <c r="A1502" s="62" t="s">
        <v>614</v>
      </c>
      <c r="B1502" s="62" t="s">
        <v>763</v>
      </c>
      <c r="C1502" s="63"/>
      <c r="D1502" s="64"/>
      <c r="E1502" s="65"/>
      <c r="F1502" s="66"/>
      <c r="G1502" s="63"/>
      <c r="H1502" s="67"/>
      <c r="I1502" s="68"/>
      <c r="J1502" s="68"/>
      <c r="K1502" s="32"/>
      <c r="L1502" s="75">
        <v>1502</v>
      </c>
      <c r="M1502" s="75"/>
      <c r="N1502" s="70"/>
      <c r="O1502" s="77" t="s">
        <v>895</v>
      </c>
      <c r="P1502" s="79">
        <v>45154.671458333331</v>
      </c>
      <c r="Q1502" s="77" t="s">
        <v>2227</v>
      </c>
      <c r="R1502" s="77">
        <v>1</v>
      </c>
      <c r="S1502" s="77">
        <v>3</v>
      </c>
      <c r="T1502" s="77">
        <v>3</v>
      </c>
      <c r="U1502" s="77">
        <v>0</v>
      </c>
      <c r="V1502" s="77">
        <v>1480</v>
      </c>
      <c r="W1502" s="82" t="s">
        <v>5562</v>
      </c>
      <c r="X1502" s="80" t="str">
        <f>HYPERLINK("https://bit.ly/3s6aEfi")</f>
        <v>https://bit.ly/3s6aEfi</v>
      </c>
      <c r="Y1502" s="77" t="s">
        <v>6468</v>
      </c>
      <c r="Z1502" s="77" t="s">
        <v>6638</v>
      </c>
      <c r="AA1502" s="77"/>
      <c r="AB1502" s="77"/>
      <c r="AC1502" s="82" t="s">
        <v>7775</v>
      </c>
      <c r="AD1502" s="77" t="s">
        <v>7790</v>
      </c>
      <c r="AE1502" s="80" t="str">
        <f>HYPERLINK("https://twitter.com/valoraanalitik/status/1691843987168981267")</f>
        <v>https://twitter.com/valoraanalitik/status/1691843987168981267</v>
      </c>
      <c r="AF1502" s="79">
        <v>45154.671458333331</v>
      </c>
      <c r="AG1502" s="85">
        <v>45154</v>
      </c>
      <c r="AH1502" s="82" t="s">
        <v>9085</v>
      </c>
      <c r="AI1502" s="77" t="b">
        <v>0</v>
      </c>
      <c r="AJ1502" s="77"/>
      <c r="AK1502" s="77"/>
      <c r="AL1502" s="77"/>
      <c r="AM1502" s="77"/>
      <c r="AN1502" s="77"/>
      <c r="AO1502" s="77"/>
      <c r="AP1502" s="77"/>
      <c r="AQ1502" s="77"/>
      <c r="AR1502" s="77"/>
      <c r="AS1502" s="77"/>
      <c r="AT1502" s="77"/>
      <c r="AU1502" s="77"/>
      <c r="AV1502" s="80" t="str">
        <f>HYPERLINK("https://pbs.twimg.com/profile_images/1475155236713029641/7Lb8npQr_normal.jpg")</f>
        <v>https://pbs.twimg.com/profile_images/1475155236713029641/7Lb8npQr_normal.jpg</v>
      </c>
      <c r="AW1502" s="82" t="s">
        <v>13118</v>
      </c>
      <c r="AX1502" s="82" t="s">
        <v>13118</v>
      </c>
      <c r="AY1502" s="77"/>
      <c r="AZ1502" s="82" t="s">
        <v>15984</v>
      </c>
      <c r="BA1502" s="82" t="s">
        <v>15984</v>
      </c>
      <c r="BB1502" s="82" t="s">
        <v>15984</v>
      </c>
      <c r="BC1502" s="82" t="s">
        <v>13118</v>
      </c>
      <c r="BD1502" s="77">
        <v>20980846</v>
      </c>
      <c r="BE1502" s="77"/>
      <c r="BF1502" s="77"/>
      <c r="BG1502" s="77"/>
      <c r="BH1502" s="77"/>
      <c r="BI1502" s="77"/>
    </row>
    <row r="1503" spans="1:61" x14ac:dyDescent="0.25">
      <c r="A1503" s="62" t="s">
        <v>614</v>
      </c>
      <c r="B1503" s="62" t="s">
        <v>763</v>
      </c>
      <c r="C1503" s="63"/>
      <c r="D1503" s="64"/>
      <c r="E1503" s="65"/>
      <c r="F1503" s="66"/>
      <c r="G1503" s="63"/>
      <c r="H1503" s="67"/>
      <c r="I1503" s="68"/>
      <c r="J1503" s="68"/>
      <c r="K1503" s="32"/>
      <c r="L1503" s="75">
        <v>1503</v>
      </c>
      <c r="M1503" s="75"/>
      <c r="N1503" s="70"/>
      <c r="O1503" s="77" t="s">
        <v>895</v>
      </c>
      <c r="P1503" s="79">
        <v>45187.48369212963</v>
      </c>
      <c r="Q1503" s="77" t="s">
        <v>2126</v>
      </c>
      <c r="R1503" s="77">
        <v>18</v>
      </c>
      <c r="S1503" s="77">
        <v>35</v>
      </c>
      <c r="T1503" s="77">
        <v>3</v>
      </c>
      <c r="U1503" s="77">
        <v>1</v>
      </c>
      <c r="V1503" s="77">
        <v>3819</v>
      </c>
      <c r="W1503" s="82" t="s">
        <v>4821</v>
      </c>
      <c r="X1503" s="80" t="str">
        <f>HYPERLINK("https://www.valoraanalitik.com/2023/09/18/regla-fiscal-mauricio-cardenas-dice-que-petro-no-la-cumplira/")</f>
        <v>https://www.valoraanalitik.com/2023/09/18/regla-fiscal-mauricio-cardenas-dice-que-petro-no-la-cumplira/</v>
      </c>
      <c r="Y1503" s="77" t="s">
        <v>6471</v>
      </c>
      <c r="Z1503" s="77" t="s">
        <v>6607</v>
      </c>
      <c r="AA1503" s="77"/>
      <c r="AB1503" s="77"/>
      <c r="AC1503" s="82" t="s">
        <v>7750</v>
      </c>
      <c r="AD1503" s="77" t="s">
        <v>7790</v>
      </c>
      <c r="AE1503" s="80" t="str">
        <f>HYPERLINK("https://twitter.com/valoraanalitik/status/1703734742909157757")</f>
        <v>https://twitter.com/valoraanalitik/status/1703734742909157757</v>
      </c>
      <c r="AF1503" s="79">
        <v>45187.48369212963</v>
      </c>
      <c r="AG1503" s="85">
        <v>45187</v>
      </c>
      <c r="AH1503" s="82" t="s">
        <v>8984</v>
      </c>
      <c r="AI1503" s="77" t="b">
        <v>0</v>
      </c>
      <c r="AJ1503" s="77"/>
      <c r="AK1503" s="77"/>
      <c r="AL1503" s="77"/>
      <c r="AM1503" s="77"/>
      <c r="AN1503" s="77"/>
      <c r="AO1503" s="77"/>
      <c r="AP1503" s="77"/>
      <c r="AQ1503" s="77"/>
      <c r="AR1503" s="77"/>
      <c r="AS1503" s="77"/>
      <c r="AT1503" s="77"/>
      <c r="AU1503" s="77"/>
      <c r="AV1503" s="80" t="str">
        <f>HYPERLINK("https://pbs.twimg.com/profile_images/1475155236713029641/7Lb8npQr_normal.jpg")</f>
        <v>https://pbs.twimg.com/profile_images/1475155236713029641/7Lb8npQr_normal.jpg</v>
      </c>
      <c r="AW1503" s="82" t="s">
        <v>13013</v>
      </c>
      <c r="AX1503" s="82" t="s">
        <v>13013</v>
      </c>
      <c r="AY1503" s="77"/>
      <c r="AZ1503" s="82" t="s">
        <v>15984</v>
      </c>
      <c r="BA1503" s="82" t="s">
        <v>15984</v>
      </c>
      <c r="BB1503" s="82" t="s">
        <v>15984</v>
      </c>
      <c r="BC1503" s="82" t="s">
        <v>13013</v>
      </c>
      <c r="BD1503" s="77">
        <v>20980846</v>
      </c>
      <c r="BE1503" s="77"/>
      <c r="BF1503" s="77"/>
      <c r="BG1503" s="77"/>
      <c r="BH1503" s="77"/>
      <c r="BI1503" s="77"/>
    </row>
    <row r="1504" spans="1:61" x14ac:dyDescent="0.25">
      <c r="A1504" s="62" t="s">
        <v>614</v>
      </c>
      <c r="B1504" s="62" t="s">
        <v>763</v>
      </c>
      <c r="C1504" s="63"/>
      <c r="D1504" s="64"/>
      <c r="E1504" s="65"/>
      <c r="F1504" s="66"/>
      <c r="G1504" s="63"/>
      <c r="H1504" s="67"/>
      <c r="I1504" s="68"/>
      <c r="J1504" s="68"/>
      <c r="K1504" s="32"/>
      <c r="L1504" s="75">
        <v>1504</v>
      </c>
      <c r="M1504" s="75"/>
      <c r="N1504" s="70"/>
      <c r="O1504" s="77" t="s">
        <v>895</v>
      </c>
      <c r="P1504" s="79">
        <v>45157.66746527778</v>
      </c>
      <c r="Q1504" s="77" t="s">
        <v>2127</v>
      </c>
      <c r="R1504" s="77">
        <v>4</v>
      </c>
      <c r="S1504" s="77">
        <v>6</v>
      </c>
      <c r="T1504" s="77">
        <v>0</v>
      </c>
      <c r="U1504" s="77">
        <v>0</v>
      </c>
      <c r="V1504" s="77">
        <v>1344</v>
      </c>
      <c r="W1504" s="82" t="s">
        <v>4821</v>
      </c>
      <c r="X1504" s="80" t="str">
        <f>HYPERLINK("https://bit.ly/45dAWuF")</f>
        <v>https://bit.ly/45dAWuF</v>
      </c>
      <c r="Y1504" s="77" t="s">
        <v>6468</v>
      </c>
      <c r="Z1504" s="77" t="s">
        <v>6608</v>
      </c>
      <c r="AA1504" s="77" t="s">
        <v>7343</v>
      </c>
      <c r="AB1504" s="77" t="s">
        <v>7742</v>
      </c>
      <c r="AC1504" s="82" t="s">
        <v>7775</v>
      </c>
      <c r="AD1504" s="77" t="s">
        <v>7790</v>
      </c>
      <c r="AE1504" s="80" t="str">
        <f>HYPERLINK("https://twitter.com/valoraanalitik/status/1692929703483527673")</f>
        <v>https://twitter.com/valoraanalitik/status/1692929703483527673</v>
      </c>
      <c r="AF1504" s="79">
        <v>45157.66746527778</v>
      </c>
      <c r="AG1504" s="85">
        <v>45157</v>
      </c>
      <c r="AH1504" s="82" t="s">
        <v>8985</v>
      </c>
      <c r="AI1504" s="77" t="b">
        <v>0</v>
      </c>
      <c r="AJ1504" s="77"/>
      <c r="AK1504" s="77"/>
      <c r="AL1504" s="77"/>
      <c r="AM1504" s="77"/>
      <c r="AN1504" s="77"/>
      <c r="AO1504" s="77"/>
      <c r="AP1504" s="77"/>
      <c r="AQ1504" s="77" t="s">
        <v>11315</v>
      </c>
      <c r="AR1504" s="77"/>
      <c r="AS1504" s="77"/>
      <c r="AT1504" s="77"/>
      <c r="AU1504" s="77"/>
      <c r="AV1504" s="80" t="str">
        <f>HYPERLINK("https://pbs.twimg.com/media/F35-mAfXEAAS3sS.jpg")</f>
        <v>https://pbs.twimg.com/media/F35-mAfXEAAS3sS.jpg</v>
      </c>
      <c r="AW1504" s="82" t="s">
        <v>13014</v>
      </c>
      <c r="AX1504" s="82" t="s">
        <v>13014</v>
      </c>
      <c r="AY1504" s="77"/>
      <c r="AZ1504" s="82" t="s">
        <v>15984</v>
      </c>
      <c r="BA1504" s="82" t="s">
        <v>15984</v>
      </c>
      <c r="BB1504" s="82" t="s">
        <v>15984</v>
      </c>
      <c r="BC1504" s="82" t="s">
        <v>13014</v>
      </c>
      <c r="BD1504" s="77">
        <v>20980846</v>
      </c>
      <c r="BE1504" s="77"/>
      <c r="BF1504" s="77"/>
      <c r="BG1504" s="77"/>
      <c r="BH1504" s="77"/>
      <c r="BI1504" s="77"/>
    </row>
    <row r="1505" spans="1:61" x14ac:dyDescent="0.25">
      <c r="A1505" s="62" t="s">
        <v>614</v>
      </c>
      <c r="B1505" s="62" t="s">
        <v>763</v>
      </c>
      <c r="C1505" s="63"/>
      <c r="D1505" s="64"/>
      <c r="E1505" s="65"/>
      <c r="F1505" s="66"/>
      <c r="G1505" s="63"/>
      <c r="H1505" s="67"/>
      <c r="I1505" s="68"/>
      <c r="J1505" s="68"/>
      <c r="K1505" s="32"/>
      <c r="L1505" s="75">
        <v>1505</v>
      </c>
      <c r="M1505" s="75"/>
      <c r="N1505" s="70"/>
      <c r="O1505" s="77" t="s">
        <v>895</v>
      </c>
      <c r="P1505" s="79">
        <v>45139.485590277778</v>
      </c>
      <c r="Q1505" s="77" t="s">
        <v>2160</v>
      </c>
      <c r="R1505" s="77">
        <v>4</v>
      </c>
      <c r="S1505" s="77">
        <v>7</v>
      </c>
      <c r="T1505" s="77">
        <v>1</v>
      </c>
      <c r="U1505" s="77">
        <v>0</v>
      </c>
      <c r="V1505" s="77">
        <v>1794</v>
      </c>
      <c r="W1505" s="82" t="s">
        <v>4821</v>
      </c>
      <c r="X1505" s="80" t="str">
        <f>HYPERLINK("https://www.valoraanalitik.com/2023/08/01/dolar-colombia-podria-impulsar-la-baja-de-precios/")</f>
        <v>https://www.valoraanalitik.com/2023/08/01/dolar-colombia-podria-impulsar-la-baja-de-precios/</v>
      </c>
      <c r="Y1505" s="77" t="s">
        <v>6471</v>
      </c>
      <c r="Z1505" s="77" t="s">
        <v>6629</v>
      </c>
      <c r="AA1505" s="77"/>
      <c r="AB1505" s="77"/>
      <c r="AC1505" s="82" t="s">
        <v>7750</v>
      </c>
      <c r="AD1505" s="77" t="s">
        <v>7790</v>
      </c>
      <c r="AE1505" s="80" t="str">
        <f>HYPERLINK("https://twitter.com/valoraanalitik/status/1686340813322674176")</f>
        <v>https://twitter.com/valoraanalitik/status/1686340813322674176</v>
      </c>
      <c r="AF1505" s="79">
        <v>45139.485590277778</v>
      </c>
      <c r="AG1505" s="85">
        <v>45139</v>
      </c>
      <c r="AH1505" s="82" t="s">
        <v>9016</v>
      </c>
      <c r="AI1505" s="77" t="b">
        <v>0</v>
      </c>
      <c r="AJ1505" s="77"/>
      <c r="AK1505" s="77"/>
      <c r="AL1505" s="77"/>
      <c r="AM1505" s="77"/>
      <c r="AN1505" s="77"/>
      <c r="AO1505" s="77"/>
      <c r="AP1505" s="77"/>
      <c r="AQ1505" s="77"/>
      <c r="AR1505" s="77"/>
      <c r="AS1505" s="77"/>
      <c r="AT1505" s="77"/>
      <c r="AU1505" s="77"/>
      <c r="AV1505" s="80" t="str">
        <f>HYPERLINK("https://pbs.twimg.com/profile_images/1475155236713029641/7Lb8npQr_normal.jpg")</f>
        <v>https://pbs.twimg.com/profile_images/1475155236713029641/7Lb8npQr_normal.jpg</v>
      </c>
      <c r="AW1505" s="82" t="s">
        <v>13047</v>
      </c>
      <c r="AX1505" s="82" t="s">
        <v>13047</v>
      </c>
      <c r="AY1505" s="77"/>
      <c r="AZ1505" s="82" t="s">
        <v>15984</v>
      </c>
      <c r="BA1505" s="82" t="s">
        <v>15984</v>
      </c>
      <c r="BB1505" s="82" t="s">
        <v>15984</v>
      </c>
      <c r="BC1505" s="82" t="s">
        <v>13047</v>
      </c>
      <c r="BD1505" s="77">
        <v>20980846</v>
      </c>
      <c r="BE1505" s="77"/>
      <c r="BF1505" s="77"/>
      <c r="BG1505" s="77"/>
      <c r="BH1505" s="77"/>
      <c r="BI1505" s="77"/>
    </row>
    <row r="1506" spans="1:61" x14ac:dyDescent="0.25">
      <c r="A1506" s="62" t="s">
        <v>614</v>
      </c>
      <c r="B1506" s="62" t="s">
        <v>763</v>
      </c>
      <c r="C1506" s="63"/>
      <c r="D1506" s="64"/>
      <c r="E1506" s="65"/>
      <c r="F1506" s="66"/>
      <c r="G1506" s="63"/>
      <c r="H1506" s="67"/>
      <c r="I1506" s="68"/>
      <c r="J1506" s="68"/>
      <c r="K1506" s="32"/>
      <c r="L1506" s="75">
        <v>1506</v>
      </c>
      <c r="M1506" s="75"/>
      <c r="N1506" s="70"/>
      <c r="O1506" s="77" t="s">
        <v>895</v>
      </c>
      <c r="P1506" s="79">
        <v>45193.722222222219</v>
      </c>
      <c r="Q1506" s="77" t="s">
        <v>2202</v>
      </c>
      <c r="R1506" s="77">
        <v>4</v>
      </c>
      <c r="S1506" s="77">
        <v>10</v>
      </c>
      <c r="T1506" s="77">
        <v>1</v>
      </c>
      <c r="U1506" s="77">
        <v>0</v>
      </c>
      <c r="V1506" s="77">
        <v>2004</v>
      </c>
      <c r="W1506" s="82" t="s">
        <v>4821</v>
      </c>
      <c r="X1506" s="80" t="str">
        <f>HYPERLINK("https://www.valoraanalitik.com/2023/09/24/pib-colombia-lo-que-deberia-pasar-para-crecer-al-2-por-ciento-en-2023/")</f>
        <v>https://www.valoraanalitik.com/2023/09/24/pib-colombia-lo-que-deberia-pasar-para-crecer-al-2-por-ciento-en-2023/</v>
      </c>
      <c r="Y1506" s="77" t="s">
        <v>6471</v>
      </c>
      <c r="Z1506" s="77" t="s">
        <v>6636</v>
      </c>
      <c r="AA1506" s="77"/>
      <c r="AB1506" s="77"/>
      <c r="AC1506" s="82" t="s">
        <v>7750</v>
      </c>
      <c r="AD1506" s="77" t="s">
        <v>7790</v>
      </c>
      <c r="AE1506" s="80" t="str">
        <f>HYPERLINK("https://twitter.com/valoraanalitik/status/1705995510400835890")</f>
        <v>https://twitter.com/valoraanalitik/status/1705995510400835890</v>
      </c>
      <c r="AF1506" s="79">
        <v>45193.722222222219</v>
      </c>
      <c r="AG1506" s="85">
        <v>45193</v>
      </c>
      <c r="AH1506" s="82" t="s">
        <v>7845</v>
      </c>
      <c r="AI1506" s="77" t="b">
        <v>0</v>
      </c>
      <c r="AJ1506" s="77"/>
      <c r="AK1506" s="77"/>
      <c r="AL1506" s="77"/>
      <c r="AM1506" s="77"/>
      <c r="AN1506" s="77"/>
      <c r="AO1506" s="77"/>
      <c r="AP1506" s="77"/>
      <c r="AQ1506" s="77"/>
      <c r="AR1506" s="77"/>
      <c r="AS1506" s="77"/>
      <c r="AT1506" s="77"/>
      <c r="AU1506" s="77"/>
      <c r="AV1506" s="80" t="str">
        <f>HYPERLINK("https://pbs.twimg.com/profile_images/1475155236713029641/7Lb8npQr_normal.jpg")</f>
        <v>https://pbs.twimg.com/profile_images/1475155236713029641/7Lb8npQr_normal.jpg</v>
      </c>
      <c r="AW1506" s="82" t="s">
        <v>13091</v>
      </c>
      <c r="AX1506" s="82" t="s">
        <v>13091</v>
      </c>
      <c r="AY1506" s="77"/>
      <c r="AZ1506" s="82" t="s">
        <v>15984</v>
      </c>
      <c r="BA1506" s="82" t="s">
        <v>15984</v>
      </c>
      <c r="BB1506" s="82" t="s">
        <v>15984</v>
      </c>
      <c r="BC1506" s="82" t="s">
        <v>13091</v>
      </c>
      <c r="BD1506" s="77">
        <v>20980846</v>
      </c>
      <c r="BE1506" s="77"/>
      <c r="BF1506" s="77"/>
      <c r="BG1506" s="77"/>
      <c r="BH1506" s="77"/>
      <c r="BI1506" s="77"/>
    </row>
    <row r="1507" spans="1:61" x14ac:dyDescent="0.25">
      <c r="A1507" s="62" t="s">
        <v>614</v>
      </c>
      <c r="B1507" s="62" t="s">
        <v>763</v>
      </c>
      <c r="C1507" s="63"/>
      <c r="D1507" s="64"/>
      <c r="E1507" s="65"/>
      <c r="F1507" s="66"/>
      <c r="G1507" s="63"/>
      <c r="H1507" s="67"/>
      <c r="I1507" s="68"/>
      <c r="J1507" s="68"/>
      <c r="K1507" s="32"/>
      <c r="L1507" s="75">
        <v>1507</v>
      </c>
      <c r="M1507" s="75"/>
      <c r="N1507" s="70"/>
      <c r="O1507" s="77" t="s">
        <v>895</v>
      </c>
      <c r="P1507" s="79">
        <v>45121.484039351853</v>
      </c>
      <c r="Q1507" s="77" t="s">
        <v>2130</v>
      </c>
      <c r="R1507" s="77">
        <v>1</v>
      </c>
      <c r="S1507" s="77">
        <v>15</v>
      </c>
      <c r="T1507" s="77">
        <v>1</v>
      </c>
      <c r="U1507" s="77">
        <v>1</v>
      </c>
      <c r="V1507" s="77">
        <v>2663</v>
      </c>
      <c r="W1507" s="82" t="s">
        <v>4821</v>
      </c>
      <c r="X1507" s="80" t="str">
        <f>HYPERLINK("https://www.valoraanalitik.com/2023/07/14/camioneros-en-contra-del-ministro-bonilla-por-alza-en-el-diesel/")</f>
        <v>https://www.valoraanalitik.com/2023/07/14/camioneros-en-contra-del-ministro-bonilla-por-alza-en-el-diesel/</v>
      </c>
      <c r="Y1507" s="77" t="s">
        <v>6471</v>
      </c>
      <c r="Z1507" s="77" t="s">
        <v>6610</v>
      </c>
      <c r="AA1507" s="77"/>
      <c r="AB1507" s="77"/>
      <c r="AC1507" s="82" t="s">
        <v>7750</v>
      </c>
      <c r="AD1507" s="77" t="s">
        <v>7790</v>
      </c>
      <c r="AE1507" s="80" t="str">
        <f>HYPERLINK("https://twitter.com/valoraanalitik/status/1679817270065876993")</f>
        <v>https://twitter.com/valoraanalitik/status/1679817270065876993</v>
      </c>
      <c r="AF1507" s="79">
        <v>45121.484039351853</v>
      </c>
      <c r="AG1507" s="85">
        <v>45121</v>
      </c>
      <c r="AH1507" s="82" t="s">
        <v>8987</v>
      </c>
      <c r="AI1507" s="77" t="b">
        <v>0</v>
      </c>
      <c r="AJ1507" s="77"/>
      <c r="AK1507" s="77"/>
      <c r="AL1507" s="77"/>
      <c r="AM1507" s="77"/>
      <c r="AN1507" s="77"/>
      <c r="AO1507" s="77"/>
      <c r="AP1507" s="77"/>
      <c r="AQ1507" s="77"/>
      <c r="AR1507" s="77"/>
      <c r="AS1507" s="77"/>
      <c r="AT1507" s="77"/>
      <c r="AU1507" s="77"/>
      <c r="AV1507" s="80" t="str">
        <f>HYPERLINK("https://pbs.twimg.com/profile_images/1475155236713029641/7Lb8npQr_normal.jpg")</f>
        <v>https://pbs.twimg.com/profile_images/1475155236713029641/7Lb8npQr_normal.jpg</v>
      </c>
      <c r="AW1507" s="82" t="s">
        <v>13017</v>
      </c>
      <c r="AX1507" s="82" t="s">
        <v>13017</v>
      </c>
      <c r="AY1507" s="77"/>
      <c r="AZ1507" s="82" t="s">
        <v>15984</v>
      </c>
      <c r="BA1507" s="82" t="s">
        <v>15984</v>
      </c>
      <c r="BB1507" s="82" t="s">
        <v>15984</v>
      </c>
      <c r="BC1507" s="82" t="s">
        <v>13017</v>
      </c>
      <c r="BD1507" s="77">
        <v>20980846</v>
      </c>
      <c r="BE1507" s="77"/>
      <c r="BF1507" s="77"/>
      <c r="BG1507" s="77"/>
      <c r="BH1507" s="77"/>
      <c r="BI1507" s="77"/>
    </row>
    <row r="1508" spans="1:61" x14ac:dyDescent="0.25">
      <c r="A1508" s="62" t="s">
        <v>614</v>
      </c>
      <c r="B1508" s="62" t="s">
        <v>763</v>
      </c>
      <c r="C1508" s="63"/>
      <c r="D1508" s="64"/>
      <c r="E1508" s="65"/>
      <c r="F1508" s="66"/>
      <c r="G1508" s="63"/>
      <c r="H1508" s="67"/>
      <c r="I1508" s="68"/>
      <c r="J1508" s="68"/>
      <c r="K1508" s="32"/>
      <c r="L1508" s="75">
        <v>1508</v>
      </c>
      <c r="M1508" s="75"/>
      <c r="N1508" s="70"/>
      <c r="O1508" s="77" t="s">
        <v>895</v>
      </c>
      <c r="P1508" s="79">
        <v>45192.763032407405</v>
      </c>
      <c r="Q1508" s="77" t="s">
        <v>2132</v>
      </c>
      <c r="R1508" s="77">
        <v>3</v>
      </c>
      <c r="S1508" s="77">
        <v>7</v>
      </c>
      <c r="T1508" s="77">
        <v>0</v>
      </c>
      <c r="U1508" s="77">
        <v>0</v>
      </c>
      <c r="V1508" s="77">
        <v>979</v>
      </c>
      <c r="W1508" s="82" t="s">
        <v>4821</v>
      </c>
      <c r="X1508" s="80" t="str">
        <f>HYPERLINK("https://www.valoraanalitik.com/2023/09/23/cuando-se-considera-que-una-persona-es-pobre-en-colombia/")</f>
        <v>https://www.valoraanalitik.com/2023/09/23/cuando-se-considera-que-una-persona-es-pobre-en-colombia/</v>
      </c>
      <c r="Y1508" s="77" t="s">
        <v>6471</v>
      </c>
      <c r="Z1508" s="77" t="s">
        <v>6612</v>
      </c>
      <c r="AA1508" s="77"/>
      <c r="AB1508" s="77"/>
      <c r="AC1508" s="82" t="s">
        <v>7750</v>
      </c>
      <c r="AD1508" s="77" t="s">
        <v>7790</v>
      </c>
      <c r="AE1508" s="80" t="str">
        <f>HYPERLINK("https://twitter.com/valoraanalitik/status/1705647912670146946")</f>
        <v>https://twitter.com/valoraanalitik/status/1705647912670146946</v>
      </c>
      <c r="AF1508" s="79">
        <v>45192.763032407405</v>
      </c>
      <c r="AG1508" s="85">
        <v>45192</v>
      </c>
      <c r="AH1508" s="82" t="s">
        <v>8989</v>
      </c>
      <c r="AI1508" s="77" t="b">
        <v>0</v>
      </c>
      <c r="AJ1508" s="77"/>
      <c r="AK1508" s="77"/>
      <c r="AL1508" s="77"/>
      <c r="AM1508" s="77"/>
      <c r="AN1508" s="77"/>
      <c r="AO1508" s="77"/>
      <c r="AP1508" s="77"/>
      <c r="AQ1508" s="77"/>
      <c r="AR1508" s="77"/>
      <c r="AS1508" s="77"/>
      <c r="AT1508" s="77"/>
      <c r="AU1508" s="77"/>
      <c r="AV1508" s="80" t="str">
        <f>HYPERLINK("https://pbs.twimg.com/profile_images/1475155236713029641/7Lb8npQr_normal.jpg")</f>
        <v>https://pbs.twimg.com/profile_images/1475155236713029641/7Lb8npQr_normal.jpg</v>
      </c>
      <c r="AW1508" s="82" t="s">
        <v>13019</v>
      </c>
      <c r="AX1508" s="82" t="s">
        <v>13019</v>
      </c>
      <c r="AY1508" s="77"/>
      <c r="AZ1508" s="82" t="s">
        <v>15984</v>
      </c>
      <c r="BA1508" s="82" t="s">
        <v>15984</v>
      </c>
      <c r="BB1508" s="82" t="s">
        <v>15984</v>
      </c>
      <c r="BC1508" s="82" t="s">
        <v>13019</v>
      </c>
      <c r="BD1508" s="77">
        <v>20980846</v>
      </c>
      <c r="BE1508" s="77"/>
      <c r="BF1508" s="77"/>
      <c r="BG1508" s="77"/>
      <c r="BH1508" s="77"/>
      <c r="BI1508" s="77"/>
    </row>
    <row r="1509" spans="1:61" x14ac:dyDescent="0.25">
      <c r="A1509" s="62" t="s">
        <v>614</v>
      </c>
      <c r="B1509" s="62" t="s">
        <v>763</v>
      </c>
      <c r="C1509" s="63"/>
      <c r="D1509" s="64"/>
      <c r="E1509" s="65"/>
      <c r="F1509" s="66"/>
      <c r="G1509" s="63"/>
      <c r="H1509" s="67"/>
      <c r="I1509" s="68"/>
      <c r="J1509" s="68"/>
      <c r="K1509" s="32"/>
      <c r="L1509" s="75">
        <v>1509</v>
      </c>
      <c r="M1509" s="75"/>
      <c r="N1509" s="70"/>
      <c r="O1509" s="77" t="s">
        <v>895</v>
      </c>
      <c r="P1509" s="79">
        <v>45173.813576388886</v>
      </c>
      <c r="Q1509" s="77" t="s">
        <v>2228</v>
      </c>
      <c r="R1509" s="77">
        <v>0</v>
      </c>
      <c r="S1509" s="77">
        <v>5</v>
      </c>
      <c r="T1509" s="77">
        <v>0</v>
      </c>
      <c r="U1509" s="77">
        <v>1</v>
      </c>
      <c r="V1509" s="77">
        <v>2039</v>
      </c>
      <c r="W1509" s="82" t="s">
        <v>4821</v>
      </c>
      <c r="X1509" s="80" t="str">
        <f>HYPERLINK("https://www.valoraanalitik.com/2023/09/04/gobierno-petro-busca-presidente-para-grupo-bicentenario-tendra-mas-entidades-a-cargo/")</f>
        <v>https://www.valoraanalitik.com/2023/09/04/gobierno-petro-busca-presidente-para-grupo-bicentenario-tendra-mas-entidades-a-cargo/</v>
      </c>
      <c r="Y1509" s="77" t="s">
        <v>6471</v>
      </c>
      <c r="Z1509" s="77" t="s">
        <v>6637</v>
      </c>
      <c r="AA1509" s="77"/>
      <c r="AB1509" s="77"/>
      <c r="AC1509" s="82" t="s">
        <v>7750</v>
      </c>
      <c r="AD1509" s="77" t="s">
        <v>7790</v>
      </c>
      <c r="AE1509" s="80" t="str">
        <f>HYPERLINK("https://twitter.com/valoraanalitik/status/1698780858939748750")</f>
        <v>https://twitter.com/valoraanalitik/status/1698780858939748750</v>
      </c>
      <c r="AF1509" s="79">
        <v>45173.813576388886</v>
      </c>
      <c r="AG1509" s="85">
        <v>45173</v>
      </c>
      <c r="AH1509" s="82" t="s">
        <v>9086</v>
      </c>
      <c r="AI1509" s="77" t="b">
        <v>0</v>
      </c>
      <c r="AJ1509" s="77"/>
      <c r="AK1509" s="77"/>
      <c r="AL1509" s="77"/>
      <c r="AM1509" s="77"/>
      <c r="AN1509" s="77"/>
      <c r="AO1509" s="77"/>
      <c r="AP1509" s="77"/>
      <c r="AQ1509" s="77"/>
      <c r="AR1509" s="77"/>
      <c r="AS1509" s="77"/>
      <c r="AT1509" s="77"/>
      <c r="AU1509" s="77"/>
      <c r="AV1509" s="80" t="str">
        <f>HYPERLINK("https://pbs.twimg.com/profile_images/1475155236713029641/7Lb8npQr_normal.jpg")</f>
        <v>https://pbs.twimg.com/profile_images/1475155236713029641/7Lb8npQr_normal.jpg</v>
      </c>
      <c r="AW1509" s="82" t="s">
        <v>13119</v>
      </c>
      <c r="AX1509" s="82" t="s">
        <v>13119</v>
      </c>
      <c r="AY1509" s="77"/>
      <c r="AZ1509" s="82" t="s">
        <v>15984</v>
      </c>
      <c r="BA1509" s="82" t="s">
        <v>15984</v>
      </c>
      <c r="BB1509" s="82" t="s">
        <v>15984</v>
      </c>
      <c r="BC1509" s="82" t="s">
        <v>13119</v>
      </c>
      <c r="BD1509" s="77">
        <v>20980846</v>
      </c>
      <c r="BE1509" s="77"/>
      <c r="BF1509" s="77"/>
      <c r="BG1509" s="77"/>
      <c r="BH1509" s="77"/>
      <c r="BI1509" s="77"/>
    </row>
    <row r="1510" spans="1:61" x14ac:dyDescent="0.25">
      <c r="A1510" s="62" t="s">
        <v>639</v>
      </c>
      <c r="B1510" s="62" t="s">
        <v>763</v>
      </c>
      <c r="C1510" s="63"/>
      <c r="D1510" s="64"/>
      <c r="E1510" s="65"/>
      <c r="F1510" s="66"/>
      <c r="G1510" s="63"/>
      <c r="H1510" s="67"/>
      <c r="I1510" s="68"/>
      <c r="J1510" s="68"/>
      <c r="K1510" s="32"/>
      <c r="L1510" s="75">
        <v>1510</v>
      </c>
      <c r="M1510" s="75"/>
      <c r="N1510" s="70"/>
      <c r="O1510" s="77" t="s">
        <v>899</v>
      </c>
      <c r="P1510" s="79">
        <v>45188.066064814811</v>
      </c>
      <c r="Q1510" s="77" t="s">
        <v>2229</v>
      </c>
      <c r="R1510" s="77">
        <v>18</v>
      </c>
      <c r="S1510" s="77">
        <v>0</v>
      </c>
      <c r="T1510" s="77">
        <v>0</v>
      </c>
      <c r="U1510" s="77">
        <v>0</v>
      </c>
      <c r="V1510" s="77"/>
      <c r="W1510" s="82" t="s">
        <v>4821</v>
      </c>
      <c r="X1510" s="77"/>
      <c r="Y1510" s="77"/>
      <c r="Z1510" s="77" t="s">
        <v>6639</v>
      </c>
      <c r="AA1510" s="77"/>
      <c r="AB1510" s="77"/>
      <c r="AC1510" s="82" t="s">
        <v>7752</v>
      </c>
      <c r="AD1510" s="77" t="s">
        <v>7790</v>
      </c>
      <c r="AE1510" s="80" t="str">
        <f>HYPERLINK("https://twitter.com/pepamango/status/1703945790119403772")</f>
        <v>https://twitter.com/pepamango/status/1703945790119403772</v>
      </c>
      <c r="AF1510" s="79">
        <v>45188.066064814811</v>
      </c>
      <c r="AG1510" s="85">
        <v>45188</v>
      </c>
      <c r="AH1510" s="82" t="s">
        <v>9087</v>
      </c>
      <c r="AI1510" s="77" t="b">
        <v>0</v>
      </c>
      <c r="AJ1510" s="77"/>
      <c r="AK1510" s="77"/>
      <c r="AL1510" s="77"/>
      <c r="AM1510" s="77"/>
      <c r="AN1510" s="77"/>
      <c r="AO1510" s="77"/>
      <c r="AP1510" s="77"/>
      <c r="AQ1510" s="77"/>
      <c r="AR1510" s="77"/>
      <c r="AS1510" s="77"/>
      <c r="AT1510" s="77"/>
      <c r="AU1510" s="77"/>
      <c r="AV1510" s="80" t="str">
        <f>HYPERLINK("https://pbs.twimg.com/profile_images/1010247294791421956/_V6iMIgC_normal.jpg")</f>
        <v>https://pbs.twimg.com/profile_images/1010247294791421956/_V6iMIgC_normal.jpg</v>
      </c>
      <c r="AW1510" s="82" t="s">
        <v>13120</v>
      </c>
      <c r="AX1510" s="82" t="s">
        <v>13120</v>
      </c>
      <c r="AY1510" s="77"/>
      <c r="AZ1510" s="82" t="s">
        <v>15984</v>
      </c>
      <c r="BA1510" s="82" t="s">
        <v>15984</v>
      </c>
      <c r="BB1510" s="82" t="s">
        <v>13013</v>
      </c>
      <c r="BC1510" s="82" t="s">
        <v>13013</v>
      </c>
      <c r="BD1510" s="82" t="s">
        <v>16338</v>
      </c>
      <c r="BE1510" s="77"/>
      <c r="BF1510" s="77"/>
      <c r="BG1510" s="77"/>
      <c r="BH1510" s="77"/>
      <c r="BI1510" s="77"/>
    </row>
    <row r="1511" spans="1:61" x14ac:dyDescent="0.25">
      <c r="A1511" s="62" t="s">
        <v>614</v>
      </c>
      <c r="B1511" s="62" t="s">
        <v>883</v>
      </c>
      <c r="C1511" s="63"/>
      <c r="D1511" s="64"/>
      <c r="E1511" s="65"/>
      <c r="F1511" s="66"/>
      <c r="G1511" s="63"/>
      <c r="H1511" s="67"/>
      <c r="I1511" s="68"/>
      <c r="J1511" s="68"/>
      <c r="K1511" s="32"/>
      <c r="L1511" s="75">
        <v>1511</v>
      </c>
      <c r="M1511" s="75"/>
      <c r="N1511" s="70"/>
      <c r="O1511" s="77" t="s">
        <v>895</v>
      </c>
      <c r="P1511" s="79">
        <v>45187.48369212963</v>
      </c>
      <c r="Q1511" s="77" t="s">
        <v>2126</v>
      </c>
      <c r="R1511" s="77">
        <v>18</v>
      </c>
      <c r="S1511" s="77">
        <v>35</v>
      </c>
      <c r="T1511" s="77">
        <v>3</v>
      </c>
      <c r="U1511" s="77">
        <v>1</v>
      </c>
      <c r="V1511" s="77">
        <v>3819</v>
      </c>
      <c r="W1511" s="82" t="s">
        <v>4821</v>
      </c>
      <c r="X1511" s="80" t="str">
        <f>HYPERLINK("https://www.valoraanalitik.com/2023/09/18/regla-fiscal-mauricio-cardenas-dice-que-petro-no-la-cumplira/")</f>
        <v>https://www.valoraanalitik.com/2023/09/18/regla-fiscal-mauricio-cardenas-dice-que-petro-no-la-cumplira/</v>
      </c>
      <c r="Y1511" s="77" t="s">
        <v>6471</v>
      </c>
      <c r="Z1511" s="77" t="s">
        <v>6607</v>
      </c>
      <c r="AA1511" s="77"/>
      <c r="AB1511" s="77"/>
      <c r="AC1511" s="82" t="s">
        <v>7750</v>
      </c>
      <c r="AD1511" s="77" t="s">
        <v>7790</v>
      </c>
      <c r="AE1511" s="80" t="str">
        <f>HYPERLINK("https://twitter.com/valoraanalitik/status/1703734742909157757")</f>
        <v>https://twitter.com/valoraanalitik/status/1703734742909157757</v>
      </c>
      <c r="AF1511" s="79">
        <v>45187.48369212963</v>
      </c>
      <c r="AG1511" s="85">
        <v>45187</v>
      </c>
      <c r="AH1511" s="82" t="s">
        <v>8984</v>
      </c>
      <c r="AI1511" s="77" t="b">
        <v>0</v>
      </c>
      <c r="AJ1511" s="77"/>
      <c r="AK1511" s="77"/>
      <c r="AL1511" s="77"/>
      <c r="AM1511" s="77"/>
      <c r="AN1511" s="77"/>
      <c r="AO1511" s="77"/>
      <c r="AP1511" s="77"/>
      <c r="AQ1511" s="77"/>
      <c r="AR1511" s="77"/>
      <c r="AS1511" s="77"/>
      <c r="AT1511" s="77"/>
      <c r="AU1511" s="77"/>
      <c r="AV1511" s="80" t="str">
        <f>HYPERLINK("https://pbs.twimg.com/profile_images/1475155236713029641/7Lb8npQr_normal.jpg")</f>
        <v>https://pbs.twimg.com/profile_images/1475155236713029641/7Lb8npQr_normal.jpg</v>
      </c>
      <c r="AW1511" s="82" t="s">
        <v>13013</v>
      </c>
      <c r="AX1511" s="82" t="s">
        <v>13013</v>
      </c>
      <c r="AY1511" s="77"/>
      <c r="AZ1511" s="82" t="s">
        <v>15984</v>
      </c>
      <c r="BA1511" s="82" t="s">
        <v>15984</v>
      </c>
      <c r="BB1511" s="82" t="s">
        <v>15984</v>
      </c>
      <c r="BC1511" s="82" t="s">
        <v>13013</v>
      </c>
      <c r="BD1511" s="77">
        <v>20980846</v>
      </c>
      <c r="BE1511" s="77"/>
      <c r="BF1511" s="77"/>
      <c r="BG1511" s="77"/>
      <c r="BH1511" s="77"/>
      <c r="BI1511" s="77"/>
    </row>
    <row r="1512" spans="1:61" x14ac:dyDescent="0.25">
      <c r="A1512" s="62" t="s">
        <v>639</v>
      </c>
      <c r="B1512" s="62" t="s">
        <v>883</v>
      </c>
      <c r="C1512" s="63"/>
      <c r="D1512" s="64"/>
      <c r="E1512" s="65"/>
      <c r="F1512" s="66"/>
      <c r="G1512" s="63"/>
      <c r="H1512" s="67"/>
      <c r="I1512" s="68"/>
      <c r="J1512" s="68"/>
      <c r="K1512" s="32"/>
      <c r="L1512" s="75">
        <v>1512</v>
      </c>
      <c r="M1512" s="75"/>
      <c r="N1512" s="70"/>
      <c r="O1512" s="77" t="s">
        <v>899</v>
      </c>
      <c r="P1512" s="79">
        <v>45188.066064814811</v>
      </c>
      <c r="Q1512" s="77" t="s">
        <v>2229</v>
      </c>
      <c r="R1512" s="77">
        <v>18</v>
      </c>
      <c r="S1512" s="77">
        <v>0</v>
      </c>
      <c r="T1512" s="77">
        <v>0</v>
      </c>
      <c r="U1512" s="77">
        <v>0</v>
      </c>
      <c r="V1512" s="77"/>
      <c r="W1512" s="82" t="s">
        <v>4821</v>
      </c>
      <c r="X1512" s="77"/>
      <c r="Y1512" s="77"/>
      <c r="Z1512" s="77" t="s">
        <v>6639</v>
      </c>
      <c r="AA1512" s="77"/>
      <c r="AB1512" s="77"/>
      <c r="AC1512" s="82" t="s">
        <v>7752</v>
      </c>
      <c r="AD1512" s="77" t="s">
        <v>7790</v>
      </c>
      <c r="AE1512" s="80" t="str">
        <f>HYPERLINK("https://twitter.com/pepamango/status/1703945790119403772")</f>
        <v>https://twitter.com/pepamango/status/1703945790119403772</v>
      </c>
      <c r="AF1512" s="79">
        <v>45188.066064814811</v>
      </c>
      <c r="AG1512" s="85">
        <v>45188</v>
      </c>
      <c r="AH1512" s="82" t="s">
        <v>9087</v>
      </c>
      <c r="AI1512" s="77" t="b">
        <v>0</v>
      </c>
      <c r="AJ1512" s="77"/>
      <c r="AK1512" s="77"/>
      <c r="AL1512" s="77"/>
      <c r="AM1512" s="77"/>
      <c r="AN1512" s="77"/>
      <c r="AO1512" s="77"/>
      <c r="AP1512" s="77"/>
      <c r="AQ1512" s="77"/>
      <c r="AR1512" s="77"/>
      <c r="AS1512" s="77"/>
      <c r="AT1512" s="77"/>
      <c r="AU1512" s="77"/>
      <c r="AV1512" s="80" t="str">
        <f>HYPERLINK("https://pbs.twimg.com/profile_images/1010247294791421956/_V6iMIgC_normal.jpg")</f>
        <v>https://pbs.twimg.com/profile_images/1010247294791421956/_V6iMIgC_normal.jpg</v>
      </c>
      <c r="AW1512" s="82" t="s">
        <v>13120</v>
      </c>
      <c r="AX1512" s="82" t="s">
        <v>13120</v>
      </c>
      <c r="AY1512" s="77"/>
      <c r="AZ1512" s="82" t="s">
        <v>15984</v>
      </c>
      <c r="BA1512" s="82" t="s">
        <v>15984</v>
      </c>
      <c r="BB1512" s="82" t="s">
        <v>13013</v>
      </c>
      <c r="BC1512" s="82" t="s">
        <v>13013</v>
      </c>
      <c r="BD1512" s="82" t="s">
        <v>16338</v>
      </c>
      <c r="BE1512" s="77"/>
      <c r="BF1512" s="77"/>
      <c r="BG1512" s="77"/>
      <c r="BH1512" s="77"/>
      <c r="BI1512" s="77"/>
    </row>
    <row r="1513" spans="1:61" x14ac:dyDescent="0.25">
      <c r="A1513" s="62" t="s">
        <v>639</v>
      </c>
      <c r="B1513" s="62" t="s">
        <v>614</v>
      </c>
      <c r="C1513" s="63"/>
      <c r="D1513" s="64"/>
      <c r="E1513" s="65"/>
      <c r="F1513" s="66"/>
      <c r="G1513" s="63"/>
      <c r="H1513" s="67"/>
      <c r="I1513" s="68"/>
      <c r="J1513" s="68"/>
      <c r="K1513" s="32"/>
      <c r="L1513" s="75">
        <v>1513</v>
      </c>
      <c r="M1513" s="75"/>
      <c r="N1513" s="70"/>
      <c r="O1513" s="77" t="s">
        <v>897</v>
      </c>
      <c r="P1513" s="79">
        <v>45188.066064814811</v>
      </c>
      <c r="Q1513" s="77" t="s">
        <v>2229</v>
      </c>
      <c r="R1513" s="77">
        <v>18</v>
      </c>
      <c r="S1513" s="77">
        <v>0</v>
      </c>
      <c r="T1513" s="77">
        <v>0</v>
      </c>
      <c r="U1513" s="77">
        <v>0</v>
      </c>
      <c r="V1513" s="77"/>
      <c r="W1513" s="82" t="s">
        <v>4821</v>
      </c>
      <c r="X1513" s="77"/>
      <c r="Y1513" s="77"/>
      <c r="Z1513" s="77" t="s">
        <v>6639</v>
      </c>
      <c r="AA1513" s="77"/>
      <c r="AB1513" s="77"/>
      <c r="AC1513" s="82" t="s">
        <v>7752</v>
      </c>
      <c r="AD1513" s="77" t="s">
        <v>7790</v>
      </c>
      <c r="AE1513" s="80" t="str">
        <f>HYPERLINK("https://twitter.com/pepamango/status/1703945790119403772")</f>
        <v>https://twitter.com/pepamango/status/1703945790119403772</v>
      </c>
      <c r="AF1513" s="79">
        <v>45188.066064814811</v>
      </c>
      <c r="AG1513" s="85">
        <v>45188</v>
      </c>
      <c r="AH1513" s="82" t="s">
        <v>9087</v>
      </c>
      <c r="AI1513" s="77" t="b">
        <v>0</v>
      </c>
      <c r="AJ1513" s="77"/>
      <c r="AK1513" s="77"/>
      <c r="AL1513" s="77"/>
      <c r="AM1513" s="77"/>
      <c r="AN1513" s="77"/>
      <c r="AO1513" s="77"/>
      <c r="AP1513" s="77"/>
      <c r="AQ1513" s="77"/>
      <c r="AR1513" s="77"/>
      <c r="AS1513" s="77"/>
      <c r="AT1513" s="77"/>
      <c r="AU1513" s="77"/>
      <c r="AV1513" s="80" t="str">
        <f>HYPERLINK("https://pbs.twimg.com/profile_images/1010247294791421956/_V6iMIgC_normal.jpg")</f>
        <v>https://pbs.twimg.com/profile_images/1010247294791421956/_V6iMIgC_normal.jpg</v>
      </c>
      <c r="AW1513" s="82" t="s">
        <v>13120</v>
      </c>
      <c r="AX1513" s="82" t="s">
        <v>13120</v>
      </c>
      <c r="AY1513" s="77"/>
      <c r="AZ1513" s="82" t="s">
        <v>15984</v>
      </c>
      <c r="BA1513" s="82" t="s">
        <v>15984</v>
      </c>
      <c r="BB1513" s="82" t="s">
        <v>13013</v>
      </c>
      <c r="BC1513" s="82" t="s">
        <v>13013</v>
      </c>
      <c r="BD1513" s="82" t="s">
        <v>16338</v>
      </c>
      <c r="BE1513" s="77"/>
      <c r="BF1513" s="77"/>
      <c r="BG1513" s="77"/>
      <c r="BH1513" s="77"/>
      <c r="BI1513" s="77"/>
    </row>
    <row r="1514" spans="1:61" x14ac:dyDescent="0.25">
      <c r="A1514" s="62" t="s">
        <v>640</v>
      </c>
      <c r="B1514" s="62" t="s">
        <v>640</v>
      </c>
      <c r="C1514" s="63"/>
      <c r="D1514" s="64"/>
      <c r="E1514" s="65"/>
      <c r="F1514" s="66"/>
      <c r="G1514" s="63"/>
      <c r="H1514" s="67"/>
      <c r="I1514" s="68"/>
      <c r="J1514" s="68"/>
      <c r="K1514" s="32"/>
      <c r="L1514" s="75">
        <v>1514</v>
      </c>
      <c r="M1514" s="75"/>
      <c r="N1514" s="70"/>
      <c r="O1514" s="77" t="s">
        <v>179</v>
      </c>
      <c r="P1514" s="79">
        <v>45192.347615740742</v>
      </c>
      <c r="Q1514" s="77" t="s">
        <v>1014</v>
      </c>
      <c r="R1514" s="77">
        <v>0</v>
      </c>
      <c r="S1514" s="77">
        <v>0</v>
      </c>
      <c r="T1514" s="77">
        <v>0</v>
      </c>
      <c r="U1514" s="77">
        <v>0</v>
      </c>
      <c r="V1514" s="77">
        <v>15</v>
      </c>
      <c r="W1514" s="82" t="s">
        <v>4849</v>
      </c>
      <c r="X1514" s="77"/>
      <c r="Y1514" s="77"/>
      <c r="Z1514" s="77"/>
      <c r="AA1514" s="77"/>
      <c r="AB1514" s="77"/>
      <c r="AC1514" s="82" t="s">
        <v>7750</v>
      </c>
      <c r="AD1514" s="77" t="s">
        <v>7789</v>
      </c>
      <c r="AE1514" s="80" t="str">
        <f>HYPERLINK("https://twitter.com/stmindfulness/status/1705497372111917471")</f>
        <v>https://twitter.com/stmindfulness/status/1705497372111917471</v>
      </c>
      <c r="AF1514" s="79">
        <v>45192.347615740742</v>
      </c>
      <c r="AG1514" s="85">
        <v>45192</v>
      </c>
      <c r="AH1514" s="82" t="s">
        <v>9088</v>
      </c>
      <c r="AI1514" s="77"/>
      <c r="AJ1514" s="77"/>
      <c r="AK1514" s="77"/>
      <c r="AL1514" s="77"/>
      <c r="AM1514" s="77"/>
      <c r="AN1514" s="77"/>
      <c r="AO1514" s="77"/>
      <c r="AP1514" s="77"/>
      <c r="AQ1514" s="77"/>
      <c r="AR1514" s="77"/>
      <c r="AS1514" s="77"/>
      <c r="AT1514" s="77"/>
      <c r="AU1514" s="77"/>
      <c r="AV1514" s="80" t="str">
        <f>HYPERLINK("https://pbs.twimg.com/profile_images/1699367803873050624/DPSDLSKs_normal.jpg")</f>
        <v>https://pbs.twimg.com/profile_images/1699367803873050624/DPSDLSKs_normal.jpg</v>
      </c>
      <c r="AW1514" s="82" t="s">
        <v>13121</v>
      </c>
      <c r="AX1514" s="82" t="s">
        <v>13121</v>
      </c>
      <c r="AY1514" s="77"/>
      <c r="AZ1514" s="82" t="s">
        <v>15984</v>
      </c>
      <c r="BA1514" s="82" t="s">
        <v>15984</v>
      </c>
      <c r="BB1514" s="82" t="s">
        <v>15984</v>
      </c>
      <c r="BC1514" s="82" t="s">
        <v>13121</v>
      </c>
      <c r="BD1514" s="82" t="s">
        <v>16339</v>
      </c>
      <c r="BE1514" s="77"/>
      <c r="BF1514" s="77"/>
      <c r="BG1514" s="77"/>
      <c r="BH1514" s="77"/>
      <c r="BI1514" s="77"/>
    </row>
    <row r="1515" spans="1:61" x14ac:dyDescent="0.25">
      <c r="A1515" s="62" t="s">
        <v>641</v>
      </c>
      <c r="B1515" s="62" t="s">
        <v>641</v>
      </c>
      <c r="C1515" s="63"/>
      <c r="D1515" s="64"/>
      <c r="E1515" s="65"/>
      <c r="F1515" s="66"/>
      <c r="G1515" s="63"/>
      <c r="H1515" s="67"/>
      <c r="I1515" s="68"/>
      <c r="J1515" s="68"/>
      <c r="K1515" s="32"/>
      <c r="L1515" s="75">
        <v>1515</v>
      </c>
      <c r="M1515" s="75"/>
      <c r="N1515" s="70"/>
      <c r="O1515" s="77" t="s">
        <v>179</v>
      </c>
      <c r="P1515" s="79">
        <v>45130.548611111109</v>
      </c>
      <c r="Q1515" s="77" t="s">
        <v>2230</v>
      </c>
      <c r="R1515" s="77">
        <v>0</v>
      </c>
      <c r="S1515" s="77">
        <v>0</v>
      </c>
      <c r="T1515" s="77">
        <v>0</v>
      </c>
      <c r="U1515" s="77">
        <v>0</v>
      </c>
      <c r="V1515" s="77">
        <v>9</v>
      </c>
      <c r="W1515" s="82" t="s">
        <v>4833</v>
      </c>
      <c r="X1515" s="80" t="str">
        <f>HYPERLINK("https://bit.ly/43GZ3jU")</f>
        <v>https://bit.ly/43GZ3jU</v>
      </c>
      <c r="Y1515" s="77" t="s">
        <v>6468</v>
      </c>
      <c r="Z1515" s="77"/>
      <c r="AA1515" s="77" t="s">
        <v>7360</v>
      </c>
      <c r="AB1515" s="77" t="s">
        <v>7742</v>
      </c>
      <c r="AC1515" s="82" t="s">
        <v>7779</v>
      </c>
      <c r="AD1515" s="77" t="s">
        <v>7788</v>
      </c>
      <c r="AE1515" s="80" t="str">
        <f>HYPERLINK("https://twitter.com/investidoreso/status/1683102159867371522")</f>
        <v>https://twitter.com/investidoreso/status/1683102159867371522</v>
      </c>
      <c r="AF1515" s="79">
        <v>45130.548611111109</v>
      </c>
      <c r="AG1515" s="85">
        <v>45130</v>
      </c>
      <c r="AH1515" s="82" t="s">
        <v>9089</v>
      </c>
      <c r="AI1515" s="77" t="b">
        <v>0</v>
      </c>
      <c r="AJ1515" s="77"/>
      <c r="AK1515" s="77"/>
      <c r="AL1515" s="77"/>
      <c r="AM1515" s="77"/>
      <c r="AN1515" s="77"/>
      <c r="AO1515" s="77"/>
      <c r="AP1515" s="77"/>
      <c r="AQ1515" s="77" t="s">
        <v>11332</v>
      </c>
      <c r="AR1515" s="77"/>
      <c r="AS1515" s="77"/>
      <c r="AT1515" s="77"/>
      <c r="AU1515" s="77"/>
      <c r="AV1515" s="80" t="str">
        <f>HYPERLINK("https://pbs.twimg.com/media/F1uGw5vWcAA_Ins.jpg")</f>
        <v>https://pbs.twimg.com/media/F1uGw5vWcAA_Ins.jpg</v>
      </c>
      <c r="AW1515" s="82" t="s">
        <v>13122</v>
      </c>
      <c r="AX1515" s="82" t="s">
        <v>13122</v>
      </c>
      <c r="AY1515" s="77"/>
      <c r="AZ1515" s="82" t="s">
        <v>15984</v>
      </c>
      <c r="BA1515" s="82" t="s">
        <v>15984</v>
      </c>
      <c r="BB1515" s="82" t="s">
        <v>15984</v>
      </c>
      <c r="BC1515" s="82" t="s">
        <v>13122</v>
      </c>
      <c r="BD1515" s="82" t="s">
        <v>16340</v>
      </c>
      <c r="BE1515" s="77"/>
      <c r="BF1515" s="77"/>
      <c r="BG1515" s="77"/>
      <c r="BH1515" s="77"/>
      <c r="BI1515" s="77"/>
    </row>
    <row r="1516" spans="1:61" x14ac:dyDescent="0.25">
      <c r="A1516" s="62" t="s">
        <v>641</v>
      </c>
      <c r="B1516" s="62" t="s">
        <v>641</v>
      </c>
      <c r="C1516" s="63"/>
      <c r="D1516" s="64"/>
      <c r="E1516" s="65"/>
      <c r="F1516" s="66"/>
      <c r="G1516" s="63"/>
      <c r="H1516" s="67"/>
      <c r="I1516" s="68"/>
      <c r="J1516" s="68"/>
      <c r="K1516" s="32"/>
      <c r="L1516" s="75">
        <v>1516</v>
      </c>
      <c r="M1516" s="75"/>
      <c r="N1516" s="70"/>
      <c r="O1516" s="77" t="s">
        <v>179</v>
      </c>
      <c r="P1516" s="79">
        <v>45130.474305555559</v>
      </c>
      <c r="Q1516" s="77" t="s">
        <v>2231</v>
      </c>
      <c r="R1516" s="77">
        <v>0</v>
      </c>
      <c r="S1516" s="77">
        <v>0</v>
      </c>
      <c r="T1516" s="77">
        <v>0</v>
      </c>
      <c r="U1516" s="77">
        <v>0</v>
      </c>
      <c r="V1516" s="77">
        <v>14</v>
      </c>
      <c r="W1516" s="82" t="s">
        <v>5563</v>
      </c>
      <c r="X1516" s="80" t="str">
        <f>HYPERLINK("https://bit.ly/3Y0Uf7Z")</f>
        <v>https://bit.ly/3Y0Uf7Z</v>
      </c>
      <c r="Y1516" s="77" t="s">
        <v>6468</v>
      </c>
      <c r="Z1516" s="77"/>
      <c r="AA1516" s="77" t="s">
        <v>7361</v>
      </c>
      <c r="AB1516" s="77" t="s">
        <v>7742</v>
      </c>
      <c r="AC1516" s="82" t="s">
        <v>7779</v>
      </c>
      <c r="AD1516" s="77" t="s">
        <v>7791</v>
      </c>
      <c r="AE1516" s="80" t="str">
        <f>HYPERLINK("https://twitter.com/investidoreso/status/1683075232439959552")</f>
        <v>https://twitter.com/investidoreso/status/1683075232439959552</v>
      </c>
      <c r="AF1516" s="79">
        <v>45130.474305555559</v>
      </c>
      <c r="AG1516" s="85">
        <v>45130</v>
      </c>
      <c r="AH1516" s="82" t="s">
        <v>9090</v>
      </c>
      <c r="AI1516" s="77" t="b">
        <v>0</v>
      </c>
      <c r="AJ1516" s="77"/>
      <c r="AK1516" s="77"/>
      <c r="AL1516" s="77"/>
      <c r="AM1516" s="77"/>
      <c r="AN1516" s="77"/>
      <c r="AO1516" s="77"/>
      <c r="AP1516" s="77"/>
      <c r="AQ1516" s="77" t="s">
        <v>11333</v>
      </c>
      <c r="AR1516" s="77"/>
      <c r="AS1516" s="77"/>
      <c r="AT1516" s="77"/>
      <c r="AU1516" s="77"/>
      <c r="AV1516" s="80" t="str">
        <f>HYPERLINK("https://pbs.twimg.com/media/F1tuRhLX0AAFz2O.jpg")</f>
        <v>https://pbs.twimg.com/media/F1tuRhLX0AAFz2O.jpg</v>
      </c>
      <c r="AW1516" s="82" t="s">
        <v>13123</v>
      </c>
      <c r="AX1516" s="82" t="s">
        <v>13123</v>
      </c>
      <c r="AY1516" s="77"/>
      <c r="AZ1516" s="82" t="s">
        <v>15984</v>
      </c>
      <c r="BA1516" s="82" t="s">
        <v>15984</v>
      </c>
      <c r="BB1516" s="82" t="s">
        <v>15984</v>
      </c>
      <c r="BC1516" s="82" t="s">
        <v>13123</v>
      </c>
      <c r="BD1516" s="82" t="s">
        <v>16340</v>
      </c>
      <c r="BE1516" s="77"/>
      <c r="BF1516" s="77"/>
      <c r="BG1516" s="77"/>
      <c r="BH1516" s="77"/>
      <c r="BI1516" s="77"/>
    </row>
    <row r="1517" spans="1:61" x14ac:dyDescent="0.25">
      <c r="A1517" s="62" t="s">
        <v>641</v>
      </c>
      <c r="B1517" s="62" t="s">
        <v>641</v>
      </c>
      <c r="C1517" s="63"/>
      <c r="D1517" s="64"/>
      <c r="E1517" s="65"/>
      <c r="F1517" s="66"/>
      <c r="G1517" s="63"/>
      <c r="H1517" s="67"/>
      <c r="I1517" s="68"/>
      <c r="J1517" s="68"/>
      <c r="K1517" s="32"/>
      <c r="L1517" s="75">
        <v>1517</v>
      </c>
      <c r="M1517" s="75"/>
      <c r="N1517" s="70"/>
      <c r="O1517" s="77" t="s">
        <v>179</v>
      </c>
      <c r="P1517" s="79">
        <v>45134.545578703706</v>
      </c>
      <c r="Q1517" s="77" t="s">
        <v>2232</v>
      </c>
      <c r="R1517" s="77">
        <v>0</v>
      </c>
      <c r="S1517" s="77">
        <v>0</v>
      </c>
      <c r="T1517" s="77">
        <v>0</v>
      </c>
      <c r="U1517" s="77">
        <v>0</v>
      </c>
      <c r="V1517" s="77">
        <v>19</v>
      </c>
      <c r="W1517" s="82" t="s">
        <v>5564</v>
      </c>
      <c r="X1517" s="77"/>
      <c r="Y1517" s="77"/>
      <c r="Z1517" s="77"/>
      <c r="AA1517" s="77" t="s">
        <v>7362</v>
      </c>
      <c r="AB1517" s="77" t="s">
        <v>7742</v>
      </c>
      <c r="AC1517" s="82" t="s">
        <v>7779</v>
      </c>
      <c r="AD1517" s="77" t="s">
        <v>7788</v>
      </c>
      <c r="AE1517" s="80" t="str">
        <f>HYPERLINK("https://twitter.com/investidoreso/status/1684550614271885314")</f>
        <v>https://twitter.com/investidoreso/status/1684550614271885314</v>
      </c>
      <c r="AF1517" s="79">
        <v>45134.545578703706</v>
      </c>
      <c r="AG1517" s="85">
        <v>45134</v>
      </c>
      <c r="AH1517" s="82" t="s">
        <v>9091</v>
      </c>
      <c r="AI1517" s="77" t="b">
        <v>0</v>
      </c>
      <c r="AJ1517" s="77"/>
      <c r="AK1517" s="77"/>
      <c r="AL1517" s="77"/>
      <c r="AM1517" s="77"/>
      <c r="AN1517" s="77"/>
      <c r="AO1517" s="77"/>
      <c r="AP1517" s="77"/>
      <c r="AQ1517" s="77" t="s">
        <v>11334</v>
      </c>
      <c r="AR1517" s="77"/>
      <c r="AS1517" s="77"/>
      <c r="AT1517" s="77"/>
      <c r="AU1517" s="77"/>
      <c r="AV1517" s="80" t="str">
        <f>HYPERLINK("https://pbs.twimg.com/media/F2C52mFX0AAhONP.jpg")</f>
        <v>https://pbs.twimg.com/media/F2C52mFX0AAhONP.jpg</v>
      </c>
      <c r="AW1517" s="82" t="s">
        <v>13124</v>
      </c>
      <c r="AX1517" s="82" t="s">
        <v>13124</v>
      </c>
      <c r="AY1517" s="77"/>
      <c r="AZ1517" s="82" t="s">
        <v>15984</v>
      </c>
      <c r="BA1517" s="82" t="s">
        <v>15984</v>
      </c>
      <c r="BB1517" s="82" t="s">
        <v>15984</v>
      </c>
      <c r="BC1517" s="82" t="s">
        <v>13124</v>
      </c>
      <c r="BD1517" s="82" t="s">
        <v>16340</v>
      </c>
      <c r="BE1517" s="77"/>
      <c r="BF1517" s="77"/>
      <c r="BG1517" s="77"/>
      <c r="BH1517" s="77"/>
      <c r="BI1517" s="77"/>
    </row>
    <row r="1518" spans="1:61" x14ac:dyDescent="0.25">
      <c r="A1518" s="62" t="s">
        <v>641</v>
      </c>
      <c r="B1518" s="62" t="s">
        <v>641</v>
      </c>
      <c r="C1518" s="63"/>
      <c r="D1518" s="64"/>
      <c r="E1518" s="65"/>
      <c r="F1518" s="66"/>
      <c r="G1518" s="63"/>
      <c r="H1518" s="67"/>
      <c r="I1518" s="68"/>
      <c r="J1518" s="68"/>
      <c r="K1518" s="32"/>
      <c r="L1518" s="75">
        <v>1518</v>
      </c>
      <c r="M1518" s="75"/>
      <c r="N1518" s="70"/>
      <c r="O1518" s="77" t="s">
        <v>179</v>
      </c>
      <c r="P1518" s="79">
        <v>45129.45925925926</v>
      </c>
      <c r="Q1518" s="77" t="s">
        <v>2233</v>
      </c>
      <c r="R1518" s="77">
        <v>0</v>
      </c>
      <c r="S1518" s="77">
        <v>0</v>
      </c>
      <c r="T1518" s="77">
        <v>0</v>
      </c>
      <c r="U1518" s="77">
        <v>0</v>
      </c>
      <c r="V1518" s="77">
        <v>9</v>
      </c>
      <c r="W1518" s="82" t="s">
        <v>5565</v>
      </c>
      <c r="X1518" s="80" t="str">
        <f>HYPERLINK("https://bit.ly/46Wsr8F")</f>
        <v>https://bit.ly/46Wsr8F</v>
      </c>
      <c r="Y1518" s="77" t="s">
        <v>6468</v>
      </c>
      <c r="Z1518" s="77"/>
      <c r="AA1518" s="77" t="s">
        <v>7363</v>
      </c>
      <c r="AB1518" s="77" t="s">
        <v>7742</v>
      </c>
      <c r="AC1518" s="82" t="s">
        <v>7779</v>
      </c>
      <c r="AD1518" s="77" t="s">
        <v>7791</v>
      </c>
      <c r="AE1518" s="80" t="str">
        <f>HYPERLINK("https://twitter.com/investidoreso/status/1682707395531751425")</f>
        <v>https://twitter.com/investidoreso/status/1682707395531751425</v>
      </c>
      <c r="AF1518" s="79">
        <v>45129.45925925926</v>
      </c>
      <c r="AG1518" s="85">
        <v>45129</v>
      </c>
      <c r="AH1518" s="82" t="s">
        <v>9092</v>
      </c>
      <c r="AI1518" s="77" t="b">
        <v>0</v>
      </c>
      <c r="AJ1518" s="77"/>
      <c r="AK1518" s="77"/>
      <c r="AL1518" s="77"/>
      <c r="AM1518" s="77"/>
      <c r="AN1518" s="77"/>
      <c r="AO1518" s="77"/>
      <c r="AP1518" s="77"/>
      <c r="AQ1518" s="77" t="s">
        <v>11335</v>
      </c>
      <c r="AR1518" s="77"/>
      <c r="AS1518" s="77"/>
      <c r="AT1518" s="77"/>
      <c r="AU1518" s="77"/>
      <c r="AV1518" s="80" t="str">
        <f>HYPERLINK("https://pbs.twimg.com/media/F1otdGmWcAEtYZm.jpg")</f>
        <v>https://pbs.twimg.com/media/F1otdGmWcAEtYZm.jpg</v>
      </c>
      <c r="AW1518" s="82" t="s">
        <v>13125</v>
      </c>
      <c r="AX1518" s="82" t="s">
        <v>13125</v>
      </c>
      <c r="AY1518" s="77"/>
      <c r="AZ1518" s="82" t="s">
        <v>15984</v>
      </c>
      <c r="BA1518" s="82" t="s">
        <v>15984</v>
      </c>
      <c r="BB1518" s="82" t="s">
        <v>15984</v>
      </c>
      <c r="BC1518" s="82" t="s">
        <v>13125</v>
      </c>
      <c r="BD1518" s="82" t="s">
        <v>16340</v>
      </c>
      <c r="BE1518" s="77"/>
      <c r="BF1518" s="77"/>
      <c r="BG1518" s="77"/>
      <c r="BH1518" s="77"/>
      <c r="BI1518" s="77"/>
    </row>
    <row r="1519" spans="1:61" x14ac:dyDescent="0.25">
      <c r="A1519" s="62" t="s">
        <v>641</v>
      </c>
      <c r="B1519" s="62" t="s">
        <v>641</v>
      </c>
      <c r="C1519" s="63"/>
      <c r="D1519" s="64"/>
      <c r="E1519" s="65"/>
      <c r="F1519" s="66"/>
      <c r="G1519" s="63"/>
      <c r="H1519" s="67"/>
      <c r="I1519" s="68"/>
      <c r="J1519" s="68"/>
      <c r="K1519" s="32"/>
      <c r="L1519" s="75">
        <v>1519</v>
      </c>
      <c r="M1519" s="75"/>
      <c r="N1519" s="70"/>
      <c r="O1519" s="77" t="s">
        <v>179</v>
      </c>
      <c r="P1519" s="79">
        <v>45119.058437500003</v>
      </c>
      <c r="Q1519" s="77" t="s">
        <v>2234</v>
      </c>
      <c r="R1519" s="77">
        <v>0</v>
      </c>
      <c r="S1519" s="77">
        <v>0</v>
      </c>
      <c r="T1519" s="77">
        <v>0</v>
      </c>
      <c r="U1519" s="77">
        <v>0</v>
      </c>
      <c r="V1519" s="77">
        <v>14</v>
      </c>
      <c r="W1519" s="82" t="s">
        <v>5566</v>
      </c>
      <c r="X1519" s="80" t="str">
        <f>HYPERLINK("https://bit.ly/3D7ra0U")</f>
        <v>https://bit.ly/3D7ra0U</v>
      </c>
      <c r="Y1519" s="77" t="s">
        <v>6468</v>
      </c>
      <c r="Z1519" s="77"/>
      <c r="AA1519" s="77" t="s">
        <v>7364</v>
      </c>
      <c r="AB1519" s="77" t="s">
        <v>7742</v>
      </c>
      <c r="AC1519" s="82" t="s">
        <v>7779</v>
      </c>
      <c r="AD1519" s="77" t="s">
        <v>7788</v>
      </c>
      <c r="AE1519" s="80" t="str">
        <f>HYPERLINK("https://twitter.com/investidoreso/status/1678938260016431106")</f>
        <v>https://twitter.com/investidoreso/status/1678938260016431106</v>
      </c>
      <c r="AF1519" s="79">
        <v>45119.058437500003</v>
      </c>
      <c r="AG1519" s="85">
        <v>45119</v>
      </c>
      <c r="AH1519" s="82" t="s">
        <v>9093</v>
      </c>
      <c r="AI1519" s="77" t="b">
        <v>0</v>
      </c>
      <c r="AJ1519" s="77"/>
      <c r="AK1519" s="77"/>
      <c r="AL1519" s="77"/>
      <c r="AM1519" s="77"/>
      <c r="AN1519" s="77"/>
      <c r="AO1519" s="77"/>
      <c r="AP1519" s="77"/>
      <c r="AQ1519" s="77" t="s">
        <v>11336</v>
      </c>
      <c r="AR1519" s="77"/>
      <c r="AS1519" s="77"/>
      <c r="AT1519" s="77"/>
      <c r="AU1519" s="77"/>
      <c r="AV1519" s="80" t="str">
        <f>HYPERLINK("https://pbs.twimg.com/media/F0zJcixXwAAmHei.jpg")</f>
        <v>https://pbs.twimg.com/media/F0zJcixXwAAmHei.jpg</v>
      </c>
      <c r="AW1519" s="82" t="s">
        <v>13126</v>
      </c>
      <c r="AX1519" s="82" t="s">
        <v>13126</v>
      </c>
      <c r="AY1519" s="77"/>
      <c r="AZ1519" s="82" t="s">
        <v>15984</v>
      </c>
      <c r="BA1519" s="82" t="s">
        <v>15984</v>
      </c>
      <c r="BB1519" s="82" t="s">
        <v>15984</v>
      </c>
      <c r="BC1519" s="82" t="s">
        <v>13126</v>
      </c>
      <c r="BD1519" s="82" t="s">
        <v>16340</v>
      </c>
      <c r="BE1519" s="77"/>
      <c r="BF1519" s="77"/>
      <c r="BG1519" s="77"/>
      <c r="BH1519" s="77"/>
      <c r="BI1519" s="77"/>
    </row>
    <row r="1520" spans="1:61" x14ac:dyDescent="0.25">
      <c r="A1520" s="62" t="s">
        <v>641</v>
      </c>
      <c r="B1520" s="62" t="s">
        <v>641</v>
      </c>
      <c r="C1520" s="63"/>
      <c r="D1520" s="64"/>
      <c r="E1520" s="65"/>
      <c r="F1520" s="66"/>
      <c r="G1520" s="63"/>
      <c r="H1520" s="67"/>
      <c r="I1520" s="68"/>
      <c r="J1520" s="68"/>
      <c r="K1520" s="32"/>
      <c r="L1520" s="75">
        <v>1520</v>
      </c>
      <c r="M1520" s="75"/>
      <c r="N1520" s="70"/>
      <c r="O1520" s="77" t="s">
        <v>179</v>
      </c>
      <c r="P1520" s="79">
        <v>45154.859722222223</v>
      </c>
      <c r="Q1520" s="77" t="s">
        <v>2235</v>
      </c>
      <c r="R1520" s="77">
        <v>0</v>
      </c>
      <c r="S1520" s="77">
        <v>0</v>
      </c>
      <c r="T1520" s="77">
        <v>0</v>
      </c>
      <c r="U1520" s="77">
        <v>0</v>
      </c>
      <c r="V1520" s="77">
        <v>6</v>
      </c>
      <c r="W1520" s="82" t="s">
        <v>5567</v>
      </c>
      <c r="X1520" s="80" t="str">
        <f>HYPERLINK("https://bit.ly/3OWyHX0")</f>
        <v>https://bit.ly/3OWyHX0</v>
      </c>
      <c r="Y1520" s="77" t="s">
        <v>6468</v>
      </c>
      <c r="Z1520" s="77"/>
      <c r="AA1520" s="77" t="s">
        <v>7365</v>
      </c>
      <c r="AB1520" s="77" t="s">
        <v>7742</v>
      </c>
      <c r="AC1520" s="82" t="s">
        <v>7779</v>
      </c>
      <c r="AD1520" s="77" t="s">
        <v>7791</v>
      </c>
      <c r="AE1520" s="80" t="str">
        <f>HYPERLINK("https://twitter.com/investidoreso/status/1691912211524895206")</f>
        <v>https://twitter.com/investidoreso/status/1691912211524895206</v>
      </c>
      <c r="AF1520" s="79">
        <v>45154.859722222223</v>
      </c>
      <c r="AG1520" s="85">
        <v>45154</v>
      </c>
      <c r="AH1520" s="82" t="s">
        <v>8168</v>
      </c>
      <c r="AI1520" s="77" t="b">
        <v>0</v>
      </c>
      <c r="AJ1520" s="77"/>
      <c r="AK1520" s="77"/>
      <c r="AL1520" s="77"/>
      <c r="AM1520" s="77"/>
      <c r="AN1520" s="77"/>
      <c r="AO1520" s="77"/>
      <c r="AP1520" s="77"/>
      <c r="AQ1520" s="77" t="s">
        <v>11337</v>
      </c>
      <c r="AR1520" s="77"/>
      <c r="AS1520" s="77"/>
      <c r="AT1520" s="77"/>
      <c r="AU1520" s="77"/>
      <c r="AV1520" s="80" t="str">
        <f>HYPERLINK("https://pbs.twimg.com/media/F3rY890WQAACQg9.jpg")</f>
        <v>https://pbs.twimg.com/media/F3rY890WQAACQg9.jpg</v>
      </c>
      <c r="AW1520" s="82" t="s">
        <v>13127</v>
      </c>
      <c r="AX1520" s="82" t="s">
        <v>13127</v>
      </c>
      <c r="AY1520" s="77"/>
      <c r="AZ1520" s="82" t="s">
        <v>15984</v>
      </c>
      <c r="BA1520" s="82" t="s">
        <v>15984</v>
      </c>
      <c r="BB1520" s="82" t="s">
        <v>15984</v>
      </c>
      <c r="BC1520" s="82" t="s">
        <v>13127</v>
      </c>
      <c r="BD1520" s="82" t="s">
        <v>16340</v>
      </c>
      <c r="BE1520" s="77"/>
      <c r="BF1520" s="77"/>
      <c r="BG1520" s="77"/>
      <c r="BH1520" s="77"/>
      <c r="BI1520" s="77"/>
    </row>
    <row r="1521" spans="1:61" x14ac:dyDescent="0.25">
      <c r="A1521" s="62" t="s">
        <v>641</v>
      </c>
      <c r="B1521" s="62" t="s">
        <v>641</v>
      </c>
      <c r="C1521" s="63"/>
      <c r="D1521" s="64"/>
      <c r="E1521" s="65"/>
      <c r="F1521" s="66"/>
      <c r="G1521" s="63"/>
      <c r="H1521" s="67"/>
      <c r="I1521" s="68"/>
      <c r="J1521" s="68"/>
      <c r="K1521" s="32"/>
      <c r="L1521" s="75">
        <v>1521</v>
      </c>
      <c r="M1521" s="75"/>
      <c r="N1521" s="70"/>
      <c r="O1521" s="77" t="s">
        <v>179</v>
      </c>
      <c r="P1521" s="79">
        <v>45144.802083333336</v>
      </c>
      <c r="Q1521" s="77" t="s">
        <v>2236</v>
      </c>
      <c r="R1521" s="77">
        <v>0</v>
      </c>
      <c r="S1521" s="77">
        <v>0</v>
      </c>
      <c r="T1521" s="77">
        <v>0</v>
      </c>
      <c r="U1521" s="77">
        <v>0</v>
      </c>
      <c r="V1521" s="77">
        <v>16</v>
      </c>
      <c r="W1521" s="82" t="s">
        <v>5568</v>
      </c>
      <c r="X1521" s="80" t="str">
        <f>HYPERLINK("https://bit.ly/44YlYZs")</f>
        <v>https://bit.ly/44YlYZs</v>
      </c>
      <c r="Y1521" s="77" t="s">
        <v>6468</v>
      </c>
      <c r="Z1521" s="77"/>
      <c r="AA1521" s="77" t="s">
        <v>7366</v>
      </c>
      <c r="AB1521" s="77" t="s">
        <v>7742</v>
      </c>
      <c r="AC1521" s="82" t="s">
        <v>7779</v>
      </c>
      <c r="AD1521" s="77" t="s">
        <v>7791</v>
      </c>
      <c r="AE1521" s="80" t="str">
        <f>HYPERLINK("https://twitter.com/investidoreso/status/1688267445256028160")</f>
        <v>https://twitter.com/investidoreso/status/1688267445256028160</v>
      </c>
      <c r="AF1521" s="79">
        <v>45144.802083333336</v>
      </c>
      <c r="AG1521" s="85">
        <v>45144</v>
      </c>
      <c r="AH1521" s="82" t="s">
        <v>7868</v>
      </c>
      <c r="AI1521" s="77" t="b">
        <v>0</v>
      </c>
      <c r="AJ1521" s="77"/>
      <c r="AK1521" s="77"/>
      <c r="AL1521" s="77"/>
      <c r="AM1521" s="77"/>
      <c r="AN1521" s="77"/>
      <c r="AO1521" s="77"/>
      <c r="AP1521" s="77"/>
      <c r="AQ1521" s="77" t="s">
        <v>11338</v>
      </c>
      <c r="AR1521" s="77"/>
      <c r="AS1521" s="77"/>
      <c r="AT1521" s="77"/>
      <c r="AU1521" s="77"/>
      <c r="AV1521" s="80" t="str">
        <f>HYPERLINK("https://pbs.twimg.com/media/F23gkFaWIAAQwkz.jpg")</f>
        <v>https://pbs.twimg.com/media/F23gkFaWIAAQwkz.jpg</v>
      </c>
      <c r="AW1521" s="82" t="s">
        <v>13128</v>
      </c>
      <c r="AX1521" s="82" t="s">
        <v>13128</v>
      </c>
      <c r="AY1521" s="77"/>
      <c r="AZ1521" s="82" t="s">
        <v>15984</v>
      </c>
      <c r="BA1521" s="82" t="s">
        <v>15984</v>
      </c>
      <c r="BB1521" s="82" t="s">
        <v>15984</v>
      </c>
      <c r="BC1521" s="82" t="s">
        <v>13128</v>
      </c>
      <c r="BD1521" s="82" t="s">
        <v>16340</v>
      </c>
      <c r="BE1521" s="77"/>
      <c r="BF1521" s="77"/>
      <c r="BG1521" s="77"/>
      <c r="BH1521" s="77"/>
      <c r="BI1521" s="77"/>
    </row>
    <row r="1522" spans="1:61" x14ac:dyDescent="0.25">
      <c r="A1522" s="62" t="s">
        <v>641</v>
      </c>
      <c r="B1522" s="62" t="s">
        <v>641</v>
      </c>
      <c r="C1522" s="63"/>
      <c r="D1522" s="64"/>
      <c r="E1522" s="65"/>
      <c r="F1522" s="66"/>
      <c r="G1522" s="63"/>
      <c r="H1522" s="67"/>
      <c r="I1522" s="68"/>
      <c r="J1522" s="68"/>
      <c r="K1522" s="32"/>
      <c r="L1522" s="75">
        <v>1522</v>
      </c>
      <c r="M1522" s="75"/>
      <c r="N1522" s="70"/>
      <c r="O1522" s="77" t="s">
        <v>179</v>
      </c>
      <c r="P1522" s="79">
        <v>45138.655324074076</v>
      </c>
      <c r="Q1522" s="77" t="s">
        <v>2237</v>
      </c>
      <c r="R1522" s="77">
        <v>2</v>
      </c>
      <c r="S1522" s="77">
        <v>0</v>
      </c>
      <c r="T1522" s="77">
        <v>0</v>
      </c>
      <c r="U1522" s="77">
        <v>0</v>
      </c>
      <c r="V1522" s="77">
        <v>40</v>
      </c>
      <c r="W1522" s="82" t="s">
        <v>5569</v>
      </c>
      <c r="X1522" s="80" t="str">
        <f>HYPERLINK("https://bit.ly/3QganAF")</f>
        <v>https://bit.ly/3QganAF</v>
      </c>
      <c r="Y1522" s="77" t="s">
        <v>6468</v>
      </c>
      <c r="Z1522" s="77"/>
      <c r="AA1522" s="77" t="s">
        <v>7367</v>
      </c>
      <c r="AB1522" s="77" t="s">
        <v>7742</v>
      </c>
      <c r="AC1522" s="82" t="s">
        <v>7779</v>
      </c>
      <c r="AD1522" s="77" t="s">
        <v>7788</v>
      </c>
      <c r="AE1522" s="80" t="str">
        <f>HYPERLINK("https://twitter.com/investidoreso/status/1686039937768886273")</f>
        <v>https://twitter.com/investidoreso/status/1686039937768886273</v>
      </c>
      <c r="AF1522" s="79">
        <v>45138.655324074076</v>
      </c>
      <c r="AG1522" s="85">
        <v>45138</v>
      </c>
      <c r="AH1522" s="82" t="s">
        <v>9094</v>
      </c>
      <c r="AI1522" s="77" t="b">
        <v>0</v>
      </c>
      <c r="AJ1522" s="77"/>
      <c r="AK1522" s="77"/>
      <c r="AL1522" s="77"/>
      <c r="AM1522" s="77"/>
      <c r="AN1522" s="77"/>
      <c r="AO1522" s="77"/>
      <c r="AP1522" s="77"/>
      <c r="AQ1522" s="77" t="s">
        <v>11339</v>
      </c>
      <c r="AR1522" s="77"/>
      <c r="AS1522" s="77"/>
      <c r="AT1522" s="77"/>
      <c r="AU1522" s="77"/>
      <c r="AV1522" s="80" t="str">
        <f>HYPERLINK("https://pbs.twimg.com/media/F2YEYnMWMAATyLN.jpg")</f>
        <v>https://pbs.twimg.com/media/F2YEYnMWMAATyLN.jpg</v>
      </c>
      <c r="AW1522" s="82" t="s">
        <v>13129</v>
      </c>
      <c r="AX1522" s="82" t="s">
        <v>13129</v>
      </c>
      <c r="AY1522" s="77"/>
      <c r="AZ1522" s="82" t="s">
        <v>15984</v>
      </c>
      <c r="BA1522" s="82" t="s">
        <v>15984</v>
      </c>
      <c r="BB1522" s="82" t="s">
        <v>15984</v>
      </c>
      <c r="BC1522" s="82" t="s">
        <v>13129</v>
      </c>
      <c r="BD1522" s="82" t="s">
        <v>16340</v>
      </c>
      <c r="BE1522" s="77"/>
      <c r="BF1522" s="77"/>
      <c r="BG1522" s="77"/>
      <c r="BH1522" s="77"/>
      <c r="BI1522" s="77"/>
    </row>
    <row r="1523" spans="1:61" x14ac:dyDescent="0.25">
      <c r="A1523" s="62" t="s">
        <v>641</v>
      </c>
      <c r="B1523" s="62" t="s">
        <v>641</v>
      </c>
      <c r="C1523" s="63"/>
      <c r="D1523" s="64"/>
      <c r="E1523" s="65"/>
      <c r="F1523" s="66"/>
      <c r="G1523" s="63"/>
      <c r="H1523" s="67"/>
      <c r="I1523" s="68"/>
      <c r="J1523" s="68"/>
      <c r="K1523" s="32"/>
      <c r="L1523" s="75">
        <v>1523</v>
      </c>
      <c r="M1523" s="75"/>
      <c r="N1523" s="70"/>
      <c r="O1523" s="77" t="s">
        <v>179</v>
      </c>
      <c r="P1523" s="79">
        <v>45154.0158912037</v>
      </c>
      <c r="Q1523" s="77" t="s">
        <v>2238</v>
      </c>
      <c r="R1523" s="77">
        <v>0</v>
      </c>
      <c r="S1523" s="77">
        <v>0</v>
      </c>
      <c r="T1523" s="77">
        <v>0</v>
      </c>
      <c r="U1523" s="77">
        <v>0</v>
      </c>
      <c r="V1523" s="77">
        <v>20</v>
      </c>
      <c r="W1523" s="82" t="s">
        <v>5570</v>
      </c>
      <c r="X1523" s="80" t="str">
        <f>HYPERLINK("https://bit.ly/45vgfKM")</f>
        <v>https://bit.ly/45vgfKM</v>
      </c>
      <c r="Y1523" s="77" t="s">
        <v>6468</v>
      </c>
      <c r="Z1523" s="77"/>
      <c r="AA1523" s="77" t="s">
        <v>7368</v>
      </c>
      <c r="AB1523" s="77" t="s">
        <v>7742</v>
      </c>
      <c r="AC1523" s="82" t="s">
        <v>7779</v>
      </c>
      <c r="AD1523" s="77" t="s">
        <v>7791</v>
      </c>
      <c r="AE1523" s="80" t="str">
        <f>HYPERLINK("https://twitter.com/investidoreso/status/1691606418766397761")</f>
        <v>https://twitter.com/investidoreso/status/1691606418766397761</v>
      </c>
      <c r="AF1523" s="79">
        <v>45154.0158912037</v>
      </c>
      <c r="AG1523" s="85">
        <v>45154</v>
      </c>
      <c r="AH1523" s="82" t="s">
        <v>9095</v>
      </c>
      <c r="AI1523" s="77" t="b">
        <v>0</v>
      </c>
      <c r="AJ1523" s="77"/>
      <c r="AK1523" s="77"/>
      <c r="AL1523" s="77"/>
      <c r="AM1523" s="77"/>
      <c r="AN1523" s="77"/>
      <c r="AO1523" s="77"/>
      <c r="AP1523" s="77"/>
      <c r="AQ1523" s="77" t="s">
        <v>11340</v>
      </c>
      <c r="AR1523" s="77"/>
      <c r="AS1523" s="77"/>
      <c r="AT1523" s="77"/>
      <c r="AU1523" s="77"/>
      <c r="AV1523" s="80" t="str">
        <f>HYPERLINK("https://pbs.twimg.com/media/F3nLEbfXIAIEskt.jpg")</f>
        <v>https://pbs.twimg.com/media/F3nLEbfXIAIEskt.jpg</v>
      </c>
      <c r="AW1523" s="82" t="s">
        <v>13130</v>
      </c>
      <c r="AX1523" s="82" t="s">
        <v>13130</v>
      </c>
      <c r="AY1523" s="77"/>
      <c r="AZ1523" s="82" t="s">
        <v>15984</v>
      </c>
      <c r="BA1523" s="82" t="s">
        <v>15984</v>
      </c>
      <c r="BB1523" s="82" t="s">
        <v>15984</v>
      </c>
      <c r="BC1523" s="82" t="s">
        <v>13130</v>
      </c>
      <c r="BD1523" s="82" t="s">
        <v>16340</v>
      </c>
      <c r="BE1523" s="77"/>
      <c r="BF1523" s="77"/>
      <c r="BG1523" s="77"/>
      <c r="BH1523" s="77"/>
      <c r="BI1523" s="77"/>
    </row>
    <row r="1524" spans="1:61" x14ac:dyDescent="0.25">
      <c r="A1524" s="62" t="s">
        <v>641</v>
      </c>
      <c r="B1524" s="62" t="s">
        <v>641</v>
      </c>
      <c r="C1524" s="63"/>
      <c r="D1524" s="64"/>
      <c r="E1524" s="65"/>
      <c r="F1524" s="66"/>
      <c r="G1524" s="63"/>
      <c r="H1524" s="67"/>
      <c r="I1524" s="68"/>
      <c r="J1524" s="68"/>
      <c r="K1524" s="32"/>
      <c r="L1524" s="75">
        <v>1524</v>
      </c>
      <c r="M1524" s="75"/>
      <c r="N1524" s="70"/>
      <c r="O1524" s="77" t="s">
        <v>179</v>
      </c>
      <c r="P1524" s="79">
        <v>45128.4375</v>
      </c>
      <c r="Q1524" s="77" t="s">
        <v>2239</v>
      </c>
      <c r="R1524" s="77">
        <v>0</v>
      </c>
      <c r="S1524" s="77">
        <v>0</v>
      </c>
      <c r="T1524" s="77">
        <v>0</v>
      </c>
      <c r="U1524" s="77">
        <v>0</v>
      </c>
      <c r="V1524" s="77">
        <v>17</v>
      </c>
      <c r="W1524" s="82" t="s">
        <v>5571</v>
      </c>
      <c r="X1524" s="80" t="str">
        <f>HYPERLINK("https://bit.ly/3K6OO1j")</f>
        <v>https://bit.ly/3K6OO1j</v>
      </c>
      <c r="Y1524" s="77" t="s">
        <v>6468</v>
      </c>
      <c r="Z1524" s="77"/>
      <c r="AA1524" s="77" t="s">
        <v>7369</v>
      </c>
      <c r="AB1524" s="77" t="s">
        <v>7742</v>
      </c>
      <c r="AC1524" s="82" t="s">
        <v>7779</v>
      </c>
      <c r="AD1524" s="77" t="s">
        <v>7791</v>
      </c>
      <c r="AE1524" s="80" t="str">
        <f>HYPERLINK("https://twitter.com/investidoreso/status/1682337119023382530")</f>
        <v>https://twitter.com/investidoreso/status/1682337119023382530</v>
      </c>
      <c r="AF1524" s="79">
        <v>45128.4375</v>
      </c>
      <c r="AG1524" s="85">
        <v>45128</v>
      </c>
      <c r="AH1524" s="82" t="s">
        <v>8094</v>
      </c>
      <c r="AI1524" s="77" t="b">
        <v>0</v>
      </c>
      <c r="AJ1524" s="77"/>
      <c r="AK1524" s="77"/>
      <c r="AL1524" s="77"/>
      <c r="AM1524" s="77"/>
      <c r="AN1524" s="77"/>
      <c r="AO1524" s="77"/>
      <c r="AP1524" s="77"/>
      <c r="AQ1524" s="77" t="s">
        <v>11341</v>
      </c>
      <c r="AR1524" s="77"/>
      <c r="AS1524" s="77"/>
      <c r="AT1524" s="77"/>
      <c r="AU1524" s="77"/>
      <c r="AV1524" s="80" t="str">
        <f>HYPERLINK("https://pbs.twimg.com/media/F1jO9qxX0AAmc9C.jpg")</f>
        <v>https://pbs.twimg.com/media/F1jO9qxX0AAmc9C.jpg</v>
      </c>
      <c r="AW1524" s="82" t="s">
        <v>13131</v>
      </c>
      <c r="AX1524" s="82" t="s">
        <v>13131</v>
      </c>
      <c r="AY1524" s="77"/>
      <c r="AZ1524" s="82" t="s">
        <v>15984</v>
      </c>
      <c r="BA1524" s="82" t="s">
        <v>15984</v>
      </c>
      <c r="BB1524" s="82" t="s">
        <v>15984</v>
      </c>
      <c r="BC1524" s="82" t="s">
        <v>13131</v>
      </c>
      <c r="BD1524" s="82" t="s">
        <v>16340</v>
      </c>
      <c r="BE1524" s="77"/>
      <c r="BF1524" s="77"/>
      <c r="BG1524" s="77"/>
      <c r="BH1524" s="77"/>
      <c r="BI1524" s="77"/>
    </row>
    <row r="1525" spans="1:61" x14ac:dyDescent="0.25">
      <c r="A1525" s="62" t="s">
        <v>641</v>
      </c>
      <c r="B1525" s="62" t="s">
        <v>641</v>
      </c>
      <c r="C1525" s="63"/>
      <c r="D1525" s="64"/>
      <c r="E1525" s="65"/>
      <c r="F1525" s="66"/>
      <c r="G1525" s="63"/>
      <c r="H1525" s="67"/>
      <c r="I1525" s="68"/>
      <c r="J1525" s="68"/>
      <c r="K1525" s="32"/>
      <c r="L1525" s="75">
        <v>1525</v>
      </c>
      <c r="M1525" s="75"/>
      <c r="N1525" s="70"/>
      <c r="O1525" s="77" t="s">
        <v>179</v>
      </c>
      <c r="P1525" s="79">
        <v>45152.480555555558</v>
      </c>
      <c r="Q1525" s="77" t="s">
        <v>2240</v>
      </c>
      <c r="R1525" s="77">
        <v>0</v>
      </c>
      <c r="S1525" s="77">
        <v>0</v>
      </c>
      <c r="T1525" s="77">
        <v>0</v>
      </c>
      <c r="U1525" s="77">
        <v>0</v>
      </c>
      <c r="V1525" s="77">
        <v>14</v>
      </c>
      <c r="W1525" s="82" t="s">
        <v>5572</v>
      </c>
      <c r="X1525" s="80" t="str">
        <f>HYPERLINK("https://bit.ly/442u6XK")</f>
        <v>https://bit.ly/442u6XK</v>
      </c>
      <c r="Y1525" s="77" t="s">
        <v>6468</v>
      </c>
      <c r="Z1525" s="77"/>
      <c r="AA1525" s="77" t="s">
        <v>7370</v>
      </c>
      <c r="AB1525" s="77" t="s">
        <v>7742</v>
      </c>
      <c r="AC1525" s="82" t="s">
        <v>7779</v>
      </c>
      <c r="AD1525" s="77" t="s">
        <v>7788</v>
      </c>
      <c r="AE1525" s="80" t="str">
        <f>HYPERLINK("https://twitter.com/investidoreso/status/1691050030390497282")</f>
        <v>https://twitter.com/investidoreso/status/1691050030390497282</v>
      </c>
      <c r="AF1525" s="79">
        <v>45152.480555555558</v>
      </c>
      <c r="AG1525" s="85">
        <v>45152</v>
      </c>
      <c r="AH1525" s="82" t="s">
        <v>9096</v>
      </c>
      <c r="AI1525" s="77" t="b">
        <v>0</v>
      </c>
      <c r="AJ1525" s="77"/>
      <c r="AK1525" s="77"/>
      <c r="AL1525" s="77"/>
      <c r="AM1525" s="77"/>
      <c r="AN1525" s="77"/>
      <c r="AO1525" s="77"/>
      <c r="AP1525" s="77"/>
      <c r="AQ1525" s="77" t="s">
        <v>11342</v>
      </c>
      <c r="AR1525" s="77"/>
      <c r="AS1525" s="77"/>
      <c r="AT1525" s="77"/>
      <c r="AU1525" s="77"/>
      <c r="AV1525" s="80" t="str">
        <f>HYPERLINK("https://pbs.twimg.com/media/F3fDT24WEAE8kU5.jpg")</f>
        <v>https://pbs.twimg.com/media/F3fDT24WEAE8kU5.jpg</v>
      </c>
      <c r="AW1525" s="82" t="s">
        <v>13132</v>
      </c>
      <c r="AX1525" s="82" t="s">
        <v>13132</v>
      </c>
      <c r="AY1525" s="77"/>
      <c r="AZ1525" s="82" t="s">
        <v>15984</v>
      </c>
      <c r="BA1525" s="82" t="s">
        <v>15984</v>
      </c>
      <c r="BB1525" s="82" t="s">
        <v>15984</v>
      </c>
      <c r="BC1525" s="82" t="s">
        <v>13132</v>
      </c>
      <c r="BD1525" s="82" t="s">
        <v>16340</v>
      </c>
      <c r="BE1525" s="77"/>
      <c r="BF1525" s="77"/>
      <c r="BG1525" s="77"/>
      <c r="BH1525" s="77"/>
      <c r="BI1525" s="77"/>
    </row>
    <row r="1526" spans="1:61" x14ac:dyDescent="0.25">
      <c r="A1526" s="62" t="s">
        <v>641</v>
      </c>
      <c r="B1526" s="62" t="s">
        <v>641</v>
      </c>
      <c r="C1526" s="63"/>
      <c r="D1526" s="64"/>
      <c r="E1526" s="65"/>
      <c r="F1526" s="66"/>
      <c r="G1526" s="63"/>
      <c r="H1526" s="67"/>
      <c r="I1526" s="68"/>
      <c r="J1526" s="68"/>
      <c r="K1526" s="32"/>
      <c r="L1526" s="75">
        <v>1526</v>
      </c>
      <c r="M1526" s="75"/>
      <c r="N1526" s="70"/>
      <c r="O1526" s="77" t="s">
        <v>179</v>
      </c>
      <c r="P1526" s="79">
        <v>45132.578067129631</v>
      </c>
      <c r="Q1526" s="77" t="s">
        <v>2241</v>
      </c>
      <c r="R1526" s="77">
        <v>0</v>
      </c>
      <c r="S1526" s="77">
        <v>0</v>
      </c>
      <c r="T1526" s="77">
        <v>0</v>
      </c>
      <c r="U1526" s="77">
        <v>0</v>
      </c>
      <c r="V1526" s="77">
        <v>18</v>
      </c>
      <c r="W1526" s="82" t="s">
        <v>5573</v>
      </c>
      <c r="X1526" s="80" t="str">
        <f>HYPERLINK("https://bit.ly/44WKgTk")</f>
        <v>https://bit.ly/44WKgTk</v>
      </c>
      <c r="Y1526" s="77" t="s">
        <v>6468</v>
      </c>
      <c r="Z1526" s="77"/>
      <c r="AA1526" s="77" t="s">
        <v>7371</v>
      </c>
      <c r="AB1526" s="77" t="s">
        <v>7742</v>
      </c>
      <c r="AC1526" s="82" t="s">
        <v>7779</v>
      </c>
      <c r="AD1526" s="77" t="s">
        <v>7788</v>
      </c>
      <c r="AE1526" s="80" t="str">
        <f>HYPERLINK("https://twitter.com/investidoreso/status/1683837610232520706")</f>
        <v>https://twitter.com/investidoreso/status/1683837610232520706</v>
      </c>
      <c r="AF1526" s="79">
        <v>45132.578067129631</v>
      </c>
      <c r="AG1526" s="85">
        <v>45132</v>
      </c>
      <c r="AH1526" s="82" t="s">
        <v>9097</v>
      </c>
      <c r="AI1526" s="77" t="b">
        <v>0</v>
      </c>
      <c r="AJ1526" s="77"/>
      <c r="AK1526" s="77"/>
      <c r="AL1526" s="77"/>
      <c r="AM1526" s="77"/>
      <c r="AN1526" s="77"/>
      <c r="AO1526" s="77"/>
      <c r="AP1526" s="77"/>
      <c r="AQ1526" s="77" t="s">
        <v>11343</v>
      </c>
      <c r="AR1526" s="77"/>
      <c r="AS1526" s="77"/>
      <c r="AT1526" s="77"/>
      <c r="AU1526" s="77"/>
      <c r="AV1526" s="80" t="str">
        <f>HYPERLINK("https://pbs.twimg.com/media/F14xYJ4aAAEujOZ.jpg")</f>
        <v>https://pbs.twimg.com/media/F14xYJ4aAAEujOZ.jpg</v>
      </c>
      <c r="AW1526" s="82" t="s">
        <v>13133</v>
      </c>
      <c r="AX1526" s="82" t="s">
        <v>13133</v>
      </c>
      <c r="AY1526" s="77"/>
      <c r="AZ1526" s="82" t="s">
        <v>15984</v>
      </c>
      <c r="BA1526" s="82" t="s">
        <v>15984</v>
      </c>
      <c r="BB1526" s="82" t="s">
        <v>15984</v>
      </c>
      <c r="BC1526" s="82" t="s">
        <v>13133</v>
      </c>
      <c r="BD1526" s="82" t="s">
        <v>16340</v>
      </c>
      <c r="BE1526" s="77"/>
      <c r="BF1526" s="77"/>
      <c r="BG1526" s="77"/>
      <c r="BH1526" s="77"/>
      <c r="BI1526" s="77"/>
    </row>
    <row r="1527" spans="1:61" x14ac:dyDescent="0.25">
      <c r="A1527" s="62" t="s">
        <v>641</v>
      </c>
      <c r="B1527" s="62" t="s">
        <v>641</v>
      </c>
      <c r="C1527" s="63"/>
      <c r="D1527" s="64"/>
      <c r="E1527" s="65"/>
      <c r="F1527" s="66"/>
      <c r="G1527" s="63"/>
      <c r="H1527" s="67"/>
      <c r="I1527" s="68"/>
      <c r="J1527" s="68"/>
      <c r="K1527" s="32"/>
      <c r="L1527" s="75">
        <v>1527</v>
      </c>
      <c r="M1527" s="75"/>
      <c r="N1527" s="70"/>
      <c r="O1527" s="77" t="s">
        <v>179</v>
      </c>
      <c r="P1527" s="79">
        <v>45150.469571759262</v>
      </c>
      <c r="Q1527" s="77" t="s">
        <v>2242</v>
      </c>
      <c r="R1527" s="77">
        <v>0</v>
      </c>
      <c r="S1527" s="77">
        <v>0</v>
      </c>
      <c r="T1527" s="77">
        <v>0</v>
      </c>
      <c r="U1527" s="77">
        <v>0</v>
      </c>
      <c r="V1527" s="77">
        <v>8</v>
      </c>
      <c r="W1527" s="82" t="s">
        <v>5574</v>
      </c>
      <c r="X1527" s="80" t="str">
        <f>HYPERLINK("https://bit.ly/3OAHGf0")</f>
        <v>https://bit.ly/3OAHGf0</v>
      </c>
      <c r="Y1527" s="77" t="s">
        <v>6468</v>
      </c>
      <c r="Z1527" s="77"/>
      <c r="AA1527" s="77" t="s">
        <v>7372</v>
      </c>
      <c r="AB1527" s="77" t="s">
        <v>7742</v>
      </c>
      <c r="AC1527" s="82" t="s">
        <v>7779</v>
      </c>
      <c r="AD1527" s="77" t="s">
        <v>7791</v>
      </c>
      <c r="AE1527" s="80" t="str">
        <f>HYPERLINK("https://twitter.com/investidoreso/status/1690321275976065025")</f>
        <v>https://twitter.com/investidoreso/status/1690321275976065025</v>
      </c>
      <c r="AF1527" s="79">
        <v>45150.469571759262</v>
      </c>
      <c r="AG1527" s="85">
        <v>45150</v>
      </c>
      <c r="AH1527" s="82" t="s">
        <v>9098</v>
      </c>
      <c r="AI1527" s="77" t="b">
        <v>0</v>
      </c>
      <c r="AJ1527" s="77"/>
      <c r="AK1527" s="77"/>
      <c r="AL1527" s="77"/>
      <c r="AM1527" s="77"/>
      <c r="AN1527" s="77"/>
      <c r="AO1527" s="77"/>
      <c r="AP1527" s="77"/>
      <c r="AQ1527" s="77" t="s">
        <v>11344</v>
      </c>
      <c r="AR1527" s="77"/>
      <c r="AS1527" s="77"/>
      <c r="AT1527" s="77"/>
      <c r="AU1527" s="77"/>
      <c r="AV1527" s="80" t="str">
        <f>HYPERLINK("https://pbs.twimg.com/media/F3U6PTDXAAAVm4J.jpg")</f>
        <v>https://pbs.twimg.com/media/F3U6PTDXAAAVm4J.jpg</v>
      </c>
      <c r="AW1527" s="82" t="s">
        <v>13134</v>
      </c>
      <c r="AX1527" s="82" t="s">
        <v>13134</v>
      </c>
      <c r="AY1527" s="77"/>
      <c r="AZ1527" s="82" t="s">
        <v>15984</v>
      </c>
      <c r="BA1527" s="82" t="s">
        <v>15984</v>
      </c>
      <c r="BB1527" s="82" t="s">
        <v>15984</v>
      </c>
      <c r="BC1527" s="82" t="s">
        <v>13134</v>
      </c>
      <c r="BD1527" s="82" t="s">
        <v>16340</v>
      </c>
      <c r="BE1527" s="77"/>
      <c r="BF1527" s="77"/>
      <c r="BG1527" s="77"/>
      <c r="BH1527" s="77"/>
      <c r="BI1527" s="77"/>
    </row>
    <row r="1528" spans="1:61" x14ac:dyDescent="0.25">
      <c r="A1528" s="62" t="s">
        <v>641</v>
      </c>
      <c r="B1528" s="62" t="s">
        <v>641</v>
      </c>
      <c r="C1528" s="63"/>
      <c r="D1528" s="64"/>
      <c r="E1528" s="65"/>
      <c r="F1528" s="66"/>
      <c r="G1528" s="63"/>
      <c r="H1528" s="67"/>
      <c r="I1528" s="68"/>
      <c r="J1528" s="68"/>
      <c r="K1528" s="32"/>
      <c r="L1528" s="75">
        <v>1528</v>
      </c>
      <c r="M1528" s="75"/>
      <c r="N1528" s="70"/>
      <c r="O1528" s="77" t="s">
        <v>179</v>
      </c>
      <c r="P1528" s="79">
        <v>45123.769444444442</v>
      </c>
      <c r="Q1528" s="77" t="s">
        <v>2243</v>
      </c>
      <c r="R1528" s="77">
        <v>0</v>
      </c>
      <c r="S1528" s="77">
        <v>0</v>
      </c>
      <c r="T1528" s="77">
        <v>0</v>
      </c>
      <c r="U1528" s="77">
        <v>0</v>
      </c>
      <c r="V1528" s="77">
        <v>12</v>
      </c>
      <c r="W1528" s="82" t="s">
        <v>5575</v>
      </c>
      <c r="X1528" s="80" t="str">
        <f>HYPERLINK("https://bit.ly/44KuMl7")</f>
        <v>https://bit.ly/44KuMl7</v>
      </c>
      <c r="Y1528" s="77" t="s">
        <v>6468</v>
      </c>
      <c r="Z1528" s="77"/>
      <c r="AA1528" s="77" t="s">
        <v>7373</v>
      </c>
      <c r="AB1528" s="77" t="s">
        <v>7742</v>
      </c>
      <c r="AC1528" s="82" t="s">
        <v>7779</v>
      </c>
      <c r="AD1528" s="77" t="s">
        <v>7788</v>
      </c>
      <c r="AE1528" s="80" t="str">
        <f>HYPERLINK("https://twitter.com/investidoreso/status/1680645472128495616")</f>
        <v>https://twitter.com/investidoreso/status/1680645472128495616</v>
      </c>
      <c r="AF1528" s="79">
        <v>45123.769444444442</v>
      </c>
      <c r="AG1528" s="85">
        <v>45123</v>
      </c>
      <c r="AH1528" s="82" t="s">
        <v>9099</v>
      </c>
      <c r="AI1528" s="77" t="b">
        <v>0</v>
      </c>
      <c r="AJ1528" s="77"/>
      <c r="AK1528" s="77"/>
      <c r="AL1528" s="77"/>
      <c r="AM1528" s="77"/>
      <c r="AN1528" s="77"/>
      <c r="AO1528" s="77"/>
      <c r="AP1528" s="77"/>
      <c r="AQ1528" s="77" t="s">
        <v>11345</v>
      </c>
      <c r="AR1528" s="77"/>
      <c r="AS1528" s="77"/>
      <c r="AT1528" s="77"/>
      <c r="AU1528" s="77"/>
      <c r="AV1528" s="80" t="str">
        <f>HYPERLINK("https://pbs.twimg.com/media/F1LWQvGWYAAd4s1.jpg")</f>
        <v>https://pbs.twimg.com/media/F1LWQvGWYAAd4s1.jpg</v>
      </c>
      <c r="AW1528" s="82" t="s">
        <v>13135</v>
      </c>
      <c r="AX1528" s="82" t="s">
        <v>13135</v>
      </c>
      <c r="AY1528" s="77"/>
      <c r="AZ1528" s="82" t="s">
        <v>15984</v>
      </c>
      <c r="BA1528" s="82" t="s">
        <v>15984</v>
      </c>
      <c r="BB1528" s="82" t="s">
        <v>15984</v>
      </c>
      <c r="BC1528" s="82" t="s">
        <v>13135</v>
      </c>
      <c r="BD1528" s="82" t="s">
        <v>16340</v>
      </c>
      <c r="BE1528" s="77"/>
      <c r="BF1528" s="77"/>
      <c r="BG1528" s="77"/>
      <c r="BH1528" s="77"/>
      <c r="BI1528" s="77"/>
    </row>
    <row r="1529" spans="1:61" x14ac:dyDescent="0.25">
      <c r="A1529" s="62" t="s">
        <v>641</v>
      </c>
      <c r="B1529" s="62" t="s">
        <v>641</v>
      </c>
      <c r="C1529" s="63"/>
      <c r="D1529" s="64"/>
      <c r="E1529" s="65"/>
      <c r="F1529" s="66"/>
      <c r="G1529" s="63"/>
      <c r="H1529" s="67"/>
      <c r="I1529" s="68"/>
      <c r="J1529" s="68"/>
      <c r="K1529" s="32"/>
      <c r="L1529" s="75">
        <v>1529</v>
      </c>
      <c r="M1529" s="75"/>
      <c r="N1529" s="70"/>
      <c r="O1529" s="77" t="s">
        <v>179</v>
      </c>
      <c r="P1529" s="79">
        <v>45123.564942129633</v>
      </c>
      <c r="Q1529" s="77" t="s">
        <v>2244</v>
      </c>
      <c r="R1529" s="77">
        <v>0</v>
      </c>
      <c r="S1529" s="77">
        <v>0</v>
      </c>
      <c r="T1529" s="77">
        <v>0</v>
      </c>
      <c r="U1529" s="77">
        <v>0</v>
      </c>
      <c r="V1529" s="77">
        <v>4</v>
      </c>
      <c r="W1529" s="82" t="s">
        <v>5576</v>
      </c>
      <c r="X1529" s="80" t="str">
        <f>HYPERLINK("https://bit.ly/44uVGhi")</f>
        <v>https://bit.ly/44uVGhi</v>
      </c>
      <c r="Y1529" s="77" t="s">
        <v>6468</v>
      </c>
      <c r="Z1529" s="77"/>
      <c r="AA1529" s="77" t="s">
        <v>7374</v>
      </c>
      <c r="AB1529" s="77" t="s">
        <v>7742</v>
      </c>
      <c r="AC1529" s="82" t="s">
        <v>7779</v>
      </c>
      <c r="AD1529" s="77" t="s">
        <v>7788</v>
      </c>
      <c r="AE1529" s="80" t="str">
        <f>HYPERLINK("https://twitter.com/investidoreso/status/1680571364934074369")</f>
        <v>https://twitter.com/investidoreso/status/1680571364934074369</v>
      </c>
      <c r="AF1529" s="79">
        <v>45123.564942129633</v>
      </c>
      <c r="AG1529" s="85">
        <v>45123</v>
      </c>
      <c r="AH1529" s="82" t="s">
        <v>9100</v>
      </c>
      <c r="AI1529" s="77" t="b">
        <v>0</v>
      </c>
      <c r="AJ1529" s="77"/>
      <c r="AK1529" s="77"/>
      <c r="AL1529" s="77"/>
      <c r="AM1529" s="77"/>
      <c r="AN1529" s="77"/>
      <c r="AO1529" s="77"/>
      <c r="AP1529" s="77"/>
      <c r="AQ1529" s="77" t="s">
        <v>11346</v>
      </c>
      <c r="AR1529" s="77"/>
      <c r="AS1529" s="77"/>
      <c r="AT1529" s="77"/>
      <c r="AU1529" s="77"/>
      <c r="AV1529" s="80" t="str">
        <f>HYPERLINK("https://pbs.twimg.com/media/F1KWvxFWcAAEB3-.jpg")</f>
        <v>https://pbs.twimg.com/media/F1KWvxFWcAAEB3-.jpg</v>
      </c>
      <c r="AW1529" s="82" t="s">
        <v>13136</v>
      </c>
      <c r="AX1529" s="82" t="s">
        <v>13136</v>
      </c>
      <c r="AY1529" s="77"/>
      <c r="AZ1529" s="82" t="s">
        <v>15984</v>
      </c>
      <c r="BA1529" s="82" t="s">
        <v>15984</v>
      </c>
      <c r="BB1529" s="82" t="s">
        <v>15984</v>
      </c>
      <c r="BC1529" s="82" t="s">
        <v>13136</v>
      </c>
      <c r="BD1529" s="82" t="s">
        <v>16340</v>
      </c>
      <c r="BE1529" s="77"/>
      <c r="BF1529" s="77"/>
      <c r="BG1529" s="77"/>
      <c r="BH1529" s="77"/>
      <c r="BI1529" s="77"/>
    </row>
    <row r="1530" spans="1:61" x14ac:dyDescent="0.25">
      <c r="A1530" s="62" t="s">
        <v>641</v>
      </c>
      <c r="B1530" s="62" t="s">
        <v>641</v>
      </c>
      <c r="C1530" s="63"/>
      <c r="D1530" s="64"/>
      <c r="E1530" s="65"/>
      <c r="F1530" s="66"/>
      <c r="G1530" s="63"/>
      <c r="H1530" s="67"/>
      <c r="I1530" s="68"/>
      <c r="J1530" s="68"/>
      <c r="K1530" s="32"/>
      <c r="L1530" s="75">
        <v>1530</v>
      </c>
      <c r="M1530" s="75"/>
      <c r="N1530" s="70"/>
      <c r="O1530" s="77" t="s">
        <v>179</v>
      </c>
      <c r="P1530" s="79">
        <v>45122.454861111109</v>
      </c>
      <c r="Q1530" s="77" t="s">
        <v>2245</v>
      </c>
      <c r="R1530" s="77">
        <v>0</v>
      </c>
      <c r="S1530" s="77">
        <v>0</v>
      </c>
      <c r="T1530" s="77">
        <v>0</v>
      </c>
      <c r="U1530" s="77">
        <v>0</v>
      </c>
      <c r="V1530" s="77">
        <v>11</v>
      </c>
      <c r="W1530" s="82" t="s">
        <v>5577</v>
      </c>
      <c r="X1530" s="80" t="str">
        <f>HYPERLINK("https://bit.ly/3NVNxeV")</f>
        <v>https://bit.ly/3NVNxeV</v>
      </c>
      <c r="Y1530" s="77" t="s">
        <v>6468</v>
      </c>
      <c r="Z1530" s="77"/>
      <c r="AA1530" s="77" t="s">
        <v>7375</v>
      </c>
      <c r="AB1530" s="77" t="s">
        <v>7742</v>
      </c>
      <c r="AC1530" s="82" t="s">
        <v>7779</v>
      </c>
      <c r="AD1530" s="77" t="s">
        <v>7788</v>
      </c>
      <c r="AE1530" s="80" t="str">
        <f>HYPERLINK("https://twitter.com/investidoreso/status/1680169083067678720")</f>
        <v>https://twitter.com/investidoreso/status/1680169083067678720</v>
      </c>
      <c r="AF1530" s="79">
        <v>45122.454861111109</v>
      </c>
      <c r="AG1530" s="85">
        <v>45122</v>
      </c>
      <c r="AH1530" s="82" t="s">
        <v>9101</v>
      </c>
      <c r="AI1530" s="77" t="b">
        <v>0</v>
      </c>
      <c r="AJ1530" s="77"/>
      <c r="AK1530" s="77"/>
      <c r="AL1530" s="77"/>
      <c r="AM1530" s="77"/>
      <c r="AN1530" s="77"/>
      <c r="AO1530" s="77"/>
      <c r="AP1530" s="77"/>
      <c r="AQ1530" s="77" t="s">
        <v>11347</v>
      </c>
      <c r="AR1530" s="77"/>
      <c r="AS1530" s="77"/>
      <c r="AT1530" s="77"/>
      <c r="AU1530" s="77"/>
      <c r="AV1530" s="80" t="str">
        <f>HYPERLINK("https://pbs.twimg.com/media/F1EbJXMXsAAQhRv.jpg")</f>
        <v>https://pbs.twimg.com/media/F1EbJXMXsAAQhRv.jpg</v>
      </c>
      <c r="AW1530" s="82" t="s">
        <v>13137</v>
      </c>
      <c r="AX1530" s="82" t="s">
        <v>13137</v>
      </c>
      <c r="AY1530" s="77"/>
      <c r="AZ1530" s="82" t="s">
        <v>15984</v>
      </c>
      <c r="BA1530" s="82" t="s">
        <v>15984</v>
      </c>
      <c r="BB1530" s="82" t="s">
        <v>15984</v>
      </c>
      <c r="BC1530" s="82" t="s">
        <v>13137</v>
      </c>
      <c r="BD1530" s="82" t="s">
        <v>16340</v>
      </c>
      <c r="BE1530" s="77"/>
      <c r="BF1530" s="77"/>
      <c r="BG1530" s="77"/>
      <c r="BH1530" s="77"/>
      <c r="BI1530" s="77"/>
    </row>
    <row r="1531" spans="1:61" x14ac:dyDescent="0.25">
      <c r="A1531" s="62" t="s">
        <v>641</v>
      </c>
      <c r="B1531" s="62" t="s">
        <v>641</v>
      </c>
      <c r="C1531" s="63"/>
      <c r="D1531" s="64"/>
      <c r="E1531" s="65"/>
      <c r="F1531" s="66"/>
      <c r="G1531" s="63"/>
      <c r="H1531" s="67"/>
      <c r="I1531" s="68"/>
      <c r="J1531" s="68"/>
      <c r="K1531" s="32"/>
      <c r="L1531" s="75">
        <v>1531</v>
      </c>
      <c r="M1531" s="75"/>
      <c r="N1531" s="70"/>
      <c r="O1531" s="77" t="s">
        <v>179</v>
      </c>
      <c r="P1531" s="79">
        <v>45164.450694444444</v>
      </c>
      <c r="Q1531" s="77" t="s">
        <v>2246</v>
      </c>
      <c r="R1531" s="77">
        <v>0</v>
      </c>
      <c r="S1531" s="77">
        <v>0</v>
      </c>
      <c r="T1531" s="77">
        <v>0</v>
      </c>
      <c r="U1531" s="77">
        <v>0</v>
      </c>
      <c r="V1531" s="77">
        <v>47</v>
      </c>
      <c r="W1531" s="82" t="s">
        <v>5577</v>
      </c>
      <c r="X1531" s="80" t="str">
        <f>HYPERLINK("https://bit.ly/3EbYzIb")</f>
        <v>https://bit.ly/3EbYzIb</v>
      </c>
      <c r="Y1531" s="77" t="s">
        <v>6468</v>
      </c>
      <c r="Z1531" s="77"/>
      <c r="AA1531" s="77" t="s">
        <v>7376</v>
      </c>
      <c r="AB1531" s="77" t="s">
        <v>7742</v>
      </c>
      <c r="AC1531" s="82" t="s">
        <v>7779</v>
      </c>
      <c r="AD1531" s="77" t="s">
        <v>7788</v>
      </c>
      <c r="AE1531" s="80" t="str">
        <f>HYPERLINK("https://twitter.com/investidoreso/status/1695387863481774473")</f>
        <v>https://twitter.com/investidoreso/status/1695387863481774473</v>
      </c>
      <c r="AF1531" s="79">
        <v>45164.450694444444</v>
      </c>
      <c r="AG1531" s="85">
        <v>45164</v>
      </c>
      <c r="AH1531" s="82" t="s">
        <v>9102</v>
      </c>
      <c r="AI1531" s="77" t="b">
        <v>0</v>
      </c>
      <c r="AJ1531" s="77"/>
      <c r="AK1531" s="77"/>
      <c r="AL1531" s="77"/>
      <c r="AM1531" s="77"/>
      <c r="AN1531" s="77"/>
      <c r="AO1531" s="77"/>
      <c r="AP1531" s="77"/>
      <c r="AQ1531" s="77" t="s">
        <v>11348</v>
      </c>
      <c r="AR1531" s="77"/>
      <c r="AS1531" s="77"/>
      <c r="AT1531" s="77"/>
      <c r="AU1531" s="77"/>
      <c r="AV1531" s="80" t="str">
        <f>HYPERLINK("https://pbs.twimg.com/media/F4csi-QWkAAznth.jpg")</f>
        <v>https://pbs.twimg.com/media/F4csi-QWkAAznth.jpg</v>
      </c>
      <c r="AW1531" s="82" t="s">
        <v>13138</v>
      </c>
      <c r="AX1531" s="82" t="s">
        <v>13138</v>
      </c>
      <c r="AY1531" s="77"/>
      <c r="AZ1531" s="82" t="s">
        <v>15984</v>
      </c>
      <c r="BA1531" s="82" t="s">
        <v>15984</v>
      </c>
      <c r="BB1531" s="82" t="s">
        <v>15984</v>
      </c>
      <c r="BC1531" s="82" t="s">
        <v>13138</v>
      </c>
      <c r="BD1531" s="82" t="s">
        <v>16340</v>
      </c>
      <c r="BE1531" s="77"/>
      <c r="BF1531" s="77"/>
      <c r="BG1531" s="77"/>
      <c r="BH1531" s="77"/>
      <c r="BI1531" s="77"/>
    </row>
    <row r="1532" spans="1:61" x14ac:dyDescent="0.25">
      <c r="A1532" s="62" t="s">
        <v>641</v>
      </c>
      <c r="B1532" s="62" t="s">
        <v>641</v>
      </c>
      <c r="C1532" s="63"/>
      <c r="D1532" s="64"/>
      <c r="E1532" s="65"/>
      <c r="F1532" s="66"/>
      <c r="G1532" s="63"/>
      <c r="H1532" s="67"/>
      <c r="I1532" s="68"/>
      <c r="J1532" s="68"/>
      <c r="K1532" s="32"/>
      <c r="L1532" s="75">
        <v>1532</v>
      </c>
      <c r="M1532" s="75"/>
      <c r="N1532" s="70"/>
      <c r="O1532" s="77" t="s">
        <v>179</v>
      </c>
      <c r="P1532" s="79">
        <v>45156.414583333331</v>
      </c>
      <c r="Q1532" s="77" t="s">
        <v>2247</v>
      </c>
      <c r="R1532" s="77">
        <v>0</v>
      </c>
      <c r="S1532" s="77">
        <v>0</v>
      </c>
      <c r="T1532" s="77">
        <v>0</v>
      </c>
      <c r="U1532" s="77">
        <v>0</v>
      </c>
      <c r="V1532" s="77">
        <v>39</v>
      </c>
      <c r="W1532" s="82" t="s">
        <v>5578</v>
      </c>
      <c r="X1532" s="80" t="str">
        <f>HYPERLINK("https://bit.ly/3KHXsDS")</f>
        <v>https://bit.ly/3KHXsDS</v>
      </c>
      <c r="Y1532" s="77" t="s">
        <v>6468</v>
      </c>
      <c r="Z1532" s="77"/>
      <c r="AA1532" s="77" t="s">
        <v>7377</v>
      </c>
      <c r="AB1532" s="77" t="s">
        <v>7742</v>
      </c>
      <c r="AC1532" s="82" t="s">
        <v>7779</v>
      </c>
      <c r="AD1532" s="77" t="s">
        <v>7788</v>
      </c>
      <c r="AE1532" s="80" t="str">
        <f>HYPERLINK("https://twitter.com/investidoreso/status/1692475674307477923")</f>
        <v>https://twitter.com/investidoreso/status/1692475674307477923</v>
      </c>
      <c r="AF1532" s="79">
        <v>45156.414583333331</v>
      </c>
      <c r="AG1532" s="85">
        <v>45156</v>
      </c>
      <c r="AH1532" s="82" t="s">
        <v>9103</v>
      </c>
      <c r="AI1532" s="77" t="b">
        <v>0</v>
      </c>
      <c r="AJ1532" s="77"/>
      <c r="AK1532" s="77"/>
      <c r="AL1532" s="77"/>
      <c r="AM1532" s="77"/>
      <c r="AN1532" s="77"/>
      <c r="AO1532" s="77"/>
      <c r="AP1532" s="77"/>
      <c r="AQ1532" s="77" t="s">
        <v>11349</v>
      </c>
      <c r="AR1532" s="77"/>
      <c r="AS1532" s="77"/>
      <c r="AT1532" s="77"/>
      <c r="AU1532" s="77"/>
      <c r="AV1532" s="80" t="str">
        <f>HYPERLINK("https://pbs.twimg.com/media/F3zT7QHWEAAxZqw.jpg")</f>
        <v>https://pbs.twimg.com/media/F3zT7QHWEAAxZqw.jpg</v>
      </c>
      <c r="AW1532" s="82" t="s">
        <v>13139</v>
      </c>
      <c r="AX1532" s="82" t="s">
        <v>13139</v>
      </c>
      <c r="AY1532" s="77"/>
      <c r="AZ1532" s="82" t="s">
        <v>15984</v>
      </c>
      <c r="BA1532" s="82" t="s">
        <v>15984</v>
      </c>
      <c r="BB1532" s="82" t="s">
        <v>15984</v>
      </c>
      <c r="BC1532" s="82" t="s">
        <v>13139</v>
      </c>
      <c r="BD1532" s="82" t="s">
        <v>16340</v>
      </c>
      <c r="BE1532" s="77"/>
      <c r="BF1532" s="77"/>
      <c r="BG1532" s="77"/>
      <c r="BH1532" s="77"/>
      <c r="BI1532" s="77"/>
    </row>
    <row r="1533" spans="1:61" x14ac:dyDescent="0.25">
      <c r="A1533" s="62" t="s">
        <v>641</v>
      </c>
      <c r="B1533" s="62" t="s">
        <v>641</v>
      </c>
      <c r="C1533" s="63"/>
      <c r="D1533" s="64"/>
      <c r="E1533" s="65"/>
      <c r="F1533" s="66"/>
      <c r="G1533" s="63"/>
      <c r="H1533" s="67"/>
      <c r="I1533" s="68"/>
      <c r="J1533" s="68"/>
      <c r="K1533" s="32"/>
      <c r="L1533" s="75">
        <v>1533</v>
      </c>
      <c r="M1533" s="75"/>
      <c r="N1533" s="70"/>
      <c r="O1533" s="77" t="s">
        <v>179</v>
      </c>
      <c r="P1533" s="79">
        <v>45157.877685185187</v>
      </c>
      <c r="Q1533" s="77" t="s">
        <v>2248</v>
      </c>
      <c r="R1533" s="77">
        <v>0</v>
      </c>
      <c r="S1533" s="77">
        <v>0</v>
      </c>
      <c r="T1533" s="77">
        <v>0</v>
      </c>
      <c r="U1533" s="77">
        <v>0</v>
      </c>
      <c r="V1533" s="77">
        <v>100</v>
      </c>
      <c r="W1533" s="82" t="s">
        <v>5579</v>
      </c>
      <c r="X1533" s="80" t="str">
        <f>HYPERLINK("https://bit.ly/44bKWUd")</f>
        <v>https://bit.ly/44bKWUd</v>
      </c>
      <c r="Y1533" s="77" t="s">
        <v>6468</v>
      </c>
      <c r="Z1533" s="77"/>
      <c r="AA1533" s="77" t="s">
        <v>7378</v>
      </c>
      <c r="AB1533" s="77" t="s">
        <v>7742</v>
      </c>
      <c r="AC1533" s="82" t="s">
        <v>7779</v>
      </c>
      <c r="AD1533" s="77" t="s">
        <v>7788</v>
      </c>
      <c r="AE1533" s="80" t="str">
        <f>HYPERLINK("https://twitter.com/investidoreso/status/1693005888154370199")</f>
        <v>https://twitter.com/investidoreso/status/1693005888154370199</v>
      </c>
      <c r="AF1533" s="79">
        <v>45157.877685185187</v>
      </c>
      <c r="AG1533" s="85">
        <v>45157</v>
      </c>
      <c r="AH1533" s="82" t="s">
        <v>9104</v>
      </c>
      <c r="AI1533" s="77" t="b">
        <v>0</v>
      </c>
      <c r="AJ1533" s="77"/>
      <c r="AK1533" s="77"/>
      <c r="AL1533" s="77"/>
      <c r="AM1533" s="77"/>
      <c r="AN1533" s="77"/>
      <c r="AO1533" s="77"/>
      <c r="AP1533" s="77"/>
      <c r="AQ1533" s="77" t="s">
        <v>11350</v>
      </c>
      <c r="AR1533" s="77"/>
      <c r="AS1533" s="77"/>
      <c r="AT1533" s="77"/>
      <c r="AU1533" s="77"/>
      <c r="AV1533" s="80" t="str">
        <f>HYPERLINK("https://pbs.twimg.com/media/F37D4RgXoAAcNie.jpg")</f>
        <v>https://pbs.twimg.com/media/F37D4RgXoAAcNie.jpg</v>
      </c>
      <c r="AW1533" s="82" t="s">
        <v>13140</v>
      </c>
      <c r="AX1533" s="82" t="s">
        <v>13140</v>
      </c>
      <c r="AY1533" s="77"/>
      <c r="AZ1533" s="82" t="s">
        <v>15984</v>
      </c>
      <c r="BA1533" s="82" t="s">
        <v>15984</v>
      </c>
      <c r="BB1533" s="82" t="s">
        <v>15984</v>
      </c>
      <c r="BC1533" s="82" t="s">
        <v>13140</v>
      </c>
      <c r="BD1533" s="82" t="s">
        <v>16340</v>
      </c>
      <c r="BE1533" s="77"/>
      <c r="BF1533" s="77"/>
      <c r="BG1533" s="77"/>
      <c r="BH1533" s="77"/>
      <c r="BI1533" s="77"/>
    </row>
    <row r="1534" spans="1:61" x14ac:dyDescent="0.25">
      <c r="A1534" s="62" t="s">
        <v>641</v>
      </c>
      <c r="B1534" s="62" t="s">
        <v>641</v>
      </c>
      <c r="C1534" s="63"/>
      <c r="D1534" s="64"/>
      <c r="E1534" s="65"/>
      <c r="F1534" s="66"/>
      <c r="G1534" s="63"/>
      <c r="H1534" s="67"/>
      <c r="I1534" s="68"/>
      <c r="J1534" s="68"/>
      <c r="K1534" s="32"/>
      <c r="L1534" s="75">
        <v>1534</v>
      </c>
      <c r="M1534" s="75"/>
      <c r="N1534" s="70"/>
      <c r="O1534" s="77" t="s">
        <v>179</v>
      </c>
      <c r="P1534" s="79">
        <v>45168.970312500001</v>
      </c>
      <c r="Q1534" s="77" t="s">
        <v>2249</v>
      </c>
      <c r="R1534" s="77">
        <v>0</v>
      </c>
      <c r="S1534" s="77">
        <v>0</v>
      </c>
      <c r="T1534" s="77">
        <v>0</v>
      </c>
      <c r="U1534" s="77">
        <v>0</v>
      </c>
      <c r="V1534" s="77">
        <v>15</v>
      </c>
      <c r="W1534" s="82" t="s">
        <v>5580</v>
      </c>
      <c r="X1534" s="80" t="str">
        <f>HYPERLINK("https://bit.ly/4863uZc")</f>
        <v>https://bit.ly/4863uZc</v>
      </c>
      <c r="Y1534" s="77" t="s">
        <v>6468</v>
      </c>
      <c r="Z1534" s="77"/>
      <c r="AA1534" s="77" t="s">
        <v>7379</v>
      </c>
      <c r="AB1534" s="77" t="s">
        <v>7742</v>
      </c>
      <c r="AC1534" s="82" t="s">
        <v>7779</v>
      </c>
      <c r="AD1534" s="77" t="s">
        <v>7788</v>
      </c>
      <c r="AE1534" s="80" t="str">
        <f>HYPERLINK("https://twitter.com/investidoreso/status/1697025719191097385")</f>
        <v>https://twitter.com/investidoreso/status/1697025719191097385</v>
      </c>
      <c r="AF1534" s="79">
        <v>45168.970312500001</v>
      </c>
      <c r="AG1534" s="85">
        <v>45168</v>
      </c>
      <c r="AH1534" s="82" t="s">
        <v>9105</v>
      </c>
      <c r="AI1534" s="77" t="b">
        <v>0</v>
      </c>
      <c r="AJ1534" s="77"/>
      <c r="AK1534" s="77"/>
      <c r="AL1534" s="77"/>
      <c r="AM1534" s="77"/>
      <c r="AN1534" s="77"/>
      <c r="AO1534" s="77"/>
      <c r="AP1534" s="77"/>
      <c r="AQ1534" s="77" t="s">
        <v>11351</v>
      </c>
      <c r="AR1534" s="77"/>
      <c r="AS1534" s="77"/>
      <c r="AT1534" s="77"/>
      <c r="AU1534" s="77"/>
      <c r="AV1534" s="80" t="str">
        <f>HYPERLINK("https://pbs.twimg.com/media/F40L5PRXwAAd8QP.jpg")</f>
        <v>https://pbs.twimg.com/media/F40L5PRXwAAd8QP.jpg</v>
      </c>
      <c r="AW1534" s="82" t="s">
        <v>13141</v>
      </c>
      <c r="AX1534" s="82" t="s">
        <v>13141</v>
      </c>
      <c r="AY1534" s="77"/>
      <c r="AZ1534" s="82" t="s">
        <v>15984</v>
      </c>
      <c r="BA1534" s="82" t="s">
        <v>15984</v>
      </c>
      <c r="BB1534" s="82" t="s">
        <v>15984</v>
      </c>
      <c r="BC1534" s="82" t="s">
        <v>13141</v>
      </c>
      <c r="BD1534" s="82" t="s">
        <v>16340</v>
      </c>
      <c r="BE1534" s="77"/>
      <c r="BF1534" s="77"/>
      <c r="BG1534" s="77"/>
      <c r="BH1534" s="77"/>
      <c r="BI1534" s="77"/>
    </row>
    <row r="1535" spans="1:61" x14ac:dyDescent="0.25">
      <c r="A1535" s="62" t="s">
        <v>641</v>
      </c>
      <c r="B1535" s="62" t="s">
        <v>641</v>
      </c>
      <c r="C1535" s="63"/>
      <c r="D1535" s="64"/>
      <c r="E1535" s="65"/>
      <c r="F1535" s="66"/>
      <c r="G1535" s="63"/>
      <c r="H1535" s="67"/>
      <c r="I1535" s="68"/>
      <c r="J1535" s="68"/>
      <c r="K1535" s="32"/>
      <c r="L1535" s="75">
        <v>1535</v>
      </c>
      <c r="M1535" s="75"/>
      <c r="N1535" s="70"/>
      <c r="O1535" s="77" t="s">
        <v>179</v>
      </c>
      <c r="P1535" s="79">
        <v>45170.024965277778</v>
      </c>
      <c r="Q1535" s="77" t="s">
        <v>2250</v>
      </c>
      <c r="R1535" s="77">
        <v>0</v>
      </c>
      <c r="S1535" s="77">
        <v>0</v>
      </c>
      <c r="T1535" s="77">
        <v>0</v>
      </c>
      <c r="U1535" s="77">
        <v>0</v>
      </c>
      <c r="V1535" s="77">
        <v>142</v>
      </c>
      <c r="W1535" s="82" t="s">
        <v>5581</v>
      </c>
      <c r="X1535" s="80" t="str">
        <f>HYPERLINK("https://bit.ly/3L4FeNg")</f>
        <v>https://bit.ly/3L4FeNg</v>
      </c>
      <c r="Y1535" s="77" t="s">
        <v>6468</v>
      </c>
      <c r="Z1535" s="77"/>
      <c r="AA1535" s="77" t="s">
        <v>7380</v>
      </c>
      <c r="AB1535" s="77" t="s">
        <v>7742</v>
      </c>
      <c r="AC1535" s="82" t="s">
        <v>7779</v>
      </c>
      <c r="AD1535" s="77" t="s">
        <v>7788</v>
      </c>
      <c r="AE1535" s="80" t="str">
        <f>HYPERLINK("https://twitter.com/investidoreso/status/1697407914569310341")</f>
        <v>https://twitter.com/investidoreso/status/1697407914569310341</v>
      </c>
      <c r="AF1535" s="79">
        <v>45170.024965277778</v>
      </c>
      <c r="AG1535" s="85">
        <v>45170</v>
      </c>
      <c r="AH1535" s="82" t="s">
        <v>9106</v>
      </c>
      <c r="AI1535" s="77" t="b">
        <v>0</v>
      </c>
      <c r="AJ1535" s="77"/>
      <c r="AK1535" s="77"/>
      <c r="AL1535" s="77"/>
      <c r="AM1535" s="77"/>
      <c r="AN1535" s="77"/>
      <c r="AO1535" s="77"/>
      <c r="AP1535" s="77"/>
      <c r="AQ1535" s="77" t="s">
        <v>11352</v>
      </c>
      <c r="AR1535" s="77"/>
      <c r="AS1535" s="77"/>
      <c r="AT1535" s="77"/>
      <c r="AU1535" s="77"/>
      <c r="AV1535" s="80" t="str">
        <f>HYPERLINK("https://pbs.twimg.com/media/F45nf9mWEAAaIsu.jpg")</f>
        <v>https://pbs.twimg.com/media/F45nf9mWEAAaIsu.jpg</v>
      </c>
      <c r="AW1535" s="82" t="s">
        <v>13142</v>
      </c>
      <c r="AX1535" s="82" t="s">
        <v>13142</v>
      </c>
      <c r="AY1535" s="77"/>
      <c r="AZ1535" s="82" t="s">
        <v>15984</v>
      </c>
      <c r="BA1535" s="82" t="s">
        <v>15984</v>
      </c>
      <c r="BB1535" s="82" t="s">
        <v>15984</v>
      </c>
      <c r="BC1535" s="82" t="s">
        <v>13142</v>
      </c>
      <c r="BD1535" s="82" t="s">
        <v>16340</v>
      </c>
      <c r="BE1535" s="77"/>
      <c r="BF1535" s="77"/>
      <c r="BG1535" s="77"/>
      <c r="BH1535" s="77"/>
      <c r="BI1535" s="77"/>
    </row>
    <row r="1536" spans="1:61" x14ac:dyDescent="0.25">
      <c r="A1536" s="62" t="s">
        <v>641</v>
      </c>
      <c r="B1536" s="62" t="s">
        <v>641</v>
      </c>
      <c r="C1536" s="63"/>
      <c r="D1536" s="64"/>
      <c r="E1536" s="65"/>
      <c r="F1536" s="66"/>
      <c r="G1536" s="63"/>
      <c r="H1536" s="67"/>
      <c r="I1536" s="68"/>
      <c r="J1536" s="68"/>
      <c r="K1536" s="32"/>
      <c r="L1536" s="75">
        <v>1536</v>
      </c>
      <c r="M1536" s="75"/>
      <c r="N1536" s="70"/>
      <c r="O1536" s="77" t="s">
        <v>179</v>
      </c>
      <c r="P1536" s="79">
        <v>45166.882060185184</v>
      </c>
      <c r="Q1536" s="77" t="s">
        <v>2251</v>
      </c>
      <c r="R1536" s="77">
        <v>0</v>
      </c>
      <c r="S1536" s="77">
        <v>0</v>
      </c>
      <c r="T1536" s="77">
        <v>0</v>
      </c>
      <c r="U1536" s="77">
        <v>0</v>
      </c>
      <c r="V1536" s="77">
        <v>10</v>
      </c>
      <c r="W1536" s="82" t="s">
        <v>5582</v>
      </c>
      <c r="X1536" s="80" t="str">
        <f>HYPERLINK("https://bit.ly/3YTGpEF")</f>
        <v>https://bit.ly/3YTGpEF</v>
      </c>
      <c r="Y1536" s="77" t="s">
        <v>6468</v>
      </c>
      <c r="Z1536" s="77"/>
      <c r="AA1536" s="77" t="s">
        <v>7381</v>
      </c>
      <c r="AB1536" s="77" t="s">
        <v>7742</v>
      </c>
      <c r="AC1536" s="82" t="s">
        <v>7779</v>
      </c>
      <c r="AD1536" s="77" t="s">
        <v>7788</v>
      </c>
      <c r="AE1536" s="80" t="str">
        <f>HYPERLINK("https://twitter.com/investidoreso/status/1696268962655342622")</f>
        <v>https://twitter.com/investidoreso/status/1696268962655342622</v>
      </c>
      <c r="AF1536" s="79">
        <v>45166.882060185184</v>
      </c>
      <c r="AG1536" s="85">
        <v>45166</v>
      </c>
      <c r="AH1536" s="82" t="s">
        <v>9107</v>
      </c>
      <c r="AI1536" s="77" t="b">
        <v>0</v>
      </c>
      <c r="AJ1536" s="77"/>
      <c r="AK1536" s="77"/>
      <c r="AL1536" s="77"/>
      <c r="AM1536" s="77"/>
      <c r="AN1536" s="77"/>
      <c r="AO1536" s="77"/>
      <c r="AP1536" s="77"/>
      <c r="AQ1536" s="77" t="s">
        <v>11353</v>
      </c>
      <c r="AR1536" s="77"/>
      <c r="AS1536" s="77"/>
      <c r="AT1536" s="77"/>
      <c r="AU1536" s="77"/>
      <c r="AV1536" s="80" t="str">
        <f>HYPERLINK("https://pbs.twimg.com/media/F4pboN_WwAAV6vz.jpg")</f>
        <v>https://pbs.twimg.com/media/F4pboN_WwAAV6vz.jpg</v>
      </c>
      <c r="AW1536" s="82" t="s">
        <v>13143</v>
      </c>
      <c r="AX1536" s="82" t="s">
        <v>13143</v>
      </c>
      <c r="AY1536" s="77"/>
      <c r="AZ1536" s="82" t="s">
        <v>15984</v>
      </c>
      <c r="BA1536" s="82" t="s">
        <v>15984</v>
      </c>
      <c r="BB1536" s="82" t="s">
        <v>15984</v>
      </c>
      <c r="BC1536" s="82" t="s">
        <v>13143</v>
      </c>
      <c r="BD1536" s="82" t="s">
        <v>16340</v>
      </c>
      <c r="BE1536" s="77"/>
      <c r="BF1536" s="77"/>
      <c r="BG1536" s="77"/>
      <c r="BH1536" s="77"/>
      <c r="BI1536" s="77"/>
    </row>
    <row r="1537" spans="1:61" x14ac:dyDescent="0.25">
      <c r="A1537" s="62" t="s">
        <v>641</v>
      </c>
      <c r="B1537" s="62" t="s">
        <v>641</v>
      </c>
      <c r="C1537" s="63"/>
      <c r="D1537" s="64"/>
      <c r="E1537" s="65"/>
      <c r="F1537" s="66"/>
      <c r="G1537" s="63"/>
      <c r="H1537" s="67"/>
      <c r="I1537" s="68"/>
      <c r="J1537" s="68"/>
      <c r="K1537" s="32"/>
      <c r="L1537" s="75">
        <v>1537</v>
      </c>
      <c r="M1537" s="75"/>
      <c r="N1537" s="70"/>
      <c r="O1537" s="77" t="s">
        <v>179</v>
      </c>
      <c r="P1537" s="79">
        <v>45166.88181712963</v>
      </c>
      <c r="Q1537" s="77" t="s">
        <v>2252</v>
      </c>
      <c r="R1537" s="77">
        <v>0</v>
      </c>
      <c r="S1537" s="77">
        <v>0</v>
      </c>
      <c r="T1537" s="77">
        <v>0</v>
      </c>
      <c r="U1537" s="77">
        <v>0</v>
      </c>
      <c r="V1537" s="77">
        <v>10</v>
      </c>
      <c r="W1537" s="82" t="s">
        <v>5582</v>
      </c>
      <c r="X1537" s="80" t="str">
        <f>HYPERLINK("https://bit.ly/3YTGpEF")</f>
        <v>https://bit.ly/3YTGpEF</v>
      </c>
      <c r="Y1537" s="77" t="s">
        <v>6468</v>
      </c>
      <c r="Z1537" s="77"/>
      <c r="AA1537" s="77" t="s">
        <v>7382</v>
      </c>
      <c r="AB1537" s="77" t="s">
        <v>7742</v>
      </c>
      <c r="AC1537" s="82" t="s">
        <v>7779</v>
      </c>
      <c r="AD1537" s="77" t="s">
        <v>7788</v>
      </c>
      <c r="AE1537" s="80" t="str">
        <f>HYPERLINK("https://twitter.com/investidoreso/status/1696268872901357833")</f>
        <v>https://twitter.com/investidoreso/status/1696268872901357833</v>
      </c>
      <c r="AF1537" s="79">
        <v>45166.88181712963</v>
      </c>
      <c r="AG1537" s="85">
        <v>45166</v>
      </c>
      <c r="AH1537" s="82" t="s">
        <v>9108</v>
      </c>
      <c r="AI1537" s="77" t="b">
        <v>0</v>
      </c>
      <c r="AJ1537" s="77"/>
      <c r="AK1537" s="77"/>
      <c r="AL1537" s="77"/>
      <c r="AM1537" s="77"/>
      <c r="AN1537" s="77"/>
      <c r="AO1537" s="77"/>
      <c r="AP1537" s="77"/>
      <c r="AQ1537" s="77" t="s">
        <v>11354</v>
      </c>
      <c r="AR1537" s="77"/>
      <c r="AS1537" s="77"/>
      <c r="AT1537" s="77"/>
      <c r="AU1537" s="77"/>
      <c r="AV1537" s="80" t="str">
        <f>HYPERLINK("https://pbs.twimg.com/media/F4pbjAdWEAAYjNk.jpg")</f>
        <v>https://pbs.twimg.com/media/F4pbjAdWEAAYjNk.jpg</v>
      </c>
      <c r="AW1537" s="82" t="s">
        <v>13144</v>
      </c>
      <c r="AX1537" s="82" t="s">
        <v>13144</v>
      </c>
      <c r="AY1537" s="77"/>
      <c r="AZ1537" s="82" t="s">
        <v>15984</v>
      </c>
      <c r="BA1537" s="82" t="s">
        <v>15984</v>
      </c>
      <c r="BB1537" s="82" t="s">
        <v>15984</v>
      </c>
      <c r="BC1537" s="82" t="s">
        <v>13144</v>
      </c>
      <c r="BD1537" s="82" t="s">
        <v>16340</v>
      </c>
      <c r="BE1537" s="77"/>
      <c r="BF1537" s="77"/>
      <c r="BG1537" s="77"/>
      <c r="BH1537" s="77"/>
      <c r="BI1537" s="77"/>
    </row>
    <row r="1538" spans="1:61" x14ac:dyDescent="0.25">
      <c r="A1538" s="62" t="s">
        <v>641</v>
      </c>
      <c r="B1538" s="62" t="s">
        <v>641</v>
      </c>
      <c r="C1538" s="63"/>
      <c r="D1538" s="64"/>
      <c r="E1538" s="65"/>
      <c r="F1538" s="66"/>
      <c r="G1538" s="63"/>
      <c r="H1538" s="67"/>
      <c r="I1538" s="68"/>
      <c r="J1538" s="68"/>
      <c r="K1538" s="32"/>
      <c r="L1538" s="75">
        <v>1538</v>
      </c>
      <c r="M1538" s="75"/>
      <c r="N1538" s="70"/>
      <c r="O1538" s="77" t="s">
        <v>179</v>
      </c>
      <c r="P1538" s="79">
        <v>45180.81554398148</v>
      </c>
      <c r="Q1538" s="77" t="s">
        <v>2253</v>
      </c>
      <c r="R1538" s="77">
        <v>0</v>
      </c>
      <c r="S1538" s="77">
        <v>0</v>
      </c>
      <c r="T1538" s="77">
        <v>0</v>
      </c>
      <c r="U1538" s="77">
        <v>0</v>
      </c>
      <c r="V1538" s="77">
        <v>12</v>
      </c>
      <c r="W1538" s="82" t="s">
        <v>5583</v>
      </c>
      <c r="X1538" s="80" t="str">
        <f>HYPERLINK("https://investidoresbrasil.com.br/bolsa-brasileira-deve-aumentar-em-duas-horas-o-horario-de-negociacao/")</f>
        <v>https://investidoresbrasil.com.br/bolsa-brasileira-deve-aumentar-em-duas-horas-o-horario-de-negociacao/</v>
      </c>
      <c r="Y1538" s="77" t="s">
        <v>6470</v>
      </c>
      <c r="Z1538" s="77"/>
      <c r="AA1538" s="77" t="s">
        <v>7383</v>
      </c>
      <c r="AB1538" s="77" t="s">
        <v>7742</v>
      </c>
      <c r="AC1538" s="82" t="s">
        <v>7779</v>
      </c>
      <c r="AD1538" s="77" t="s">
        <v>7791</v>
      </c>
      <c r="AE1538" s="80" t="str">
        <f>HYPERLINK("https://twitter.com/investidoreso/status/1701318288469324215")</f>
        <v>https://twitter.com/investidoreso/status/1701318288469324215</v>
      </c>
      <c r="AF1538" s="79">
        <v>45180.81554398148</v>
      </c>
      <c r="AG1538" s="85">
        <v>45180</v>
      </c>
      <c r="AH1538" s="82" t="s">
        <v>9109</v>
      </c>
      <c r="AI1538" s="77" t="b">
        <v>0</v>
      </c>
      <c r="AJ1538" s="77"/>
      <c r="AK1538" s="77"/>
      <c r="AL1538" s="77"/>
      <c r="AM1538" s="77"/>
      <c r="AN1538" s="77"/>
      <c r="AO1538" s="77"/>
      <c r="AP1538" s="77"/>
      <c r="AQ1538" s="77" t="s">
        <v>11355</v>
      </c>
      <c r="AR1538" s="77"/>
      <c r="AS1538" s="77"/>
      <c r="AT1538" s="77"/>
      <c r="AU1538" s="77"/>
      <c r="AV1538" s="80" t="str">
        <f>HYPERLINK("https://pbs.twimg.com/media/F5xL9onXgAAGfIi.jpg")</f>
        <v>https://pbs.twimg.com/media/F5xL9onXgAAGfIi.jpg</v>
      </c>
      <c r="AW1538" s="82" t="s">
        <v>13145</v>
      </c>
      <c r="AX1538" s="82" t="s">
        <v>13145</v>
      </c>
      <c r="AY1538" s="77"/>
      <c r="AZ1538" s="82" t="s">
        <v>15984</v>
      </c>
      <c r="BA1538" s="82" t="s">
        <v>15984</v>
      </c>
      <c r="BB1538" s="82" t="s">
        <v>15984</v>
      </c>
      <c r="BC1538" s="82" t="s">
        <v>13145</v>
      </c>
      <c r="BD1538" s="82" t="s">
        <v>16340</v>
      </c>
      <c r="BE1538" s="77"/>
      <c r="BF1538" s="77"/>
      <c r="BG1538" s="77"/>
      <c r="BH1538" s="77"/>
      <c r="BI1538" s="77"/>
    </row>
    <row r="1539" spans="1:61" x14ac:dyDescent="0.25">
      <c r="A1539" s="62" t="s">
        <v>641</v>
      </c>
      <c r="B1539" s="62" t="s">
        <v>641</v>
      </c>
      <c r="C1539" s="63"/>
      <c r="D1539" s="64"/>
      <c r="E1539" s="65"/>
      <c r="F1539" s="66"/>
      <c r="G1539" s="63"/>
      <c r="H1539" s="67"/>
      <c r="I1539" s="68"/>
      <c r="J1539" s="68"/>
      <c r="K1539" s="32"/>
      <c r="L1539" s="75">
        <v>1539</v>
      </c>
      <c r="M1539" s="75"/>
      <c r="N1539" s="70"/>
      <c r="O1539" s="77" t="s">
        <v>179</v>
      </c>
      <c r="P1539" s="79">
        <v>45150.563819444447</v>
      </c>
      <c r="Q1539" s="77" t="s">
        <v>2254</v>
      </c>
      <c r="R1539" s="77">
        <v>0</v>
      </c>
      <c r="S1539" s="77">
        <v>0</v>
      </c>
      <c r="T1539" s="77">
        <v>0</v>
      </c>
      <c r="U1539" s="77">
        <v>0</v>
      </c>
      <c r="V1539" s="77">
        <v>13</v>
      </c>
      <c r="W1539" s="82" t="s">
        <v>5584</v>
      </c>
      <c r="X1539" s="80" t="str">
        <f>HYPERLINK("https://bit.ly/3OAnj1O")</f>
        <v>https://bit.ly/3OAnj1O</v>
      </c>
      <c r="Y1539" s="77" t="s">
        <v>6468</v>
      </c>
      <c r="Z1539" s="77"/>
      <c r="AA1539" s="77" t="s">
        <v>7384</v>
      </c>
      <c r="AB1539" s="77" t="s">
        <v>7742</v>
      </c>
      <c r="AC1539" s="82" t="s">
        <v>7779</v>
      </c>
      <c r="AD1539" s="77" t="s">
        <v>7791</v>
      </c>
      <c r="AE1539" s="80" t="str">
        <f>HYPERLINK("https://twitter.com/investidoreso/status/1690355428884951040")</f>
        <v>https://twitter.com/investidoreso/status/1690355428884951040</v>
      </c>
      <c r="AF1539" s="79">
        <v>45150.563819444447</v>
      </c>
      <c r="AG1539" s="85">
        <v>45150</v>
      </c>
      <c r="AH1539" s="82" t="s">
        <v>9110</v>
      </c>
      <c r="AI1539" s="77" t="b">
        <v>0</v>
      </c>
      <c r="AJ1539" s="77"/>
      <c r="AK1539" s="77"/>
      <c r="AL1539" s="77"/>
      <c r="AM1539" s="77"/>
      <c r="AN1539" s="77"/>
      <c r="AO1539" s="77"/>
      <c r="AP1539" s="77"/>
      <c r="AQ1539" s="77" t="s">
        <v>11356</v>
      </c>
      <c r="AR1539" s="77"/>
      <c r="AS1539" s="77"/>
      <c r="AT1539" s="77"/>
      <c r="AU1539" s="77"/>
      <c r="AV1539" s="80" t="str">
        <f>HYPERLINK("https://pbs.twimg.com/media/F3VZTQ_XUAAjlT7.jpg")</f>
        <v>https://pbs.twimg.com/media/F3VZTQ_XUAAjlT7.jpg</v>
      </c>
      <c r="AW1539" s="82" t="s">
        <v>13146</v>
      </c>
      <c r="AX1539" s="82" t="s">
        <v>13146</v>
      </c>
      <c r="AY1539" s="77"/>
      <c r="AZ1539" s="82" t="s">
        <v>15984</v>
      </c>
      <c r="BA1539" s="82" t="s">
        <v>15984</v>
      </c>
      <c r="BB1539" s="82" t="s">
        <v>15984</v>
      </c>
      <c r="BC1539" s="82" t="s">
        <v>13146</v>
      </c>
      <c r="BD1539" s="82" t="s">
        <v>16340</v>
      </c>
      <c r="BE1539" s="77"/>
      <c r="BF1539" s="77"/>
      <c r="BG1539" s="77"/>
      <c r="BH1539" s="77"/>
      <c r="BI1539" s="77"/>
    </row>
    <row r="1540" spans="1:61" x14ac:dyDescent="0.25">
      <c r="A1540" s="62" t="s">
        <v>641</v>
      </c>
      <c r="B1540" s="62" t="s">
        <v>641</v>
      </c>
      <c r="C1540" s="63"/>
      <c r="D1540" s="64"/>
      <c r="E1540" s="65"/>
      <c r="F1540" s="66"/>
      <c r="G1540" s="63"/>
      <c r="H1540" s="67"/>
      <c r="I1540" s="68"/>
      <c r="J1540" s="68"/>
      <c r="K1540" s="32"/>
      <c r="L1540" s="75">
        <v>1540</v>
      </c>
      <c r="M1540" s="75"/>
      <c r="N1540" s="70"/>
      <c r="O1540" s="77" t="s">
        <v>179</v>
      </c>
      <c r="P1540" s="79">
        <v>45185.509571759256</v>
      </c>
      <c r="Q1540" s="77" t="s">
        <v>2255</v>
      </c>
      <c r="R1540" s="77">
        <v>0</v>
      </c>
      <c r="S1540" s="77">
        <v>0</v>
      </c>
      <c r="T1540" s="77">
        <v>0</v>
      </c>
      <c r="U1540" s="77">
        <v>0</v>
      </c>
      <c r="V1540" s="77">
        <v>22</v>
      </c>
      <c r="W1540" s="82" t="s">
        <v>5585</v>
      </c>
      <c r="X1540" s="80" t="str">
        <f>HYPERLINK("https://bit.ly/3LrBdCJ")</f>
        <v>https://bit.ly/3LrBdCJ</v>
      </c>
      <c r="Y1540" s="77" t="s">
        <v>6468</v>
      </c>
      <c r="Z1540" s="77"/>
      <c r="AA1540" s="77" t="s">
        <v>7385</v>
      </c>
      <c r="AB1540" s="77" t="s">
        <v>7742</v>
      </c>
      <c r="AC1540" s="82" t="s">
        <v>7779</v>
      </c>
      <c r="AD1540" s="77" t="s">
        <v>7788</v>
      </c>
      <c r="AE1540" s="80" t="str">
        <f>HYPERLINK("https://twitter.com/investidoreso/status/1703019346744746429")</f>
        <v>https://twitter.com/investidoreso/status/1703019346744746429</v>
      </c>
      <c r="AF1540" s="79">
        <v>45185.509571759256</v>
      </c>
      <c r="AG1540" s="85">
        <v>45185</v>
      </c>
      <c r="AH1540" s="82" t="s">
        <v>9111</v>
      </c>
      <c r="AI1540" s="77" t="b">
        <v>0</v>
      </c>
      <c r="AJ1540" s="77"/>
      <c r="AK1540" s="77"/>
      <c r="AL1540" s="77"/>
      <c r="AM1540" s="77"/>
      <c r="AN1540" s="77"/>
      <c r="AO1540" s="77"/>
      <c r="AP1540" s="77"/>
      <c r="AQ1540" s="77" t="s">
        <v>11357</v>
      </c>
      <c r="AR1540" s="77"/>
      <c r="AS1540" s="77"/>
      <c r="AT1540" s="77"/>
      <c r="AU1540" s="77"/>
      <c r="AV1540" s="80" t="str">
        <f>HYPERLINK("https://pbs.twimg.com/media/F6JXESeXcAAX02c.jpg")</f>
        <v>https://pbs.twimg.com/media/F6JXESeXcAAX02c.jpg</v>
      </c>
      <c r="AW1540" s="82" t="s">
        <v>13147</v>
      </c>
      <c r="AX1540" s="82" t="s">
        <v>13147</v>
      </c>
      <c r="AY1540" s="77"/>
      <c r="AZ1540" s="82" t="s">
        <v>15984</v>
      </c>
      <c r="BA1540" s="82" t="s">
        <v>15984</v>
      </c>
      <c r="BB1540" s="82" t="s">
        <v>15984</v>
      </c>
      <c r="BC1540" s="82" t="s">
        <v>13147</v>
      </c>
      <c r="BD1540" s="82" t="s">
        <v>16340</v>
      </c>
      <c r="BE1540" s="77"/>
      <c r="BF1540" s="77"/>
      <c r="BG1540" s="77"/>
      <c r="BH1540" s="77"/>
      <c r="BI1540" s="77"/>
    </row>
    <row r="1541" spans="1:61" x14ac:dyDescent="0.25">
      <c r="A1541" s="62" t="s">
        <v>641</v>
      </c>
      <c r="B1541" s="62" t="s">
        <v>641</v>
      </c>
      <c r="C1541" s="63"/>
      <c r="D1541" s="64"/>
      <c r="E1541" s="65"/>
      <c r="F1541" s="66"/>
      <c r="G1541" s="63"/>
      <c r="H1541" s="67"/>
      <c r="I1541" s="68"/>
      <c r="J1541" s="68"/>
      <c r="K1541" s="32"/>
      <c r="L1541" s="75">
        <v>1541</v>
      </c>
      <c r="M1541" s="75"/>
      <c r="N1541" s="70"/>
      <c r="O1541" s="77" t="s">
        <v>179</v>
      </c>
      <c r="P1541" s="79">
        <v>45174.446527777778</v>
      </c>
      <c r="Q1541" s="77" t="s">
        <v>2256</v>
      </c>
      <c r="R1541" s="77">
        <v>0</v>
      </c>
      <c r="S1541" s="77">
        <v>0</v>
      </c>
      <c r="T1541" s="77">
        <v>0</v>
      </c>
      <c r="U1541" s="77">
        <v>0</v>
      </c>
      <c r="V1541" s="77">
        <v>18</v>
      </c>
      <c r="W1541" s="82" t="s">
        <v>5586</v>
      </c>
      <c r="X1541" s="80" t="str">
        <f>HYPERLINK("https://bit.ly/483Zk43")</f>
        <v>https://bit.ly/483Zk43</v>
      </c>
      <c r="Y1541" s="77" t="s">
        <v>6468</v>
      </c>
      <c r="Z1541" s="77"/>
      <c r="AA1541" s="77" t="s">
        <v>7386</v>
      </c>
      <c r="AB1541" s="77" t="s">
        <v>7742</v>
      </c>
      <c r="AC1541" s="82" t="s">
        <v>7779</v>
      </c>
      <c r="AD1541" s="77" t="s">
        <v>7788</v>
      </c>
      <c r="AE1541" s="80" t="str">
        <f>HYPERLINK("https://twitter.com/investidoreso/status/1699010232150643166")</f>
        <v>https://twitter.com/investidoreso/status/1699010232150643166</v>
      </c>
      <c r="AF1541" s="79">
        <v>45174.446527777778</v>
      </c>
      <c r="AG1541" s="85">
        <v>45174</v>
      </c>
      <c r="AH1541" s="82" t="s">
        <v>9112</v>
      </c>
      <c r="AI1541" s="77" t="b">
        <v>0</v>
      </c>
      <c r="AJ1541" s="77"/>
      <c r="AK1541" s="77"/>
      <c r="AL1541" s="77"/>
      <c r="AM1541" s="77"/>
      <c r="AN1541" s="77"/>
      <c r="AO1541" s="77"/>
      <c r="AP1541" s="77"/>
      <c r="AQ1541" s="77" t="s">
        <v>11358</v>
      </c>
      <c r="AR1541" s="77"/>
      <c r="AS1541" s="77"/>
      <c r="AT1541" s="77"/>
      <c r="AU1541" s="77"/>
      <c r="AV1541" s="80" t="str">
        <f>HYPERLINK("https://pbs.twimg.com/media/F5QLElSXYAAogOb.jpg")</f>
        <v>https://pbs.twimg.com/media/F5QLElSXYAAogOb.jpg</v>
      </c>
      <c r="AW1541" s="82" t="s">
        <v>13148</v>
      </c>
      <c r="AX1541" s="82" t="s">
        <v>13148</v>
      </c>
      <c r="AY1541" s="77"/>
      <c r="AZ1541" s="82" t="s">
        <v>15984</v>
      </c>
      <c r="BA1541" s="82" t="s">
        <v>15984</v>
      </c>
      <c r="BB1541" s="82" t="s">
        <v>15984</v>
      </c>
      <c r="BC1541" s="82" t="s">
        <v>13148</v>
      </c>
      <c r="BD1541" s="82" t="s">
        <v>16340</v>
      </c>
      <c r="BE1541" s="77"/>
      <c r="BF1541" s="77"/>
      <c r="BG1541" s="77"/>
      <c r="BH1541" s="77"/>
      <c r="BI1541" s="77"/>
    </row>
    <row r="1542" spans="1:61" x14ac:dyDescent="0.25">
      <c r="A1542" s="62" t="s">
        <v>641</v>
      </c>
      <c r="B1542" s="62" t="s">
        <v>641</v>
      </c>
      <c r="C1542" s="63"/>
      <c r="D1542" s="64"/>
      <c r="E1542" s="65"/>
      <c r="F1542" s="66"/>
      <c r="G1542" s="63"/>
      <c r="H1542" s="67"/>
      <c r="I1542" s="68"/>
      <c r="J1542" s="68"/>
      <c r="K1542" s="32"/>
      <c r="L1542" s="75">
        <v>1542</v>
      </c>
      <c r="M1542" s="75"/>
      <c r="N1542" s="70"/>
      <c r="O1542" s="77" t="s">
        <v>179</v>
      </c>
      <c r="P1542" s="79">
        <v>45152.402777777781</v>
      </c>
      <c r="Q1542" s="77" t="s">
        <v>2257</v>
      </c>
      <c r="R1542" s="77">
        <v>0</v>
      </c>
      <c r="S1542" s="77">
        <v>0</v>
      </c>
      <c r="T1542" s="77">
        <v>0</v>
      </c>
      <c r="U1542" s="77">
        <v>0</v>
      </c>
      <c r="V1542" s="77">
        <v>7</v>
      </c>
      <c r="W1542" s="82" t="s">
        <v>4839</v>
      </c>
      <c r="X1542" s="80" t="str">
        <f>HYPERLINK("https://bit.ly/45bWbgz")</f>
        <v>https://bit.ly/45bWbgz</v>
      </c>
      <c r="Y1542" s="77" t="s">
        <v>6468</v>
      </c>
      <c r="Z1542" s="77"/>
      <c r="AA1542" s="77" t="s">
        <v>7387</v>
      </c>
      <c r="AB1542" s="77" t="s">
        <v>7742</v>
      </c>
      <c r="AC1542" s="82" t="s">
        <v>7779</v>
      </c>
      <c r="AD1542" s="77" t="s">
        <v>7791</v>
      </c>
      <c r="AE1542" s="80" t="str">
        <f>HYPERLINK("https://twitter.com/investidoreso/status/1691021844646596608")</f>
        <v>https://twitter.com/investidoreso/status/1691021844646596608</v>
      </c>
      <c r="AF1542" s="79">
        <v>45152.402777777781</v>
      </c>
      <c r="AG1542" s="85">
        <v>45152</v>
      </c>
      <c r="AH1542" s="82" t="s">
        <v>9113</v>
      </c>
      <c r="AI1542" s="77" t="b">
        <v>0</v>
      </c>
      <c r="AJ1542" s="77"/>
      <c r="AK1542" s="77"/>
      <c r="AL1542" s="77"/>
      <c r="AM1542" s="77"/>
      <c r="AN1542" s="77"/>
      <c r="AO1542" s="77"/>
      <c r="AP1542" s="77"/>
      <c r="AQ1542" s="77" t="s">
        <v>11359</v>
      </c>
      <c r="AR1542" s="77"/>
      <c r="AS1542" s="77"/>
      <c r="AT1542" s="77"/>
      <c r="AU1542" s="77"/>
      <c r="AV1542" s="80" t="str">
        <f>HYPERLINK("https://pbs.twimg.com/media/F3eprPMWkAEasvM.jpg")</f>
        <v>https://pbs.twimg.com/media/F3eprPMWkAEasvM.jpg</v>
      </c>
      <c r="AW1542" s="82" t="s">
        <v>13149</v>
      </c>
      <c r="AX1542" s="82" t="s">
        <v>13149</v>
      </c>
      <c r="AY1542" s="77"/>
      <c r="AZ1542" s="82" t="s">
        <v>15984</v>
      </c>
      <c r="BA1542" s="82" t="s">
        <v>15984</v>
      </c>
      <c r="BB1542" s="82" t="s">
        <v>15984</v>
      </c>
      <c r="BC1542" s="82" t="s">
        <v>13149</v>
      </c>
      <c r="BD1542" s="82" t="s">
        <v>16340</v>
      </c>
      <c r="BE1542" s="77"/>
      <c r="BF1542" s="77"/>
      <c r="BG1542" s="77"/>
      <c r="BH1542" s="77"/>
      <c r="BI1542" s="77"/>
    </row>
    <row r="1543" spans="1:61" x14ac:dyDescent="0.25">
      <c r="A1543" s="62" t="s">
        <v>641</v>
      </c>
      <c r="B1543" s="62" t="s">
        <v>641</v>
      </c>
      <c r="C1543" s="63"/>
      <c r="D1543" s="64"/>
      <c r="E1543" s="65"/>
      <c r="F1543" s="66"/>
      <c r="G1543" s="63"/>
      <c r="H1543" s="67"/>
      <c r="I1543" s="68"/>
      <c r="J1543" s="68"/>
      <c r="K1543" s="32"/>
      <c r="L1543" s="75">
        <v>1543</v>
      </c>
      <c r="M1543" s="75"/>
      <c r="N1543" s="70"/>
      <c r="O1543" s="77" t="s">
        <v>179</v>
      </c>
      <c r="P1543" s="79">
        <v>45186.007372685184</v>
      </c>
      <c r="Q1543" s="77" t="s">
        <v>2258</v>
      </c>
      <c r="R1543" s="77">
        <v>1</v>
      </c>
      <c r="S1543" s="77">
        <v>0</v>
      </c>
      <c r="T1543" s="77">
        <v>0</v>
      </c>
      <c r="U1543" s="77">
        <v>0</v>
      </c>
      <c r="V1543" s="77">
        <v>53</v>
      </c>
      <c r="W1543" s="82" t="s">
        <v>5587</v>
      </c>
      <c r="X1543" s="80" t="str">
        <f>HYPERLINK("https://bit.ly/3EFiMXl")</f>
        <v>https://bit.ly/3EFiMXl</v>
      </c>
      <c r="Y1543" s="77" t="s">
        <v>6468</v>
      </c>
      <c r="Z1543" s="77"/>
      <c r="AA1543" s="77" t="s">
        <v>7388</v>
      </c>
      <c r="AB1543" s="77" t="s">
        <v>7742</v>
      </c>
      <c r="AC1543" s="82" t="s">
        <v>7779</v>
      </c>
      <c r="AD1543" s="77" t="s">
        <v>7788</v>
      </c>
      <c r="AE1543" s="80" t="str">
        <f>HYPERLINK("https://twitter.com/investidoreso/status/1703199742467965333")</f>
        <v>https://twitter.com/investidoreso/status/1703199742467965333</v>
      </c>
      <c r="AF1543" s="79">
        <v>45186.007372685184</v>
      </c>
      <c r="AG1543" s="85">
        <v>45186</v>
      </c>
      <c r="AH1543" s="82" t="s">
        <v>9114</v>
      </c>
      <c r="AI1543" s="77" t="b">
        <v>0</v>
      </c>
      <c r="AJ1543" s="77"/>
      <c r="AK1543" s="77"/>
      <c r="AL1543" s="77"/>
      <c r="AM1543" s="77"/>
      <c r="AN1543" s="77"/>
      <c r="AO1543" s="77"/>
      <c r="AP1543" s="77"/>
      <c r="AQ1543" s="77" t="s">
        <v>11360</v>
      </c>
      <c r="AR1543" s="77"/>
      <c r="AS1543" s="77"/>
      <c r="AT1543" s="77"/>
      <c r="AU1543" s="77"/>
      <c r="AV1543" s="80" t="str">
        <f>HYPERLINK("https://pbs.twimg.com/media/F6L7ItvW8AAMEJ3.jpg")</f>
        <v>https://pbs.twimg.com/media/F6L7ItvW8AAMEJ3.jpg</v>
      </c>
      <c r="AW1543" s="82" t="s">
        <v>13150</v>
      </c>
      <c r="AX1543" s="82" t="s">
        <v>13150</v>
      </c>
      <c r="AY1543" s="77"/>
      <c r="AZ1543" s="82" t="s">
        <v>15984</v>
      </c>
      <c r="BA1543" s="82" t="s">
        <v>15984</v>
      </c>
      <c r="BB1543" s="82" t="s">
        <v>15984</v>
      </c>
      <c r="BC1543" s="82" t="s">
        <v>13150</v>
      </c>
      <c r="BD1543" s="82" t="s">
        <v>16340</v>
      </c>
      <c r="BE1543" s="77"/>
      <c r="BF1543" s="77"/>
      <c r="BG1543" s="77"/>
      <c r="BH1543" s="77"/>
      <c r="BI1543" s="77"/>
    </row>
    <row r="1544" spans="1:61" x14ac:dyDescent="0.25">
      <c r="A1544" s="62" t="s">
        <v>641</v>
      </c>
      <c r="B1544" s="62" t="s">
        <v>641</v>
      </c>
      <c r="C1544" s="63"/>
      <c r="D1544" s="64"/>
      <c r="E1544" s="65"/>
      <c r="F1544" s="66"/>
      <c r="G1544" s="63"/>
      <c r="H1544" s="67"/>
      <c r="I1544" s="68"/>
      <c r="J1544" s="68"/>
      <c r="K1544" s="32"/>
      <c r="L1544" s="75">
        <v>1544</v>
      </c>
      <c r="M1544" s="75"/>
      <c r="N1544" s="70"/>
      <c r="O1544" s="77" t="s">
        <v>179</v>
      </c>
      <c r="P1544" s="79">
        <v>45185.993888888886</v>
      </c>
      <c r="Q1544" s="77" t="s">
        <v>2259</v>
      </c>
      <c r="R1544" s="77">
        <v>0</v>
      </c>
      <c r="S1544" s="77">
        <v>0</v>
      </c>
      <c r="T1544" s="77">
        <v>0</v>
      </c>
      <c r="U1544" s="77">
        <v>0</v>
      </c>
      <c r="V1544" s="77">
        <v>36</v>
      </c>
      <c r="W1544" s="82" t="s">
        <v>5587</v>
      </c>
      <c r="X1544" s="80" t="str">
        <f>HYPERLINK("https://bit.ly/3EFiMXl")</f>
        <v>https://bit.ly/3EFiMXl</v>
      </c>
      <c r="Y1544" s="77" t="s">
        <v>6468</v>
      </c>
      <c r="Z1544" s="77"/>
      <c r="AA1544" s="77" t="s">
        <v>7389</v>
      </c>
      <c r="AB1544" s="77" t="s">
        <v>7742</v>
      </c>
      <c r="AC1544" s="82" t="s">
        <v>7779</v>
      </c>
      <c r="AD1544" s="77" t="s">
        <v>7788</v>
      </c>
      <c r="AE1544" s="80" t="str">
        <f>HYPERLINK("https://twitter.com/investidoreso/status/1703194857072726266")</f>
        <v>https://twitter.com/investidoreso/status/1703194857072726266</v>
      </c>
      <c r="AF1544" s="79">
        <v>45185.993888888886</v>
      </c>
      <c r="AG1544" s="85">
        <v>45185</v>
      </c>
      <c r="AH1544" s="82" t="s">
        <v>9115</v>
      </c>
      <c r="AI1544" s="77" t="b">
        <v>0</v>
      </c>
      <c r="AJ1544" s="77"/>
      <c r="AK1544" s="77"/>
      <c r="AL1544" s="77"/>
      <c r="AM1544" s="77"/>
      <c r="AN1544" s="77"/>
      <c r="AO1544" s="77"/>
      <c r="AP1544" s="77"/>
      <c r="AQ1544" s="77" t="s">
        <v>11361</v>
      </c>
      <c r="AR1544" s="77"/>
      <c r="AS1544" s="77"/>
      <c r="AT1544" s="77"/>
      <c r="AU1544" s="77"/>
      <c r="AV1544" s="80" t="str">
        <f>HYPERLINK("https://pbs.twimg.com/media/F6L2sV_WAAA7mqd.jpg")</f>
        <v>https://pbs.twimg.com/media/F6L2sV_WAAA7mqd.jpg</v>
      </c>
      <c r="AW1544" s="82" t="s">
        <v>13151</v>
      </c>
      <c r="AX1544" s="82" t="s">
        <v>13151</v>
      </c>
      <c r="AY1544" s="77"/>
      <c r="AZ1544" s="82" t="s">
        <v>15984</v>
      </c>
      <c r="BA1544" s="82" t="s">
        <v>15984</v>
      </c>
      <c r="BB1544" s="82" t="s">
        <v>15984</v>
      </c>
      <c r="BC1544" s="82" t="s">
        <v>13151</v>
      </c>
      <c r="BD1544" s="82" t="s">
        <v>16340</v>
      </c>
      <c r="BE1544" s="77"/>
      <c r="BF1544" s="77"/>
      <c r="BG1544" s="77"/>
      <c r="BH1544" s="77"/>
      <c r="BI1544" s="77"/>
    </row>
    <row r="1545" spans="1:61" x14ac:dyDescent="0.25">
      <c r="A1545" s="62" t="s">
        <v>641</v>
      </c>
      <c r="B1545" s="62" t="s">
        <v>641</v>
      </c>
      <c r="C1545" s="63"/>
      <c r="D1545" s="64"/>
      <c r="E1545" s="65"/>
      <c r="F1545" s="66"/>
      <c r="G1545" s="63"/>
      <c r="H1545" s="67"/>
      <c r="I1545" s="68"/>
      <c r="J1545" s="68"/>
      <c r="K1545" s="32"/>
      <c r="L1545" s="75">
        <v>1545</v>
      </c>
      <c r="M1545" s="75"/>
      <c r="N1545" s="70"/>
      <c r="O1545" s="77" t="s">
        <v>179</v>
      </c>
      <c r="P1545" s="79">
        <v>45159.873078703706</v>
      </c>
      <c r="Q1545" s="77" t="s">
        <v>2260</v>
      </c>
      <c r="R1545" s="77">
        <v>0</v>
      </c>
      <c r="S1545" s="77">
        <v>0</v>
      </c>
      <c r="T1545" s="77">
        <v>0</v>
      </c>
      <c r="U1545" s="77">
        <v>0</v>
      </c>
      <c r="V1545" s="77">
        <v>44</v>
      </c>
      <c r="W1545" s="82" t="s">
        <v>5588</v>
      </c>
      <c r="X1545" s="80" t="str">
        <f>HYPERLINK("https://bit.ly/45iehxk")</f>
        <v>https://bit.ly/45iehxk</v>
      </c>
      <c r="Y1545" s="77" t="s">
        <v>6468</v>
      </c>
      <c r="Z1545" s="77"/>
      <c r="AA1545" s="77" t="s">
        <v>7390</v>
      </c>
      <c r="AB1545" s="77" t="s">
        <v>7742</v>
      </c>
      <c r="AC1545" s="82" t="s">
        <v>7779</v>
      </c>
      <c r="AD1545" s="77" t="s">
        <v>7788</v>
      </c>
      <c r="AE1545" s="80" t="str">
        <f>HYPERLINK("https://twitter.com/investidoreso/status/1693728992149282817")</f>
        <v>https://twitter.com/investidoreso/status/1693728992149282817</v>
      </c>
      <c r="AF1545" s="79">
        <v>45159.873078703706</v>
      </c>
      <c r="AG1545" s="85">
        <v>45159</v>
      </c>
      <c r="AH1545" s="82" t="s">
        <v>9116</v>
      </c>
      <c r="AI1545" s="77" t="b">
        <v>0</v>
      </c>
      <c r="AJ1545" s="77"/>
      <c r="AK1545" s="77"/>
      <c r="AL1545" s="77"/>
      <c r="AM1545" s="77"/>
      <c r="AN1545" s="77"/>
      <c r="AO1545" s="77"/>
      <c r="AP1545" s="77"/>
      <c r="AQ1545" s="77" t="s">
        <v>11362</v>
      </c>
      <c r="AR1545" s="77"/>
      <c r="AS1545" s="77"/>
      <c r="AT1545" s="77"/>
      <c r="AU1545" s="77"/>
      <c r="AV1545" s="80" t="str">
        <f>HYPERLINK("https://pbs.twimg.com/media/F4FVib9WgAAkOzO.jpg")</f>
        <v>https://pbs.twimg.com/media/F4FVib9WgAAkOzO.jpg</v>
      </c>
      <c r="AW1545" s="82" t="s">
        <v>13152</v>
      </c>
      <c r="AX1545" s="82" t="s">
        <v>13152</v>
      </c>
      <c r="AY1545" s="77"/>
      <c r="AZ1545" s="82" t="s">
        <v>15984</v>
      </c>
      <c r="BA1545" s="82" t="s">
        <v>15984</v>
      </c>
      <c r="BB1545" s="82" t="s">
        <v>15984</v>
      </c>
      <c r="BC1545" s="82" t="s">
        <v>13152</v>
      </c>
      <c r="BD1545" s="82" t="s">
        <v>16340</v>
      </c>
      <c r="BE1545" s="77"/>
      <c r="BF1545" s="77"/>
      <c r="BG1545" s="77"/>
      <c r="BH1545" s="77"/>
      <c r="BI1545" s="77"/>
    </row>
    <row r="1546" spans="1:61" x14ac:dyDescent="0.25">
      <c r="A1546" s="62" t="s">
        <v>641</v>
      </c>
      <c r="B1546" s="62" t="s">
        <v>641</v>
      </c>
      <c r="C1546" s="63"/>
      <c r="D1546" s="64"/>
      <c r="E1546" s="65"/>
      <c r="F1546" s="66"/>
      <c r="G1546" s="63"/>
      <c r="H1546" s="67"/>
      <c r="I1546" s="68"/>
      <c r="J1546" s="68"/>
      <c r="K1546" s="32"/>
      <c r="L1546" s="75">
        <v>1546</v>
      </c>
      <c r="M1546" s="75"/>
      <c r="N1546" s="70"/>
      <c r="O1546" s="77" t="s">
        <v>179</v>
      </c>
      <c r="P1546" s="79">
        <v>45193.646701388891</v>
      </c>
      <c r="Q1546" s="77" t="s">
        <v>2261</v>
      </c>
      <c r="R1546" s="77">
        <v>0</v>
      </c>
      <c r="S1546" s="77">
        <v>0</v>
      </c>
      <c r="T1546" s="77">
        <v>0</v>
      </c>
      <c r="U1546" s="77">
        <v>0</v>
      </c>
      <c r="V1546" s="77">
        <v>50</v>
      </c>
      <c r="W1546" s="82" t="s">
        <v>5589</v>
      </c>
      <c r="X1546" s="80" t="str">
        <f>HYPERLINK("https://bit.ly/48unsg8")</f>
        <v>https://bit.ly/48unsg8</v>
      </c>
      <c r="Y1546" s="77" t="s">
        <v>6468</v>
      </c>
      <c r="Z1546" s="77"/>
      <c r="AA1546" s="77" t="s">
        <v>7391</v>
      </c>
      <c r="AB1546" s="77" t="s">
        <v>7742</v>
      </c>
      <c r="AC1546" s="82" t="s">
        <v>7779</v>
      </c>
      <c r="AD1546" s="77" t="s">
        <v>7788</v>
      </c>
      <c r="AE1546" s="80" t="str">
        <f>HYPERLINK("https://twitter.com/investidoreso/status/1705968141749162403")</f>
        <v>https://twitter.com/investidoreso/status/1705968141749162403</v>
      </c>
      <c r="AF1546" s="79">
        <v>45193.646701388891</v>
      </c>
      <c r="AG1546" s="85">
        <v>45193</v>
      </c>
      <c r="AH1546" s="82" t="s">
        <v>9117</v>
      </c>
      <c r="AI1546" s="77" t="b">
        <v>0</v>
      </c>
      <c r="AJ1546" s="77"/>
      <c r="AK1546" s="77"/>
      <c r="AL1546" s="77"/>
      <c r="AM1546" s="77"/>
      <c r="AN1546" s="77"/>
      <c r="AO1546" s="77"/>
      <c r="AP1546" s="77"/>
      <c r="AQ1546" s="77" t="s">
        <v>11363</v>
      </c>
      <c r="AR1546" s="77"/>
      <c r="AS1546" s="77"/>
      <c r="AT1546" s="77"/>
      <c r="AU1546" s="77"/>
      <c r="AV1546" s="80" t="str">
        <f>HYPERLINK("https://pbs.twimg.com/media/F6zQ-v2WwAALt6o.jpg")</f>
        <v>https://pbs.twimg.com/media/F6zQ-v2WwAALt6o.jpg</v>
      </c>
      <c r="AW1546" s="82" t="s">
        <v>13153</v>
      </c>
      <c r="AX1546" s="82" t="s">
        <v>13153</v>
      </c>
      <c r="AY1546" s="77"/>
      <c r="AZ1546" s="82" t="s">
        <v>15984</v>
      </c>
      <c r="BA1546" s="82" t="s">
        <v>15984</v>
      </c>
      <c r="BB1546" s="82" t="s">
        <v>15984</v>
      </c>
      <c r="BC1546" s="82" t="s">
        <v>13153</v>
      </c>
      <c r="BD1546" s="82" t="s">
        <v>16340</v>
      </c>
      <c r="BE1546" s="77"/>
      <c r="BF1546" s="77"/>
      <c r="BG1546" s="77"/>
      <c r="BH1546" s="77"/>
      <c r="BI1546" s="77"/>
    </row>
    <row r="1547" spans="1:61" x14ac:dyDescent="0.25">
      <c r="A1547" s="62" t="s">
        <v>641</v>
      </c>
      <c r="B1547" s="62" t="s">
        <v>641</v>
      </c>
      <c r="C1547" s="63"/>
      <c r="D1547" s="64"/>
      <c r="E1547" s="65"/>
      <c r="F1547" s="66"/>
      <c r="G1547" s="63"/>
      <c r="H1547" s="67"/>
      <c r="I1547" s="68"/>
      <c r="J1547" s="68"/>
      <c r="K1547" s="32"/>
      <c r="L1547" s="75">
        <v>1547</v>
      </c>
      <c r="M1547" s="75"/>
      <c r="N1547" s="70"/>
      <c r="O1547" s="77" t="s">
        <v>179</v>
      </c>
      <c r="P1547" s="79">
        <v>45172.503333333334</v>
      </c>
      <c r="Q1547" s="77" t="s">
        <v>2262</v>
      </c>
      <c r="R1547" s="77">
        <v>0</v>
      </c>
      <c r="S1547" s="77">
        <v>0</v>
      </c>
      <c r="T1547" s="77">
        <v>0</v>
      </c>
      <c r="U1547" s="77">
        <v>0</v>
      </c>
      <c r="V1547" s="77">
        <v>17</v>
      </c>
      <c r="W1547" s="82" t="s">
        <v>5590</v>
      </c>
      <c r="X1547" s="80" t="str">
        <f>HYPERLINK("https://bit.ly/3R6FxdX")</f>
        <v>https://bit.ly/3R6FxdX</v>
      </c>
      <c r="Y1547" s="77" t="s">
        <v>6468</v>
      </c>
      <c r="Z1547" s="77"/>
      <c r="AA1547" s="77" t="s">
        <v>7392</v>
      </c>
      <c r="AB1547" s="77" t="s">
        <v>7742</v>
      </c>
      <c r="AC1547" s="82" t="s">
        <v>7779</v>
      </c>
      <c r="AD1547" s="77" t="s">
        <v>7788</v>
      </c>
      <c r="AE1547" s="80" t="str">
        <f>HYPERLINK("https://twitter.com/investidoreso/status/1698306042042712209")</f>
        <v>https://twitter.com/investidoreso/status/1698306042042712209</v>
      </c>
      <c r="AF1547" s="79">
        <v>45172.503333333334</v>
      </c>
      <c r="AG1547" s="85">
        <v>45172</v>
      </c>
      <c r="AH1547" s="82" t="s">
        <v>9118</v>
      </c>
      <c r="AI1547" s="77" t="b">
        <v>0</v>
      </c>
      <c r="AJ1547" s="77"/>
      <c r="AK1547" s="77"/>
      <c r="AL1547" s="77"/>
      <c r="AM1547" s="77"/>
      <c r="AN1547" s="77"/>
      <c r="AO1547" s="77"/>
      <c r="AP1547" s="77"/>
      <c r="AQ1547" s="77" t="s">
        <v>11364</v>
      </c>
      <c r="AR1547" s="77"/>
      <c r="AS1547" s="77"/>
      <c r="AT1547" s="77"/>
      <c r="AU1547" s="77"/>
      <c r="AV1547" s="80" t="str">
        <f>HYPERLINK("https://pbs.twimg.com/media/F5GYVx3WkAAHo10.jpg")</f>
        <v>https://pbs.twimg.com/media/F5GYVx3WkAAHo10.jpg</v>
      </c>
      <c r="AW1547" s="82" t="s">
        <v>13154</v>
      </c>
      <c r="AX1547" s="82" t="s">
        <v>13154</v>
      </c>
      <c r="AY1547" s="77"/>
      <c r="AZ1547" s="82" t="s">
        <v>15984</v>
      </c>
      <c r="BA1547" s="82" t="s">
        <v>15984</v>
      </c>
      <c r="BB1547" s="82" t="s">
        <v>15984</v>
      </c>
      <c r="BC1547" s="82" t="s">
        <v>13154</v>
      </c>
      <c r="BD1547" s="82" t="s">
        <v>16340</v>
      </c>
      <c r="BE1547" s="77"/>
      <c r="BF1547" s="77"/>
      <c r="BG1547" s="77"/>
      <c r="BH1547" s="77"/>
      <c r="BI1547" s="77"/>
    </row>
    <row r="1548" spans="1:61" x14ac:dyDescent="0.25">
      <c r="A1548" s="62" t="s">
        <v>641</v>
      </c>
      <c r="B1548" s="62" t="s">
        <v>641</v>
      </c>
      <c r="C1548" s="63"/>
      <c r="D1548" s="64"/>
      <c r="E1548" s="65"/>
      <c r="F1548" s="66"/>
      <c r="G1548" s="63"/>
      <c r="H1548" s="67"/>
      <c r="I1548" s="68"/>
      <c r="J1548" s="68"/>
      <c r="K1548" s="32"/>
      <c r="L1548" s="75">
        <v>1548</v>
      </c>
      <c r="M1548" s="75"/>
      <c r="N1548" s="70"/>
      <c r="O1548" s="77" t="s">
        <v>179</v>
      </c>
      <c r="P1548" s="79">
        <v>45193.910011574073</v>
      </c>
      <c r="Q1548" s="77" t="s">
        <v>2263</v>
      </c>
      <c r="R1548" s="77">
        <v>0</v>
      </c>
      <c r="S1548" s="77">
        <v>0</v>
      </c>
      <c r="T1548" s="77">
        <v>0</v>
      </c>
      <c r="U1548" s="77">
        <v>0</v>
      </c>
      <c r="V1548" s="77">
        <v>91</v>
      </c>
      <c r="W1548" s="82" t="s">
        <v>5591</v>
      </c>
      <c r="X1548" s="80" t="str">
        <f>HYPERLINK("https://bit.ly/3Faq0mx")</f>
        <v>https://bit.ly/3Faq0mx</v>
      </c>
      <c r="Y1548" s="77" t="s">
        <v>6468</v>
      </c>
      <c r="Z1548" s="77"/>
      <c r="AA1548" s="77" t="s">
        <v>7393</v>
      </c>
      <c r="AB1548" s="77" t="s">
        <v>7742</v>
      </c>
      <c r="AC1548" s="82" t="s">
        <v>7779</v>
      </c>
      <c r="AD1548" s="77" t="s">
        <v>7788</v>
      </c>
      <c r="AE1548" s="80" t="str">
        <f>HYPERLINK("https://twitter.com/investidoreso/status/1706063564757168413")</f>
        <v>https://twitter.com/investidoreso/status/1706063564757168413</v>
      </c>
      <c r="AF1548" s="79">
        <v>45193.910011574073</v>
      </c>
      <c r="AG1548" s="85">
        <v>45193</v>
      </c>
      <c r="AH1548" s="82" t="s">
        <v>9119</v>
      </c>
      <c r="AI1548" s="77" t="b">
        <v>0</v>
      </c>
      <c r="AJ1548" s="77"/>
      <c r="AK1548" s="77"/>
      <c r="AL1548" s="77"/>
      <c r="AM1548" s="77"/>
      <c r="AN1548" s="77"/>
      <c r="AO1548" s="77"/>
      <c r="AP1548" s="77"/>
      <c r="AQ1548" s="77" t="s">
        <v>11365</v>
      </c>
      <c r="AR1548" s="77"/>
      <c r="AS1548" s="77"/>
      <c r="AT1548" s="77"/>
      <c r="AU1548" s="77"/>
      <c r="AV1548" s="80" t="str">
        <f>HYPERLINK("https://pbs.twimg.com/media/F60nxEWXcAAvV10.jpg")</f>
        <v>https://pbs.twimg.com/media/F60nxEWXcAAvV10.jpg</v>
      </c>
      <c r="AW1548" s="82" t="s">
        <v>13155</v>
      </c>
      <c r="AX1548" s="82" t="s">
        <v>13155</v>
      </c>
      <c r="AY1548" s="77"/>
      <c r="AZ1548" s="82" t="s">
        <v>15984</v>
      </c>
      <c r="BA1548" s="82" t="s">
        <v>15984</v>
      </c>
      <c r="BB1548" s="82" t="s">
        <v>15984</v>
      </c>
      <c r="BC1548" s="82" t="s">
        <v>13155</v>
      </c>
      <c r="BD1548" s="82" t="s">
        <v>16340</v>
      </c>
      <c r="BE1548" s="77"/>
      <c r="BF1548" s="77"/>
      <c r="BG1548" s="77"/>
      <c r="BH1548" s="77"/>
      <c r="BI1548" s="77"/>
    </row>
    <row r="1549" spans="1:61" x14ac:dyDescent="0.25">
      <c r="A1549" s="62" t="s">
        <v>641</v>
      </c>
      <c r="B1549" s="62" t="s">
        <v>641</v>
      </c>
      <c r="C1549" s="63"/>
      <c r="D1549" s="64"/>
      <c r="E1549" s="65"/>
      <c r="F1549" s="66"/>
      <c r="G1549" s="63"/>
      <c r="H1549" s="67"/>
      <c r="I1549" s="68"/>
      <c r="J1549" s="68"/>
      <c r="K1549" s="32"/>
      <c r="L1549" s="75">
        <v>1549</v>
      </c>
      <c r="M1549" s="75"/>
      <c r="N1549" s="70"/>
      <c r="O1549" s="77" t="s">
        <v>179</v>
      </c>
      <c r="P1549" s="79">
        <v>45158.610439814816</v>
      </c>
      <c r="Q1549" s="77" t="s">
        <v>2264</v>
      </c>
      <c r="R1549" s="77">
        <v>0</v>
      </c>
      <c r="S1549" s="77">
        <v>0</v>
      </c>
      <c r="T1549" s="77">
        <v>0</v>
      </c>
      <c r="U1549" s="77">
        <v>0</v>
      </c>
      <c r="V1549" s="77">
        <v>4</v>
      </c>
      <c r="W1549" s="82" t="s">
        <v>5592</v>
      </c>
      <c r="X1549" s="80" t="str">
        <f>HYPERLINK("https://bit.ly/3YGcorU")</f>
        <v>https://bit.ly/3YGcorU</v>
      </c>
      <c r="Y1549" s="77" t="s">
        <v>6468</v>
      </c>
      <c r="Z1549" s="77"/>
      <c r="AA1549" s="77" t="s">
        <v>7394</v>
      </c>
      <c r="AB1549" s="77" t="s">
        <v>7742</v>
      </c>
      <c r="AC1549" s="82" t="s">
        <v>7779</v>
      </c>
      <c r="AD1549" s="77" t="s">
        <v>7791</v>
      </c>
      <c r="AE1549" s="80" t="str">
        <f>HYPERLINK("https://twitter.com/investidoreso/status/1693271427024080970")</f>
        <v>https://twitter.com/investidoreso/status/1693271427024080970</v>
      </c>
      <c r="AF1549" s="79">
        <v>45158.610439814816</v>
      </c>
      <c r="AG1549" s="85">
        <v>45158</v>
      </c>
      <c r="AH1549" s="82" t="s">
        <v>9120</v>
      </c>
      <c r="AI1549" s="77" t="b">
        <v>0</v>
      </c>
      <c r="AJ1549" s="77"/>
      <c r="AK1549" s="77"/>
      <c r="AL1549" s="77"/>
      <c r="AM1549" s="77"/>
      <c r="AN1549" s="77"/>
      <c r="AO1549" s="77"/>
      <c r="AP1549" s="77"/>
      <c r="AQ1549" s="77" t="s">
        <v>11366</v>
      </c>
      <c r="AR1549" s="77"/>
      <c r="AS1549" s="77"/>
      <c r="AT1549" s="77"/>
      <c r="AU1549" s="77"/>
      <c r="AV1549" s="80" t="str">
        <f>HYPERLINK("https://pbs.twimg.com/media/F3-1YroXkAAqCS8.jpg")</f>
        <v>https://pbs.twimg.com/media/F3-1YroXkAAqCS8.jpg</v>
      </c>
      <c r="AW1549" s="82" t="s">
        <v>13156</v>
      </c>
      <c r="AX1549" s="82" t="s">
        <v>13156</v>
      </c>
      <c r="AY1549" s="77"/>
      <c r="AZ1549" s="82" t="s">
        <v>15984</v>
      </c>
      <c r="BA1549" s="82" t="s">
        <v>15984</v>
      </c>
      <c r="BB1549" s="82" t="s">
        <v>15984</v>
      </c>
      <c r="BC1549" s="82" t="s">
        <v>13156</v>
      </c>
      <c r="BD1549" s="82" t="s">
        <v>16340</v>
      </c>
      <c r="BE1549" s="77"/>
      <c r="BF1549" s="77"/>
      <c r="BG1549" s="77"/>
      <c r="BH1549" s="77"/>
      <c r="BI1549" s="77"/>
    </row>
    <row r="1550" spans="1:61" x14ac:dyDescent="0.25">
      <c r="A1550" s="62" t="s">
        <v>641</v>
      </c>
      <c r="B1550" s="62" t="s">
        <v>641</v>
      </c>
      <c r="C1550" s="63"/>
      <c r="D1550" s="64"/>
      <c r="E1550" s="65"/>
      <c r="F1550" s="66"/>
      <c r="G1550" s="63"/>
      <c r="H1550" s="67"/>
      <c r="I1550" s="68"/>
      <c r="J1550" s="68"/>
      <c r="K1550" s="32"/>
      <c r="L1550" s="75">
        <v>1550</v>
      </c>
      <c r="M1550" s="75"/>
      <c r="N1550" s="70"/>
      <c r="O1550" s="77" t="s">
        <v>179</v>
      </c>
      <c r="P1550" s="79">
        <v>45194.586111111108</v>
      </c>
      <c r="Q1550" s="77" t="s">
        <v>2265</v>
      </c>
      <c r="R1550" s="77">
        <v>0</v>
      </c>
      <c r="S1550" s="77">
        <v>0</v>
      </c>
      <c r="T1550" s="77">
        <v>0</v>
      </c>
      <c r="U1550" s="77">
        <v>0</v>
      </c>
      <c r="V1550" s="77">
        <v>65</v>
      </c>
      <c r="W1550" s="82" t="s">
        <v>5593</v>
      </c>
      <c r="X1550" s="80" t="str">
        <f>HYPERLINK("https://bit.ly/3RvVf2v")</f>
        <v>https://bit.ly/3RvVf2v</v>
      </c>
      <c r="Y1550" s="77" t="s">
        <v>6468</v>
      </c>
      <c r="Z1550" s="77"/>
      <c r="AA1550" s="77" t="s">
        <v>7395</v>
      </c>
      <c r="AB1550" s="77" t="s">
        <v>7742</v>
      </c>
      <c r="AC1550" s="82" t="s">
        <v>7779</v>
      </c>
      <c r="AD1550" s="77" t="s">
        <v>7788</v>
      </c>
      <c r="AE1550" s="80" t="str">
        <f>HYPERLINK("https://twitter.com/investidoreso/status/1706308572794032390")</f>
        <v>https://twitter.com/investidoreso/status/1706308572794032390</v>
      </c>
      <c r="AF1550" s="79">
        <v>45194.586111111108</v>
      </c>
      <c r="AG1550" s="85">
        <v>45194</v>
      </c>
      <c r="AH1550" s="82" t="s">
        <v>9121</v>
      </c>
      <c r="AI1550" s="77" t="b">
        <v>0</v>
      </c>
      <c r="AJ1550" s="77"/>
      <c r="AK1550" s="77"/>
      <c r="AL1550" s="77"/>
      <c r="AM1550" s="77"/>
      <c r="AN1550" s="77"/>
      <c r="AO1550" s="77"/>
      <c r="AP1550" s="77"/>
      <c r="AQ1550" s="77" t="s">
        <v>11367</v>
      </c>
      <c r="AR1550" s="77"/>
      <c r="AS1550" s="77"/>
      <c r="AT1550" s="77"/>
      <c r="AU1550" s="77"/>
      <c r="AV1550" s="80" t="str">
        <f>HYPERLINK("https://pbs.twimg.com/media/F64D3CfXIAA3pAj.jpg")</f>
        <v>https://pbs.twimg.com/media/F64D3CfXIAA3pAj.jpg</v>
      </c>
      <c r="AW1550" s="82" t="s">
        <v>13157</v>
      </c>
      <c r="AX1550" s="82" t="s">
        <v>13157</v>
      </c>
      <c r="AY1550" s="77"/>
      <c r="AZ1550" s="82" t="s">
        <v>15984</v>
      </c>
      <c r="BA1550" s="82" t="s">
        <v>15984</v>
      </c>
      <c r="BB1550" s="82" t="s">
        <v>15984</v>
      </c>
      <c r="BC1550" s="82" t="s">
        <v>13157</v>
      </c>
      <c r="BD1550" s="82" t="s">
        <v>16340</v>
      </c>
      <c r="BE1550" s="77"/>
      <c r="BF1550" s="77"/>
      <c r="BG1550" s="77"/>
      <c r="BH1550" s="77"/>
      <c r="BI1550" s="77"/>
    </row>
    <row r="1551" spans="1:61" x14ac:dyDescent="0.25">
      <c r="A1551" s="62" t="s">
        <v>641</v>
      </c>
      <c r="B1551" s="62" t="s">
        <v>641</v>
      </c>
      <c r="C1551" s="63"/>
      <c r="D1551" s="64"/>
      <c r="E1551" s="65"/>
      <c r="F1551" s="66"/>
      <c r="G1551" s="63"/>
      <c r="H1551" s="67"/>
      <c r="I1551" s="68"/>
      <c r="J1551" s="68"/>
      <c r="K1551" s="32"/>
      <c r="L1551" s="75">
        <v>1551</v>
      </c>
      <c r="M1551" s="75"/>
      <c r="N1551" s="70"/>
      <c r="O1551" s="77" t="s">
        <v>179</v>
      </c>
      <c r="P1551" s="79">
        <v>45191.473611111112</v>
      </c>
      <c r="Q1551" s="77" t="s">
        <v>2266</v>
      </c>
      <c r="R1551" s="77">
        <v>0</v>
      </c>
      <c r="S1551" s="77">
        <v>0</v>
      </c>
      <c r="T1551" s="77">
        <v>0</v>
      </c>
      <c r="U1551" s="77">
        <v>0</v>
      </c>
      <c r="V1551" s="77">
        <v>44</v>
      </c>
      <c r="W1551" s="82" t="s">
        <v>5563</v>
      </c>
      <c r="X1551" s="80" t="str">
        <f>HYPERLINK("https://bit.ly/3PP7iqG")</f>
        <v>https://bit.ly/3PP7iqG</v>
      </c>
      <c r="Y1551" s="77" t="s">
        <v>6468</v>
      </c>
      <c r="Z1551" s="77"/>
      <c r="AA1551" s="77" t="s">
        <v>7396</v>
      </c>
      <c r="AB1551" s="77" t="s">
        <v>7742</v>
      </c>
      <c r="AC1551" s="82" t="s">
        <v>7779</v>
      </c>
      <c r="AD1551" s="77" t="s">
        <v>7788</v>
      </c>
      <c r="AE1551" s="80" t="str">
        <f>HYPERLINK("https://twitter.com/investidoreso/status/1705180640637813159")</f>
        <v>https://twitter.com/investidoreso/status/1705180640637813159</v>
      </c>
      <c r="AF1551" s="79">
        <v>45191.473611111112</v>
      </c>
      <c r="AG1551" s="85">
        <v>45191</v>
      </c>
      <c r="AH1551" s="82" t="s">
        <v>9122</v>
      </c>
      <c r="AI1551" s="77" t="b">
        <v>0</v>
      </c>
      <c r="AJ1551" s="77"/>
      <c r="AK1551" s="77"/>
      <c r="AL1551" s="77"/>
      <c r="AM1551" s="77"/>
      <c r="AN1551" s="77"/>
      <c r="AO1551" s="77"/>
      <c r="AP1551" s="77"/>
      <c r="AQ1551" s="77" t="s">
        <v>11368</v>
      </c>
      <c r="AR1551" s="77"/>
      <c r="AS1551" s="77"/>
      <c r="AT1551" s="77"/>
      <c r="AU1551" s="77"/>
      <c r="AV1551" s="80" t="str">
        <f>HYPERLINK("https://pbs.twimg.com/media/F6n3Bn0X0AA0Rf0.jpg")</f>
        <v>https://pbs.twimg.com/media/F6n3Bn0X0AA0Rf0.jpg</v>
      </c>
      <c r="AW1551" s="82" t="s">
        <v>13158</v>
      </c>
      <c r="AX1551" s="82" t="s">
        <v>13158</v>
      </c>
      <c r="AY1551" s="77"/>
      <c r="AZ1551" s="82" t="s">
        <v>15984</v>
      </c>
      <c r="BA1551" s="82" t="s">
        <v>15984</v>
      </c>
      <c r="BB1551" s="82" t="s">
        <v>15984</v>
      </c>
      <c r="BC1551" s="82" t="s">
        <v>13158</v>
      </c>
      <c r="BD1551" s="82" t="s">
        <v>16340</v>
      </c>
      <c r="BE1551" s="77"/>
      <c r="BF1551" s="77"/>
      <c r="BG1551" s="77"/>
      <c r="BH1551" s="77"/>
      <c r="BI1551" s="77"/>
    </row>
    <row r="1552" spans="1:61" x14ac:dyDescent="0.25">
      <c r="A1552" s="62" t="s">
        <v>641</v>
      </c>
      <c r="B1552" s="62" t="s">
        <v>641</v>
      </c>
      <c r="C1552" s="63"/>
      <c r="D1552" s="64"/>
      <c r="E1552" s="65"/>
      <c r="F1552" s="66"/>
      <c r="G1552" s="63"/>
      <c r="H1552" s="67"/>
      <c r="I1552" s="68"/>
      <c r="J1552" s="68"/>
      <c r="K1552" s="32"/>
      <c r="L1552" s="75">
        <v>1552</v>
      </c>
      <c r="M1552" s="75"/>
      <c r="N1552" s="70"/>
      <c r="O1552" s="77" t="s">
        <v>179</v>
      </c>
      <c r="P1552" s="79">
        <v>45195.627083333333</v>
      </c>
      <c r="Q1552" s="77" t="s">
        <v>2267</v>
      </c>
      <c r="R1552" s="77">
        <v>0</v>
      </c>
      <c r="S1552" s="77">
        <v>0</v>
      </c>
      <c r="T1552" s="77">
        <v>0</v>
      </c>
      <c r="U1552" s="77">
        <v>0</v>
      </c>
      <c r="V1552" s="77">
        <v>4</v>
      </c>
      <c r="W1552" s="82" t="s">
        <v>5068</v>
      </c>
      <c r="X1552" s="80" t="str">
        <f>HYPERLINK("https://bit.ly/456Dxpp")</f>
        <v>https://bit.ly/456Dxpp</v>
      </c>
      <c r="Y1552" s="77" t="s">
        <v>6468</v>
      </c>
      <c r="Z1552" s="77"/>
      <c r="AA1552" s="77" t="s">
        <v>7397</v>
      </c>
      <c r="AB1552" s="77" t="s">
        <v>7742</v>
      </c>
      <c r="AC1552" s="82" t="s">
        <v>7779</v>
      </c>
      <c r="AD1552" s="77" t="s">
        <v>7788</v>
      </c>
      <c r="AE1552" s="80" t="str">
        <f>HYPERLINK("https://twitter.com/investidoreso/status/1706685808533553563")</f>
        <v>https://twitter.com/investidoreso/status/1706685808533553563</v>
      </c>
      <c r="AF1552" s="79">
        <v>45195.627083333333</v>
      </c>
      <c r="AG1552" s="85">
        <v>45195</v>
      </c>
      <c r="AH1552" s="82" t="s">
        <v>9123</v>
      </c>
      <c r="AI1552" s="77" t="b">
        <v>0</v>
      </c>
      <c r="AJ1552" s="77"/>
      <c r="AK1552" s="77"/>
      <c r="AL1552" s="77"/>
      <c r="AM1552" s="77"/>
      <c r="AN1552" s="77"/>
      <c r="AO1552" s="77"/>
      <c r="AP1552" s="77"/>
      <c r="AQ1552" s="77" t="s">
        <v>11369</v>
      </c>
      <c r="AR1552" s="77"/>
      <c r="AS1552" s="77"/>
      <c r="AT1552" s="77"/>
      <c r="AU1552" s="77"/>
      <c r="AV1552" s="80" t="str">
        <f>HYPERLINK("https://pbs.twimg.com/media/F69a9DGXcAAnjAz.jpg")</f>
        <v>https://pbs.twimg.com/media/F69a9DGXcAAnjAz.jpg</v>
      </c>
      <c r="AW1552" s="82" t="s">
        <v>13159</v>
      </c>
      <c r="AX1552" s="82" t="s">
        <v>13159</v>
      </c>
      <c r="AY1552" s="77"/>
      <c r="AZ1552" s="82" t="s">
        <v>15984</v>
      </c>
      <c r="BA1552" s="82" t="s">
        <v>15984</v>
      </c>
      <c r="BB1552" s="82" t="s">
        <v>15984</v>
      </c>
      <c r="BC1552" s="82" t="s">
        <v>13159</v>
      </c>
      <c r="BD1552" s="82" t="s">
        <v>16340</v>
      </c>
      <c r="BE1552" s="77"/>
      <c r="BF1552" s="77"/>
      <c r="BG1552" s="77"/>
      <c r="BH1552" s="77"/>
      <c r="BI1552" s="77"/>
    </row>
    <row r="1553" spans="1:61" x14ac:dyDescent="0.25">
      <c r="A1553" s="62" t="s">
        <v>641</v>
      </c>
      <c r="B1553" s="62" t="s">
        <v>641</v>
      </c>
      <c r="C1553" s="63"/>
      <c r="D1553" s="64"/>
      <c r="E1553" s="65"/>
      <c r="F1553" s="66"/>
      <c r="G1553" s="63"/>
      <c r="H1553" s="67"/>
      <c r="I1553" s="68"/>
      <c r="J1553" s="68"/>
      <c r="K1553" s="32"/>
      <c r="L1553" s="75">
        <v>1553</v>
      </c>
      <c r="M1553" s="75"/>
      <c r="N1553" s="70"/>
      <c r="O1553" s="77" t="s">
        <v>179</v>
      </c>
      <c r="P1553" s="79">
        <v>45137.541666666664</v>
      </c>
      <c r="Q1553" s="77" t="s">
        <v>2268</v>
      </c>
      <c r="R1553" s="77">
        <v>0</v>
      </c>
      <c r="S1553" s="77">
        <v>0</v>
      </c>
      <c r="T1553" s="77">
        <v>0</v>
      </c>
      <c r="U1553" s="77">
        <v>0</v>
      </c>
      <c r="V1553" s="77">
        <v>2</v>
      </c>
      <c r="W1553" s="82" t="s">
        <v>4839</v>
      </c>
      <c r="X1553" s="80" t="str">
        <f>HYPERLINK("https://bit.ly/477yRC7")</f>
        <v>https://bit.ly/477yRC7</v>
      </c>
      <c r="Y1553" s="77" t="s">
        <v>6468</v>
      </c>
      <c r="Z1553" s="77"/>
      <c r="AA1553" s="77" t="s">
        <v>7398</v>
      </c>
      <c r="AB1553" s="77" t="s">
        <v>7742</v>
      </c>
      <c r="AC1553" s="82" t="s">
        <v>7779</v>
      </c>
      <c r="AD1553" s="77" t="s">
        <v>7791</v>
      </c>
      <c r="AE1553" s="80" t="str">
        <f>HYPERLINK("https://twitter.com/investidoreso/status/1685636358876823552")</f>
        <v>https://twitter.com/investidoreso/status/1685636358876823552</v>
      </c>
      <c r="AF1553" s="79">
        <v>45137.541666666664</v>
      </c>
      <c r="AG1553" s="85">
        <v>45137</v>
      </c>
      <c r="AH1553" s="82" t="s">
        <v>7873</v>
      </c>
      <c r="AI1553" s="77" t="b">
        <v>0</v>
      </c>
      <c r="AJ1553" s="77"/>
      <c r="AK1553" s="77"/>
      <c r="AL1553" s="77"/>
      <c r="AM1553" s="77"/>
      <c r="AN1553" s="77"/>
      <c r="AO1553" s="77"/>
      <c r="AP1553" s="77"/>
      <c r="AQ1553" s="77" t="s">
        <v>11370</v>
      </c>
      <c r="AR1553" s="77"/>
      <c r="AS1553" s="77"/>
      <c r="AT1553" s="77"/>
      <c r="AU1553" s="77"/>
      <c r="AV1553" s="80" t="str">
        <f>HYPERLINK("https://pbs.twimg.com/media/F2SHmtCXkAAsSS7.jpg")</f>
        <v>https://pbs.twimg.com/media/F2SHmtCXkAAsSS7.jpg</v>
      </c>
      <c r="AW1553" s="82" t="s">
        <v>13160</v>
      </c>
      <c r="AX1553" s="82" t="s">
        <v>13160</v>
      </c>
      <c r="AY1553" s="77"/>
      <c r="AZ1553" s="82" t="s">
        <v>15984</v>
      </c>
      <c r="BA1553" s="82" t="s">
        <v>15984</v>
      </c>
      <c r="BB1553" s="82" t="s">
        <v>15984</v>
      </c>
      <c r="BC1553" s="82" t="s">
        <v>13160</v>
      </c>
      <c r="BD1553" s="82" t="s">
        <v>16340</v>
      </c>
      <c r="BE1553" s="77"/>
      <c r="BF1553" s="77"/>
      <c r="BG1553" s="77"/>
      <c r="BH1553" s="77"/>
      <c r="BI1553" s="77"/>
    </row>
    <row r="1554" spans="1:61" x14ac:dyDescent="0.25">
      <c r="A1554" s="62" t="s">
        <v>641</v>
      </c>
      <c r="B1554" s="62" t="s">
        <v>641</v>
      </c>
      <c r="C1554" s="63"/>
      <c r="D1554" s="64"/>
      <c r="E1554" s="65"/>
      <c r="F1554" s="66"/>
      <c r="G1554" s="63"/>
      <c r="H1554" s="67"/>
      <c r="I1554" s="68"/>
      <c r="J1554" s="68"/>
      <c r="K1554" s="32"/>
      <c r="L1554" s="75">
        <v>1554</v>
      </c>
      <c r="M1554" s="75"/>
      <c r="N1554" s="70"/>
      <c r="O1554" s="77" t="s">
        <v>179</v>
      </c>
      <c r="P1554" s="79">
        <v>45136.647013888891</v>
      </c>
      <c r="Q1554" s="77" t="s">
        <v>2269</v>
      </c>
      <c r="R1554" s="77">
        <v>0</v>
      </c>
      <c r="S1554" s="77">
        <v>0</v>
      </c>
      <c r="T1554" s="77">
        <v>0</v>
      </c>
      <c r="U1554" s="77">
        <v>0</v>
      </c>
      <c r="V1554" s="77">
        <v>95</v>
      </c>
      <c r="W1554" s="82" t="s">
        <v>5594</v>
      </c>
      <c r="X1554" s="80" t="str">
        <f>HYPERLINK("https://bit.ly/479Gec8")</f>
        <v>https://bit.ly/479Gec8</v>
      </c>
      <c r="Y1554" s="77" t="s">
        <v>6468</v>
      </c>
      <c r="Z1554" s="77"/>
      <c r="AA1554" s="77" t="s">
        <v>7399</v>
      </c>
      <c r="AB1554" s="77" t="s">
        <v>7742</v>
      </c>
      <c r="AC1554" s="82" t="s">
        <v>7779</v>
      </c>
      <c r="AD1554" s="77" t="s">
        <v>7788</v>
      </c>
      <c r="AE1554" s="80" t="str">
        <f>HYPERLINK("https://twitter.com/investidoreso/status/1685312148182884352")</f>
        <v>https://twitter.com/investidoreso/status/1685312148182884352</v>
      </c>
      <c r="AF1554" s="79">
        <v>45136.647013888891</v>
      </c>
      <c r="AG1554" s="85">
        <v>45136</v>
      </c>
      <c r="AH1554" s="82" t="s">
        <v>9124</v>
      </c>
      <c r="AI1554" s="77" t="b">
        <v>0</v>
      </c>
      <c r="AJ1554" s="77"/>
      <c r="AK1554" s="77"/>
      <c r="AL1554" s="77"/>
      <c r="AM1554" s="77"/>
      <c r="AN1554" s="77"/>
      <c r="AO1554" s="77"/>
      <c r="AP1554" s="77"/>
      <c r="AQ1554" s="77" t="s">
        <v>11371</v>
      </c>
      <c r="AR1554" s="77"/>
      <c r="AS1554" s="77"/>
      <c r="AT1554" s="77"/>
      <c r="AU1554" s="77"/>
      <c r="AV1554" s="80" t="str">
        <f>HYPERLINK("https://pbs.twimg.com/media/F2NuZ8WWwAASS54.jpg")</f>
        <v>https://pbs.twimg.com/media/F2NuZ8WWwAASS54.jpg</v>
      </c>
      <c r="AW1554" s="82" t="s">
        <v>13161</v>
      </c>
      <c r="AX1554" s="82" t="s">
        <v>13161</v>
      </c>
      <c r="AY1554" s="77"/>
      <c r="AZ1554" s="82" t="s">
        <v>15984</v>
      </c>
      <c r="BA1554" s="82" t="s">
        <v>15984</v>
      </c>
      <c r="BB1554" s="82" t="s">
        <v>15984</v>
      </c>
      <c r="BC1554" s="82" t="s">
        <v>13161</v>
      </c>
      <c r="BD1554" s="82" t="s">
        <v>16340</v>
      </c>
      <c r="BE1554" s="77"/>
      <c r="BF1554" s="77"/>
      <c r="BG1554" s="77"/>
      <c r="BH1554" s="77"/>
      <c r="BI1554" s="77"/>
    </row>
    <row r="1555" spans="1:61" x14ac:dyDescent="0.25">
      <c r="A1555" s="62" t="s">
        <v>641</v>
      </c>
      <c r="B1555" s="62" t="s">
        <v>641</v>
      </c>
      <c r="C1555" s="63"/>
      <c r="D1555" s="64"/>
      <c r="E1555" s="65"/>
      <c r="F1555" s="66"/>
      <c r="G1555" s="63"/>
      <c r="H1555" s="67"/>
      <c r="I1555" s="68"/>
      <c r="J1555" s="68"/>
      <c r="K1555" s="32"/>
      <c r="L1555" s="75">
        <v>1555</v>
      </c>
      <c r="M1555" s="75"/>
      <c r="N1555" s="70"/>
      <c r="O1555" s="77" t="s">
        <v>179</v>
      </c>
      <c r="P1555" s="79">
        <v>45136.535416666666</v>
      </c>
      <c r="Q1555" s="77" t="s">
        <v>2270</v>
      </c>
      <c r="R1555" s="77">
        <v>0</v>
      </c>
      <c r="S1555" s="77">
        <v>1</v>
      </c>
      <c r="T1555" s="77">
        <v>0</v>
      </c>
      <c r="U1555" s="77">
        <v>0</v>
      </c>
      <c r="V1555" s="77">
        <v>12</v>
      </c>
      <c r="W1555" s="82" t="s">
        <v>4809</v>
      </c>
      <c r="X1555" s="80" t="str">
        <f>HYPERLINK("https://bit.ly/3rO6cSp")</f>
        <v>https://bit.ly/3rO6cSp</v>
      </c>
      <c r="Y1555" s="77" t="s">
        <v>6468</v>
      </c>
      <c r="Z1555" s="77"/>
      <c r="AA1555" s="77" t="s">
        <v>7400</v>
      </c>
      <c r="AB1555" s="77" t="s">
        <v>7742</v>
      </c>
      <c r="AC1555" s="82" t="s">
        <v>7779</v>
      </c>
      <c r="AD1555" s="77" t="s">
        <v>7788</v>
      </c>
      <c r="AE1555" s="80" t="str">
        <f>HYPERLINK("https://twitter.com/investidoreso/status/1685271705697005568")</f>
        <v>https://twitter.com/investidoreso/status/1685271705697005568</v>
      </c>
      <c r="AF1555" s="79">
        <v>45136.535416666666</v>
      </c>
      <c r="AG1555" s="85">
        <v>45136</v>
      </c>
      <c r="AH1555" s="82" t="s">
        <v>9125</v>
      </c>
      <c r="AI1555" s="77" t="b">
        <v>0</v>
      </c>
      <c r="AJ1555" s="77"/>
      <c r="AK1555" s="77"/>
      <c r="AL1555" s="77"/>
      <c r="AM1555" s="77"/>
      <c r="AN1555" s="77"/>
      <c r="AO1555" s="77"/>
      <c r="AP1555" s="77"/>
      <c r="AQ1555" s="77" t="s">
        <v>11372</v>
      </c>
      <c r="AR1555" s="77"/>
      <c r="AS1555" s="77"/>
      <c r="AT1555" s="77"/>
      <c r="AU1555" s="77"/>
      <c r="AV1555" s="80" t="str">
        <f>HYPERLINK("https://pbs.twimg.com/media/F2NHK2xXUAA2MC_.jpg")</f>
        <v>https://pbs.twimg.com/media/F2NHK2xXUAA2MC_.jpg</v>
      </c>
      <c r="AW1555" s="82" t="s">
        <v>13162</v>
      </c>
      <c r="AX1555" s="82" t="s">
        <v>13162</v>
      </c>
      <c r="AY1555" s="77"/>
      <c r="AZ1555" s="82" t="s">
        <v>15984</v>
      </c>
      <c r="BA1555" s="82" t="s">
        <v>15984</v>
      </c>
      <c r="BB1555" s="82" t="s">
        <v>15984</v>
      </c>
      <c r="BC1555" s="82" t="s">
        <v>13162</v>
      </c>
      <c r="BD1555" s="82" t="s">
        <v>16340</v>
      </c>
      <c r="BE1555" s="77"/>
      <c r="BF1555" s="77"/>
      <c r="BG1555" s="77"/>
      <c r="BH1555" s="77"/>
      <c r="BI1555" s="77"/>
    </row>
    <row r="1556" spans="1:61" x14ac:dyDescent="0.25">
      <c r="A1556" s="62" t="s">
        <v>642</v>
      </c>
      <c r="B1556" s="62" t="s">
        <v>642</v>
      </c>
      <c r="C1556" s="63"/>
      <c r="D1556" s="64"/>
      <c r="E1556" s="65"/>
      <c r="F1556" s="66"/>
      <c r="G1556" s="63"/>
      <c r="H1556" s="67"/>
      <c r="I1556" s="68"/>
      <c r="J1556" s="68"/>
      <c r="K1556" s="32"/>
      <c r="L1556" s="75">
        <v>1556</v>
      </c>
      <c r="M1556" s="75"/>
      <c r="N1556" s="70"/>
      <c r="O1556" s="77" t="s">
        <v>898</v>
      </c>
      <c r="P1556" s="79">
        <v>45140.866030092591</v>
      </c>
      <c r="Q1556" s="77" t="s">
        <v>2271</v>
      </c>
      <c r="R1556" s="77">
        <v>0</v>
      </c>
      <c r="S1556" s="77">
        <v>0</v>
      </c>
      <c r="T1556" s="77">
        <v>0</v>
      </c>
      <c r="U1556" s="77">
        <v>0</v>
      </c>
      <c r="V1556" s="77">
        <v>5</v>
      </c>
      <c r="W1556" s="82" t="s">
        <v>5595</v>
      </c>
      <c r="X1556" s="77"/>
      <c r="Y1556" s="77"/>
      <c r="Z1556" s="77"/>
      <c r="AA1556" s="77" t="s">
        <v>7401</v>
      </c>
      <c r="AB1556" s="77" t="s">
        <v>7742</v>
      </c>
      <c r="AC1556" s="82" t="s">
        <v>7752</v>
      </c>
      <c r="AD1556" s="77" t="s">
        <v>7788</v>
      </c>
      <c r="AE1556" s="80" t="str">
        <f>HYPERLINK("https://twitter.com/marcelocastell0/status/1686841070162690048")</f>
        <v>https://twitter.com/marcelocastell0/status/1686841070162690048</v>
      </c>
      <c r="AF1556" s="79">
        <v>45140.866030092591</v>
      </c>
      <c r="AG1556" s="85">
        <v>45140</v>
      </c>
      <c r="AH1556" s="82" t="s">
        <v>9126</v>
      </c>
      <c r="AI1556" s="77" t="b">
        <v>0</v>
      </c>
      <c r="AJ1556" s="77"/>
      <c r="AK1556" s="77"/>
      <c r="AL1556" s="77"/>
      <c r="AM1556" s="77"/>
      <c r="AN1556" s="77"/>
      <c r="AO1556" s="77"/>
      <c r="AP1556" s="77"/>
      <c r="AQ1556" s="77" t="s">
        <v>11373</v>
      </c>
      <c r="AR1556" s="77"/>
      <c r="AS1556" s="77"/>
      <c r="AT1556" s="77"/>
      <c r="AU1556" s="77"/>
      <c r="AV1556" s="80" t="str">
        <f>HYPERLINK("https://pbs.twimg.com/media/F2jdAsmWsAIvUVt.jpg")</f>
        <v>https://pbs.twimg.com/media/F2jdAsmWsAIvUVt.jpg</v>
      </c>
      <c r="AW1556" s="82" t="s">
        <v>13163</v>
      </c>
      <c r="AX1556" s="82" t="s">
        <v>15878</v>
      </c>
      <c r="AY1556" s="82" t="s">
        <v>15970</v>
      </c>
      <c r="AZ1556" s="82" t="s">
        <v>16088</v>
      </c>
      <c r="BA1556" s="82" t="s">
        <v>15984</v>
      </c>
      <c r="BB1556" s="82" t="s">
        <v>15984</v>
      </c>
      <c r="BC1556" s="82" t="s">
        <v>16088</v>
      </c>
      <c r="BD1556" s="82" t="s">
        <v>15970</v>
      </c>
      <c r="BE1556" s="77"/>
      <c r="BF1556" s="77"/>
      <c r="BG1556" s="77"/>
      <c r="BH1556" s="77"/>
      <c r="BI1556" s="77"/>
    </row>
    <row r="1557" spans="1:61" x14ac:dyDescent="0.25">
      <c r="A1557" s="62" t="s">
        <v>643</v>
      </c>
      <c r="B1557" s="62" t="s">
        <v>643</v>
      </c>
      <c r="C1557" s="63"/>
      <c r="D1557" s="64"/>
      <c r="E1557" s="65"/>
      <c r="F1557" s="66"/>
      <c r="G1557" s="63"/>
      <c r="H1557" s="67"/>
      <c r="I1557" s="68"/>
      <c r="J1557" s="68"/>
      <c r="K1557" s="32"/>
      <c r="L1557" s="75">
        <v>1557</v>
      </c>
      <c r="M1557" s="75"/>
      <c r="N1557" s="70"/>
      <c r="O1557" s="77" t="s">
        <v>179</v>
      </c>
      <c r="P1557" s="79">
        <v>45185.780682870369</v>
      </c>
      <c r="Q1557" s="77" t="s">
        <v>2272</v>
      </c>
      <c r="R1557" s="77">
        <v>0</v>
      </c>
      <c r="S1557" s="77">
        <v>0</v>
      </c>
      <c r="T1557" s="77">
        <v>0</v>
      </c>
      <c r="U1557" s="77">
        <v>0</v>
      </c>
      <c r="V1557" s="77">
        <v>24</v>
      </c>
      <c r="W1557" s="82" t="s">
        <v>5596</v>
      </c>
      <c r="X1557" s="77"/>
      <c r="Y1557" s="77"/>
      <c r="Z1557" s="77"/>
      <c r="AA1557" s="77" t="s">
        <v>7402</v>
      </c>
      <c r="AB1557" s="77" t="s">
        <v>7742</v>
      </c>
      <c r="AC1557" s="82" t="s">
        <v>7751</v>
      </c>
      <c r="AD1557" s="77" t="s">
        <v>7788</v>
      </c>
      <c r="AE1557" s="80" t="str">
        <f>HYPERLINK("https://twitter.com/investimentobrl/status/1703117592674656609")</f>
        <v>https://twitter.com/investimentobrl/status/1703117592674656609</v>
      </c>
      <c r="AF1557" s="79">
        <v>45185.780682870369</v>
      </c>
      <c r="AG1557" s="85">
        <v>45185</v>
      </c>
      <c r="AH1557" s="82" t="s">
        <v>9127</v>
      </c>
      <c r="AI1557" s="77" t="b">
        <v>0</v>
      </c>
      <c r="AJ1557" s="77"/>
      <c r="AK1557" s="77"/>
      <c r="AL1557" s="77"/>
      <c r="AM1557" s="77"/>
      <c r="AN1557" s="77"/>
      <c r="AO1557" s="77"/>
      <c r="AP1557" s="77"/>
      <c r="AQ1557" s="77" t="s">
        <v>11374</v>
      </c>
      <c r="AR1557" s="77"/>
      <c r="AS1557" s="77"/>
      <c r="AT1557" s="77"/>
      <c r="AU1557" s="77"/>
      <c r="AV1557" s="80" t="str">
        <f>HYPERLINK("https://pbs.twimg.com/media/F6KwbFIXYAA3-YL.jpg")</f>
        <v>https://pbs.twimg.com/media/F6KwbFIXYAA3-YL.jpg</v>
      </c>
      <c r="AW1557" s="82" t="s">
        <v>13164</v>
      </c>
      <c r="AX1557" s="82" t="s">
        <v>13164</v>
      </c>
      <c r="AY1557" s="77"/>
      <c r="AZ1557" s="82" t="s">
        <v>15984</v>
      </c>
      <c r="BA1557" s="82" t="s">
        <v>15984</v>
      </c>
      <c r="BB1557" s="82" t="s">
        <v>15984</v>
      </c>
      <c r="BC1557" s="82" t="s">
        <v>13164</v>
      </c>
      <c r="BD1557" s="82" t="s">
        <v>16341</v>
      </c>
      <c r="BE1557" s="77"/>
      <c r="BF1557" s="77"/>
      <c r="BG1557" s="77"/>
      <c r="BH1557" s="77"/>
      <c r="BI1557" s="77"/>
    </row>
    <row r="1558" spans="1:61" x14ac:dyDescent="0.25">
      <c r="A1558" s="62" t="s">
        <v>644</v>
      </c>
      <c r="B1558" s="62" t="s">
        <v>644</v>
      </c>
      <c r="C1558" s="63"/>
      <c r="D1558" s="64"/>
      <c r="E1558" s="65"/>
      <c r="F1558" s="66"/>
      <c r="G1558" s="63"/>
      <c r="H1558" s="67"/>
      <c r="I1558" s="68"/>
      <c r="J1558" s="68"/>
      <c r="K1558" s="32"/>
      <c r="L1558" s="75">
        <v>1558</v>
      </c>
      <c r="M1558" s="75"/>
      <c r="N1558" s="70"/>
      <c r="O1558" s="77" t="s">
        <v>179</v>
      </c>
      <c r="P1558" s="79">
        <v>45159.56287037037</v>
      </c>
      <c r="Q1558" s="77" t="s">
        <v>2273</v>
      </c>
      <c r="R1558" s="77">
        <v>1</v>
      </c>
      <c r="S1558" s="77">
        <v>10</v>
      </c>
      <c r="T1558" s="77">
        <v>1</v>
      </c>
      <c r="U1558" s="77">
        <v>0</v>
      </c>
      <c r="V1558" s="77">
        <v>241</v>
      </c>
      <c r="W1558" s="82" t="s">
        <v>5597</v>
      </c>
      <c r="X1558" s="80" t="str">
        <f>HYPERLINK("https://www.youtube.com/live/mb96kgiNbes?feature=share")</f>
        <v>https://www.youtube.com/live/mb96kgiNbes?feature=share</v>
      </c>
      <c r="Y1558" s="77" t="s">
        <v>6480</v>
      </c>
      <c r="Z1558" s="77"/>
      <c r="AA1558" s="77"/>
      <c r="AB1558" s="77"/>
      <c r="AC1558" s="82" t="s">
        <v>7751</v>
      </c>
      <c r="AD1558" s="77" t="s">
        <v>7788</v>
      </c>
      <c r="AE1558" s="80" t="str">
        <f>HYPERLINK("https://twitter.com/cryptoinvestido/status/1693616577680146842")</f>
        <v>https://twitter.com/cryptoinvestido/status/1693616577680146842</v>
      </c>
      <c r="AF1558" s="79">
        <v>45159.56287037037</v>
      </c>
      <c r="AG1558" s="85">
        <v>45159</v>
      </c>
      <c r="AH1558" s="82" t="s">
        <v>9128</v>
      </c>
      <c r="AI1558" s="77" t="b">
        <v>0</v>
      </c>
      <c r="AJ1558" s="77"/>
      <c r="AK1558" s="77"/>
      <c r="AL1558" s="77"/>
      <c r="AM1558" s="77"/>
      <c r="AN1558" s="77"/>
      <c r="AO1558" s="77"/>
      <c r="AP1558" s="77"/>
      <c r="AQ1558" s="77"/>
      <c r="AR1558" s="77"/>
      <c r="AS1558" s="77"/>
      <c r="AT1558" s="77"/>
      <c r="AU1558" s="77"/>
      <c r="AV1558" s="80" t="str">
        <f>HYPERLINK("https://pbs.twimg.com/profile_images/1686737017420333056/L26qJbCx_normal.jpg")</f>
        <v>https://pbs.twimg.com/profile_images/1686737017420333056/L26qJbCx_normal.jpg</v>
      </c>
      <c r="AW1558" s="82" t="s">
        <v>13165</v>
      </c>
      <c r="AX1558" s="82" t="s">
        <v>13165</v>
      </c>
      <c r="AY1558" s="77"/>
      <c r="AZ1558" s="82" t="s">
        <v>15984</v>
      </c>
      <c r="BA1558" s="82" t="s">
        <v>15984</v>
      </c>
      <c r="BB1558" s="82" t="s">
        <v>15984</v>
      </c>
      <c r="BC1558" s="82" t="s">
        <v>13165</v>
      </c>
      <c r="BD1558" s="82" t="s">
        <v>16342</v>
      </c>
      <c r="BE1558" s="77"/>
      <c r="BF1558" s="77"/>
      <c r="BG1558" s="77"/>
      <c r="BH1558" s="77"/>
      <c r="BI1558" s="77"/>
    </row>
    <row r="1559" spans="1:61" x14ac:dyDescent="0.25">
      <c r="A1559" s="62" t="s">
        <v>645</v>
      </c>
      <c r="B1559" s="62" t="s">
        <v>645</v>
      </c>
      <c r="C1559" s="63"/>
      <c r="D1559" s="64"/>
      <c r="E1559" s="65"/>
      <c r="F1559" s="66"/>
      <c r="G1559" s="63"/>
      <c r="H1559" s="67"/>
      <c r="I1559" s="68"/>
      <c r="J1559" s="68"/>
      <c r="K1559" s="32"/>
      <c r="L1559" s="75">
        <v>1559</v>
      </c>
      <c r="M1559" s="75"/>
      <c r="N1559" s="70"/>
      <c r="O1559" s="77" t="s">
        <v>179</v>
      </c>
      <c r="P1559" s="79">
        <v>45124.500497685185</v>
      </c>
      <c r="Q1559" s="77" t="s">
        <v>2274</v>
      </c>
      <c r="R1559" s="77">
        <v>0</v>
      </c>
      <c r="S1559" s="77">
        <v>0</v>
      </c>
      <c r="T1559" s="77">
        <v>0</v>
      </c>
      <c r="U1559" s="77">
        <v>0</v>
      </c>
      <c r="V1559" s="77">
        <v>20</v>
      </c>
      <c r="W1559" s="82" t="s">
        <v>5598</v>
      </c>
      <c r="X1559" s="77"/>
      <c r="Y1559" s="77"/>
      <c r="Z1559" s="77"/>
      <c r="AA1559" s="77" t="s">
        <v>7403</v>
      </c>
      <c r="AB1559" s="77" t="s">
        <v>7742</v>
      </c>
      <c r="AC1559" s="82" t="s">
        <v>7757</v>
      </c>
      <c r="AD1559" s="77" t="s">
        <v>7788</v>
      </c>
      <c r="AE1559" s="80" t="str">
        <f>HYPERLINK("https://twitter.com/hermilton5/status/1680910399888138240")</f>
        <v>https://twitter.com/hermilton5/status/1680910399888138240</v>
      </c>
      <c r="AF1559" s="79">
        <v>45124.500497685185</v>
      </c>
      <c r="AG1559" s="85">
        <v>45124</v>
      </c>
      <c r="AH1559" s="82" t="s">
        <v>9129</v>
      </c>
      <c r="AI1559" s="77" t="b">
        <v>0</v>
      </c>
      <c r="AJ1559" s="77"/>
      <c r="AK1559" s="77"/>
      <c r="AL1559" s="77"/>
      <c r="AM1559" s="77"/>
      <c r="AN1559" s="77"/>
      <c r="AO1559" s="77"/>
      <c r="AP1559" s="77"/>
      <c r="AQ1559" s="77" t="s">
        <v>11375</v>
      </c>
      <c r="AR1559" s="77"/>
      <c r="AS1559" s="77"/>
      <c r="AT1559" s="77"/>
      <c r="AU1559" s="77"/>
      <c r="AV1559" s="80" t="str">
        <f>HYPERLINK("https://pbs.twimg.com/media/F1PLGdRXwAEwmf0.jpg")</f>
        <v>https://pbs.twimg.com/media/F1PLGdRXwAEwmf0.jpg</v>
      </c>
      <c r="AW1559" s="82" t="s">
        <v>13166</v>
      </c>
      <c r="AX1559" s="82" t="s">
        <v>13166</v>
      </c>
      <c r="AY1559" s="77"/>
      <c r="AZ1559" s="82" t="s">
        <v>15984</v>
      </c>
      <c r="BA1559" s="82" t="s">
        <v>15984</v>
      </c>
      <c r="BB1559" s="82" t="s">
        <v>15984</v>
      </c>
      <c r="BC1559" s="82" t="s">
        <v>13166</v>
      </c>
      <c r="BD1559" s="82" t="s">
        <v>16343</v>
      </c>
      <c r="BE1559" s="77"/>
      <c r="BF1559" s="77"/>
      <c r="BG1559" s="77"/>
      <c r="BH1559" s="77"/>
      <c r="BI1559" s="77"/>
    </row>
    <row r="1560" spans="1:61" x14ac:dyDescent="0.25">
      <c r="A1560" s="62" t="s">
        <v>646</v>
      </c>
      <c r="B1560" s="62" t="s">
        <v>646</v>
      </c>
      <c r="C1560" s="63"/>
      <c r="D1560" s="64"/>
      <c r="E1560" s="65"/>
      <c r="F1560" s="66"/>
      <c r="G1560" s="63"/>
      <c r="H1560" s="67"/>
      <c r="I1560" s="68"/>
      <c r="J1560" s="68"/>
      <c r="K1560" s="32"/>
      <c r="L1560" s="75">
        <v>1560</v>
      </c>
      <c r="M1560" s="75"/>
      <c r="N1560" s="70"/>
      <c r="O1560" s="77" t="s">
        <v>179</v>
      </c>
      <c r="P1560" s="79">
        <v>45125.393784722219</v>
      </c>
      <c r="Q1560" s="77" t="s">
        <v>2275</v>
      </c>
      <c r="R1560" s="77">
        <v>0</v>
      </c>
      <c r="S1560" s="77">
        <v>0</v>
      </c>
      <c r="T1560" s="77">
        <v>0</v>
      </c>
      <c r="U1560" s="77">
        <v>0</v>
      </c>
      <c r="V1560" s="77">
        <v>7</v>
      </c>
      <c r="W1560" s="82" t="s">
        <v>5599</v>
      </c>
      <c r="X1560" s="77"/>
      <c r="Y1560" s="77"/>
      <c r="Z1560" s="77"/>
      <c r="AA1560" s="77"/>
      <c r="AB1560" s="77"/>
      <c r="AC1560" s="82" t="s">
        <v>7751</v>
      </c>
      <c r="AD1560" s="77" t="s">
        <v>7795</v>
      </c>
      <c r="AE1560" s="80" t="str">
        <f>HYPERLINK("https://twitter.com/cri_opportunity/status/1681234113926254593")</f>
        <v>https://twitter.com/cri_opportunity/status/1681234113926254593</v>
      </c>
      <c r="AF1560" s="79">
        <v>45125.393784722219</v>
      </c>
      <c r="AG1560" s="85">
        <v>45125</v>
      </c>
      <c r="AH1560" s="82" t="s">
        <v>9130</v>
      </c>
      <c r="AI1560" s="77"/>
      <c r="AJ1560" s="77"/>
      <c r="AK1560" s="77"/>
      <c r="AL1560" s="77"/>
      <c r="AM1560" s="77"/>
      <c r="AN1560" s="77"/>
      <c r="AO1560" s="77"/>
      <c r="AP1560" s="77"/>
      <c r="AQ1560" s="77"/>
      <c r="AR1560" s="77"/>
      <c r="AS1560" s="77"/>
      <c r="AT1560" s="77"/>
      <c r="AU1560" s="77"/>
      <c r="AV1560" s="80" t="str">
        <f>HYPERLINK("https://pbs.twimg.com/profile_images/1626323104367607808/PUDWjZJ7_normal.jpg")</f>
        <v>https://pbs.twimg.com/profile_images/1626323104367607808/PUDWjZJ7_normal.jpg</v>
      </c>
      <c r="AW1560" s="82" t="s">
        <v>13167</v>
      </c>
      <c r="AX1560" s="82" t="s">
        <v>13167</v>
      </c>
      <c r="AY1560" s="77"/>
      <c r="AZ1560" s="82" t="s">
        <v>15984</v>
      </c>
      <c r="BA1560" s="82" t="s">
        <v>15984</v>
      </c>
      <c r="BB1560" s="82" t="s">
        <v>15984</v>
      </c>
      <c r="BC1560" s="82" t="s">
        <v>13167</v>
      </c>
      <c r="BD1560" s="82" t="s">
        <v>16344</v>
      </c>
      <c r="BE1560" s="77"/>
      <c r="BF1560" s="77"/>
      <c r="BG1560" s="77"/>
      <c r="BH1560" s="77"/>
      <c r="BI1560" s="77"/>
    </row>
    <row r="1561" spans="1:61" x14ac:dyDescent="0.25">
      <c r="A1561" s="62" t="s">
        <v>647</v>
      </c>
      <c r="B1561" s="62" t="s">
        <v>647</v>
      </c>
      <c r="C1561" s="63"/>
      <c r="D1561" s="64"/>
      <c r="E1561" s="65"/>
      <c r="F1561" s="66"/>
      <c r="G1561" s="63"/>
      <c r="H1561" s="67"/>
      <c r="I1561" s="68"/>
      <c r="J1561" s="68"/>
      <c r="K1561" s="32"/>
      <c r="L1561" s="75">
        <v>1561</v>
      </c>
      <c r="M1561" s="75"/>
      <c r="N1561" s="70"/>
      <c r="O1561" s="77" t="s">
        <v>179</v>
      </c>
      <c r="P1561" s="79">
        <v>45163.496122685188</v>
      </c>
      <c r="Q1561" s="77" t="s">
        <v>2276</v>
      </c>
      <c r="R1561" s="77">
        <v>0</v>
      </c>
      <c r="S1561" s="77">
        <v>0</v>
      </c>
      <c r="T1561" s="77">
        <v>0</v>
      </c>
      <c r="U1561" s="77">
        <v>0</v>
      </c>
      <c r="V1561" s="77">
        <v>18</v>
      </c>
      <c r="W1561" s="82" t="s">
        <v>5600</v>
      </c>
      <c r="X1561" s="77"/>
      <c r="Y1561" s="77"/>
      <c r="Z1561" s="77"/>
      <c r="AA1561" s="77"/>
      <c r="AB1561" s="77"/>
      <c r="AC1561" s="82" t="s">
        <v>7752</v>
      </c>
      <c r="AD1561" s="77" t="s">
        <v>7788</v>
      </c>
      <c r="AE1561" s="80" t="str">
        <f>HYPERLINK("https://twitter.com/drjuliomiranda/status/1695041938792059358")</f>
        <v>https://twitter.com/drjuliomiranda/status/1695041938792059358</v>
      </c>
      <c r="AF1561" s="79">
        <v>45163.496122685188</v>
      </c>
      <c r="AG1561" s="85">
        <v>45163</v>
      </c>
      <c r="AH1561" s="82" t="s">
        <v>9131</v>
      </c>
      <c r="AI1561" s="77"/>
      <c r="AJ1561" s="77"/>
      <c r="AK1561" s="77"/>
      <c r="AL1561" s="77"/>
      <c r="AM1561" s="77"/>
      <c r="AN1561" s="77"/>
      <c r="AO1561" s="77"/>
      <c r="AP1561" s="77"/>
      <c r="AQ1561" s="77"/>
      <c r="AR1561" s="77"/>
      <c r="AS1561" s="77"/>
      <c r="AT1561" s="77"/>
      <c r="AU1561" s="77"/>
      <c r="AV1561" s="80" t="str">
        <f>HYPERLINK("https://pbs.twimg.com/profile_images/1694186884434423809/x9zNJLYj_normal.jpg")</f>
        <v>https://pbs.twimg.com/profile_images/1694186884434423809/x9zNJLYj_normal.jpg</v>
      </c>
      <c r="AW1561" s="82" t="s">
        <v>13168</v>
      </c>
      <c r="AX1561" s="82" t="s">
        <v>13168</v>
      </c>
      <c r="AY1561" s="77"/>
      <c r="AZ1561" s="82" t="s">
        <v>15984</v>
      </c>
      <c r="BA1561" s="82" t="s">
        <v>15984</v>
      </c>
      <c r="BB1561" s="82" t="s">
        <v>15984</v>
      </c>
      <c r="BC1561" s="82" t="s">
        <v>13168</v>
      </c>
      <c r="BD1561" s="82" t="s">
        <v>16345</v>
      </c>
      <c r="BE1561" s="77"/>
      <c r="BF1561" s="77"/>
      <c r="BG1561" s="77"/>
      <c r="BH1561" s="77"/>
      <c r="BI1561" s="77"/>
    </row>
    <row r="1562" spans="1:61" x14ac:dyDescent="0.25">
      <c r="A1562" s="62" t="s">
        <v>648</v>
      </c>
      <c r="B1562" s="62" t="s">
        <v>648</v>
      </c>
      <c r="C1562" s="63"/>
      <c r="D1562" s="64"/>
      <c r="E1562" s="65"/>
      <c r="F1562" s="66"/>
      <c r="G1562" s="63"/>
      <c r="H1562" s="67"/>
      <c r="I1562" s="68"/>
      <c r="J1562" s="68"/>
      <c r="K1562" s="32"/>
      <c r="L1562" s="75">
        <v>1562</v>
      </c>
      <c r="M1562" s="75"/>
      <c r="N1562" s="70"/>
      <c r="O1562" s="77" t="s">
        <v>179</v>
      </c>
      <c r="P1562" s="79">
        <v>45118.611539351848</v>
      </c>
      <c r="Q1562" s="77" t="s">
        <v>2277</v>
      </c>
      <c r="R1562" s="77">
        <v>6</v>
      </c>
      <c r="S1562" s="77">
        <v>5</v>
      </c>
      <c r="T1562" s="77">
        <v>1</v>
      </c>
      <c r="U1562" s="77">
        <v>0</v>
      </c>
      <c r="V1562" s="77">
        <v>28</v>
      </c>
      <c r="W1562" s="82" t="s">
        <v>5601</v>
      </c>
      <c r="X1562" s="77"/>
      <c r="Y1562" s="77"/>
      <c r="Z1562" s="77"/>
      <c r="AA1562" s="77"/>
      <c r="AB1562" s="77"/>
      <c r="AC1562" s="82" t="s">
        <v>7750</v>
      </c>
      <c r="AD1562" s="77" t="s">
        <v>7789</v>
      </c>
      <c r="AE1562" s="80" t="str">
        <f>HYPERLINK("https://twitter.com/mckinney_moorez/status/1678776309957406720")</f>
        <v>https://twitter.com/mckinney_moorez/status/1678776309957406720</v>
      </c>
      <c r="AF1562" s="79">
        <v>45118.611539351848</v>
      </c>
      <c r="AG1562" s="85">
        <v>45118</v>
      </c>
      <c r="AH1562" s="82" t="s">
        <v>9132</v>
      </c>
      <c r="AI1562" s="77"/>
      <c r="AJ1562" s="77"/>
      <c r="AK1562" s="77"/>
      <c r="AL1562" s="77"/>
      <c r="AM1562" s="77"/>
      <c r="AN1562" s="77"/>
      <c r="AO1562" s="77"/>
      <c r="AP1562" s="77"/>
      <c r="AQ1562" s="77"/>
      <c r="AR1562" s="77"/>
      <c r="AS1562" s="77"/>
      <c r="AT1562" s="77"/>
      <c r="AU1562" s="77"/>
      <c r="AV1562" s="80" t="str">
        <f>HYPERLINK("https://pbs.twimg.com/profile_images/1579760580272873473/QtDoigmv_normal.jpg")</f>
        <v>https://pbs.twimg.com/profile_images/1579760580272873473/QtDoigmv_normal.jpg</v>
      </c>
      <c r="AW1562" s="82" t="s">
        <v>13169</v>
      </c>
      <c r="AX1562" s="82" t="s">
        <v>13169</v>
      </c>
      <c r="AY1562" s="77"/>
      <c r="AZ1562" s="82" t="s">
        <v>15984</v>
      </c>
      <c r="BA1562" s="82" t="s">
        <v>15984</v>
      </c>
      <c r="BB1562" s="82" t="s">
        <v>15984</v>
      </c>
      <c r="BC1562" s="82" t="s">
        <v>13169</v>
      </c>
      <c r="BD1562" s="77">
        <v>3029762731</v>
      </c>
      <c r="BE1562" s="77"/>
      <c r="BF1562" s="77"/>
      <c r="BG1562" s="77"/>
      <c r="BH1562" s="77"/>
      <c r="BI1562" s="77"/>
    </row>
    <row r="1563" spans="1:61" x14ac:dyDescent="0.25">
      <c r="A1563" s="62" t="s">
        <v>649</v>
      </c>
      <c r="B1563" s="62" t="s">
        <v>649</v>
      </c>
      <c r="C1563" s="63"/>
      <c r="D1563" s="64"/>
      <c r="E1563" s="65"/>
      <c r="F1563" s="66"/>
      <c r="G1563" s="63"/>
      <c r="H1563" s="67"/>
      <c r="I1563" s="68"/>
      <c r="J1563" s="68"/>
      <c r="K1563" s="32"/>
      <c r="L1563" s="75">
        <v>1563</v>
      </c>
      <c r="M1563" s="75"/>
      <c r="N1563" s="70"/>
      <c r="O1563" s="77" t="s">
        <v>179</v>
      </c>
      <c r="P1563" s="79">
        <v>45135.423634259256</v>
      </c>
      <c r="Q1563" s="77" t="s">
        <v>2278</v>
      </c>
      <c r="R1563" s="77">
        <v>0</v>
      </c>
      <c r="S1563" s="77">
        <v>0</v>
      </c>
      <c r="T1563" s="77">
        <v>0</v>
      </c>
      <c r="U1563" s="77">
        <v>0</v>
      </c>
      <c r="V1563" s="77">
        <v>1</v>
      </c>
      <c r="W1563" s="82" t="s">
        <v>5602</v>
      </c>
      <c r="X1563" s="80" t="str">
        <f>HYPERLINK("https://cromaticanoticias.com/a/8674/La-economia-espaola-crece-un-04-en-el-segundo-trimestre-a-pesar-de-la-menor-contribucion-del-sector-exterior")</f>
        <v>https://cromaticanoticias.com/a/8674/La-economia-espaola-crece-un-04-en-el-segundo-trimestre-a-pesar-de-la-menor-contribucion-del-sector-exterior</v>
      </c>
      <c r="Y1563" s="77" t="s">
        <v>6547</v>
      </c>
      <c r="Z1563" s="77"/>
      <c r="AA1563" s="77"/>
      <c r="AB1563" s="77"/>
      <c r="AC1563" s="82" t="s">
        <v>7780</v>
      </c>
      <c r="AD1563" s="77" t="s">
        <v>7790</v>
      </c>
      <c r="AE1563" s="80" t="str">
        <f>HYPERLINK("https://twitter.com/cromaticanews/status/1684868811420319745")</f>
        <v>https://twitter.com/cromaticanews/status/1684868811420319745</v>
      </c>
      <c r="AF1563" s="79">
        <v>45135.423634259256</v>
      </c>
      <c r="AG1563" s="85">
        <v>45135</v>
      </c>
      <c r="AH1563" s="82" t="s">
        <v>9133</v>
      </c>
      <c r="AI1563" s="77" t="b">
        <v>0</v>
      </c>
      <c r="AJ1563" s="77"/>
      <c r="AK1563" s="77"/>
      <c r="AL1563" s="77"/>
      <c r="AM1563" s="77"/>
      <c r="AN1563" s="77"/>
      <c r="AO1563" s="77"/>
      <c r="AP1563" s="77"/>
      <c r="AQ1563" s="77"/>
      <c r="AR1563" s="77"/>
      <c r="AS1563" s="77"/>
      <c r="AT1563" s="77"/>
      <c r="AU1563" s="77"/>
      <c r="AV1563" s="80" t="str">
        <f>HYPERLINK("https://pbs.twimg.com/profile_images/1646267037231054848/IZBbqwV3_normal.jpg")</f>
        <v>https://pbs.twimg.com/profile_images/1646267037231054848/IZBbqwV3_normal.jpg</v>
      </c>
      <c r="AW1563" s="82" t="s">
        <v>13170</v>
      </c>
      <c r="AX1563" s="82" t="s">
        <v>13170</v>
      </c>
      <c r="AY1563" s="77"/>
      <c r="AZ1563" s="82" t="s">
        <v>15984</v>
      </c>
      <c r="BA1563" s="82" t="s">
        <v>15984</v>
      </c>
      <c r="BB1563" s="82" t="s">
        <v>15984</v>
      </c>
      <c r="BC1563" s="82" t="s">
        <v>13170</v>
      </c>
      <c r="BD1563" s="82" t="s">
        <v>16346</v>
      </c>
      <c r="BE1563" s="77"/>
      <c r="BF1563" s="77"/>
      <c r="BG1563" s="77"/>
      <c r="BH1563" s="77"/>
      <c r="BI1563" s="77"/>
    </row>
    <row r="1564" spans="1:61" x14ac:dyDescent="0.25">
      <c r="A1564" s="62" t="s">
        <v>649</v>
      </c>
      <c r="B1564" s="62" t="s">
        <v>649</v>
      </c>
      <c r="C1564" s="63"/>
      <c r="D1564" s="64"/>
      <c r="E1564" s="65"/>
      <c r="F1564" s="66"/>
      <c r="G1564" s="63"/>
      <c r="H1564" s="67"/>
      <c r="I1564" s="68"/>
      <c r="J1564" s="68"/>
      <c r="K1564" s="32"/>
      <c r="L1564" s="75">
        <v>1564</v>
      </c>
      <c r="M1564" s="75"/>
      <c r="N1564" s="70"/>
      <c r="O1564" s="77" t="s">
        <v>179</v>
      </c>
      <c r="P1564" s="79">
        <v>45135.381967592592</v>
      </c>
      <c r="Q1564" s="77" t="s">
        <v>2279</v>
      </c>
      <c r="R1564" s="77">
        <v>0</v>
      </c>
      <c r="S1564" s="77">
        <v>0</v>
      </c>
      <c r="T1564" s="77">
        <v>0</v>
      </c>
      <c r="U1564" s="77">
        <v>0</v>
      </c>
      <c r="V1564" s="77">
        <v>5</v>
      </c>
      <c r="W1564" s="82" t="s">
        <v>5603</v>
      </c>
      <c r="X1564" s="80" t="str">
        <f>HYPERLINK("https://cromaticanoticias.com/a/8668/IPC-de-julio-registra-un-incremento-del-01-y-una-tasa-interanual-del-23-por-subida-de-precios")</f>
        <v>https://cromaticanoticias.com/a/8668/IPC-de-julio-registra-un-incremento-del-01-y-una-tasa-interanual-del-23-por-subida-de-precios</v>
      </c>
      <c r="Y1564" s="77" t="s">
        <v>6547</v>
      </c>
      <c r="Z1564" s="77"/>
      <c r="AA1564" s="77"/>
      <c r="AB1564" s="77"/>
      <c r="AC1564" s="82" t="s">
        <v>7780</v>
      </c>
      <c r="AD1564" s="77" t="s">
        <v>7790</v>
      </c>
      <c r="AE1564" s="80" t="str">
        <f>HYPERLINK("https://twitter.com/cromaticanews/status/1684853710965342210")</f>
        <v>https://twitter.com/cromaticanews/status/1684853710965342210</v>
      </c>
      <c r="AF1564" s="79">
        <v>45135.381967592592</v>
      </c>
      <c r="AG1564" s="85">
        <v>45135</v>
      </c>
      <c r="AH1564" s="82" t="s">
        <v>9134</v>
      </c>
      <c r="AI1564" s="77" t="b">
        <v>0</v>
      </c>
      <c r="AJ1564" s="77"/>
      <c r="AK1564" s="77"/>
      <c r="AL1564" s="77"/>
      <c r="AM1564" s="77"/>
      <c r="AN1564" s="77"/>
      <c r="AO1564" s="77"/>
      <c r="AP1564" s="77"/>
      <c r="AQ1564" s="77"/>
      <c r="AR1564" s="77"/>
      <c r="AS1564" s="77"/>
      <c r="AT1564" s="77"/>
      <c r="AU1564" s="77"/>
      <c r="AV1564" s="80" t="str">
        <f>HYPERLINK("https://pbs.twimg.com/profile_images/1646267037231054848/IZBbqwV3_normal.jpg")</f>
        <v>https://pbs.twimg.com/profile_images/1646267037231054848/IZBbqwV3_normal.jpg</v>
      </c>
      <c r="AW1564" s="82" t="s">
        <v>13171</v>
      </c>
      <c r="AX1564" s="82" t="s">
        <v>13171</v>
      </c>
      <c r="AY1564" s="77"/>
      <c r="AZ1564" s="82" t="s">
        <v>15984</v>
      </c>
      <c r="BA1564" s="82" t="s">
        <v>15984</v>
      </c>
      <c r="BB1564" s="82" t="s">
        <v>15984</v>
      </c>
      <c r="BC1564" s="82" t="s">
        <v>13171</v>
      </c>
      <c r="BD1564" s="82" t="s">
        <v>16346</v>
      </c>
      <c r="BE1564" s="77"/>
      <c r="BF1564" s="77"/>
      <c r="BG1564" s="77"/>
      <c r="BH1564" s="77"/>
      <c r="BI1564" s="77"/>
    </row>
    <row r="1565" spans="1:61" x14ac:dyDescent="0.25">
      <c r="A1565" s="62" t="s">
        <v>649</v>
      </c>
      <c r="B1565" s="62" t="s">
        <v>649</v>
      </c>
      <c r="C1565" s="63"/>
      <c r="D1565" s="64"/>
      <c r="E1565" s="65"/>
      <c r="F1565" s="66"/>
      <c r="G1565" s="63"/>
      <c r="H1565" s="67"/>
      <c r="I1565" s="68"/>
      <c r="J1565" s="68"/>
      <c r="K1565" s="32"/>
      <c r="L1565" s="75">
        <v>1565</v>
      </c>
      <c r="M1565" s="75"/>
      <c r="N1565" s="70"/>
      <c r="O1565" s="77" t="s">
        <v>179</v>
      </c>
      <c r="P1565" s="79">
        <v>45138.423634259256</v>
      </c>
      <c r="Q1565" s="77" t="s">
        <v>2280</v>
      </c>
      <c r="R1565" s="77">
        <v>0</v>
      </c>
      <c r="S1565" s="77">
        <v>0</v>
      </c>
      <c r="T1565" s="77">
        <v>0</v>
      </c>
      <c r="U1565" s="77">
        <v>0</v>
      </c>
      <c r="V1565" s="77">
        <v>2</v>
      </c>
      <c r="W1565" s="82" t="s">
        <v>5604</v>
      </c>
      <c r="X1565" s="80" t="str">
        <f>HYPERLINK("https://cromaticanoticias.com/a/8821/El-Consejo-General-de-Economistas-aumenta-prevision-de-crecimiento-para-Espaa-impulsado-por-el-turismo-y-la-ocupacion")</f>
        <v>https://cromaticanoticias.com/a/8821/El-Consejo-General-de-Economistas-aumenta-prevision-de-crecimiento-para-Espaa-impulsado-por-el-turismo-y-la-ocupacion</v>
      </c>
      <c r="Y1565" s="77" t="s">
        <v>6547</v>
      </c>
      <c r="Z1565" s="77"/>
      <c r="AA1565" s="77"/>
      <c r="AB1565" s="77"/>
      <c r="AC1565" s="82" t="s">
        <v>7780</v>
      </c>
      <c r="AD1565" s="77" t="s">
        <v>7790</v>
      </c>
      <c r="AE1565" s="80" t="str">
        <f>HYPERLINK("https://twitter.com/cromaticanews/status/1685955974970912768")</f>
        <v>https://twitter.com/cromaticanews/status/1685955974970912768</v>
      </c>
      <c r="AF1565" s="79">
        <v>45138.423634259256</v>
      </c>
      <c r="AG1565" s="85">
        <v>45138</v>
      </c>
      <c r="AH1565" s="82" t="s">
        <v>9133</v>
      </c>
      <c r="AI1565" s="77" t="b">
        <v>0</v>
      </c>
      <c r="AJ1565" s="77"/>
      <c r="AK1565" s="77"/>
      <c r="AL1565" s="77"/>
      <c r="AM1565" s="77"/>
      <c r="AN1565" s="77"/>
      <c r="AO1565" s="77"/>
      <c r="AP1565" s="77"/>
      <c r="AQ1565" s="77"/>
      <c r="AR1565" s="77"/>
      <c r="AS1565" s="77"/>
      <c r="AT1565" s="77"/>
      <c r="AU1565" s="77"/>
      <c r="AV1565" s="80" t="str">
        <f>HYPERLINK("https://pbs.twimg.com/profile_images/1646267037231054848/IZBbqwV3_normal.jpg")</f>
        <v>https://pbs.twimg.com/profile_images/1646267037231054848/IZBbqwV3_normal.jpg</v>
      </c>
      <c r="AW1565" s="82" t="s">
        <v>13172</v>
      </c>
      <c r="AX1565" s="82" t="s">
        <v>13172</v>
      </c>
      <c r="AY1565" s="77"/>
      <c r="AZ1565" s="82" t="s">
        <v>15984</v>
      </c>
      <c r="BA1565" s="82" t="s">
        <v>15984</v>
      </c>
      <c r="BB1565" s="82" t="s">
        <v>15984</v>
      </c>
      <c r="BC1565" s="82" t="s">
        <v>13172</v>
      </c>
      <c r="BD1565" s="82" t="s">
        <v>16346</v>
      </c>
      <c r="BE1565" s="77"/>
      <c r="BF1565" s="77"/>
      <c r="BG1565" s="77"/>
      <c r="BH1565" s="77"/>
      <c r="BI1565" s="77"/>
    </row>
    <row r="1566" spans="1:61" x14ac:dyDescent="0.25">
      <c r="A1566" s="62" t="s">
        <v>649</v>
      </c>
      <c r="B1566" s="62" t="s">
        <v>649</v>
      </c>
      <c r="C1566" s="63"/>
      <c r="D1566" s="64"/>
      <c r="E1566" s="65"/>
      <c r="F1566" s="66"/>
      <c r="G1566" s="63"/>
      <c r="H1566" s="67"/>
      <c r="I1566" s="68"/>
      <c r="J1566" s="68"/>
      <c r="K1566" s="32"/>
      <c r="L1566" s="75">
        <v>1566</v>
      </c>
      <c r="M1566" s="75"/>
      <c r="N1566" s="70"/>
      <c r="O1566" s="77" t="s">
        <v>179</v>
      </c>
      <c r="P1566" s="79">
        <v>45149.381967592592</v>
      </c>
      <c r="Q1566" s="77" t="s">
        <v>2281</v>
      </c>
      <c r="R1566" s="77">
        <v>0</v>
      </c>
      <c r="S1566" s="77">
        <v>0</v>
      </c>
      <c r="T1566" s="77">
        <v>0</v>
      </c>
      <c r="U1566" s="77">
        <v>0</v>
      </c>
      <c r="V1566" s="77">
        <v>2</v>
      </c>
      <c r="W1566" s="82" t="s">
        <v>5605</v>
      </c>
      <c r="X1566" s="80" t="str">
        <f>HYPERLINK("https://cromaticanoticias.com/a/9589/El-sindicato-USO-insta-a-subir-salarios-y-reducir-jornada-laboral-ante-aumento-de-inflacion-en-Espaa")</f>
        <v>https://cromaticanoticias.com/a/9589/El-sindicato-USO-insta-a-subir-salarios-y-reducir-jornada-laboral-ante-aumento-de-inflacion-en-Espaa</v>
      </c>
      <c r="Y1566" s="77" t="s">
        <v>6547</v>
      </c>
      <c r="Z1566" s="77"/>
      <c r="AA1566" s="77"/>
      <c r="AB1566" s="77"/>
      <c r="AC1566" s="82" t="s">
        <v>7780</v>
      </c>
      <c r="AD1566" s="77" t="s">
        <v>7790</v>
      </c>
      <c r="AE1566" s="80" t="str">
        <f>HYPERLINK("https://twitter.com/cromaticanews/status/1689927141171863552")</f>
        <v>https://twitter.com/cromaticanews/status/1689927141171863552</v>
      </c>
      <c r="AF1566" s="79">
        <v>45149.381967592592</v>
      </c>
      <c r="AG1566" s="85">
        <v>45149</v>
      </c>
      <c r="AH1566" s="82" t="s">
        <v>9134</v>
      </c>
      <c r="AI1566" s="77" t="b">
        <v>0</v>
      </c>
      <c r="AJ1566" s="77"/>
      <c r="AK1566" s="77"/>
      <c r="AL1566" s="77"/>
      <c r="AM1566" s="77"/>
      <c r="AN1566" s="77"/>
      <c r="AO1566" s="77"/>
      <c r="AP1566" s="77"/>
      <c r="AQ1566" s="77"/>
      <c r="AR1566" s="77"/>
      <c r="AS1566" s="77"/>
      <c r="AT1566" s="77"/>
      <c r="AU1566" s="77"/>
      <c r="AV1566" s="80" t="str">
        <f>HYPERLINK("https://pbs.twimg.com/profile_images/1646267037231054848/IZBbqwV3_normal.jpg")</f>
        <v>https://pbs.twimg.com/profile_images/1646267037231054848/IZBbqwV3_normal.jpg</v>
      </c>
      <c r="AW1566" s="82" t="s">
        <v>13173</v>
      </c>
      <c r="AX1566" s="82" t="s">
        <v>13173</v>
      </c>
      <c r="AY1566" s="77"/>
      <c r="AZ1566" s="82" t="s">
        <v>15984</v>
      </c>
      <c r="BA1566" s="82" t="s">
        <v>15984</v>
      </c>
      <c r="BB1566" s="82" t="s">
        <v>15984</v>
      </c>
      <c r="BC1566" s="82" t="s">
        <v>13173</v>
      </c>
      <c r="BD1566" s="82" t="s">
        <v>16346</v>
      </c>
      <c r="BE1566" s="77"/>
      <c r="BF1566" s="77"/>
      <c r="BG1566" s="77"/>
      <c r="BH1566" s="77"/>
      <c r="BI1566" s="77"/>
    </row>
    <row r="1567" spans="1:61" x14ac:dyDescent="0.25">
      <c r="A1567" s="62" t="s">
        <v>649</v>
      </c>
      <c r="B1567" s="62" t="s">
        <v>649</v>
      </c>
      <c r="C1567" s="63"/>
      <c r="D1567" s="64"/>
      <c r="E1567" s="65"/>
      <c r="F1567" s="66"/>
      <c r="G1567" s="63"/>
      <c r="H1567" s="67"/>
      <c r="I1567" s="68"/>
      <c r="J1567" s="68"/>
      <c r="K1567" s="32"/>
      <c r="L1567" s="75">
        <v>1567</v>
      </c>
      <c r="M1567" s="75"/>
      <c r="N1567" s="70"/>
      <c r="O1567" s="77" t="s">
        <v>179</v>
      </c>
      <c r="P1567" s="79">
        <v>45149.340300925927</v>
      </c>
      <c r="Q1567" s="77" t="s">
        <v>2282</v>
      </c>
      <c r="R1567" s="77">
        <v>0</v>
      </c>
      <c r="S1567" s="77">
        <v>0</v>
      </c>
      <c r="T1567" s="77">
        <v>0</v>
      </c>
      <c r="U1567" s="77">
        <v>0</v>
      </c>
      <c r="V1567" s="77">
        <v>3</v>
      </c>
      <c r="W1567" s="82" t="s">
        <v>5603</v>
      </c>
      <c r="X1567" s="80" t="str">
        <f>HYPERLINK("https://cromaticanoticias.com/a/9573/IPC-aumenta-02-en-julio-tasa-interanual-alcanza-23-impulsada-por-carburantes-y-alimentos")</f>
        <v>https://cromaticanoticias.com/a/9573/IPC-aumenta-02-en-julio-tasa-interanual-alcanza-23-impulsada-por-carburantes-y-alimentos</v>
      </c>
      <c r="Y1567" s="77" t="s">
        <v>6547</v>
      </c>
      <c r="Z1567" s="77"/>
      <c r="AA1567" s="77"/>
      <c r="AB1567" s="77"/>
      <c r="AC1567" s="82" t="s">
        <v>7780</v>
      </c>
      <c r="AD1567" s="77" t="s">
        <v>7790</v>
      </c>
      <c r="AE1567" s="80" t="str">
        <f>HYPERLINK("https://twitter.com/cromaticanews/status/1689912040268120064")</f>
        <v>https://twitter.com/cromaticanews/status/1689912040268120064</v>
      </c>
      <c r="AF1567" s="79">
        <v>45149.340300925927</v>
      </c>
      <c r="AG1567" s="85">
        <v>45149</v>
      </c>
      <c r="AH1567" s="82" t="s">
        <v>9135</v>
      </c>
      <c r="AI1567" s="77" t="b">
        <v>0</v>
      </c>
      <c r="AJ1567" s="77"/>
      <c r="AK1567" s="77"/>
      <c r="AL1567" s="77"/>
      <c r="AM1567" s="77"/>
      <c r="AN1567" s="77"/>
      <c r="AO1567" s="77"/>
      <c r="AP1567" s="77"/>
      <c r="AQ1567" s="77"/>
      <c r="AR1567" s="77"/>
      <c r="AS1567" s="77"/>
      <c r="AT1567" s="77"/>
      <c r="AU1567" s="77"/>
      <c r="AV1567" s="80" t="str">
        <f>HYPERLINK("https://pbs.twimg.com/profile_images/1646267037231054848/IZBbqwV3_normal.jpg")</f>
        <v>https://pbs.twimg.com/profile_images/1646267037231054848/IZBbqwV3_normal.jpg</v>
      </c>
      <c r="AW1567" s="82" t="s">
        <v>13174</v>
      </c>
      <c r="AX1567" s="82" t="s">
        <v>13174</v>
      </c>
      <c r="AY1567" s="77"/>
      <c r="AZ1567" s="82" t="s">
        <v>15984</v>
      </c>
      <c r="BA1567" s="82" t="s">
        <v>15984</v>
      </c>
      <c r="BB1567" s="82" t="s">
        <v>15984</v>
      </c>
      <c r="BC1567" s="82" t="s">
        <v>13174</v>
      </c>
      <c r="BD1567" s="82" t="s">
        <v>16346</v>
      </c>
      <c r="BE1567" s="77"/>
      <c r="BF1567" s="77"/>
      <c r="BG1567" s="77"/>
      <c r="BH1567" s="77"/>
      <c r="BI1567" s="77"/>
    </row>
    <row r="1568" spans="1:61" x14ac:dyDescent="0.25">
      <c r="A1568" s="62" t="s">
        <v>649</v>
      </c>
      <c r="B1568" s="62" t="s">
        <v>649</v>
      </c>
      <c r="C1568" s="63"/>
      <c r="D1568" s="64"/>
      <c r="E1568" s="65"/>
      <c r="F1568" s="66"/>
      <c r="G1568" s="63"/>
      <c r="H1568" s="67"/>
      <c r="I1568" s="68"/>
      <c r="J1568" s="68"/>
      <c r="K1568" s="32"/>
      <c r="L1568" s="75">
        <v>1568</v>
      </c>
      <c r="M1568" s="75"/>
      <c r="N1568" s="70"/>
      <c r="O1568" s="77" t="s">
        <v>179</v>
      </c>
      <c r="P1568" s="79">
        <v>45140.381967592592</v>
      </c>
      <c r="Q1568" s="77" t="s">
        <v>2283</v>
      </c>
      <c r="R1568" s="77">
        <v>0</v>
      </c>
      <c r="S1568" s="77">
        <v>0</v>
      </c>
      <c r="T1568" s="77">
        <v>0</v>
      </c>
      <c r="U1568" s="77">
        <v>0</v>
      </c>
      <c r="V1568" s="77">
        <v>4</v>
      </c>
      <c r="W1568" s="82" t="s">
        <v>5606</v>
      </c>
      <c r="X1568" s="80" t="str">
        <f>HYPERLINK("https://cromaticanoticias.com/a/8968/Fitch-Ratings-rebaja-la-calificacion-de-solvencia-de-Estados-Unidos-por-su-deterioro-fiscal-y-carga-de-deuda")</f>
        <v>https://cromaticanoticias.com/a/8968/Fitch-Ratings-rebaja-la-calificacion-de-solvencia-de-Estados-Unidos-por-su-deterioro-fiscal-y-carga-de-deuda</v>
      </c>
      <c r="Y1568" s="77" t="s">
        <v>6547</v>
      </c>
      <c r="Z1568" s="77"/>
      <c r="AA1568" s="77"/>
      <c r="AB1568" s="77"/>
      <c r="AC1568" s="82" t="s">
        <v>7780</v>
      </c>
      <c r="AD1568" s="77" t="s">
        <v>7790</v>
      </c>
      <c r="AE1568" s="80" t="str">
        <f>HYPERLINK("https://twitter.com/cromaticanews/status/1686665650884718592")</f>
        <v>https://twitter.com/cromaticanews/status/1686665650884718592</v>
      </c>
      <c r="AF1568" s="79">
        <v>45140.381967592592</v>
      </c>
      <c r="AG1568" s="85">
        <v>45140</v>
      </c>
      <c r="AH1568" s="82" t="s">
        <v>9134</v>
      </c>
      <c r="AI1568" s="77" t="b">
        <v>0</v>
      </c>
      <c r="AJ1568" s="77"/>
      <c r="AK1568" s="77"/>
      <c r="AL1568" s="77"/>
      <c r="AM1568" s="77"/>
      <c r="AN1568" s="77"/>
      <c r="AO1568" s="77"/>
      <c r="AP1568" s="77"/>
      <c r="AQ1568" s="77"/>
      <c r="AR1568" s="77"/>
      <c r="AS1568" s="77"/>
      <c r="AT1568" s="77"/>
      <c r="AU1568" s="77"/>
      <c r="AV1568" s="80" t="str">
        <f>HYPERLINK("https://pbs.twimg.com/profile_images/1646267037231054848/IZBbqwV3_normal.jpg")</f>
        <v>https://pbs.twimg.com/profile_images/1646267037231054848/IZBbqwV3_normal.jpg</v>
      </c>
      <c r="AW1568" s="82" t="s">
        <v>13175</v>
      </c>
      <c r="AX1568" s="82" t="s">
        <v>13175</v>
      </c>
      <c r="AY1568" s="77"/>
      <c r="AZ1568" s="82" t="s">
        <v>15984</v>
      </c>
      <c r="BA1568" s="82" t="s">
        <v>15984</v>
      </c>
      <c r="BB1568" s="82" t="s">
        <v>15984</v>
      </c>
      <c r="BC1568" s="82" t="s">
        <v>13175</v>
      </c>
      <c r="BD1568" s="82" t="s">
        <v>16346</v>
      </c>
      <c r="BE1568" s="77"/>
      <c r="BF1568" s="77"/>
      <c r="BG1568" s="77"/>
      <c r="BH1568" s="77"/>
      <c r="BI1568" s="77"/>
    </row>
    <row r="1569" spans="1:61" x14ac:dyDescent="0.25">
      <c r="A1569" s="62" t="s">
        <v>649</v>
      </c>
      <c r="B1569" s="62" t="s">
        <v>649</v>
      </c>
      <c r="C1569" s="63"/>
      <c r="D1569" s="64"/>
      <c r="E1569" s="65"/>
      <c r="F1569" s="66"/>
      <c r="G1569" s="63"/>
      <c r="H1569" s="67"/>
      <c r="I1569" s="68"/>
      <c r="J1569" s="68"/>
      <c r="K1569" s="32"/>
      <c r="L1569" s="75">
        <v>1569</v>
      </c>
      <c r="M1569" s="75"/>
      <c r="N1569" s="70"/>
      <c r="O1569" s="77" t="s">
        <v>179</v>
      </c>
      <c r="P1569" s="79">
        <v>45163.423634259256</v>
      </c>
      <c r="Q1569" s="77" t="s">
        <v>2284</v>
      </c>
      <c r="R1569" s="77">
        <v>0</v>
      </c>
      <c r="S1569" s="77">
        <v>0</v>
      </c>
      <c r="T1569" s="77">
        <v>0</v>
      </c>
      <c r="U1569" s="77">
        <v>0</v>
      </c>
      <c r="V1569" s="77"/>
      <c r="W1569" s="82" t="s">
        <v>5607</v>
      </c>
      <c r="X1569" s="80" t="str">
        <f>HYPERLINK("https://cromaticanoticias.com/a/10508/Economia-alemana-se-estanca-en-segundo-trimestre-pronostico-de-estancamiento-continua-en-tercer-trimestre")</f>
        <v>https://cromaticanoticias.com/a/10508/Economia-alemana-se-estanca-en-segundo-trimestre-pronostico-de-estancamiento-continua-en-tercer-trimestre</v>
      </c>
      <c r="Y1569" s="77" t="s">
        <v>6547</v>
      </c>
      <c r="Z1569" s="77"/>
      <c r="AA1569" s="77"/>
      <c r="AB1569" s="77"/>
      <c r="AC1569" s="82" t="s">
        <v>7780</v>
      </c>
      <c r="AD1569" s="77" t="s">
        <v>7790</v>
      </c>
      <c r="AE1569" s="80" t="str">
        <f>HYPERLINK("https://twitter.com/cromaticanews/status/1695015670495232011")</f>
        <v>https://twitter.com/cromaticanews/status/1695015670495232011</v>
      </c>
      <c r="AF1569" s="79">
        <v>45163.423634259256</v>
      </c>
      <c r="AG1569" s="85">
        <v>45163</v>
      </c>
      <c r="AH1569" s="82" t="s">
        <v>9133</v>
      </c>
      <c r="AI1569" s="77" t="b">
        <v>0</v>
      </c>
      <c r="AJ1569" s="77"/>
      <c r="AK1569" s="77"/>
      <c r="AL1569" s="77"/>
      <c r="AM1569" s="77"/>
      <c r="AN1569" s="77"/>
      <c r="AO1569" s="77"/>
      <c r="AP1569" s="77"/>
      <c r="AQ1569" s="77"/>
      <c r="AR1569" s="77"/>
      <c r="AS1569" s="77"/>
      <c r="AT1569" s="77"/>
      <c r="AU1569" s="77"/>
      <c r="AV1569" s="80" t="str">
        <f>HYPERLINK("https://pbs.twimg.com/profile_images/1646267037231054848/IZBbqwV3_normal.jpg")</f>
        <v>https://pbs.twimg.com/profile_images/1646267037231054848/IZBbqwV3_normal.jpg</v>
      </c>
      <c r="AW1569" s="82" t="s">
        <v>13176</v>
      </c>
      <c r="AX1569" s="82" t="s">
        <v>13176</v>
      </c>
      <c r="AY1569" s="77"/>
      <c r="AZ1569" s="82" t="s">
        <v>15984</v>
      </c>
      <c r="BA1569" s="82" t="s">
        <v>15984</v>
      </c>
      <c r="BB1569" s="82" t="s">
        <v>15984</v>
      </c>
      <c r="BC1569" s="82" t="s">
        <v>13176</v>
      </c>
      <c r="BD1569" s="82" t="s">
        <v>16346</v>
      </c>
      <c r="BE1569" s="77"/>
      <c r="BF1569" s="77"/>
      <c r="BG1569" s="77"/>
      <c r="BH1569" s="77"/>
      <c r="BI1569" s="77"/>
    </row>
    <row r="1570" spans="1:61" x14ac:dyDescent="0.25">
      <c r="A1570" s="62" t="s">
        <v>649</v>
      </c>
      <c r="B1570" s="62" t="s">
        <v>649</v>
      </c>
      <c r="C1570" s="63"/>
      <c r="D1570" s="64"/>
      <c r="E1570" s="65"/>
      <c r="F1570" s="66"/>
      <c r="G1570" s="63"/>
      <c r="H1570" s="67"/>
      <c r="I1570" s="68"/>
      <c r="J1570" s="68"/>
      <c r="K1570" s="32"/>
      <c r="L1570" s="75">
        <v>1570</v>
      </c>
      <c r="M1570" s="75"/>
      <c r="N1570" s="70"/>
      <c r="O1570" s="77" t="s">
        <v>179</v>
      </c>
      <c r="P1570" s="79">
        <v>45155.381979166668</v>
      </c>
      <c r="Q1570" s="77" t="s">
        <v>2285</v>
      </c>
      <c r="R1570" s="77">
        <v>0</v>
      </c>
      <c r="S1570" s="77">
        <v>0</v>
      </c>
      <c r="T1570" s="77">
        <v>0</v>
      </c>
      <c r="U1570" s="77">
        <v>0</v>
      </c>
      <c r="V1570" s="77"/>
      <c r="W1570" s="82" t="s">
        <v>5608</v>
      </c>
      <c r="X1570" s="80" t="str">
        <f>HYPERLINK("https://cromaticanoticias.com/a/9937/La-deuda-publica-en-Espaa-alcanza-record-historico-en-junio-dificultando-el-crecimiento-economico-del-pais")</f>
        <v>https://cromaticanoticias.com/a/9937/La-deuda-publica-en-Espaa-alcanza-record-historico-en-junio-dificultando-el-crecimiento-economico-del-pais</v>
      </c>
      <c r="Y1570" s="77" t="s">
        <v>6547</v>
      </c>
      <c r="Z1570" s="77"/>
      <c r="AA1570" s="77"/>
      <c r="AB1570" s="77"/>
      <c r="AC1570" s="82" t="s">
        <v>7780</v>
      </c>
      <c r="AD1570" s="77" t="s">
        <v>7790</v>
      </c>
      <c r="AE1570" s="80" t="str">
        <f>HYPERLINK("https://twitter.com/cromaticanews/status/1692101470949110270")</f>
        <v>https://twitter.com/cromaticanews/status/1692101470949110270</v>
      </c>
      <c r="AF1570" s="79">
        <v>45155.381979166668</v>
      </c>
      <c r="AG1570" s="85">
        <v>45155</v>
      </c>
      <c r="AH1570" s="82" t="s">
        <v>9136</v>
      </c>
      <c r="AI1570" s="77" t="b">
        <v>0</v>
      </c>
      <c r="AJ1570" s="77"/>
      <c r="AK1570" s="77"/>
      <c r="AL1570" s="77"/>
      <c r="AM1570" s="77"/>
      <c r="AN1570" s="77"/>
      <c r="AO1570" s="77"/>
      <c r="AP1570" s="77"/>
      <c r="AQ1570" s="77"/>
      <c r="AR1570" s="77"/>
      <c r="AS1570" s="77"/>
      <c r="AT1570" s="77"/>
      <c r="AU1570" s="77"/>
      <c r="AV1570" s="80" t="str">
        <f>HYPERLINK("https://pbs.twimg.com/profile_images/1646267037231054848/IZBbqwV3_normal.jpg")</f>
        <v>https://pbs.twimg.com/profile_images/1646267037231054848/IZBbqwV3_normal.jpg</v>
      </c>
      <c r="AW1570" s="82" t="s">
        <v>13177</v>
      </c>
      <c r="AX1570" s="82" t="s">
        <v>13177</v>
      </c>
      <c r="AY1570" s="77"/>
      <c r="AZ1570" s="82" t="s">
        <v>15984</v>
      </c>
      <c r="BA1570" s="82" t="s">
        <v>15984</v>
      </c>
      <c r="BB1570" s="82" t="s">
        <v>15984</v>
      </c>
      <c r="BC1570" s="82" t="s">
        <v>13177</v>
      </c>
      <c r="BD1570" s="82" t="s">
        <v>16346</v>
      </c>
      <c r="BE1570" s="77"/>
      <c r="BF1570" s="77"/>
      <c r="BG1570" s="77"/>
      <c r="BH1570" s="77"/>
      <c r="BI1570" s="77"/>
    </row>
    <row r="1571" spans="1:61" x14ac:dyDescent="0.25">
      <c r="A1571" s="62" t="s">
        <v>649</v>
      </c>
      <c r="B1571" s="62" t="s">
        <v>649</v>
      </c>
      <c r="C1571" s="63"/>
      <c r="D1571" s="64"/>
      <c r="E1571" s="65"/>
      <c r="F1571" s="66"/>
      <c r="G1571" s="63"/>
      <c r="H1571" s="67"/>
      <c r="I1571" s="68"/>
      <c r="J1571" s="68"/>
      <c r="K1571" s="32"/>
      <c r="L1571" s="75">
        <v>1571</v>
      </c>
      <c r="M1571" s="75"/>
      <c r="N1571" s="70"/>
      <c r="O1571" s="77" t="s">
        <v>179</v>
      </c>
      <c r="P1571" s="79">
        <v>45127.423634259256</v>
      </c>
      <c r="Q1571" s="77" t="s">
        <v>2286</v>
      </c>
      <c r="R1571" s="77">
        <v>0</v>
      </c>
      <c r="S1571" s="77">
        <v>0</v>
      </c>
      <c r="T1571" s="77">
        <v>0</v>
      </c>
      <c r="U1571" s="77">
        <v>0</v>
      </c>
      <c r="V1571" s="77">
        <v>1</v>
      </c>
      <c r="W1571" s="82" t="s">
        <v>5609</v>
      </c>
      <c r="X1571" s="80" t="str">
        <f>HYPERLINK("https://cromaticanoticias.com/a/8064/xito-en-subasta-de-bonos-y-obligaciones-del-Estado-inversores-muestran-interes-por-deuda-espaola")</f>
        <v>https://cromaticanoticias.com/a/8064/xito-en-subasta-de-bonos-y-obligaciones-del-Estado-inversores-muestran-interes-por-deuda-espaola</v>
      </c>
      <c r="Y1571" s="77" t="s">
        <v>6547</v>
      </c>
      <c r="Z1571" s="77"/>
      <c r="AA1571" s="77"/>
      <c r="AB1571" s="77"/>
      <c r="AC1571" s="82" t="s">
        <v>7780</v>
      </c>
      <c r="AD1571" s="77" t="s">
        <v>7790</v>
      </c>
      <c r="AE1571" s="80" t="str">
        <f>HYPERLINK("https://twitter.com/cromaticanews/status/1681969707119792129")</f>
        <v>https://twitter.com/cromaticanews/status/1681969707119792129</v>
      </c>
      <c r="AF1571" s="79">
        <v>45127.423634259256</v>
      </c>
      <c r="AG1571" s="85">
        <v>45127</v>
      </c>
      <c r="AH1571" s="82" t="s">
        <v>9133</v>
      </c>
      <c r="AI1571" s="77" t="b">
        <v>0</v>
      </c>
      <c r="AJ1571" s="77"/>
      <c r="AK1571" s="77"/>
      <c r="AL1571" s="77"/>
      <c r="AM1571" s="77"/>
      <c r="AN1571" s="77"/>
      <c r="AO1571" s="77"/>
      <c r="AP1571" s="77"/>
      <c r="AQ1571" s="77"/>
      <c r="AR1571" s="77"/>
      <c r="AS1571" s="77"/>
      <c r="AT1571" s="77"/>
      <c r="AU1571" s="77"/>
      <c r="AV1571" s="80" t="str">
        <f>HYPERLINK("https://pbs.twimg.com/profile_images/1646267037231054848/IZBbqwV3_normal.jpg")</f>
        <v>https://pbs.twimg.com/profile_images/1646267037231054848/IZBbqwV3_normal.jpg</v>
      </c>
      <c r="AW1571" s="82" t="s">
        <v>13178</v>
      </c>
      <c r="AX1571" s="82" t="s">
        <v>13178</v>
      </c>
      <c r="AY1571" s="77"/>
      <c r="AZ1571" s="82" t="s">
        <v>15984</v>
      </c>
      <c r="BA1571" s="82" t="s">
        <v>15984</v>
      </c>
      <c r="BB1571" s="82" t="s">
        <v>15984</v>
      </c>
      <c r="BC1571" s="82" t="s">
        <v>13178</v>
      </c>
      <c r="BD1571" s="82" t="s">
        <v>16346</v>
      </c>
      <c r="BE1571" s="77"/>
      <c r="BF1571" s="77"/>
      <c r="BG1571" s="77"/>
      <c r="BH1571" s="77"/>
      <c r="BI1571" s="77"/>
    </row>
    <row r="1572" spans="1:61" x14ac:dyDescent="0.25">
      <c r="A1572" s="62" t="s">
        <v>649</v>
      </c>
      <c r="B1572" s="62" t="s">
        <v>649</v>
      </c>
      <c r="C1572" s="63"/>
      <c r="D1572" s="64"/>
      <c r="E1572" s="65"/>
      <c r="F1572" s="66"/>
      <c r="G1572" s="63"/>
      <c r="H1572" s="67"/>
      <c r="I1572" s="68"/>
      <c r="J1572" s="68"/>
      <c r="K1572" s="32"/>
      <c r="L1572" s="75">
        <v>1572</v>
      </c>
      <c r="M1572" s="75"/>
      <c r="N1572" s="70"/>
      <c r="O1572" s="77" t="s">
        <v>179</v>
      </c>
      <c r="P1572" s="79">
        <v>45152.423634259256</v>
      </c>
      <c r="Q1572" s="77" t="s">
        <v>2287</v>
      </c>
      <c r="R1572" s="77">
        <v>0</v>
      </c>
      <c r="S1572" s="77">
        <v>0</v>
      </c>
      <c r="T1572" s="77">
        <v>0</v>
      </c>
      <c r="U1572" s="77">
        <v>0</v>
      </c>
      <c r="V1572" s="77">
        <v>2</v>
      </c>
      <c r="W1572" s="82" t="s">
        <v>5610</v>
      </c>
      <c r="X1572" s="80" t="str">
        <f>HYPERLINK("https://cromaticanoticias.com/a/9755/Espaa-logra-estabilizar-la-inflacion-y-reduce-precios-en-alimentos-basicos-para-apoyar-a-las-familias")</f>
        <v>https://cromaticanoticias.com/a/9755/Espaa-logra-estabilizar-la-inflacion-y-reduce-precios-en-alimentos-basicos-para-apoyar-a-las-familias</v>
      </c>
      <c r="Y1572" s="77" t="s">
        <v>6547</v>
      </c>
      <c r="Z1572" s="77"/>
      <c r="AA1572" s="77"/>
      <c r="AB1572" s="77"/>
      <c r="AC1572" s="82" t="s">
        <v>7780</v>
      </c>
      <c r="AD1572" s="77" t="s">
        <v>7790</v>
      </c>
      <c r="AE1572" s="80" t="str">
        <f>HYPERLINK("https://twitter.com/cromaticanews/status/1691029403159941121")</f>
        <v>https://twitter.com/cromaticanews/status/1691029403159941121</v>
      </c>
      <c r="AF1572" s="79">
        <v>45152.423634259256</v>
      </c>
      <c r="AG1572" s="85">
        <v>45152</v>
      </c>
      <c r="AH1572" s="82" t="s">
        <v>9133</v>
      </c>
      <c r="AI1572" s="77" t="b">
        <v>0</v>
      </c>
      <c r="AJ1572" s="77"/>
      <c r="AK1572" s="77"/>
      <c r="AL1572" s="77"/>
      <c r="AM1572" s="77"/>
      <c r="AN1572" s="77"/>
      <c r="AO1572" s="77"/>
      <c r="AP1572" s="77"/>
      <c r="AQ1572" s="77"/>
      <c r="AR1572" s="77"/>
      <c r="AS1572" s="77"/>
      <c r="AT1572" s="77"/>
      <c r="AU1572" s="77"/>
      <c r="AV1572" s="80" t="str">
        <f>HYPERLINK("https://pbs.twimg.com/profile_images/1646267037231054848/IZBbqwV3_normal.jpg")</f>
        <v>https://pbs.twimg.com/profile_images/1646267037231054848/IZBbqwV3_normal.jpg</v>
      </c>
      <c r="AW1572" s="82" t="s">
        <v>13179</v>
      </c>
      <c r="AX1572" s="82" t="s">
        <v>13179</v>
      </c>
      <c r="AY1572" s="77"/>
      <c r="AZ1572" s="82" t="s">
        <v>15984</v>
      </c>
      <c r="BA1572" s="82" t="s">
        <v>15984</v>
      </c>
      <c r="BB1572" s="82" t="s">
        <v>15984</v>
      </c>
      <c r="BC1572" s="82" t="s">
        <v>13179</v>
      </c>
      <c r="BD1572" s="82" t="s">
        <v>16346</v>
      </c>
      <c r="BE1572" s="77"/>
      <c r="BF1572" s="77"/>
      <c r="BG1572" s="77"/>
      <c r="BH1572" s="77"/>
      <c r="BI1572" s="77"/>
    </row>
    <row r="1573" spans="1:61" x14ac:dyDescent="0.25">
      <c r="A1573" s="62" t="s">
        <v>649</v>
      </c>
      <c r="B1573" s="62" t="s">
        <v>649</v>
      </c>
      <c r="C1573" s="63"/>
      <c r="D1573" s="64"/>
      <c r="E1573" s="65"/>
      <c r="F1573" s="66"/>
      <c r="G1573" s="63"/>
      <c r="H1573" s="67"/>
      <c r="I1573" s="68"/>
      <c r="J1573" s="68"/>
      <c r="K1573" s="32"/>
      <c r="L1573" s="75">
        <v>1573</v>
      </c>
      <c r="M1573" s="75"/>
      <c r="N1573" s="70"/>
      <c r="O1573" s="77" t="s">
        <v>179</v>
      </c>
      <c r="P1573" s="79">
        <v>45132.590312499997</v>
      </c>
      <c r="Q1573" s="77" t="s">
        <v>2288</v>
      </c>
      <c r="R1573" s="77">
        <v>0</v>
      </c>
      <c r="S1573" s="77">
        <v>0</v>
      </c>
      <c r="T1573" s="77">
        <v>0</v>
      </c>
      <c r="U1573" s="77">
        <v>0</v>
      </c>
      <c r="V1573" s="77">
        <v>4</v>
      </c>
      <c r="W1573" s="82" t="s">
        <v>5611</v>
      </c>
      <c r="X1573" s="80" t="str">
        <f>HYPERLINK("https://cromaticanoticias.com/a/8452/Espaa-sorprende-a-los-expertos-con-su-solido-desempeo-y-pronostico-de-crecimiento-para-2023")</f>
        <v>https://cromaticanoticias.com/a/8452/Espaa-sorprende-a-los-expertos-con-su-solido-desempeo-y-pronostico-de-crecimiento-para-2023</v>
      </c>
      <c r="Y1573" s="77" t="s">
        <v>6547</v>
      </c>
      <c r="Z1573" s="77"/>
      <c r="AA1573" s="77"/>
      <c r="AB1573" s="77"/>
      <c r="AC1573" s="82" t="s">
        <v>7780</v>
      </c>
      <c r="AD1573" s="77" t="s">
        <v>7790</v>
      </c>
      <c r="AE1573" s="80" t="str">
        <f>HYPERLINK("https://twitter.com/cromaticanews/status/1683842047281856512")</f>
        <v>https://twitter.com/cromaticanews/status/1683842047281856512</v>
      </c>
      <c r="AF1573" s="79">
        <v>45132.590312499997</v>
      </c>
      <c r="AG1573" s="85">
        <v>45132</v>
      </c>
      <c r="AH1573" s="82" t="s">
        <v>9137</v>
      </c>
      <c r="AI1573" s="77" t="b">
        <v>0</v>
      </c>
      <c r="AJ1573" s="77"/>
      <c r="AK1573" s="77"/>
      <c r="AL1573" s="77"/>
      <c r="AM1573" s="77"/>
      <c r="AN1573" s="77"/>
      <c r="AO1573" s="77"/>
      <c r="AP1573" s="77"/>
      <c r="AQ1573" s="77"/>
      <c r="AR1573" s="77"/>
      <c r="AS1573" s="77"/>
      <c r="AT1573" s="77"/>
      <c r="AU1573" s="77"/>
      <c r="AV1573" s="80" t="str">
        <f>HYPERLINK("https://pbs.twimg.com/profile_images/1646267037231054848/IZBbqwV3_normal.jpg")</f>
        <v>https://pbs.twimg.com/profile_images/1646267037231054848/IZBbqwV3_normal.jpg</v>
      </c>
      <c r="AW1573" s="82" t="s">
        <v>13180</v>
      </c>
      <c r="AX1573" s="82" t="s">
        <v>13180</v>
      </c>
      <c r="AY1573" s="77"/>
      <c r="AZ1573" s="82" t="s">
        <v>15984</v>
      </c>
      <c r="BA1573" s="82" t="s">
        <v>15984</v>
      </c>
      <c r="BB1573" s="82" t="s">
        <v>15984</v>
      </c>
      <c r="BC1573" s="82" t="s">
        <v>13180</v>
      </c>
      <c r="BD1573" s="82" t="s">
        <v>16346</v>
      </c>
      <c r="BE1573" s="77"/>
      <c r="BF1573" s="77"/>
      <c r="BG1573" s="77"/>
      <c r="BH1573" s="77"/>
      <c r="BI1573" s="77"/>
    </row>
    <row r="1574" spans="1:61" x14ac:dyDescent="0.25">
      <c r="A1574" s="62" t="s">
        <v>649</v>
      </c>
      <c r="B1574" s="62" t="s">
        <v>649</v>
      </c>
      <c r="C1574" s="63"/>
      <c r="D1574" s="64"/>
      <c r="E1574" s="65"/>
      <c r="F1574" s="66"/>
      <c r="G1574" s="63"/>
      <c r="H1574" s="67"/>
      <c r="I1574" s="68"/>
      <c r="J1574" s="68"/>
      <c r="K1574" s="32"/>
      <c r="L1574" s="75">
        <v>1574</v>
      </c>
      <c r="M1574" s="75"/>
      <c r="N1574" s="70"/>
      <c r="O1574" s="77" t="s">
        <v>179</v>
      </c>
      <c r="P1574" s="79">
        <v>45162.548634259256</v>
      </c>
      <c r="Q1574" s="77" t="s">
        <v>2289</v>
      </c>
      <c r="R1574" s="77">
        <v>0</v>
      </c>
      <c r="S1574" s="77">
        <v>0</v>
      </c>
      <c r="T1574" s="77">
        <v>0</v>
      </c>
      <c r="U1574" s="77">
        <v>0</v>
      </c>
      <c r="V1574" s="77"/>
      <c r="W1574" s="82" t="s">
        <v>5612</v>
      </c>
      <c r="X1574" s="80" t="str">
        <f>HYPERLINK("https://cromaticanoticias.com/a/10446/Preocupacion-por-baja-productividad-laboral-en-la-UE-y-su-impacto-en-el-deficit-y-la-riqueza")</f>
        <v>https://cromaticanoticias.com/a/10446/Preocupacion-por-baja-productividad-laboral-en-la-UE-y-su-impacto-en-el-deficit-y-la-riqueza</v>
      </c>
      <c r="Y1574" s="77" t="s">
        <v>6547</v>
      </c>
      <c r="Z1574" s="77"/>
      <c r="AA1574" s="77"/>
      <c r="AB1574" s="77"/>
      <c r="AC1574" s="82" t="s">
        <v>7780</v>
      </c>
      <c r="AD1574" s="77" t="s">
        <v>7790</v>
      </c>
      <c r="AE1574" s="80" t="str">
        <f>HYPERLINK("https://twitter.com/cromaticanews/status/1694698583226782081")</f>
        <v>https://twitter.com/cromaticanews/status/1694698583226782081</v>
      </c>
      <c r="AF1574" s="79">
        <v>45162.548634259256</v>
      </c>
      <c r="AG1574" s="85">
        <v>45162</v>
      </c>
      <c r="AH1574" s="82" t="s">
        <v>9138</v>
      </c>
      <c r="AI1574" s="77" t="b">
        <v>0</v>
      </c>
      <c r="AJ1574" s="77"/>
      <c r="AK1574" s="77"/>
      <c r="AL1574" s="77"/>
      <c r="AM1574" s="77"/>
      <c r="AN1574" s="77"/>
      <c r="AO1574" s="77"/>
      <c r="AP1574" s="77"/>
      <c r="AQ1574" s="77"/>
      <c r="AR1574" s="77"/>
      <c r="AS1574" s="77"/>
      <c r="AT1574" s="77"/>
      <c r="AU1574" s="77"/>
      <c r="AV1574" s="80" t="str">
        <f>HYPERLINK("https://pbs.twimg.com/profile_images/1646267037231054848/IZBbqwV3_normal.jpg")</f>
        <v>https://pbs.twimg.com/profile_images/1646267037231054848/IZBbqwV3_normal.jpg</v>
      </c>
      <c r="AW1574" s="82" t="s">
        <v>13181</v>
      </c>
      <c r="AX1574" s="82" t="s">
        <v>13181</v>
      </c>
      <c r="AY1574" s="77"/>
      <c r="AZ1574" s="82" t="s">
        <v>15984</v>
      </c>
      <c r="BA1574" s="82" t="s">
        <v>15984</v>
      </c>
      <c r="BB1574" s="82" t="s">
        <v>15984</v>
      </c>
      <c r="BC1574" s="82" t="s">
        <v>13181</v>
      </c>
      <c r="BD1574" s="82" t="s">
        <v>16346</v>
      </c>
      <c r="BE1574" s="77"/>
      <c r="BF1574" s="77"/>
      <c r="BG1574" s="77"/>
      <c r="BH1574" s="77"/>
      <c r="BI1574" s="77"/>
    </row>
    <row r="1575" spans="1:61" x14ac:dyDescent="0.25">
      <c r="A1575" s="62" t="s">
        <v>649</v>
      </c>
      <c r="B1575" s="62" t="s">
        <v>649</v>
      </c>
      <c r="C1575" s="63"/>
      <c r="D1575" s="64"/>
      <c r="E1575" s="65"/>
      <c r="F1575" s="66"/>
      <c r="G1575" s="63"/>
      <c r="H1575" s="67"/>
      <c r="I1575" s="68"/>
      <c r="J1575" s="68"/>
      <c r="K1575" s="32"/>
      <c r="L1575" s="75">
        <v>1575</v>
      </c>
      <c r="M1575" s="75"/>
      <c r="N1575" s="70"/>
      <c r="O1575" s="77" t="s">
        <v>179</v>
      </c>
      <c r="P1575" s="79">
        <v>45124.340300925927</v>
      </c>
      <c r="Q1575" s="77" t="s">
        <v>2290</v>
      </c>
      <c r="R1575" s="77">
        <v>0</v>
      </c>
      <c r="S1575" s="77">
        <v>0</v>
      </c>
      <c r="T1575" s="77">
        <v>0</v>
      </c>
      <c r="U1575" s="77">
        <v>0</v>
      </c>
      <c r="V1575" s="77"/>
      <c r="W1575" s="82" t="s">
        <v>5613</v>
      </c>
      <c r="X1575" s="80" t="str">
        <f>HYPERLINK("https://cromaticanoticias.com/a/7774/Crecimiento-economico-de-China-en-el-segundo-trimestre-de-2023-decepciona-y-pronostico-anual-se-reduce")</f>
        <v>https://cromaticanoticias.com/a/7774/Crecimiento-economico-de-China-en-el-segundo-trimestre-de-2023-decepciona-y-pronostico-anual-se-reduce</v>
      </c>
      <c r="Y1575" s="77" t="s">
        <v>6547</v>
      </c>
      <c r="Z1575" s="77"/>
      <c r="AA1575" s="77"/>
      <c r="AB1575" s="77"/>
      <c r="AC1575" s="82" t="s">
        <v>7780</v>
      </c>
      <c r="AD1575" s="77" t="s">
        <v>7790</v>
      </c>
      <c r="AE1575" s="80" t="str">
        <f>HYPERLINK("https://twitter.com/cromaticanews/status/1680852346404843521")</f>
        <v>https://twitter.com/cromaticanews/status/1680852346404843521</v>
      </c>
      <c r="AF1575" s="79">
        <v>45124.340300925927</v>
      </c>
      <c r="AG1575" s="85">
        <v>45124</v>
      </c>
      <c r="AH1575" s="82" t="s">
        <v>9135</v>
      </c>
      <c r="AI1575" s="77" t="b">
        <v>0</v>
      </c>
      <c r="AJ1575" s="77"/>
      <c r="AK1575" s="77"/>
      <c r="AL1575" s="77"/>
      <c r="AM1575" s="77"/>
      <c r="AN1575" s="77"/>
      <c r="AO1575" s="77"/>
      <c r="AP1575" s="77"/>
      <c r="AQ1575" s="77"/>
      <c r="AR1575" s="77"/>
      <c r="AS1575" s="77"/>
      <c r="AT1575" s="77"/>
      <c r="AU1575" s="77"/>
      <c r="AV1575" s="80" t="str">
        <f>HYPERLINK("https://pbs.twimg.com/profile_images/1646267037231054848/IZBbqwV3_normal.jpg")</f>
        <v>https://pbs.twimg.com/profile_images/1646267037231054848/IZBbqwV3_normal.jpg</v>
      </c>
      <c r="AW1575" s="82" t="s">
        <v>13182</v>
      </c>
      <c r="AX1575" s="82" t="s">
        <v>13182</v>
      </c>
      <c r="AY1575" s="77"/>
      <c r="AZ1575" s="82" t="s">
        <v>15984</v>
      </c>
      <c r="BA1575" s="82" t="s">
        <v>15984</v>
      </c>
      <c r="BB1575" s="82" t="s">
        <v>15984</v>
      </c>
      <c r="BC1575" s="82" t="s">
        <v>13182</v>
      </c>
      <c r="BD1575" s="82" t="s">
        <v>16346</v>
      </c>
      <c r="BE1575" s="77"/>
      <c r="BF1575" s="77"/>
      <c r="BG1575" s="77"/>
      <c r="BH1575" s="77"/>
      <c r="BI1575" s="77"/>
    </row>
    <row r="1576" spans="1:61" x14ac:dyDescent="0.25">
      <c r="A1576" s="62" t="s">
        <v>649</v>
      </c>
      <c r="B1576" s="62" t="s">
        <v>649</v>
      </c>
      <c r="C1576" s="63"/>
      <c r="D1576" s="64"/>
      <c r="E1576" s="65"/>
      <c r="F1576" s="66"/>
      <c r="G1576" s="63"/>
      <c r="H1576" s="67"/>
      <c r="I1576" s="68"/>
      <c r="J1576" s="68"/>
      <c r="K1576" s="32"/>
      <c r="L1576" s="75">
        <v>1576</v>
      </c>
      <c r="M1576" s="75"/>
      <c r="N1576" s="70"/>
      <c r="O1576" s="77" t="s">
        <v>179</v>
      </c>
      <c r="P1576" s="79">
        <v>45154.423634259256</v>
      </c>
      <c r="Q1576" s="77" t="s">
        <v>2291</v>
      </c>
      <c r="R1576" s="77">
        <v>0</v>
      </c>
      <c r="S1576" s="77">
        <v>0</v>
      </c>
      <c r="T1576" s="77">
        <v>0</v>
      </c>
      <c r="U1576" s="77">
        <v>0</v>
      </c>
      <c r="V1576" s="77">
        <v>4</v>
      </c>
      <c r="W1576" s="82" t="s">
        <v>5614</v>
      </c>
      <c r="X1576" s="80" t="str">
        <f>HYPERLINK("https://cromaticanoticias.com/a/9857/Crecimiento-economico-en-la-zona-euro-confirma-estabilidad-mientras-Estados-Unidos-lidera-la-recuperacion-global")</f>
        <v>https://cromaticanoticias.com/a/9857/Crecimiento-economico-en-la-zona-euro-confirma-estabilidad-mientras-Estados-Unidos-lidera-la-recuperacion-global</v>
      </c>
      <c r="Y1576" s="77" t="s">
        <v>6547</v>
      </c>
      <c r="Z1576" s="77"/>
      <c r="AA1576" s="77"/>
      <c r="AB1576" s="77"/>
      <c r="AC1576" s="82" t="s">
        <v>7780</v>
      </c>
      <c r="AD1576" s="77" t="s">
        <v>7790</v>
      </c>
      <c r="AE1576" s="80" t="str">
        <f>HYPERLINK("https://twitter.com/cromaticanews/status/1691754178949874043")</f>
        <v>https://twitter.com/cromaticanews/status/1691754178949874043</v>
      </c>
      <c r="AF1576" s="79">
        <v>45154.423634259256</v>
      </c>
      <c r="AG1576" s="85">
        <v>45154</v>
      </c>
      <c r="AH1576" s="82" t="s">
        <v>9133</v>
      </c>
      <c r="AI1576" s="77" t="b">
        <v>0</v>
      </c>
      <c r="AJ1576" s="77"/>
      <c r="AK1576" s="77"/>
      <c r="AL1576" s="77"/>
      <c r="AM1576" s="77"/>
      <c r="AN1576" s="77"/>
      <c r="AO1576" s="77"/>
      <c r="AP1576" s="77"/>
      <c r="AQ1576" s="77"/>
      <c r="AR1576" s="77"/>
      <c r="AS1576" s="77"/>
      <c r="AT1576" s="77"/>
      <c r="AU1576" s="77"/>
      <c r="AV1576" s="80" t="str">
        <f>HYPERLINK("https://pbs.twimg.com/profile_images/1646267037231054848/IZBbqwV3_normal.jpg")</f>
        <v>https://pbs.twimg.com/profile_images/1646267037231054848/IZBbqwV3_normal.jpg</v>
      </c>
      <c r="AW1576" s="82" t="s">
        <v>13183</v>
      </c>
      <c r="AX1576" s="82" t="s">
        <v>13183</v>
      </c>
      <c r="AY1576" s="77"/>
      <c r="AZ1576" s="82" t="s">
        <v>15984</v>
      </c>
      <c r="BA1576" s="82" t="s">
        <v>15984</v>
      </c>
      <c r="BB1576" s="82" t="s">
        <v>15984</v>
      </c>
      <c r="BC1576" s="82" t="s">
        <v>13183</v>
      </c>
      <c r="BD1576" s="82" t="s">
        <v>16346</v>
      </c>
      <c r="BE1576" s="77"/>
      <c r="BF1576" s="77"/>
      <c r="BG1576" s="77"/>
      <c r="BH1576" s="77"/>
      <c r="BI1576" s="77"/>
    </row>
    <row r="1577" spans="1:61" x14ac:dyDescent="0.25">
      <c r="A1577" s="62" t="s">
        <v>649</v>
      </c>
      <c r="B1577" s="62" t="s">
        <v>649</v>
      </c>
      <c r="C1577" s="63"/>
      <c r="D1577" s="64"/>
      <c r="E1577" s="65"/>
      <c r="F1577" s="66"/>
      <c r="G1577" s="63"/>
      <c r="H1577" s="67"/>
      <c r="I1577" s="68"/>
      <c r="J1577" s="68"/>
      <c r="K1577" s="32"/>
      <c r="L1577" s="75">
        <v>1577</v>
      </c>
      <c r="M1577" s="75"/>
      <c r="N1577" s="70"/>
      <c r="O1577" s="77" t="s">
        <v>179</v>
      </c>
      <c r="P1577" s="79">
        <v>45163.840289351851</v>
      </c>
      <c r="Q1577" s="77" t="s">
        <v>2292</v>
      </c>
      <c r="R1577" s="77">
        <v>0</v>
      </c>
      <c r="S1577" s="77">
        <v>0</v>
      </c>
      <c r="T1577" s="77">
        <v>0</v>
      </c>
      <c r="U1577" s="77">
        <v>0</v>
      </c>
      <c r="V1577" s="77">
        <v>16</v>
      </c>
      <c r="W1577" s="82" t="s">
        <v>5615</v>
      </c>
      <c r="X1577" s="80" t="str">
        <f>HYPERLINK("https://cromaticanoticias.com/a/10563/Christine-Lagarde-destaca-la-importancia-de-una-politica-monetaria-restrictiva-para-lograr-estabilidad-de-precios")</f>
        <v>https://cromaticanoticias.com/a/10563/Christine-Lagarde-destaca-la-importancia-de-una-politica-monetaria-restrictiva-para-lograr-estabilidad-de-precios</v>
      </c>
      <c r="Y1577" s="77" t="s">
        <v>6547</v>
      </c>
      <c r="Z1577" s="77"/>
      <c r="AA1577" s="77"/>
      <c r="AB1577" s="77"/>
      <c r="AC1577" s="82" t="s">
        <v>7780</v>
      </c>
      <c r="AD1577" s="77" t="s">
        <v>7790</v>
      </c>
      <c r="AE1577" s="80" t="str">
        <f>HYPERLINK("https://twitter.com/cromaticanews/status/1695166663757283604")</f>
        <v>https://twitter.com/cromaticanews/status/1695166663757283604</v>
      </c>
      <c r="AF1577" s="79">
        <v>45163.840289351851</v>
      </c>
      <c r="AG1577" s="85">
        <v>45163</v>
      </c>
      <c r="AH1577" s="82" t="s">
        <v>8425</v>
      </c>
      <c r="AI1577" s="77" t="b">
        <v>0</v>
      </c>
      <c r="AJ1577" s="77"/>
      <c r="AK1577" s="77"/>
      <c r="AL1577" s="77"/>
      <c r="AM1577" s="77"/>
      <c r="AN1577" s="77"/>
      <c r="AO1577" s="77"/>
      <c r="AP1577" s="77"/>
      <c r="AQ1577" s="77"/>
      <c r="AR1577" s="77"/>
      <c r="AS1577" s="77"/>
      <c r="AT1577" s="77"/>
      <c r="AU1577" s="77"/>
      <c r="AV1577" s="80" t="str">
        <f>HYPERLINK("https://pbs.twimg.com/profile_images/1646267037231054848/IZBbqwV3_normal.jpg")</f>
        <v>https://pbs.twimg.com/profile_images/1646267037231054848/IZBbqwV3_normal.jpg</v>
      </c>
      <c r="AW1577" s="82" t="s">
        <v>13184</v>
      </c>
      <c r="AX1577" s="82" t="s">
        <v>13184</v>
      </c>
      <c r="AY1577" s="77"/>
      <c r="AZ1577" s="82" t="s">
        <v>15984</v>
      </c>
      <c r="BA1577" s="82" t="s">
        <v>15984</v>
      </c>
      <c r="BB1577" s="82" t="s">
        <v>15984</v>
      </c>
      <c r="BC1577" s="82" t="s">
        <v>13184</v>
      </c>
      <c r="BD1577" s="82" t="s">
        <v>16346</v>
      </c>
      <c r="BE1577" s="77"/>
      <c r="BF1577" s="77"/>
      <c r="BG1577" s="77"/>
      <c r="BH1577" s="77"/>
      <c r="BI1577" s="77"/>
    </row>
    <row r="1578" spans="1:61" x14ac:dyDescent="0.25">
      <c r="A1578" s="62" t="s">
        <v>649</v>
      </c>
      <c r="B1578" s="62" t="s">
        <v>649</v>
      </c>
      <c r="C1578" s="63"/>
      <c r="D1578" s="64"/>
      <c r="E1578" s="65"/>
      <c r="F1578" s="66"/>
      <c r="G1578" s="63"/>
      <c r="H1578" s="67"/>
      <c r="I1578" s="68"/>
      <c r="J1578" s="68"/>
      <c r="K1578" s="32"/>
      <c r="L1578" s="75">
        <v>1578</v>
      </c>
      <c r="M1578" s="75"/>
      <c r="N1578" s="70"/>
      <c r="O1578" s="77" t="s">
        <v>179</v>
      </c>
      <c r="P1578" s="79">
        <v>45156.340300925927</v>
      </c>
      <c r="Q1578" s="77" t="s">
        <v>2293</v>
      </c>
      <c r="R1578" s="77">
        <v>0</v>
      </c>
      <c r="S1578" s="77">
        <v>0</v>
      </c>
      <c r="T1578" s="77">
        <v>0</v>
      </c>
      <c r="U1578" s="77">
        <v>0</v>
      </c>
      <c r="V1578" s="77">
        <v>1</v>
      </c>
      <c r="W1578" s="82" t="s">
        <v>5616</v>
      </c>
      <c r="X1578" s="80" t="str">
        <f>HYPERLINK("https://cromaticanoticias.com/a/10008/Inflacion-en-Japon-disminuye-ligeramente-pero-la-tasa-subyacente-aumenta-y-podria-afectar-la-politica-monetaria")</f>
        <v>https://cromaticanoticias.com/a/10008/Inflacion-en-Japon-disminuye-ligeramente-pero-la-tasa-subyacente-aumenta-y-podria-afectar-la-politica-monetaria</v>
      </c>
      <c r="Y1578" s="77" t="s">
        <v>6547</v>
      </c>
      <c r="Z1578" s="77"/>
      <c r="AA1578" s="77"/>
      <c r="AB1578" s="77"/>
      <c r="AC1578" s="82" t="s">
        <v>7780</v>
      </c>
      <c r="AD1578" s="77" t="s">
        <v>7790</v>
      </c>
      <c r="AE1578" s="80" t="str">
        <f>HYPERLINK("https://twitter.com/cromaticanews/status/1692448757390979525")</f>
        <v>https://twitter.com/cromaticanews/status/1692448757390979525</v>
      </c>
      <c r="AF1578" s="79">
        <v>45156.340300925927</v>
      </c>
      <c r="AG1578" s="85">
        <v>45156</v>
      </c>
      <c r="AH1578" s="82" t="s">
        <v>9135</v>
      </c>
      <c r="AI1578" s="77" t="b">
        <v>0</v>
      </c>
      <c r="AJ1578" s="77"/>
      <c r="AK1578" s="77"/>
      <c r="AL1578" s="77"/>
      <c r="AM1578" s="77"/>
      <c r="AN1578" s="77"/>
      <c r="AO1578" s="77"/>
      <c r="AP1578" s="77"/>
      <c r="AQ1578" s="77"/>
      <c r="AR1578" s="77"/>
      <c r="AS1578" s="77"/>
      <c r="AT1578" s="77"/>
      <c r="AU1578" s="77"/>
      <c r="AV1578" s="80" t="str">
        <f>HYPERLINK("https://pbs.twimg.com/profile_images/1646267037231054848/IZBbqwV3_normal.jpg")</f>
        <v>https://pbs.twimg.com/profile_images/1646267037231054848/IZBbqwV3_normal.jpg</v>
      </c>
      <c r="AW1578" s="82" t="s">
        <v>13185</v>
      </c>
      <c r="AX1578" s="82" t="s">
        <v>13185</v>
      </c>
      <c r="AY1578" s="77"/>
      <c r="AZ1578" s="82" t="s">
        <v>15984</v>
      </c>
      <c r="BA1578" s="82" t="s">
        <v>15984</v>
      </c>
      <c r="BB1578" s="82" t="s">
        <v>15984</v>
      </c>
      <c r="BC1578" s="82" t="s">
        <v>13185</v>
      </c>
      <c r="BD1578" s="82" t="s">
        <v>16346</v>
      </c>
      <c r="BE1578" s="77"/>
      <c r="BF1578" s="77"/>
      <c r="BG1578" s="77"/>
      <c r="BH1578" s="77"/>
      <c r="BI1578" s="77"/>
    </row>
    <row r="1579" spans="1:61" x14ac:dyDescent="0.25">
      <c r="A1579" s="62" t="s">
        <v>649</v>
      </c>
      <c r="B1579" s="62" t="s">
        <v>649</v>
      </c>
      <c r="C1579" s="63"/>
      <c r="D1579" s="64"/>
      <c r="E1579" s="65"/>
      <c r="F1579" s="66"/>
      <c r="G1579" s="63"/>
      <c r="H1579" s="67"/>
      <c r="I1579" s="68"/>
      <c r="J1579" s="68"/>
      <c r="K1579" s="32"/>
      <c r="L1579" s="75">
        <v>1579</v>
      </c>
      <c r="M1579" s="75"/>
      <c r="N1579" s="70"/>
      <c r="O1579" s="77" t="s">
        <v>179</v>
      </c>
      <c r="P1579" s="79">
        <v>45159.673634259256</v>
      </c>
      <c r="Q1579" s="77" t="s">
        <v>2294</v>
      </c>
      <c r="R1579" s="77">
        <v>0</v>
      </c>
      <c r="S1579" s="77">
        <v>0</v>
      </c>
      <c r="T1579" s="77">
        <v>0</v>
      </c>
      <c r="U1579" s="77">
        <v>0</v>
      </c>
      <c r="V1579" s="77">
        <v>1</v>
      </c>
      <c r="W1579" s="82" t="s">
        <v>5607</v>
      </c>
      <c r="X1579" s="80" t="str">
        <f>HYPERLINK("https://cromaticanoticias.com/a/10235/Debilidad-economica-en-Alemania-estancamiento-en-actividad-y-produccion-industrial-ante-baja-demanda-extranjera")</f>
        <v>https://cromaticanoticias.com/a/10235/Debilidad-economica-en-Alemania-estancamiento-en-actividad-y-produccion-industrial-ante-baja-demanda-extranjera</v>
      </c>
      <c r="Y1579" s="77" t="s">
        <v>6547</v>
      </c>
      <c r="Z1579" s="77"/>
      <c r="AA1579" s="77"/>
      <c r="AB1579" s="77"/>
      <c r="AC1579" s="82" t="s">
        <v>7780</v>
      </c>
      <c r="AD1579" s="77" t="s">
        <v>7790</v>
      </c>
      <c r="AE1579" s="80" t="str">
        <f>HYPERLINK("https://twitter.com/cromaticanews/status/1693656717286944957")</f>
        <v>https://twitter.com/cromaticanews/status/1693656717286944957</v>
      </c>
      <c r="AF1579" s="79">
        <v>45159.673634259256</v>
      </c>
      <c r="AG1579" s="85">
        <v>45159</v>
      </c>
      <c r="AH1579" s="82" t="s">
        <v>9139</v>
      </c>
      <c r="AI1579" s="77" t="b">
        <v>0</v>
      </c>
      <c r="AJ1579" s="77"/>
      <c r="AK1579" s="77"/>
      <c r="AL1579" s="77"/>
      <c r="AM1579" s="77"/>
      <c r="AN1579" s="77"/>
      <c r="AO1579" s="77"/>
      <c r="AP1579" s="77"/>
      <c r="AQ1579" s="77"/>
      <c r="AR1579" s="77"/>
      <c r="AS1579" s="77"/>
      <c r="AT1579" s="77"/>
      <c r="AU1579" s="77"/>
      <c r="AV1579" s="80" t="str">
        <f>HYPERLINK("https://pbs.twimg.com/profile_images/1646267037231054848/IZBbqwV3_normal.jpg")</f>
        <v>https://pbs.twimg.com/profile_images/1646267037231054848/IZBbqwV3_normal.jpg</v>
      </c>
      <c r="AW1579" s="82" t="s">
        <v>13186</v>
      </c>
      <c r="AX1579" s="82" t="s">
        <v>13186</v>
      </c>
      <c r="AY1579" s="77"/>
      <c r="AZ1579" s="82" t="s">
        <v>15984</v>
      </c>
      <c r="BA1579" s="82" t="s">
        <v>15984</v>
      </c>
      <c r="BB1579" s="82" t="s">
        <v>15984</v>
      </c>
      <c r="BC1579" s="82" t="s">
        <v>13186</v>
      </c>
      <c r="BD1579" s="82" t="s">
        <v>16346</v>
      </c>
      <c r="BE1579" s="77"/>
      <c r="BF1579" s="77"/>
      <c r="BG1579" s="77"/>
      <c r="BH1579" s="77"/>
      <c r="BI1579" s="77"/>
    </row>
    <row r="1580" spans="1:61" x14ac:dyDescent="0.25">
      <c r="A1580" s="62" t="s">
        <v>649</v>
      </c>
      <c r="B1580" s="62" t="s">
        <v>649</v>
      </c>
      <c r="C1580" s="63"/>
      <c r="D1580" s="64"/>
      <c r="E1580" s="65"/>
      <c r="F1580" s="66"/>
      <c r="G1580" s="63"/>
      <c r="H1580" s="67"/>
      <c r="I1580" s="68"/>
      <c r="J1580" s="68"/>
      <c r="K1580" s="32"/>
      <c r="L1580" s="75">
        <v>1580</v>
      </c>
      <c r="M1580" s="75"/>
      <c r="N1580" s="70"/>
      <c r="O1580" s="77" t="s">
        <v>179</v>
      </c>
      <c r="P1580" s="79">
        <v>45167.381967592592</v>
      </c>
      <c r="Q1580" s="77" t="s">
        <v>2295</v>
      </c>
      <c r="R1580" s="77">
        <v>0</v>
      </c>
      <c r="S1580" s="77">
        <v>0</v>
      </c>
      <c r="T1580" s="77">
        <v>0</v>
      </c>
      <c r="U1580" s="77">
        <v>0</v>
      </c>
      <c r="V1580" s="77">
        <v>3</v>
      </c>
      <c r="W1580" s="82" t="s">
        <v>5617</v>
      </c>
      <c r="X1580" s="80" t="str">
        <f>HYPERLINK("https://cromaticanoticias.com/a/10762/Ventas-minoristas-en-Espaa-registran-8-meses-de-crecimiento-aumentan-77-en-julio")</f>
        <v>https://cromaticanoticias.com/a/10762/Ventas-minoristas-en-Espaa-registran-8-meses-de-crecimiento-aumentan-77-en-julio</v>
      </c>
      <c r="Y1580" s="77" t="s">
        <v>6547</v>
      </c>
      <c r="Z1580" s="77"/>
      <c r="AA1580" s="77"/>
      <c r="AB1580" s="77"/>
      <c r="AC1580" s="82" t="s">
        <v>7780</v>
      </c>
      <c r="AD1580" s="77" t="s">
        <v>7790</v>
      </c>
      <c r="AE1580" s="80" t="str">
        <f>HYPERLINK("https://twitter.com/cromaticanews/status/1696450121783714044")</f>
        <v>https://twitter.com/cromaticanews/status/1696450121783714044</v>
      </c>
      <c r="AF1580" s="79">
        <v>45167.381967592592</v>
      </c>
      <c r="AG1580" s="85">
        <v>45167</v>
      </c>
      <c r="AH1580" s="82" t="s">
        <v>9134</v>
      </c>
      <c r="AI1580" s="77" t="b">
        <v>0</v>
      </c>
      <c r="AJ1580" s="77"/>
      <c r="AK1580" s="77"/>
      <c r="AL1580" s="77"/>
      <c r="AM1580" s="77"/>
      <c r="AN1580" s="77"/>
      <c r="AO1580" s="77"/>
      <c r="AP1580" s="77"/>
      <c r="AQ1580" s="77"/>
      <c r="AR1580" s="77"/>
      <c r="AS1580" s="77"/>
      <c r="AT1580" s="77"/>
      <c r="AU1580" s="77"/>
      <c r="AV1580" s="80" t="str">
        <f>HYPERLINK("https://pbs.twimg.com/profile_images/1646267037231054848/IZBbqwV3_normal.jpg")</f>
        <v>https://pbs.twimg.com/profile_images/1646267037231054848/IZBbqwV3_normal.jpg</v>
      </c>
      <c r="AW1580" s="82" t="s">
        <v>13187</v>
      </c>
      <c r="AX1580" s="82" t="s">
        <v>13187</v>
      </c>
      <c r="AY1580" s="77"/>
      <c r="AZ1580" s="82" t="s">
        <v>15984</v>
      </c>
      <c r="BA1580" s="82" t="s">
        <v>15984</v>
      </c>
      <c r="BB1580" s="82" t="s">
        <v>15984</v>
      </c>
      <c r="BC1580" s="82" t="s">
        <v>13187</v>
      </c>
      <c r="BD1580" s="82" t="s">
        <v>16346</v>
      </c>
      <c r="BE1580" s="77"/>
      <c r="BF1580" s="77"/>
      <c r="BG1580" s="77"/>
      <c r="BH1580" s="77"/>
      <c r="BI1580" s="77"/>
    </row>
    <row r="1581" spans="1:61" x14ac:dyDescent="0.25">
      <c r="A1581" s="62" t="s">
        <v>649</v>
      </c>
      <c r="B1581" s="62" t="s">
        <v>649</v>
      </c>
      <c r="C1581" s="63"/>
      <c r="D1581" s="64"/>
      <c r="E1581" s="65"/>
      <c r="F1581" s="66"/>
      <c r="G1581" s="63"/>
      <c r="H1581" s="67"/>
      <c r="I1581" s="68"/>
      <c r="J1581" s="68"/>
      <c r="K1581" s="32"/>
      <c r="L1581" s="75">
        <v>1581</v>
      </c>
      <c r="M1581" s="75"/>
      <c r="N1581" s="70"/>
      <c r="O1581" s="77" t="s">
        <v>179</v>
      </c>
      <c r="P1581" s="79">
        <v>45167.673634259256</v>
      </c>
      <c r="Q1581" s="77" t="s">
        <v>2296</v>
      </c>
      <c r="R1581" s="77">
        <v>0</v>
      </c>
      <c r="S1581" s="77">
        <v>0</v>
      </c>
      <c r="T1581" s="77">
        <v>0</v>
      </c>
      <c r="U1581" s="77">
        <v>0</v>
      </c>
      <c r="V1581" s="77">
        <v>3</v>
      </c>
      <c r="W1581" s="82" t="s">
        <v>5618</v>
      </c>
      <c r="X1581" s="80" t="str">
        <f>HYPERLINK("https://cromaticanoticias.com/a/10803/Reino-Unido-aplaza-controles-fronterizos-del-Brexit-hasta-2024-afectando-importaciones-de-la-UE")</f>
        <v>https://cromaticanoticias.com/a/10803/Reino-Unido-aplaza-controles-fronterizos-del-Brexit-hasta-2024-afectando-importaciones-de-la-UE</v>
      </c>
      <c r="Y1581" s="77" t="s">
        <v>6547</v>
      </c>
      <c r="Z1581" s="77"/>
      <c r="AA1581" s="77"/>
      <c r="AB1581" s="77"/>
      <c r="AC1581" s="82" t="s">
        <v>7780</v>
      </c>
      <c r="AD1581" s="77" t="s">
        <v>7790</v>
      </c>
      <c r="AE1581" s="80" t="str">
        <f>HYPERLINK("https://twitter.com/cromaticanews/status/1696555819322486795")</f>
        <v>https://twitter.com/cromaticanews/status/1696555819322486795</v>
      </c>
      <c r="AF1581" s="79">
        <v>45167.673634259256</v>
      </c>
      <c r="AG1581" s="85">
        <v>45167</v>
      </c>
      <c r="AH1581" s="82" t="s">
        <v>9139</v>
      </c>
      <c r="AI1581" s="77" t="b">
        <v>0</v>
      </c>
      <c r="AJ1581" s="77"/>
      <c r="AK1581" s="77"/>
      <c r="AL1581" s="77"/>
      <c r="AM1581" s="77"/>
      <c r="AN1581" s="77"/>
      <c r="AO1581" s="77"/>
      <c r="AP1581" s="77"/>
      <c r="AQ1581" s="77"/>
      <c r="AR1581" s="77"/>
      <c r="AS1581" s="77"/>
      <c r="AT1581" s="77"/>
      <c r="AU1581" s="77"/>
      <c r="AV1581" s="80" t="str">
        <f>HYPERLINK("https://pbs.twimg.com/profile_images/1646267037231054848/IZBbqwV3_normal.jpg")</f>
        <v>https://pbs.twimg.com/profile_images/1646267037231054848/IZBbqwV3_normal.jpg</v>
      </c>
      <c r="AW1581" s="82" t="s">
        <v>13188</v>
      </c>
      <c r="AX1581" s="82" t="s">
        <v>13188</v>
      </c>
      <c r="AY1581" s="77"/>
      <c r="AZ1581" s="82" t="s">
        <v>15984</v>
      </c>
      <c r="BA1581" s="82" t="s">
        <v>15984</v>
      </c>
      <c r="BB1581" s="82" t="s">
        <v>15984</v>
      </c>
      <c r="BC1581" s="82" t="s">
        <v>13188</v>
      </c>
      <c r="BD1581" s="82" t="s">
        <v>16346</v>
      </c>
      <c r="BE1581" s="77"/>
      <c r="BF1581" s="77"/>
      <c r="BG1581" s="77"/>
      <c r="BH1581" s="77"/>
      <c r="BI1581" s="77"/>
    </row>
    <row r="1582" spans="1:61" x14ac:dyDescent="0.25">
      <c r="A1582" s="62" t="s">
        <v>649</v>
      </c>
      <c r="B1582" s="62" t="s">
        <v>649</v>
      </c>
      <c r="C1582" s="63"/>
      <c r="D1582" s="64"/>
      <c r="E1582" s="65"/>
      <c r="F1582" s="66"/>
      <c r="G1582" s="63"/>
      <c r="H1582" s="67"/>
      <c r="I1582" s="68"/>
      <c r="J1582" s="68"/>
      <c r="K1582" s="32"/>
      <c r="L1582" s="75">
        <v>1582</v>
      </c>
      <c r="M1582" s="75"/>
      <c r="N1582" s="70"/>
      <c r="O1582" s="77" t="s">
        <v>179</v>
      </c>
      <c r="P1582" s="79">
        <v>45166.548622685186</v>
      </c>
      <c r="Q1582" s="77" t="s">
        <v>2297</v>
      </c>
      <c r="R1582" s="77">
        <v>0</v>
      </c>
      <c r="S1582" s="77">
        <v>0</v>
      </c>
      <c r="T1582" s="77">
        <v>0</v>
      </c>
      <c r="U1582" s="77">
        <v>0</v>
      </c>
      <c r="V1582" s="77">
        <v>10</v>
      </c>
      <c r="W1582" s="82" t="s">
        <v>5619</v>
      </c>
      <c r="X1582" s="80" t="str">
        <f>HYPERLINK("https://cromaticanoticias.com/a/10712/Secretaria-de-Comercio-de-EEUU-Gina-Raimondo-busca-fortalecer-relacion-comercial-con-China-en-visita-diplomatica")</f>
        <v>https://cromaticanoticias.com/a/10712/Secretaria-de-Comercio-de-EEUU-Gina-Raimondo-busca-fortalecer-relacion-comercial-con-China-en-visita-diplomatica</v>
      </c>
      <c r="Y1582" s="77" t="s">
        <v>6547</v>
      </c>
      <c r="Z1582" s="77"/>
      <c r="AA1582" s="77"/>
      <c r="AB1582" s="77"/>
      <c r="AC1582" s="82" t="s">
        <v>7780</v>
      </c>
      <c r="AD1582" s="77" t="s">
        <v>7790</v>
      </c>
      <c r="AE1582" s="80" t="str">
        <f>HYPERLINK("https://twitter.com/cromaticanews/status/1696148130645811500")</f>
        <v>https://twitter.com/cromaticanews/status/1696148130645811500</v>
      </c>
      <c r="AF1582" s="79">
        <v>45166.548622685186</v>
      </c>
      <c r="AG1582" s="85">
        <v>45166</v>
      </c>
      <c r="AH1582" s="82" t="s">
        <v>9140</v>
      </c>
      <c r="AI1582" s="77" t="b">
        <v>0</v>
      </c>
      <c r="AJ1582" s="77"/>
      <c r="AK1582" s="77"/>
      <c r="AL1582" s="77"/>
      <c r="AM1582" s="77"/>
      <c r="AN1582" s="77"/>
      <c r="AO1582" s="77"/>
      <c r="AP1582" s="77"/>
      <c r="AQ1582" s="77"/>
      <c r="AR1582" s="77"/>
      <c r="AS1582" s="77"/>
      <c r="AT1582" s="77"/>
      <c r="AU1582" s="77"/>
      <c r="AV1582" s="80" t="str">
        <f>HYPERLINK("https://pbs.twimg.com/profile_images/1646267037231054848/IZBbqwV3_normal.jpg")</f>
        <v>https://pbs.twimg.com/profile_images/1646267037231054848/IZBbqwV3_normal.jpg</v>
      </c>
      <c r="AW1582" s="82" t="s">
        <v>13189</v>
      </c>
      <c r="AX1582" s="82" t="s">
        <v>13189</v>
      </c>
      <c r="AY1582" s="77"/>
      <c r="AZ1582" s="82" t="s">
        <v>15984</v>
      </c>
      <c r="BA1582" s="82" t="s">
        <v>15984</v>
      </c>
      <c r="BB1582" s="82" t="s">
        <v>15984</v>
      </c>
      <c r="BC1582" s="82" t="s">
        <v>13189</v>
      </c>
      <c r="BD1582" s="82" t="s">
        <v>16346</v>
      </c>
      <c r="BE1582" s="77"/>
      <c r="BF1582" s="77"/>
      <c r="BG1582" s="77"/>
      <c r="BH1582" s="77"/>
      <c r="BI1582" s="77"/>
    </row>
    <row r="1583" spans="1:61" x14ac:dyDescent="0.25">
      <c r="A1583" s="62" t="s">
        <v>649</v>
      </c>
      <c r="B1583" s="62" t="s">
        <v>649</v>
      </c>
      <c r="C1583" s="63"/>
      <c r="D1583" s="64"/>
      <c r="E1583" s="65"/>
      <c r="F1583" s="66"/>
      <c r="G1583" s="63"/>
      <c r="H1583" s="67"/>
      <c r="I1583" s="68"/>
      <c r="J1583" s="68"/>
      <c r="K1583" s="32"/>
      <c r="L1583" s="75">
        <v>1583</v>
      </c>
      <c r="M1583" s="75"/>
      <c r="N1583" s="70"/>
      <c r="O1583" s="77" t="s">
        <v>179</v>
      </c>
      <c r="P1583" s="79">
        <v>45156.423634259256</v>
      </c>
      <c r="Q1583" s="77" t="s">
        <v>2298</v>
      </c>
      <c r="R1583" s="77">
        <v>0</v>
      </c>
      <c r="S1583" s="77">
        <v>0</v>
      </c>
      <c r="T1583" s="77">
        <v>0</v>
      </c>
      <c r="U1583" s="77">
        <v>0</v>
      </c>
      <c r="V1583" s="77">
        <v>2</v>
      </c>
      <c r="W1583" s="82" t="s">
        <v>5620</v>
      </c>
      <c r="X1583" s="80" t="str">
        <f>HYPERLINK("https://cromaticanoticias.com/a/10026/Inflacion-en-la-zona-euro-retrocede-en-julio-alcanzando-su-menor-nivel-desde-enero-2022")</f>
        <v>https://cromaticanoticias.com/a/10026/Inflacion-en-la-zona-euro-retrocede-en-julio-alcanzando-su-menor-nivel-desde-enero-2022</v>
      </c>
      <c r="Y1583" s="77" t="s">
        <v>6547</v>
      </c>
      <c r="Z1583" s="77"/>
      <c r="AA1583" s="77"/>
      <c r="AB1583" s="77"/>
      <c r="AC1583" s="82" t="s">
        <v>7780</v>
      </c>
      <c r="AD1583" s="77" t="s">
        <v>7790</v>
      </c>
      <c r="AE1583" s="80" t="str">
        <f>HYPERLINK("https://twitter.com/cromaticanews/status/1692478955209511173")</f>
        <v>https://twitter.com/cromaticanews/status/1692478955209511173</v>
      </c>
      <c r="AF1583" s="79">
        <v>45156.423634259256</v>
      </c>
      <c r="AG1583" s="85">
        <v>45156</v>
      </c>
      <c r="AH1583" s="82" t="s">
        <v>9133</v>
      </c>
      <c r="AI1583" s="77" t="b">
        <v>0</v>
      </c>
      <c r="AJ1583" s="77"/>
      <c r="AK1583" s="77"/>
      <c r="AL1583" s="77"/>
      <c r="AM1583" s="77"/>
      <c r="AN1583" s="77"/>
      <c r="AO1583" s="77"/>
      <c r="AP1583" s="77"/>
      <c r="AQ1583" s="77"/>
      <c r="AR1583" s="77"/>
      <c r="AS1583" s="77"/>
      <c r="AT1583" s="77"/>
      <c r="AU1583" s="77"/>
      <c r="AV1583" s="80" t="str">
        <f>HYPERLINK("https://pbs.twimg.com/profile_images/1646267037231054848/IZBbqwV3_normal.jpg")</f>
        <v>https://pbs.twimg.com/profile_images/1646267037231054848/IZBbqwV3_normal.jpg</v>
      </c>
      <c r="AW1583" s="82" t="s">
        <v>13190</v>
      </c>
      <c r="AX1583" s="82" t="s">
        <v>13190</v>
      </c>
      <c r="AY1583" s="77"/>
      <c r="AZ1583" s="82" t="s">
        <v>15984</v>
      </c>
      <c r="BA1583" s="82" t="s">
        <v>15984</v>
      </c>
      <c r="BB1583" s="82" t="s">
        <v>15984</v>
      </c>
      <c r="BC1583" s="82" t="s">
        <v>13190</v>
      </c>
      <c r="BD1583" s="82" t="s">
        <v>16346</v>
      </c>
      <c r="BE1583" s="77"/>
      <c r="BF1583" s="77"/>
      <c r="BG1583" s="77"/>
      <c r="BH1583" s="77"/>
      <c r="BI1583" s="77"/>
    </row>
    <row r="1584" spans="1:61" x14ac:dyDescent="0.25">
      <c r="A1584" s="62" t="s">
        <v>649</v>
      </c>
      <c r="B1584" s="62" t="s">
        <v>649</v>
      </c>
      <c r="C1584" s="63"/>
      <c r="D1584" s="64"/>
      <c r="E1584" s="65"/>
      <c r="F1584" s="66"/>
      <c r="G1584" s="63"/>
      <c r="H1584" s="67"/>
      <c r="I1584" s="68"/>
      <c r="J1584" s="68"/>
      <c r="K1584" s="32"/>
      <c r="L1584" s="75">
        <v>1584</v>
      </c>
      <c r="M1584" s="75"/>
      <c r="N1584" s="70"/>
      <c r="O1584" s="77" t="s">
        <v>179</v>
      </c>
      <c r="P1584" s="79">
        <v>45153.465300925927</v>
      </c>
      <c r="Q1584" s="77" t="s">
        <v>2299</v>
      </c>
      <c r="R1584" s="77">
        <v>0</v>
      </c>
      <c r="S1584" s="77">
        <v>0</v>
      </c>
      <c r="T1584" s="77">
        <v>0</v>
      </c>
      <c r="U1584" s="77">
        <v>0</v>
      </c>
      <c r="V1584" s="77">
        <v>4</v>
      </c>
      <c r="W1584" s="82" t="s">
        <v>5621</v>
      </c>
      <c r="X1584" s="80" t="str">
        <f>HYPERLINK("https://cromaticanoticias.com/a/9813/Economia-japonesa-supera-expectativas-con-crecimiento-del-15-en-el-segundo-trimestre-pero-consumo-privado-disminuye")</f>
        <v>https://cromaticanoticias.com/a/9813/Economia-japonesa-supera-expectativas-con-crecimiento-del-15-en-el-segundo-trimestre-pero-consumo-privado-disminuye</v>
      </c>
      <c r="Y1584" s="77" t="s">
        <v>6547</v>
      </c>
      <c r="Z1584" s="77"/>
      <c r="AA1584" s="77"/>
      <c r="AB1584" s="77"/>
      <c r="AC1584" s="82" t="s">
        <v>7780</v>
      </c>
      <c r="AD1584" s="77" t="s">
        <v>7790</v>
      </c>
      <c r="AE1584" s="80" t="str">
        <f>HYPERLINK("https://twitter.com/cromaticanews/status/1691406890301853697")</f>
        <v>https://twitter.com/cromaticanews/status/1691406890301853697</v>
      </c>
      <c r="AF1584" s="79">
        <v>45153.465300925927</v>
      </c>
      <c r="AG1584" s="85">
        <v>45153</v>
      </c>
      <c r="AH1584" s="82" t="s">
        <v>9141</v>
      </c>
      <c r="AI1584" s="77" t="b">
        <v>0</v>
      </c>
      <c r="AJ1584" s="77"/>
      <c r="AK1584" s="77"/>
      <c r="AL1584" s="77"/>
      <c r="AM1584" s="77"/>
      <c r="AN1584" s="77"/>
      <c r="AO1584" s="77"/>
      <c r="AP1584" s="77"/>
      <c r="AQ1584" s="77"/>
      <c r="AR1584" s="77"/>
      <c r="AS1584" s="77"/>
      <c r="AT1584" s="77"/>
      <c r="AU1584" s="77"/>
      <c r="AV1584" s="80" t="str">
        <f>HYPERLINK("https://pbs.twimg.com/profile_images/1646267037231054848/IZBbqwV3_normal.jpg")</f>
        <v>https://pbs.twimg.com/profile_images/1646267037231054848/IZBbqwV3_normal.jpg</v>
      </c>
      <c r="AW1584" s="82" t="s">
        <v>13191</v>
      </c>
      <c r="AX1584" s="82" t="s">
        <v>13191</v>
      </c>
      <c r="AY1584" s="77"/>
      <c r="AZ1584" s="82" t="s">
        <v>15984</v>
      </c>
      <c r="BA1584" s="82" t="s">
        <v>15984</v>
      </c>
      <c r="BB1584" s="82" t="s">
        <v>15984</v>
      </c>
      <c r="BC1584" s="82" t="s">
        <v>13191</v>
      </c>
      <c r="BD1584" s="82" t="s">
        <v>16346</v>
      </c>
      <c r="BE1584" s="77"/>
      <c r="BF1584" s="77"/>
      <c r="BG1584" s="77"/>
      <c r="BH1584" s="77"/>
      <c r="BI1584" s="77"/>
    </row>
    <row r="1585" spans="1:61" x14ac:dyDescent="0.25">
      <c r="A1585" s="62" t="s">
        <v>649</v>
      </c>
      <c r="B1585" s="62" t="s">
        <v>649</v>
      </c>
      <c r="C1585" s="63"/>
      <c r="D1585" s="64"/>
      <c r="E1585" s="65"/>
      <c r="F1585" s="66"/>
      <c r="G1585" s="63"/>
      <c r="H1585" s="67"/>
      <c r="I1585" s="68"/>
      <c r="J1585" s="68"/>
      <c r="K1585" s="32"/>
      <c r="L1585" s="75">
        <v>1585</v>
      </c>
      <c r="M1585" s="75"/>
      <c r="N1585" s="70"/>
      <c r="O1585" s="77" t="s">
        <v>179</v>
      </c>
      <c r="P1585" s="79">
        <v>45123.423634259256</v>
      </c>
      <c r="Q1585" s="77" t="s">
        <v>2300</v>
      </c>
      <c r="R1585" s="77">
        <v>0</v>
      </c>
      <c r="S1585" s="77">
        <v>0</v>
      </c>
      <c r="T1585" s="77">
        <v>0</v>
      </c>
      <c r="U1585" s="77">
        <v>0</v>
      </c>
      <c r="V1585" s="77"/>
      <c r="W1585" s="82" t="s">
        <v>5622</v>
      </c>
      <c r="X1585" s="80" t="str">
        <f>HYPERLINK("https://cromaticanoticias.com/a/7721/Aumentan-ventas-y-empleo-en-empresas-espaolas-en-mayo-pero-caen-exportaciones-y-suben-salarios")</f>
        <v>https://cromaticanoticias.com/a/7721/Aumentan-ventas-y-empleo-en-empresas-espaolas-en-mayo-pero-caen-exportaciones-y-suben-salarios</v>
      </c>
      <c r="Y1585" s="77" t="s">
        <v>6547</v>
      </c>
      <c r="Z1585" s="77"/>
      <c r="AA1585" s="77"/>
      <c r="AB1585" s="77"/>
      <c r="AC1585" s="82" t="s">
        <v>7780</v>
      </c>
      <c r="AD1585" s="77" t="s">
        <v>7790</v>
      </c>
      <c r="AE1585" s="80" t="str">
        <f>HYPERLINK("https://twitter.com/cromaticanews/status/1680520158333239296")</f>
        <v>https://twitter.com/cromaticanews/status/1680520158333239296</v>
      </c>
      <c r="AF1585" s="79">
        <v>45123.423634259256</v>
      </c>
      <c r="AG1585" s="85">
        <v>45123</v>
      </c>
      <c r="AH1585" s="82" t="s">
        <v>9133</v>
      </c>
      <c r="AI1585" s="77" t="b">
        <v>0</v>
      </c>
      <c r="AJ1585" s="77"/>
      <c r="AK1585" s="77"/>
      <c r="AL1585" s="77"/>
      <c r="AM1585" s="77"/>
      <c r="AN1585" s="77"/>
      <c r="AO1585" s="77"/>
      <c r="AP1585" s="77"/>
      <c r="AQ1585" s="77"/>
      <c r="AR1585" s="77"/>
      <c r="AS1585" s="77"/>
      <c r="AT1585" s="77"/>
      <c r="AU1585" s="77"/>
      <c r="AV1585" s="80" t="str">
        <f>HYPERLINK("https://pbs.twimg.com/profile_images/1646267037231054848/IZBbqwV3_normal.jpg")</f>
        <v>https://pbs.twimg.com/profile_images/1646267037231054848/IZBbqwV3_normal.jpg</v>
      </c>
      <c r="AW1585" s="82" t="s">
        <v>13192</v>
      </c>
      <c r="AX1585" s="82" t="s">
        <v>13192</v>
      </c>
      <c r="AY1585" s="77"/>
      <c r="AZ1585" s="82" t="s">
        <v>15984</v>
      </c>
      <c r="BA1585" s="82" t="s">
        <v>15984</v>
      </c>
      <c r="BB1585" s="82" t="s">
        <v>15984</v>
      </c>
      <c r="BC1585" s="82" t="s">
        <v>13192</v>
      </c>
      <c r="BD1585" s="82" t="s">
        <v>16346</v>
      </c>
      <c r="BE1585" s="77"/>
      <c r="BF1585" s="77"/>
      <c r="BG1585" s="77"/>
      <c r="BH1585" s="77"/>
      <c r="BI1585" s="77"/>
    </row>
    <row r="1586" spans="1:61" x14ac:dyDescent="0.25">
      <c r="A1586" s="62" t="s">
        <v>649</v>
      </c>
      <c r="B1586" s="62" t="s">
        <v>649</v>
      </c>
      <c r="C1586" s="63"/>
      <c r="D1586" s="64"/>
      <c r="E1586" s="65"/>
      <c r="F1586" s="66"/>
      <c r="G1586" s="63"/>
      <c r="H1586" s="67"/>
      <c r="I1586" s="68"/>
      <c r="J1586" s="68"/>
      <c r="K1586" s="32"/>
      <c r="L1586" s="75">
        <v>1586</v>
      </c>
      <c r="M1586" s="75"/>
      <c r="N1586" s="70"/>
      <c r="O1586" s="77" t="s">
        <v>179</v>
      </c>
      <c r="P1586" s="79">
        <v>45175.006967592592</v>
      </c>
      <c r="Q1586" s="77" t="s">
        <v>2301</v>
      </c>
      <c r="R1586" s="77">
        <v>0</v>
      </c>
      <c r="S1586" s="77">
        <v>0</v>
      </c>
      <c r="T1586" s="77">
        <v>0</v>
      </c>
      <c r="U1586" s="77">
        <v>0</v>
      </c>
      <c r="V1586" s="77">
        <v>2</v>
      </c>
      <c r="W1586" s="82" t="s">
        <v>5623</v>
      </c>
      <c r="X1586" s="80" t="str">
        <f>HYPERLINK("https://cromaticanoticias.com/a/10909/Contraccion-del-sector-servicios-en-Espaa-rompe-nueve-meses-de-expansion-segun-PMI")</f>
        <v>https://cromaticanoticias.com/a/10909/Contraccion-del-sector-servicios-en-Espaa-rompe-nueve-meses-de-expansion-segun-PMI</v>
      </c>
      <c r="Y1586" s="77" t="s">
        <v>6547</v>
      </c>
      <c r="Z1586" s="77"/>
      <c r="AA1586" s="77"/>
      <c r="AB1586" s="77"/>
      <c r="AC1586" s="82" t="s">
        <v>7780</v>
      </c>
      <c r="AD1586" s="77" t="s">
        <v>7790</v>
      </c>
      <c r="AE1586" s="80" t="str">
        <f>HYPERLINK("https://twitter.com/cromaticanews/status/1699213331200946202")</f>
        <v>https://twitter.com/cromaticanews/status/1699213331200946202</v>
      </c>
      <c r="AF1586" s="79">
        <v>45175.006967592592</v>
      </c>
      <c r="AG1586" s="85">
        <v>45175</v>
      </c>
      <c r="AH1586" s="82" t="s">
        <v>9142</v>
      </c>
      <c r="AI1586" s="77" t="b">
        <v>0</v>
      </c>
      <c r="AJ1586" s="77"/>
      <c r="AK1586" s="77"/>
      <c r="AL1586" s="77"/>
      <c r="AM1586" s="77"/>
      <c r="AN1586" s="77"/>
      <c r="AO1586" s="77"/>
      <c r="AP1586" s="77"/>
      <c r="AQ1586" s="77"/>
      <c r="AR1586" s="77"/>
      <c r="AS1586" s="77"/>
      <c r="AT1586" s="77"/>
      <c r="AU1586" s="77"/>
      <c r="AV1586" s="80" t="str">
        <f>HYPERLINK("https://pbs.twimg.com/profile_images/1646267037231054848/IZBbqwV3_normal.jpg")</f>
        <v>https://pbs.twimg.com/profile_images/1646267037231054848/IZBbqwV3_normal.jpg</v>
      </c>
      <c r="AW1586" s="82" t="s">
        <v>13193</v>
      </c>
      <c r="AX1586" s="82" t="s">
        <v>13193</v>
      </c>
      <c r="AY1586" s="77"/>
      <c r="AZ1586" s="82" t="s">
        <v>15984</v>
      </c>
      <c r="BA1586" s="82" t="s">
        <v>15984</v>
      </c>
      <c r="BB1586" s="82" t="s">
        <v>15984</v>
      </c>
      <c r="BC1586" s="82" t="s">
        <v>13193</v>
      </c>
      <c r="BD1586" s="82" t="s">
        <v>16346</v>
      </c>
      <c r="BE1586" s="77"/>
      <c r="BF1586" s="77"/>
      <c r="BG1586" s="77"/>
      <c r="BH1586" s="77"/>
      <c r="BI1586" s="77"/>
    </row>
    <row r="1587" spans="1:61" x14ac:dyDescent="0.25">
      <c r="A1587" s="62" t="s">
        <v>649</v>
      </c>
      <c r="B1587" s="62" t="s">
        <v>649</v>
      </c>
      <c r="C1587" s="63"/>
      <c r="D1587" s="64"/>
      <c r="E1587" s="65"/>
      <c r="F1587" s="66"/>
      <c r="G1587" s="63"/>
      <c r="H1587" s="67"/>
      <c r="I1587" s="68"/>
      <c r="J1587" s="68"/>
      <c r="K1587" s="32"/>
      <c r="L1587" s="75">
        <v>1587</v>
      </c>
      <c r="M1587" s="75"/>
      <c r="N1587" s="70"/>
      <c r="O1587" s="77" t="s">
        <v>179</v>
      </c>
      <c r="P1587" s="79">
        <v>45164.423634259256</v>
      </c>
      <c r="Q1587" s="77" t="s">
        <v>2302</v>
      </c>
      <c r="R1587" s="77">
        <v>0</v>
      </c>
      <c r="S1587" s="77">
        <v>0</v>
      </c>
      <c r="T1587" s="77">
        <v>0</v>
      </c>
      <c r="U1587" s="77">
        <v>0</v>
      </c>
      <c r="V1587" s="77">
        <v>6</v>
      </c>
      <c r="W1587" s="82" t="s">
        <v>5624</v>
      </c>
      <c r="X1587" s="80" t="str">
        <f>HYPERLINK("https://cromaticanoticias.com/a/10580/Estudio-revela-que-se-necesitan-78-billones-de-dolares-para-lograr-empoderamiento-economico-y-cero-emisiones-en-2030")</f>
        <v>https://cromaticanoticias.com/a/10580/Estudio-revela-que-se-necesitan-78-billones-de-dolares-para-lograr-empoderamiento-economico-y-cero-emisiones-en-2030</v>
      </c>
      <c r="Y1587" s="77" t="s">
        <v>6547</v>
      </c>
      <c r="Z1587" s="77"/>
      <c r="AA1587" s="77"/>
      <c r="AB1587" s="77"/>
      <c r="AC1587" s="82" t="s">
        <v>7780</v>
      </c>
      <c r="AD1587" s="77" t="s">
        <v>7790</v>
      </c>
      <c r="AE1587" s="80" t="str">
        <f>HYPERLINK("https://twitter.com/cromaticanews/status/1695378058608308547")</f>
        <v>https://twitter.com/cromaticanews/status/1695378058608308547</v>
      </c>
      <c r="AF1587" s="79">
        <v>45164.423634259256</v>
      </c>
      <c r="AG1587" s="85">
        <v>45164</v>
      </c>
      <c r="AH1587" s="82" t="s">
        <v>9133</v>
      </c>
      <c r="AI1587" s="77" t="b">
        <v>0</v>
      </c>
      <c r="AJ1587" s="77"/>
      <c r="AK1587" s="77"/>
      <c r="AL1587" s="77"/>
      <c r="AM1587" s="77"/>
      <c r="AN1587" s="77"/>
      <c r="AO1587" s="77"/>
      <c r="AP1587" s="77"/>
      <c r="AQ1587" s="77"/>
      <c r="AR1587" s="77"/>
      <c r="AS1587" s="77"/>
      <c r="AT1587" s="77"/>
      <c r="AU1587" s="77"/>
      <c r="AV1587" s="80" t="str">
        <f>HYPERLINK("https://pbs.twimg.com/profile_images/1646267037231054848/IZBbqwV3_normal.jpg")</f>
        <v>https://pbs.twimg.com/profile_images/1646267037231054848/IZBbqwV3_normal.jpg</v>
      </c>
      <c r="AW1587" s="82" t="s">
        <v>13194</v>
      </c>
      <c r="AX1587" s="82" t="s">
        <v>13194</v>
      </c>
      <c r="AY1587" s="77"/>
      <c r="AZ1587" s="82" t="s">
        <v>15984</v>
      </c>
      <c r="BA1587" s="82" t="s">
        <v>15984</v>
      </c>
      <c r="BB1587" s="82" t="s">
        <v>15984</v>
      </c>
      <c r="BC1587" s="82" t="s">
        <v>13194</v>
      </c>
      <c r="BD1587" s="82" t="s">
        <v>16346</v>
      </c>
      <c r="BE1587" s="77"/>
      <c r="BF1587" s="77"/>
      <c r="BG1587" s="77"/>
      <c r="BH1587" s="77"/>
      <c r="BI1587" s="77"/>
    </row>
    <row r="1588" spans="1:61" x14ac:dyDescent="0.25">
      <c r="A1588" s="62" t="s">
        <v>649</v>
      </c>
      <c r="B1588" s="62" t="s">
        <v>649</v>
      </c>
      <c r="C1588" s="63"/>
      <c r="D1588" s="64"/>
      <c r="E1588" s="65"/>
      <c r="F1588" s="66"/>
      <c r="G1588" s="63"/>
      <c r="H1588" s="67"/>
      <c r="I1588" s="68"/>
      <c r="J1588" s="68"/>
      <c r="K1588" s="32"/>
      <c r="L1588" s="75">
        <v>1588</v>
      </c>
      <c r="M1588" s="75"/>
      <c r="N1588" s="70"/>
      <c r="O1588" s="77" t="s">
        <v>179</v>
      </c>
      <c r="P1588" s="79">
        <v>45182.048622685186</v>
      </c>
      <c r="Q1588" s="77" t="s">
        <v>2303</v>
      </c>
      <c r="R1588" s="77">
        <v>0</v>
      </c>
      <c r="S1588" s="77">
        <v>0</v>
      </c>
      <c r="T1588" s="77">
        <v>0</v>
      </c>
      <c r="U1588" s="77">
        <v>0</v>
      </c>
      <c r="V1588" s="77">
        <v>1</v>
      </c>
      <c r="W1588" s="82" t="s">
        <v>5625</v>
      </c>
      <c r="X1588" s="80" t="str">
        <f>HYPERLINK("https://cromaticanoticias.com/a/10982/Aumento-historico-del-precio-del-aceite-de-oliva-por-sequia-dispara-consumo-y-gasto")</f>
        <v>https://cromaticanoticias.com/a/10982/Aumento-historico-del-precio-del-aceite-de-oliva-por-sequia-dispara-consumo-y-gasto</v>
      </c>
      <c r="Y1588" s="77" t="s">
        <v>6547</v>
      </c>
      <c r="Z1588" s="77"/>
      <c r="AA1588" s="77"/>
      <c r="AB1588" s="77"/>
      <c r="AC1588" s="82" t="s">
        <v>7780</v>
      </c>
      <c r="AD1588" s="77" t="s">
        <v>7790</v>
      </c>
      <c r="AE1588" s="80" t="str">
        <f>HYPERLINK("https://twitter.com/cromaticanews/status/1701765142302572859")</f>
        <v>https://twitter.com/cromaticanews/status/1701765142302572859</v>
      </c>
      <c r="AF1588" s="79">
        <v>45182.048622685186</v>
      </c>
      <c r="AG1588" s="85">
        <v>45182</v>
      </c>
      <c r="AH1588" s="82" t="s">
        <v>9143</v>
      </c>
      <c r="AI1588" s="77" t="b">
        <v>0</v>
      </c>
      <c r="AJ1588" s="77"/>
      <c r="AK1588" s="77"/>
      <c r="AL1588" s="77"/>
      <c r="AM1588" s="77"/>
      <c r="AN1588" s="77"/>
      <c r="AO1588" s="77"/>
      <c r="AP1588" s="77"/>
      <c r="AQ1588" s="77"/>
      <c r="AR1588" s="77"/>
      <c r="AS1588" s="77"/>
      <c r="AT1588" s="77"/>
      <c r="AU1588" s="77"/>
      <c r="AV1588" s="80" t="str">
        <f>HYPERLINK("https://pbs.twimg.com/profile_images/1646267037231054848/IZBbqwV3_normal.jpg")</f>
        <v>https://pbs.twimg.com/profile_images/1646267037231054848/IZBbqwV3_normal.jpg</v>
      </c>
      <c r="AW1588" s="82" t="s">
        <v>13195</v>
      </c>
      <c r="AX1588" s="82" t="s">
        <v>13195</v>
      </c>
      <c r="AY1588" s="77"/>
      <c r="AZ1588" s="82" t="s">
        <v>15984</v>
      </c>
      <c r="BA1588" s="82" t="s">
        <v>15984</v>
      </c>
      <c r="BB1588" s="82" t="s">
        <v>15984</v>
      </c>
      <c r="BC1588" s="82" t="s">
        <v>13195</v>
      </c>
      <c r="BD1588" s="82" t="s">
        <v>16346</v>
      </c>
      <c r="BE1588" s="77"/>
      <c r="BF1588" s="77"/>
      <c r="BG1588" s="77"/>
      <c r="BH1588" s="77"/>
      <c r="BI1588" s="77"/>
    </row>
    <row r="1589" spans="1:61" x14ac:dyDescent="0.25">
      <c r="A1589" s="62" t="s">
        <v>649</v>
      </c>
      <c r="B1589" s="62" t="s">
        <v>649</v>
      </c>
      <c r="C1589" s="63"/>
      <c r="D1589" s="64"/>
      <c r="E1589" s="65"/>
      <c r="F1589" s="66"/>
      <c r="G1589" s="63"/>
      <c r="H1589" s="67"/>
      <c r="I1589" s="68"/>
      <c r="J1589" s="68"/>
      <c r="K1589" s="32"/>
      <c r="L1589" s="75">
        <v>1589</v>
      </c>
      <c r="M1589" s="75"/>
      <c r="N1589" s="70"/>
      <c r="O1589" s="77" t="s">
        <v>179</v>
      </c>
      <c r="P1589" s="79">
        <v>45148.631967592592</v>
      </c>
      <c r="Q1589" s="77" t="s">
        <v>2304</v>
      </c>
      <c r="R1589" s="77">
        <v>0</v>
      </c>
      <c r="S1589" s="77">
        <v>0</v>
      </c>
      <c r="T1589" s="77">
        <v>0</v>
      </c>
      <c r="U1589" s="77">
        <v>0</v>
      </c>
      <c r="V1589" s="77"/>
      <c r="W1589" s="82" t="s">
        <v>5626</v>
      </c>
      <c r="X1589" s="80" t="str">
        <f>HYPERLINK("https://cromaticanoticias.com/a/9538/Solicitudes-de-ayuda-por-desempleo-aumentan-en-EE-UU-mientras-disminuye-el-numero-de-personas-con-subsidio")</f>
        <v>https://cromaticanoticias.com/a/9538/Solicitudes-de-ayuda-por-desempleo-aumentan-en-EE-UU-mientras-disminuye-el-numero-de-personas-con-subsidio</v>
      </c>
      <c r="Y1589" s="77" t="s">
        <v>6547</v>
      </c>
      <c r="Z1589" s="77"/>
      <c r="AA1589" s="77"/>
      <c r="AB1589" s="77"/>
      <c r="AC1589" s="82" t="s">
        <v>7780</v>
      </c>
      <c r="AD1589" s="77" t="s">
        <v>7790</v>
      </c>
      <c r="AE1589" s="80" t="str">
        <f>HYPERLINK("https://twitter.com/cromaticanews/status/1689655349022949378")</f>
        <v>https://twitter.com/cromaticanews/status/1689655349022949378</v>
      </c>
      <c r="AF1589" s="79">
        <v>45148.631967592592</v>
      </c>
      <c r="AG1589" s="85">
        <v>45148</v>
      </c>
      <c r="AH1589" s="82" t="s">
        <v>9144</v>
      </c>
      <c r="AI1589" s="77" t="b">
        <v>0</v>
      </c>
      <c r="AJ1589" s="77"/>
      <c r="AK1589" s="77"/>
      <c r="AL1589" s="77"/>
      <c r="AM1589" s="77"/>
      <c r="AN1589" s="77"/>
      <c r="AO1589" s="77"/>
      <c r="AP1589" s="77"/>
      <c r="AQ1589" s="77"/>
      <c r="AR1589" s="77"/>
      <c r="AS1589" s="77"/>
      <c r="AT1589" s="77"/>
      <c r="AU1589" s="77"/>
      <c r="AV1589" s="80" t="str">
        <f>HYPERLINK("https://pbs.twimg.com/profile_images/1646267037231054848/IZBbqwV3_normal.jpg")</f>
        <v>https://pbs.twimg.com/profile_images/1646267037231054848/IZBbqwV3_normal.jpg</v>
      </c>
      <c r="AW1589" s="82" t="s">
        <v>13196</v>
      </c>
      <c r="AX1589" s="82" t="s">
        <v>13196</v>
      </c>
      <c r="AY1589" s="77"/>
      <c r="AZ1589" s="82" t="s">
        <v>15984</v>
      </c>
      <c r="BA1589" s="82" t="s">
        <v>15984</v>
      </c>
      <c r="BB1589" s="82" t="s">
        <v>15984</v>
      </c>
      <c r="BC1589" s="82" t="s">
        <v>13196</v>
      </c>
      <c r="BD1589" s="82" t="s">
        <v>16346</v>
      </c>
      <c r="BE1589" s="77"/>
      <c r="BF1589" s="77"/>
      <c r="BG1589" s="77"/>
      <c r="BH1589" s="77"/>
      <c r="BI1589" s="77"/>
    </row>
    <row r="1590" spans="1:61" x14ac:dyDescent="0.25">
      <c r="A1590" s="62" t="s">
        <v>649</v>
      </c>
      <c r="B1590" s="62" t="s">
        <v>649</v>
      </c>
      <c r="C1590" s="63"/>
      <c r="D1590" s="64"/>
      <c r="E1590" s="65"/>
      <c r="F1590" s="66"/>
      <c r="G1590" s="63"/>
      <c r="H1590" s="67"/>
      <c r="I1590" s="68"/>
      <c r="J1590" s="68"/>
      <c r="K1590" s="32"/>
      <c r="L1590" s="75">
        <v>1590</v>
      </c>
      <c r="M1590" s="75"/>
      <c r="N1590" s="70"/>
      <c r="O1590" s="77" t="s">
        <v>179</v>
      </c>
      <c r="P1590" s="79">
        <v>45187.006967592592</v>
      </c>
      <c r="Q1590" s="77" t="s">
        <v>2305</v>
      </c>
      <c r="R1590" s="77">
        <v>0</v>
      </c>
      <c r="S1590" s="77">
        <v>0</v>
      </c>
      <c r="T1590" s="77">
        <v>0</v>
      </c>
      <c r="U1590" s="77">
        <v>0</v>
      </c>
      <c r="V1590" s="77">
        <v>1</v>
      </c>
      <c r="W1590" s="82" t="s">
        <v>5627</v>
      </c>
      <c r="X1590" s="80" t="str">
        <f>HYPERLINK("https://cromaticanoticias.com/a/11032/SP-Global-mantiene-calificacion-A-A1-de-Espaa-pese-a-incertidumbre-politica-y-deuda-creciente")</f>
        <v>https://cromaticanoticias.com/a/11032/SP-Global-mantiene-calificacion-A-A1-de-Espaa-pese-a-incertidumbre-politica-y-deuda-creciente</v>
      </c>
      <c r="Y1590" s="77" t="s">
        <v>6547</v>
      </c>
      <c r="Z1590" s="77"/>
      <c r="AA1590" s="77"/>
      <c r="AB1590" s="77"/>
      <c r="AC1590" s="82" t="s">
        <v>7780</v>
      </c>
      <c r="AD1590" s="77" t="s">
        <v>7790</v>
      </c>
      <c r="AE1590" s="80" t="str">
        <f>HYPERLINK("https://twitter.com/cromaticanews/status/1703561984166257081")</f>
        <v>https://twitter.com/cromaticanews/status/1703561984166257081</v>
      </c>
      <c r="AF1590" s="79">
        <v>45187.006967592592</v>
      </c>
      <c r="AG1590" s="85">
        <v>45187</v>
      </c>
      <c r="AH1590" s="82" t="s">
        <v>9142</v>
      </c>
      <c r="AI1590" s="77" t="b">
        <v>0</v>
      </c>
      <c r="AJ1590" s="77"/>
      <c r="AK1590" s="77"/>
      <c r="AL1590" s="77"/>
      <c r="AM1590" s="77"/>
      <c r="AN1590" s="77"/>
      <c r="AO1590" s="77"/>
      <c r="AP1590" s="77"/>
      <c r="AQ1590" s="77"/>
      <c r="AR1590" s="77"/>
      <c r="AS1590" s="77"/>
      <c r="AT1590" s="77"/>
      <c r="AU1590" s="77"/>
      <c r="AV1590" s="80" t="str">
        <f>HYPERLINK("https://pbs.twimg.com/profile_images/1646267037231054848/IZBbqwV3_normal.jpg")</f>
        <v>https://pbs.twimg.com/profile_images/1646267037231054848/IZBbqwV3_normal.jpg</v>
      </c>
      <c r="AW1590" s="82" t="s">
        <v>13197</v>
      </c>
      <c r="AX1590" s="82" t="s">
        <v>13197</v>
      </c>
      <c r="AY1590" s="77"/>
      <c r="AZ1590" s="82" t="s">
        <v>15984</v>
      </c>
      <c r="BA1590" s="82" t="s">
        <v>15984</v>
      </c>
      <c r="BB1590" s="82" t="s">
        <v>15984</v>
      </c>
      <c r="BC1590" s="82" t="s">
        <v>13197</v>
      </c>
      <c r="BD1590" s="82" t="s">
        <v>16346</v>
      </c>
      <c r="BE1590" s="77"/>
      <c r="BF1590" s="77"/>
      <c r="BG1590" s="77"/>
      <c r="BH1590" s="77"/>
      <c r="BI1590" s="77"/>
    </row>
    <row r="1591" spans="1:61" x14ac:dyDescent="0.25">
      <c r="A1591" s="62" t="s">
        <v>649</v>
      </c>
      <c r="B1591" s="62" t="s">
        <v>649</v>
      </c>
      <c r="C1591" s="63"/>
      <c r="D1591" s="64"/>
      <c r="E1591" s="65"/>
      <c r="F1591" s="66"/>
      <c r="G1591" s="63"/>
      <c r="H1591" s="67"/>
      <c r="I1591" s="68"/>
      <c r="J1591" s="68"/>
      <c r="K1591" s="32"/>
      <c r="L1591" s="75">
        <v>1591</v>
      </c>
      <c r="M1591" s="75"/>
      <c r="N1591" s="70"/>
      <c r="O1591" s="77" t="s">
        <v>179</v>
      </c>
      <c r="P1591" s="79">
        <v>45181.006967592592</v>
      </c>
      <c r="Q1591" s="77" t="s">
        <v>2306</v>
      </c>
      <c r="R1591" s="77">
        <v>0</v>
      </c>
      <c r="S1591" s="77">
        <v>0</v>
      </c>
      <c r="T1591" s="77">
        <v>0</v>
      </c>
      <c r="U1591" s="77">
        <v>0</v>
      </c>
      <c r="V1591" s="77">
        <v>2</v>
      </c>
      <c r="W1591" s="82" t="s">
        <v>5604</v>
      </c>
      <c r="X1591" s="80" t="str">
        <f>HYPERLINK("https://cromaticanoticias.com/a/10972/Comision-Europea-preve-crecimiento-del-22-para-economia-espaola-en-2023")</f>
        <v>https://cromaticanoticias.com/a/10972/Comision-Europea-preve-crecimiento-del-22-para-economia-espaola-en-2023</v>
      </c>
      <c r="Y1591" s="77" t="s">
        <v>6547</v>
      </c>
      <c r="Z1591" s="77"/>
      <c r="AA1591" s="77"/>
      <c r="AB1591" s="77"/>
      <c r="AC1591" s="82" t="s">
        <v>7780</v>
      </c>
      <c r="AD1591" s="77" t="s">
        <v>7790</v>
      </c>
      <c r="AE1591" s="80" t="str">
        <f>HYPERLINK("https://twitter.com/cromaticanews/status/1701387659002749154")</f>
        <v>https://twitter.com/cromaticanews/status/1701387659002749154</v>
      </c>
      <c r="AF1591" s="79">
        <v>45181.006967592592</v>
      </c>
      <c r="AG1591" s="85">
        <v>45181</v>
      </c>
      <c r="AH1591" s="82" t="s">
        <v>9142</v>
      </c>
      <c r="AI1591" s="77" t="b">
        <v>0</v>
      </c>
      <c r="AJ1591" s="77"/>
      <c r="AK1591" s="77"/>
      <c r="AL1591" s="77"/>
      <c r="AM1591" s="77"/>
      <c r="AN1591" s="77"/>
      <c r="AO1591" s="77"/>
      <c r="AP1591" s="77"/>
      <c r="AQ1591" s="77"/>
      <c r="AR1591" s="77"/>
      <c r="AS1591" s="77"/>
      <c r="AT1591" s="77"/>
      <c r="AU1591" s="77"/>
      <c r="AV1591" s="80" t="str">
        <f>HYPERLINK("https://pbs.twimg.com/profile_images/1646267037231054848/IZBbqwV3_normal.jpg")</f>
        <v>https://pbs.twimg.com/profile_images/1646267037231054848/IZBbqwV3_normal.jpg</v>
      </c>
      <c r="AW1591" s="82" t="s">
        <v>13198</v>
      </c>
      <c r="AX1591" s="82" t="s">
        <v>13198</v>
      </c>
      <c r="AY1591" s="77"/>
      <c r="AZ1591" s="82" t="s">
        <v>15984</v>
      </c>
      <c r="BA1591" s="82" t="s">
        <v>15984</v>
      </c>
      <c r="BB1591" s="82" t="s">
        <v>15984</v>
      </c>
      <c r="BC1591" s="82" t="s">
        <v>13198</v>
      </c>
      <c r="BD1591" s="82" t="s">
        <v>16346</v>
      </c>
      <c r="BE1591" s="77"/>
      <c r="BF1591" s="77"/>
      <c r="BG1591" s="77"/>
      <c r="BH1591" s="77"/>
      <c r="BI1591" s="77"/>
    </row>
    <row r="1592" spans="1:61" x14ac:dyDescent="0.25">
      <c r="A1592" s="62" t="s">
        <v>649</v>
      </c>
      <c r="B1592" s="62" t="s">
        <v>649</v>
      </c>
      <c r="C1592" s="63"/>
      <c r="D1592" s="64"/>
      <c r="E1592" s="65"/>
      <c r="F1592" s="66"/>
      <c r="G1592" s="63"/>
      <c r="H1592" s="67"/>
      <c r="I1592" s="68"/>
      <c r="J1592" s="68"/>
      <c r="K1592" s="32"/>
      <c r="L1592" s="75">
        <v>1592</v>
      </c>
      <c r="M1592" s="75"/>
      <c r="N1592" s="70"/>
      <c r="O1592" s="77" t="s">
        <v>179</v>
      </c>
      <c r="P1592" s="79">
        <v>45155.340300925927</v>
      </c>
      <c r="Q1592" s="77" t="s">
        <v>2307</v>
      </c>
      <c r="R1592" s="77">
        <v>0</v>
      </c>
      <c r="S1592" s="77">
        <v>0</v>
      </c>
      <c r="T1592" s="77">
        <v>0</v>
      </c>
      <c r="U1592" s="77">
        <v>0</v>
      </c>
      <c r="V1592" s="77">
        <v>1</v>
      </c>
      <c r="W1592" s="82" t="s">
        <v>5623</v>
      </c>
      <c r="X1592" s="80" t="str">
        <f>HYPERLINK("https://cromaticanoticias.com/a/9921/Sector-servicios-en-Espaa-cae-un-07-en-junio-poniendo-fin-a-27-meses-de-crecimiento")</f>
        <v>https://cromaticanoticias.com/a/9921/Sector-servicios-en-Espaa-cae-un-07-en-junio-poniendo-fin-a-27-meses-de-crecimiento</v>
      </c>
      <c r="Y1592" s="77" t="s">
        <v>6547</v>
      </c>
      <c r="Z1592" s="77"/>
      <c r="AA1592" s="77"/>
      <c r="AB1592" s="77"/>
      <c r="AC1592" s="82" t="s">
        <v>7780</v>
      </c>
      <c r="AD1592" s="77" t="s">
        <v>7790</v>
      </c>
      <c r="AE1592" s="80" t="str">
        <f>HYPERLINK("https://twitter.com/cromaticanews/status/1692086368845930830")</f>
        <v>https://twitter.com/cromaticanews/status/1692086368845930830</v>
      </c>
      <c r="AF1592" s="79">
        <v>45155.340300925927</v>
      </c>
      <c r="AG1592" s="85">
        <v>45155</v>
      </c>
      <c r="AH1592" s="82" t="s">
        <v>9135</v>
      </c>
      <c r="AI1592" s="77" t="b">
        <v>0</v>
      </c>
      <c r="AJ1592" s="77"/>
      <c r="AK1592" s="77"/>
      <c r="AL1592" s="77"/>
      <c r="AM1592" s="77"/>
      <c r="AN1592" s="77"/>
      <c r="AO1592" s="77"/>
      <c r="AP1592" s="77"/>
      <c r="AQ1592" s="77"/>
      <c r="AR1592" s="77"/>
      <c r="AS1592" s="77"/>
      <c r="AT1592" s="77"/>
      <c r="AU1592" s="77"/>
      <c r="AV1592" s="80" t="str">
        <f>HYPERLINK("https://pbs.twimg.com/profile_images/1646267037231054848/IZBbqwV3_normal.jpg")</f>
        <v>https://pbs.twimg.com/profile_images/1646267037231054848/IZBbqwV3_normal.jpg</v>
      </c>
      <c r="AW1592" s="82" t="s">
        <v>13199</v>
      </c>
      <c r="AX1592" s="82" t="s">
        <v>13199</v>
      </c>
      <c r="AY1592" s="77"/>
      <c r="AZ1592" s="82" t="s">
        <v>15984</v>
      </c>
      <c r="BA1592" s="82" t="s">
        <v>15984</v>
      </c>
      <c r="BB1592" s="82" t="s">
        <v>15984</v>
      </c>
      <c r="BC1592" s="82" t="s">
        <v>13199</v>
      </c>
      <c r="BD1592" s="82" t="s">
        <v>16346</v>
      </c>
      <c r="BE1592" s="77"/>
      <c r="BF1592" s="77"/>
      <c r="BG1592" s="77"/>
      <c r="BH1592" s="77"/>
      <c r="BI1592" s="77"/>
    </row>
    <row r="1593" spans="1:61" x14ac:dyDescent="0.25">
      <c r="A1593" s="62" t="s">
        <v>649</v>
      </c>
      <c r="B1593" s="62" t="s">
        <v>649</v>
      </c>
      <c r="C1593" s="63"/>
      <c r="D1593" s="64"/>
      <c r="E1593" s="65"/>
      <c r="F1593" s="66"/>
      <c r="G1593" s="63"/>
      <c r="H1593" s="67"/>
      <c r="I1593" s="68"/>
      <c r="J1593" s="68"/>
      <c r="K1593" s="32"/>
      <c r="L1593" s="75">
        <v>1593</v>
      </c>
      <c r="M1593" s="75"/>
      <c r="N1593" s="70"/>
      <c r="O1593" s="77" t="s">
        <v>179</v>
      </c>
      <c r="P1593" s="79">
        <v>45186.006967592592</v>
      </c>
      <c r="Q1593" s="77" t="s">
        <v>2308</v>
      </c>
      <c r="R1593" s="77">
        <v>0</v>
      </c>
      <c r="S1593" s="77">
        <v>0</v>
      </c>
      <c r="T1593" s="77">
        <v>0</v>
      </c>
      <c r="U1593" s="77">
        <v>0</v>
      </c>
      <c r="V1593" s="77">
        <v>3</v>
      </c>
      <c r="W1593" s="82" t="s">
        <v>5628</v>
      </c>
      <c r="X1593" s="80" t="str">
        <f>HYPERLINK("https://cromaticanoticias.com/a/11022/Calvio-destaca-compromiso-europeo-para-reformar-normas-fiscales-en-proxima-reunion-de-la-UE")</f>
        <v>https://cromaticanoticias.com/a/11022/Calvio-destaca-compromiso-europeo-para-reformar-normas-fiscales-en-proxima-reunion-de-la-UE</v>
      </c>
      <c r="Y1593" s="77" t="s">
        <v>6547</v>
      </c>
      <c r="Z1593" s="77"/>
      <c r="AA1593" s="77"/>
      <c r="AB1593" s="77"/>
      <c r="AC1593" s="82" t="s">
        <v>7780</v>
      </c>
      <c r="AD1593" s="77" t="s">
        <v>7790</v>
      </c>
      <c r="AE1593" s="80" t="str">
        <f>HYPERLINK("https://twitter.com/cromaticanews/status/1703199596422340924")</f>
        <v>https://twitter.com/cromaticanews/status/1703199596422340924</v>
      </c>
      <c r="AF1593" s="79">
        <v>45186.006967592592</v>
      </c>
      <c r="AG1593" s="85">
        <v>45186</v>
      </c>
      <c r="AH1593" s="82" t="s">
        <v>9142</v>
      </c>
      <c r="AI1593" s="77" t="b">
        <v>0</v>
      </c>
      <c r="AJ1593" s="77"/>
      <c r="AK1593" s="77"/>
      <c r="AL1593" s="77"/>
      <c r="AM1593" s="77"/>
      <c r="AN1593" s="77"/>
      <c r="AO1593" s="77"/>
      <c r="AP1593" s="77"/>
      <c r="AQ1593" s="77"/>
      <c r="AR1593" s="77"/>
      <c r="AS1593" s="77"/>
      <c r="AT1593" s="77"/>
      <c r="AU1593" s="77"/>
      <c r="AV1593" s="80" t="str">
        <f>HYPERLINK("https://pbs.twimg.com/profile_images/1646267037231054848/IZBbqwV3_normal.jpg")</f>
        <v>https://pbs.twimg.com/profile_images/1646267037231054848/IZBbqwV3_normal.jpg</v>
      </c>
      <c r="AW1593" s="82" t="s">
        <v>13200</v>
      </c>
      <c r="AX1593" s="82" t="s">
        <v>13200</v>
      </c>
      <c r="AY1593" s="77"/>
      <c r="AZ1593" s="82" t="s">
        <v>15984</v>
      </c>
      <c r="BA1593" s="82" t="s">
        <v>15984</v>
      </c>
      <c r="BB1593" s="82" t="s">
        <v>15984</v>
      </c>
      <c r="BC1593" s="82" t="s">
        <v>13200</v>
      </c>
      <c r="BD1593" s="82" t="s">
        <v>16346</v>
      </c>
      <c r="BE1593" s="77"/>
      <c r="BF1593" s="77"/>
      <c r="BG1593" s="77"/>
      <c r="BH1593" s="77"/>
      <c r="BI1593" s="77"/>
    </row>
    <row r="1594" spans="1:61" x14ac:dyDescent="0.25">
      <c r="A1594" s="62" t="s">
        <v>649</v>
      </c>
      <c r="B1594" s="62" t="s">
        <v>649</v>
      </c>
      <c r="C1594" s="63"/>
      <c r="D1594" s="64"/>
      <c r="E1594" s="65"/>
      <c r="F1594" s="66"/>
      <c r="G1594" s="63"/>
      <c r="H1594" s="67"/>
      <c r="I1594" s="68"/>
      <c r="J1594" s="68"/>
      <c r="K1594" s="32"/>
      <c r="L1594" s="75">
        <v>1594</v>
      </c>
      <c r="M1594" s="75"/>
      <c r="N1594" s="70"/>
      <c r="O1594" s="77" t="s">
        <v>179</v>
      </c>
      <c r="P1594" s="79">
        <v>45189.006967592592</v>
      </c>
      <c r="Q1594" s="77" t="s">
        <v>2309</v>
      </c>
      <c r="R1594" s="77">
        <v>0</v>
      </c>
      <c r="S1594" s="77">
        <v>0</v>
      </c>
      <c r="T1594" s="77">
        <v>0</v>
      </c>
      <c r="U1594" s="77">
        <v>0</v>
      </c>
      <c r="V1594" s="77">
        <v>7</v>
      </c>
      <c r="W1594" s="82" t="s">
        <v>5629</v>
      </c>
      <c r="X1594" s="80" t="str">
        <f>HYPERLINK("https://cromaticanoticias.com/a/11052/Banco-de-Espaa-preve-desaceleracion-economica-por-coste-energetico-y-tensiones-financieras")</f>
        <v>https://cromaticanoticias.com/a/11052/Banco-de-Espaa-preve-desaceleracion-economica-por-coste-energetico-y-tensiones-financieras</v>
      </c>
      <c r="Y1594" s="77" t="s">
        <v>6547</v>
      </c>
      <c r="Z1594" s="77"/>
      <c r="AA1594" s="77"/>
      <c r="AB1594" s="77"/>
      <c r="AC1594" s="82" t="s">
        <v>7780</v>
      </c>
      <c r="AD1594" s="77" t="s">
        <v>7790</v>
      </c>
      <c r="AE1594" s="80" t="str">
        <f>HYPERLINK("https://twitter.com/cromaticanews/status/1704286762267189461")</f>
        <v>https://twitter.com/cromaticanews/status/1704286762267189461</v>
      </c>
      <c r="AF1594" s="79">
        <v>45189.006967592592</v>
      </c>
      <c r="AG1594" s="85">
        <v>45189</v>
      </c>
      <c r="AH1594" s="82" t="s">
        <v>9142</v>
      </c>
      <c r="AI1594" s="77" t="b">
        <v>0</v>
      </c>
      <c r="AJ1594" s="77"/>
      <c r="AK1594" s="77"/>
      <c r="AL1594" s="77"/>
      <c r="AM1594" s="77"/>
      <c r="AN1594" s="77"/>
      <c r="AO1594" s="77"/>
      <c r="AP1594" s="77"/>
      <c r="AQ1594" s="77"/>
      <c r="AR1594" s="77"/>
      <c r="AS1594" s="77"/>
      <c r="AT1594" s="77"/>
      <c r="AU1594" s="77"/>
      <c r="AV1594" s="80" t="str">
        <f>HYPERLINK("https://pbs.twimg.com/profile_images/1646267037231054848/IZBbqwV3_normal.jpg")</f>
        <v>https://pbs.twimg.com/profile_images/1646267037231054848/IZBbqwV3_normal.jpg</v>
      </c>
      <c r="AW1594" s="82" t="s">
        <v>13201</v>
      </c>
      <c r="AX1594" s="82" t="s">
        <v>13201</v>
      </c>
      <c r="AY1594" s="77"/>
      <c r="AZ1594" s="82" t="s">
        <v>15984</v>
      </c>
      <c r="BA1594" s="82" t="s">
        <v>15984</v>
      </c>
      <c r="BB1594" s="82" t="s">
        <v>15984</v>
      </c>
      <c r="BC1594" s="82" t="s">
        <v>13201</v>
      </c>
      <c r="BD1594" s="82" t="s">
        <v>16346</v>
      </c>
      <c r="BE1594" s="77"/>
      <c r="BF1594" s="77"/>
      <c r="BG1594" s="77"/>
      <c r="BH1594" s="77"/>
      <c r="BI1594" s="77"/>
    </row>
    <row r="1595" spans="1:61" x14ac:dyDescent="0.25">
      <c r="A1595" s="62" t="s">
        <v>649</v>
      </c>
      <c r="B1595" s="62" t="s">
        <v>649</v>
      </c>
      <c r="C1595" s="63"/>
      <c r="D1595" s="64"/>
      <c r="E1595" s="65"/>
      <c r="F1595" s="66"/>
      <c r="G1595" s="63"/>
      <c r="H1595" s="67"/>
      <c r="I1595" s="68"/>
      <c r="J1595" s="68"/>
      <c r="K1595" s="32"/>
      <c r="L1595" s="75">
        <v>1595</v>
      </c>
      <c r="M1595" s="75"/>
      <c r="N1595" s="70"/>
      <c r="O1595" s="77" t="s">
        <v>179</v>
      </c>
      <c r="P1595" s="79">
        <v>45158.590300925927</v>
      </c>
      <c r="Q1595" s="77" t="s">
        <v>2310</v>
      </c>
      <c r="R1595" s="77">
        <v>0</v>
      </c>
      <c r="S1595" s="77">
        <v>0</v>
      </c>
      <c r="T1595" s="77">
        <v>0</v>
      </c>
      <c r="U1595" s="77">
        <v>0</v>
      </c>
      <c r="V1595" s="77">
        <v>14</v>
      </c>
      <c r="W1595" s="82" t="s">
        <v>5630</v>
      </c>
      <c r="X1595" s="80" t="str">
        <f>HYPERLINK("https://cromaticanoticias.com/a/10156/Fallece-ngel-Torres-vicepresidente-de-la-CNMC-dejando-un-legado-de-profesionalidad-y-capacidad-regulatoria")</f>
        <v>https://cromaticanoticias.com/a/10156/Fallece-ngel-Torres-vicepresidente-de-la-CNMC-dejando-un-legado-de-profesionalidad-y-capacidad-regulatoria</v>
      </c>
      <c r="Y1595" s="77" t="s">
        <v>6547</v>
      </c>
      <c r="Z1595" s="77"/>
      <c r="AA1595" s="77"/>
      <c r="AB1595" s="77"/>
      <c r="AC1595" s="82" t="s">
        <v>7780</v>
      </c>
      <c r="AD1595" s="77" t="s">
        <v>7790</v>
      </c>
      <c r="AE1595" s="80" t="str">
        <f>HYPERLINK("https://twitter.com/cromaticanews/status/1693264130780586311")</f>
        <v>https://twitter.com/cromaticanews/status/1693264130780586311</v>
      </c>
      <c r="AF1595" s="79">
        <v>45158.590300925927</v>
      </c>
      <c r="AG1595" s="85">
        <v>45158</v>
      </c>
      <c r="AH1595" s="82" t="s">
        <v>9145</v>
      </c>
      <c r="AI1595" s="77" t="b">
        <v>0</v>
      </c>
      <c r="AJ1595" s="77"/>
      <c r="AK1595" s="77"/>
      <c r="AL1595" s="77"/>
      <c r="AM1595" s="77"/>
      <c r="AN1595" s="77"/>
      <c r="AO1595" s="77"/>
      <c r="AP1595" s="77"/>
      <c r="AQ1595" s="77"/>
      <c r="AR1595" s="77"/>
      <c r="AS1595" s="77"/>
      <c r="AT1595" s="77"/>
      <c r="AU1595" s="77"/>
      <c r="AV1595" s="80" t="str">
        <f>HYPERLINK("https://pbs.twimg.com/profile_images/1646267037231054848/IZBbqwV3_normal.jpg")</f>
        <v>https://pbs.twimg.com/profile_images/1646267037231054848/IZBbqwV3_normal.jpg</v>
      </c>
      <c r="AW1595" s="82" t="s">
        <v>13202</v>
      </c>
      <c r="AX1595" s="82" t="s">
        <v>13202</v>
      </c>
      <c r="AY1595" s="77"/>
      <c r="AZ1595" s="82" t="s">
        <v>15984</v>
      </c>
      <c r="BA1595" s="82" t="s">
        <v>15984</v>
      </c>
      <c r="BB1595" s="82" t="s">
        <v>15984</v>
      </c>
      <c r="BC1595" s="82" t="s">
        <v>13202</v>
      </c>
      <c r="BD1595" s="82" t="s">
        <v>16346</v>
      </c>
      <c r="BE1595" s="77"/>
      <c r="BF1595" s="77"/>
      <c r="BG1595" s="77"/>
      <c r="BH1595" s="77"/>
      <c r="BI1595" s="77"/>
    </row>
    <row r="1596" spans="1:61" x14ac:dyDescent="0.25">
      <c r="A1596" s="62" t="s">
        <v>650</v>
      </c>
      <c r="B1596" s="62" t="s">
        <v>650</v>
      </c>
      <c r="C1596" s="63"/>
      <c r="D1596" s="64"/>
      <c r="E1596" s="65"/>
      <c r="F1596" s="66"/>
      <c r="G1596" s="63"/>
      <c r="H1596" s="67"/>
      <c r="I1596" s="68"/>
      <c r="J1596" s="68"/>
      <c r="K1596" s="32"/>
      <c r="L1596" s="75">
        <v>1596</v>
      </c>
      <c r="M1596" s="75"/>
      <c r="N1596" s="70"/>
      <c r="O1596" s="77" t="s">
        <v>898</v>
      </c>
      <c r="P1596" s="79">
        <v>45143.903240740743</v>
      </c>
      <c r="Q1596" s="77" t="s">
        <v>2311</v>
      </c>
      <c r="R1596" s="77">
        <v>0</v>
      </c>
      <c r="S1596" s="77">
        <v>0</v>
      </c>
      <c r="T1596" s="77">
        <v>0</v>
      </c>
      <c r="U1596" s="77">
        <v>0</v>
      </c>
      <c r="V1596" s="77">
        <v>27</v>
      </c>
      <c r="W1596" s="82" t="s">
        <v>5631</v>
      </c>
      <c r="X1596" s="77"/>
      <c r="Y1596" s="77"/>
      <c r="Z1596" s="77"/>
      <c r="AA1596" s="77"/>
      <c r="AB1596" s="77"/>
      <c r="AC1596" s="82" t="s">
        <v>7752</v>
      </c>
      <c r="AD1596" s="77" t="s">
        <v>7788</v>
      </c>
      <c r="AE1596" s="80" t="str">
        <f>HYPERLINK("https://twitter.com/oproflucassilva/status/1687941718677520386")</f>
        <v>https://twitter.com/oproflucassilva/status/1687941718677520386</v>
      </c>
      <c r="AF1596" s="79">
        <v>45143.903240740743</v>
      </c>
      <c r="AG1596" s="85">
        <v>45143</v>
      </c>
      <c r="AH1596" s="82" t="s">
        <v>9146</v>
      </c>
      <c r="AI1596" s="77"/>
      <c r="AJ1596" s="77"/>
      <c r="AK1596" s="77"/>
      <c r="AL1596" s="77"/>
      <c r="AM1596" s="77"/>
      <c r="AN1596" s="77"/>
      <c r="AO1596" s="77"/>
      <c r="AP1596" s="77"/>
      <c r="AQ1596" s="77"/>
      <c r="AR1596" s="77"/>
      <c r="AS1596" s="77"/>
      <c r="AT1596" s="77"/>
      <c r="AU1596" s="77"/>
      <c r="AV1596" s="80" t="str">
        <f>HYPERLINK("https://pbs.twimg.com/profile_images/1706362418673147904/vvKeo0Xj_normal.jpg")</f>
        <v>https://pbs.twimg.com/profile_images/1706362418673147904/vvKeo0Xj_normal.jpg</v>
      </c>
      <c r="AW1596" s="82" t="s">
        <v>13203</v>
      </c>
      <c r="AX1596" s="82" t="s">
        <v>13204</v>
      </c>
      <c r="AY1596" s="82" t="s">
        <v>15971</v>
      </c>
      <c r="AZ1596" s="82" t="s">
        <v>16089</v>
      </c>
      <c r="BA1596" s="82" t="s">
        <v>15984</v>
      </c>
      <c r="BB1596" s="82" t="s">
        <v>15984</v>
      </c>
      <c r="BC1596" s="82" t="s">
        <v>16089</v>
      </c>
      <c r="BD1596" s="82" t="s">
        <v>15971</v>
      </c>
      <c r="BE1596" s="77"/>
      <c r="BF1596" s="77"/>
      <c r="BG1596" s="77"/>
      <c r="BH1596" s="77"/>
      <c r="BI1596" s="77"/>
    </row>
    <row r="1597" spans="1:61" x14ac:dyDescent="0.25">
      <c r="A1597" s="62" t="s">
        <v>650</v>
      </c>
      <c r="B1597" s="62" t="s">
        <v>650</v>
      </c>
      <c r="C1597" s="63"/>
      <c r="D1597" s="64"/>
      <c r="E1597" s="65"/>
      <c r="F1597" s="66"/>
      <c r="G1597" s="63"/>
      <c r="H1597" s="67"/>
      <c r="I1597" s="68"/>
      <c r="J1597" s="68"/>
      <c r="K1597" s="32"/>
      <c r="L1597" s="75">
        <v>1597</v>
      </c>
      <c r="M1597" s="75"/>
      <c r="N1597" s="70"/>
      <c r="O1597" s="77" t="s">
        <v>179</v>
      </c>
      <c r="P1597" s="79">
        <v>45143.899247685185</v>
      </c>
      <c r="Q1597" s="77" t="s">
        <v>2312</v>
      </c>
      <c r="R1597" s="77">
        <v>0</v>
      </c>
      <c r="S1597" s="77">
        <v>0</v>
      </c>
      <c r="T1597" s="77">
        <v>1</v>
      </c>
      <c r="U1597" s="77">
        <v>0</v>
      </c>
      <c r="V1597" s="77">
        <v>60</v>
      </c>
      <c r="W1597" s="82" t="s">
        <v>5631</v>
      </c>
      <c r="X1597" s="77"/>
      <c r="Y1597" s="77"/>
      <c r="Z1597" s="77"/>
      <c r="AA1597" s="77" t="s">
        <v>7404</v>
      </c>
      <c r="AB1597" s="77" t="s">
        <v>7742</v>
      </c>
      <c r="AC1597" s="82" t="s">
        <v>7752</v>
      </c>
      <c r="AD1597" s="77" t="s">
        <v>7788</v>
      </c>
      <c r="AE1597" s="80" t="str">
        <f>HYPERLINK("https://twitter.com/oproflucassilva/status/1687940268400558080")</f>
        <v>https://twitter.com/oproflucassilva/status/1687940268400558080</v>
      </c>
      <c r="AF1597" s="79">
        <v>45143.899247685185</v>
      </c>
      <c r="AG1597" s="85">
        <v>45143</v>
      </c>
      <c r="AH1597" s="82" t="s">
        <v>9147</v>
      </c>
      <c r="AI1597" s="77" t="b">
        <v>0</v>
      </c>
      <c r="AJ1597" s="77"/>
      <c r="AK1597" s="77"/>
      <c r="AL1597" s="77"/>
      <c r="AM1597" s="77"/>
      <c r="AN1597" s="77"/>
      <c r="AO1597" s="77"/>
      <c r="AP1597" s="77"/>
      <c r="AQ1597" s="77" t="s">
        <v>11376</v>
      </c>
      <c r="AR1597" s="77"/>
      <c r="AS1597" s="77"/>
      <c r="AT1597" s="77"/>
      <c r="AU1597" s="77"/>
      <c r="AV1597" s="80" t="str">
        <f>HYPERLINK("https://pbs.twimg.com/media/F2zEud-W0AEZnvV.jpg")</f>
        <v>https://pbs.twimg.com/media/F2zEud-W0AEZnvV.jpg</v>
      </c>
      <c r="AW1597" s="82" t="s">
        <v>13204</v>
      </c>
      <c r="AX1597" s="82" t="s">
        <v>13204</v>
      </c>
      <c r="AY1597" s="77"/>
      <c r="AZ1597" s="82" t="s">
        <v>15984</v>
      </c>
      <c r="BA1597" s="82" t="s">
        <v>15984</v>
      </c>
      <c r="BB1597" s="82" t="s">
        <v>15984</v>
      </c>
      <c r="BC1597" s="82" t="s">
        <v>13204</v>
      </c>
      <c r="BD1597" s="82" t="s">
        <v>15971</v>
      </c>
      <c r="BE1597" s="77"/>
      <c r="BF1597" s="77"/>
      <c r="BG1597" s="77"/>
      <c r="BH1597" s="77"/>
      <c r="BI1597" s="77"/>
    </row>
    <row r="1598" spans="1:61" x14ac:dyDescent="0.25">
      <c r="A1598" s="62" t="s">
        <v>651</v>
      </c>
      <c r="B1598" s="62" t="s">
        <v>651</v>
      </c>
      <c r="C1598" s="63"/>
      <c r="D1598" s="64"/>
      <c r="E1598" s="65"/>
      <c r="F1598" s="66"/>
      <c r="G1598" s="63"/>
      <c r="H1598" s="67"/>
      <c r="I1598" s="68"/>
      <c r="J1598" s="68"/>
      <c r="K1598" s="32"/>
      <c r="L1598" s="75">
        <v>1598</v>
      </c>
      <c r="M1598" s="75"/>
      <c r="N1598" s="70"/>
      <c r="O1598" s="77" t="s">
        <v>179</v>
      </c>
      <c r="P1598" s="79">
        <v>45160.559120370373</v>
      </c>
      <c r="Q1598" s="77" t="s">
        <v>2313</v>
      </c>
      <c r="R1598" s="77">
        <v>0</v>
      </c>
      <c r="S1598" s="77">
        <v>1</v>
      </c>
      <c r="T1598" s="77">
        <v>0</v>
      </c>
      <c r="U1598" s="77">
        <v>0</v>
      </c>
      <c r="V1598" s="77">
        <v>55</v>
      </c>
      <c r="W1598" s="82" t="s">
        <v>5632</v>
      </c>
      <c r="X1598" s="77"/>
      <c r="Y1598" s="77"/>
      <c r="Z1598" s="77"/>
      <c r="AA1598" s="77" t="s">
        <v>7405</v>
      </c>
      <c r="AB1598" s="77" t="s">
        <v>7742</v>
      </c>
      <c r="AC1598" s="82" t="s">
        <v>7750</v>
      </c>
      <c r="AD1598" s="77" t="s">
        <v>7788</v>
      </c>
      <c r="AE1598" s="80" t="str">
        <f>HYPERLINK("https://twitter.com/nbnbrasil/status/1693977604917772759")</f>
        <v>https://twitter.com/nbnbrasil/status/1693977604917772759</v>
      </c>
      <c r="AF1598" s="79">
        <v>45160.559120370373</v>
      </c>
      <c r="AG1598" s="85">
        <v>45160</v>
      </c>
      <c r="AH1598" s="82" t="s">
        <v>9148</v>
      </c>
      <c r="AI1598" s="77" t="b">
        <v>0</v>
      </c>
      <c r="AJ1598" s="77"/>
      <c r="AK1598" s="77"/>
      <c r="AL1598" s="77"/>
      <c r="AM1598" s="77"/>
      <c r="AN1598" s="77"/>
      <c r="AO1598" s="77"/>
      <c r="AP1598" s="77"/>
      <c r="AQ1598" s="77" t="s">
        <v>11377</v>
      </c>
      <c r="AR1598" s="77"/>
      <c r="AS1598" s="77"/>
      <c r="AT1598" s="77"/>
      <c r="AU1598" s="77"/>
      <c r="AV1598" s="80" t="str">
        <f>HYPERLINK("https://pbs.twimg.com/media/F4I3J_nWgAAeEQI.png")</f>
        <v>https://pbs.twimg.com/media/F4I3J_nWgAAeEQI.png</v>
      </c>
      <c r="AW1598" s="82" t="s">
        <v>13205</v>
      </c>
      <c r="AX1598" s="82" t="s">
        <v>13205</v>
      </c>
      <c r="AY1598" s="77"/>
      <c r="AZ1598" s="82" t="s">
        <v>15984</v>
      </c>
      <c r="BA1598" s="82" t="s">
        <v>15984</v>
      </c>
      <c r="BB1598" s="82" t="s">
        <v>15984</v>
      </c>
      <c r="BC1598" s="82" t="s">
        <v>13205</v>
      </c>
      <c r="BD1598" s="77">
        <v>540030674</v>
      </c>
      <c r="BE1598" s="77"/>
      <c r="BF1598" s="77"/>
      <c r="BG1598" s="77"/>
      <c r="BH1598" s="77"/>
      <c r="BI1598" s="77"/>
    </row>
    <row r="1599" spans="1:61" x14ac:dyDescent="0.25">
      <c r="A1599" s="62" t="s">
        <v>652</v>
      </c>
      <c r="B1599" s="62" t="s">
        <v>652</v>
      </c>
      <c r="C1599" s="63"/>
      <c r="D1599" s="64"/>
      <c r="E1599" s="65"/>
      <c r="F1599" s="66"/>
      <c r="G1599" s="63"/>
      <c r="H1599" s="67"/>
      <c r="I1599" s="68"/>
      <c r="J1599" s="68"/>
      <c r="K1599" s="32"/>
      <c r="L1599" s="75">
        <v>1599</v>
      </c>
      <c r="M1599" s="75"/>
      <c r="N1599" s="70"/>
      <c r="O1599" s="77" t="s">
        <v>179</v>
      </c>
      <c r="P1599" s="79">
        <v>45125.542349537034</v>
      </c>
      <c r="Q1599" s="77" t="s">
        <v>2314</v>
      </c>
      <c r="R1599" s="77">
        <v>0</v>
      </c>
      <c r="S1599" s="77">
        <v>3</v>
      </c>
      <c r="T1599" s="77">
        <v>0</v>
      </c>
      <c r="U1599" s="77">
        <v>0</v>
      </c>
      <c r="V1599" s="77">
        <v>157</v>
      </c>
      <c r="W1599" s="82" t="s">
        <v>5633</v>
      </c>
      <c r="X1599" s="80" t="str">
        <f>HYPERLINK("https://bit.ly/3PXRF0v")</f>
        <v>https://bit.ly/3PXRF0v</v>
      </c>
      <c r="Y1599" s="77" t="s">
        <v>6468</v>
      </c>
      <c r="Z1599" s="77"/>
      <c r="AA1599" s="77" t="s">
        <v>7406</v>
      </c>
      <c r="AB1599" s="77" t="s">
        <v>7743</v>
      </c>
      <c r="AC1599" s="82" t="s">
        <v>7750</v>
      </c>
      <c r="AD1599" s="77" t="s">
        <v>7788</v>
      </c>
      <c r="AE1599" s="80" t="str">
        <f>HYPERLINK("https://twitter.com/embratel/status/1681287951492284417")</f>
        <v>https://twitter.com/embratel/status/1681287951492284417</v>
      </c>
      <c r="AF1599" s="79">
        <v>45125.542349537034</v>
      </c>
      <c r="AG1599" s="85">
        <v>45125</v>
      </c>
      <c r="AH1599" s="82" t="s">
        <v>9149</v>
      </c>
      <c r="AI1599" s="77" t="b">
        <v>0</v>
      </c>
      <c r="AJ1599" s="77"/>
      <c r="AK1599" s="77"/>
      <c r="AL1599" s="77"/>
      <c r="AM1599" s="77"/>
      <c r="AN1599" s="77"/>
      <c r="AO1599" s="77"/>
      <c r="AP1599" s="77"/>
      <c r="AQ1599" s="77" t="s">
        <v>11378</v>
      </c>
      <c r="AR1599" s="77">
        <v>56473</v>
      </c>
      <c r="AS1599" s="77"/>
      <c r="AT1599" s="77"/>
      <c r="AU1599" s="77"/>
      <c r="AV1599" s="80" t="str">
        <f>HYPERLINK("https://pbs.twimg.com/ext_tw_video_thumb/1681278369126645760/pu/img/K_SdT2higTveRu8t.jpg")</f>
        <v>https://pbs.twimg.com/ext_tw_video_thumb/1681278369126645760/pu/img/K_SdT2higTveRu8t.jpg</v>
      </c>
      <c r="AW1599" s="82" t="s">
        <v>13206</v>
      </c>
      <c r="AX1599" s="82" t="s">
        <v>13206</v>
      </c>
      <c r="AY1599" s="77"/>
      <c r="AZ1599" s="82" t="s">
        <v>15984</v>
      </c>
      <c r="BA1599" s="82" t="s">
        <v>15984</v>
      </c>
      <c r="BB1599" s="82" t="s">
        <v>15984</v>
      </c>
      <c r="BC1599" s="82" t="s">
        <v>13206</v>
      </c>
      <c r="BD1599" s="82" t="s">
        <v>16347</v>
      </c>
      <c r="BE1599" s="77"/>
      <c r="BF1599" s="77"/>
      <c r="BG1599" s="77"/>
      <c r="BH1599" s="77"/>
      <c r="BI1599" s="77"/>
    </row>
    <row r="1600" spans="1:61" x14ac:dyDescent="0.25">
      <c r="A1600" s="62" t="s">
        <v>652</v>
      </c>
      <c r="B1600" s="62" t="s">
        <v>652</v>
      </c>
      <c r="C1600" s="63"/>
      <c r="D1600" s="64"/>
      <c r="E1600" s="65"/>
      <c r="F1600" s="66"/>
      <c r="G1600" s="63"/>
      <c r="H1600" s="67"/>
      <c r="I1600" s="68"/>
      <c r="J1600" s="68"/>
      <c r="K1600" s="32"/>
      <c r="L1600" s="75">
        <v>1600</v>
      </c>
      <c r="M1600" s="75"/>
      <c r="N1600" s="70"/>
      <c r="O1600" s="77" t="s">
        <v>179</v>
      </c>
      <c r="P1600" s="79">
        <v>45118.769618055558</v>
      </c>
      <c r="Q1600" s="77" t="s">
        <v>2315</v>
      </c>
      <c r="R1600" s="77">
        <v>7</v>
      </c>
      <c r="S1600" s="77">
        <v>82</v>
      </c>
      <c r="T1600" s="77">
        <v>3</v>
      </c>
      <c r="U1600" s="77">
        <v>1</v>
      </c>
      <c r="V1600" s="77">
        <v>38821</v>
      </c>
      <c r="W1600" s="82" t="s">
        <v>5634</v>
      </c>
      <c r="X1600" s="80" t="str">
        <f>HYPERLINK("https://bit.ly/3O6HxRA")</f>
        <v>https://bit.ly/3O6HxRA</v>
      </c>
      <c r="Y1600" s="77" t="s">
        <v>6468</v>
      </c>
      <c r="Z1600" s="77"/>
      <c r="AA1600" s="77" t="s">
        <v>7407</v>
      </c>
      <c r="AB1600" s="77" t="s">
        <v>7743</v>
      </c>
      <c r="AC1600" s="82" t="s">
        <v>7750</v>
      </c>
      <c r="AD1600" s="77" t="s">
        <v>7788</v>
      </c>
      <c r="AE1600" s="80" t="str">
        <f>HYPERLINK("https://twitter.com/embratel/status/1678833598944669700")</f>
        <v>https://twitter.com/embratel/status/1678833598944669700</v>
      </c>
      <c r="AF1600" s="79">
        <v>45118.769618055558</v>
      </c>
      <c r="AG1600" s="85">
        <v>45118</v>
      </c>
      <c r="AH1600" s="82" t="s">
        <v>9150</v>
      </c>
      <c r="AI1600" s="77" t="b">
        <v>0</v>
      </c>
      <c r="AJ1600" s="77"/>
      <c r="AK1600" s="77"/>
      <c r="AL1600" s="77"/>
      <c r="AM1600" s="77"/>
      <c r="AN1600" s="77"/>
      <c r="AO1600" s="77"/>
      <c r="AP1600" s="77"/>
      <c r="AQ1600" s="77" t="s">
        <v>11379</v>
      </c>
      <c r="AR1600" s="77">
        <v>57265</v>
      </c>
      <c r="AS1600" s="77"/>
      <c r="AT1600" s="77"/>
      <c r="AU1600" s="77"/>
      <c r="AV1600" s="80" t="str">
        <f>HYPERLINK("https://pbs.twimg.com/ext_tw_video_thumb/1678826552132268052/pu/img/aXezvikLo8lmqznT.jpg")</f>
        <v>https://pbs.twimg.com/ext_tw_video_thumb/1678826552132268052/pu/img/aXezvikLo8lmqznT.jpg</v>
      </c>
      <c r="AW1600" s="82" t="s">
        <v>13207</v>
      </c>
      <c r="AX1600" s="82" t="s">
        <v>13207</v>
      </c>
      <c r="AY1600" s="77"/>
      <c r="AZ1600" s="82" t="s">
        <v>15984</v>
      </c>
      <c r="BA1600" s="82" t="s">
        <v>15984</v>
      </c>
      <c r="BB1600" s="82" t="s">
        <v>15984</v>
      </c>
      <c r="BC1600" s="82" t="s">
        <v>13207</v>
      </c>
      <c r="BD1600" s="82" t="s">
        <v>16347</v>
      </c>
      <c r="BE1600" s="77"/>
      <c r="BF1600" s="77"/>
      <c r="BG1600" s="77"/>
      <c r="BH1600" s="77"/>
      <c r="BI1600" s="77"/>
    </row>
    <row r="1601" spans="1:61" x14ac:dyDescent="0.25">
      <c r="A1601" s="62" t="s">
        <v>652</v>
      </c>
      <c r="B1601" s="62" t="s">
        <v>652</v>
      </c>
      <c r="C1601" s="63"/>
      <c r="D1601" s="64"/>
      <c r="E1601" s="65"/>
      <c r="F1601" s="66"/>
      <c r="G1601" s="63"/>
      <c r="H1601" s="67"/>
      <c r="I1601" s="68"/>
      <c r="J1601" s="68"/>
      <c r="K1601" s="32"/>
      <c r="L1601" s="75">
        <v>1601</v>
      </c>
      <c r="M1601" s="75"/>
      <c r="N1601" s="70"/>
      <c r="O1601" s="77" t="s">
        <v>179</v>
      </c>
      <c r="P1601" s="79">
        <v>45133.741076388891</v>
      </c>
      <c r="Q1601" s="77" t="s">
        <v>2316</v>
      </c>
      <c r="R1601" s="77">
        <v>7</v>
      </c>
      <c r="S1601" s="77">
        <v>87</v>
      </c>
      <c r="T1601" s="77">
        <v>0</v>
      </c>
      <c r="U1601" s="77">
        <v>0</v>
      </c>
      <c r="V1601" s="77">
        <v>77672</v>
      </c>
      <c r="W1601" s="82" t="s">
        <v>5635</v>
      </c>
      <c r="X1601" s="80" t="str">
        <f>HYPERLINK("https://bit.ly/479HsEb")</f>
        <v>https://bit.ly/479HsEb</v>
      </c>
      <c r="Y1601" s="77" t="s">
        <v>6468</v>
      </c>
      <c r="Z1601" s="77"/>
      <c r="AA1601" s="77" t="s">
        <v>7408</v>
      </c>
      <c r="AB1601" s="77" t="s">
        <v>7743</v>
      </c>
      <c r="AC1601" s="82" t="s">
        <v>7750</v>
      </c>
      <c r="AD1601" s="77" t="s">
        <v>7788</v>
      </c>
      <c r="AE1601" s="80" t="str">
        <f>HYPERLINK("https://twitter.com/embratel/status/1684259073993080846")</f>
        <v>https://twitter.com/embratel/status/1684259073993080846</v>
      </c>
      <c r="AF1601" s="79">
        <v>45133.741076388891</v>
      </c>
      <c r="AG1601" s="85">
        <v>45133</v>
      </c>
      <c r="AH1601" s="82" t="s">
        <v>9151</v>
      </c>
      <c r="AI1601" s="77" t="b">
        <v>0</v>
      </c>
      <c r="AJ1601" s="77"/>
      <c r="AK1601" s="77"/>
      <c r="AL1601" s="77"/>
      <c r="AM1601" s="77"/>
      <c r="AN1601" s="77"/>
      <c r="AO1601" s="77"/>
      <c r="AP1601" s="77"/>
      <c r="AQ1601" s="77" t="s">
        <v>11380</v>
      </c>
      <c r="AR1601" s="77">
        <v>60393</v>
      </c>
      <c r="AS1601" s="77"/>
      <c r="AT1601" s="77"/>
      <c r="AU1601" s="77"/>
      <c r="AV1601" s="80" t="str">
        <f>HYPERLINK("https://pbs.twimg.com/ext_tw_video_thumb/1684180077582450689/pu/img/Ta6LwIxxC-EpXQdk.jpg")</f>
        <v>https://pbs.twimg.com/ext_tw_video_thumb/1684180077582450689/pu/img/Ta6LwIxxC-EpXQdk.jpg</v>
      </c>
      <c r="AW1601" s="82" t="s">
        <v>13208</v>
      </c>
      <c r="AX1601" s="82" t="s">
        <v>13208</v>
      </c>
      <c r="AY1601" s="77"/>
      <c r="AZ1601" s="82" t="s">
        <v>15984</v>
      </c>
      <c r="BA1601" s="82" t="s">
        <v>15984</v>
      </c>
      <c r="BB1601" s="82" t="s">
        <v>15984</v>
      </c>
      <c r="BC1601" s="82" t="s">
        <v>13208</v>
      </c>
      <c r="BD1601" s="82" t="s">
        <v>16347</v>
      </c>
      <c r="BE1601" s="77"/>
      <c r="BF1601" s="77"/>
      <c r="BG1601" s="77"/>
      <c r="BH1601" s="77"/>
      <c r="BI1601" s="77"/>
    </row>
    <row r="1602" spans="1:61" x14ac:dyDescent="0.25">
      <c r="A1602" s="62" t="s">
        <v>652</v>
      </c>
      <c r="B1602" s="62" t="s">
        <v>652</v>
      </c>
      <c r="C1602" s="63"/>
      <c r="D1602" s="64"/>
      <c r="E1602" s="65"/>
      <c r="F1602" s="66"/>
      <c r="G1602" s="63"/>
      <c r="H1602" s="67"/>
      <c r="I1602" s="68"/>
      <c r="J1602" s="68"/>
      <c r="K1602" s="32"/>
      <c r="L1602" s="75">
        <v>1602</v>
      </c>
      <c r="M1602" s="75"/>
      <c r="N1602" s="70"/>
      <c r="O1602" s="77" t="s">
        <v>179</v>
      </c>
      <c r="P1602" s="79">
        <v>45131.747164351851</v>
      </c>
      <c r="Q1602" s="77" t="s">
        <v>2317</v>
      </c>
      <c r="R1602" s="77">
        <v>13</v>
      </c>
      <c r="S1602" s="77">
        <v>90</v>
      </c>
      <c r="T1602" s="77">
        <v>0</v>
      </c>
      <c r="U1602" s="77">
        <v>0</v>
      </c>
      <c r="V1602" s="77">
        <v>55971</v>
      </c>
      <c r="W1602" s="82" t="s">
        <v>5636</v>
      </c>
      <c r="X1602" s="80" t="str">
        <f>HYPERLINK("https://bit.ly/43JdYtY")</f>
        <v>https://bit.ly/43JdYtY</v>
      </c>
      <c r="Y1602" s="77" t="s">
        <v>6468</v>
      </c>
      <c r="Z1602" s="77"/>
      <c r="AA1602" s="77" t="s">
        <v>7409</v>
      </c>
      <c r="AB1602" s="77" t="s">
        <v>7743</v>
      </c>
      <c r="AC1602" s="82" t="s">
        <v>7750</v>
      </c>
      <c r="AD1602" s="77" t="s">
        <v>7788</v>
      </c>
      <c r="AE1602" s="80" t="str">
        <f>HYPERLINK("https://twitter.com/embratel/status/1683536502838444036")</f>
        <v>https://twitter.com/embratel/status/1683536502838444036</v>
      </c>
      <c r="AF1602" s="79">
        <v>45131.747164351851</v>
      </c>
      <c r="AG1602" s="85">
        <v>45131</v>
      </c>
      <c r="AH1602" s="82" t="s">
        <v>9152</v>
      </c>
      <c r="AI1602" s="77" t="b">
        <v>0</v>
      </c>
      <c r="AJ1602" s="77"/>
      <c r="AK1602" s="77"/>
      <c r="AL1602" s="77"/>
      <c r="AM1602" s="77"/>
      <c r="AN1602" s="77"/>
      <c r="AO1602" s="77"/>
      <c r="AP1602" s="77"/>
      <c r="AQ1602" s="77" t="s">
        <v>11381</v>
      </c>
      <c r="AR1602" s="77">
        <v>58266</v>
      </c>
      <c r="AS1602" s="77"/>
      <c r="AT1602" s="77"/>
      <c r="AU1602" s="77"/>
      <c r="AV1602" s="80" t="str">
        <f>HYPERLINK("https://pbs.twimg.com/ext_tw_video_thumb/1683532762580484096/pu/img/HZUEpMd1zlWh0QyO.jpg")</f>
        <v>https://pbs.twimg.com/ext_tw_video_thumb/1683532762580484096/pu/img/HZUEpMd1zlWh0QyO.jpg</v>
      </c>
      <c r="AW1602" s="82" t="s">
        <v>13209</v>
      </c>
      <c r="AX1602" s="82" t="s">
        <v>13209</v>
      </c>
      <c r="AY1602" s="77"/>
      <c r="AZ1602" s="82" t="s">
        <v>15984</v>
      </c>
      <c r="BA1602" s="82" t="s">
        <v>15984</v>
      </c>
      <c r="BB1602" s="82" t="s">
        <v>15984</v>
      </c>
      <c r="BC1602" s="82" t="s">
        <v>13209</v>
      </c>
      <c r="BD1602" s="82" t="s">
        <v>16347</v>
      </c>
      <c r="BE1602" s="77"/>
      <c r="BF1602" s="77"/>
      <c r="BG1602" s="77"/>
      <c r="BH1602" s="77"/>
      <c r="BI1602" s="77"/>
    </row>
    <row r="1603" spans="1:61" x14ac:dyDescent="0.25">
      <c r="A1603" s="62" t="s">
        <v>652</v>
      </c>
      <c r="B1603" s="62" t="s">
        <v>652</v>
      </c>
      <c r="C1603" s="63"/>
      <c r="D1603" s="64"/>
      <c r="E1603" s="65"/>
      <c r="F1603" s="66"/>
      <c r="G1603" s="63"/>
      <c r="H1603" s="67"/>
      <c r="I1603" s="68"/>
      <c r="J1603" s="68"/>
      <c r="K1603" s="32"/>
      <c r="L1603" s="75">
        <v>1603</v>
      </c>
      <c r="M1603" s="75"/>
      <c r="N1603" s="70"/>
      <c r="O1603" s="77" t="s">
        <v>179</v>
      </c>
      <c r="P1603" s="79">
        <v>45140.767210648148</v>
      </c>
      <c r="Q1603" s="77" t="s">
        <v>2318</v>
      </c>
      <c r="R1603" s="77">
        <v>0</v>
      </c>
      <c r="S1603" s="77">
        <v>1</v>
      </c>
      <c r="T1603" s="77">
        <v>0</v>
      </c>
      <c r="U1603" s="77">
        <v>0</v>
      </c>
      <c r="V1603" s="77">
        <v>91</v>
      </c>
      <c r="W1603" s="82" t="s">
        <v>5637</v>
      </c>
      <c r="X1603" s="80" t="str">
        <f>HYPERLINK("https://bit.ly/456mO60")</f>
        <v>https://bit.ly/456mO60</v>
      </c>
      <c r="Y1603" s="77" t="s">
        <v>6468</v>
      </c>
      <c r="Z1603" s="77"/>
      <c r="AA1603" s="77" t="s">
        <v>7410</v>
      </c>
      <c r="AB1603" s="77" t="s">
        <v>7743</v>
      </c>
      <c r="AC1603" s="82" t="s">
        <v>7750</v>
      </c>
      <c r="AD1603" s="77" t="s">
        <v>7788</v>
      </c>
      <c r="AE1603" s="80" t="str">
        <f>HYPERLINK("https://twitter.com/embratel/status/1686805259358793734")</f>
        <v>https://twitter.com/embratel/status/1686805259358793734</v>
      </c>
      <c r="AF1603" s="79">
        <v>45140.767210648148</v>
      </c>
      <c r="AG1603" s="85">
        <v>45140</v>
      </c>
      <c r="AH1603" s="82" t="s">
        <v>9153</v>
      </c>
      <c r="AI1603" s="77" t="b">
        <v>0</v>
      </c>
      <c r="AJ1603" s="77"/>
      <c r="AK1603" s="77"/>
      <c r="AL1603" s="77"/>
      <c r="AM1603" s="77"/>
      <c r="AN1603" s="77"/>
      <c r="AO1603" s="77"/>
      <c r="AP1603" s="77"/>
      <c r="AQ1603" s="77" t="s">
        <v>11382</v>
      </c>
      <c r="AR1603" s="77">
        <v>58266</v>
      </c>
      <c r="AS1603" s="77"/>
      <c r="AT1603" s="77"/>
      <c r="AU1603" s="77"/>
      <c r="AV1603" s="80" t="str">
        <f>HYPERLINK("https://pbs.twimg.com/ext_tw_video_thumb/1686801245208539139/pu/img/JVW6-leMyUnnIqds.jpg")</f>
        <v>https://pbs.twimg.com/ext_tw_video_thumb/1686801245208539139/pu/img/JVW6-leMyUnnIqds.jpg</v>
      </c>
      <c r="AW1603" s="82" t="s">
        <v>13210</v>
      </c>
      <c r="AX1603" s="82" t="s">
        <v>13210</v>
      </c>
      <c r="AY1603" s="77"/>
      <c r="AZ1603" s="82" t="s">
        <v>15984</v>
      </c>
      <c r="BA1603" s="82" t="s">
        <v>15984</v>
      </c>
      <c r="BB1603" s="82" t="s">
        <v>15984</v>
      </c>
      <c r="BC1603" s="82" t="s">
        <v>13210</v>
      </c>
      <c r="BD1603" s="82" t="s">
        <v>16347</v>
      </c>
      <c r="BE1603" s="77"/>
      <c r="BF1603" s="77"/>
      <c r="BG1603" s="77"/>
      <c r="BH1603" s="77"/>
      <c r="BI1603" s="77"/>
    </row>
    <row r="1604" spans="1:61" x14ac:dyDescent="0.25">
      <c r="A1604" s="62" t="s">
        <v>652</v>
      </c>
      <c r="B1604" s="62" t="s">
        <v>652</v>
      </c>
      <c r="C1604" s="63"/>
      <c r="D1604" s="64"/>
      <c r="E1604" s="65"/>
      <c r="F1604" s="66"/>
      <c r="G1604" s="63"/>
      <c r="H1604" s="67"/>
      <c r="I1604" s="68"/>
      <c r="J1604" s="68"/>
      <c r="K1604" s="32"/>
      <c r="L1604" s="75">
        <v>1604</v>
      </c>
      <c r="M1604" s="75"/>
      <c r="N1604" s="70"/>
      <c r="O1604" s="77" t="s">
        <v>179</v>
      </c>
      <c r="P1604" s="79">
        <v>45154.558009259257</v>
      </c>
      <c r="Q1604" s="77" t="s">
        <v>2319</v>
      </c>
      <c r="R1604" s="77">
        <v>0</v>
      </c>
      <c r="S1604" s="77">
        <v>2</v>
      </c>
      <c r="T1604" s="77">
        <v>1</v>
      </c>
      <c r="U1604" s="77">
        <v>0</v>
      </c>
      <c r="V1604" s="77">
        <v>120</v>
      </c>
      <c r="W1604" s="82" t="s">
        <v>5638</v>
      </c>
      <c r="X1604" s="80" t="str">
        <f>HYPERLINK("https://bit.ly/3DWsR1J")</f>
        <v>https://bit.ly/3DWsR1J</v>
      </c>
      <c r="Y1604" s="77" t="s">
        <v>6468</v>
      </c>
      <c r="Z1604" s="77"/>
      <c r="AA1604" s="77" t="s">
        <v>7411</v>
      </c>
      <c r="AB1604" s="77" t="s">
        <v>7743</v>
      </c>
      <c r="AC1604" s="82" t="s">
        <v>7750</v>
      </c>
      <c r="AD1604" s="77" t="s">
        <v>7788</v>
      </c>
      <c r="AE1604" s="80" t="str">
        <f>HYPERLINK("https://twitter.com/embratel/status/1691802876551537044")</f>
        <v>https://twitter.com/embratel/status/1691802876551537044</v>
      </c>
      <c r="AF1604" s="79">
        <v>45154.558009259257</v>
      </c>
      <c r="AG1604" s="85">
        <v>45154</v>
      </c>
      <c r="AH1604" s="82" t="s">
        <v>9154</v>
      </c>
      <c r="AI1604" s="77" t="b">
        <v>0</v>
      </c>
      <c r="AJ1604" s="77"/>
      <c r="AK1604" s="77"/>
      <c r="AL1604" s="77"/>
      <c r="AM1604" s="77"/>
      <c r="AN1604" s="77"/>
      <c r="AO1604" s="77"/>
      <c r="AP1604" s="77"/>
      <c r="AQ1604" s="77" t="s">
        <v>11383</v>
      </c>
      <c r="AR1604" s="77">
        <v>58141</v>
      </c>
      <c r="AS1604" s="77"/>
      <c r="AT1604" s="77"/>
      <c r="AU1604" s="77"/>
      <c r="AV1604" s="80" t="str">
        <f>HYPERLINK("https://pbs.twimg.com/ext_tw_video_thumb/1691801737194086401/pu/img/g4gNiNS4K9Rd42wK.jpg")</f>
        <v>https://pbs.twimg.com/ext_tw_video_thumb/1691801737194086401/pu/img/g4gNiNS4K9Rd42wK.jpg</v>
      </c>
      <c r="AW1604" s="82" t="s">
        <v>13211</v>
      </c>
      <c r="AX1604" s="82" t="s">
        <v>13211</v>
      </c>
      <c r="AY1604" s="77"/>
      <c r="AZ1604" s="82" t="s">
        <v>15984</v>
      </c>
      <c r="BA1604" s="82" t="s">
        <v>15984</v>
      </c>
      <c r="BB1604" s="82" t="s">
        <v>15984</v>
      </c>
      <c r="BC1604" s="82" t="s">
        <v>13211</v>
      </c>
      <c r="BD1604" s="82" t="s">
        <v>16347</v>
      </c>
      <c r="BE1604" s="77"/>
      <c r="BF1604" s="77"/>
      <c r="BG1604" s="77"/>
      <c r="BH1604" s="77"/>
      <c r="BI1604" s="77"/>
    </row>
    <row r="1605" spans="1:61" x14ac:dyDescent="0.25">
      <c r="A1605" s="62" t="s">
        <v>653</v>
      </c>
      <c r="B1605" s="62" t="s">
        <v>653</v>
      </c>
      <c r="C1605" s="63"/>
      <c r="D1605" s="64"/>
      <c r="E1605" s="65"/>
      <c r="F1605" s="66"/>
      <c r="G1605" s="63"/>
      <c r="H1605" s="67"/>
      <c r="I1605" s="68"/>
      <c r="J1605" s="68"/>
      <c r="K1605" s="32"/>
      <c r="L1605" s="75">
        <v>1605</v>
      </c>
      <c r="M1605" s="75"/>
      <c r="N1605" s="70"/>
      <c r="O1605" s="77" t="s">
        <v>179</v>
      </c>
      <c r="P1605" s="79">
        <v>45142.943483796298</v>
      </c>
      <c r="Q1605" s="77" t="s">
        <v>2320</v>
      </c>
      <c r="R1605" s="77">
        <v>0</v>
      </c>
      <c r="S1605" s="77">
        <v>0</v>
      </c>
      <c r="T1605" s="77">
        <v>0</v>
      </c>
      <c r="U1605" s="77">
        <v>0</v>
      </c>
      <c r="V1605" s="77">
        <v>136</v>
      </c>
      <c r="W1605" s="82" t="s">
        <v>5639</v>
      </c>
      <c r="X1605" s="77"/>
      <c r="Y1605" s="77"/>
      <c r="Z1605" s="77"/>
      <c r="AA1605" s="77" t="s">
        <v>7412</v>
      </c>
      <c r="AB1605" s="77" t="s">
        <v>7743</v>
      </c>
      <c r="AC1605" s="82" t="s">
        <v>7750</v>
      </c>
      <c r="AD1605" s="77" t="s">
        <v>7790</v>
      </c>
      <c r="AE1605" s="80" t="str">
        <f>HYPERLINK("https://twitter.com/mercuricajujuy/status/1687593911806476288")</f>
        <v>https://twitter.com/mercuricajujuy/status/1687593911806476288</v>
      </c>
      <c r="AF1605" s="79">
        <v>45142.943483796298</v>
      </c>
      <c r="AG1605" s="85">
        <v>45142</v>
      </c>
      <c r="AH1605" s="82" t="s">
        <v>9155</v>
      </c>
      <c r="AI1605" s="77" t="b">
        <v>0</v>
      </c>
      <c r="AJ1605" s="77"/>
      <c r="AK1605" s="77"/>
      <c r="AL1605" s="77"/>
      <c r="AM1605" s="77"/>
      <c r="AN1605" s="77"/>
      <c r="AO1605" s="77"/>
      <c r="AP1605" s="77"/>
      <c r="AQ1605" s="77" t="s">
        <v>11384</v>
      </c>
      <c r="AR1605" s="77">
        <v>66083</v>
      </c>
      <c r="AS1605" s="77"/>
      <c r="AT1605" s="77"/>
      <c r="AU1605" s="77"/>
      <c r="AV1605" s="80" t="str">
        <f>HYPERLINK("https://pbs.twimg.com/ext_tw_video_thumb/1687591056643141633/pu/img/54fcYQ5ZOH4uwGx7.jpg")</f>
        <v>https://pbs.twimg.com/ext_tw_video_thumb/1687591056643141633/pu/img/54fcYQ5ZOH4uwGx7.jpg</v>
      </c>
      <c r="AW1605" s="82" t="s">
        <v>13212</v>
      </c>
      <c r="AX1605" s="82" t="s">
        <v>13212</v>
      </c>
      <c r="AY1605" s="77"/>
      <c r="AZ1605" s="82" t="s">
        <v>15984</v>
      </c>
      <c r="BA1605" s="82" t="s">
        <v>15984</v>
      </c>
      <c r="BB1605" s="82" t="s">
        <v>15984</v>
      </c>
      <c r="BC1605" s="82" t="s">
        <v>13212</v>
      </c>
      <c r="BD1605" s="82" t="s">
        <v>16348</v>
      </c>
      <c r="BE1605" s="77"/>
      <c r="BF1605" s="77"/>
      <c r="BG1605" s="77"/>
      <c r="BH1605" s="77"/>
      <c r="BI1605" s="77"/>
    </row>
    <row r="1606" spans="1:61" x14ac:dyDescent="0.25">
      <c r="A1606" s="62" t="s">
        <v>654</v>
      </c>
      <c r="B1606" s="62" t="s">
        <v>884</v>
      </c>
      <c r="C1606" s="63"/>
      <c r="D1606" s="64"/>
      <c r="E1606" s="65"/>
      <c r="F1606" s="66"/>
      <c r="G1606" s="63"/>
      <c r="H1606" s="67"/>
      <c r="I1606" s="68"/>
      <c r="J1606" s="68"/>
      <c r="K1606" s="32"/>
      <c r="L1606" s="75">
        <v>1606</v>
      </c>
      <c r="M1606" s="75"/>
      <c r="N1606" s="70"/>
      <c r="O1606" s="77" t="s">
        <v>895</v>
      </c>
      <c r="P1606" s="79">
        <v>45155.093634259261</v>
      </c>
      <c r="Q1606" s="77" t="s">
        <v>2321</v>
      </c>
      <c r="R1606" s="77">
        <v>1031</v>
      </c>
      <c r="S1606" s="77">
        <v>5283</v>
      </c>
      <c r="T1606" s="77">
        <v>257</v>
      </c>
      <c r="U1606" s="77">
        <v>66</v>
      </c>
      <c r="V1606" s="77">
        <v>500358</v>
      </c>
      <c r="W1606" s="82" t="s">
        <v>5640</v>
      </c>
      <c r="X1606" s="77"/>
      <c r="Y1606" s="77"/>
      <c r="Z1606" s="77" t="s">
        <v>884</v>
      </c>
      <c r="AA1606" s="77" t="s">
        <v>7413</v>
      </c>
      <c r="AB1606" s="77" t="s">
        <v>7743</v>
      </c>
      <c r="AC1606" s="82" t="s">
        <v>7750</v>
      </c>
      <c r="AD1606" s="77" t="s">
        <v>7790</v>
      </c>
      <c r="AE1606" s="80" t="str">
        <f>HYPERLINK("https://twitter.com/agarra_pala/status/1691996981147599331")</f>
        <v>https://twitter.com/agarra_pala/status/1691996981147599331</v>
      </c>
      <c r="AF1606" s="79">
        <v>45155.093634259261</v>
      </c>
      <c r="AG1606" s="85">
        <v>45155</v>
      </c>
      <c r="AH1606" s="82" t="s">
        <v>9156</v>
      </c>
      <c r="AI1606" s="77" t="b">
        <v>0</v>
      </c>
      <c r="AJ1606" s="77"/>
      <c r="AK1606" s="77"/>
      <c r="AL1606" s="77"/>
      <c r="AM1606" s="77"/>
      <c r="AN1606" s="77"/>
      <c r="AO1606" s="77"/>
      <c r="AP1606" s="77"/>
      <c r="AQ1606" s="77" t="s">
        <v>11385</v>
      </c>
      <c r="AR1606" s="77">
        <v>247720</v>
      </c>
      <c r="AS1606" s="77"/>
      <c r="AT1606" s="77"/>
      <c r="AU1606" s="77"/>
      <c r="AV1606" s="80" t="str">
        <f>HYPERLINK("https://pbs.twimg.com/ext_tw_video_thumb/1691996845814304768/pu/img/VDvWM46ftyy0JVNB.jpg")</f>
        <v>https://pbs.twimg.com/ext_tw_video_thumb/1691996845814304768/pu/img/VDvWM46ftyy0JVNB.jpg</v>
      </c>
      <c r="AW1606" s="82" t="s">
        <v>13213</v>
      </c>
      <c r="AX1606" s="82" t="s">
        <v>13213</v>
      </c>
      <c r="AY1606" s="77"/>
      <c r="AZ1606" s="82" t="s">
        <v>15984</v>
      </c>
      <c r="BA1606" s="82" t="s">
        <v>15984</v>
      </c>
      <c r="BB1606" s="82" t="s">
        <v>15984</v>
      </c>
      <c r="BC1606" s="82" t="s">
        <v>13213</v>
      </c>
      <c r="BD1606" s="82" t="s">
        <v>16349</v>
      </c>
      <c r="BE1606" s="77"/>
      <c r="BF1606" s="77"/>
      <c r="BG1606" s="77"/>
      <c r="BH1606" s="77"/>
      <c r="BI1606" s="77"/>
    </row>
    <row r="1607" spans="1:61" x14ac:dyDescent="0.25">
      <c r="A1607" s="62" t="s">
        <v>655</v>
      </c>
      <c r="B1607" s="62" t="s">
        <v>884</v>
      </c>
      <c r="C1607" s="63"/>
      <c r="D1607" s="64"/>
      <c r="E1607" s="65"/>
      <c r="F1607" s="66"/>
      <c r="G1607" s="63"/>
      <c r="H1607" s="67"/>
      <c r="I1607" s="68"/>
      <c r="J1607" s="68"/>
      <c r="K1607" s="32"/>
      <c r="L1607" s="75">
        <v>1607</v>
      </c>
      <c r="M1607" s="75"/>
      <c r="N1607" s="70"/>
      <c r="O1607" s="77" t="s">
        <v>902</v>
      </c>
      <c r="P1607" s="79">
        <v>45155.347268518519</v>
      </c>
      <c r="Q1607" s="77" t="s">
        <v>2322</v>
      </c>
      <c r="R1607" s="77">
        <v>0</v>
      </c>
      <c r="S1607" s="77">
        <v>1</v>
      </c>
      <c r="T1607" s="77">
        <v>0</v>
      </c>
      <c r="U1607" s="77">
        <v>0</v>
      </c>
      <c r="V1607" s="77">
        <v>40</v>
      </c>
      <c r="W1607" s="82" t="s">
        <v>5641</v>
      </c>
      <c r="X1607" s="77"/>
      <c r="Y1607" s="77"/>
      <c r="Z1607" s="77" t="s">
        <v>884</v>
      </c>
      <c r="AA1607" s="77"/>
      <c r="AB1607" s="77"/>
      <c r="AC1607" s="82" t="s">
        <v>7750</v>
      </c>
      <c r="AD1607" s="77" t="s">
        <v>7790</v>
      </c>
      <c r="AE1607" s="80" t="str">
        <f>HYPERLINK("https://twitter.com/hbcecilia/status/1692088896186728892")</f>
        <v>https://twitter.com/hbcecilia/status/1692088896186728892</v>
      </c>
      <c r="AF1607" s="79">
        <v>45155.347268518519</v>
      </c>
      <c r="AG1607" s="85">
        <v>45155</v>
      </c>
      <c r="AH1607" s="82" t="s">
        <v>9157</v>
      </c>
      <c r="AI1607" s="77"/>
      <c r="AJ1607" s="77"/>
      <c r="AK1607" s="77"/>
      <c r="AL1607" s="77"/>
      <c r="AM1607" s="77"/>
      <c r="AN1607" s="77"/>
      <c r="AO1607" s="77"/>
      <c r="AP1607" s="77"/>
      <c r="AQ1607" s="77"/>
      <c r="AR1607" s="77"/>
      <c r="AS1607" s="77"/>
      <c r="AT1607" s="77"/>
      <c r="AU1607" s="77"/>
      <c r="AV1607" s="80" t="str">
        <f>HYPERLINK("https://pbs.twimg.com/profile_images/1221418139193348097/Z6IhaJQ-_normal.jpg")</f>
        <v>https://pbs.twimg.com/profile_images/1221418139193348097/Z6IhaJQ-_normal.jpg</v>
      </c>
      <c r="AW1607" s="82" t="s">
        <v>13214</v>
      </c>
      <c r="AX1607" s="82" t="s">
        <v>13214</v>
      </c>
      <c r="AY1607" s="77"/>
      <c r="AZ1607" s="82" t="s">
        <v>15984</v>
      </c>
      <c r="BA1607" s="82" t="s">
        <v>13213</v>
      </c>
      <c r="BB1607" s="82" t="s">
        <v>15984</v>
      </c>
      <c r="BC1607" s="82" t="s">
        <v>13213</v>
      </c>
      <c r="BD1607" s="82" t="s">
        <v>16350</v>
      </c>
      <c r="BE1607" s="77"/>
      <c r="BF1607" s="77"/>
      <c r="BG1607" s="77"/>
      <c r="BH1607" s="77"/>
      <c r="BI1607" s="77"/>
    </row>
    <row r="1608" spans="1:61" x14ac:dyDescent="0.25">
      <c r="A1608" s="62" t="s">
        <v>655</v>
      </c>
      <c r="B1608" s="62" t="s">
        <v>654</v>
      </c>
      <c r="C1608" s="63"/>
      <c r="D1608" s="64"/>
      <c r="E1608" s="65"/>
      <c r="F1608" s="66"/>
      <c r="G1608" s="63"/>
      <c r="H1608" s="67"/>
      <c r="I1608" s="68"/>
      <c r="J1608" s="68"/>
      <c r="K1608" s="32"/>
      <c r="L1608" s="75">
        <v>1608</v>
      </c>
      <c r="M1608" s="75"/>
      <c r="N1608" s="70"/>
      <c r="O1608" s="77" t="s">
        <v>896</v>
      </c>
      <c r="P1608" s="79">
        <v>45155.347268518519</v>
      </c>
      <c r="Q1608" s="77" t="s">
        <v>2322</v>
      </c>
      <c r="R1608" s="77">
        <v>0</v>
      </c>
      <c r="S1608" s="77">
        <v>1</v>
      </c>
      <c r="T1608" s="77">
        <v>0</v>
      </c>
      <c r="U1608" s="77">
        <v>0</v>
      </c>
      <c r="V1608" s="77">
        <v>40</v>
      </c>
      <c r="W1608" s="82" t="s">
        <v>5641</v>
      </c>
      <c r="X1608" s="77"/>
      <c r="Y1608" s="77"/>
      <c r="Z1608" s="77" t="s">
        <v>884</v>
      </c>
      <c r="AA1608" s="77"/>
      <c r="AB1608" s="77"/>
      <c r="AC1608" s="82" t="s">
        <v>7750</v>
      </c>
      <c r="AD1608" s="77" t="s">
        <v>7790</v>
      </c>
      <c r="AE1608" s="80" t="str">
        <f>HYPERLINK("https://twitter.com/hbcecilia/status/1692088896186728892")</f>
        <v>https://twitter.com/hbcecilia/status/1692088896186728892</v>
      </c>
      <c r="AF1608" s="79">
        <v>45155.347268518519</v>
      </c>
      <c r="AG1608" s="85">
        <v>45155</v>
      </c>
      <c r="AH1608" s="82" t="s">
        <v>9157</v>
      </c>
      <c r="AI1608" s="77"/>
      <c r="AJ1608" s="77"/>
      <c r="AK1608" s="77"/>
      <c r="AL1608" s="77"/>
      <c r="AM1608" s="77"/>
      <c r="AN1608" s="77"/>
      <c r="AO1608" s="77"/>
      <c r="AP1608" s="77"/>
      <c r="AQ1608" s="77"/>
      <c r="AR1608" s="77"/>
      <c r="AS1608" s="77"/>
      <c r="AT1608" s="77"/>
      <c r="AU1608" s="77"/>
      <c r="AV1608" s="80" t="str">
        <f>HYPERLINK("https://pbs.twimg.com/profile_images/1221418139193348097/Z6IhaJQ-_normal.jpg")</f>
        <v>https://pbs.twimg.com/profile_images/1221418139193348097/Z6IhaJQ-_normal.jpg</v>
      </c>
      <c r="AW1608" s="82" t="s">
        <v>13214</v>
      </c>
      <c r="AX1608" s="82" t="s">
        <v>13214</v>
      </c>
      <c r="AY1608" s="77"/>
      <c r="AZ1608" s="82" t="s">
        <v>15984</v>
      </c>
      <c r="BA1608" s="82" t="s">
        <v>13213</v>
      </c>
      <c r="BB1608" s="82" t="s">
        <v>15984</v>
      </c>
      <c r="BC1608" s="82" t="s">
        <v>13213</v>
      </c>
      <c r="BD1608" s="82" t="s">
        <v>16350</v>
      </c>
      <c r="BE1608" s="77"/>
      <c r="BF1608" s="77"/>
      <c r="BG1608" s="77"/>
      <c r="BH1608" s="77"/>
      <c r="BI1608" s="77"/>
    </row>
    <row r="1609" spans="1:61" x14ac:dyDescent="0.25">
      <c r="A1609" s="62" t="s">
        <v>656</v>
      </c>
      <c r="B1609" s="62" t="s">
        <v>656</v>
      </c>
      <c r="C1609" s="63"/>
      <c r="D1609" s="64"/>
      <c r="E1609" s="65"/>
      <c r="F1609" s="66"/>
      <c r="G1609" s="63"/>
      <c r="H1609" s="67"/>
      <c r="I1609" s="68"/>
      <c r="J1609" s="68"/>
      <c r="K1609" s="32"/>
      <c r="L1609" s="75">
        <v>1609</v>
      </c>
      <c r="M1609" s="75"/>
      <c r="N1609" s="70"/>
      <c r="O1609" s="77" t="s">
        <v>898</v>
      </c>
      <c r="P1609" s="79">
        <v>45157.750787037039</v>
      </c>
      <c r="Q1609" s="77" t="s">
        <v>2323</v>
      </c>
      <c r="R1609" s="77">
        <v>0</v>
      </c>
      <c r="S1609" s="77">
        <v>0</v>
      </c>
      <c r="T1609" s="77">
        <v>0</v>
      </c>
      <c r="U1609" s="77">
        <v>0</v>
      </c>
      <c r="V1609" s="77">
        <v>23</v>
      </c>
      <c r="W1609" s="82" t="s">
        <v>5642</v>
      </c>
      <c r="X1609" s="77"/>
      <c r="Y1609" s="77"/>
      <c r="Z1609" s="77"/>
      <c r="AA1609" s="77"/>
      <c r="AB1609" s="77"/>
      <c r="AC1609" s="82" t="s">
        <v>7751</v>
      </c>
      <c r="AD1609" s="77" t="s">
        <v>7796</v>
      </c>
      <c r="AE1609" s="80" t="str">
        <f>HYPERLINK("https://twitter.com/valdemarplaneja/status/1692959901025226820")</f>
        <v>https://twitter.com/valdemarplaneja/status/1692959901025226820</v>
      </c>
      <c r="AF1609" s="79">
        <v>45157.750787037039</v>
      </c>
      <c r="AG1609" s="85">
        <v>45157</v>
      </c>
      <c r="AH1609" s="82" t="s">
        <v>9158</v>
      </c>
      <c r="AI1609" s="77"/>
      <c r="AJ1609" s="77"/>
      <c r="AK1609" s="77"/>
      <c r="AL1609" s="77"/>
      <c r="AM1609" s="77"/>
      <c r="AN1609" s="77"/>
      <c r="AO1609" s="77"/>
      <c r="AP1609" s="77"/>
      <c r="AQ1609" s="77"/>
      <c r="AR1609" s="77"/>
      <c r="AS1609" s="77"/>
      <c r="AT1609" s="77"/>
      <c r="AU1609" s="77"/>
      <c r="AV1609" s="80" t="str">
        <f>HYPERLINK("https://pbs.twimg.com/profile_images/1599851167131045897/oiUXHM-7_normal.jpg")</f>
        <v>https://pbs.twimg.com/profile_images/1599851167131045897/oiUXHM-7_normal.jpg</v>
      </c>
      <c r="AW1609" s="82" t="s">
        <v>13215</v>
      </c>
      <c r="AX1609" s="82" t="s">
        <v>15879</v>
      </c>
      <c r="AY1609" s="82" t="s">
        <v>15972</v>
      </c>
      <c r="AZ1609" s="82" t="s">
        <v>15879</v>
      </c>
      <c r="BA1609" s="82" t="s">
        <v>15984</v>
      </c>
      <c r="BB1609" s="82" t="s">
        <v>15984</v>
      </c>
      <c r="BC1609" s="82" t="s">
        <v>15879</v>
      </c>
      <c r="BD1609" s="82" t="s">
        <v>15972</v>
      </c>
      <c r="BE1609" s="77"/>
      <c r="BF1609" s="77"/>
      <c r="BG1609" s="77"/>
      <c r="BH1609" s="77"/>
      <c r="BI1609" s="77"/>
    </row>
    <row r="1610" spans="1:61" x14ac:dyDescent="0.25">
      <c r="A1610" s="62" t="s">
        <v>656</v>
      </c>
      <c r="B1610" s="62" t="s">
        <v>656</v>
      </c>
      <c r="C1610" s="63"/>
      <c r="D1610" s="64"/>
      <c r="E1610" s="65"/>
      <c r="F1610" s="66"/>
      <c r="G1610" s="63"/>
      <c r="H1610" s="67"/>
      <c r="I1610" s="68"/>
      <c r="J1610" s="68"/>
      <c r="K1610" s="32"/>
      <c r="L1610" s="75">
        <v>1610</v>
      </c>
      <c r="M1610" s="75"/>
      <c r="N1610" s="70"/>
      <c r="O1610" s="77" t="s">
        <v>898</v>
      </c>
      <c r="P1610" s="79">
        <v>45157.045439814814</v>
      </c>
      <c r="Q1610" s="77" t="s">
        <v>2324</v>
      </c>
      <c r="R1610" s="77">
        <v>0</v>
      </c>
      <c r="S1610" s="77">
        <v>0</v>
      </c>
      <c r="T1610" s="77">
        <v>0</v>
      </c>
      <c r="U1610" s="77">
        <v>0</v>
      </c>
      <c r="V1610" s="77">
        <v>18</v>
      </c>
      <c r="W1610" s="82" t="s">
        <v>5643</v>
      </c>
      <c r="X1610" s="77"/>
      <c r="Y1610" s="77"/>
      <c r="Z1610" s="77"/>
      <c r="AA1610" s="77"/>
      <c r="AB1610" s="77"/>
      <c r="AC1610" s="82" t="s">
        <v>7751</v>
      </c>
      <c r="AD1610" s="77" t="s">
        <v>7796</v>
      </c>
      <c r="AE1610" s="80" t="str">
        <f>HYPERLINK("https://twitter.com/valdemarplaneja/status/1692704289871822955")</f>
        <v>https://twitter.com/valdemarplaneja/status/1692704289871822955</v>
      </c>
      <c r="AF1610" s="79">
        <v>45157.045439814814</v>
      </c>
      <c r="AG1610" s="85">
        <v>45157</v>
      </c>
      <c r="AH1610" s="82" t="s">
        <v>9159</v>
      </c>
      <c r="AI1610" s="77"/>
      <c r="AJ1610" s="77"/>
      <c r="AK1610" s="77"/>
      <c r="AL1610" s="77"/>
      <c r="AM1610" s="77"/>
      <c r="AN1610" s="77"/>
      <c r="AO1610" s="77"/>
      <c r="AP1610" s="77"/>
      <c r="AQ1610" s="77"/>
      <c r="AR1610" s="77"/>
      <c r="AS1610" s="77"/>
      <c r="AT1610" s="77"/>
      <c r="AU1610" s="77"/>
      <c r="AV1610" s="80" t="str">
        <f>HYPERLINK("https://pbs.twimg.com/profile_images/1599851167131045897/oiUXHM-7_normal.jpg")</f>
        <v>https://pbs.twimg.com/profile_images/1599851167131045897/oiUXHM-7_normal.jpg</v>
      </c>
      <c r="AW1610" s="82" t="s">
        <v>13216</v>
      </c>
      <c r="AX1610" s="82" t="s">
        <v>15880</v>
      </c>
      <c r="AY1610" s="82" t="s">
        <v>15972</v>
      </c>
      <c r="AZ1610" s="82" t="s">
        <v>15880</v>
      </c>
      <c r="BA1610" s="82" t="s">
        <v>15984</v>
      </c>
      <c r="BB1610" s="82" t="s">
        <v>15984</v>
      </c>
      <c r="BC1610" s="82" t="s">
        <v>15880</v>
      </c>
      <c r="BD1610" s="82" t="s">
        <v>15972</v>
      </c>
      <c r="BE1610" s="77"/>
      <c r="BF1610" s="77"/>
      <c r="BG1610" s="77"/>
      <c r="BH1610" s="77"/>
      <c r="BI1610" s="77"/>
    </row>
    <row r="1611" spans="1:61" x14ac:dyDescent="0.25">
      <c r="A1611" s="62" t="s">
        <v>656</v>
      </c>
      <c r="B1611" s="62" t="s">
        <v>656</v>
      </c>
      <c r="C1611" s="63"/>
      <c r="D1611" s="64"/>
      <c r="E1611" s="65"/>
      <c r="F1611" s="66"/>
      <c r="G1611" s="63"/>
      <c r="H1611" s="67"/>
      <c r="I1611" s="68"/>
      <c r="J1611" s="68"/>
      <c r="K1611" s="32"/>
      <c r="L1611" s="75">
        <v>1611</v>
      </c>
      <c r="M1611" s="75"/>
      <c r="N1611" s="70"/>
      <c r="O1611" s="77" t="s">
        <v>898</v>
      </c>
      <c r="P1611" s="79">
        <v>45160.064282407409</v>
      </c>
      <c r="Q1611" s="77" t="s">
        <v>2325</v>
      </c>
      <c r="R1611" s="77">
        <v>0</v>
      </c>
      <c r="S1611" s="77">
        <v>0</v>
      </c>
      <c r="T1611" s="77">
        <v>0</v>
      </c>
      <c r="U1611" s="77">
        <v>0</v>
      </c>
      <c r="V1611" s="77">
        <v>23</v>
      </c>
      <c r="W1611" s="82" t="s">
        <v>5644</v>
      </c>
      <c r="X1611" s="77"/>
      <c r="Y1611" s="77"/>
      <c r="Z1611" s="77"/>
      <c r="AA1611" s="77"/>
      <c r="AB1611" s="77"/>
      <c r="AC1611" s="82" t="s">
        <v>7751</v>
      </c>
      <c r="AD1611" s="77" t="s">
        <v>7796</v>
      </c>
      <c r="AE1611" s="80" t="str">
        <f>HYPERLINK("https://twitter.com/valdemarplaneja/status/1693798282017812984")</f>
        <v>https://twitter.com/valdemarplaneja/status/1693798282017812984</v>
      </c>
      <c r="AF1611" s="79">
        <v>45160.064282407409</v>
      </c>
      <c r="AG1611" s="85">
        <v>45160</v>
      </c>
      <c r="AH1611" s="82" t="s">
        <v>9160</v>
      </c>
      <c r="AI1611" s="77"/>
      <c r="AJ1611" s="77"/>
      <c r="AK1611" s="77"/>
      <c r="AL1611" s="77"/>
      <c r="AM1611" s="77"/>
      <c r="AN1611" s="77"/>
      <c r="AO1611" s="77"/>
      <c r="AP1611" s="77"/>
      <c r="AQ1611" s="77"/>
      <c r="AR1611" s="77"/>
      <c r="AS1611" s="77"/>
      <c r="AT1611" s="77"/>
      <c r="AU1611" s="77"/>
      <c r="AV1611" s="80" t="str">
        <f>HYPERLINK("https://pbs.twimg.com/profile_images/1599851167131045897/oiUXHM-7_normal.jpg")</f>
        <v>https://pbs.twimg.com/profile_images/1599851167131045897/oiUXHM-7_normal.jpg</v>
      </c>
      <c r="AW1611" s="82" t="s">
        <v>13217</v>
      </c>
      <c r="AX1611" s="82" t="s">
        <v>15881</v>
      </c>
      <c r="AY1611" s="82" t="s">
        <v>15972</v>
      </c>
      <c r="AZ1611" s="82" t="s">
        <v>15881</v>
      </c>
      <c r="BA1611" s="82" t="s">
        <v>15984</v>
      </c>
      <c r="BB1611" s="82" t="s">
        <v>15984</v>
      </c>
      <c r="BC1611" s="82" t="s">
        <v>15881</v>
      </c>
      <c r="BD1611" s="82" t="s">
        <v>15972</v>
      </c>
      <c r="BE1611" s="77"/>
      <c r="BF1611" s="77"/>
      <c r="BG1611" s="77"/>
      <c r="BH1611" s="77"/>
      <c r="BI1611" s="77"/>
    </row>
    <row r="1612" spans="1:61" x14ac:dyDescent="0.25">
      <c r="A1612" s="62" t="s">
        <v>657</v>
      </c>
      <c r="B1612" s="62" t="s">
        <v>657</v>
      </c>
      <c r="C1612" s="63"/>
      <c r="D1612" s="64"/>
      <c r="E1612" s="65"/>
      <c r="F1612" s="66"/>
      <c r="G1612" s="63"/>
      <c r="H1612" s="67"/>
      <c r="I1612" s="68"/>
      <c r="J1612" s="68"/>
      <c r="K1612" s="32"/>
      <c r="L1612" s="75">
        <v>1612</v>
      </c>
      <c r="M1612" s="75"/>
      <c r="N1612" s="70"/>
      <c r="O1612" s="77" t="s">
        <v>179</v>
      </c>
      <c r="P1612" s="79">
        <v>45120.915196759262</v>
      </c>
      <c r="Q1612" s="77" t="s">
        <v>2326</v>
      </c>
      <c r="R1612" s="77">
        <v>0</v>
      </c>
      <c r="S1612" s="77">
        <v>0</v>
      </c>
      <c r="T1612" s="77">
        <v>1</v>
      </c>
      <c r="U1612" s="77">
        <v>0</v>
      </c>
      <c r="V1612" s="77">
        <v>51</v>
      </c>
      <c r="W1612" s="82" t="s">
        <v>5645</v>
      </c>
      <c r="X1612" s="80" t="str">
        <f>HYPERLINK("https://youtube.com/shorts/ncRYyHUHSpg?feature=share")</f>
        <v>https://youtube.com/shorts/ncRYyHUHSpg?feature=share</v>
      </c>
      <c r="Y1612" s="77" t="s">
        <v>6480</v>
      </c>
      <c r="Z1612" s="77"/>
      <c r="AA1612" s="77"/>
      <c r="AB1612" s="77"/>
      <c r="AC1612" s="82" t="s">
        <v>7750</v>
      </c>
      <c r="AD1612" s="77" t="s">
        <v>7790</v>
      </c>
      <c r="AE1612" s="80" t="str">
        <f>HYPERLINK("https://twitter.com/bilingualinvest/status/1679611127221633026")</f>
        <v>https://twitter.com/bilingualinvest/status/1679611127221633026</v>
      </c>
      <c r="AF1612" s="79">
        <v>45120.915196759262</v>
      </c>
      <c r="AG1612" s="85">
        <v>45120</v>
      </c>
      <c r="AH1612" s="82" t="s">
        <v>9161</v>
      </c>
      <c r="AI1612" s="77" t="b">
        <v>0</v>
      </c>
      <c r="AJ1612" s="77"/>
      <c r="AK1612" s="77"/>
      <c r="AL1612" s="77"/>
      <c r="AM1612" s="77"/>
      <c r="AN1612" s="77"/>
      <c r="AO1612" s="77"/>
      <c r="AP1612" s="77"/>
      <c r="AQ1612" s="77"/>
      <c r="AR1612" s="77"/>
      <c r="AS1612" s="77"/>
      <c r="AT1612" s="77"/>
      <c r="AU1612" s="77"/>
      <c r="AV1612" s="80" t="str">
        <f>HYPERLINK("https://pbs.twimg.com/profile_images/1553964873343696896/5U19S4mW_normal.jpg")</f>
        <v>https://pbs.twimg.com/profile_images/1553964873343696896/5U19S4mW_normal.jpg</v>
      </c>
      <c r="AW1612" s="82" t="s">
        <v>13218</v>
      </c>
      <c r="AX1612" s="82" t="s">
        <v>13218</v>
      </c>
      <c r="AY1612" s="77"/>
      <c r="AZ1612" s="82" t="s">
        <v>15984</v>
      </c>
      <c r="BA1612" s="82" t="s">
        <v>15984</v>
      </c>
      <c r="BB1612" s="82" t="s">
        <v>15984</v>
      </c>
      <c r="BC1612" s="82" t="s">
        <v>13218</v>
      </c>
      <c r="BD1612" s="82" t="s">
        <v>16351</v>
      </c>
      <c r="BE1612" s="77"/>
      <c r="BF1612" s="77"/>
      <c r="BG1612" s="77"/>
      <c r="BH1612" s="77"/>
      <c r="BI1612" s="77"/>
    </row>
    <row r="1613" spans="1:61" x14ac:dyDescent="0.25">
      <c r="A1613" s="62" t="s">
        <v>657</v>
      </c>
      <c r="B1613" s="62" t="s">
        <v>657</v>
      </c>
      <c r="C1613" s="63"/>
      <c r="D1613" s="64"/>
      <c r="E1613" s="65"/>
      <c r="F1613" s="66"/>
      <c r="G1613" s="63"/>
      <c r="H1613" s="67"/>
      <c r="I1613" s="68"/>
      <c r="J1613" s="68"/>
      <c r="K1613" s="32"/>
      <c r="L1613" s="75">
        <v>1613</v>
      </c>
      <c r="M1613" s="75"/>
      <c r="N1613" s="70"/>
      <c r="O1613" s="77" t="s">
        <v>179</v>
      </c>
      <c r="P1613" s="79">
        <v>45120.914988425924</v>
      </c>
      <c r="Q1613" s="77" t="s">
        <v>2327</v>
      </c>
      <c r="R1613" s="77">
        <v>0</v>
      </c>
      <c r="S1613" s="77">
        <v>0</v>
      </c>
      <c r="T1613" s="77">
        <v>1</v>
      </c>
      <c r="U1613" s="77">
        <v>0</v>
      </c>
      <c r="V1613" s="77">
        <v>27</v>
      </c>
      <c r="W1613" s="82" t="s">
        <v>5646</v>
      </c>
      <c r="X1613" s="80" t="str">
        <f>HYPERLINK("https://youtube.com/shorts/-zxRGFL25Qs?feature=share")</f>
        <v>https://youtube.com/shorts/-zxRGFL25Qs?feature=share</v>
      </c>
      <c r="Y1613" s="77" t="s">
        <v>6480</v>
      </c>
      <c r="Z1613" s="77"/>
      <c r="AA1613" s="77"/>
      <c r="AB1613" s="77"/>
      <c r="AC1613" s="82" t="s">
        <v>7750</v>
      </c>
      <c r="AD1613" s="77" t="s">
        <v>7790</v>
      </c>
      <c r="AE1613" s="80" t="str">
        <f>HYPERLINK("https://twitter.com/bilingualinvest/status/1679611051799609351")</f>
        <v>https://twitter.com/bilingualinvest/status/1679611051799609351</v>
      </c>
      <c r="AF1613" s="79">
        <v>45120.914988425924</v>
      </c>
      <c r="AG1613" s="85">
        <v>45120</v>
      </c>
      <c r="AH1613" s="82" t="s">
        <v>9162</v>
      </c>
      <c r="AI1613" s="77" t="b">
        <v>0</v>
      </c>
      <c r="AJ1613" s="77"/>
      <c r="AK1613" s="77"/>
      <c r="AL1613" s="77"/>
      <c r="AM1613" s="77"/>
      <c r="AN1613" s="77"/>
      <c r="AO1613" s="77"/>
      <c r="AP1613" s="77"/>
      <c r="AQ1613" s="77"/>
      <c r="AR1613" s="77"/>
      <c r="AS1613" s="77"/>
      <c r="AT1613" s="77"/>
      <c r="AU1613" s="77"/>
      <c r="AV1613" s="80" t="str">
        <f>HYPERLINK("https://pbs.twimg.com/profile_images/1553964873343696896/5U19S4mW_normal.jpg")</f>
        <v>https://pbs.twimg.com/profile_images/1553964873343696896/5U19S4mW_normal.jpg</v>
      </c>
      <c r="AW1613" s="82" t="s">
        <v>13219</v>
      </c>
      <c r="AX1613" s="82" t="s">
        <v>13219</v>
      </c>
      <c r="AY1613" s="77"/>
      <c r="AZ1613" s="82" t="s">
        <v>15984</v>
      </c>
      <c r="BA1613" s="82" t="s">
        <v>15984</v>
      </c>
      <c r="BB1613" s="82" t="s">
        <v>15984</v>
      </c>
      <c r="BC1613" s="82" t="s">
        <v>13219</v>
      </c>
      <c r="BD1613" s="82" t="s">
        <v>16351</v>
      </c>
      <c r="BE1613" s="77"/>
      <c r="BF1613" s="77"/>
      <c r="BG1613" s="77"/>
      <c r="BH1613" s="77"/>
      <c r="BI1613" s="77"/>
    </row>
    <row r="1614" spans="1:61" x14ac:dyDescent="0.25">
      <c r="A1614" s="62" t="s">
        <v>657</v>
      </c>
      <c r="B1614" s="62" t="s">
        <v>657</v>
      </c>
      <c r="C1614" s="63"/>
      <c r="D1614" s="64"/>
      <c r="E1614" s="65"/>
      <c r="F1614" s="66"/>
      <c r="G1614" s="63"/>
      <c r="H1614" s="67"/>
      <c r="I1614" s="68"/>
      <c r="J1614" s="68"/>
      <c r="K1614" s="32"/>
      <c r="L1614" s="75">
        <v>1614</v>
      </c>
      <c r="M1614" s="75"/>
      <c r="N1614" s="70"/>
      <c r="O1614" s="77" t="s">
        <v>179</v>
      </c>
      <c r="P1614" s="79">
        <v>45120.914756944447</v>
      </c>
      <c r="Q1614" s="77" t="s">
        <v>2328</v>
      </c>
      <c r="R1614" s="77">
        <v>0</v>
      </c>
      <c r="S1614" s="77">
        <v>0</v>
      </c>
      <c r="T1614" s="77">
        <v>0</v>
      </c>
      <c r="U1614" s="77">
        <v>0</v>
      </c>
      <c r="V1614" s="77">
        <v>101</v>
      </c>
      <c r="W1614" s="82" t="s">
        <v>5647</v>
      </c>
      <c r="X1614" s="80" t="str">
        <f>HYPERLINK("https://youtube.com/shorts/SzGEZEtlS5c?feature=share")</f>
        <v>https://youtube.com/shorts/SzGEZEtlS5c?feature=share</v>
      </c>
      <c r="Y1614" s="77" t="s">
        <v>6480</v>
      </c>
      <c r="Z1614" s="77"/>
      <c r="AA1614" s="77"/>
      <c r="AB1614" s="77"/>
      <c r="AC1614" s="82" t="s">
        <v>7750</v>
      </c>
      <c r="AD1614" s="77" t="s">
        <v>7790</v>
      </c>
      <c r="AE1614" s="80" t="str">
        <f>HYPERLINK("https://twitter.com/bilingualinvest/status/1679610968580542465")</f>
        <v>https://twitter.com/bilingualinvest/status/1679610968580542465</v>
      </c>
      <c r="AF1614" s="79">
        <v>45120.914756944447</v>
      </c>
      <c r="AG1614" s="85">
        <v>45120</v>
      </c>
      <c r="AH1614" s="82" t="s">
        <v>9163</v>
      </c>
      <c r="AI1614" s="77" t="b">
        <v>0</v>
      </c>
      <c r="AJ1614" s="77"/>
      <c r="AK1614" s="77"/>
      <c r="AL1614" s="77"/>
      <c r="AM1614" s="77"/>
      <c r="AN1614" s="77"/>
      <c r="AO1614" s="77"/>
      <c r="AP1614" s="77"/>
      <c r="AQ1614" s="77"/>
      <c r="AR1614" s="77"/>
      <c r="AS1614" s="77"/>
      <c r="AT1614" s="77"/>
      <c r="AU1614" s="77"/>
      <c r="AV1614" s="80" t="str">
        <f>HYPERLINK("https://pbs.twimg.com/profile_images/1553964873343696896/5U19S4mW_normal.jpg")</f>
        <v>https://pbs.twimg.com/profile_images/1553964873343696896/5U19S4mW_normal.jpg</v>
      </c>
      <c r="AW1614" s="82" t="s">
        <v>13220</v>
      </c>
      <c r="AX1614" s="82" t="s">
        <v>13220</v>
      </c>
      <c r="AY1614" s="77"/>
      <c r="AZ1614" s="82" t="s">
        <v>15984</v>
      </c>
      <c r="BA1614" s="82" t="s">
        <v>15984</v>
      </c>
      <c r="BB1614" s="82" t="s">
        <v>15984</v>
      </c>
      <c r="BC1614" s="82" t="s">
        <v>13220</v>
      </c>
      <c r="BD1614" s="82" t="s">
        <v>16351</v>
      </c>
      <c r="BE1614" s="77"/>
      <c r="BF1614" s="77"/>
      <c r="BG1614" s="77"/>
      <c r="BH1614" s="77"/>
      <c r="BI1614" s="77"/>
    </row>
    <row r="1615" spans="1:61" x14ac:dyDescent="0.25">
      <c r="A1615" s="62" t="s">
        <v>657</v>
      </c>
      <c r="B1615" s="62" t="s">
        <v>657</v>
      </c>
      <c r="C1615" s="63"/>
      <c r="D1615" s="64"/>
      <c r="E1615" s="65"/>
      <c r="F1615" s="66"/>
      <c r="G1615" s="63"/>
      <c r="H1615" s="67"/>
      <c r="I1615" s="68"/>
      <c r="J1615" s="68"/>
      <c r="K1615" s="32"/>
      <c r="L1615" s="75">
        <v>1615</v>
      </c>
      <c r="M1615" s="75"/>
      <c r="N1615" s="70"/>
      <c r="O1615" s="77" t="s">
        <v>179</v>
      </c>
      <c r="P1615" s="79">
        <v>45127.860844907409</v>
      </c>
      <c r="Q1615" s="77" t="s">
        <v>2329</v>
      </c>
      <c r="R1615" s="77">
        <v>0</v>
      </c>
      <c r="S1615" s="77">
        <v>3</v>
      </c>
      <c r="T1615" s="77">
        <v>2</v>
      </c>
      <c r="U1615" s="77">
        <v>0</v>
      </c>
      <c r="V1615" s="77">
        <v>55</v>
      </c>
      <c r="W1615" s="82" t="s">
        <v>5646</v>
      </c>
      <c r="X1615" s="80" t="str">
        <f>HYPERLINK("https://youtube.com/shorts/yubocUr477M?feature=share")</f>
        <v>https://youtube.com/shorts/yubocUr477M?feature=share</v>
      </c>
      <c r="Y1615" s="77" t="s">
        <v>6480</v>
      </c>
      <c r="Z1615" s="77"/>
      <c r="AA1615" s="77"/>
      <c r="AB1615" s="77"/>
      <c r="AC1615" s="82" t="s">
        <v>7750</v>
      </c>
      <c r="AD1615" s="77" t="s">
        <v>7790</v>
      </c>
      <c r="AE1615" s="80" t="str">
        <f>HYPERLINK("https://twitter.com/bilingualinvest/status/1682128147876020225")</f>
        <v>https://twitter.com/bilingualinvest/status/1682128147876020225</v>
      </c>
      <c r="AF1615" s="79">
        <v>45127.860844907409</v>
      </c>
      <c r="AG1615" s="85">
        <v>45127</v>
      </c>
      <c r="AH1615" s="82" t="s">
        <v>9164</v>
      </c>
      <c r="AI1615" s="77" t="b">
        <v>0</v>
      </c>
      <c r="AJ1615" s="77"/>
      <c r="AK1615" s="77"/>
      <c r="AL1615" s="77"/>
      <c r="AM1615" s="77"/>
      <c r="AN1615" s="77"/>
      <c r="AO1615" s="77"/>
      <c r="AP1615" s="77"/>
      <c r="AQ1615" s="77"/>
      <c r="AR1615" s="77"/>
      <c r="AS1615" s="77"/>
      <c r="AT1615" s="77"/>
      <c r="AU1615" s="77"/>
      <c r="AV1615" s="80" t="str">
        <f>HYPERLINK("https://pbs.twimg.com/profile_images/1553964873343696896/5U19S4mW_normal.jpg")</f>
        <v>https://pbs.twimg.com/profile_images/1553964873343696896/5U19S4mW_normal.jpg</v>
      </c>
      <c r="AW1615" s="82" t="s">
        <v>13221</v>
      </c>
      <c r="AX1615" s="82" t="s">
        <v>13221</v>
      </c>
      <c r="AY1615" s="77"/>
      <c r="AZ1615" s="82" t="s">
        <v>15984</v>
      </c>
      <c r="BA1615" s="82" t="s">
        <v>15984</v>
      </c>
      <c r="BB1615" s="82" t="s">
        <v>15984</v>
      </c>
      <c r="BC1615" s="82" t="s">
        <v>13221</v>
      </c>
      <c r="BD1615" s="82" t="s">
        <v>16351</v>
      </c>
      <c r="BE1615" s="77"/>
      <c r="BF1615" s="77"/>
      <c r="BG1615" s="77"/>
      <c r="BH1615" s="77"/>
      <c r="BI1615" s="77"/>
    </row>
    <row r="1616" spans="1:61" x14ac:dyDescent="0.25">
      <c r="A1616" s="62" t="s">
        <v>657</v>
      </c>
      <c r="B1616" s="62" t="s">
        <v>657</v>
      </c>
      <c r="C1616" s="63"/>
      <c r="D1616" s="64"/>
      <c r="E1616" s="65"/>
      <c r="F1616" s="66"/>
      <c r="G1616" s="63"/>
      <c r="H1616" s="67"/>
      <c r="I1616" s="68"/>
      <c r="J1616" s="68"/>
      <c r="K1616" s="32"/>
      <c r="L1616" s="75">
        <v>1616</v>
      </c>
      <c r="M1616" s="75"/>
      <c r="N1616" s="70"/>
      <c r="O1616" s="77" t="s">
        <v>179</v>
      </c>
      <c r="P1616" s="79">
        <v>45135.867986111109</v>
      </c>
      <c r="Q1616" s="77" t="s">
        <v>2330</v>
      </c>
      <c r="R1616" s="77">
        <v>0</v>
      </c>
      <c r="S1616" s="77">
        <v>2</v>
      </c>
      <c r="T1616" s="77">
        <v>3</v>
      </c>
      <c r="U1616" s="77">
        <v>0</v>
      </c>
      <c r="V1616" s="77">
        <v>42</v>
      </c>
      <c r="W1616" s="82" t="s">
        <v>5646</v>
      </c>
      <c r="X1616" s="80" t="str">
        <f>HYPERLINK("https://youtube.com/shorts/3D97YsuTWgs?feature=share")</f>
        <v>https://youtube.com/shorts/3D97YsuTWgs?feature=share</v>
      </c>
      <c r="Y1616" s="77" t="s">
        <v>6480</v>
      </c>
      <c r="Z1616" s="77"/>
      <c r="AA1616" s="77"/>
      <c r="AB1616" s="77"/>
      <c r="AC1616" s="82" t="s">
        <v>7750</v>
      </c>
      <c r="AD1616" s="77" t="s">
        <v>7790</v>
      </c>
      <c r="AE1616" s="80" t="str">
        <f>HYPERLINK("https://twitter.com/bilingualinvest/status/1685029838850080768")</f>
        <v>https://twitter.com/bilingualinvest/status/1685029838850080768</v>
      </c>
      <c r="AF1616" s="79">
        <v>45135.867986111109</v>
      </c>
      <c r="AG1616" s="85">
        <v>45135</v>
      </c>
      <c r="AH1616" s="82" t="s">
        <v>9165</v>
      </c>
      <c r="AI1616" s="77" t="b">
        <v>0</v>
      </c>
      <c r="AJ1616" s="77"/>
      <c r="AK1616" s="77"/>
      <c r="AL1616" s="77"/>
      <c r="AM1616" s="77"/>
      <c r="AN1616" s="77"/>
      <c r="AO1616" s="77"/>
      <c r="AP1616" s="77"/>
      <c r="AQ1616" s="77"/>
      <c r="AR1616" s="77"/>
      <c r="AS1616" s="77"/>
      <c r="AT1616" s="77"/>
      <c r="AU1616" s="77"/>
      <c r="AV1616" s="80" t="str">
        <f>HYPERLINK("https://pbs.twimg.com/profile_images/1553964873343696896/5U19S4mW_normal.jpg")</f>
        <v>https://pbs.twimg.com/profile_images/1553964873343696896/5U19S4mW_normal.jpg</v>
      </c>
      <c r="AW1616" s="82" t="s">
        <v>13222</v>
      </c>
      <c r="AX1616" s="82" t="s">
        <v>13222</v>
      </c>
      <c r="AY1616" s="77"/>
      <c r="AZ1616" s="82" t="s">
        <v>15984</v>
      </c>
      <c r="BA1616" s="82" t="s">
        <v>15984</v>
      </c>
      <c r="BB1616" s="82" t="s">
        <v>15984</v>
      </c>
      <c r="BC1616" s="82" t="s">
        <v>13222</v>
      </c>
      <c r="BD1616" s="82" t="s">
        <v>16351</v>
      </c>
      <c r="BE1616" s="77"/>
      <c r="BF1616" s="77"/>
      <c r="BG1616" s="77"/>
      <c r="BH1616" s="77"/>
      <c r="BI1616" s="77"/>
    </row>
    <row r="1617" spans="1:61" x14ac:dyDescent="0.25">
      <c r="A1617" s="62" t="s">
        <v>657</v>
      </c>
      <c r="B1617" s="62" t="s">
        <v>657</v>
      </c>
      <c r="C1617" s="63"/>
      <c r="D1617" s="64"/>
      <c r="E1617" s="65"/>
      <c r="F1617" s="66"/>
      <c r="G1617" s="63"/>
      <c r="H1617" s="67"/>
      <c r="I1617" s="68"/>
      <c r="J1617" s="68"/>
      <c r="K1617" s="32"/>
      <c r="L1617" s="75">
        <v>1617</v>
      </c>
      <c r="M1617" s="75"/>
      <c r="N1617" s="70"/>
      <c r="O1617" s="77" t="s">
        <v>179</v>
      </c>
      <c r="P1617" s="79">
        <v>45135.867719907408</v>
      </c>
      <c r="Q1617" s="77" t="s">
        <v>2331</v>
      </c>
      <c r="R1617" s="77">
        <v>0</v>
      </c>
      <c r="S1617" s="77">
        <v>2</v>
      </c>
      <c r="T1617" s="77">
        <v>2</v>
      </c>
      <c r="U1617" s="77">
        <v>0</v>
      </c>
      <c r="V1617" s="77">
        <v>36</v>
      </c>
      <c r="W1617" s="82" t="s">
        <v>5645</v>
      </c>
      <c r="X1617" s="80" t="str">
        <f>HYPERLINK("https://youtube.com/shorts/rngP-0iq6ng?feature=share")</f>
        <v>https://youtube.com/shorts/rngP-0iq6ng?feature=share</v>
      </c>
      <c r="Y1617" s="77" t="s">
        <v>6480</v>
      </c>
      <c r="Z1617" s="77"/>
      <c r="AA1617" s="77"/>
      <c r="AB1617" s="77"/>
      <c r="AC1617" s="82" t="s">
        <v>7750</v>
      </c>
      <c r="AD1617" s="77" t="s">
        <v>7790</v>
      </c>
      <c r="AE1617" s="80" t="str">
        <f>HYPERLINK("https://twitter.com/bilingualinvest/status/1685029741173084161")</f>
        <v>https://twitter.com/bilingualinvest/status/1685029741173084161</v>
      </c>
      <c r="AF1617" s="79">
        <v>45135.867719907408</v>
      </c>
      <c r="AG1617" s="85">
        <v>45135</v>
      </c>
      <c r="AH1617" s="82" t="s">
        <v>9166</v>
      </c>
      <c r="AI1617" s="77" t="b">
        <v>0</v>
      </c>
      <c r="AJ1617" s="77"/>
      <c r="AK1617" s="77"/>
      <c r="AL1617" s="77"/>
      <c r="AM1617" s="77"/>
      <c r="AN1617" s="77"/>
      <c r="AO1617" s="77"/>
      <c r="AP1617" s="77"/>
      <c r="AQ1617" s="77"/>
      <c r="AR1617" s="77"/>
      <c r="AS1617" s="77"/>
      <c r="AT1617" s="77"/>
      <c r="AU1617" s="77"/>
      <c r="AV1617" s="80" t="str">
        <f>HYPERLINK("https://pbs.twimg.com/profile_images/1553964873343696896/5U19S4mW_normal.jpg")</f>
        <v>https://pbs.twimg.com/profile_images/1553964873343696896/5U19S4mW_normal.jpg</v>
      </c>
      <c r="AW1617" s="82" t="s">
        <v>13223</v>
      </c>
      <c r="AX1617" s="82" t="s">
        <v>13223</v>
      </c>
      <c r="AY1617" s="77"/>
      <c r="AZ1617" s="82" t="s">
        <v>15984</v>
      </c>
      <c r="BA1617" s="82" t="s">
        <v>15984</v>
      </c>
      <c r="BB1617" s="82" t="s">
        <v>15984</v>
      </c>
      <c r="BC1617" s="82" t="s">
        <v>13223</v>
      </c>
      <c r="BD1617" s="82" t="s">
        <v>16351</v>
      </c>
      <c r="BE1617" s="77"/>
      <c r="BF1617" s="77"/>
      <c r="BG1617" s="77"/>
      <c r="BH1617" s="77"/>
      <c r="BI1617" s="77"/>
    </row>
    <row r="1618" spans="1:61" x14ac:dyDescent="0.25">
      <c r="A1618" s="62" t="s">
        <v>658</v>
      </c>
      <c r="B1618" s="62" t="s">
        <v>658</v>
      </c>
      <c r="C1618" s="63"/>
      <c r="D1618" s="64"/>
      <c r="E1618" s="65"/>
      <c r="F1618" s="66"/>
      <c r="G1618" s="63"/>
      <c r="H1618" s="67"/>
      <c r="I1618" s="68"/>
      <c r="J1618" s="68"/>
      <c r="K1618" s="32"/>
      <c r="L1618" s="75">
        <v>1618</v>
      </c>
      <c r="M1618" s="75"/>
      <c r="N1618" s="70"/>
      <c r="O1618" s="77" t="s">
        <v>179</v>
      </c>
      <c r="P1618" s="79">
        <v>45138.778252314813</v>
      </c>
      <c r="Q1618" s="77" t="s">
        <v>2332</v>
      </c>
      <c r="R1618" s="77">
        <v>0</v>
      </c>
      <c r="S1618" s="77">
        <v>2</v>
      </c>
      <c r="T1618" s="77">
        <v>0</v>
      </c>
      <c r="U1618" s="77">
        <v>0</v>
      </c>
      <c r="V1618" s="77">
        <v>79</v>
      </c>
      <c r="W1618" s="82" t="s">
        <v>4839</v>
      </c>
      <c r="X1618" s="77"/>
      <c r="Y1618" s="77"/>
      <c r="Z1618" s="77"/>
      <c r="AA1618" s="77"/>
      <c r="AB1618" s="77"/>
      <c r="AC1618" s="82" t="s">
        <v>7751</v>
      </c>
      <c r="AD1618" s="77" t="s">
        <v>7788</v>
      </c>
      <c r="AE1618" s="80" t="str">
        <f>HYPERLINK("https://twitter.com/sue_ellen_bb/status/1686084483072614401")</f>
        <v>https://twitter.com/sue_ellen_bb/status/1686084483072614401</v>
      </c>
      <c r="AF1618" s="79">
        <v>45138.778252314813</v>
      </c>
      <c r="AG1618" s="85">
        <v>45138</v>
      </c>
      <c r="AH1618" s="82" t="s">
        <v>9167</v>
      </c>
      <c r="AI1618" s="77"/>
      <c r="AJ1618" s="77"/>
      <c r="AK1618" s="77"/>
      <c r="AL1618" s="77"/>
      <c r="AM1618" s="77"/>
      <c r="AN1618" s="77"/>
      <c r="AO1618" s="77"/>
      <c r="AP1618" s="77"/>
      <c r="AQ1618" s="77"/>
      <c r="AR1618" s="77"/>
      <c r="AS1618" s="77"/>
      <c r="AT1618" s="77"/>
      <c r="AU1618" s="77"/>
      <c r="AV1618" s="80" t="str">
        <f>HYPERLINK("https://pbs.twimg.com/profile_images/1451309114806710277/cMXlyRLf_normal.jpg")</f>
        <v>https://pbs.twimg.com/profile_images/1451309114806710277/cMXlyRLf_normal.jpg</v>
      </c>
      <c r="AW1618" s="82" t="s">
        <v>13224</v>
      </c>
      <c r="AX1618" s="82" t="s">
        <v>13224</v>
      </c>
      <c r="AY1618" s="77"/>
      <c r="AZ1618" s="82" t="s">
        <v>15984</v>
      </c>
      <c r="BA1618" s="82" t="s">
        <v>15984</v>
      </c>
      <c r="BB1618" s="82" t="s">
        <v>15984</v>
      </c>
      <c r="BC1618" s="82" t="s">
        <v>13224</v>
      </c>
      <c r="BD1618" s="82" t="s">
        <v>16352</v>
      </c>
      <c r="BE1618" s="77"/>
      <c r="BF1618" s="77"/>
      <c r="BG1618" s="77"/>
      <c r="BH1618" s="77"/>
      <c r="BI1618" s="77"/>
    </row>
    <row r="1619" spans="1:61" x14ac:dyDescent="0.25">
      <c r="A1619" s="62" t="s">
        <v>658</v>
      </c>
      <c r="B1619" s="62" t="s">
        <v>658</v>
      </c>
      <c r="C1619" s="63"/>
      <c r="D1619" s="64"/>
      <c r="E1619" s="65"/>
      <c r="F1619" s="66"/>
      <c r="G1619" s="63"/>
      <c r="H1619" s="67"/>
      <c r="I1619" s="68"/>
      <c r="J1619" s="68"/>
      <c r="K1619" s="32"/>
      <c r="L1619" s="75">
        <v>1619</v>
      </c>
      <c r="M1619" s="75"/>
      <c r="N1619" s="70"/>
      <c r="O1619" s="77" t="s">
        <v>179</v>
      </c>
      <c r="P1619" s="79">
        <v>45195.544050925928</v>
      </c>
      <c r="Q1619" s="77" t="s">
        <v>2333</v>
      </c>
      <c r="R1619" s="77">
        <v>0</v>
      </c>
      <c r="S1619" s="77">
        <v>1</v>
      </c>
      <c r="T1619" s="77">
        <v>1</v>
      </c>
      <c r="U1619" s="77">
        <v>0</v>
      </c>
      <c r="V1619" s="77">
        <v>85</v>
      </c>
      <c r="W1619" s="82" t="s">
        <v>4839</v>
      </c>
      <c r="X1619" s="77"/>
      <c r="Y1619" s="77"/>
      <c r="Z1619" s="77"/>
      <c r="AA1619" s="77"/>
      <c r="AB1619" s="77"/>
      <c r="AC1619" s="82" t="s">
        <v>7750</v>
      </c>
      <c r="AD1619" s="77" t="s">
        <v>7788</v>
      </c>
      <c r="AE1619" s="80" t="str">
        <f>HYPERLINK("https://twitter.com/sue_ellen_bb/status/1706655719628354038")</f>
        <v>https://twitter.com/sue_ellen_bb/status/1706655719628354038</v>
      </c>
      <c r="AF1619" s="79">
        <v>45195.544050925928</v>
      </c>
      <c r="AG1619" s="85">
        <v>45195</v>
      </c>
      <c r="AH1619" s="82" t="s">
        <v>9168</v>
      </c>
      <c r="AI1619" s="77"/>
      <c r="AJ1619" s="77"/>
      <c r="AK1619" s="77"/>
      <c r="AL1619" s="77"/>
      <c r="AM1619" s="77"/>
      <c r="AN1619" s="77"/>
      <c r="AO1619" s="77"/>
      <c r="AP1619" s="77"/>
      <c r="AQ1619" s="77"/>
      <c r="AR1619" s="77"/>
      <c r="AS1619" s="77"/>
      <c r="AT1619" s="77"/>
      <c r="AU1619" s="77"/>
      <c r="AV1619" s="80" t="str">
        <f>HYPERLINK("https://pbs.twimg.com/profile_images/1451309114806710277/cMXlyRLf_normal.jpg")</f>
        <v>https://pbs.twimg.com/profile_images/1451309114806710277/cMXlyRLf_normal.jpg</v>
      </c>
      <c r="AW1619" s="82" t="s">
        <v>13225</v>
      </c>
      <c r="AX1619" s="82" t="s">
        <v>13225</v>
      </c>
      <c r="AY1619" s="77"/>
      <c r="AZ1619" s="82" t="s">
        <v>15984</v>
      </c>
      <c r="BA1619" s="82" t="s">
        <v>15984</v>
      </c>
      <c r="BB1619" s="82" t="s">
        <v>15984</v>
      </c>
      <c r="BC1619" s="82" t="s">
        <v>13225</v>
      </c>
      <c r="BD1619" s="82" t="s">
        <v>16352</v>
      </c>
      <c r="BE1619" s="77"/>
      <c r="BF1619" s="77"/>
      <c r="BG1619" s="77"/>
      <c r="BH1619" s="77"/>
      <c r="BI1619" s="77"/>
    </row>
    <row r="1620" spans="1:61" x14ac:dyDescent="0.25">
      <c r="A1620" s="62" t="s">
        <v>659</v>
      </c>
      <c r="B1620" s="62" t="s">
        <v>659</v>
      </c>
      <c r="C1620" s="63"/>
      <c r="D1620" s="64"/>
      <c r="E1620" s="65"/>
      <c r="F1620" s="66"/>
      <c r="G1620" s="63"/>
      <c r="H1620" s="67"/>
      <c r="I1620" s="68"/>
      <c r="J1620" s="68"/>
      <c r="K1620" s="32"/>
      <c r="L1620" s="75">
        <v>1620</v>
      </c>
      <c r="M1620" s="75"/>
      <c r="N1620" s="70"/>
      <c r="O1620" s="77" t="s">
        <v>179</v>
      </c>
      <c r="P1620" s="79">
        <v>45127.6252662037</v>
      </c>
      <c r="Q1620" s="77" t="s">
        <v>2334</v>
      </c>
      <c r="R1620" s="77">
        <v>0</v>
      </c>
      <c r="S1620" s="77">
        <v>0</v>
      </c>
      <c r="T1620" s="77">
        <v>0</v>
      </c>
      <c r="U1620" s="77">
        <v>0</v>
      </c>
      <c r="V1620" s="77">
        <v>11</v>
      </c>
      <c r="W1620" s="82" t="s">
        <v>5648</v>
      </c>
      <c r="X1620" s="77"/>
      <c r="Y1620" s="77"/>
      <c r="Z1620" s="77"/>
      <c r="AA1620" s="77" t="s">
        <v>7414</v>
      </c>
      <c r="AB1620" s="77" t="s">
        <v>7742</v>
      </c>
      <c r="AC1620" s="82" t="s">
        <v>7771</v>
      </c>
      <c r="AD1620" s="77" t="s">
        <v>7788</v>
      </c>
      <c r="AE1620" s="80" t="str">
        <f>HYPERLINK("https://twitter.com/francelmc/status/1682042776899428353")</f>
        <v>https://twitter.com/francelmc/status/1682042776899428353</v>
      </c>
      <c r="AF1620" s="79">
        <v>45127.6252662037</v>
      </c>
      <c r="AG1620" s="85">
        <v>45127</v>
      </c>
      <c r="AH1620" s="82" t="s">
        <v>9169</v>
      </c>
      <c r="AI1620" s="77" t="b">
        <v>0</v>
      </c>
      <c r="AJ1620" s="77"/>
      <c r="AK1620" s="77"/>
      <c r="AL1620" s="77"/>
      <c r="AM1620" s="77"/>
      <c r="AN1620" s="77"/>
      <c r="AO1620" s="77"/>
      <c r="AP1620" s="77"/>
      <c r="AQ1620" s="77" t="s">
        <v>11386</v>
      </c>
      <c r="AR1620" s="77"/>
      <c r="AS1620" s="77"/>
      <c r="AT1620" s="77"/>
      <c r="AU1620" s="77"/>
      <c r="AV1620" s="80" t="str">
        <f>HYPERLINK("https://pbs.twimg.com/media/F1fQ_cPaMAM6pyG.jpg")</f>
        <v>https://pbs.twimg.com/media/F1fQ_cPaMAM6pyG.jpg</v>
      </c>
      <c r="AW1620" s="82" t="s">
        <v>13226</v>
      </c>
      <c r="AX1620" s="82" t="s">
        <v>13226</v>
      </c>
      <c r="AY1620" s="77"/>
      <c r="AZ1620" s="82" t="s">
        <v>15984</v>
      </c>
      <c r="BA1620" s="82" t="s">
        <v>15984</v>
      </c>
      <c r="BB1620" s="82" t="s">
        <v>15984</v>
      </c>
      <c r="BC1620" s="82" t="s">
        <v>13226</v>
      </c>
      <c r="BD1620" s="82" t="s">
        <v>16353</v>
      </c>
      <c r="BE1620" s="77"/>
      <c r="BF1620" s="77"/>
      <c r="BG1620" s="77"/>
      <c r="BH1620" s="77"/>
      <c r="BI1620" s="77"/>
    </row>
    <row r="1621" spans="1:61" x14ac:dyDescent="0.25">
      <c r="A1621" s="62" t="s">
        <v>659</v>
      </c>
      <c r="B1621" s="62" t="s">
        <v>659</v>
      </c>
      <c r="C1621" s="63"/>
      <c r="D1621" s="64"/>
      <c r="E1621" s="65"/>
      <c r="F1621" s="66"/>
      <c r="G1621" s="63"/>
      <c r="H1621" s="67"/>
      <c r="I1621" s="68"/>
      <c r="J1621" s="68"/>
      <c r="K1621" s="32"/>
      <c r="L1621" s="75">
        <v>1621</v>
      </c>
      <c r="M1621" s="75"/>
      <c r="N1621" s="70"/>
      <c r="O1621" s="77" t="s">
        <v>179</v>
      </c>
      <c r="P1621" s="79">
        <v>45134.625254629631</v>
      </c>
      <c r="Q1621" s="77" t="s">
        <v>2335</v>
      </c>
      <c r="R1621" s="77">
        <v>0</v>
      </c>
      <c r="S1621" s="77">
        <v>0</v>
      </c>
      <c r="T1621" s="77">
        <v>0</v>
      </c>
      <c r="U1621" s="77">
        <v>0</v>
      </c>
      <c r="V1621" s="77">
        <v>8</v>
      </c>
      <c r="W1621" s="82" t="s">
        <v>5649</v>
      </c>
      <c r="X1621" s="77"/>
      <c r="Y1621" s="77"/>
      <c r="Z1621" s="77"/>
      <c r="AA1621" s="77" t="s">
        <v>7415</v>
      </c>
      <c r="AB1621" s="77" t="s">
        <v>7742</v>
      </c>
      <c r="AC1621" s="82" t="s">
        <v>7771</v>
      </c>
      <c r="AD1621" s="77" t="s">
        <v>7788</v>
      </c>
      <c r="AE1621" s="80" t="str">
        <f>HYPERLINK("https://twitter.com/francelmc/status/1684579489358159872")</f>
        <v>https://twitter.com/francelmc/status/1684579489358159872</v>
      </c>
      <c r="AF1621" s="79">
        <v>45134.625254629631</v>
      </c>
      <c r="AG1621" s="85">
        <v>45134</v>
      </c>
      <c r="AH1621" s="82" t="s">
        <v>9170</v>
      </c>
      <c r="AI1621" s="77" t="b">
        <v>0</v>
      </c>
      <c r="AJ1621" s="77"/>
      <c r="AK1621" s="77"/>
      <c r="AL1621" s="77"/>
      <c r="AM1621" s="77"/>
      <c r="AN1621" s="77"/>
      <c r="AO1621" s="77"/>
      <c r="AP1621" s="77"/>
      <c r="AQ1621" s="77" t="s">
        <v>11387</v>
      </c>
      <c r="AR1621" s="77"/>
      <c r="AS1621" s="77"/>
      <c r="AT1621" s="77"/>
      <c r="AU1621" s="77"/>
      <c r="AV1621" s="80" t="str">
        <f>HYPERLINK("https://pbs.twimg.com/media/F2DUHgXaQAExmXk.jpg")</f>
        <v>https://pbs.twimg.com/media/F2DUHgXaQAExmXk.jpg</v>
      </c>
      <c r="AW1621" s="82" t="s">
        <v>13227</v>
      </c>
      <c r="AX1621" s="82" t="s">
        <v>13227</v>
      </c>
      <c r="AY1621" s="77"/>
      <c r="AZ1621" s="82" t="s">
        <v>15984</v>
      </c>
      <c r="BA1621" s="82" t="s">
        <v>15984</v>
      </c>
      <c r="BB1621" s="82" t="s">
        <v>15984</v>
      </c>
      <c r="BC1621" s="82" t="s">
        <v>13227</v>
      </c>
      <c r="BD1621" s="82" t="s">
        <v>16353</v>
      </c>
      <c r="BE1621" s="77"/>
      <c r="BF1621" s="77"/>
      <c r="BG1621" s="77"/>
      <c r="BH1621" s="77"/>
      <c r="BI1621" s="77"/>
    </row>
    <row r="1622" spans="1:61" x14ac:dyDescent="0.25">
      <c r="A1622" s="62" t="s">
        <v>659</v>
      </c>
      <c r="B1622" s="62" t="s">
        <v>659</v>
      </c>
      <c r="C1622" s="63"/>
      <c r="D1622" s="64"/>
      <c r="E1622" s="65"/>
      <c r="F1622" s="66"/>
      <c r="G1622" s="63"/>
      <c r="H1622" s="67"/>
      <c r="I1622" s="68"/>
      <c r="J1622" s="68"/>
      <c r="K1622" s="32"/>
      <c r="L1622" s="75">
        <v>1622</v>
      </c>
      <c r="M1622" s="75"/>
      <c r="N1622" s="70"/>
      <c r="O1622" s="77" t="s">
        <v>179</v>
      </c>
      <c r="P1622" s="79">
        <v>45141.625254629631</v>
      </c>
      <c r="Q1622" s="77" t="s">
        <v>2336</v>
      </c>
      <c r="R1622" s="77">
        <v>0</v>
      </c>
      <c r="S1622" s="77">
        <v>0</v>
      </c>
      <c r="T1622" s="77">
        <v>0</v>
      </c>
      <c r="U1622" s="77">
        <v>0</v>
      </c>
      <c r="V1622" s="77">
        <v>11</v>
      </c>
      <c r="W1622" s="82" t="s">
        <v>5650</v>
      </c>
      <c r="X1622" s="77"/>
      <c r="Y1622" s="77"/>
      <c r="Z1622" s="77"/>
      <c r="AA1622" s="77" t="s">
        <v>7416</v>
      </c>
      <c r="AB1622" s="77" t="s">
        <v>7742</v>
      </c>
      <c r="AC1622" s="82" t="s">
        <v>7771</v>
      </c>
      <c r="AD1622" s="77" t="s">
        <v>7788</v>
      </c>
      <c r="AE1622" s="80" t="str">
        <f>HYPERLINK("https://twitter.com/francelmc/status/1687116203591163905")</f>
        <v>https://twitter.com/francelmc/status/1687116203591163905</v>
      </c>
      <c r="AF1622" s="79">
        <v>45141.625254629631</v>
      </c>
      <c r="AG1622" s="85">
        <v>45141</v>
      </c>
      <c r="AH1622" s="82" t="s">
        <v>9170</v>
      </c>
      <c r="AI1622" s="77" t="b">
        <v>0</v>
      </c>
      <c r="AJ1622" s="77"/>
      <c r="AK1622" s="77"/>
      <c r="AL1622" s="77"/>
      <c r="AM1622" s="77"/>
      <c r="AN1622" s="77"/>
      <c r="AO1622" s="77"/>
      <c r="AP1622" s="77"/>
      <c r="AQ1622" s="77" t="s">
        <v>11388</v>
      </c>
      <c r="AR1622" s="77"/>
      <c r="AS1622" s="77"/>
      <c r="AT1622" s="77"/>
      <c r="AU1622" s="77"/>
      <c r="AV1622" s="80" t="str">
        <f>HYPERLINK("https://pbs.twimg.com/media/F2nXPsQaMAA9a66.jpg")</f>
        <v>https://pbs.twimg.com/media/F2nXPsQaMAA9a66.jpg</v>
      </c>
      <c r="AW1622" s="82" t="s">
        <v>13228</v>
      </c>
      <c r="AX1622" s="82" t="s">
        <v>13228</v>
      </c>
      <c r="AY1622" s="77"/>
      <c r="AZ1622" s="82" t="s">
        <v>15984</v>
      </c>
      <c r="BA1622" s="82" t="s">
        <v>15984</v>
      </c>
      <c r="BB1622" s="82" t="s">
        <v>15984</v>
      </c>
      <c r="BC1622" s="82" t="s">
        <v>13228</v>
      </c>
      <c r="BD1622" s="82" t="s">
        <v>16353</v>
      </c>
      <c r="BE1622" s="77"/>
      <c r="BF1622" s="77"/>
      <c r="BG1622" s="77"/>
      <c r="BH1622" s="77"/>
      <c r="BI1622" s="77"/>
    </row>
    <row r="1623" spans="1:61" x14ac:dyDescent="0.25">
      <c r="A1623" s="62" t="s">
        <v>659</v>
      </c>
      <c r="B1623" s="62" t="s">
        <v>659</v>
      </c>
      <c r="C1623" s="63"/>
      <c r="D1623" s="64"/>
      <c r="E1623" s="65"/>
      <c r="F1623" s="66"/>
      <c r="G1623" s="63"/>
      <c r="H1623" s="67"/>
      <c r="I1623" s="68"/>
      <c r="J1623" s="68"/>
      <c r="K1623" s="32"/>
      <c r="L1623" s="75">
        <v>1623</v>
      </c>
      <c r="M1623" s="75"/>
      <c r="N1623" s="70"/>
      <c r="O1623" s="77" t="s">
        <v>179</v>
      </c>
      <c r="P1623" s="79">
        <v>45155.625243055554</v>
      </c>
      <c r="Q1623" s="77" t="s">
        <v>2337</v>
      </c>
      <c r="R1623" s="77">
        <v>0</v>
      </c>
      <c r="S1623" s="77">
        <v>0</v>
      </c>
      <c r="T1623" s="77">
        <v>0</v>
      </c>
      <c r="U1623" s="77">
        <v>0</v>
      </c>
      <c r="V1623" s="77">
        <v>10</v>
      </c>
      <c r="W1623" s="82" t="s">
        <v>5651</v>
      </c>
      <c r="X1623" s="77"/>
      <c r="Y1623" s="77"/>
      <c r="Z1623" s="77"/>
      <c r="AA1623" s="77" t="s">
        <v>7417</v>
      </c>
      <c r="AB1623" s="77" t="s">
        <v>7742</v>
      </c>
      <c r="AC1623" s="82" t="s">
        <v>7771</v>
      </c>
      <c r="AD1623" s="77" t="s">
        <v>7788</v>
      </c>
      <c r="AE1623" s="80" t="str">
        <f>HYPERLINK("https://twitter.com/francelmc/status/1692189628109816202")</f>
        <v>https://twitter.com/francelmc/status/1692189628109816202</v>
      </c>
      <c r="AF1623" s="79">
        <v>45155.625243055554</v>
      </c>
      <c r="AG1623" s="85">
        <v>45155</v>
      </c>
      <c r="AH1623" s="82" t="s">
        <v>9171</v>
      </c>
      <c r="AI1623" s="77" t="b">
        <v>0</v>
      </c>
      <c r="AJ1623" s="77"/>
      <c r="AK1623" s="77"/>
      <c r="AL1623" s="77"/>
      <c r="AM1623" s="77"/>
      <c r="AN1623" s="77"/>
      <c r="AO1623" s="77"/>
      <c r="AP1623" s="77"/>
      <c r="AQ1623" s="77" t="s">
        <v>11389</v>
      </c>
      <c r="AR1623" s="77"/>
      <c r="AS1623" s="77"/>
      <c r="AT1623" s="77"/>
      <c r="AU1623" s="77"/>
      <c r="AV1623" s="80" t="str">
        <f>HYPERLINK("https://pbs.twimg.com/media/F3vdf9WWQAAIuqU.jpg")</f>
        <v>https://pbs.twimg.com/media/F3vdf9WWQAAIuqU.jpg</v>
      </c>
      <c r="AW1623" s="82" t="s">
        <v>13229</v>
      </c>
      <c r="AX1623" s="82" t="s">
        <v>13229</v>
      </c>
      <c r="AY1623" s="77"/>
      <c r="AZ1623" s="82" t="s">
        <v>15984</v>
      </c>
      <c r="BA1623" s="82" t="s">
        <v>15984</v>
      </c>
      <c r="BB1623" s="82" t="s">
        <v>15984</v>
      </c>
      <c r="BC1623" s="82" t="s">
        <v>13229</v>
      </c>
      <c r="BD1623" s="82" t="s">
        <v>16353</v>
      </c>
      <c r="BE1623" s="77"/>
      <c r="BF1623" s="77"/>
      <c r="BG1623" s="77"/>
      <c r="BH1623" s="77"/>
      <c r="BI1623" s="77"/>
    </row>
    <row r="1624" spans="1:61" x14ac:dyDescent="0.25">
      <c r="A1624" s="62" t="s">
        <v>659</v>
      </c>
      <c r="B1624" s="62" t="s">
        <v>659</v>
      </c>
      <c r="C1624" s="63"/>
      <c r="D1624" s="64"/>
      <c r="E1624" s="65"/>
      <c r="F1624" s="66"/>
      <c r="G1624" s="63"/>
      <c r="H1624" s="67"/>
      <c r="I1624" s="68"/>
      <c r="J1624" s="68"/>
      <c r="K1624" s="32"/>
      <c r="L1624" s="75">
        <v>1624</v>
      </c>
      <c r="M1624" s="75"/>
      <c r="N1624" s="70"/>
      <c r="O1624" s="77" t="s">
        <v>179</v>
      </c>
      <c r="P1624" s="79">
        <v>45169.625358796293</v>
      </c>
      <c r="Q1624" s="77" t="s">
        <v>2338</v>
      </c>
      <c r="R1624" s="77">
        <v>0</v>
      </c>
      <c r="S1624" s="77">
        <v>0</v>
      </c>
      <c r="T1624" s="77">
        <v>0</v>
      </c>
      <c r="U1624" s="77">
        <v>0</v>
      </c>
      <c r="V1624" s="77">
        <v>3</v>
      </c>
      <c r="W1624" s="82" t="s">
        <v>5652</v>
      </c>
      <c r="X1624" s="77"/>
      <c r="Y1624" s="77"/>
      <c r="Z1624" s="77"/>
      <c r="AA1624" s="77" t="s">
        <v>7418</v>
      </c>
      <c r="AB1624" s="77" t="s">
        <v>7742</v>
      </c>
      <c r="AC1624" s="82" t="s">
        <v>7771</v>
      </c>
      <c r="AD1624" s="77" t="s">
        <v>7788</v>
      </c>
      <c r="AE1624" s="80" t="str">
        <f>HYPERLINK("https://twitter.com/francelmc/status/1697263098724532729")</f>
        <v>https://twitter.com/francelmc/status/1697263098724532729</v>
      </c>
      <c r="AF1624" s="79">
        <v>45169.625358796293</v>
      </c>
      <c r="AG1624" s="85">
        <v>45169</v>
      </c>
      <c r="AH1624" s="82" t="s">
        <v>9172</v>
      </c>
      <c r="AI1624" s="77" t="b">
        <v>0</v>
      </c>
      <c r="AJ1624" s="77"/>
      <c r="AK1624" s="77"/>
      <c r="AL1624" s="77"/>
      <c r="AM1624" s="77"/>
      <c r="AN1624" s="77"/>
      <c r="AO1624" s="77"/>
      <c r="AP1624" s="77"/>
      <c r="AQ1624" s="77" t="s">
        <v>11390</v>
      </c>
      <c r="AR1624" s="77"/>
      <c r="AS1624" s="77"/>
      <c r="AT1624" s="77"/>
      <c r="AU1624" s="77"/>
      <c r="AV1624" s="80" t="str">
        <f>HYPERLINK("https://pbs.twimg.com/media/F43jyv_bIAAw9T3.jpg")</f>
        <v>https://pbs.twimg.com/media/F43jyv_bIAAw9T3.jpg</v>
      </c>
      <c r="AW1624" s="82" t="s">
        <v>13230</v>
      </c>
      <c r="AX1624" s="82" t="s">
        <v>13230</v>
      </c>
      <c r="AY1624" s="77"/>
      <c r="AZ1624" s="82" t="s">
        <v>15984</v>
      </c>
      <c r="BA1624" s="82" t="s">
        <v>15984</v>
      </c>
      <c r="BB1624" s="82" t="s">
        <v>15984</v>
      </c>
      <c r="BC1624" s="82" t="s">
        <v>13230</v>
      </c>
      <c r="BD1624" s="82" t="s">
        <v>16353</v>
      </c>
      <c r="BE1624" s="77"/>
      <c r="BF1624" s="77"/>
      <c r="BG1624" s="77"/>
      <c r="BH1624" s="77"/>
      <c r="BI1624" s="77"/>
    </row>
    <row r="1625" spans="1:61" x14ac:dyDescent="0.25">
      <c r="A1625" s="62" t="s">
        <v>659</v>
      </c>
      <c r="B1625" s="62" t="s">
        <v>659</v>
      </c>
      <c r="C1625" s="63"/>
      <c r="D1625" s="64"/>
      <c r="E1625" s="65"/>
      <c r="F1625" s="66"/>
      <c r="G1625" s="63"/>
      <c r="H1625" s="67"/>
      <c r="I1625" s="68"/>
      <c r="J1625" s="68"/>
      <c r="K1625" s="32"/>
      <c r="L1625" s="75">
        <v>1625</v>
      </c>
      <c r="M1625" s="75"/>
      <c r="N1625" s="70"/>
      <c r="O1625" s="77" t="s">
        <v>179</v>
      </c>
      <c r="P1625" s="79">
        <v>45183.625277777777</v>
      </c>
      <c r="Q1625" s="77" t="s">
        <v>2339</v>
      </c>
      <c r="R1625" s="77">
        <v>0</v>
      </c>
      <c r="S1625" s="77">
        <v>0</v>
      </c>
      <c r="T1625" s="77">
        <v>0</v>
      </c>
      <c r="U1625" s="77">
        <v>0</v>
      </c>
      <c r="V1625" s="77">
        <v>7</v>
      </c>
      <c r="W1625" s="82" t="s">
        <v>5653</v>
      </c>
      <c r="X1625" s="77"/>
      <c r="Y1625" s="77"/>
      <c r="Z1625" s="77"/>
      <c r="AA1625" s="77" t="s">
        <v>7419</v>
      </c>
      <c r="AB1625" s="77" t="s">
        <v>7742</v>
      </c>
      <c r="AC1625" s="82" t="s">
        <v>7771</v>
      </c>
      <c r="AD1625" s="77" t="s">
        <v>7788</v>
      </c>
      <c r="AE1625" s="80" t="str">
        <f>HYPERLINK("https://twitter.com/francelmc/status/1702336499533164842")</f>
        <v>https://twitter.com/francelmc/status/1702336499533164842</v>
      </c>
      <c r="AF1625" s="79">
        <v>45183.625277777777</v>
      </c>
      <c r="AG1625" s="85">
        <v>45183</v>
      </c>
      <c r="AH1625" s="82" t="s">
        <v>9173</v>
      </c>
      <c r="AI1625" s="77" t="b">
        <v>0</v>
      </c>
      <c r="AJ1625" s="77"/>
      <c r="AK1625" s="77"/>
      <c r="AL1625" s="77"/>
      <c r="AM1625" s="77"/>
      <c r="AN1625" s="77"/>
      <c r="AO1625" s="77"/>
      <c r="AP1625" s="77"/>
      <c r="AQ1625" s="77" t="s">
        <v>11391</v>
      </c>
      <c r="AR1625" s="77"/>
      <c r="AS1625" s="77"/>
      <c r="AT1625" s="77"/>
      <c r="AU1625" s="77"/>
      <c r="AV1625" s="80" t="str">
        <f>HYPERLINK("https://pbs.twimg.com/media/F5_qBfDboAADKIN.jpg")</f>
        <v>https://pbs.twimg.com/media/F5_qBfDboAADKIN.jpg</v>
      </c>
      <c r="AW1625" s="82" t="s">
        <v>13231</v>
      </c>
      <c r="AX1625" s="82" t="s">
        <v>13231</v>
      </c>
      <c r="AY1625" s="77"/>
      <c r="AZ1625" s="82" t="s">
        <v>15984</v>
      </c>
      <c r="BA1625" s="82" t="s">
        <v>15984</v>
      </c>
      <c r="BB1625" s="82" t="s">
        <v>15984</v>
      </c>
      <c r="BC1625" s="82" t="s">
        <v>13231</v>
      </c>
      <c r="BD1625" s="82" t="s">
        <v>16353</v>
      </c>
      <c r="BE1625" s="77"/>
      <c r="BF1625" s="77"/>
      <c r="BG1625" s="77"/>
      <c r="BH1625" s="77"/>
      <c r="BI1625" s="77"/>
    </row>
    <row r="1626" spans="1:61" x14ac:dyDescent="0.25">
      <c r="A1626" s="62" t="s">
        <v>660</v>
      </c>
      <c r="B1626" s="62" t="s">
        <v>702</v>
      </c>
      <c r="C1626" s="63"/>
      <c r="D1626" s="64"/>
      <c r="E1626" s="65"/>
      <c r="F1626" s="66"/>
      <c r="G1626" s="63"/>
      <c r="H1626" s="67"/>
      <c r="I1626" s="68"/>
      <c r="J1626" s="68"/>
      <c r="K1626" s="32"/>
      <c r="L1626" s="75">
        <v>1626</v>
      </c>
      <c r="M1626" s="75"/>
      <c r="N1626" s="70"/>
      <c r="O1626" s="77" t="s">
        <v>897</v>
      </c>
      <c r="P1626" s="79">
        <v>45192.75403935185</v>
      </c>
      <c r="Q1626" s="77" t="s">
        <v>2340</v>
      </c>
      <c r="R1626" s="77">
        <v>2</v>
      </c>
      <c r="S1626" s="77">
        <v>0</v>
      </c>
      <c r="T1626" s="77">
        <v>0</v>
      </c>
      <c r="U1626" s="77">
        <v>0</v>
      </c>
      <c r="V1626" s="77"/>
      <c r="W1626" s="77"/>
      <c r="X1626" s="77"/>
      <c r="Y1626" s="77"/>
      <c r="Z1626" s="77" t="s">
        <v>702</v>
      </c>
      <c r="AA1626" s="77"/>
      <c r="AB1626" s="77"/>
      <c r="AC1626" s="82" t="s">
        <v>7751</v>
      </c>
      <c r="AD1626" s="77" t="s">
        <v>7788</v>
      </c>
      <c r="AE1626" s="80" t="str">
        <f>HYPERLINK("https://twitter.com/eva__6946/status/1705644654136295618")</f>
        <v>https://twitter.com/eva__6946/status/1705644654136295618</v>
      </c>
      <c r="AF1626" s="79">
        <v>45192.75403935185</v>
      </c>
      <c r="AG1626" s="85">
        <v>45192</v>
      </c>
      <c r="AH1626" s="82" t="s">
        <v>9174</v>
      </c>
      <c r="AI1626" s="77"/>
      <c r="AJ1626" s="77"/>
      <c r="AK1626" s="77"/>
      <c r="AL1626" s="77"/>
      <c r="AM1626" s="77"/>
      <c r="AN1626" s="77"/>
      <c r="AO1626" s="77"/>
      <c r="AP1626" s="77"/>
      <c r="AQ1626" s="77"/>
      <c r="AR1626" s="77"/>
      <c r="AS1626" s="77"/>
      <c r="AT1626" s="77"/>
      <c r="AU1626" s="77"/>
      <c r="AV1626" s="80" t="str">
        <f>HYPERLINK("https://pbs.twimg.com/profile_images/1686401812847382529/0daAwsP5_normal.jpg")</f>
        <v>https://pbs.twimg.com/profile_images/1686401812847382529/0daAwsP5_normal.jpg</v>
      </c>
      <c r="AW1626" s="82" t="s">
        <v>13232</v>
      </c>
      <c r="AX1626" s="82" t="s">
        <v>13232</v>
      </c>
      <c r="AY1626" s="77"/>
      <c r="AZ1626" s="82" t="s">
        <v>15984</v>
      </c>
      <c r="BA1626" s="82" t="s">
        <v>15984</v>
      </c>
      <c r="BB1626" s="82" t="s">
        <v>13577</v>
      </c>
      <c r="BC1626" s="82" t="s">
        <v>13577</v>
      </c>
      <c r="BD1626" s="82" t="s">
        <v>16354</v>
      </c>
      <c r="BE1626" s="77"/>
      <c r="BF1626" s="77"/>
      <c r="BG1626" s="77"/>
      <c r="BH1626" s="77"/>
      <c r="BI1626" s="77"/>
    </row>
    <row r="1627" spans="1:61" x14ac:dyDescent="0.25">
      <c r="A1627" s="62" t="s">
        <v>614</v>
      </c>
      <c r="B1627" s="62" t="s">
        <v>797</v>
      </c>
      <c r="C1627" s="63"/>
      <c r="D1627" s="64"/>
      <c r="E1627" s="65"/>
      <c r="F1627" s="66"/>
      <c r="G1627" s="63"/>
      <c r="H1627" s="67"/>
      <c r="I1627" s="68"/>
      <c r="J1627" s="68"/>
      <c r="K1627" s="32"/>
      <c r="L1627" s="75">
        <v>1627</v>
      </c>
      <c r="M1627" s="75"/>
      <c r="N1627" s="70"/>
      <c r="O1627" s="77" t="s">
        <v>895</v>
      </c>
      <c r="P1627" s="79">
        <v>45118.984710648147</v>
      </c>
      <c r="Q1627" s="77" t="s">
        <v>2341</v>
      </c>
      <c r="R1627" s="77">
        <v>3</v>
      </c>
      <c r="S1627" s="77">
        <v>4</v>
      </c>
      <c r="T1627" s="77">
        <v>0</v>
      </c>
      <c r="U1627" s="77">
        <v>0</v>
      </c>
      <c r="V1627" s="77">
        <v>1174</v>
      </c>
      <c r="W1627" s="82" t="s">
        <v>4821</v>
      </c>
      <c r="X1627" s="80" t="str">
        <f>HYPERLINK("https://www.valoraanalitik.com/2023/07/11/deuda-externa-publica-y-privada-de-colombia-se-estabilizo-en-abril-pero-sigue-cerca-de-maximos/")</f>
        <v>https://www.valoraanalitik.com/2023/07/11/deuda-externa-publica-y-privada-de-colombia-se-estabilizo-en-abril-pero-sigue-cerca-de-maximos/</v>
      </c>
      <c r="Y1627" s="77" t="s">
        <v>6471</v>
      </c>
      <c r="Z1627" s="77" t="s">
        <v>797</v>
      </c>
      <c r="AA1627" s="77" t="s">
        <v>7420</v>
      </c>
      <c r="AB1627" s="77" t="s">
        <v>7742</v>
      </c>
      <c r="AC1627" s="82" t="s">
        <v>7750</v>
      </c>
      <c r="AD1627" s="77" t="s">
        <v>7790</v>
      </c>
      <c r="AE1627" s="80" t="str">
        <f>HYPERLINK("https://twitter.com/valoraanalitik/status/1678911545907068931")</f>
        <v>https://twitter.com/valoraanalitik/status/1678911545907068931</v>
      </c>
      <c r="AF1627" s="79">
        <v>45118.984710648147</v>
      </c>
      <c r="AG1627" s="85">
        <v>45118</v>
      </c>
      <c r="AH1627" s="82" t="s">
        <v>9175</v>
      </c>
      <c r="AI1627" s="77" t="b">
        <v>0</v>
      </c>
      <c r="AJ1627" s="77"/>
      <c r="AK1627" s="77"/>
      <c r="AL1627" s="77"/>
      <c r="AM1627" s="77"/>
      <c r="AN1627" s="77"/>
      <c r="AO1627" s="77"/>
      <c r="AP1627" s="77"/>
      <c r="AQ1627" s="77" t="s">
        <v>11392</v>
      </c>
      <c r="AR1627" s="77"/>
      <c r="AS1627" s="77"/>
      <c r="AT1627" s="77"/>
      <c r="AU1627" s="77"/>
      <c r="AV1627" s="80" t="str">
        <f>HYPERLINK("https://pbs.twimg.com/media/F0yxB-BWAAE1aNz.png")</f>
        <v>https://pbs.twimg.com/media/F0yxB-BWAAE1aNz.png</v>
      </c>
      <c r="AW1627" s="82" t="s">
        <v>13233</v>
      </c>
      <c r="AX1627" s="82" t="s">
        <v>13233</v>
      </c>
      <c r="AY1627" s="77"/>
      <c r="AZ1627" s="82" t="s">
        <v>15984</v>
      </c>
      <c r="BA1627" s="82" t="s">
        <v>15984</v>
      </c>
      <c r="BB1627" s="82" t="s">
        <v>15984</v>
      </c>
      <c r="BC1627" s="82" t="s">
        <v>13233</v>
      </c>
      <c r="BD1627" s="77">
        <v>20980846</v>
      </c>
      <c r="BE1627" s="77"/>
      <c r="BF1627" s="77"/>
      <c r="BG1627" s="77"/>
      <c r="BH1627" s="77"/>
      <c r="BI1627" s="77"/>
    </row>
    <row r="1628" spans="1:61" x14ac:dyDescent="0.25">
      <c r="A1628" s="62" t="s">
        <v>614</v>
      </c>
      <c r="B1628" s="62" t="s">
        <v>797</v>
      </c>
      <c r="C1628" s="63"/>
      <c r="D1628" s="64"/>
      <c r="E1628" s="65"/>
      <c r="F1628" s="66"/>
      <c r="G1628" s="63"/>
      <c r="H1628" s="67"/>
      <c r="I1628" s="68"/>
      <c r="J1628" s="68"/>
      <c r="K1628" s="32"/>
      <c r="L1628" s="75">
        <v>1628</v>
      </c>
      <c r="M1628" s="75"/>
      <c r="N1628" s="70"/>
      <c r="O1628" s="77" t="s">
        <v>895</v>
      </c>
      <c r="P1628" s="79">
        <v>45174.502326388887</v>
      </c>
      <c r="Q1628" s="77" t="s">
        <v>2152</v>
      </c>
      <c r="R1628" s="77">
        <v>0</v>
      </c>
      <c r="S1628" s="77">
        <v>4</v>
      </c>
      <c r="T1628" s="77">
        <v>0</v>
      </c>
      <c r="U1628" s="77">
        <v>0</v>
      </c>
      <c r="V1628" s="77">
        <v>984</v>
      </c>
      <c r="W1628" s="82" t="s">
        <v>4821</v>
      </c>
      <c r="X1628" s="80" t="str">
        <f>HYPERLINK("https://www.valoraanalitik.com/2023/09/05/inflacion-da-para-que-tasas-de-interes-en-colombia-bajen/")</f>
        <v>https://www.valoraanalitik.com/2023/09/05/inflacion-da-para-que-tasas-de-interes-en-colombia-bajen/</v>
      </c>
      <c r="Y1628" s="77" t="s">
        <v>6471</v>
      </c>
      <c r="Z1628" s="77" t="s">
        <v>6624</v>
      </c>
      <c r="AA1628" s="77"/>
      <c r="AB1628" s="77"/>
      <c r="AC1628" s="82" t="s">
        <v>7750</v>
      </c>
      <c r="AD1628" s="77" t="s">
        <v>7790</v>
      </c>
      <c r="AE1628" s="80" t="str">
        <f>HYPERLINK("https://twitter.com/valoraanalitik/status/1699030454790164584")</f>
        <v>https://twitter.com/valoraanalitik/status/1699030454790164584</v>
      </c>
      <c r="AF1628" s="79">
        <v>45174.502326388887</v>
      </c>
      <c r="AG1628" s="85">
        <v>45174</v>
      </c>
      <c r="AH1628" s="82" t="s">
        <v>9008</v>
      </c>
      <c r="AI1628" s="77" t="b">
        <v>0</v>
      </c>
      <c r="AJ1628" s="77"/>
      <c r="AK1628" s="77"/>
      <c r="AL1628" s="77"/>
      <c r="AM1628" s="77"/>
      <c r="AN1628" s="77"/>
      <c r="AO1628" s="77"/>
      <c r="AP1628" s="77"/>
      <c r="AQ1628" s="77"/>
      <c r="AR1628" s="77"/>
      <c r="AS1628" s="77"/>
      <c r="AT1628" s="77"/>
      <c r="AU1628" s="77"/>
      <c r="AV1628" s="80" t="str">
        <f>HYPERLINK("https://pbs.twimg.com/profile_images/1475155236713029641/7Lb8npQr_normal.jpg")</f>
        <v>https://pbs.twimg.com/profile_images/1475155236713029641/7Lb8npQr_normal.jpg</v>
      </c>
      <c r="AW1628" s="82" t="s">
        <v>13039</v>
      </c>
      <c r="AX1628" s="82" t="s">
        <v>13039</v>
      </c>
      <c r="AY1628" s="77"/>
      <c r="AZ1628" s="82" t="s">
        <v>15984</v>
      </c>
      <c r="BA1628" s="82" t="s">
        <v>15984</v>
      </c>
      <c r="BB1628" s="82" t="s">
        <v>15984</v>
      </c>
      <c r="BC1628" s="82" t="s">
        <v>13039</v>
      </c>
      <c r="BD1628" s="77">
        <v>20980846</v>
      </c>
      <c r="BE1628" s="77"/>
      <c r="BF1628" s="77"/>
      <c r="BG1628" s="77"/>
      <c r="BH1628" s="77"/>
      <c r="BI1628" s="77"/>
    </row>
    <row r="1629" spans="1:61" x14ac:dyDescent="0.25">
      <c r="A1629" s="62" t="s">
        <v>614</v>
      </c>
      <c r="B1629" s="62" t="s">
        <v>797</v>
      </c>
      <c r="C1629" s="63"/>
      <c r="D1629" s="64"/>
      <c r="E1629" s="65"/>
      <c r="F1629" s="66"/>
      <c r="G1629" s="63"/>
      <c r="H1629" s="67"/>
      <c r="I1629" s="68"/>
      <c r="J1629" s="68"/>
      <c r="K1629" s="32"/>
      <c r="L1629" s="75">
        <v>1629</v>
      </c>
      <c r="M1629" s="75"/>
      <c r="N1629" s="70"/>
      <c r="O1629" s="77" t="s">
        <v>895</v>
      </c>
      <c r="P1629" s="79">
        <v>45163.856168981481</v>
      </c>
      <c r="Q1629" s="77" t="s">
        <v>2342</v>
      </c>
      <c r="R1629" s="77">
        <v>0</v>
      </c>
      <c r="S1629" s="77">
        <v>0</v>
      </c>
      <c r="T1629" s="77">
        <v>0</v>
      </c>
      <c r="U1629" s="77">
        <v>0</v>
      </c>
      <c r="V1629" s="77">
        <v>942</v>
      </c>
      <c r="W1629" s="82" t="s">
        <v>4821</v>
      </c>
      <c r="X1629" s="80" t="str">
        <f>HYPERLINK("https://bit.ly/3QVW2tf")</f>
        <v>https://bit.ly/3QVW2tf</v>
      </c>
      <c r="Y1629" s="77" t="s">
        <v>6468</v>
      </c>
      <c r="Z1629" s="77" t="s">
        <v>797</v>
      </c>
      <c r="AA1629" s="77"/>
      <c r="AB1629" s="77"/>
      <c r="AC1629" s="82" t="s">
        <v>7775</v>
      </c>
      <c r="AD1629" s="77" t="s">
        <v>7790</v>
      </c>
      <c r="AE1629" s="80" t="str">
        <f>HYPERLINK("https://twitter.com/valoraanalitik/status/1695172417490993511")</f>
        <v>https://twitter.com/valoraanalitik/status/1695172417490993511</v>
      </c>
      <c r="AF1629" s="79">
        <v>45163.856168981481</v>
      </c>
      <c r="AG1629" s="85">
        <v>45163</v>
      </c>
      <c r="AH1629" s="82" t="s">
        <v>9176</v>
      </c>
      <c r="AI1629" s="77" t="b">
        <v>0</v>
      </c>
      <c r="AJ1629" s="77"/>
      <c r="AK1629" s="77"/>
      <c r="AL1629" s="77"/>
      <c r="AM1629" s="77"/>
      <c r="AN1629" s="77"/>
      <c r="AO1629" s="77"/>
      <c r="AP1629" s="77"/>
      <c r="AQ1629" s="77"/>
      <c r="AR1629" s="77"/>
      <c r="AS1629" s="77"/>
      <c r="AT1629" s="77"/>
      <c r="AU1629" s="77"/>
      <c r="AV1629" s="80" t="str">
        <f>HYPERLINK("https://pbs.twimg.com/profile_images/1475155236713029641/7Lb8npQr_normal.jpg")</f>
        <v>https://pbs.twimg.com/profile_images/1475155236713029641/7Lb8npQr_normal.jpg</v>
      </c>
      <c r="AW1629" s="82" t="s">
        <v>13234</v>
      </c>
      <c r="AX1629" s="82" t="s">
        <v>13234</v>
      </c>
      <c r="AY1629" s="77"/>
      <c r="AZ1629" s="82" t="s">
        <v>15984</v>
      </c>
      <c r="BA1629" s="82" t="s">
        <v>15984</v>
      </c>
      <c r="BB1629" s="82" t="s">
        <v>15984</v>
      </c>
      <c r="BC1629" s="82" t="s">
        <v>13234</v>
      </c>
      <c r="BD1629" s="77">
        <v>20980846</v>
      </c>
      <c r="BE1629" s="77"/>
      <c r="BF1629" s="77"/>
      <c r="BG1629" s="77"/>
      <c r="BH1629" s="77"/>
      <c r="BI1629" s="77"/>
    </row>
    <row r="1630" spans="1:61" x14ac:dyDescent="0.25">
      <c r="A1630" s="62" t="s">
        <v>614</v>
      </c>
      <c r="B1630" s="62" t="s">
        <v>797</v>
      </c>
      <c r="C1630" s="63"/>
      <c r="D1630" s="64"/>
      <c r="E1630" s="65"/>
      <c r="F1630" s="66"/>
      <c r="G1630" s="63"/>
      <c r="H1630" s="67"/>
      <c r="I1630" s="68"/>
      <c r="J1630" s="68"/>
      <c r="K1630" s="32"/>
      <c r="L1630" s="75">
        <v>1630</v>
      </c>
      <c r="M1630" s="75"/>
      <c r="N1630" s="70"/>
      <c r="O1630" s="77" t="s">
        <v>895</v>
      </c>
      <c r="P1630" s="79">
        <v>45142.572650462964</v>
      </c>
      <c r="Q1630" s="77" t="s">
        <v>2343</v>
      </c>
      <c r="R1630" s="77">
        <v>3</v>
      </c>
      <c r="S1630" s="77">
        <v>5</v>
      </c>
      <c r="T1630" s="77">
        <v>0</v>
      </c>
      <c r="U1630" s="77">
        <v>0</v>
      </c>
      <c r="V1630" s="77">
        <v>1869</v>
      </c>
      <c r="W1630" s="82" t="s">
        <v>4821</v>
      </c>
      <c r="X1630" s="80" t="str">
        <f>HYPERLINK("https://bit.ly/44V5K3g")</f>
        <v>https://bit.ly/44V5K3g</v>
      </c>
      <c r="Y1630" s="77" t="s">
        <v>6468</v>
      </c>
      <c r="Z1630" s="77" t="s">
        <v>797</v>
      </c>
      <c r="AA1630" s="77"/>
      <c r="AB1630" s="77"/>
      <c r="AC1630" s="82" t="s">
        <v>7775</v>
      </c>
      <c r="AD1630" s="77" t="s">
        <v>7790</v>
      </c>
      <c r="AE1630" s="80" t="str">
        <f>HYPERLINK("https://twitter.com/valoraanalitik/status/1687459527031975936")</f>
        <v>https://twitter.com/valoraanalitik/status/1687459527031975936</v>
      </c>
      <c r="AF1630" s="79">
        <v>45142.572650462964</v>
      </c>
      <c r="AG1630" s="85">
        <v>45142</v>
      </c>
      <c r="AH1630" s="82" t="s">
        <v>9177</v>
      </c>
      <c r="AI1630" s="77" t="b">
        <v>0</v>
      </c>
      <c r="AJ1630" s="77"/>
      <c r="AK1630" s="77"/>
      <c r="AL1630" s="77"/>
      <c r="AM1630" s="77"/>
      <c r="AN1630" s="77"/>
      <c r="AO1630" s="77"/>
      <c r="AP1630" s="77"/>
      <c r="AQ1630" s="77"/>
      <c r="AR1630" s="77"/>
      <c r="AS1630" s="77"/>
      <c r="AT1630" s="77"/>
      <c r="AU1630" s="77"/>
      <c r="AV1630" s="80" t="str">
        <f>HYPERLINK("https://pbs.twimg.com/profile_images/1475155236713029641/7Lb8npQr_normal.jpg")</f>
        <v>https://pbs.twimg.com/profile_images/1475155236713029641/7Lb8npQr_normal.jpg</v>
      </c>
      <c r="AW1630" s="82" t="s">
        <v>13235</v>
      </c>
      <c r="AX1630" s="82" t="s">
        <v>13235</v>
      </c>
      <c r="AY1630" s="77"/>
      <c r="AZ1630" s="82" t="s">
        <v>15984</v>
      </c>
      <c r="BA1630" s="82" t="s">
        <v>15984</v>
      </c>
      <c r="BB1630" s="82" t="s">
        <v>15984</v>
      </c>
      <c r="BC1630" s="82" t="s">
        <v>13235</v>
      </c>
      <c r="BD1630" s="77">
        <v>20980846</v>
      </c>
      <c r="BE1630" s="77"/>
      <c r="BF1630" s="77"/>
      <c r="BG1630" s="77"/>
      <c r="BH1630" s="77"/>
      <c r="BI1630" s="77"/>
    </row>
    <row r="1631" spans="1:61" x14ac:dyDescent="0.25">
      <c r="A1631" s="62" t="s">
        <v>614</v>
      </c>
      <c r="B1631" s="62" t="s">
        <v>797</v>
      </c>
      <c r="C1631" s="63"/>
      <c r="D1631" s="64"/>
      <c r="E1631" s="65"/>
      <c r="F1631" s="66"/>
      <c r="G1631" s="63"/>
      <c r="H1631" s="67"/>
      <c r="I1631" s="68"/>
      <c r="J1631" s="68"/>
      <c r="K1631" s="32"/>
      <c r="L1631" s="75">
        <v>1631</v>
      </c>
      <c r="M1631" s="75"/>
      <c r="N1631" s="70"/>
      <c r="O1631" s="77" t="s">
        <v>895</v>
      </c>
      <c r="P1631" s="79">
        <v>45184.501828703702</v>
      </c>
      <c r="Q1631" s="77" t="s">
        <v>2177</v>
      </c>
      <c r="R1631" s="77">
        <v>2</v>
      </c>
      <c r="S1631" s="77">
        <v>8</v>
      </c>
      <c r="T1631" s="77">
        <v>0</v>
      </c>
      <c r="U1631" s="77">
        <v>0</v>
      </c>
      <c r="V1631" s="77">
        <v>1258</v>
      </c>
      <c r="W1631" s="82" t="s">
        <v>4821</v>
      </c>
      <c r="X1631" s="80" t="str">
        <f>HYPERLINK("https://www.valoraanalitik.com/2023/09/15/dolar-colombia-3800-esto-es-lo-que-deberia-pasar-2/")</f>
        <v>https://www.valoraanalitik.com/2023/09/15/dolar-colombia-3800-esto-es-lo-que-deberia-pasar-2/</v>
      </c>
      <c r="Y1631" s="77" t="s">
        <v>6471</v>
      </c>
      <c r="Z1631" s="77" t="s">
        <v>6631</v>
      </c>
      <c r="AA1631" s="77"/>
      <c r="AB1631" s="77"/>
      <c r="AC1631" s="82" t="s">
        <v>7750</v>
      </c>
      <c r="AD1631" s="77" t="s">
        <v>7790</v>
      </c>
      <c r="AE1631" s="80" t="str">
        <f>HYPERLINK("https://twitter.com/valoraanalitik/status/1702654153283998144")</f>
        <v>https://twitter.com/valoraanalitik/status/1702654153283998144</v>
      </c>
      <c r="AF1631" s="79">
        <v>45184.501828703702</v>
      </c>
      <c r="AG1631" s="85">
        <v>45184</v>
      </c>
      <c r="AH1631" s="82" t="s">
        <v>9033</v>
      </c>
      <c r="AI1631" s="77" t="b">
        <v>0</v>
      </c>
      <c r="AJ1631" s="77"/>
      <c r="AK1631" s="77"/>
      <c r="AL1631" s="77"/>
      <c r="AM1631" s="77"/>
      <c r="AN1631" s="77"/>
      <c r="AO1631" s="77"/>
      <c r="AP1631" s="77"/>
      <c r="AQ1631" s="77"/>
      <c r="AR1631" s="77"/>
      <c r="AS1631" s="77"/>
      <c r="AT1631" s="77"/>
      <c r="AU1631" s="77"/>
      <c r="AV1631" s="80" t="str">
        <f>HYPERLINK("https://pbs.twimg.com/profile_images/1475155236713029641/7Lb8npQr_normal.jpg")</f>
        <v>https://pbs.twimg.com/profile_images/1475155236713029641/7Lb8npQr_normal.jpg</v>
      </c>
      <c r="AW1631" s="82" t="s">
        <v>13064</v>
      </c>
      <c r="AX1631" s="82" t="s">
        <v>13064</v>
      </c>
      <c r="AY1631" s="77"/>
      <c r="AZ1631" s="82" t="s">
        <v>15984</v>
      </c>
      <c r="BA1631" s="82" t="s">
        <v>15984</v>
      </c>
      <c r="BB1631" s="82" t="s">
        <v>15984</v>
      </c>
      <c r="BC1631" s="82" t="s">
        <v>13064</v>
      </c>
      <c r="BD1631" s="77">
        <v>20980846</v>
      </c>
      <c r="BE1631" s="77"/>
      <c r="BF1631" s="77"/>
      <c r="BG1631" s="77"/>
      <c r="BH1631" s="77"/>
      <c r="BI1631" s="77"/>
    </row>
    <row r="1632" spans="1:61" x14ac:dyDescent="0.25">
      <c r="A1632" s="62" t="s">
        <v>614</v>
      </c>
      <c r="B1632" s="62" t="s">
        <v>797</v>
      </c>
      <c r="C1632" s="63"/>
      <c r="D1632" s="64"/>
      <c r="E1632" s="65"/>
      <c r="F1632" s="66"/>
      <c r="G1632" s="63"/>
      <c r="H1632" s="67"/>
      <c r="I1632" s="68"/>
      <c r="J1632" s="68"/>
      <c r="K1632" s="32"/>
      <c r="L1632" s="75">
        <v>1632</v>
      </c>
      <c r="M1632" s="75"/>
      <c r="N1632" s="70"/>
      <c r="O1632" s="77" t="s">
        <v>895</v>
      </c>
      <c r="P1632" s="79">
        <v>45168.986516203702</v>
      </c>
      <c r="Q1632" s="77" t="s">
        <v>2344</v>
      </c>
      <c r="R1632" s="77">
        <v>6</v>
      </c>
      <c r="S1632" s="77">
        <v>11</v>
      </c>
      <c r="T1632" s="77">
        <v>0</v>
      </c>
      <c r="U1632" s="77">
        <v>0</v>
      </c>
      <c r="V1632" s="77">
        <v>1591</v>
      </c>
      <c r="W1632" s="82" t="s">
        <v>4821</v>
      </c>
      <c r="X1632" s="80" t="str">
        <f>HYPERLINK("https://bit.ly/3Ph0LEQ")</f>
        <v>https://bit.ly/3Ph0LEQ</v>
      </c>
      <c r="Y1632" s="77" t="s">
        <v>6468</v>
      </c>
      <c r="Z1632" s="77" t="s">
        <v>797</v>
      </c>
      <c r="AA1632" s="77"/>
      <c r="AB1632" s="77"/>
      <c r="AC1632" s="82" t="s">
        <v>7775</v>
      </c>
      <c r="AD1632" s="77" t="s">
        <v>7790</v>
      </c>
      <c r="AE1632" s="80" t="str">
        <f>HYPERLINK("https://twitter.com/valoraanalitik/status/1697031590650515733")</f>
        <v>https://twitter.com/valoraanalitik/status/1697031590650515733</v>
      </c>
      <c r="AF1632" s="79">
        <v>45168.986516203702</v>
      </c>
      <c r="AG1632" s="85">
        <v>45168</v>
      </c>
      <c r="AH1632" s="82" t="s">
        <v>9178</v>
      </c>
      <c r="AI1632" s="77" t="b">
        <v>0</v>
      </c>
      <c r="AJ1632" s="77"/>
      <c r="AK1632" s="77"/>
      <c r="AL1632" s="77"/>
      <c r="AM1632" s="77"/>
      <c r="AN1632" s="77"/>
      <c r="AO1632" s="77"/>
      <c r="AP1632" s="77"/>
      <c r="AQ1632" s="77"/>
      <c r="AR1632" s="77"/>
      <c r="AS1632" s="77"/>
      <c r="AT1632" s="77"/>
      <c r="AU1632" s="77"/>
      <c r="AV1632" s="80" t="str">
        <f>HYPERLINK("https://pbs.twimg.com/profile_images/1475155236713029641/7Lb8npQr_normal.jpg")</f>
        <v>https://pbs.twimg.com/profile_images/1475155236713029641/7Lb8npQr_normal.jpg</v>
      </c>
      <c r="AW1632" s="82" t="s">
        <v>13236</v>
      </c>
      <c r="AX1632" s="82" t="s">
        <v>13236</v>
      </c>
      <c r="AY1632" s="77"/>
      <c r="AZ1632" s="82" t="s">
        <v>15984</v>
      </c>
      <c r="BA1632" s="82" t="s">
        <v>15984</v>
      </c>
      <c r="BB1632" s="82" t="s">
        <v>15984</v>
      </c>
      <c r="BC1632" s="82" t="s">
        <v>13236</v>
      </c>
      <c r="BD1632" s="77">
        <v>20980846</v>
      </c>
      <c r="BE1632" s="77"/>
      <c r="BF1632" s="77"/>
      <c r="BG1632" s="77"/>
      <c r="BH1632" s="77"/>
      <c r="BI1632" s="77"/>
    </row>
    <row r="1633" spans="1:61" x14ac:dyDescent="0.25">
      <c r="A1633" s="62" t="s">
        <v>614</v>
      </c>
      <c r="B1633" s="62" t="s">
        <v>797</v>
      </c>
      <c r="C1633" s="63"/>
      <c r="D1633" s="64"/>
      <c r="E1633" s="65"/>
      <c r="F1633" s="66"/>
      <c r="G1633" s="63"/>
      <c r="H1633" s="67"/>
      <c r="I1633" s="68"/>
      <c r="J1633" s="68"/>
      <c r="K1633" s="32"/>
      <c r="L1633" s="75">
        <v>1633</v>
      </c>
      <c r="M1633" s="75"/>
      <c r="N1633" s="70"/>
      <c r="O1633" s="77" t="s">
        <v>895</v>
      </c>
      <c r="P1633" s="79">
        <v>45160.919687499998</v>
      </c>
      <c r="Q1633" s="77" t="s">
        <v>2345</v>
      </c>
      <c r="R1633" s="77">
        <v>0</v>
      </c>
      <c r="S1633" s="77">
        <v>6</v>
      </c>
      <c r="T1633" s="77">
        <v>0</v>
      </c>
      <c r="U1633" s="77">
        <v>0</v>
      </c>
      <c r="V1633" s="77">
        <v>1282</v>
      </c>
      <c r="W1633" s="82" t="s">
        <v>4821</v>
      </c>
      <c r="X1633" s="80" t="str">
        <f>HYPERLINK("https://bit.ly/3qGtIR8")</f>
        <v>https://bit.ly/3qGtIR8</v>
      </c>
      <c r="Y1633" s="77" t="s">
        <v>6468</v>
      </c>
      <c r="Z1633" s="77" t="s">
        <v>797</v>
      </c>
      <c r="AA1633" s="77"/>
      <c r="AB1633" s="77"/>
      <c r="AC1633" s="82" t="s">
        <v>7775</v>
      </c>
      <c r="AD1633" s="77" t="s">
        <v>7790</v>
      </c>
      <c r="AE1633" s="80" t="str">
        <f>HYPERLINK("https://twitter.com/valoraanalitik/status/1694108272746222072")</f>
        <v>https://twitter.com/valoraanalitik/status/1694108272746222072</v>
      </c>
      <c r="AF1633" s="79">
        <v>45160.919687499998</v>
      </c>
      <c r="AG1633" s="85">
        <v>45160</v>
      </c>
      <c r="AH1633" s="82" t="s">
        <v>9179</v>
      </c>
      <c r="AI1633" s="77" t="b">
        <v>0</v>
      </c>
      <c r="AJ1633" s="77"/>
      <c r="AK1633" s="77"/>
      <c r="AL1633" s="77"/>
      <c r="AM1633" s="77"/>
      <c r="AN1633" s="77"/>
      <c r="AO1633" s="77"/>
      <c r="AP1633" s="77"/>
      <c r="AQ1633" s="77"/>
      <c r="AR1633" s="77"/>
      <c r="AS1633" s="77"/>
      <c r="AT1633" s="77"/>
      <c r="AU1633" s="77"/>
      <c r="AV1633" s="80" t="str">
        <f>HYPERLINK("https://pbs.twimg.com/profile_images/1475155236713029641/7Lb8npQr_normal.jpg")</f>
        <v>https://pbs.twimg.com/profile_images/1475155236713029641/7Lb8npQr_normal.jpg</v>
      </c>
      <c r="AW1633" s="82" t="s">
        <v>13237</v>
      </c>
      <c r="AX1633" s="82" t="s">
        <v>13237</v>
      </c>
      <c r="AY1633" s="77"/>
      <c r="AZ1633" s="82" t="s">
        <v>15984</v>
      </c>
      <c r="BA1633" s="82" t="s">
        <v>15984</v>
      </c>
      <c r="BB1633" s="82" t="s">
        <v>15984</v>
      </c>
      <c r="BC1633" s="82" t="s">
        <v>13237</v>
      </c>
      <c r="BD1633" s="77">
        <v>20980846</v>
      </c>
      <c r="BE1633" s="77"/>
      <c r="BF1633" s="77"/>
      <c r="BG1633" s="77"/>
      <c r="BH1633" s="77"/>
      <c r="BI1633" s="77"/>
    </row>
    <row r="1634" spans="1:61" x14ac:dyDescent="0.25">
      <c r="A1634" s="62" t="s">
        <v>614</v>
      </c>
      <c r="B1634" s="62" t="s">
        <v>797</v>
      </c>
      <c r="C1634" s="63"/>
      <c r="D1634" s="64"/>
      <c r="E1634" s="65"/>
      <c r="F1634" s="66"/>
      <c r="G1634" s="63"/>
      <c r="H1634" s="67"/>
      <c r="I1634" s="68"/>
      <c r="J1634" s="68"/>
      <c r="K1634" s="32"/>
      <c r="L1634" s="75">
        <v>1634</v>
      </c>
      <c r="M1634" s="75"/>
      <c r="N1634" s="70"/>
      <c r="O1634" s="77" t="s">
        <v>895</v>
      </c>
      <c r="P1634" s="79">
        <v>45125.675057870372</v>
      </c>
      <c r="Q1634" s="77" t="s">
        <v>2178</v>
      </c>
      <c r="R1634" s="77">
        <v>2</v>
      </c>
      <c r="S1634" s="77">
        <v>2</v>
      </c>
      <c r="T1634" s="77">
        <v>0</v>
      </c>
      <c r="U1634" s="77">
        <v>0</v>
      </c>
      <c r="V1634" s="77">
        <v>941</v>
      </c>
      <c r="W1634" s="82" t="s">
        <v>4821</v>
      </c>
      <c r="X1634" s="80" t="str">
        <f>HYPERLINK("https://bit.ly/3XVlYXo")</f>
        <v>https://bit.ly/3XVlYXo</v>
      </c>
      <c r="Y1634" s="77" t="s">
        <v>6468</v>
      </c>
      <c r="Z1634" s="77" t="s">
        <v>6632</v>
      </c>
      <c r="AA1634" s="77"/>
      <c r="AB1634" s="77"/>
      <c r="AC1634" s="82" t="s">
        <v>7775</v>
      </c>
      <c r="AD1634" s="77" t="s">
        <v>7790</v>
      </c>
      <c r="AE1634" s="80" t="str">
        <f>HYPERLINK("https://twitter.com/valoraanalitik/status/1681336043717509121")</f>
        <v>https://twitter.com/valoraanalitik/status/1681336043717509121</v>
      </c>
      <c r="AF1634" s="79">
        <v>45125.675057870372</v>
      </c>
      <c r="AG1634" s="85">
        <v>45125</v>
      </c>
      <c r="AH1634" s="82" t="s">
        <v>9034</v>
      </c>
      <c r="AI1634" s="77" t="b">
        <v>0</v>
      </c>
      <c r="AJ1634" s="77"/>
      <c r="AK1634" s="77"/>
      <c r="AL1634" s="77"/>
      <c r="AM1634" s="77"/>
      <c r="AN1634" s="77"/>
      <c r="AO1634" s="77"/>
      <c r="AP1634" s="77"/>
      <c r="AQ1634" s="77"/>
      <c r="AR1634" s="77"/>
      <c r="AS1634" s="77"/>
      <c r="AT1634" s="77"/>
      <c r="AU1634" s="77"/>
      <c r="AV1634" s="80" t="str">
        <f>HYPERLINK("https://pbs.twimg.com/profile_images/1475155236713029641/7Lb8npQr_normal.jpg")</f>
        <v>https://pbs.twimg.com/profile_images/1475155236713029641/7Lb8npQr_normal.jpg</v>
      </c>
      <c r="AW1634" s="82" t="s">
        <v>13065</v>
      </c>
      <c r="AX1634" s="82" t="s">
        <v>13065</v>
      </c>
      <c r="AY1634" s="77"/>
      <c r="AZ1634" s="82" t="s">
        <v>15984</v>
      </c>
      <c r="BA1634" s="82" t="s">
        <v>15984</v>
      </c>
      <c r="BB1634" s="82" t="s">
        <v>15984</v>
      </c>
      <c r="BC1634" s="82" t="s">
        <v>13065</v>
      </c>
      <c r="BD1634" s="77">
        <v>20980846</v>
      </c>
      <c r="BE1634" s="77"/>
      <c r="BF1634" s="77"/>
      <c r="BG1634" s="77"/>
      <c r="BH1634" s="77"/>
      <c r="BI1634" s="77"/>
    </row>
    <row r="1635" spans="1:61" x14ac:dyDescent="0.25">
      <c r="A1635" s="62" t="s">
        <v>614</v>
      </c>
      <c r="B1635" s="62" t="s">
        <v>797</v>
      </c>
      <c r="C1635" s="63"/>
      <c r="D1635" s="64"/>
      <c r="E1635" s="65"/>
      <c r="F1635" s="66"/>
      <c r="G1635" s="63"/>
      <c r="H1635" s="67"/>
      <c r="I1635" s="68"/>
      <c r="J1635" s="68"/>
      <c r="K1635" s="32"/>
      <c r="L1635" s="75">
        <v>1635</v>
      </c>
      <c r="M1635" s="75"/>
      <c r="N1635" s="70"/>
      <c r="O1635" s="77" t="s">
        <v>895</v>
      </c>
      <c r="P1635" s="79">
        <v>45124.8358912037</v>
      </c>
      <c r="Q1635" s="77" t="s">
        <v>2346</v>
      </c>
      <c r="R1635" s="77">
        <v>105</v>
      </c>
      <c r="S1635" s="77">
        <v>171</v>
      </c>
      <c r="T1635" s="77">
        <v>3</v>
      </c>
      <c r="U1635" s="77">
        <v>15</v>
      </c>
      <c r="V1635" s="77">
        <v>35909</v>
      </c>
      <c r="W1635" s="82" t="s">
        <v>4821</v>
      </c>
      <c r="X1635" s="80" t="str">
        <f>HYPERLINK("https://bit.ly/3K1RRI8")</f>
        <v>https://bit.ly/3K1RRI8</v>
      </c>
      <c r="Y1635" s="77" t="s">
        <v>6468</v>
      </c>
      <c r="Z1635" s="77" t="s">
        <v>797</v>
      </c>
      <c r="AA1635" s="77"/>
      <c r="AB1635" s="77"/>
      <c r="AC1635" s="82" t="s">
        <v>7775</v>
      </c>
      <c r="AD1635" s="77" t="s">
        <v>7790</v>
      </c>
      <c r="AE1635" s="80" t="str">
        <f>HYPERLINK("https://twitter.com/valoraanalitik/status/1681031939778641920")</f>
        <v>https://twitter.com/valoraanalitik/status/1681031939778641920</v>
      </c>
      <c r="AF1635" s="79">
        <v>45124.8358912037</v>
      </c>
      <c r="AG1635" s="85">
        <v>45124</v>
      </c>
      <c r="AH1635" s="82" t="s">
        <v>9180</v>
      </c>
      <c r="AI1635" s="77" t="b">
        <v>0</v>
      </c>
      <c r="AJ1635" s="77"/>
      <c r="AK1635" s="77"/>
      <c r="AL1635" s="77"/>
      <c r="AM1635" s="77"/>
      <c r="AN1635" s="77"/>
      <c r="AO1635" s="77"/>
      <c r="AP1635" s="77"/>
      <c r="AQ1635" s="77"/>
      <c r="AR1635" s="77"/>
      <c r="AS1635" s="77"/>
      <c r="AT1635" s="77"/>
      <c r="AU1635" s="77"/>
      <c r="AV1635" s="80" t="str">
        <f>HYPERLINK("https://pbs.twimg.com/profile_images/1475155236713029641/7Lb8npQr_normal.jpg")</f>
        <v>https://pbs.twimg.com/profile_images/1475155236713029641/7Lb8npQr_normal.jpg</v>
      </c>
      <c r="AW1635" s="82" t="s">
        <v>13238</v>
      </c>
      <c r="AX1635" s="82" t="s">
        <v>13238</v>
      </c>
      <c r="AY1635" s="77"/>
      <c r="AZ1635" s="82" t="s">
        <v>15984</v>
      </c>
      <c r="BA1635" s="82" t="s">
        <v>15984</v>
      </c>
      <c r="BB1635" s="82" t="s">
        <v>15984</v>
      </c>
      <c r="BC1635" s="82" t="s">
        <v>13238</v>
      </c>
      <c r="BD1635" s="77">
        <v>20980846</v>
      </c>
      <c r="BE1635" s="77"/>
      <c r="BF1635" s="77"/>
      <c r="BG1635" s="77"/>
      <c r="BH1635" s="77"/>
      <c r="BI1635" s="77"/>
    </row>
    <row r="1636" spans="1:61" x14ac:dyDescent="0.25">
      <c r="A1636" s="62" t="s">
        <v>614</v>
      </c>
      <c r="B1636" s="62" t="s">
        <v>797</v>
      </c>
      <c r="C1636" s="63"/>
      <c r="D1636" s="64"/>
      <c r="E1636" s="65"/>
      <c r="F1636" s="66"/>
      <c r="G1636" s="63"/>
      <c r="H1636" s="67"/>
      <c r="I1636" s="68"/>
      <c r="J1636" s="68"/>
      <c r="K1636" s="32"/>
      <c r="L1636" s="75">
        <v>1636</v>
      </c>
      <c r="M1636" s="75"/>
      <c r="N1636" s="70"/>
      <c r="O1636" s="77" t="s">
        <v>895</v>
      </c>
      <c r="P1636" s="79">
        <v>45154.671458333331</v>
      </c>
      <c r="Q1636" s="77" t="s">
        <v>2227</v>
      </c>
      <c r="R1636" s="77">
        <v>1</v>
      </c>
      <c r="S1636" s="77">
        <v>3</v>
      </c>
      <c r="T1636" s="77">
        <v>3</v>
      </c>
      <c r="U1636" s="77">
        <v>0</v>
      </c>
      <c r="V1636" s="77">
        <v>1480</v>
      </c>
      <c r="W1636" s="82" t="s">
        <v>5562</v>
      </c>
      <c r="X1636" s="80" t="str">
        <f>HYPERLINK("https://bit.ly/3s6aEfi")</f>
        <v>https://bit.ly/3s6aEfi</v>
      </c>
      <c r="Y1636" s="77" t="s">
        <v>6468</v>
      </c>
      <c r="Z1636" s="77" t="s">
        <v>6638</v>
      </c>
      <c r="AA1636" s="77"/>
      <c r="AB1636" s="77"/>
      <c r="AC1636" s="82" t="s">
        <v>7775</v>
      </c>
      <c r="AD1636" s="77" t="s">
        <v>7790</v>
      </c>
      <c r="AE1636" s="80" t="str">
        <f>HYPERLINK("https://twitter.com/valoraanalitik/status/1691843987168981267")</f>
        <v>https://twitter.com/valoraanalitik/status/1691843987168981267</v>
      </c>
      <c r="AF1636" s="79">
        <v>45154.671458333331</v>
      </c>
      <c r="AG1636" s="85">
        <v>45154</v>
      </c>
      <c r="AH1636" s="82" t="s">
        <v>9085</v>
      </c>
      <c r="AI1636" s="77" t="b">
        <v>0</v>
      </c>
      <c r="AJ1636" s="77"/>
      <c r="AK1636" s="77"/>
      <c r="AL1636" s="77"/>
      <c r="AM1636" s="77"/>
      <c r="AN1636" s="77"/>
      <c r="AO1636" s="77"/>
      <c r="AP1636" s="77"/>
      <c r="AQ1636" s="77"/>
      <c r="AR1636" s="77"/>
      <c r="AS1636" s="77"/>
      <c r="AT1636" s="77"/>
      <c r="AU1636" s="77"/>
      <c r="AV1636" s="80" t="str">
        <f>HYPERLINK("https://pbs.twimg.com/profile_images/1475155236713029641/7Lb8npQr_normal.jpg")</f>
        <v>https://pbs.twimg.com/profile_images/1475155236713029641/7Lb8npQr_normal.jpg</v>
      </c>
      <c r="AW1636" s="82" t="s">
        <v>13118</v>
      </c>
      <c r="AX1636" s="82" t="s">
        <v>13118</v>
      </c>
      <c r="AY1636" s="77"/>
      <c r="AZ1636" s="82" t="s">
        <v>15984</v>
      </c>
      <c r="BA1636" s="82" t="s">
        <v>15984</v>
      </c>
      <c r="BB1636" s="82" t="s">
        <v>15984</v>
      </c>
      <c r="BC1636" s="82" t="s">
        <v>13118</v>
      </c>
      <c r="BD1636" s="77">
        <v>20980846</v>
      </c>
      <c r="BE1636" s="77"/>
      <c r="BF1636" s="77"/>
      <c r="BG1636" s="77"/>
      <c r="BH1636" s="77"/>
      <c r="BI1636" s="77"/>
    </row>
    <row r="1637" spans="1:61" x14ac:dyDescent="0.25">
      <c r="A1637" s="62" t="s">
        <v>614</v>
      </c>
      <c r="B1637" s="62" t="s">
        <v>797</v>
      </c>
      <c r="C1637" s="63"/>
      <c r="D1637" s="64"/>
      <c r="E1637" s="65"/>
      <c r="F1637" s="66"/>
      <c r="G1637" s="63"/>
      <c r="H1637" s="67"/>
      <c r="I1637" s="68"/>
      <c r="J1637" s="68"/>
      <c r="K1637" s="32"/>
      <c r="L1637" s="75">
        <v>1637</v>
      </c>
      <c r="M1637" s="75"/>
      <c r="N1637" s="70"/>
      <c r="O1637" s="77" t="s">
        <v>895</v>
      </c>
      <c r="P1637" s="79">
        <v>45177.917766203704</v>
      </c>
      <c r="Q1637" s="77" t="s">
        <v>2347</v>
      </c>
      <c r="R1637" s="77">
        <v>1</v>
      </c>
      <c r="S1637" s="77">
        <v>4</v>
      </c>
      <c r="T1637" s="77">
        <v>0</v>
      </c>
      <c r="U1637" s="77">
        <v>0</v>
      </c>
      <c r="V1637" s="77">
        <v>816</v>
      </c>
      <c r="W1637" s="82" t="s">
        <v>4821</v>
      </c>
      <c r="X1637" s="80" t="str">
        <f>HYPERLINK("https://bit.ly/489fRDS")</f>
        <v>https://bit.ly/489fRDS</v>
      </c>
      <c r="Y1637" s="77" t="s">
        <v>6468</v>
      </c>
      <c r="Z1637" s="77" t="s">
        <v>797</v>
      </c>
      <c r="AA1637" s="77"/>
      <c r="AB1637" s="77"/>
      <c r="AC1637" s="82" t="s">
        <v>7775</v>
      </c>
      <c r="AD1637" s="77" t="s">
        <v>7790</v>
      </c>
      <c r="AE1637" s="80" t="str">
        <f>HYPERLINK("https://twitter.com/valoraanalitik/status/1700268168923451517")</f>
        <v>https://twitter.com/valoraanalitik/status/1700268168923451517</v>
      </c>
      <c r="AF1637" s="79">
        <v>45177.917766203704</v>
      </c>
      <c r="AG1637" s="85">
        <v>45177</v>
      </c>
      <c r="AH1637" s="82" t="s">
        <v>9181</v>
      </c>
      <c r="AI1637" s="77" t="b">
        <v>0</v>
      </c>
      <c r="AJ1637" s="77"/>
      <c r="AK1637" s="77"/>
      <c r="AL1637" s="77"/>
      <c r="AM1637" s="77"/>
      <c r="AN1637" s="77"/>
      <c r="AO1637" s="77"/>
      <c r="AP1637" s="77"/>
      <c r="AQ1637" s="77"/>
      <c r="AR1637" s="77"/>
      <c r="AS1637" s="77"/>
      <c r="AT1637" s="77"/>
      <c r="AU1637" s="77"/>
      <c r="AV1637" s="80" t="str">
        <f>HYPERLINK("https://pbs.twimg.com/profile_images/1475155236713029641/7Lb8npQr_normal.jpg")</f>
        <v>https://pbs.twimg.com/profile_images/1475155236713029641/7Lb8npQr_normal.jpg</v>
      </c>
      <c r="AW1637" s="82" t="s">
        <v>13239</v>
      </c>
      <c r="AX1637" s="82" t="s">
        <v>13239</v>
      </c>
      <c r="AY1637" s="77"/>
      <c r="AZ1637" s="82" t="s">
        <v>15984</v>
      </c>
      <c r="BA1637" s="82" t="s">
        <v>15984</v>
      </c>
      <c r="BB1637" s="82" t="s">
        <v>15984</v>
      </c>
      <c r="BC1637" s="82" t="s">
        <v>13239</v>
      </c>
      <c r="BD1637" s="77">
        <v>20980846</v>
      </c>
      <c r="BE1637" s="77"/>
      <c r="BF1637" s="77"/>
      <c r="BG1637" s="77"/>
      <c r="BH1637" s="77"/>
      <c r="BI1637" s="77"/>
    </row>
    <row r="1638" spans="1:61" x14ac:dyDescent="0.25">
      <c r="A1638" s="62" t="s">
        <v>614</v>
      </c>
      <c r="B1638" s="62" t="s">
        <v>797</v>
      </c>
      <c r="C1638" s="63"/>
      <c r="D1638" s="64"/>
      <c r="E1638" s="65"/>
      <c r="F1638" s="66"/>
      <c r="G1638" s="63"/>
      <c r="H1638" s="67"/>
      <c r="I1638" s="68"/>
      <c r="J1638" s="68"/>
      <c r="K1638" s="32"/>
      <c r="L1638" s="75">
        <v>1638</v>
      </c>
      <c r="M1638" s="75"/>
      <c r="N1638" s="70"/>
      <c r="O1638" s="77" t="s">
        <v>895</v>
      </c>
      <c r="P1638" s="79">
        <v>45139.714814814812</v>
      </c>
      <c r="Q1638" s="77" t="s">
        <v>2159</v>
      </c>
      <c r="R1638" s="77">
        <v>4</v>
      </c>
      <c r="S1638" s="77">
        <v>5</v>
      </c>
      <c r="T1638" s="77">
        <v>1</v>
      </c>
      <c r="U1638" s="77">
        <v>0</v>
      </c>
      <c r="V1638" s="77">
        <v>1254</v>
      </c>
      <c r="W1638" s="82" t="s">
        <v>4821</v>
      </c>
      <c r="X1638" s="80" t="str">
        <f>HYPERLINK("https://bit.ly/478FbcF")</f>
        <v>https://bit.ly/478FbcF</v>
      </c>
      <c r="Y1638" s="77" t="s">
        <v>6468</v>
      </c>
      <c r="Z1638" s="77" t="s">
        <v>6628</v>
      </c>
      <c r="AA1638" s="77"/>
      <c r="AB1638" s="77"/>
      <c r="AC1638" s="82" t="s">
        <v>7775</v>
      </c>
      <c r="AD1638" s="77" t="s">
        <v>7790</v>
      </c>
      <c r="AE1638" s="80" t="str">
        <f>HYPERLINK("https://twitter.com/valoraanalitik/status/1686423882960457747")</f>
        <v>https://twitter.com/valoraanalitik/status/1686423882960457747</v>
      </c>
      <c r="AF1638" s="79">
        <v>45139.714814814812</v>
      </c>
      <c r="AG1638" s="85">
        <v>45139</v>
      </c>
      <c r="AH1638" s="82" t="s">
        <v>9015</v>
      </c>
      <c r="AI1638" s="77" t="b">
        <v>0</v>
      </c>
      <c r="AJ1638" s="77"/>
      <c r="AK1638" s="77"/>
      <c r="AL1638" s="77"/>
      <c r="AM1638" s="77"/>
      <c r="AN1638" s="77"/>
      <c r="AO1638" s="77"/>
      <c r="AP1638" s="77"/>
      <c r="AQ1638" s="77"/>
      <c r="AR1638" s="77"/>
      <c r="AS1638" s="77"/>
      <c r="AT1638" s="77"/>
      <c r="AU1638" s="77"/>
      <c r="AV1638" s="80" t="str">
        <f>HYPERLINK("https://pbs.twimg.com/profile_images/1475155236713029641/7Lb8npQr_normal.jpg")</f>
        <v>https://pbs.twimg.com/profile_images/1475155236713029641/7Lb8npQr_normal.jpg</v>
      </c>
      <c r="AW1638" s="82" t="s">
        <v>13046</v>
      </c>
      <c r="AX1638" s="82" t="s">
        <v>13046</v>
      </c>
      <c r="AY1638" s="77"/>
      <c r="AZ1638" s="82" t="s">
        <v>15984</v>
      </c>
      <c r="BA1638" s="82" t="s">
        <v>15984</v>
      </c>
      <c r="BB1638" s="82" t="s">
        <v>15984</v>
      </c>
      <c r="BC1638" s="82" t="s">
        <v>13046</v>
      </c>
      <c r="BD1638" s="77">
        <v>20980846</v>
      </c>
      <c r="BE1638" s="77"/>
      <c r="BF1638" s="77"/>
      <c r="BG1638" s="77"/>
      <c r="BH1638" s="77"/>
      <c r="BI1638" s="77"/>
    </row>
    <row r="1639" spans="1:61" x14ac:dyDescent="0.25">
      <c r="A1639" s="62" t="s">
        <v>614</v>
      </c>
      <c r="B1639" s="62" t="s">
        <v>797</v>
      </c>
      <c r="C1639" s="63"/>
      <c r="D1639" s="64"/>
      <c r="E1639" s="65"/>
      <c r="F1639" s="66"/>
      <c r="G1639" s="63"/>
      <c r="H1639" s="67"/>
      <c r="I1639" s="68"/>
      <c r="J1639" s="68"/>
      <c r="K1639" s="32"/>
      <c r="L1639" s="75">
        <v>1639</v>
      </c>
      <c r="M1639" s="75"/>
      <c r="N1639" s="70"/>
      <c r="O1639" s="77" t="s">
        <v>895</v>
      </c>
      <c r="P1639" s="79">
        <v>45139.485590277778</v>
      </c>
      <c r="Q1639" s="77" t="s">
        <v>2160</v>
      </c>
      <c r="R1639" s="77">
        <v>4</v>
      </c>
      <c r="S1639" s="77">
        <v>7</v>
      </c>
      <c r="T1639" s="77">
        <v>1</v>
      </c>
      <c r="U1639" s="77">
        <v>0</v>
      </c>
      <c r="V1639" s="77">
        <v>1794</v>
      </c>
      <c r="W1639" s="82" t="s">
        <v>4821</v>
      </c>
      <c r="X1639" s="80" t="str">
        <f>HYPERLINK("https://www.valoraanalitik.com/2023/08/01/dolar-colombia-podria-impulsar-la-baja-de-precios/")</f>
        <v>https://www.valoraanalitik.com/2023/08/01/dolar-colombia-podria-impulsar-la-baja-de-precios/</v>
      </c>
      <c r="Y1639" s="77" t="s">
        <v>6471</v>
      </c>
      <c r="Z1639" s="77" t="s">
        <v>6629</v>
      </c>
      <c r="AA1639" s="77"/>
      <c r="AB1639" s="77"/>
      <c r="AC1639" s="82" t="s">
        <v>7750</v>
      </c>
      <c r="AD1639" s="77" t="s">
        <v>7790</v>
      </c>
      <c r="AE1639" s="80" t="str">
        <f>HYPERLINK("https://twitter.com/valoraanalitik/status/1686340813322674176")</f>
        <v>https://twitter.com/valoraanalitik/status/1686340813322674176</v>
      </c>
      <c r="AF1639" s="79">
        <v>45139.485590277778</v>
      </c>
      <c r="AG1639" s="85">
        <v>45139</v>
      </c>
      <c r="AH1639" s="82" t="s">
        <v>9016</v>
      </c>
      <c r="AI1639" s="77" t="b">
        <v>0</v>
      </c>
      <c r="AJ1639" s="77"/>
      <c r="AK1639" s="77"/>
      <c r="AL1639" s="77"/>
      <c r="AM1639" s="77"/>
      <c r="AN1639" s="77"/>
      <c r="AO1639" s="77"/>
      <c r="AP1639" s="77"/>
      <c r="AQ1639" s="77"/>
      <c r="AR1639" s="77"/>
      <c r="AS1639" s="77"/>
      <c r="AT1639" s="77"/>
      <c r="AU1639" s="77"/>
      <c r="AV1639" s="80" t="str">
        <f>HYPERLINK("https://pbs.twimg.com/profile_images/1475155236713029641/7Lb8npQr_normal.jpg")</f>
        <v>https://pbs.twimg.com/profile_images/1475155236713029641/7Lb8npQr_normal.jpg</v>
      </c>
      <c r="AW1639" s="82" t="s">
        <v>13047</v>
      </c>
      <c r="AX1639" s="82" t="s">
        <v>13047</v>
      </c>
      <c r="AY1639" s="77"/>
      <c r="AZ1639" s="82" t="s">
        <v>15984</v>
      </c>
      <c r="BA1639" s="82" t="s">
        <v>15984</v>
      </c>
      <c r="BB1639" s="82" t="s">
        <v>15984</v>
      </c>
      <c r="BC1639" s="82" t="s">
        <v>13047</v>
      </c>
      <c r="BD1639" s="77">
        <v>20980846</v>
      </c>
      <c r="BE1639" s="77"/>
      <c r="BF1639" s="77"/>
      <c r="BG1639" s="77"/>
      <c r="BH1639" s="77"/>
      <c r="BI1639" s="77"/>
    </row>
    <row r="1640" spans="1:61" x14ac:dyDescent="0.25">
      <c r="A1640" s="62" t="s">
        <v>614</v>
      </c>
      <c r="B1640" s="62" t="s">
        <v>797</v>
      </c>
      <c r="C1640" s="63"/>
      <c r="D1640" s="64"/>
      <c r="E1640" s="65"/>
      <c r="F1640" s="66"/>
      <c r="G1640" s="63"/>
      <c r="H1640" s="67"/>
      <c r="I1640" s="68"/>
      <c r="J1640" s="68"/>
      <c r="K1640" s="32"/>
      <c r="L1640" s="75">
        <v>1640</v>
      </c>
      <c r="M1640" s="75"/>
      <c r="N1640" s="70"/>
      <c r="O1640" s="77" t="s">
        <v>895</v>
      </c>
      <c r="P1640" s="79">
        <v>45141.072743055556</v>
      </c>
      <c r="Q1640" s="77" t="s">
        <v>2348</v>
      </c>
      <c r="R1640" s="77">
        <v>6</v>
      </c>
      <c r="S1640" s="77">
        <v>14</v>
      </c>
      <c r="T1640" s="77">
        <v>0</v>
      </c>
      <c r="U1640" s="77">
        <v>1</v>
      </c>
      <c r="V1640" s="77">
        <v>1978</v>
      </c>
      <c r="W1640" s="82" t="s">
        <v>4821</v>
      </c>
      <c r="X1640" s="80" t="str">
        <f>HYPERLINK("https://bit.ly/3Krz0GS")</f>
        <v>https://bit.ly/3Krz0GS</v>
      </c>
      <c r="Y1640" s="77" t="s">
        <v>6468</v>
      </c>
      <c r="Z1640" s="77" t="s">
        <v>797</v>
      </c>
      <c r="AA1640" s="77"/>
      <c r="AB1640" s="77"/>
      <c r="AC1640" s="82" t="s">
        <v>7775</v>
      </c>
      <c r="AD1640" s="77" t="s">
        <v>7790</v>
      </c>
      <c r="AE1640" s="80" t="str">
        <f>HYPERLINK("https://twitter.com/valoraanalitik/status/1686915980700610560")</f>
        <v>https://twitter.com/valoraanalitik/status/1686915980700610560</v>
      </c>
      <c r="AF1640" s="79">
        <v>45141.072743055556</v>
      </c>
      <c r="AG1640" s="85">
        <v>45141</v>
      </c>
      <c r="AH1640" s="82" t="s">
        <v>9182</v>
      </c>
      <c r="AI1640" s="77" t="b">
        <v>0</v>
      </c>
      <c r="AJ1640" s="77"/>
      <c r="AK1640" s="77"/>
      <c r="AL1640" s="77"/>
      <c r="AM1640" s="77"/>
      <c r="AN1640" s="77"/>
      <c r="AO1640" s="77"/>
      <c r="AP1640" s="77"/>
      <c r="AQ1640" s="77"/>
      <c r="AR1640" s="77"/>
      <c r="AS1640" s="77"/>
      <c r="AT1640" s="77"/>
      <c r="AU1640" s="77"/>
      <c r="AV1640" s="80" t="str">
        <f>HYPERLINK("https://pbs.twimg.com/profile_images/1475155236713029641/7Lb8npQr_normal.jpg")</f>
        <v>https://pbs.twimg.com/profile_images/1475155236713029641/7Lb8npQr_normal.jpg</v>
      </c>
      <c r="AW1640" s="82" t="s">
        <v>13240</v>
      </c>
      <c r="AX1640" s="82" t="s">
        <v>13240</v>
      </c>
      <c r="AY1640" s="77"/>
      <c r="AZ1640" s="82" t="s">
        <v>15984</v>
      </c>
      <c r="BA1640" s="82" t="s">
        <v>15984</v>
      </c>
      <c r="BB1640" s="82" t="s">
        <v>15984</v>
      </c>
      <c r="BC1640" s="82" t="s">
        <v>13240</v>
      </c>
      <c r="BD1640" s="77">
        <v>20980846</v>
      </c>
      <c r="BE1640" s="77"/>
      <c r="BF1640" s="77"/>
      <c r="BG1640" s="77"/>
      <c r="BH1640" s="77"/>
      <c r="BI1640" s="77"/>
    </row>
    <row r="1641" spans="1:61" x14ac:dyDescent="0.25">
      <c r="A1641" s="62" t="s">
        <v>614</v>
      </c>
      <c r="B1641" s="62" t="s">
        <v>797</v>
      </c>
      <c r="C1641" s="63"/>
      <c r="D1641" s="64"/>
      <c r="E1641" s="65"/>
      <c r="F1641" s="66"/>
      <c r="G1641" s="63"/>
      <c r="H1641" s="67"/>
      <c r="I1641" s="68"/>
      <c r="J1641" s="68"/>
      <c r="K1641" s="32"/>
      <c r="L1641" s="75">
        <v>1641</v>
      </c>
      <c r="M1641" s="75"/>
      <c r="N1641" s="70"/>
      <c r="O1641" s="77" t="s">
        <v>895</v>
      </c>
      <c r="P1641" s="79">
        <v>45194.486608796295</v>
      </c>
      <c r="Q1641" s="77" t="s">
        <v>2349</v>
      </c>
      <c r="R1641" s="77">
        <v>3</v>
      </c>
      <c r="S1641" s="77">
        <v>8</v>
      </c>
      <c r="T1641" s="77">
        <v>0</v>
      </c>
      <c r="U1641" s="77">
        <v>0</v>
      </c>
      <c r="V1641" s="77">
        <v>1534</v>
      </c>
      <c r="W1641" s="82" t="s">
        <v>4821</v>
      </c>
      <c r="X1641" s="80" t="str">
        <f>HYPERLINK("https://www.valoraanalitik.com/2023/09/25/tasas-de-interes-colombia-que-podria-pasar/")</f>
        <v>https://www.valoraanalitik.com/2023/09/25/tasas-de-interes-colombia-que-podria-pasar/</v>
      </c>
      <c r="Y1641" s="77" t="s">
        <v>6471</v>
      </c>
      <c r="Z1641" s="77" t="s">
        <v>797</v>
      </c>
      <c r="AA1641" s="77"/>
      <c r="AB1641" s="77"/>
      <c r="AC1641" s="82" t="s">
        <v>7750</v>
      </c>
      <c r="AD1641" s="77" t="s">
        <v>7790</v>
      </c>
      <c r="AE1641" s="80" t="str">
        <f>HYPERLINK("https://twitter.com/valoraanalitik/status/1706272514794500113")</f>
        <v>https://twitter.com/valoraanalitik/status/1706272514794500113</v>
      </c>
      <c r="AF1641" s="79">
        <v>45194.486608796295</v>
      </c>
      <c r="AG1641" s="85">
        <v>45194</v>
      </c>
      <c r="AH1641" s="82" t="s">
        <v>9183</v>
      </c>
      <c r="AI1641" s="77" t="b">
        <v>0</v>
      </c>
      <c r="AJ1641" s="77"/>
      <c r="AK1641" s="77"/>
      <c r="AL1641" s="77"/>
      <c r="AM1641" s="77"/>
      <c r="AN1641" s="77"/>
      <c r="AO1641" s="77"/>
      <c r="AP1641" s="77"/>
      <c r="AQ1641" s="77"/>
      <c r="AR1641" s="77"/>
      <c r="AS1641" s="77"/>
      <c r="AT1641" s="77"/>
      <c r="AU1641" s="77"/>
      <c r="AV1641" s="80" t="str">
        <f>HYPERLINK("https://pbs.twimg.com/profile_images/1475155236713029641/7Lb8npQr_normal.jpg")</f>
        <v>https://pbs.twimg.com/profile_images/1475155236713029641/7Lb8npQr_normal.jpg</v>
      </c>
      <c r="AW1641" s="82" t="s">
        <v>13241</v>
      </c>
      <c r="AX1641" s="82" t="s">
        <v>13241</v>
      </c>
      <c r="AY1641" s="77"/>
      <c r="AZ1641" s="82" t="s">
        <v>15984</v>
      </c>
      <c r="BA1641" s="82" t="s">
        <v>15984</v>
      </c>
      <c r="BB1641" s="82" t="s">
        <v>15984</v>
      </c>
      <c r="BC1641" s="82" t="s">
        <v>13241</v>
      </c>
      <c r="BD1641" s="77">
        <v>20980846</v>
      </c>
      <c r="BE1641" s="77"/>
      <c r="BF1641" s="77"/>
      <c r="BG1641" s="77"/>
      <c r="BH1641" s="77"/>
      <c r="BI1641" s="77"/>
    </row>
    <row r="1642" spans="1:61" x14ac:dyDescent="0.25">
      <c r="A1642" s="62" t="s">
        <v>614</v>
      </c>
      <c r="B1642" s="62" t="s">
        <v>797</v>
      </c>
      <c r="C1642" s="63"/>
      <c r="D1642" s="64"/>
      <c r="E1642" s="65"/>
      <c r="F1642" s="66"/>
      <c r="G1642" s="63"/>
      <c r="H1642" s="67"/>
      <c r="I1642" s="68"/>
      <c r="J1642" s="68"/>
      <c r="K1642" s="32"/>
      <c r="L1642" s="75">
        <v>1642</v>
      </c>
      <c r="M1642" s="75"/>
      <c r="N1642" s="70"/>
      <c r="O1642" s="77" t="s">
        <v>895</v>
      </c>
      <c r="P1642" s="79">
        <v>45170.992719907408</v>
      </c>
      <c r="Q1642" s="77" t="s">
        <v>2350</v>
      </c>
      <c r="R1642" s="77">
        <v>65</v>
      </c>
      <c r="S1642" s="77">
        <v>129</v>
      </c>
      <c r="T1642" s="77">
        <v>3</v>
      </c>
      <c r="U1642" s="77">
        <v>8</v>
      </c>
      <c r="V1642" s="77">
        <v>60523</v>
      </c>
      <c r="W1642" s="82" t="s">
        <v>4821</v>
      </c>
      <c r="X1642" s="80" t="str">
        <f>HYPERLINK("https://www.valoraanalitik.com/2023/09/01/importante-caida-del-deficit-de-cuenta-corriente-de-colombia-en-primer-semestre/")</f>
        <v>https://www.valoraanalitik.com/2023/09/01/importante-caida-del-deficit-de-cuenta-corriente-de-colombia-en-primer-semestre/</v>
      </c>
      <c r="Y1642" s="77" t="s">
        <v>6471</v>
      </c>
      <c r="Z1642" s="77" t="s">
        <v>6574</v>
      </c>
      <c r="AA1642" s="77"/>
      <c r="AB1642" s="77"/>
      <c r="AC1642" s="82" t="s">
        <v>7750</v>
      </c>
      <c r="AD1642" s="77" t="s">
        <v>7790</v>
      </c>
      <c r="AE1642" s="80" t="str">
        <f>HYPERLINK("https://twitter.com/valoraanalitik/status/1697758616386707733")</f>
        <v>https://twitter.com/valoraanalitik/status/1697758616386707733</v>
      </c>
      <c r="AF1642" s="79">
        <v>45170.992719907408</v>
      </c>
      <c r="AG1642" s="85">
        <v>45170</v>
      </c>
      <c r="AH1642" s="82" t="s">
        <v>9184</v>
      </c>
      <c r="AI1642" s="77" t="b">
        <v>0</v>
      </c>
      <c r="AJ1642" s="77"/>
      <c r="AK1642" s="77"/>
      <c r="AL1642" s="77"/>
      <c r="AM1642" s="77"/>
      <c r="AN1642" s="77"/>
      <c r="AO1642" s="77"/>
      <c r="AP1642" s="77"/>
      <c r="AQ1642" s="77"/>
      <c r="AR1642" s="77"/>
      <c r="AS1642" s="77"/>
      <c r="AT1642" s="77"/>
      <c r="AU1642" s="77"/>
      <c r="AV1642" s="80" t="str">
        <f>HYPERLINK("https://pbs.twimg.com/profile_images/1475155236713029641/7Lb8npQr_normal.jpg")</f>
        <v>https://pbs.twimg.com/profile_images/1475155236713029641/7Lb8npQr_normal.jpg</v>
      </c>
      <c r="AW1642" s="82" t="s">
        <v>13242</v>
      </c>
      <c r="AX1642" s="82" t="s">
        <v>13242</v>
      </c>
      <c r="AY1642" s="77"/>
      <c r="AZ1642" s="82" t="s">
        <v>15984</v>
      </c>
      <c r="BA1642" s="82" t="s">
        <v>15984</v>
      </c>
      <c r="BB1642" s="82" t="s">
        <v>15984</v>
      </c>
      <c r="BC1642" s="82" t="s">
        <v>13242</v>
      </c>
      <c r="BD1642" s="77">
        <v>20980846</v>
      </c>
      <c r="BE1642" s="77"/>
      <c r="BF1642" s="77"/>
      <c r="BG1642" s="77"/>
      <c r="BH1642" s="77"/>
      <c r="BI1642" s="77"/>
    </row>
    <row r="1643" spans="1:61" x14ac:dyDescent="0.25">
      <c r="A1643" s="62" t="s">
        <v>661</v>
      </c>
      <c r="B1643" s="62" t="s">
        <v>797</v>
      </c>
      <c r="C1643" s="63"/>
      <c r="D1643" s="64"/>
      <c r="E1643" s="65"/>
      <c r="F1643" s="66"/>
      <c r="G1643" s="63"/>
      <c r="H1643" s="67"/>
      <c r="I1643" s="68"/>
      <c r="J1643" s="68"/>
      <c r="K1643" s="32"/>
      <c r="L1643" s="75">
        <v>1643</v>
      </c>
      <c r="M1643" s="75"/>
      <c r="N1643" s="70"/>
      <c r="O1643" s="77" t="s">
        <v>902</v>
      </c>
      <c r="P1643" s="79">
        <v>45125.562928240739</v>
      </c>
      <c r="Q1643" s="77" t="s">
        <v>2351</v>
      </c>
      <c r="R1643" s="77">
        <v>0</v>
      </c>
      <c r="S1643" s="77">
        <v>0</v>
      </c>
      <c r="T1643" s="77">
        <v>0</v>
      </c>
      <c r="U1643" s="77">
        <v>0</v>
      </c>
      <c r="V1643" s="77">
        <v>20</v>
      </c>
      <c r="W1643" s="82" t="s">
        <v>5654</v>
      </c>
      <c r="X1643" s="77"/>
      <c r="Y1643" s="77"/>
      <c r="Z1643" s="77" t="s">
        <v>797</v>
      </c>
      <c r="AA1643" s="77"/>
      <c r="AB1643" s="77"/>
      <c r="AC1643" s="82" t="s">
        <v>7751</v>
      </c>
      <c r="AD1643" s="77" t="s">
        <v>7790</v>
      </c>
      <c r="AE1643" s="80" t="str">
        <f>HYPERLINK("https://twitter.com/acriollo_m5/status/1681295409803558913")</f>
        <v>https://twitter.com/acriollo_m5/status/1681295409803558913</v>
      </c>
      <c r="AF1643" s="79">
        <v>45125.562928240739</v>
      </c>
      <c r="AG1643" s="85">
        <v>45125</v>
      </c>
      <c r="AH1643" s="82" t="s">
        <v>9185</v>
      </c>
      <c r="AI1643" s="77"/>
      <c r="AJ1643" s="77"/>
      <c r="AK1643" s="77"/>
      <c r="AL1643" s="77"/>
      <c r="AM1643" s="77"/>
      <c r="AN1643" s="77"/>
      <c r="AO1643" s="77"/>
      <c r="AP1643" s="77"/>
      <c r="AQ1643" s="77"/>
      <c r="AR1643" s="77"/>
      <c r="AS1643" s="77"/>
      <c r="AT1643" s="77"/>
      <c r="AU1643" s="77"/>
      <c r="AV1643" s="80" t="str">
        <f>HYPERLINK("https://pbs.twimg.com/profile_images/1706486991754268672/2srufdC2_normal.jpg")</f>
        <v>https://pbs.twimg.com/profile_images/1706486991754268672/2srufdC2_normal.jpg</v>
      </c>
      <c r="AW1643" s="82" t="s">
        <v>13243</v>
      </c>
      <c r="AX1643" s="82" t="s">
        <v>13243</v>
      </c>
      <c r="AY1643" s="77"/>
      <c r="AZ1643" s="82" t="s">
        <v>15984</v>
      </c>
      <c r="BA1643" s="82" t="s">
        <v>13238</v>
      </c>
      <c r="BB1643" s="82" t="s">
        <v>15984</v>
      </c>
      <c r="BC1643" s="82" t="s">
        <v>13238</v>
      </c>
      <c r="BD1643" s="82" t="s">
        <v>16355</v>
      </c>
      <c r="BE1643" s="77"/>
      <c r="BF1643" s="77"/>
      <c r="BG1643" s="77"/>
      <c r="BH1643" s="77"/>
      <c r="BI1643" s="77"/>
    </row>
    <row r="1644" spans="1:61" x14ac:dyDescent="0.25">
      <c r="A1644" s="62" t="s">
        <v>661</v>
      </c>
      <c r="B1644" s="62" t="s">
        <v>614</v>
      </c>
      <c r="C1644" s="63"/>
      <c r="D1644" s="64"/>
      <c r="E1644" s="65"/>
      <c r="F1644" s="66"/>
      <c r="G1644" s="63"/>
      <c r="H1644" s="67"/>
      <c r="I1644" s="68"/>
      <c r="J1644" s="68"/>
      <c r="K1644" s="32"/>
      <c r="L1644" s="75">
        <v>1644</v>
      </c>
      <c r="M1644" s="75"/>
      <c r="N1644" s="70"/>
      <c r="O1644" s="77" t="s">
        <v>896</v>
      </c>
      <c r="P1644" s="79">
        <v>45125.562928240739</v>
      </c>
      <c r="Q1644" s="77" t="s">
        <v>2351</v>
      </c>
      <c r="R1644" s="77">
        <v>0</v>
      </c>
      <c r="S1644" s="77">
        <v>0</v>
      </c>
      <c r="T1644" s="77">
        <v>0</v>
      </c>
      <c r="U1644" s="77">
        <v>0</v>
      </c>
      <c r="V1644" s="77">
        <v>20</v>
      </c>
      <c r="W1644" s="82" t="s">
        <v>5654</v>
      </c>
      <c r="X1644" s="77"/>
      <c r="Y1644" s="77"/>
      <c r="Z1644" s="77" t="s">
        <v>797</v>
      </c>
      <c r="AA1644" s="77"/>
      <c r="AB1644" s="77"/>
      <c r="AC1644" s="82" t="s">
        <v>7751</v>
      </c>
      <c r="AD1644" s="77" t="s">
        <v>7790</v>
      </c>
      <c r="AE1644" s="80" t="str">
        <f>HYPERLINK("https://twitter.com/acriollo_m5/status/1681295409803558913")</f>
        <v>https://twitter.com/acriollo_m5/status/1681295409803558913</v>
      </c>
      <c r="AF1644" s="79">
        <v>45125.562928240739</v>
      </c>
      <c r="AG1644" s="85">
        <v>45125</v>
      </c>
      <c r="AH1644" s="82" t="s">
        <v>9185</v>
      </c>
      <c r="AI1644" s="77"/>
      <c r="AJ1644" s="77"/>
      <c r="AK1644" s="77"/>
      <c r="AL1644" s="77"/>
      <c r="AM1644" s="77"/>
      <c r="AN1644" s="77"/>
      <c r="AO1644" s="77"/>
      <c r="AP1644" s="77"/>
      <c r="AQ1644" s="77"/>
      <c r="AR1644" s="77"/>
      <c r="AS1644" s="77"/>
      <c r="AT1644" s="77"/>
      <c r="AU1644" s="77"/>
      <c r="AV1644" s="80" t="str">
        <f>HYPERLINK("https://pbs.twimg.com/profile_images/1706486991754268672/2srufdC2_normal.jpg")</f>
        <v>https://pbs.twimg.com/profile_images/1706486991754268672/2srufdC2_normal.jpg</v>
      </c>
      <c r="AW1644" s="82" t="s">
        <v>13243</v>
      </c>
      <c r="AX1644" s="82" t="s">
        <v>13243</v>
      </c>
      <c r="AY1644" s="77"/>
      <c r="AZ1644" s="82" t="s">
        <v>15984</v>
      </c>
      <c r="BA1644" s="82" t="s">
        <v>13238</v>
      </c>
      <c r="BB1644" s="82" t="s">
        <v>15984</v>
      </c>
      <c r="BC1644" s="82" t="s">
        <v>13238</v>
      </c>
      <c r="BD1644" s="82" t="s">
        <v>16355</v>
      </c>
      <c r="BE1644" s="77"/>
      <c r="BF1644" s="77"/>
      <c r="BG1644" s="77"/>
      <c r="BH1644" s="77"/>
      <c r="BI1644" s="77"/>
    </row>
    <row r="1645" spans="1:61" x14ac:dyDescent="0.25">
      <c r="A1645" s="62" t="s">
        <v>662</v>
      </c>
      <c r="B1645" s="62" t="s">
        <v>662</v>
      </c>
      <c r="C1645" s="63"/>
      <c r="D1645" s="64"/>
      <c r="E1645" s="65"/>
      <c r="F1645" s="66"/>
      <c r="G1645" s="63"/>
      <c r="H1645" s="67"/>
      <c r="I1645" s="68"/>
      <c r="J1645" s="68"/>
      <c r="K1645" s="32"/>
      <c r="L1645" s="75">
        <v>1645</v>
      </c>
      <c r="M1645" s="75"/>
      <c r="N1645" s="70"/>
      <c r="O1645" s="77" t="s">
        <v>179</v>
      </c>
      <c r="P1645" s="79">
        <v>45121.561759259261</v>
      </c>
      <c r="Q1645" s="77" t="s">
        <v>2352</v>
      </c>
      <c r="R1645" s="77">
        <v>0</v>
      </c>
      <c r="S1645" s="77">
        <v>0</v>
      </c>
      <c r="T1645" s="77">
        <v>0</v>
      </c>
      <c r="U1645" s="77">
        <v>0</v>
      </c>
      <c r="V1645" s="77">
        <v>24</v>
      </c>
      <c r="W1645" s="82" t="s">
        <v>5655</v>
      </c>
      <c r="X1645" s="77"/>
      <c r="Y1645" s="77"/>
      <c r="Z1645" s="77"/>
      <c r="AA1645" s="77" t="s">
        <v>7421</v>
      </c>
      <c r="AB1645" s="77" t="s">
        <v>7742</v>
      </c>
      <c r="AC1645" s="82" t="s">
        <v>7750</v>
      </c>
      <c r="AD1645" s="77" t="s">
        <v>7788</v>
      </c>
      <c r="AE1645" s="80" t="str">
        <f>HYPERLINK("https://twitter.com/activtrades_pt/status/1679845434871672832")</f>
        <v>https://twitter.com/activtrades_pt/status/1679845434871672832</v>
      </c>
      <c r="AF1645" s="79">
        <v>45121.561759259261</v>
      </c>
      <c r="AG1645" s="85">
        <v>45121</v>
      </c>
      <c r="AH1645" s="82" t="s">
        <v>9186</v>
      </c>
      <c r="AI1645" s="77" t="b">
        <v>0</v>
      </c>
      <c r="AJ1645" s="77"/>
      <c r="AK1645" s="77"/>
      <c r="AL1645" s="77"/>
      <c r="AM1645" s="77"/>
      <c r="AN1645" s="77"/>
      <c r="AO1645" s="77"/>
      <c r="AP1645" s="77"/>
      <c r="AQ1645" s="77" t="s">
        <v>11393</v>
      </c>
      <c r="AR1645" s="77"/>
      <c r="AS1645" s="77"/>
      <c r="AT1645" s="77"/>
      <c r="AU1645" s="77"/>
      <c r="AV1645" s="80" t="str">
        <f>HYPERLINK("https://pbs.twimg.com/media/F1AChGjXsAIJBJG.png")</f>
        <v>https://pbs.twimg.com/media/F1AChGjXsAIJBJG.png</v>
      </c>
      <c r="AW1645" s="82" t="s">
        <v>13244</v>
      </c>
      <c r="AX1645" s="82" t="s">
        <v>13244</v>
      </c>
      <c r="AY1645" s="77"/>
      <c r="AZ1645" s="82" t="s">
        <v>15984</v>
      </c>
      <c r="BA1645" s="82" t="s">
        <v>15984</v>
      </c>
      <c r="BB1645" s="82" t="s">
        <v>15984</v>
      </c>
      <c r="BC1645" s="82" t="s">
        <v>13244</v>
      </c>
      <c r="BD1645" s="77">
        <v>352118324</v>
      </c>
      <c r="BE1645" s="77"/>
      <c r="BF1645" s="77"/>
      <c r="BG1645" s="77"/>
      <c r="BH1645" s="77"/>
      <c r="BI1645" s="77"/>
    </row>
    <row r="1646" spans="1:61" x14ac:dyDescent="0.25">
      <c r="A1646" s="62" t="s">
        <v>662</v>
      </c>
      <c r="B1646" s="62" t="s">
        <v>662</v>
      </c>
      <c r="C1646" s="63"/>
      <c r="D1646" s="64"/>
      <c r="E1646" s="65"/>
      <c r="F1646" s="66"/>
      <c r="G1646" s="63"/>
      <c r="H1646" s="67"/>
      <c r="I1646" s="68"/>
      <c r="J1646" s="68"/>
      <c r="K1646" s="32"/>
      <c r="L1646" s="75">
        <v>1646</v>
      </c>
      <c r="M1646" s="75"/>
      <c r="N1646" s="70"/>
      <c r="O1646" s="77" t="s">
        <v>179</v>
      </c>
      <c r="P1646" s="79">
        <v>45121.531631944446</v>
      </c>
      <c r="Q1646" s="77" t="s">
        <v>2353</v>
      </c>
      <c r="R1646" s="77">
        <v>0</v>
      </c>
      <c r="S1646" s="77">
        <v>0</v>
      </c>
      <c r="T1646" s="77">
        <v>0</v>
      </c>
      <c r="U1646" s="77">
        <v>0</v>
      </c>
      <c r="V1646" s="77">
        <v>43</v>
      </c>
      <c r="W1646" s="82" t="s">
        <v>5656</v>
      </c>
      <c r="X1646" s="77"/>
      <c r="Y1646" s="77"/>
      <c r="Z1646" s="77"/>
      <c r="AA1646" s="77" t="s">
        <v>7422</v>
      </c>
      <c r="AB1646" s="77" t="s">
        <v>7742</v>
      </c>
      <c r="AC1646" s="82" t="s">
        <v>7750</v>
      </c>
      <c r="AD1646" s="77" t="s">
        <v>7788</v>
      </c>
      <c r="AE1646" s="80" t="str">
        <f>HYPERLINK("https://twitter.com/activtrades_pt/status/1679834517182337029")</f>
        <v>https://twitter.com/activtrades_pt/status/1679834517182337029</v>
      </c>
      <c r="AF1646" s="79">
        <v>45121.531631944446</v>
      </c>
      <c r="AG1646" s="85">
        <v>45121</v>
      </c>
      <c r="AH1646" s="82" t="s">
        <v>9187</v>
      </c>
      <c r="AI1646" s="77" t="b">
        <v>0</v>
      </c>
      <c r="AJ1646" s="77"/>
      <c r="AK1646" s="77"/>
      <c r="AL1646" s="77"/>
      <c r="AM1646" s="77"/>
      <c r="AN1646" s="77"/>
      <c r="AO1646" s="77"/>
      <c r="AP1646" s="77"/>
      <c r="AQ1646" s="77" t="s">
        <v>11394</v>
      </c>
      <c r="AR1646" s="77"/>
      <c r="AS1646" s="77"/>
      <c r="AT1646" s="77"/>
      <c r="AU1646" s="77"/>
      <c r="AV1646" s="80" t="str">
        <f>HYPERLINK("https://pbs.twimg.com/media/F0_4i0JX0AAsNhl.png")</f>
        <v>https://pbs.twimg.com/media/F0_4i0JX0AAsNhl.png</v>
      </c>
      <c r="AW1646" s="82" t="s">
        <v>13245</v>
      </c>
      <c r="AX1646" s="82" t="s">
        <v>13245</v>
      </c>
      <c r="AY1646" s="77"/>
      <c r="AZ1646" s="82" t="s">
        <v>15984</v>
      </c>
      <c r="BA1646" s="82" t="s">
        <v>15984</v>
      </c>
      <c r="BB1646" s="82" t="s">
        <v>15984</v>
      </c>
      <c r="BC1646" s="82" t="s">
        <v>13245</v>
      </c>
      <c r="BD1646" s="77">
        <v>352118324</v>
      </c>
      <c r="BE1646" s="77"/>
      <c r="BF1646" s="77"/>
      <c r="BG1646" s="77"/>
      <c r="BH1646" s="77"/>
      <c r="BI1646" s="77"/>
    </row>
    <row r="1647" spans="1:61" x14ac:dyDescent="0.25">
      <c r="A1647" s="62" t="s">
        <v>662</v>
      </c>
      <c r="B1647" s="62" t="s">
        <v>662</v>
      </c>
      <c r="C1647" s="63"/>
      <c r="D1647" s="64"/>
      <c r="E1647" s="65"/>
      <c r="F1647" s="66"/>
      <c r="G1647" s="63"/>
      <c r="H1647" s="67"/>
      <c r="I1647" s="68"/>
      <c r="J1647" s="68"/>
      <c r="K1647" s="32"/>
      <c r="L1647" s="75">
        <v>1647</v>
      </c>
      <c r="M1647" s="75"/>
      <c r="N1647" s="70"/>
      <c r="O1647" s="77" t="s">
        <v>179</v>
      </c>
      <c r="P1647" s="79">
        <v>45119.472939814812</v>
      </c>
      <c r="Q1647" s="77" t="s">
        <v>2354</v>
      </c>
      <c r="R1647" s="77">
        <v>0</v>
      </c>
      <c r="S1647" s="77">
        <v>0</v>
      </c>
      <c r="T1647" s="77">
        <v>0</v>
      </c>
      <c r="U1647" s="77">
        <v>0</v>
      </c>
      <c r="V1647" s="77">
        <v>23</v>
      </c>
      <c r="W1647" s="82" t="s">
        <v>5657</v>
      </c>
      <c r="X1647" s="77"/>
      <c r="Y1647" s="77"/>
      <c r="Z1647" s="77"/>
      <c r="AA1647" s="77"/>
      <c r="AB1647" s="77"/>
      <c r="AC1647" s="82" t="s">
        <v>7750</v>
      </c>
      <c r="AD1647" s="77" t="s">
        <v>7788</v>
      </c>
      <c r="AE1647" s="80" t="str">
        <f>HYPERLINK("https://twitter.com/activtrades_pt/status/1679088472810745856")</f>
        <v>https://twitter.com/activtrades_pt/status/1679088472810745856</v>
      </c>
      <c r="AF1647" s="79">
        <v>45119.472939814812</v>
      </c>
      <c r="AG1647" s="85">
        <v>45119</v>
      </c>
      <c r="AH1647" s="82" t="s">
        <v>9188</v>
      </c>
      <c r="AI1647" s="77"/>
      <c r="AJ1647" s="77"/>
      <c r="AK1647" s="77"/>
      <c r="AL1647" s="77"/>
      <c r="AM1647" s="77"/>
      <c r="AN1647" s="77"/>
      <c r="AO1647" s="77"/>
      <c r="AP1647" s="77"/>
      <c r="AQ1647" s="77"/>
      <c r="AR1647" s="77"/>
      <c r="AS1647" s="77"/>
      <c r="AT1647" s="77"/>
      <c r="AU1647" s="77"/>
      <c r="AV1647" s="80" t="str">
        <f>HYPERLINK("https://pbs.twimg.com/profile_images/1496044203415064580/VKaLEV6b_normal.jpg")</f>
        <v>https://pbs.twimg.com/profile_images/1496044203415064580/VKaLEV6b_normal.jpg</v>
      </c>
      <c r="AW1647" s="82" t="s">
        <v>13246</v>
      </c>
      <c r="AX1647" s="82" t="s">
        <v>13246</v>
      </c>
      <c r="AY1647" s="77"/>
      <c r="AZ1647" s="82" t="s">
        <v>15984</v>
      </c>
      <c r="BA1647" s="82" t="s">
        <v>15984</v>
      </c>
      <c r="BB1647" s="82" t="s">
        <v>15984</v>
      </c>
      <c r="BC1647" s="82" t="s">
        <v>13246</v>
      </c>
      <c r="BD1647" s="77">
        <v>352118324</v>
      </c>
      <c r="BE1647" s="77"/>
      <c r="BF1647" s="77"/>
      <c r="BG1647" s="77"/>
      <c r="BH1647" s="77"/>
      <c r="BI1647" s="77"/>
    </row>
    <row r="1648" spans="1:61" x14ac:dyDescent="0.25">
      <c r="A1648" s="62" t="s">
        <v>662</v>
      </c>
      <c r="B1648" s="62" t="s">
        <v>662</v>
      </c>
      <c r="C1648" s="63"/>
      <c r="D1648" s="64"/>
      <c r="E1648" s="65"/>
      <c r="F1648" s="66"/>
      <c r="G1648" s="63"/>
      <c r="H1648" s="67"/>
      <c r="I1648" s="68"/>
      <c r="J1648" s="68"/>
      <c r="K1648" s="32"/>
      <c r="L1648" s="75">
        <v>1648</v>
      </c>
      <c r="M1648" s="75"/>
      <c r="N1648" s="70"/>
      <c r="O1648" s="77" t="s">
        <v>179</v>
      </c>
      <c r="P1648" s="79">
        <v>45119.472638888888</v>
      </c>
      <c r="Q1648" s="77" t="s">
        <v>2355</v>
      </c>
      <c r="R1648" s="77">
        <v>0</v>
      </c>
      <c r="S1648" s="77">
        <v>0</v>
      </c>
      <c r="T1648" s="77">
        <v>0</v>
      </c>
      <c r="U1648" s="77">
        <v>0</v>
      </c>
      <c r="V1648" s="77">
        <v>23</v>
      </c>
      <c r="W1648" s="82" t="s">
        <v>5658</v>
      </c>
      <c r="X1648" s="77"/>
      <c r="Y1648" s="77"/>
      <c r="Z1648" s="77"/>
      <c r="AA1648" s="77"/>
      <c r="AB1648" s="77"/>
      <c r="AC1648" s="82" t="s">
        <v>7750</v>
      </c>
      <c r="AD1648" s="77" t="s">
        <v>7788</v>
      </c>
      <c r="AE1648" s="80" t="str">
        <f>HYPERLINK("https://twitter.com/activtrades_pt/status/1679088364811845633")</f>
        <v>https://twitter.com/activtrades_pt/status/1679088364811845633</v>
      </c>
      <c r="AF1648" s="79">
        <v>45119.472638888888</v>
      </c>
      <c r="AG1648" s="85">
        <v>45119</v>
      </c>
      <c r="AH1648" s="82" t="s">
        <v>9189</v>
      </c>
      <c r="AI1648" s="77"/>
      <c r="AJ1648" s="77"/>
      <c r="AK1648" s="77"/>
      <c r="AL1648" s="77"/>
      <c r="AM1648" s="77"/>
      <c r="AN1648" s="77"/>
      <c r="AO1648" s="77"/>
      <c r="AP1648" s="77"/>
      <c r="AQ1648" s="77"/>
      <c r="AR1648" s="77"/>
      <c r="AS1648" s="77"/>
      <c r="AT1648" s="77"/>
      <c r="AU1648" s="77"/>
      <c r="AV1648" s="80" t="str">
        <f>HYPERLINK("https://pbs.twimg.com/profile_images/1496044203415064580/VKaLEV6b_normal.jpg")</f>
        <v>https://pbs.twimg.com/profile_images/1496044203415064580/VKaLEV6b_normal.jpg</v>
      </c>
      <c r="AW1648" s="82" t="s">
        <v>13247</v>
      </c>
      <c r="AX1648" s="82" t="s">
        <v>13247</v>
      </c>
      <c r="AY1648" s="77"/>
      <c r="AZ1648" s="82" t="s">
        <v>15984</v>
      </c>
      <c r="BA1648" s="82" t="s">
        <v>15984</v>
      </c>
      <c r="BB1648" s="82" t="s">
        <v>15984</v>
      </c>
      <c r="BC1648" s="82" t="s">
        <v>13247</v>
      </c>
      <c r="BD1648" s="77">
        <v>352118324</v>
      </c>
      <c r="BE1648" s="77"/>
      <c r="BF1648" s="77"/>
      <c r="BG1648" s="77"/>
      <c r="BH1648" s="77"/>
      <c r="BI1648" s="77"/>
    </row>
    <row r="1649" spans="1:61" x14ac:dyDescent="0.25">
      <c r="A1649" s="62" t="s">
        <v>662</v>
      </c>
      <c r="B1649" s="62" t="s">
        <v>662</v>
      </c>
      <c r="C1649" s="63"/>
      <c r="D1649" s="64"/>
      <c r="E1649" s="65"/>
      <c r="F1649" s="66"/>
      <c r="G1649" s="63"/>
      <c r="H1649" s="67"/>
      <c r="I1649" s="68"/>
      <c r="J1649" s="68"/>
      <c r="K1649" s="32"/>
      <c r="L1649" s="75">
        <v>1649</v>
      </c>
      <c r="M1649" s="75"/>
      <c r="N1649" s="70"/>
      <c r="O1649" s="77" t="s">
        <v>179</v>
      </c>
      <c r="P1649" s="79">
        <v>45135.759884259256</v>
      </c>
      <c r="Q1649" s="77" t="s">
        <v>2356</v>
      </c>
      <c r="R1649" s="77">
        <v>0</v>
      </c>
      <c r="S1649" s="77">
        <v>0</v>
      </c>
      <c r="T1649" s="77">
        <v>0</v>
      </c>
      <c r="U1649" s="77">
        <v>0</v>
      </c>
      <c r="V1649" s="77">
        <v>20</v>
      </c>
      <c r="W1649" s="82" t="s">
        <v>5655</v>
      </c>
      <c r="X1649" s="77"/>
      <c r="Y1649" s="77"/>
      <c r="Z1649" s="77"/>
      <c r="AA1649" s="77"/>
      <c r="AB1649" s="77"/>
      <c r="AC1649" s="82" t="s">
        <v>7750</v>
      </c>
      <c r="AD1649" s="77" t="s">
        <v>7788</v>
      </c>
      <c r="AE1649" s="80" t="str">
        <f>HYPERLINK("https://twitter.com/activtrades_pt/status/1684990665342496777")</f>
        <v>https://twitter.com/activtrades_pt/status/1684990665342496777</v>
      </c>
      <c r="AF1649" s="79">
        <v>45135.759884259256</v>
      </c>
      <c r="AG1649" s="85">
        <v>45135</v>
      </c>
      <c r="AH1649" s="82" t="s">
        <v>9190</v>
      </c>
      <c r="AI1649" s="77"/>
      <c r="AJ1649" s="77"/>
      <c r="AK1649" s="77"/>
      <c r="AL1649" s="77"/>
      <c r="AM1649" s="77"/>
      <c r="AN1649" s="77"/>
      <c r="AO1649" s="77"/>
      <c r="AP1649" s="77"/>
      <c r="AQ1649" s="77"/>
      <c r="AR1649" s="77"/>
      <c r="AS1649" s="77"/>
      <c r="AT1649" s="77"/>
      <c r="AU1649" s="77"/>
      <c r="AV1649" s="80" t="str">
        <f>HYPERLINK("https://pbs.twimg.com/profile_images/1496044203415064580/VKaLEV6b_normal.jpg")</f>
        <v>https://pbs.twimg.com/profile_images/1496044203415064580/VKaLEV6b_normal.jpg</v>
      </c>
      <c r="AW1649" s="82" t="s">
        <v>13248</v>
      </c>
      <c r="AX1649" s="82" t="s">
        <v>13248</v>
      </c>
      <c r="AY1649" s="77"/>
      <c r="AZ1649" s="82" t="s">
        <v>15984</v>
      </c>
      <c r="BA1649" s="82" t="s">
        <v>15984</v>
      </c>
      <c r="BB1649" s="82" t="s">
        <v>15984</v>
      </c>
      <c r="BC1649" s="82" t="s">
        <v>13248</v>
      </c>
      <c r="BD1649" s="77">
        <v>352118324</v>
      </c>
      <c r="BE1649" s="77"/>
      <c r="BF1649" s="77"/>
      <c r="BG1649" s="77"/>
      <c r="BH1649" s="77"/>
      <c r="BI1649" s="77"/>
    </row>
    <row r="1650" spans="1:61" x14ac:dyDescent="0.25">
      <c r="A1650" s="62" t="s">
        <v>662</v>
      </c>
      <c r="B1650" s="62" t="s">
        <v>662</v>
      </c>
      <c r="C1650" s="63"/>
      <c r="D1650" s="64"/>
      <c r="E1650" s="65"/>
      <c r="F1650" s="66"/>
      <c r="G1650" s="63"/>
      <c r="H1650" s="67"/>
      <c r="I1650" s="68"/>
      <c r="J1650" s="68"/>
      <c r="K1650" s="32"/>
      <c r="L1650" s="75">
        <v>1650</v>
      </c>
      <c r="M1650" s="75"/>
      <c r="N1650" s="70"/>
      <c r="O1650" s="77" t="s">
        <v>179</v>
      </c>
      <c r="P1650" s="79">
        <v>45135.759525462963</v>
      </c>
      <c r="Q1650" s="77" t="s">
        <v>2357</v>
      </c>
      <c r="R1650" s="77">
        <v>0</v>
      </c>
      <c r="S1650" s="77">
        <v>0</v>
      </c>
      <c r="T1650" s="77">
        <v>0</v>
      </c>
      <c r="U1650" s="77">
        <v>0</v>
      </c>
      <c r="V1650" s="77">
        <v>27</v>
      </c>
      <c r="W1650" s="82" t="s">
        <v>5659</v>
      </c>
      <c r="X1650" s="77"/>
      <c r="Y1650" s="77"/>
      <c r="Z1650" s="77"/>
      <c r="AA1650" s="77"/>
      <c r="AB1650" s="77"/>
      <c r="AC1650" s="82" t="s">
        <v>7750</v>
      </c>
      <c r="AD1650" s="77" t="s">
        <v>7788</v>
      </c>
      <c r="AE1650" s="80" t="str">
        <f>HYPERLINK("https://twitter.com/activtrades_pt/status/1684990532043321369")</f>
        <v>https://twitter.com/activtrades_pt/status/1684990532043321369</v>
      </c>
      <c r="AF1650" s="79">
        <v>45135.759525462963</v>
      </c>
      <c r="AG1650" s="85">
        <v>45135</v>
      </c>
      <c r="AH1650" s="82" t="s">
        <v>9191</v>
      </c>
      <c r="AI1650" s="77"/>
      <c r="AJ1650" s="77"/>
      <c r="AK1650" s="77"/>
      <c r="AL1650" s="77"/>
      <c r="AM1650" s="77"/>
      <c r="AN1650" s="77"/>
      <c r="AO1650" s="77"/>
      <c r="AP1650" s="77"/>
      <c r="AQ1650" s="77"/>
      <c r="AR1650" s="77"/>
      <c r="AS1650" s="77"/>
      <c r="AT1650" s="77"/>
      <c r="AU1650" s="77"/>
      <c r="AV1650" s="80" t="str">
        <f>HYPERLINK("https://pbs.twimg.com/profile_images/1496044203415064580/VKaLEV6b_normal.jpg")</f>
        <v>https://pbs.twimg.com/profile_images/1496044203415064580/VKaLEV6b_normal.jpg</v>
      </c>
      <c r="AW1650" s="82" t="s">
        <v>13249</v>
      </c>
      <c r="AX1650" s="82" t="s">
        <v>13249</v>
      </c>
      <c r="AY1650" s="77"/>
      <c r="AZ1650" s="82" t="s">
        <v>15984</v>
      </c>
      <c r="BA1650" s="82" t="s">
        <v>15984</v>
      </c>
      <c r="BB1650" s="82" t="s">
        <v>15984</v>
      </c>
      <c r="BC1650" s="82" t="s">
        <v>13249</v>
      </c>
      <c r="BD1650" s="77">
        <v>352118324</v>
      </c>
      <c r="BE1650" s="77"/>
      <c r="BF1650" s="77"/>
      <c r="BG1650" s="77"/>
      <c r="BH1650" s="77"/>
      <c r="BI1650" s="77"/>
    </row>
    <row r="1651" spans="1:61" x14ac:dyDescent="0.25">
      <c r="A1651" s="62" t="s">
        <v>662</v>
      </c>
      <c r="B1651" s="62" t="s">
        <v>662</v>
      </c>
      <c r="C1651" s="63"/>
      <c r="D1651" s="64"/>
      <c r="E1651" s="65"/>
      <c r="F1651" s="66"/>
      <c r="G1651" s="63"/>
      <c r="H1651" s="67"/>
      <c r="I1651" s="68"/>
      <c r="J1651" s="68"/>
      <c r="K1651" s="32"/>
      <c r="L1651" s="75">
        <v>1651</v>
      </c>
      <c r="M1651" s="75"/>
      <c r="N1651" s="70"/>
      <c r="O1651" s="77" t="s">
        <v>179</v>
      </c>
      <c r="P1651" s="79">
        <v>45145.586064814815</v>
      </c>
      <c r="Q1651" s="77" t="s">
        <v>2358</v>
      </c>
      <c r="R1651" s="77">
        <v>0</v>
      </c>
      <c r="S1651" s="77">
        <v>0</v>
      </c>
      <c r="T1651" s="77">
        <v>0</v>
      </c>
      <c r="U1651" s="77">
        <v>0</v>
      </c>
      <c r="V1651" s="77">
        <v>86</v>
      </c>
      <c r="W1651" s="82" t="s">
        <v>4839</v>
      </c>
      <c r="X1651" s="77"/>
      <c r="Y1651" s="77"/>
      <c r="Z1651" s="77"/>
      <c r="AA1651" s="77" t="s">
        <v>7423</v>
      </c>
      <c r="AB1651" s="77" t="s">
        <v>7742</v>
      </c>
      <c r="AC1651" s="82" t="s">
        <v>7750</v>
      </c>
      <c r="AD1651" s="77" t="s">
        <v>7788</v>
      </c>
      <c r="AE1651" s="80" t="str">
        <f>HYPERLINK("https://twitter.com/activtrades_pt/status/1688551552762466304")</f>
        <v>https://twitter.com/activtrades_pt/status/1688551552762466304</v>
      </c>
      <c r="AF1651" s="79">
        <v>45145.586064814815</v>
      </c>
      <c r="AG1651" s="85">
        <v>45145</v>
      </c>
      <c r="AH1651" s="82" t="s">
        <v>9192</v>
      </c>
      <c r="AI1651" s="77" t="b">
        <v>0</v>
      </c>
      <c r="AJ1651" s="77"/>
      <c r="AK1651" s="77"/>
      <c r="AL1651" s="77"/>
      <c r="AM1651" s="77"/>
      <c r="AN1651" s="77"/>
      <c r="AO1651" s="77"/>
      <c r="AP1651" s="77"/>
      <c r="AQ1651" s="77" t="s">
        <v>11395</v>
      </c>
      <c r="AR1651" s="77"/>
      <c r="AS1651" s="77"/>
      <c r="AT1651" s="77"/>
      <c r="AU1651" s="77"/>
      <c r="AV1651" s="80" t="str">
        <f>HYPERLINK("https://pbs.twimg.com/media/F27wr8wW0AAMqWj.png")</f>
        <v>https://pbs.twimg.com/media/F27wr8wW0AAMqWj.png</v>
      </c>
      <c r="AW1651" s="82" t="s">
        <v>13250</v>
      </c>
      <c r="AX1651" s="82" t="s">
        <v>13250</v>
      </c>
      <c r="AY1651" s="77"/>
      <c r="AZ1651" s="82" t="s">
        <v>15984</v>
      </c>
      <c r="BA1651" s="82" t="s">
        <v>15984</v>
      </c>
      <c r="BB1651" s="82" t="s">
        <v>15984</v>
      </c>
      <c r="BC1651" s="82" t="s">
        <v>13250</v>
      </c>
      <c r="BD1651" s="77">
        <v>352118324</v>
      </c>
      <c r="BE1651" s="77"/>
      <c r="BF1651" s="77"/>
      <c r="BG1651" s="77"/>
      <c r="BH1651" s="77"/>
      <c r="BI1651" s="77"/>
    </row>
    <row r="1652" spans="1:61" x14ac:dyDescent="0.25">
      <c r="A1652" s="62" t="s">
        <v>662</v>
      </c>
      <c r="B1652" s="62" t="s">
        <v>662</v>
      </c>
      <c r="C1652" s="63"/>
      <c r="D1652" s="64"/>
      <c r="E1652" s="65"/>
      <c r="F1652" s="66"/>
      <c r="G1652" s="63"/>
      <c r="H1652" s="67"/>
      <c r="I1652" s="68"/>
      <c r="J1652" s="68"/>
      <c r="K1652" s="32"/>
      <c r="L1652" s="75">
        <v>1652</v>
      </c>
      <c r="M1652" s="75"/>
      <c r="N1652" s="70"/>
      <c r="O1652" s="77" t="s">
        <v>179</v>
      </c>
      <c r="P1652" s="79">
        <v>45142.736805555556</v>
      </c>
      <c r="Q1652" s="77" t="s">
        <v>2359</v>
      </c>
      <c r="R1652" s="77">
        <v>0</v>
      </c>
      <c r="S1652" s="77">
        <v>0</v>
      </c>
      <c r="T1652" s="77">
        <v>0</v>
      </c>
      <c r="U1652" s="77">
        <v>0</v>
      </c>
      <c r="V1652" s="77">
        <v>47</v>
      </c>
      <c r="W1652" s="82" t="s">
        <v>5660</v>
      </c>
      <c r="X1652" s="77"/>
      <c r="Y1652" s="77"/>
      <c r="Z1652" s="77"/>
      <c r="AA1652" s="77"/>
      <c r="AB1652" s="77"/>
      <c r="AC1652" s="82" t="s">
        <v>7750</v>
      </c>
      <c r="AD1652" s="77" t="s">
        <v>7788</v>
      </c>
      <c r="AE1652" s="80" t="str">
        <f>HYPERLINK("https://twitter.com/activtrades_pt/status/1687519016514965510")</f>
        <v>https://twitter.com/activtrades_pt/status/1687519016514965510</v>
      </c>
      <c r="AF1652" s="79">
        <v>45142.736805555556</v>
      </c>
      <c r="AG1652" s="85">
        <v>45142</v>
      </c>
      <c r="AH1652" s="82" t="s">
        <v>9193</v>
      </c>
      <c r="AI1652" s="77"/>
      <c r="AJ1652" s="77"/>
      <c r="AK1652" s="77"/>
      <c r="AL1652" s="77"/>
      <c r="AM1652" s="77"/>
      <c r="AN1652" s="77"/>
      <c r="AO1652" s="77"/>
      <c r="AP1652" s="77"/>
      <c r="AQ1652" s="77"/>
      <c r="AR1652" s="77"/>
      <c r="AS1652" s="77"/>
      <c r="AT1652" s="77"/>
      <c r="AU1652" s="77"/>
      <c r="AV1652" s="80" t="str">
        <f>HYPERLINK("https://pbs.twimg.com/profile_images/1496044203415064580/VKaLEV6b_normal.jpg")</f>
        <v>https://pbs.twimg.com/profile_images/1496044203415064580/VKaLEV6b_normal.jpg</v>
      </c>
      <c r="AW1652" s="82" t="s">
        <v>13251</v>
      </c>
      <c r="AX1652" s="82" t="s">
        <v>13251</v>
      </c>
      <c r="AY1652" s="77"/>
      <c r="AZ1652" s="82" t="s">
        <v>15984</v>
      </c>
      <c r="BA1652" s="82" t="s">
        <v>15984</v>
      </c>
      <c r="BB1652" s="82" t="s">
        <v>15984</v>
      </c>
      <c r="BC1652" s="82" t="s">
        <v>13251</v>
      </c>
      <c r="BD1652" s="77">
        <v>352118324</v>
      </c>
      <c r="BE1652" s="77"/>
      <c r="BF1652" s="77"/>
      <c r="BG1652" s="77"/>
      <c r="BH1652" s="77"/>
      <c r="BI1652" s="77"/>
    </row>
    <row r="1653" spans="1:61" x14ac:dyDescent="0.25">
      <c r="A1653" s="62" t="s">
        <v>662</v>
      </c>
      <c r="B1653" s="62" t="s">
        <v>662</v>
      </c>
      <c r="C1653" s="63"/>
      <c r="D1653" s="64"/>
      <c r="E1653" s="65"/>
      <c r="F1653" s="66"/>
      <c r="G1653" s="63"/>
      <c r="H1653" s="67"/>
      <c r="I1653" s="68"/>
      <c r="J1653" s="68"/>
      <c r="K1653" s="32"/>
      <c r="L1653" s="75">
        <v>1653</v>
      </c>
      <c r="M1653" s="75"/>
      <c r="N1653" s="70"/>
      <c r="O1653" s="77" t="s">
        <v>179</v>
      </c>
      <c r="P1653" s="79">
        <v>45184.812164351853</v>
      </c>
      <c r="Q1653" s="77" t="s">
        <v>2360</v>
      </c>
      <c r="R1653" s="77">
        <v>0</v>
      </c>
      <c r="S1653" s="77">
        <v>0</v>
      </c>
      <c r="T1653" s="77">
        <v>0</v>
      </c>
      <c r="U1653" s="77">
        <v>0</v>
      </c>
      <c r="V1653" s="77">
        <v>62</v>
      </c>
      <c r="W1653" s="82" t="s">
        <v>4839</v>
      </c>
      <c r="X1653" s="77"/>
      <c r="Y1653" s="77"/>
      <c r="Z1653" s="77"/>
      <c r="AA1653" s="77"/>
      <c r="AB1653" s="77"/>
      <c r="AC1653" s="82" t="s">
        <v>7750</v>
      </c>
      <c r="AD1653" s="77" t="s">
        <v>7788</v>
      </c>
      <c r="AE1653" s="80" t="str">
        <f>HYPERLINK("https://twitter.com/activtrades_pt/status/1702766615987626195")</f>
        <v>https://twitter.com/activtrades_pt/status/1702766615987626195</v>
      </c>
      <c r="AF1653" s="79">
        <v>45184.812164351853</v>
      </c>
      <c r="AG1653" s="85">
        <v>45184</v>
      </c>
      <c r="AH1653" s="82" t="s">
        <v>9194</v>
      </c>
      <c r="AI1653" s="77"/>
      <c r="AJ1653" s="77"/>
      <c r="AK1653" s="77"/>
      <c r="AL1653" s="77"/>
      <c r="AM1653" s="77"/>
      <c r="AN1653" s="77"/>
      <c r="AO1653" s="77"/>
      <c r="AP1653" s="77"/>
      <c r="AQ1653" s="77"/>
      <c r="AR1653" s="77"/>
      <c r="AS1653" s="77"/>
      <c r="AT1653" s="77"/>
      <c r="AU1653" s="77"/>
      <c r="AV1653" s="80" t="str">
        <f>HYPERLINK("https://pbs.twimg.com/profile_images/1496044203415064580/VKaLEV6b_normal.jpg")</f>
        <v>https://pbs.twimg.com/profile_images/1496044203415064580/VKaLEV6b_normal.jpg</v>
      </c>
      <c r="AW1653" s="82" t="s">
        <v>13252</v>
      </c>
      <c r="AX1653" s="82" t="s">
        <v>13252</v>
      </c>
      <c r="AY1653" s="77"/>
      <c r="AZ1653" s="82" t="s">
        <v>15984</v>
      </c>
      <c r="BA1653" s="82" t="s">
        <v>15984</v>
      </c>
      <c r="BB1653" s="82" t="s">
        <v>15984</v>
      </c>
      <c r="BC1653" s="82" t="s">
        <v>13252</v>
      </c>
      <c r="BD1653" s="77">
        <v>352118324</v>
      </c>
      <c r="BE1653" s="77"/>
      <c r="BF1653" s="77"/>
      <c r="BG1653" s="77"/>
      <c r="BH1653" s="77"/>
      <c r="BI1653" s="77"/>
    </row>
    <row r="1654" spans="1:61" x14ac:dyDescent="0.25">
      <c r="A1654" s="62" t="s">
        <v>662</v>
      </c>
      <c r="B1654" s="62" t="s">
        <v>662</v>
      </c>
      <c r="C1654" s="63"/>
      <c r="D1654" s="64"/>
      <c r="E1654" s="65"/>
      <c r="F1654" s="66"/>
      <c r="G1654" s="63"/>
      <c r="H1654" s="67"/>
      <c r="I1654" s="68"/>
      <c r="J1654" s="68"/>
      <c r="K1654" s="32"/>
      <c r="L1654" s="75">
        <v>1654</v>
      </c>
      <c r="M1654" s="75"/>
      <c r="N1654" s="70"/>
      <c r="O1654" s="77" t="s">
        <v>179</v>
      </c>
      <c r="P1654" s="79">
        <v>45184.804722222223</v>
      </c>
      <c r="Q1654" s="77" t="s">
        <v>2361</v>
      </c>
      <c r="R1654" s="77">
        <v>0</v>
      </c>
      <c r="S1654" s="77">
        <v>0</v>
      </c>
      <c r="T1654" s="77">
        <v>0</v>
      </c>
      <c r="U1654" s="77">
        <v>0</v>
      </c>
      <c r="V1654" s="77">
        <v>19</v>
      </c>
      <c r="W1654" s="82" t="s">
        <v>4839</v>
      </c>
      <c r="X1654" s="77"/>
      <c r="Y1654" s="77"/>
      <c r="Z1654" s="77"/>
      <c r="AA1654" s="77"/>
      <c r="AB1654" s="77"/>
      <c r="AC1654" s="82" t="s">
        <v>7750</v>
      </c>
      <c r="AD1654" s="77" t="s">
        <v>7788</v>
      </c>
      <c r="AE1654" s="80" t="str">
        <f>HYPERLINK("https://twitter.com/activtrades_pt/status/1702763919004119069")</f>
        <v>https://twitter.com/activtrades_pt/status/1702763919004119069</v>
      </c>
      <c r="AF1654" s="79">
        <v>45184.804722222223</v>
      </c>
      <c r="AG1654" s="85">
        <v>45184</v>
      </c>
      <c r="AH1654" s="82" t="s">
        <v>9195</v>
      </c>
      <c r="AI1654" s="77"/>
      <c r="AJ1654" s="77"/>
      <c r="AK1654" s="77"/>
      <c r="AL1654" s="77"/>
      <c r="AM1654" s="77"/>
      <c r="AN1654" s="77"/>
      <c r="AO1654" s="77"/>
      <c r="AP1654" s="77"/>
      <c r="AQ1654" s="77"/>
      <c r="AR1654" s="77"/>
      <c r="AS1654" s="77"/>
      <c r="AT1654" s="77"/>
      <c r="AU1654" s="77"/>
      <c r="AV1654" s="80" t="str">
        <f>HYPERLINK("https://pbs.twimg.com/profile_images/1496044203415064580/VKaLEV6b_normal.jpg")</f>
        <v>https://pbs.twimg.com/profile_images/1496044203415064580/VKaLEV6b_normal.jpg</v>
      </c>
      <c r="AW1654" s="82" t="s">
        <v>13253</v>
      </c>
      <c r="AX1654" s="82" t="s">
        <v>13253</v>
      </c>
      <c r="AY1654" s="77"/>
      <c r="AZ1654" s="82" t="s">
        <v>15984</v>
      </c>
      <c r="BA1654" s="82" t="s">
        <v>15984</v>
      </c>
      <c r="BB1654" s="82" t="s">
        <v>15984</v>
      </c>
      <c r="BC1654" s="82" t="s">
        <v>13253</v>
      </c>
      <c r="BD1654" s="77">
        <v>352118324</v>
      </c>
      <c r="BE1654" s="77"/>
      <c r="BF1654" s="77"/>
      <c r="BG1654" s="77"/>
      <c r="BH1654" s="77"/>
      <c r="BI1654" s="77"/>
    </row>
    <row r="1655" spans="1:61" x14ac:dyDescent="0.25">
      <c r="A1655" s="62" t="s">
        <v>662</v>
      </c>
      <c r="B1655" s="62" t="s">
        <v>662</v>
      </c>
      <c r="C1655" s="63"/>
      <c r="D1655" s="64"/>
      <c r="E1655" s="65"/>
      <c r="F1655" s="66"/>
      <c r="G1655" s="63"/>
      <c r="H1655" s="67"/>
      <c r="I1655" s="68"/>
      <c r="J1655" s="68"/>
      <c r="K1655" s="32"/>
      <c r="L1655" s="75">
        <v>1655</v>
      </c>
      <c r="M1655" s="75"/>
      <c r="N1655" s="70"/>
      <c r="O1655" s="77" t="s">
        <v>179</v>
      </c>
      <c r="P1655" s="79">
        <v>45184.802361111113</v>
      </c>
      <c r="Q1655" s="77" t="s">
        <v>2362</v>
      </c>
      <c r="R1655" s="77">
        <v>0</v>
      </c>
      <c r="S1655" s="77">
        <v>0</v>
      </c>
      <c r="T1655" s="77">
        <v>0</v>
      </c>
      <c r="U1655" s="77">
        <v>0</v>
      </c>
      <c r="V1655" s="77">
        <v>24</v>
      </c>
      <c r="W1655" s="82" t="s">
        <v>4839</v>
      </c>
      <c r="X1655" s="77"/>
      <c r="Y1655" s="77"/>
      <c r="Z1655" s="77"/>
      <c r="AA1655" s="77"/>
      <c r="AB1655" s="77"/>
      <c r="AC1655" s="82" t="s">
        <v>7750</v>
      </c>
      <c r="AD1655" s="77" t="s">
        <v>7788</v>
      </c>
      <c r="AE1655" s="80" t="str">
        <f>HYPERLINK("https://twitter.com/activtrades_pt/status/1702763061197582590")</f>
        <v>https://twitter.com/activtrades_pt/status/1702763061197582590</v>
      </c>
      <c r="AF1655" s="79">
        <v>45184.802361111113</v>
      </c>
      <c r="AG1655" s="85">
        <v>45184</v>
      </c>
      <c r="AH1655" s="82" t="s">
        <v>9196</v>
      </c>
      <c r="AI1655" s="77"/>
      <c r="AJ1655" s="77"/>
      <c r="AK1655" s="77"/>
      <c r="AL1655" s="77"/>
      <c r="AM1655" s="77"/>
      <c r="AN1655" s="77"/>
      <c r="AO1655" s="77"/>
      <c r="AP1655" s="77"/>
      <c r="AQ1655" s="77"/>
      <c r="AR1655" s="77"/>
      <c r="AS1655" s="77"/>
      <c r="AT1655" s="77"/>
      <c r="AU1655" s="77"/>
      <c r="AV1655" s="80" t="str">
        <f>HYPERLINK("https://pbs.twimg.com/profile_images/1496044203415064580/VKaLEV6b_normal.jpg")</f>
        <v>https://pbs.twimg.com/profile_images/1496044203415064580/VKaLEV6b_normal.jpg</v>
      </c>
      <c r="AW1655" s="82" t="s">
        <v>13254</v>
      </c>
      <c r="AX1655" s="82" t="s">
        <v>13254</v>
      </c>
      <c r="AY1655" s="77"/>
      <c r="AZ1655" s="82" t="s">
        <v>15984</v>
      </c>
      <c r="BA1655" s="82" t="s">
        <v>15984</v>
      </c>
      <c r="BB1655" s="82" t="s">
        <v>15984</v>
      </c>
      <c r="BC1655" s="82" t="s">
        <v>13254</v>
      </c>
      <c r="BD1655" s="77">
        <v>352118324</v>
      </c>
      <c r="BE1655" s="77"/>
      <c r="BF1655" s="77"/>
      <c r="BG1655" s="77"/>
      <c r="BH1655" s="77"/>
      <c r="BI1655" s="77"/>
    </row>
    <row r="1656" spans="1:61" x14ac:dyDescent="0.25">
      <c r="A1656" s="62" t="s">
        <v>662</v>
      </c>
      <c r="B1656" s="62" t="s">
        <v>662</v>
      </c>
      <c r="C1656" s="63"/>
      <c r="D1656" s="64"/>
      <c r="E1656" s="65"/>
      <c r="F1656" s="66"/>
      <c r="G1656" s="63"/>
      <c r="H1656" s="67"/>
      <c r="I1656" s="68"/>
      <c r="J1656" s="68"/>
      <c r="K1656" s="32"/>
      <c r="L1656" s="75">
        <v>1656</v>
      </c>
      <c r="M1656" s="75"/>
      <c r="N1656" s="70"/>
      <c r="O1656" s="77" t="s">
        <v>179</v>
      </c>
      <c r="P1656" s="79">
        <v>45184.801655092589</v>
      </c>
      <c r="Q1656" s="77" t="s">
        <v>2363</v>
      </c>
      <c r="R1656" s="77">
        <v>0</v>
      </c>
      <c r="S1656" s="77">
        <v>0</v>
      </c>
      <c r="T1656" s="77">
        <v>0</v>
      </c>
      <c r="U1656" s="77">
        <v>0</v>
      </c>
      <c r="V1656" s="77">
        <v>22</v>
      </c>
      <c r="W1656" s="82" t="s">
        <v>4839</v>
      </c>
      <c r="X1656" s="77"/>
      <c r="Y1656" s="77"/>
      <c r="Z1656" s="77"/>
      <c r="AA1656" s="77"/>
      <c r="AB1656" s="77"/>
      <c r="AC1656" s="82" t="s">
        <v>7750</v>
      </c>
      <c r="AD1656" s="77" t="s">
        <v>7788</v>
      </c>
      <c r="AE1656" s="80" t="str">
        <f>HYPERLINK("https://twitter.com/activtrades_pt/status/1702762805248573876")</f>
        <v>https://twitter.com/activtrades_pt/status/1702762805248573876</v>
      </c>
      <c r="AF1656" s="79">
        <v>45184.801655092589</v>
      </c>
      <c r="AG1656" s="85">
        <v>45184</v>
      </c>
      <c r="AH1656" s="82" t="s">
        <v>9197</v>
      </c>
      <c r="AI1656" s="77"/>
      <c r="AJ1656" s="77"/>
      <c r="AK1656" s="77"/>
      <c r="AL1656" s="77"/>
      <c r="AM1656" s="77"/>
      <c r="AN1656" s="77"/>
      <c r="AO1656" s="77"/>
      <c r="AP1656" s="77"/>
      <c r="AQ1656" s="77"/>
      <c r="AR1656" s="77"/>
      <c r="AS1656" s="77"/>
      <c r="AT1656" s="77"/>
      <c r="AU1656" s="77"/>
      <c r="AV1656" s="80" t="str">
        <f>HYPERLINK("https://pbs.twimg.com/profile_images/1496044203415064580/VKaLEV6b_normal.jpg")</f>
        <v>https://pbs.twimg.com/profile_images/1496044203415064580/VKaLEV6b_normal.jpg</v>
      </c>
      <c r="AW1656" s="82" t="s">
        <v>13255</v>
      </c>
      <c r="AX1656" s="82" t="s">
        <v>13255</v>
      </c>
      <c r="AY1656" s="77"/>
      <c r="AZ1656" s="82" t="s">
        <v>15984</v>
      </c>
      <c r="BA1656" s="82" t="s">
        <v>15984</v>
      </c>
      <c r="BB1656" s="82" t="s">
        <v>15984</v>
      </c>
      <c r="BC1656" s="82" t="s">
        <v>13255</v>
      </c>
      <c r="BD1656" s="77">
        <v>352118324</v>
      </c>
      <c r="BE1656" s="77"/>
      <c r="BF1656" s="77"/>
      <c r="BG1656" s="77"/>
      <c r="BH1656" s="77"/>
      <c r="BI1656" s="77"/>
    </row>
    <row r="1657" spans="1:61" x14ac:dyDescent="0.25">
      <c r="A1657" s="62" t="s">
        <v>662</v>
      </c>
      <c r="B1657" s="62" t="s">
        <v>662</v>
      </c>
      <c r="C1657" s="63"/>
      <c r="D1657" s="64"/>
      <c r="E1657" s="65"/>
      <c r="F1657" s="66"/>
      <c r="G1657" s="63"/>
      <c r="H1657" s="67"/>
      <c r="I1657" s="68"/>
      <c r="J1657" s="68"/>
      <c r="K1657" s="32"/>
      <c r="L1657" s="75">
        <v>1657</v>
      </c>
      <c r="M1657" s="75"/>
      <c r="N1657" s="70"/>
      <c r="O1657" s="77" t="s">
        <v>179</v>
      </c>
      <c r="P1657" s="79">
        <v>45184.769826388889</v>
      </c>
      <c r="Q1657" s="77" t="s">
        <v>2364</v>
      </c>
      <c r="R1657" s="77">
        <v>0</v>
      </c>
      <c r="S1657" s="77">
        <v>0</v>
      </c>
      <c r="T1657" s="77">
        <v>0</v>
      </c>
      <c r="U1657" s="77">
        <v>0</v>
      </c>
      <c r="V1657" s="77">
        <v>22</v>
      </c>
      <c r="W1657" s="82" t="s">
        <v>4839</v>
      </c>
      <c r="X1657" s="77"/>
      <c r="Y1657" s="77"/>
      <c r="Z1657" s="77"/>
      <c r="AA1657" s="77"/>
      <c r="AB1657" s="77"/>
      <c r="AC1657" s="82" t="s">
        <v>7750</v>
      </c>
      <c r="AD1657" s="77" t="s">
        <v>7788</v>
      </c>
      <c r="AE1657" s="80" t="str">
        <f>HYPERLINK("https://twitter.com/activtrades_pt/status/1702751273433309536")</f>
        <v>https://twitter.com/activtrades_pt/status/1702751273433309536</v>
      </c>
      <c r="AF1657" s="79">
        <v>45184.769826388889</v>
      </c>
      <c r="AG1657" s="85">
        <v>45184</v>
      </c>
      <c r="AH1657" s="82" t="s">
        <v>9198</v>
      </c>
      <c r="AI1657" s="77"/>
      <c r="AJ1657" s="77"/>
      <c r="AK1657" s="77"/>
      <c r="AL1657" s="77"/>
      <c r="AM1657" s="77"/>
      <c r="AN1657" s="77"/>
      <c r="AO1657" s="77"/>
      <c r="AP1657" s="77"/>
      <c r="AQ1657" s="77"/>
      <c r="AR1657" s="77"/>
      <c r="AS1657" s="77"/>
      <c r="AT1657" s="77"/>
      <c r="AU1657" s="77"/>
      <c r="AV1657" s="80" t="str">
        <f>HYPERLINK("https://pbs.twimg.com/profile_images/1496044203415064580/VKaLEV6b_normal.jpg")</f>
        <v>https://pbs.twimg.com/profile_images/1496044203415064580/VKaLEV6b_normal.jpg</v>
      </c>
      <c r="AW1657" s="82" t="s">
        <v>13256</v>
      </c>
      <c r="AX1657" s="82" t="s">
        <v>13256</v>
      </c>
      <c r="AY1657" s="77"/>
      <c r="AZ1657" s="82" t="s">
        <v>15984</v>
      </c>
      <c r="BA1657" s="82" t="s">
        <v>15984</v>
      </c>
      <c r="BB1657" s="82" t="s">
        <v>15984</v>
      </c>
      <c r="BC1657" s="82" t="s">
        <v>13256</v>
      </c>
      <c r="BD1657" s="77">
        <v>352118324</v>
      </c>
      <c r="BE1657" s="77"/>
      <c r="BF1657" s="77"/>
      <c r="BG1657" s="77"/>
      <c r="BH1657" s="77"/>
      <c r="BI1657" s="77"/>
    </row>
    <row r="1658" spans="1:61" x14ac:dyDescent="0.25">
      <c r="A1658" s="62" t="s">
        <v>662</v>
      </c>
      <c r="B1658" s="62" t="s">
        <v>662</v>
      </c>
      <c r="C1658" s="63"/>
      <c r="D1658" s="64"/>
      <c r="E1658" s="65"/>
      <c r="F1658" s="66"/>
      <c r="G1658" s="63"/>
      <c r="H1658" s="67"/>
      <c r="I1658" s="68"/>
      <c r="J1658" s="68"/>
      <c r="K1658" s="32"/>
      <c r="L1658" s="75">
        <v>1658</v>
      </c>
      <c r="M1658" s="75"/>
      <c r="N1658" s="70"/>
      <c r="O1658" s="77" t="s">
        <v>179</v>
      </c>
      <c r="P1658" s="79">
        <v>45184.700740740744</v>
      </c>
      <c r="Q1658" s="77" t="s">
        <v>2365</v>
      </c>
      <c r="R1658" s="77">
        <v>0</v>
      </c>
      <c r="S1658" s="77">
        <v>0</v>
      </c>
      <c r="T1658" s="77">
        <v>0</v>
      </c>
      <c r="U1658" s="77">
        <v>0</v>
      </c>
      <c r="V1658" s="77">
        <v>26</v>
      </c>
      <c r="W1658" s="82" t="s">
        <v>4839</v>
      </c>
      <c r="X1658" s="77"/>
      <c r="Y1658" s="77"/>
      <c r="Z1658" s="77"/>
      <c r="AA1658" s="77"/>
      <c r="AB1658" s="77"/>
      <c r="AC1658" s="82" t="s">
        <v>7750</v>
      </c>
      <c r="AD1658" s="77" t="s">
        <v>7788</v>
      </c>
      <c r="AE1658" s="80" t="str">
        <f>HYPERLINK("https://twitter.com/activtrades_pt/status/1702726235116233027")</f>
        <v>https://twitter.com/activtrades_pt/status/1702726235116233027</v>
      </c>
      <c r="AF1658" s="79">
        <v>45184.700740740744</v>
      </c>
      <c r="AG1658" s="85">
        <v>45184</v>
      </c>
      <c r="AH1658" s="82" t="s">
        <v>9199</v>
      </c>
      <c r="AI1658" s="77"/>
      <c r="AJ1658" s="77"/>
      <c r="AK1658" s="77"/>
      <c r="AL1658" s="77"/>
      <c r="AM1658" s="77"/>
      <c r="AN1658" s="77"/>
      <c r="AO1658" s="77"/>
      <c r="AP1658" s="77"/>
      <c r="AQ1658" s="77"/>
      <c r="AR1658" s="77"/>
      <c r="AS1658" s="77"/>
      <c r="AT1658" s="77"/>
      <c r="AU1658" s="77"/>
      <c r="AV1658" s="80" t="str">
        <f>HYPERLINK("https://pbs.twimg.com/profile_images/1496044203415064580/VKaLEV6b_normal.jpg")</f>
        <v>https://pbs.twimg.com/profile_images/1496044203415064580/VKaLEV6b_normal.jpg</v>
      </c>
      <c r="AW1658" s="82" t="s">
        <v>13257</v>
      </c>
      <c r="AX1658" s="82" t="s">
        <v>13257</v>
      </c>
      <c r="AY1658" s="77"/>
      <c r="AZ1658" s="82" t="s">
        <v>15984</v>
      </c>
      <c r="BA1658" s="82" t="s">
        <v>15984</v>
      </c>
      <c r="BB1658" s="82" t="s">
        <v>15984</v>
      </c>
      <c r="BC1658" s="82" t="s">
        <v>13257</v>
      </c>
      <c r="BD1658" s="77">
        <v>352118324</v>
      </c>
      <c r="BE1658" s="77"/>
      <c r="BF1658" s="77"/>
      <c r="BG1658" s="77"/>
      <c r="BH1658" s="77"/>
      <c r="BI1658" s="77"/>
    </row>
    <row r="1659" spans="1:61" x14ac:dyDescent="0.25">
      <c r="A1659" s="62" t="s">
        <v>662</v>
      </c>
      <c r="B1659" s="62" t="s">
        <v>662</v>
      </c>
      <c r="C1659" s="63"/>
      <c r="D1659" s="64"/>
      <c r="E1659" s="65"/>
      <c r="F1659" s="66"/>
      <c r="G1659" s="63"/>
      <c r="H1659" s="67"/>
      <c r="I1659" s="68"/>
      <c r="J1659" s="68"/>
      <c r="K1659" s="32"/>
      <c r="L1659" s="75">
        <v>1659</v>
      </c>
      <c r="M1659" s="75"/>
      <c r="N1659" s="70"/>
      <c r="O1659" s="77" t="s">
        <v>179</v>
      </c>
      <c r="P1659" s="79">
        <v>45184.530925925923</v>
      </c>
      <c r="Q1659" s="77" t="s">
        <v>2366</v>
      </c>
      <c r="R1659" s="77">
        <v>0</v>
      </c>
      <c r="S1659" s="77">
        <v>0</v>
      </c>
      <c r="T1659" s="77">
        <v>0</v>
      </c>
      <c r="U1659" s="77">
        <v>0</v>
      </c>
      <c r="V1659" s="77">
        <v>35</v>
      </c>
      <c r="W1659" s="82" t="s">
        <v>4839</v>
      </c>
      <c r="X1659" s="77"/>
      <c r="Y1659" s="77"/>
      <c r="Z1659" s="77"/>
      <c r="AA1659" s="77"/>
      <c r="AB1659" s="77"/>
      <c r="AC1659" s="82" t="s">
        <v>7750</v>
      </c>
      <c r="AD1659" s="77" t="s">
        <v>7788</v>
      </c>
      <c r="AE1659" s="80" t="str">
        <f>HYPERLINK("https://twitter.com/activtrades_pt/status/1702664698892591135")</f>
        <v>https://twitter.com/activtrades_pt/status/1702664698892591135</v>
      </c>
      <c r="AF1659" s="79">
        <v>45184.530925925923</v>
      </c>
      <c r="AG1659" s="85">
        <v>45184</v>
      </c>
      <c r="AH1659" s="82" t="s">
        <v>9200</v>
      </c>
      <c r="AI1659" s="77"/>
      <c r="AJ1659" s="77"/>
      <c r="AK1659" s="77"/>
      <c r="AL1659" s="77"/>
      <c r="AM1659" s="77"/>
      <c r="AN1659" s="77"/>
      <c r="AO1659" s="77"/>
      <c r="AP1659" s="77"/>
      <c r="AQ1659" s="77"/>
      <c r="AR1659" s="77"/>
      <c r="AS1659" s="77"/>
      <c r="AT1659" s="77"/>
      <c r="AU1659" s="77"/>
      <c r="AV1659" s="80" t="str">
        <f>HYPERLINK("https://pbs.twimg.com/profile_images/1496044203415064580/VKaLEV6b_normal.jpg")</f>
        <v>https://pbs.twimg.com/profile_images/1496044203415064580/VKaLEV6b_normal.jpg</v>
      </c>
      <c r="AW1659" s="82" t="s">
        <v>13258</v>
      </c>
      <c r="AX1659" s="82" t="s">
        <v>13258</v>
      </c>
      <c r="AY1659" s="77"/>
      <c r="AZ1659" s="82" t="s">
        <v>15984</v>
      </c>
      <c r="BA1659" s="82" t="s">
        <v>15984</v>
      </c>
      <c r="BB1659" s="82" t="s">
        <v>15984</v>
      </c>
      <c r="BC1659" s="82" t="s">
        <v>13258</v>
      </c>
      <c r="BD1659" s="77">
        <v>352118324</v>
      </c>
      <c r="BE1659" s="77"/>
      <c r="BF1659" s="77"/>
      <c r="BG1659" s="77"/>
      <c r="BH1659" s="77"/>
      <c r="BI1659" s="77"/>
    </row>
    <row r="1660" spans="1:61" x14ac:dyDescent="0.25">
      <c r="A1660" s="62" t="s">
        <v>662</v>
      </c>
      <c r="B1660" s="62" t="s">
        <v>662</v>
      </c>
      <c r="C1660" s="63"/>
      <c r="D1660" s="64"/>
      <c r="E1660" s="65"/>
      <c r="F1660" s="66"/>
      <c r="G1660" s="63"/>
      <c r="H1660" s="67"/>
      <c r="I1660" s="68"/>
      <c r="J1660" s="68"/>
      <c r="K1660" s="32"/>
      <c r="L1660" s="75">
        <v>1660</v>
      </c>
      <c r="M1660" s="75"/>
      <c r="N1660" s="70"/>
      <c r="O1660" s="77" t="s">
        <v>179</v>
      </c>
      <c r="P1660" s="79">
        <v>45184.469664351855</v>
      </c>
      <c r="Q1660" s="77" t="s">
        <v>2367</v>
      </c>
      <c r="R1660" s="77">
        <v>0</v>
      </c>
      <c r="S1660" s="77">
        <v>0</v>
      </c>
      <c r="T1660" s="77">
        <v>0</v>
      </c>
      <c r="U1660" s="77">
        <v>0</v>
      </c>
      <c r="V1660" s="77">
        <v>13</v>
      </c>
      <c r="W1660" s="82" t="s">
        <v>4839</v>
      </c>
      <c r="X1660" s="77"/>
      <c r="Y1660" s="77"/>
      <c r="Z1660" s="77"/>
      <c r="AA1660" s="77"/>
      <c r="AB1660" s="77"/>
      <c r="AC1660" s="82" t="s">
        <v>7750</v>
      </c>
      <c r="AD1660" s="77" t="s">
        <v>7788</v>
      </c>
      <c r="AE1660" s="80" t="str">
        <f>HYPERLINK("https://twitter.com/activtrades_pt/status/1702642497179013246")</f>
        <v>https://twitter.com/activtrades_pt/status/1702642497179013246</v>
      </c>
      <c r="AF1660" s="79">
        <v>45184.469664351855</v>
      </c>
      <c r="AG1660" s="85">
        <v>45184</v>
      </c>
      <c r="AH1660" s="82" t="s">
        <v>9201</v>
      </c>
      <c r="AI1660" s="77"/>
      <c r="AJ1660" s="77"/>
      <c r="AK1660" s="77"/>
      <c r="AL1660" s="77"/>
      <c r="AM1660" s="77"/>
      <c r="AN1660" s="77"/>
      <c r="AO1660" s="77"/>
      <c r="AP1660" s="77"/>
      <c r="AQ1660" s="77"/>
      <c r="AR1660" s="77"/>
      <c r="AS1660" s="77"/>
      <c r="AT1660" s="77"/>
      <c r="AU1660" s="77"/>
      <c r="AV1660" s="80" t="str">
        <f>HYPERLINK("https://pbs.twimg.com/profile_images/1496044203415064580/VKaLEV6b_normal.jpg")</f>
        <v>https://pbs.twimg.com/profile_images/1496044203415064580/VKaLEV6b_normal.jpg</v>
      </c>
      <c r="AW1660" s="82" t="s">
        <v>13259</v>
      </c>
      <c r="AX1660" s="82" t="s">
        <v>13259</v>
      </c>
      <c r="AY1660" s="77"/>
      <c r="AZ1660" s="82" t="s">
        <v>15984</v>
      </c>
      <c r="BA1660" s="82" t="s">
        <v>15984</v>
      </c>
      <c r="BB1660" s="82" t="s">
        <v>15984</v>
      </c>
      <c r="BC1660" s="82" t="s">
        <v>13259</v>
      </c>
      <c r="BD1660" s="77">
        <v>352118324</v>
      </c>
      <c r="BE1660" s="77"/>
      <c r="BF1660" s="77"/>
      <c r="BG1660" s="77"/>
      <c r="BH1660" s="77"/>
      <c r="BI1660" s="77"/>
    </row>
    <row r="1661" spans="1:61" x14ac:dyDescent="0.25">
      <c r="A1661" s="62" t="s">
        <v>662</v>
      </c>
      <c r="B1661" s="62" t="s">
        <v>662</v>
      </c>
      <c r="C1661" s="63"/>
      <c r="D1661" s="64"/>
      <c r="E1661" s="65"/>
      <c r="F1661" s="66"/>
      <c r="G1661" s="63"/>
      <c r="H1661" s="67"/>
      <c r="I1661" s="68"/>
      <c r="J1661" s="68"/>
      <c r="K1661" s="32"/>
      <c r="L1661" s="75">
        <v>1661</v>
      </c>
      <c r="M1661" s="75"/>
      <c r="N1661" s="70"/>
      <c r="O1661" s="77" t="s">
        <v>179</v>
      </c>
      <c r="P1661" s="79">
        <v>45184.47016203704</v>
      </c>
      <c r="Q1661" s="77" t="s">
        <v>2368</v>
      </c>
      <c r="R1661" s="77">
        <v>0</v>
      </c>
      <c r="S1661" s="77">
        <v>0</v>
      </c>
      <c r="T1661" s="77">
        <v>0</v>
      </c>
      <c r="U1661" s="77">
        <v>0</v>
      </c>
      <c r="V1661" s="77">
        <v>15</v>
      </c>
      <c r="W1661" s="82" t="s">
        <v>4839</v>
      </c>
      <c r="X1661" s="77"/>
      <c r="Y1661" s="77"/>
      <c r="Z1661" s="77"/>
      <c r="AA1661" s="77"/>
      <c r="AB1661" s="77"/>
      <c r="AC1661" s="82" t="s">
        <v>7750</v>
      </c>
      <c r="AD1661" s="77" t="s">
        <v>7788</v>
      </c>
      <c r="AE1661" s="80" t="str">
        <f>HYPERLINK("https://twitter.com/activtrades_pt/status/1702642676061946262")</f>
        <v>https://twitter.com/activtrades_pt/status/1702642676061946262</v>
      </c>
      <c r="AF1661" s="79">
        <v>45184.47016203704</v>
      </c>
      <c r="AG1661" s="85">
        <v>45184</v>
      </c>
      <c r="AH1661" s="82" t="s">
        <v>9202</v>
      </c>
      <c r="AI1661" s="77"/>
      <c r="AJ1661" s="77"/>
      <c r="AK1661" s="77"/>
      <c r="AL1661" s="77"/>
      <c r="AM1661" s="77"/>
      <c r="AN1661" s="77"/>
      <c r="AO1661" s="77"/>
      <c r="AP1661" s="77"/>
      <c r="AQ1661" s="77"/>
      <c r="AR1661" s="77"/>
      <c r="AS1661" s="77"/>
      <c r="AT1661" s="77"/>
      <c r="AU1661" s="77"/>
      <c r="AV1661" s="80" t="str">
        <f>HYPERLINK("https://pbs.twimg.com/profile_images/1496044203415064580/VKaLEV6b_normal.jpg")</f>
        <v>https://pbs.twimg.com/profile_images/1496044203415064580/VKaLEV6b_normal.jpg</v>
      </c>
      <c r="AW1661" s="82" t="s">
        <v>13260</v>
      </c>
      <c r="AX1661" s="82" t="s">
        <v>13260</v>
      </c>
      <c r="AY1661" s="77"/>
      <c r="AZ1661" s="82" t="s">
        <v>15984</v>
      </c>
      <c r="BA1661" s="82" t="s">
        <v>15984</v>
      </c>
      <c r="BB1661" s="82" t="s">
        <v>15984</v>
      </c>
      <c r="BC1661" s="82" t="s">
        <v>13260</v>
      </c>
      <c r="BD1661" s="77">
        <v>352118324</v>
      </c>
      <c r="BE1661" s="77"/>
      <c r="BF1661" s="77"/>
      <c r="BG1661" s="77"/>
      <c r="BH1661" s="77"/>
      <c r="BI1661" s="77"/>
    </row>
    <row r="1662" spans="1:61" x14ac:dyDescent="0.25">
      <c r="A1662" s="62" t="s">
        <v>662</v>
      </c>
      <c r="B1662" s="62" t="s">
        <v>662</v>
      </c>
      <c r="C1662" s="63"/>
      <c r="D1662" s="64"/>
      <c r="E1662" s="65"/>
      <c r="F1662" s="66"/>
      <c r="G1662" s="63"/>
      <c r="H1662" s="67"/>
      <c r="I1662" s="68"/>
      <c r="J1662" s="68"/>
      <c r="K1662" s="32"/>
      <c r="L1662" s="75">
        <v>1662</v>
      </c>
      <c r="M1662" s="75"/>
      <c r="N1662" s="70"/>
      <c r="O1662" s="77" t="s">
        <v>179</v>
      </c>
      <c r="P1662" s="79">
        <v>45184.468726851854</v>
      </c>
      <c r="Q1662" s="77" t="s">
        <v>2369</v>
      </c>
      <c r="R1662" s="77">
        <v>0</v>
      </c>
      <c r="S1662" s="77">
        <v>0</v>
      </c>
      <c r="T1662" s="77">
        <v>0</v>
      </c>
      <c r="U1662" s="77">
        <v>0</v>
      </c>
      <c r="V1662" s="77">
        <v>11</v>
      </c>
      <c r="W1662" s="82" t="s">
        <v>4839</v>
      </c>
      <c r="X1662" s="77"/>
      <c r="Y1662" s="77"/>
      <c r="Z1662" s="77"/>
      <c r="AA1662" s="77"/>
      <c r="AB1662" s="77"/>
      <c r="AC1662" s="82" t="s">
        <v>7750</v>
      </c>
      <c r="AD1662" s="77" t="s">
        <v>7788</v>
      </c>
      <c r="AE1662" s="80" t="str">
        <f>HYPERLINK("https://twitter.com/activtrades_pt/status/1702642156840640765")</f>
        <v>https://twitter.com/activtrades_pt/status/1702642156840640765</v>
      </c>
      <c r="AF1662" s="79">
        <v>45184.468726851854</v>
      </c>
      <c r="AG1662" s="85">
        <v>45184</v>
      </c>
      <c r="AH1662" s="82" t="s">
        <v>9203</v>
      </c>
      <c r="AI1662" s="77"/>
      <c r="AJ1662" s="77"/>
      <c r="AK1662" s="77"/>
      <c r="AL1662" s="77"/>
      <c r="AM1662" s="77"/>
      <c r="AN1662" s="77"/>
      <c r="AO1662" s="77"/>
      <c r="AP1662" s="77"/>
      <c r="AQ1662" s="77"/>
      <c r="AR1662" s="77"/>
      <c r="AS1662" s="77"/>
      <c r="AT1662" s="77"/>
      <c r="AU1662" s="77"/>
      <c r="AV1662" s="80" t="str">
        <f>HYPERLINK("https://pbs.twimg.com/profile_images/1496044203415064580/VKaLEV6b_normal.jpg")</f>
        <v>https://pbs.twimg.com/profile_images/1496044203415064580/VKaLEV6b_normal.jpg</v>
      </c>
      <c r="AW1662" s="82" t="s">
        <v>13261</v>
      </c>
      <c r="AX1662" s="82" t="s">
        <v>13261</v>
      </c>
      <c r="AY1662" s="77"/>
      <c r="AZ1662" s="82" t="s">
        <v>15984</v>
      </c>
      <c r="BA1662" s="82" t="s">
        <v>15984</v>
      </c>
      <c r="BB1662" s="82" t="s">
        <v>15984</v>
      </c>
      <c r="BC1662" s="82" t="s">
        <v>13261</v>
      </c>
      <c r="BD1662" s="77">
        <v>352118324</v>
      </c>
      <c r="BE1662" s="77"/>
      <c r="BF1662" s="77"/>
      <c r="BG1662" s="77"/>
      <c r="BH1662" s="77"/>
      <c r="BI1662" s="77"/>
    </row>
    <row r="1663" spans="1:61" x14ac:dyDescent="0.25">
      <c r="A1663" s="62" t="s">
        <v>662</v>
      </c>
      <c r="B1663" s="62" t="s">
        <v>662</v>
      </c>
      <c r="C1663" s="63"/>
      <c r="D1663" s="64"/>
      <c r="E1663" s="65"/>
      <c r="F1663" s="66"/>
      <c r="G1663" s="63"/>
      <c r="H1663" s="67"/>
      <c r="I1663" s="68"/>
      <c r="J1663" s="68"/>
      <c r="K1663" s="32"/>
      <c r="L1663" s="75">
        <v>1663</v>
      </c>
      <c r="M1663" s="75"/>
      <c r="N1663" s="70"/>
      <c r="O1663" s="77" t="s">
        <v>179</v>
      </c>
      <c r="P1663" s="79">
        <v>45184.471134259256</v>
      </c>
      <c r="Q1663" s="77" t="s">
        <v>2370</v>
      </c>
      <c r="R1663" s="77">
        <v>0</v>
      </c>
      <c r="S1663" s="77">
        <v>0</v>
      </c>
      <c r="T1663" s="77">
        <v>0</v>
      </c>
      <c r="U1663" s="77">
        <v>0</v>
      </c>
      <c r="V1663" s="77">
        <v>31</v>
      </c>
      <c r="W1663" s="82" t="s">
        <v>4839</v>
      </c>
      <c r="X1663" s="77"/>
      <c r="Y1663" s="77"/>
      <c r="Z1663" s="77"/>
      <c r="AA1663" s="77"/>
      <c r="AB1663" s="77"/>
      <c r="AC1663" s="82" t="s">
        <v>7750</v>
      </c>
      <c r="AD1663" s="77" t="s">
        <v>7788</v>
      </c>
      <c r="AE1663" s="80" t="str">
        <f>HYPERLINK("https://twitter.com/activtrades_pt/status/1702643029931163942")</f>
        <v>https://twitter.com/activtrades_pt/status/1702643029931163942</v>
      </c>
      <c r="AF1663" s="79">
        <v>45184.471134259256</v>
      </c>
      <c r="AG1663" s="85">
        <v>45184</v>
      </c>
      <c r="AH1663" s="82" t="s">
        <v>9204</v>
      </c>
      <c r="AI1663" s="77"/>
      <c r="AJ1663" s="77"/>
      <c r="AK1663" s="77"/>
      <c r="AL1663" s="77"/>
      <c r="AM1663" s="77"/>
      <c r="AN1663" s="77"/>
      <c r="AO1663" s="77"/>
      <c r="AP1663" s="77"/>
      <c r="AQ1663" s="77"/>
      <c r="AR1663" s="77"/>
      <c r="AS1663" s="77"/>
      <c r="AT1663" s="77"/>
      <c r="AU1663" s="77"/>
      <c r="AV1663" s="80" t="str">
        <f>HYPERLINK("https://pbs.twimg.com/profile_images/1496044203415064580/VKaLEV6b_normal.jpg")</f>
        <v>https://pbs.twimg.com/profile_images/1496044203415064580/VKaLEV6b_normal.jpg</v>
      </c>
      <c r="AW1663" s="82" t="s">
        <v>13262</v>
      </c>
      <c r="AX1663" s="82" t="s">
        <v>13262</v>
      </c>
      <c r="AY1663" s="77"/>
      <c r="AZ1663" s="82" t="s">
        <v>15984</v>
      </c>
      <c r="BA1663" s="82" t="s">
        <v>15984</v>
      </c>
      <c r="BB1663" s="82" t="s">
        <v>15984</v>
      </c>
      <c r="BC1663" s="82" t="s">
        <v>13262</v>
      </c>
      <c r="BD1663" s="77">
        <v>352118324</v>
      </c>
      <c r="BE1663" s="77"/>
      <c r="BF1663" s="77"/>
      <c r="BG1663" s="77"/>
      <c r="BH1663" s="77"/>
      <c r="BI1663" s="77"/>
    </row>
    <row r="1664" spans="1:61" x14ac:dyDescent="0.25">
      <c r="A1664" s="62" t="s">
        <v>662</v>
      </c>
      <c r="B1664" s="62" t="s">
        <v>662</v>
      </c>
      <c r="C1664" s="63"/>
      <c r="D1664" s="64"/>
      <c r="E1664" s="65"/>
      <c r="F1664" s="66"/>
      <c r="G1664" s="63"/>
      <c r="H1664" s="67"/>
      <c r="I1664" s="68"/>
      <c r="J1664" s="68"/>
      <c r="K1664" s="32"/>
      <c r="L1664" s="75">
        <v>1664</v>
      </c>
      <c r="M1664" s="75"/>
      <c r="N1664" s="70"/>
      <c r="O1664" s="77" t="s">
        <v>179</v>
      </c>
      <c r="P1664" s="79">
        <v>45184.470613425925</v>
      </c>
      <c r="Q1664" s="77" t="s">
        <v>2371</v>
      </c>
      <c r="R1664" s="77">
        <v>0</v>
      </c>
      <c r="S1664" s="77">
        <v>0</v>
      </c>
      <c r="T1664" s="77">
        <v>0</v>
      </c>
      <c r="U1664" s="77">
        <v>0</v>
      </c>
      <c r="V1664" s="77">
        <v>13</v>
      </c>
      <c r="W1664" s="82" t="s">
        <v>4839</v>
      </c>
      <c r="X1664" s="77"/>
      <c r="Y1664" s="77"/>
      <c r="Z1664" s="77"/>
      <c r="AA1664" s="77"/>
      <c r="AB1664" s="77"/>
      <c r="AC1664" s="82" t="s">
        <v>7750</v>
      </c>
      <c r="AD1664" s="77" t="s">
        <v>7788</v>
      </c>
      <c r="AE1664" s="80" t="str">
        <f>HYPERLINK("https://twitter.com/activtrades_pt/status/1702642839580967224")</f>
        <v>https://twitter.com/activtrades_pt/status/1702642839580967224</v>
      </c>
      <c r="AF1664" s="79">
        <v>45184.470613425925</v>
      </c>
      <c r="AG1664" s="85">
        <v>45184</v>
      </c>
      <c r="AH1664" s="82" t="s">
        <v>9205</v>
      </c>
      <c r="AI1664" s="77"/>
      <c r="AJ1664" s="77"/>
      <c r="AK1664" s="77"/>
      <c r="AL1664" s="77"/>
      <c r="AM1664" s="77"/>
      <c r="AN1664" s="77"/>
      <c r="AO1664" s="77"/>
      <c r="AP1664" s="77"/>
      <c r="AQ1664" s="77"/>
      <c r="AR1664" s="77"/>
      <c r="AS1664" s="77"/>
      <c r="AT1664" s="77"/>
      <c r="AU1664" s="77"/>
      <c r="AV1664" s="80" t="str">
        <f>HYPERLINK("https://pbs.twimg.com/profile_images/1496044203415064580/VKaLEV6b_normal.jpg")</f>
        <v>https://pbs.twimg.com/profile_images/1496044203415064580/VKaLEV6b_normal.jpg</v>
      </c>
      <c r="AW1664" s="82" t="s">
        <v>13263</v>
      </c>
      <c r="AX1664" s="82" t="s">
        <v>13263</v>
      </c>
      <c r="AY1664" s="77"/>
      <c r="AZ1664" s="82" t="s">
        <v>15984</v>
      </c>
      <c r="BA1664" s="82" t="s">
        <v>15984</v>
      </c>
      <c r="BB1664" s="82" t="s">
        <v>15984</v>
      </c>
      <c r="BC1664" s="82" t="s">
        <v>13263</v>
      </c>
      <c r="BD1664" s="77">
        <v>352118324</v>
      </c>
      <c r="BE1664" s="77"/>
      <c r="BF1664" s="77"/>
      <c r="BG1664" s="77"/>
      <c r="BH1664" s="77"/>
      <c r="BI1664" s="77"/>
    </row>
    <row r="1665" spans="1:61" x14ac:dyDescent="0.25">
      <c r="A1665" s="62" t="s">
        <v>662</v>
      </c>
      <c r="B1665" s="62" t="s">
        <v>662</v>
      </c>
      <c r="C1665" s="63"/>
      <c r="D1665" s="64"/>
      <c r="E1665" s="65"/>
      <c r="F1665" s="66"/>
      <c r="G1665" s="63"/>
      <c r="H1665" s="67"/>
      <c r="I1665" s="68"/>
      <c r="J1665" s="68"/>
      <c r="K1665" s="32"/>
      <c r="L1665" s="75">
        <v>1665</v>
      </c>
      <c r="M1665" s="75"/>
      <c r="N1665" s="70"/>
      <c r="O1665" s="77" t="s">
        <v>179</v>
      </c>
      <c r="P1665" s="79">
        <v>45184.469942129632</v>
      </c>
      <c r="Q1665" s="77" t="s">
        <v>2372</v>
      </c>
      <c r="R1665" s="77">
        <v>0</v>
      </c>
      <c r="S1665" s="77">
        <v>0</v>
      </c>
      <c r="T1665" s="77">
        <v>0</v>
      </c>
      <c r="U1665" s="77">
        <v>0</v>
      </c>
      <c r="V1665" s="77">
        <v>13</v>
      </c>
      <c r="W1665" s="82" t="s">
        <v>4839</v>
      </c>
      <c r="X1665" s="77"/>
      <c r="Y1665" s="77"/>
      <c r="Z1665" s="77"/>
      <c r="AA1665" s="77"/>
      <c r="AB1665" s="77"/>
      <c r="AC1665" s="82" t="s">
        <v>7750</v>
      </c>
      <c r="AD1665" s="77" t="s">
        <v>7788</v>
      </c>
      <c r="AE1665" s="80" t="str">
        <f>HYPERLINK("https://twitter.com/activtrades_pt/status/1702642598890901713")</f>
        <v>https://twitter.com/activtrades_pt/status/1702642598890901713</v>
      </c>
      <c r="AF1665" s="79">
        <v>45184.469942129632</v>
      </c>
      <c r="AG1665" s="85">
        <v>45184</v>
      </c>
      <c r="AH1665" s="82" t="s">
        <v>9206</v>
      </c>
      <c r="AI1665" s="77"/>
      <c r="AJ1665" s="77"/>
      <c r="AK1665" s="77"/>
      <c r="AL1665" s="77"/>
      <c r="AM1665" s="77"/>
      <c r="AN1665" s="77"/>
      <c r="AO1665" s="77"/>
      <c r="AP1665" s="77"/>
      <c r="AQ1665" s="77"/>
      <c r="AR1665" s="77"/>
      <c r="AS1665" s="77"/>
      <c r="AT1665" s="77"/>
      <c r="AU1665" s="77"/>
      <c r="AV1665" s="80" t="str">
        <f>HYPERLINK("https://pbs.twimg.com/profile_images/1496044203415064580/VKaLEV6b_normal.jpg")</f>
        <v>https://pbs.twimg.com/profile_images/1496044203415064580/VKaLEV6b_normal.jpg</v>
      </c>
      <c r="AW1665" s="82" t="s">
        <v>13264</v>
      </c>
      <c r="AX1665" s="82" t="s">
        <v>13264</v>
      </c>
      <c r="AY1665" s="77"/>
      <c r="AZ1665" s="82" t="s">
        <v>15984</v>
      </c>
      <c r="BA1665" s="82" t="s">
        <v>15984</v>
      </c>
      <c r="BB1665" s="82" t="s">
        <v>15984</v>
      </c>
      <c r="BC1665" s="82" t="s">
        <v>13264</v>
      </c>
      <c r="BD1665" s="77">
        <v>352118324</v>
      </c>
      <c r="BE1665" s="77"/>
      <c r="BF1665" s="77"/>
      <c r="BG1665" s="77"/>
      <c r="BH1665" s="77"/>
      <c r="BI1665" s="77"/>
    </row>
    <row r="1666" spans="1:61" x14ac:dyDescent="0.25">
      <c r="A1666" s="62" t="s">
        <v>662</v>
      </c>
      <c r="B1666" s="62" t="s">
        <v>662</v>
      </c>
      <c r="C1666" s="63"/>
      <c r="D1666" s="64"/>
      <c r="E1666" s="65"/>
      <c r="F1666" s="66"/>
      <c r="G1666" s="63"/>
      <c r="H1666" s="67"/>
      <c r="I1666" s="68"/>
      <c r="J1666" s="68"/>
      <c r="K1666" s="32"/>
      <c r="L1666" s="75">
        <v>1666</v>
      </c>
      <c r="M1666" s="75"/>
      <c r="N1666" s="70"/>
      <c r="O1666" s="77" t="s">
        <v>179</v>
      </c>
      <c r="P1666" s="79">
        <v>45184.468101851853</v>
      </c>
      <c r="Q1666" s="77" t="s">
        <v>2373</v>
      </c>
      <c r="R1666" s="77">
        <v>0</v>
      </c>
      <c r="S1666" s="77">
        <v>0</v>
      </c>
      <c r="T1666" s="77">
        <v>0</v>
      </c>
      <c r="U1666" s="77">
        <v>0</v>
      </c>
      <c r="V1666" s="77">
        <v>10</v>
      </c>
      <c r="W1666" s="82" t="s">
        <v>4839</v>
      </c>
      <c r="X1666" s="77"/>
      <c r="Y1666" s="77"/>
      <c r="Z1666" s="77"/>
      <c r="AA1666" s="77"/>
      <c r="AB1666" s="77"/>
      <c r="AC1666" s="82" t="s">
        <v>7750</v>
      </c>
      <c r="AD1666" s="77" t="s">
        <v>7788</v>
      </c>
      <c r="AE1666" s="80" t="str">
        <f>HYPERLINK("https://twitter.com/activtrades_pt/status/1702641932726423989")</f>
        <v>https://twitter.com/activtrades_pt/status/1702641932726423989</v>
      </c>
      <c r="AF1666" s="79">
        <v>45184.468101851853</v>
      </c>
      <c r="AG1666" s="85">
        <v>45184</v>
      </c>
      <c r="AH1666" s="82" t="s">
        <v>9207</v>
      </c>
      <c r="AI1666" s="77"/>
      <c r="AJ1666" s="77"/>
      <c r="AK1666" s="77"/>
      <c r="AL1666" s="77"/>
      <c r="AM1666" s="77"/>
      <c r="AN1666" s="77"/>
      <c r="AO1666" s="77"/>
      <c r="AP1666" s="77"/>
      <c r="AQ1666" s="77"/>
      <c r="AR1666" s="77"/>
      <c r="AS1666" s="77"/>
      <c r="AT1666" s="77"/>
      <c r="AU1666" s="77"/>
      <c r="AV1666" s="80" t="str">
        <f>HYPERLINK("https://pbs.twimg.com/profile_images/1496044203415064580/VKaLEV6b_normal.jpg")</f>
        <v>https://pbs.twimg.com/profile_images/1496044203415064580/VKaLEV6b_normal.jpg</v>
      </c>
      <c r="AW1666" s="82" t="s">
        <v>13265</v>
      </c>
      <c r="AX1666" s="82" t="s">
        <v>13265</v>
      </c>
      <c r="AY1666" s="77"/>
      <c r="AZ1666" s="82" t="s">
        <v>15984</v>
      </c>
      <c r="BA1666" s="82" t="s">
        <v>15984</v>
      </c>
      <c r="BB1666" s="82" t="s">
        <v>15984</v>
      </c>
      <c r="BC1666" s="82" t="s">
        <v>13265</v>
      </c>
      <c r="BD1666" s="77">
        <v>352118324</v>
      </c>
      <c r="BE1666" s="77"/>
      <c r="BF1666" s="77"/>
      <c r="BG1666" s="77"/>
      <c r="BH1666" s="77"/>
      <c r="BI1666" s="77"/>
    </row>
    <row r="1667" spans="1:61" x14ac:dyDescent="0.25">
      <c r="A1667" s="62" t="s">
        <v>662</v>
      </c>
      <c r="B1667" s="62" t="s">
        <v>662</v>
      </c>
      <c r="C1667" s="63"/>
      <c r="D1667" s="64"/>
      <c r="E1667" s="65"/>
      <c r="F1667" s="66"/>
      <c r="G1667" s="63"/>
      <c r="H1667" s="67"/>
      <c r="I1667" s="68"/>
      <c r="J1667" s="68"/>
      <c r="K1667" s="32"/>
      <c r="L1667" s="75">
        <v>1667</v>
      </c>
      <c r="M1667" s="75"/>
      <c r="N1667" s="70"/>
      <c r="O1667" s="77" t="s">
        <v>179</v>
      </c>
      <c r="P1667" s="79">
        <v>45127.477592592593</v>
      </c>
      <c r="Q1667" s="77" t="s">
        <v>2374</v>
      </c>
      <c r="R1667" s="77">
        <v>0</v>
      </c>
      <c r="S1667" s="77">
        <v>0</v>
      </c>
      <c r="T1667" s="77">
        <v>0</v>
      </c>
      <c r="U1667" s="77">
        <v>0</v>
      </c>
      <c r="V1667" s="77">
        <v>16</v>
      </c>
      <c r="W1667" s="82" t="s">
        <v>4839</v>
      </c>
      <c r="X1667" s="77"/>
      <c r="Y1667" s="77"/>
      <c r="Z1667" s="77"/>
      <c r="AA1667" s="77"/>
      <c r="AB1667" s="77"/>
      <c r="AC1667" s="82" t="s">
        <v>7750</v>
      </c>
      <c r="AD1667" s="77" t="s">
        <v>7788</v>
      </c>
      <c r="AE1667" s="80" t="str">
        <f>HYPERLINK("https://twitter.com/activtrades_pt/status/1681989259979374595")</f>
        <v>https://twitter.com/activtrades_pt/status/1681989259979374595</v>
      </c>
      <c r="AF1667" s="79">
        <v>45127.477592592593</v>
      </c>
      <c r="AG1667" s="85">
        <v>45127</v>
      </c>
      <c r="AH1667" s="82" t="s">
        <v>9208</v>
      </c>
      <c r="AI1667" s="77"/>
      <c r="AJ1667" s="77"/>
      <c r="AK1667" s="77"/>
      <c r="AL1667" s="77"/>
      <c r="AM1667" s="77"/>
      <c r="AN1667" s="77"/>
      <c r="AO1667" s="77"/>
      <c r="AP1667" s="77"/>
      <c r="AQ1667" s="77"/>
      <c r="AR1667" s="77"/>
      <c r="AS1667" s="77"/>
      <c r="AT1667" s="77"/>
      <c r="AU1667" s="77"/>
      <c r="AV1667" s="80" t="str">
        <f>HYPERLINK("https://pbs.twimg.com/profile_images/1496044203415064580/VKaLEV6b_normal.jpg")</f>
        <v>https://pbs.twimg.com/profile_images/1496044203415064580/VKaLEV6b_normal.jpg</v>
      </c>
      <c r="AW1667" s="82" t="s">
        <v>13266</v>
      </c>
      <c r="AX1667" s="82" t="s">
        <v>13266</v>
      </c>
      <c r="AY1667" s="77"/>
      <c r="AZ1667" s="82" t="s">
        <v>15984</v>
      </c>
      <c r="BA1667" s="82" t="s">
        <v>15984</v>
      </c>
      <c r="BB1667" s="82" t="s">
        <v>15984</v>
      </c>
      <c r="BC1667" s="82" t="s">
        <v>13266</v>
      </c>
      <c r="BD1667" s="77">
        <v>352118324</v>
      </c>
      <c r="BE1667" s="77"/>
      <c r="BF1667" s="77"/>
      <c r="BG1667" s="77"/>
      <c r="BH1667" s="77"/>
      <c r="BI1667" s="77"/>
    </row>
    <row r="1668" spans="1:61" x14ac:dyDescent="0.25">
      <c r="A1668" s="62" t="s">
        <v>663</v>
      </c>
      <c r="B1668" s="62" t="s">
        <v>663</v>
      </c>
      <c r="C1668" s="63"/>
      <c r="D1668" s="64"/>
      <c r="E1668" s="65"/>
      <c r="F1668" s="66"/>
      <c r="G1668" s="63"/>
      <c r="H1668" s="67"/>
      <c r="I1668" s="68"/>
      <c r="J1668" s="68"/>
      <c r="K1668" s="32"/>
      <c r="L1668" s="75">
        <v>1668</v>
      </c>
      <c r="M1668" s="75"/>
      <c r="N1668" s="70"/>
      <c r="O1668" s="77" t="s">
        <v>179</v>
      </c>
      <c r="P1668" s="79">
        <v>45178.73096064815</v>
      </c>
      <c r="Q1668" s="77" t="s">
        <v>2375</v>
      </c>
      <c r="R1668" s="77">
        <v>0</v>
      </c>
      <c r="S1668" s="77">
        <v>0</v>
      </c>
      <c r="T1668" s="77">
        <v>0</v>
      </c>
      <c r="U1668" s="77">
        <v>0</v>
      </c>
      <c r="V1668" s="77">
        <v>8</v>
      </c>
      <c r="W1668" s="82" t="s">
        <v>5661</v>
      </c>
      <c r="X1668" s="77"/>
      <c r="Y1668" s="77"/>
      <c r="Z1668" s="77"/>
      <c r="AA1668" s="77" t="s">
        <v>7424</v>
      </c>
      <c r="AB1668" s="77" t="s">
        <v>7743</v>
      </c>
      <c r="AC1668" s="82" t="s">
        <v>7752</v>
      </c>
      <c r="AD1668" s="77" t="s">
        <v>7788</v>
      </c>
      <c r="AE1668" s="80" t="str">
        <f>HYPERLINK("https://twitter.com/nessaapprentice/status/1700562860315697195")</f>
        <v>https://twitter.com/nessaapprentice/status/1700562860315697195</v>
      </c>
      <c r="AF1668" s="79">
        <v>45178.73096064815</v>
      </c>
      <c r="AG1668" s="85">
        <v>45178</v>
      </c>
      <c r="AH1668" s="82" t="s">
        <v>9209</v>
      </c>
      <c r="AI1668" s="77" t="b">
        <v>1</v>
      </c>
      <c r="AJ1668" s="77"/>
      <c r="AK1668" s="77"/>
      <c r="AL1668" s="77"/>
      <c r="AM1668" s="77"/>
      <c r="AN1668" s="77"/>
      <c r="AO1668" s="77"/>
      <c r="AP1668" s="77"/>
      <c r="AQ1668" s="77" t="s">
        <v>11396</v>
      </c>
      <c r="AR1668" s="77">
        <v>25700</v>
      </c>
      <c r="AS1668" s="77"/>
      <c r="AT1668" s="77"/>
      <c r="AU1668" s="77"/>
      <c r="AV1668" s="80" t="str">
        <f>HYPERLINK("https://pbs.twimg.com/ext_tw_video_thumb/1700562798747516928/pu/img/QG4vPz2VAP08t267.jpg")</f>
        <v>https://pbs.twimg.com/ext_tw_video_thumb/1700562798747516928/pu/img/QG4vPz2VAP08t267.jpg</v>
      </c>
      <c r="AW1668" s="82" t="s">
        <v>13267</v>
      </c>
      <c r="AX1668" s="82" t="s">
        <v>13267</v>
      </c>
      <c r="AY1668" s="77"/>
      <c r="AZ1668" s="82" t="s">
        <v>15984</v>
      </c>
      <c r="BA1668" s="82" t="s">
        <v>15984</v>
      </c>
      <c r="BB1668" s="82" t="s">
        <v>15984</v>
      </c>
      <c r="BC1668" s="82" t="s">
        <v>13267</v>
      </c>
      <c r="BD1668" s="77">
        <v>143097951</v>
      </c>
      <c r="BE1668" s="77"/>
      <c r="BF1668" s="77"/>
      <c r="BG1668" s="77"/>
      <c r="BH1668" s="77"/>
      <c r="BI1668" s="77"/>
    </row>
    <row r="1669" spans="1:61" x14ac:dyDescent="0.25">
      <c r="A1669" s="62" t="s">
        <v>664</v>
      </c>
      <c r="B1669" s="62" t="s">
        <v>664</v>
      </c>
      <c r="C1669" s="63"/>
      <c r="D1669" s="64"/>
      <c r="E1669" s="65"/>
      <c r="F1669" s="66"/>
      <c r="G1669" s="63"/>
      <c r="H1669" s="67"/>
      <c r="I1669" s="68"/>
      <c r="J1669" s="68"/>
      <c r="K1669" s="32"/>
      <c r="L1669" s="75">
        <v>1669</v>
      </c>
      <c r="M1669" s="75"/>
      <c r="N1669" s="70"/>
      <c r="O1669" s="77" t="s">
        <v>179</v>
      </c>
      <c r="P1669" s="79">
        <v>45127.042974537035</v>
      </c>
      <c r="Q1669" s="77" t="s">
        <v>2376</v>
      </c>
      <c r="R1669" s="77">
        <v>0</v>
      </c>
      <c r="S1669" s="77">
        <v>0</v>
      </c>
      <c r="T1669" s="77">
        <v>2</v>
      </c>
      <c r="U1669" s="77">
        <v>0</v>
      </c>
      <c r="V1669" s="77">
        <v>94</v>
      </c>
      <c r="W1669" s="82" t="s">
        <v>4839</v>
      </c>
      <c r="X1669" s="77"/>
      <c r="Y1669" s="77"/>
      <c r="Z1669" s="77"/>
      <c r="AA1669" s="77" t="s">
        <v>7425</v>
      </c>
      <c r="AB1669" s="77" t="s">
        <v>7742</v>
      </c>
      <c r="AC1669" s="82" t="s">
        <v>7750</v>
      </c>
      <c r="AD1669" s="77" t="s">
        <v>7790</v>
      </c>
      <c r="AE1669" s="80" t="str">
        <f>HYPERLINK("https://twitter.com/comosertrader/status/1681831760038952962")</f>
        <v>https://twitter.com/comosertrader/status/1681831760038952962</v>
      </c>
      <c r="AF1669" s="79">
        <v>45127.042974537035</v>
      </c>
      <c r="AG1669" s="85">
        <v>45127</v>
      </c>
      <c r="AH1669" s="82" t="s">
        <v>9210</v>
      </c>
      <c r="AI1669" s="77" t="b">
        <v>0</v>
      </c>
      <c r="AJ1669" s="77"/>
      <c r="AK1669" s="77"/>
      <c r="AL1669" s="77"/>
      <c r="AM1669" s="77"/>
      <c r="AN1669" s="77"/>
      <c r="AO1669" s="77"/>
      <c r="AP1669" s="77"/>
      <c r="AQ1669" s="77" t="s">
        <v>11397</v>
      </c>
      <c r="AR1669" s="77"/>
      <c r="AS1669" s="77"/>
      <c r="AT1669" s="77"/>
      <c r="AU1669" s="77"/>
      <c r="AV1669" s="80" t="str">
        <f>HYPERLINK("https://pbs.twimg.com/media/F1cQB4TaIAE0bxg.png")</f>
        <v>https://pbs.twimg.com/media/F1cQB4TaIAE0bxg.png</v>
      </c>
      <c r="AW1669" s="82" t="s">
        <v>13268</v>
      </c>
      <c r="AX1669" s="82" t="s">
        <v>13268</v>
      </c>
      <c r="AY1669" s="77"/>
      <c r="AZ1669" s="82" t="s">
        <v>15984</v>
      </c>
      <c r="BA1669" s="82" t="s">
        <v>15984</v>
      </c>
      <c r="BB1669" s="82" t="s">
        <v>15984</v>
      </c>
      <c r="BC1669" s="82" t="s">
        <v>13268</v>
      </c>
      <c r="BD1669" s="82" t="s">
        <v>16356</v>
      </c>
      <c r="BE1669" s="77"/>
      <c r="BF1669" s="77"/>
      <c r="BG1669" s="77"/>
      <c r="BH1669" s="77"/>
      <c r="BI1669" s="77"/>
    </row>
    <row r="1670" spans="1:61" x14ac:dyDescent="0.25">
      <c r="A1670" s="62" t="s">
        <v>665</v>
      </c>
      <c r="B1670" s="62" t="s">
        <v>665</v>
      </c>
      <c r="C1670" s="63"/>
      <c r="D1670" s="64"/>
      <c r="E1670" s="65"/>
      <c r="F1670" s="66"/>
      <c r="G1670" s="63"/>
      <c r="H1670" s="67"/>
      <c r="I1670" s="68"/>
      <c r="J1670" s="68"/>
      <c r="K1670" s="32"/>
      <c r="L1670" s="75">
        <v>1670</v>
      </c>
      <c r="M1670" s="75"/>
      <c r="N1670" s="70"/>
      <c r="O1670" s="77" t="s">
        <v>179</v>
      </c>
      <c r="P1670" s="79">
        <v>45162.576886574076</v>
      </c>
      <c r="Q1670" s="77" t="s">
        <v>2377</v>
      </c>
      <c r="R1670" s="77">
        <v>0</v>
      </c>
      <c r="S1670" s="77">
        <v>1</v>
      </c>
      <c r="T1670" s="77">
        <v>0</v>
      </c>
      <c r="U1670" s="77">
        <v>0</v>
      </c>
      <c r="V1670" s="77">
        <v>151</v>
      </c>
      <c r="W1670" s="82" t="s">
        <v>5662</v>
      </c>
      <c r="X1670" s="77"/>
      <c r="Y1670" s="77"/>
      <c r="Z1670" s="77"/>
      <c r="AA1670" s="77" t="s">
        <v>7426</v>
      </c>
      <c r="AB1670" s="77" t="s">
        <v>7743</v>
      </c>
      <c r="AC1670" s="82" t="s">
        <v>7750</v>
      </c>
      <c r="AD1670" s="77" t="s">
        <v>7788</v>
      </c>
      <c r="AE1670" s="80" t="str">
        <f>HYPERLINK("https://twitter.com/gamainvestiment/status/1694708820998795525")</f>
        <v>https://twitter.com/gamainvestiment/status/1694708820998795525</v>
      </c>
      <c r="AF1670" s="79">
        <v>45162.576886574076</v>
      </c>
      <c r="AG1670" s="85">
        <v>45162</v>
      </c>
      <c r="AH1670" s="82" t="s">
        <v>9211</v>
      </c>
      <c r="AI1670" s="77" t="b">
        <v>0</v>
      </c>
      <c r="AJ1670" s="77"/>
      <c r="AK1670" s="77"/>
      <c r="AL1670" s="77"/>
      <c r="AM1670" s="77"/>
      <c r="AN1670" s="77"/>
      <c r="AO1670" s="77"/>
      <c r="AP1670" s="77"/>
      <c r="AQ1670" s="77" t="s">
        <v>11398</v>
      </c>
      <c r="AR1670" s="77">
        <v>26484</v>
      </c>
      <c r="AS1670" s="77"/>
      <c r="AT1670" s="77"/>
      <c r="AU1670" s="77"/>
      <c r="AV1670" s="80" t="str">
        <f>HYPERLINK("https://pbs.twimg.com/ext_tw_video_thumb/1694708400817647616/pu/img/zZ7dlC3lmHLC7mQZ.jpg")</f>
        <v>https://pbs.twimg.com/ext_tw_video_thumb/1694708400817647616/pu/img/zZ7dlC3lmHLC7mQZ.jpg</v>
      </c>
      <c r="AW1670" s="82" t="s">
        <v>13269</v>
      </c>
      <c r="AX1670" s="82" t="s">
        <v>13269</v>
      </c>
      <c r="AY1670" s="77"/>
      <c r="AZ1670" s="82" t="s">
        <v>15984</v>
      </c>
      <c r="BA1670" s="82" t="s">
        <v>15984</v>
      </c>
      <c r="BB1670" s="82" t="s">
        <v>15984</v>
      </c>
      <c r="BC1670" s="82" t="s">
        <v>13269</v>
      </c>
      <c r="BD1670" s="82" t="s">
        <v>16357</v>
      </c>
      <c r="BE1670" s="77"/>
      <c r="BF1670" s="77"/>
      <c r="BG1670" s="77"/>
      <c r="BH1670" s="77"/>
      <c r="BI1670" s="77"/>
    </row>
    <row r="1671" spans="1:61" x14ac:dyDescent="0.25">
      <c r="A1671" s="62" t="s">
        <v>666</v>
      </c>
      <c r="B1671" s="62" t="s">
        <v>666</v>
      </c>
      <c r="C1671" s="63"/>
      <c r="D1671" s="64"/>
      <c r="E1671" s="65"/>
      <c r="F1671" s="66"/>
      <c r="G1671" s="63"/>
      <c r="H1671" s="67"/>
      <c r="I1671" s="68"/>
      <c r="J1671" s="68"/>
      <c r="K1671" s="32"/>
      <c r="L1671" s="75">
        <v>1671</v>
      </c>
      <c r="M1671" s="75"/>
      <c r="N1671" s="70"/>
      <c r="O1671" s="77" t="s">
        <v>179</v>
      </c>
      <c r="P1671" s="79">
        <v>45125.003217592595</v>
      </c>
      <c r="Q1671" s="77" t="s">
        <v>2378</v>
      </c>
      <c r="R1671" s="77">
        <v>0</v>
      </c>
      <c r="S1671" s="77">
        <v>0</v>
      </c>
      <c r="T1671" s="77">
        <v>0</v>
      </c>
      <c r="U1671" s="77">
        <v>0</v>
      </c>
      <c r="V1671" s="77">
        <v>66</v>
      </c>
      <c r="W1671" s="82" t="s">
        <v>5663</v>
      </c>
      <c r="X1671" s="77" t="s">
        <v>6466</v>
      </c>
      <c r="Y1671" s="77" t="s">
        <v>6548</v>
      </c>
      <c r="Z1671" s="77"/>
      <c r="AA1671" s="77"/>
      <c r="AB1671" s="77"/>
      <c r="AC1671" s="82" t="s">
        <v>7751</v>
      </c>
      <c r="AD1671" s="77" t="s">
        <v>7788</v>
      </c>
      <c r="AE1671" s="80" t="str">
        <f>HYPERLINK("https://twitter.com/petri_danilo/status/1681092579159339008")</f>
        <v>https://twitter.com/petri_danilo/status/1681092579159339008</v>
      </c>
      <c r="AF1671" s="79">
        <v>45125.003217592595</v>
      </c>
      <c r="AG1671" s="85">
        <v>45125</v>
      </c>
      <c r="AH1671" s="82" t="s">
        <v>9212</v>
      </c>
      <c r="AI1671" s="77" t="b">
        <v>0</v>
      </c>
      <c r="AJ1671" s="77"/>
      <c r="AK1671" s="77"/>
      <c r="AL1671" s="77"/>
      <c r="AM1671" s="77"/>
      <c r="AN1671" s="77"/>
      <c r="AO1671" s="77"/>
      <c r="AP1671" s="77"/>
      <c r="AQ1671" s="77"/>
      <c r="AR1671" s="77"/>
      <c r="AS1671" s="77"/>
      <c r="AT1671" s="77"/>
      <c r="AU1671" s="77"/>
      <c r="AV1671" s="80" t="str">
        <f>HYPERLINK("https://pbs.twimg.com/profile_images/1502323706554724353/CltN_T4Y_normal.jpg")</f>
        <v>https://pbs.twimg.com/profile_images/1502323706554724353/CltN_T4Y_normal.jpg</v>
      </c>
      <c r="AW1671" s="82" t="s">
        <v>13270</v>
      </c>
      <c r="AX1671" s="82" t="s">
        <v>13270</v>
      </c>
      <c r="AY1671" s="77"/>
      <c r="AZ1671" s="82" t="s">
        <v>15984</v>
      </c>
      <c r="BA1671" s="82" t="s">
        <v>15984</v>
      </c>
      <c r="BB1671" s="82" t="s">
        <v>15984</v>
      </c>
      <c r="BC1671" s="82" t="s">
        <v>13270</v>
      </c>
      <c r="BD1671" s="82" t="s">
        <v>16358</v>
      </c>
      <c r="BE1671" s="77"/>
      <c r="BF1671" s="77"/>
      <c r="BG1671" s="77"/>
      <c r="BH1671" s="77"/>
      <c r="BI1671" s="77"/>
    </row>
    <row r="1672" spans="1:61" x14ac:dyDescent="0.25">
      <c r="A1672" s="62" t="s">
        <v>667</v>
      </c>
      <c r="B1672" s="62" t="s">
        <v>667</v>
      </c>
      <c r="C1672" s="63"/>
      <c r="D1672" s="64"/>
      <c r="E1672" s="65"/>
      <c r="F1672" s="66"/>
      <c r="G1672" s="63"/>
      <c r="H1672" s="67"/>
      <c r="I1672" s="68"/>
      <c r="J1672" s="68"/>
      <c r="K1672" s="32"/>
      <c r="L1672" s="75">
        <v>1672</v>
      </c>
      <c r="M1672" s="75"/>
      <c r="N1672" s="70"/>
      <c r="O1672" s="77" t="s">
        <v>179</v>
      </c>
      <c r="P1672" s="79">
        <v>45193.292407407411</v>
      </c>
      <c r="Q1672" s="77" t="s">
        <v>1014</v>
      </c>
      <c r="R1672" s="77">
        <v>0</v>
      </c>
      <c r="S1672" s="77">
        <v>0</v>
      </c>
      <c r="T1672" s="77">
        <v>0</v>
      </c>
      <c r="U1672" s="77">
        <v>0</v>
      </c>
      <c r="V1672" s="77">
        <v>8</v>
      </c>
      <c r="W1672" s="82" t="s">
        <v>4849</v>
      </c>
      <c r="X1672" s="77"/>
      <c r="Y1672" s="77"/>
      <c r="Z1672" s="77"/>
      <c r="AA1672" s="77"/>
      <c r="AB1672" s="77"/>
      <c r="AC1672" s="82" t="s">
        <v>7750</v>
      </c>
      <c r="AD1672" s="77" t="s">
        <v>7789</v>
      </c>
      <c r="AE1672" s="80" t="str">
        <f>HYPERLINK("https://twitter.com/now_wisely/status/1705839753046679878")</f>
        <v>https://twitter.com/now_wisely/status/1705839753046679878</v>
      </c>
      <c r="AF1672" s="79">
        <v>45193.292407407411</v>
      </c>
      <c r="AG1672" s="85">
        <v>45193</v>
      </c>
      <c r="AH1672" s="82" t="s">
        <v>9213</v>
      </c>
      <c r="AI1672" s="77"/>
      <c r="AJ1672" s="77"/>
      <c r="AK1672" s="77"/>
      <c r="AL1672" s="77"/>
      <c r="AM1672" s="77"/>
      <c r="AN1672" s="77"/>
      <c r="AO1672" s="77"/>
      <c r="AP1672" s="77"/>
      <c r="AQ1672" s="77"/>
      <c r="AR1672" s="77"/>
      <c r="AS1672" s="77"/>
      <c r="AT1672" s="77"/>
      <c r="AU1672" s="77"/>
      <c r="AV1672" s="80" t="str">
        <f>HYPERLINK("https://pbs.twimg.com/profile_images/1704477122054504448/d4pSke2Y_normal.png")</f>
        <v>https://pbs.twimg.com/profile_images/1704477122054504448/d4pSke2Y_normal.png</v>
      </c>
      <c r="AW1672" s="82" t="s">
        <v>13271</v>
      </c>
      <c r="AX1672" s="82" t="s">
        <v>13271</v>
      </c>
      <c r="AY1672" s="77"/>
      <c r="AZ1672" s="82" t="s">
        <v>15984</v>
      </c>
      <c r="BA1672" s="82" t="s">
        <v>15984</v>
      </c>
      <c r="BB1672" s="82" t="s">
        <v>15984</v>
      </c>
      <c r="BC1672" s="82" t="s">
        <v>13271</v>
      </c>
      <c r="BD1672" s="82" t="s">
        <v>16359</v>
      </c>
      <c r="BE1672" s="77"/>
      <c r="BF1672" s="77"/>
      <c r="BG1672" s="77"/>
      <c r="BH1672" s="77"/>
      <c r="BI1672" s="77"/>
    </row>
    <row r="1673" spans="1:61" x14ac:dyDescent="0.25">
      <c r="A1673" s="62" t="s">
        <v>502</v>
      </c>
      <c r="B1673" s="62" t="s">
        <v>502</v>
      </c>
      <c r="C1673" s="63"/>
      <c r="D1673" s="64"/>
      <c r="E1673" s="65"/>
      <c r="F1673" s="66"/>
      <c r="G1673" s="63"/>
      <c r="H1673" s="67"/>
      <c r="I1673" s="68"/>
      <c r="J1673" s="68"/>
      <c r="K1673" s="32"/>
      <c r="L1673" s="75">
        <v>1673</v>
      </c>
      <c r="M1673" s="75"/>
      <c r="N1673" s="70"/>
      <c r="O1673" s="77" t="s">
        <v>179</v>
      </c>
      <c r="P1673" s="79">
        <v>45120.431574074071</v>
      </c>
      <c r="Q1673" s="77" t="s">
        <v>2379</v>
      </c>
      <c r="R1673" s="77">
        <v>3</v>
      </c>
      <c r="S1673" s="77">
        <v>4</v>
      </c>
      <c r="T1673" s="77">
        <v>0</v>
      </c>
      <c r="U1673" s="77">
        <v>0</v>
      </c>
      <c r="V1673" s="77">
        <v>484</v>
      </c>
      <c r="W1673" s="82" t="s">
        <v>5664</v>
      </c>
      <c r="X1673" s="80" t="str">
        <f>HYPERLINK("https://youtu.be/Ui1CA8NIaZM")</f>
        <v>https://youtu.be/Ui1CA8NIaZM</v>
      </c>
      <c r="Y1673" s="77" t="s">
        <v>6472</v>
      </c>
      <c r="Z1673" s="77"/>
      <c r="AA1673" s="77" t="s">
        <v>7427</v>
      </c>
      <c r="AB1673" s="77" t="s">
        <v>7742</v>
      </c>
      <c r="AC1673" s="82" t="s">
        <v>7761</v>
      </c>
      <c r="AD1673" s="77" t="s">
        <v>7790</v>
      </c>
      <c r="AE1673" s="80" t="str">
        <f>HYPERLINK("https://twitter.com/negocios_tv/status/1679435869797621760")</f>
        <v>https://twitter.com/negocios_tv/status/1679435869797621760</v>
      </c>
      <c r="AF1673" s="79">
        <v>45120.431574074071</v>
      </c>
      <c r="AG1673" s="85">
        <v>45120</v>
      </c>
      <c r="AH1673" s="82" t="s">
        <v>9214</v>
      </c>
      <c r="AI1673" s="77" t="b">
        <v>0</v>
      </c>
      <c r="AJ1673" s="77"/>
      <c r="AK1673" s="77"/>
      <c r="AL1673" s="77"/>
      <c r="AM1673" s="77"/>
      <c r="AN1673" s="77"/>
      <c r="AO1673" s="77"/>
      <c r="AP1673" s="77"/>
      <c r="AQ1673" s="77" t="s">
        <v>11399</v>
      </c>
      <c r="AR1673" s="77"/>
      <c r="AS1673" s="77"/>
      <c r="AT1673" s="77"/>
      <c r="AU1673" s="77"/>
      <c r="AV1673" s="80" t="str">
        <f>HYPERLINK("https://pbs.twimg.com/media/F06OBkaXoAAB7PN.jpg")</f>
        <v>https://pbs.twimg.com/media/F06OBkaXoAAB7PN.jpg</v>
      </c>
      <c r="AW1673" s="82" t="s">
        <v>13272</v>
      </c>
      <c r="AX1673" s="82" t="s">
        <v>13272</v>
      </c>
      <c r="AY1673" s="77"/>
      <c r="AZ1673" s="82" t="s">
        <v>15984</v>
      </c>
      <c r="BA1673" s="82" t="s">
        <v>15984</v>
      </c>
      <c r="BB1673" s="82" t="s">
        <v>15984</v>
      </c>
      <c r="BC1673" s="82" t="s">
        <v>13272</v>
      </c>
      <c r="BD1673" s="82" t="s">
        <v>16267</v>
      </c>
      <c r="BE1673" s="77"/>
      <c r="BF1673" s="77"/>
      <c r="BG1673" s="77"/>
      <c r="BH1673" s="77"/>
      <c r="BI1673" s="77"/>
    </row>
    <row r="1674" spans="1:61" x14ac:dyDescent="0.25">
      <c r="A1674" s="62" t="s">
        <v>502</v>
      </c>
      <c r="B1674" s="62" t="s">
        <v>502</v>
      </c>
      <c r="C1674" s="63"/>
      <c r="D1674" s="64"/>
      <c r="E1674" s="65"/>
      <c r="F1674" s="66"/>
      <c r="G1674" s="63"/>
      <c r="H1674" s="67"/>
      <c r="I1674" s="68"/>
      <c r="J1674" s="68"/>
      <c r="K1674" s="32"/>
      <c r="L1674" s="75">
        <v>1674</v>
      </c>
      <c r="M1674" s="75"/>
      <c r="N1674" s="70"/>
      <c r="O1674" s="77" t="s">
        <v>179</v>
      </c>
      <c r="P1674" s="79">
        <v>45142.74013888889</v>
      </c>
      <c r="Q1674" s="77" t="s">
        <v>2380</v>
      </c>
      <c r="R1674" s="77">
        <v>2</v>
      </c>
      <c r="S1674" s="77">
        <v>8</v>
      </c>
      <c r="T1674" s="77">
        <v>0</v>
      </c>
      <c r="U1674" s="77">
        <v>0</v>
      </c>
      <c r="V1674" s="77">
        <v>1150</v>
      </c>
      <c r="W1674" s="82" t="s">
        <v>5665</v>
      </c>
      <c r="X1674" s="80" t="str">
        <f>HYPERLINK("https://youtu.be/mHHO3h2aXOo")</f>
        <v>https://youtu.be/mHHO3h2aXOo</v>
      </c>
      <c r="Y1674" s="77" t="s">
        <v>6472</v>
      </c>
      <c r="Z1674" s="77"/>
      <c r="AA1674" s="77" t="s">
        <v>7428</v>
      </c>
      <c r="AB1674" s="77" t="s">
        <v>7742</v>
      </c>
      <c r="AC1674" s="82" t="s">
        <v>7761</v>
      </c>
      <c r="AD1674" s="77" t="s">
        <v>7790</v>
      </c>
      <c r="AE1674" s="80" t="str">
        <f>HYPERLINK("https://twitter.com/negocios_tv/status/1687520222540943377")</f>
        <v>https://twitter.com/negocios_tv/status/1687520222540943377</v>
      </c>
      <c r="AF1674" s="79">
        <v>45142.74013888889</v>
      </c>
      <c r="AG1674" s="85">
        <v>45142</v>
      </c>
      <c r="AH1674" s="82" t="s">
        <v>9215</v>
      </c>
      <c r="AI1674" s="77" t="b">
        <v>0</v>
      </c>
      <c r="AJ1674" s="77"/>
      <c r="AK1674" s="77"/>
      <c r="AL1674" s="77"/>
      <c r="AM1674" s="77"/>
      <c r="AN1674" s="77"/>
      <c r="AO1674" s="77"/>
      <c r="AP1674" s="77"/>
      <c r="AQ1674" s="77" t="s">
        <v>11400</v>
      </c>
      <c r="AR1674" s="77"/>
      <c r="AS1674" s="77"/>
      <c r="AT1674" s="77"/>
      <c r="AU1674" s="77"/>
      <c r="AV1674" s="80" t="str">
        <f>HYPERLINK("https://pbs.twimg.com/media/F2tGszLW0AAYSYo.jpg")</f>
        <v>https://pbs.twimg.com/media/F2tGszLW0AAYSYo.jpg</v>
      </c>
      <c r="AW1674" s="82" t="s">
        <v>13273</v>
      </c>
      <c r="AX1674" s="82" t="s">
        <v>13273</v>
      </c>
      <c r="AY1674" s="77"/>
      <c r="AZ1674" s="82" t="s">
        <v>15984</v>
      </c>
      <c r="BA1674" s="82" t="s">
        <v>15984</v>
      </c>
      <c r="BB1674" s="82" t="s">
        <v>15984</v>
      </c>
      <c r="BC1674" s="82" t="s">
        <v>13273</v>
      </c>
      <c r="BD1674" s="82" t="s">
        <v>16267</v>
      </c>
      <c r="BE1674" s="77"/>
      <c r="BF1674" s="77"/>
      <c r="BG1674" s="77"/>
      <c r="BH1674" s="77"/>
      <c r="BI1674" s="77"/>
    </row>
    <row r="1675" spans="1:61" x14ac:dyDescent="0.25">
      <c r="A1675" s="62" t="s">
        <v>502</v>
      </c>
      <c r="B1675" s="62" t="s">
        <v>502</v>
      </c>
      <c r="C1675" s="63"/>
      <c r="D1675" s="64"/>
      <c r="E1675" s="65"/>
      <c r="F1675" s="66"/>
      <c r="G1675" s="63"/>
      <c r="H1675" s="67"/>
      <c r="I1675" s="68"/>
      <c r="J1675" s="68"/>
      <c r="K1675" s="32"/>
      <c r="L1675" s="75">
        <v>1675</v>
      </c>
      <c r="M1675" s="75"/>
      <c r="N1675" s="70"/>
      <c r="O1675" s="77" t="s">
        <v>179</v>
      </c>
      <c r="P1675" s="79">
        <v>45160.774988425925</v>
      </c>
      <c r="Q1675" s="77" t="s">
        <v>2381</v>
      </c>
      <c r="R1675" s="77">
        <v>11</v>
      </c>
      <c r="S1675" s="77">
        <v>30</v>
      </c>
      <c r="T1675" s="77">
        <v>2</v>
      </c>
      <c r="U1675" s="77">
        <v>0</v>
      </c>
      <c r="V1675" s="77">
        <v>2544</v>
      </c>
      <c r="W1675" s="82" t="s">
        <v>5666</v>
      </c>
      <c r="X1675" s="80" t="str">
        <f>HYPERLINK("https://youtu.be/c4GIC5glsAc")</f>
        <v>https://youtu.be/c4GIC5glsAc</v>
      </c>
      <c r="Y1675" s="77" t="s">
        <v>6472</v>
      </c>
      <c r="Z1675" s="77"/>
      <c r="AA1675" s="77" t="s">
        <v>7429</v>
      </c>
      <c r="AB1675" s="77" t="s">
        <v>7742</v>
      </c>
      <c r="AC1675" s="82" t="s">
        <v>7761</v>
      </c>
      <c r="AD1675" s="77" t="s">
        <v>7790</v>
      </c>
      <c r="AE1675" s="80" t="str">
        <f>HYPERLINK("https://twitter.com/negocios_tv/status/1694055835234640205")</f>
        <v>https://twitter.com/negocios_tv/status/1694055835234640205</v>
      </c>
      <c r="AF1675" s="79">
        <v>45160.774988425925</v>
      </c>
      <c r="AG1675" s="85">
        <v>45160</v>
      </c>
      <c r="AH1675" s="82" t="s">
        <v>9216</v>
      </c>
      <c r="AI1675" s="77" t="b">
        <v>0</v>
      </c>
      <c r="AJ1675" s="77"/>
      <c r="AK1675" s="77"/>
      <c r="AL1675" s="77"/>
      <c r="AM1675" s="77"/>
      <c r="AN1675" s="77"/>
      <c r="AO1675" s="77"/>
      <c r="AP1675" s="77"/>
      <c r="AQ1675" s="77" t="s">
        <v>11401</v>
      </c>
      <c r="AR1675" s="77"/>
      <c r="AS1675" s="77"/>
      <c r="AT1675" s="77"/>
      <c r="AU1675" s="77"/>
      <c r="AV1675" s="80" t="str">
        <f>HYPERLINK("https://pbs.twimg.com/media/F4J-zh7WkAACog3.jpg")</f>
        <v>https://pbs.twimg.com/media/F4J-zh7WkAACog3.jpg</v>
      </c>
      <c r="AW1675" s="82" t="s">
        <v>13274</v>
      </c>
      <c r="AX1675" s="82" t="s">
        <v>13274</v>
      </c>
      <c r="AY1675" s="77"/>
      <c r="AZ1675" s="82" t="s">
        <v>15984</v>
      </c>
      <c r="BA1675" s="82" t="s">
        <v>15984</v>
      </c>
      <c r="BB1675" s="82" t="s">
        <v>15984</v>
      </c>
      <c r="BC1675" s="82" t="s">
        <v>13274</v>
      </c>
      <c r="BD1675" s="82" t="s">
        <v>16267</v>
      </c>
      <c r="BE1675" s="77"/>
      <c r="BF1675" s="77"/>
      <c r="BG1675" s="77"/>
      <c r="BH1675" s="77"/>
      <c r="BI1675" s="77"/>
    </row>
    <row r="1676" spans="1:61" x14ac:dyDescent="0.25">
      <c r="A1676" s="62" t="s">
        <v>502</v>
      </c>
      <c r="B1676" s="62" t="s">
        <v>502</v>
      </c>
      <c r="C1676" s="63"/>
      <c r="D1676" s="64"/>
      <c r="E1676" s="65"/>
      <c r="F1676" s="66"/>
      <c r="G1676" s="63"/>
      <c r="H1676" s="67"/>
      <c r="I1676" s="68"/>
      <c r="J1676" s="68"/>
      <c r="K1676" s="32"/>
      <c r="L1676" s="75">
        <v>1676</v>
      </c>
      <c r="M1676" s="75"/>
      <c r="N1676" s="70"/>
      <c r="O1676" s="77" t="s">
        <v>179</v>
      </c>
      <c r="P1676" s="79">
        <v>45145.557337962964</v>
      </c>
      <c r="Q1676" s="77" t="s">
        <v>2382</v>
      </c>
      <c r="R1676" s="77">
        <v>2</v>
      </c>
      <c r="S1676" s="77">
        <v>2</v>
      </c>
      <c r="T1676" s="77">
        <v>0</v>
      </c>
      <c r="U1676" s="77">
        <v>0</v>
      </c>
      <c r="V1676" s="77">
        <v>888</v>
      </c>
      <c r="W1676" s="82" t="s">
        <v>5667</v>
      </c>
      <c r="X1676" s="80" t="str">
        <f>HYPERLINK("https://youtu.be/cYrAEyrZvI0")</f>
        <v>https://youtu.be/cYrAEyrZvI0</v>
      </c>
      <c r="Y1676" s="77" t="s">
        <v>6472</v>
      </c>
      <c r="Z1676" s="77"/>
      <c r="AA1676" s="77" t="s">
        <v>7430</v>
      </c>
      <c r="AB1676" s="77" t="s">
        <v>7742</v>
      </c>
      <c r="AC1676" s="82" t="s">
        <v>7761</v>
      </c>
      <c r="AD1676" s="77" t="s">
        <v>7790</v>
      </c>
      <c r="AE1676" s="80" t="str">
        <f>HYPERLINK("https://twitter.com/negocios_tv/status/1688541143414321152")</f>
        <v>https://twitter.com/negocios_tv/status/1688541143414321152</v>
      </c>
      <c r="AF1676" s="79">
        <v>45145.557337962964</v>
      </c>
      <c r="AG1676" s="85">
        <v>45145</v>
      </c>
      <c r="AH1676" s="82" t="s">
        <v>9217</v>
      </c>
      <c r="AI1676" s="77" t="b">
        <v>0</v>
      </c>
      <c r="AJ1676" s="77"/>
      <c r="AK1676" s="77"/>
      <c r="AL1676" s="77"/>
      <c r="AM1676" s="77"/>
      <c r="AN1676" s="77"/>
      <c r="AO1676" s="77"/>
      <c r="AP1676" s="77"/>
      <c r="AQ1676" s="77" t="s">
        <v>11402</v>
      </c>
      <c r="AR1676" s="77"/>
      <c r="AS1676" s="77"/>
      <c r="AT1676" s="77"/>
      <c r="AU1676" s="77"/>
      <c r="AV1676" s="80" t="str">
        <f>HYPERLINK("https://pbs.twimg.com/media/F27nOPVXoAAapxj.jpg")</f>
        <v>https://pbs.twimg.com/media/F27nOPVXoAAapxj.jpg</v>
      </c>
      <c r="AW1676" s="82" t="s">
        <v>13275</v>
      </c>
      <c r="AX1676" s="82" t="s">
        <v>13275</v>
      </c>
      <c r="AY1676" s="77"/>
      <c r="AZ1676" s="82" t="s">
        <v>15984</v>
      </c>
      <c r="BA1676" s="82" t="s">
        <v>15984</v>
      </c>
      <c r="BB1676" s="82" t="s">
        <v>15984</v>
      </c>
      <c r="BC1676" s="82" t="s">
        <v>13275</v>
      </c>
      <c r="BD1676" s="82" t="s">
        <v>16267</v>
      </c>
      <c r="BE1676" s="77"/>
      <c r="BF1676" s="77"/>
      <c r="BG1676" s="77"/>
      <c r="BH1676" s="77"/>
      <c r="BI1676" s="77"/>
    </row>
    <row r="1677" spans="1:61" x14ac:dyDescent="0.25">
      <c r="A1677" s="62" t="s">
        <v>502</v>
      </c>
      <c r="B1677" s="62" t="s">
        <v>502</v>
      </c>
      <c r="C1677" s="63"/>
      <c r="D1677" s="64"/>
      <c r="E1677" s="65"/>
      <c r="F1677" s="66"/>
      <c r="G1677" s="63"/>
      <c r="H1677" s="67"/>
      <c r="I1677" s="68"/>
      <c r="J1677" s="68"/>
      <c r="K1677" s="32"/>
      <c r="L1677" s="75">
        <v>1677</v>
      </c>
      <c r="M1677" s="75"/>
      <c r="N1677" s="70"/>
      <c r="O1677" s="77" t="s">
        <v>179</v>
      </c>
      <c r="P1677" s="79">
        <v>45160.537118055552</v>
      </c>
      <c r="Q1677" s="77" t="s">
        <v>2383</v>
      </c>
      <c r="R1677" s="77">
        <v>1</v>
      </c>
      <c r="S1677" s="77">
        <v>5</v>
      </c>
      <c r="T1677" s="77">
        <v>1</v>
      </c>
      <c r="U1677" s="77">
        <v>0</v>
      </c>
      <c r="V1677" s="77">
        <v>837</v>
      </c>
      <c r="W1677" s="82" t="s">
        <v>5668</v>
      </c>
      <c r="X1677" s="80" t="str">
        <f>HYPERLINK("https://youtu.be/yxkXrkn32Yc")</f>
        <v>https://youtu.be/yxkXrkn32Yc</v>
      </c>
      <c r="Y1677" s="77" t="s">
        <v>6472</v>
      </c>
      <c r="Z1677" s="77"/>
      <c r="AA1677" s="77" t="s">
        <v>7431</v>
      </c>
      <c r="AB1677" s="77" t="s">
        <v>7742</v>
      </c>
      <c r="AC1677" s="82" t="s">
        <v>7761</v>
      </c>
      <c r="AD1677" s="77" t="s">
        <v>7790</v>
      </c>
      <c r="AE1677" s="80" t="str">
        <f>HYPERLINK("https://twitter.com/negocios_tv/status/1693969632049131818")</f>
        <v>https://twitter.com/negocios_tv/status/1693969632049131818</v>
      </c>
      <c r="AF1677" s="79">
        <v>45160.537118055552</v>
      </c>
      <c r="AG1677" s="85">
        <v>45160</v>
      </c>
      <c r="AH1677" s="82" t="s">
        <v>9218</v>
      </c>
      <c r="AI1677" s="77" t="b">
        <v>0</v>
      </c>
      <c r="AJ1677" s="77"/>
      <c r="AK1677" s="77"/>
      <c r="AL1677" s="77"/>
      <c r="AM1677" s="77"/>
      <c r="AN1677" s="77"/>
      <c r="AO1677" s="77"/>
      <c r="AP1677" s="77"/>
      <c r="AQ1677" s="77" t="s">
        <v>11403</v>
      </c>
      <c r="AR1677" s="77"/>
      <c r="AS1677" s="77"/>
      <c r="AT1677" s="77"/>
      <c r="AU1677" s="77"/>
      <c r="AV1677" s="80" t="str">
        <f>HYPERLINK("https://pbs.twimg.com/media/F4IwZ3QWcAAQdcD.jpg")</f>
        <v>https://pbs.twimg.com/media/F4IwZ3QWcAAQdcD.jpg</v>
      </c>
      <c r="AW1677" s="82" t="s">
        <v>13276</v>
      </c>
      <c r="AX1677" s="82" t="s">
        <v>13276</v>
      </c>
      <c r="AY1677" s="77"/>
      <c r="AZ1677" s="82" t="s">
        <v>15984</v>
      </c>
      <c r="BA1677" s="82" t="s">
        <v>15984</v>
      </c>
      <c r="BB1677" s="82" t="s">
        <v>15984</v>
      </c>
      <c r="BC1677" s="82" t="s">
        <v>13276</v>
      </c>
      <c r="BD1677" s="82" t="s">
        <v>16267</v>
      </c>
      <c r="BE1677" s="77"/>
      <c r="BF1677" s="77"/>
      <c r="BG1677" s="77"/>
      <c r="BH1677" s="77"/>
      <c r="BI1677" s="77"/>
    </row>
    <row r="1678" spans="1:61" x14ac:dyDescent="0.25">
      <c r="A1678" s="62" t="s">
        <v>502</v>
      </c>
      <c r="B1678" s="62" t="s">
        <v>502</v>
      </c>
      <c r="C1678" s="63"/>
      <c r="D1678" s="64"/>
      <c r="E1678" s="65"/>
      <c r="F1678" s="66"/>
      <c r="G1678" s="63"/>
      <c r="H1678" s="67"/>
      <c r="I1678" s="68"/>
      <c r="J1678" s="68"/>
      <c r="K1678" s="32"/>
      <c r="L1678" s="75">
        <v>1678</v>
      </c>
      <c r="M1678" s="75"/>
      <c r="N1678" s="70"/>
      <c r="O1678" s="77" t="s">
        <v>179</v>
      </c>
      <c r="P1678" s="79">
        <v>45163.593344907407</v>
      </c>
      <c r="Q1678" s="77" t="s">
        <v>2384</v>
      </c>
      <c r="R1678" s="77">
        <v>1</v>
      </c>
      <c r="S1678" s="77">
        <v>4</v>
      </c>
      <c r="T1678" s="77">
        <v>0</v>
      </c>
      <c r="U1678" s="77">
        <v>0</v>
      </c>
      <c r="V1678" s="77">
        <v>884</v>
      </c>
      <c r="W1678" s="82" t="s">
        <v>5669</v>
      </c>
      <c r="X1678" s="80" t="str">
        <f>HYPERLINK("https://youtu.be/fTAUrtQVB80")</f>
        <v>https://youtu.be/fTAUrtQVB80</v>
      </c>
      <c r="Y1678" s="77" t="s">
        <v>6472</v>
      </c>
      <c r="Z1678" s="77"/>
      <c r="AA1678" s="77" t="s">
        <v>7432</v>
      </c>
      <c r="AB1678" s="77" t="s">
        <v>7742</v>
      </c>
      <c r="AC1678" s="82" t="s">
        <v>7761</v>
      </c>
      <c r="AD1678" s="77" t="s">
        <v>7790</v>
      </c>
      <c r="AE1678" s="80" t="str">
        <f>HYPERLINK("https://twitter.com/negocios_tv/status/1695077170597580984")</f>
        <v>https://twitter.com/negocios_tv/status/1695077170597580984</v>
      </c>
      <c r="AF1678" s="79">
        <v>45163.593344907407</v>
      </c>
      <c r="AG1678" s="85">
        <v>45163</v>
      </c>
      <c r="AH1678" s="82" t="s">
        <v>9219</v>
      </c>
      <c r="AI1678" s="77" t="b">
        <v>0</v>
      </c>
      <c r="AJ1678" s="77"/>
      <c r="AK1678" s="77"/>
      <c r="AL1678" s="77"/>
      <c r="AM1678" s="77"/>
      <c r="AN1678" s="77"/>
      <c r="AO1678" s="77"/>
      <c r="AP1678" s="77"/>
      <c r="AQ1678" s="77" t="s">
        <v>11404</v>
      </c>
      <c r="AR1678" s="77"/>
      <c r="AS1678" s="77"/>
      <c r="AT1678" s="77"/>
      <c r="AU1678" s="77"/>
      <c r="AV1678" s="80" t="str">
        <f>HYPERLINK("https://pbs.twimg.com/media/F4YftGMWMAA0qCQ.jpg")</f>
        <v>https://pbs.twimg.com/media/F4YftGMWMAA0qCQ.jpg</v>
      </c>
      <c r="AW1678" s="82" t="s">
        <v>13277</v>
      </c>
      <c r="AX1678" s="82" t="s">
        <v>13277</v>
      </c>
      <c r="AY1678" s="77"/>
      <c r="AZ1678" s="82" t="s">
        <v>15984</v>
      </c>
      <c r="BA1678" s="82" t="s">
        <v>15984</v>
      </c>
      <c r="BB1678" s="82" t="s">
        <v>15984</v>
      </c>
      <c r="BC1678" s="82" t="s">
        <v>13277</v>
      </c>
      <c r="BD1678" s="82" t="s">
        <v>16267</v>
      </c>
      <c r="BE1678" s="77"/>
      <c r="BF1678" s="77"/>
      <c r="BG1678" s="77"/>
      <c r="BH1678" s="77"/>
      <c r="BI1678" s="77"/>
    </row>
    <row r="1679" spans="1:61" x14ac:dyDescent="0.25">
      <c r="A1679" s="62" t="s">
        <v>502</v>
      </c>
      <c r="B1679" s="62" t="s">
        <v>502</v>
      </c>
      <c r="C1679" s="63"/>
      <c r="D1679" s="64"/>
      <c r="E1679" s="65"/>
      <c r="F1679" s="66"/>
      <c r="G1679" s="63"/>
      <c r="H1679" s="67"/>
      <c r="I1679" s="68"/>
      <c r="J1679" s="68"/>
      <c r="K1679" s="32"/>
      <c r="L1679" s="75">
        <v>1679</v>
      </c>
      <c r="M1679" s="75"/>
      <c r="N1679" s="70"/>
      <c r="O1679" s="77" t="s">
        <v>179</v>
      </c>
      <c r="P1679" s="79">
        <v>45163.570891203701</v>
      </c>
      <c r="Q1679" s="77" t="s">
        <v>2385</v>
      </c>
      <c r="R1679" s="77">
        <v>0</v>
      </c>
      <c r="S1679" s="77">
        <v>1</v>
      </c>
      <c r="T1679" s="77">
        <v>0</v>
      </c>
      <c r="U1679" s="77">
        <v>0</v>
      </c>
      <c r="V1679" s="77">
        <v>608</v>
      </c>
      <c r="W1679" s="82" t="s">
        <v>5670</v>
      </c>
      <c r="X1679" s="80" t="str">
        <f>HYPERLINK("https://youtu.be/4n2lyr-Z81s")</f>
        <v>https://youtu.be/4n2lyr-Z81s</v>
      </c>
      <c r="Y1679" s="77" t="s">
        <v>6472</v>
      </c>
      <c r="Z1679" s="77"/>
      <c r="AA1679" s="77" t="s">
        <v>7433</v>
      </c>
      <c r="AB1679" s="77" t="s">
        <v>7742</v>
      </c>
      <c r="AC1679" s="82" t="s">
        <v>7761</v>
      </c>
      <c r="AD1679" s="77" t="s">
        <v>7790</v>
      </c>
      <c r="AE1679" s="80" t="str">
        <f>HYPERLINK("https://twitter.com/negocios_tv/status/1695069037225545765")</f>
        <v>https://twitter.com/negocios_tv/status/1695069037225545765</v>
      </c>
      <c r="AF1679" s="79">
        <v>45163.570891203701</v>
      </c>
      <c r="AG1679" s="85">
        <v>45163</v>
      </c>
      <c r="AH1679" s="82" t="s">
        <v>9220</v>
      </c>
      <c r="AI1679" s="77" t="b">
        <v>0</v>
      </c>
      <c r="AJ1679" s="77"/>
      <c r="AK1679" s="77"/>
      <c r="AL1679" s="77"/>
      <c r="AM1679" s="77"/>
      <c r="AN1679" s="77"/>
      <c r="AO1679" s="77"/>
      <c r="AP1679" s="77"/>
      <c r="AQ1679" s="77" t="s">
        <v>11405</v>
      </c>
      <c r="AR1679" s="77"/>
      <c r="AS1679" s="77"/>
      <c r="AT1679" s="77"/>
      <c r="AU1679" s="77"/>
      <c r="AV1679" s="80" t="str">
        <f>HYPERLINK("https://pbs.twimg.com/media/F4YYTqxXwAArpHZ.jpg")</f>
        <v>https://pbs.twimg.com/media/F4YYTqxXwAArpHZ.jpg</v>
      </c>
      <c r="AW1679" s="82" t="s">
        <v>13278</v>
      </c>
      <c r="AX1679" s="82" t="s">
        <v>13278</v>
      </c>
      <c r="AY1679" s="77"/>
      <c r="AZ1679" s="82" t="s">
        <v>15984</v>
      </c>
      <c r="BA1679" s="82" t="s">
        <v>15984</v>
      </c>
      <c r="BB1679" s="82" t="s">
        <v>15984</v>
      </c>
      <c r="BC1679" s="82" t="s">
        <v>13278</v>
      </c>
      <c r="BD1679" s="82" t="s">
        <v>16267</v>
      </c>
      <c r="BE1679" s="77"/>
      <c r="BF1679" s="77"/>
      <c r="BG1679" s="77"/>
      <c r="BH1679" s="77"/>
      <c r="BI1679" s="77"/>
    </row>
    <row r="1680" spans="1:61" x14ac:dyDescent="0.25">
      <c r="A1680" s="62" t="s">
        <v>502</v>
      </c>
      <c r="B1680" s="62" t="s">
        <v>502</v>
      </c>
      <c r="C1680" s="63"/>
      <c r="D1680" s="64"/>
      <c r="E1680" s="65"/>
      <c r="F1680" s="66"/>
      <c r="G1680" s="63"/>
      <c r="H1680" s="67"/>
      <c r="I1680" s="68"/>
      <c r="J1680" s="68"/>
      <c r="K1680" s="32"/>
      <c r="L1680" s="75">
        <v>1680</v>
      </c>
      <c r="M1680" s="75"/>
      <c r="N1680" s="70"/>
      <c r="O1680" s="77" t="s">
        <v>179</v>
      </c>
      <c r="P1680" s="79">
        <v>45160.519652777781</v>
      </c>
      <c r="Q1680" s="77" t="s">
        <v>2386</v>
      </c>
      <c r="R1680" s="77">
        <v>7</v>
      </c>
      <c r="S1680" s="77">
        <v>20</v>
      </c>
      <c r="T1680" s="77">
        <v>0</v>
      </c>
      <c r="U1680" s="77">
        <v>0</v>
      </c>
      <c r="V1680" s="77">
        <v>1129</v>
      </c>
      <c r="W1680" s="82" t="s">
        <v>5671</v>
      </c>
      <c r="X1680" s="80" t="str">
        <f>HYPERLINK("https://youtu.be/ku1tMFuC8PQ")</f>
        <v>https://youtu.be/ku1tMFuC8PQ</v>
      </c>
      <c r="Y1680" s="77" t="s">
        <v>6472</v>
      </c>
      <c r="Z1680" s="77"/>
      <c r="AA1680" s="77" t="s">
        <v>7434</v>
      </c>
      <c r="AB1680" s="77" t="s">
        <v>7742</v>
      </c>
      <c r="AC1680" s="82" t="s">
        <v>7761</v>
      </c>
      <c r="AD1680" s="77" t="s">
        <v>7790</v>
      </c>
      <c r="AE1680" s="80" t="str">
        <f>HYPERLINK("https://twitter.com/negocios_tv/status/1693963301720342756")</f>
        <v>https://twitter.com/negocios_tv/status/1693963301720342756</v>
      </c>
      <c r="AF1680" s="79">
        <v>45160.519652777781</v>
      </c>
      <c r="AG1680" s="85">
        <v>45160</v>
      </c>
      <c r="AH1680" s="82" t="s">
        <v>9221</v>
      </c>
      <c r="AI1680" s="77" t="b">
        <v>0</v>
      </c>
      <c r="AJ1680" s="77"/>
      <c r="AK1680" s="77"/>
      <c r="AL1680" s="77"/>
      <c r="AM1680" s="77"/>
      <c r="AN1680" s="77"/>
      <c r="AO1680" s="77"/>
      <c r="AP1680" s="77"/>
      <c r="AQ1680" s="77" t="s">
        <v>11406</v>
      </c>
      <c r="AR1680" s="77"/>
      <c r="AS1680" s="77"/>
      <c r="AT1680" s="77"/>
      <c r="AU1680" s="77"/>
      <c r="AV1680" s="80" t="str">
        <f>HYPERLINK("https://pbs.twimg.com/media/F4IqpW-WUAEC4K2.jpg")</f>
        <v>https://pbs.twimg.com/media/F4IqpW-WUAEC4K2.jpg</v>
      </c>
      <c r="AW1680" s="82" t="s">
        <v>13279</v>
      </c>
      <c r="AX1680" s="82" t="s">
        <v>13279</v>
      </c>
      <c r="AY1680" s="77"/>
      <c r="AZ1680" s="82" t="s">
        <v>15984</v>
      </c>
      <c r="BA1680" s="82" t="s">
        <v>15984</v>
      </c>
      <c r="BB1680" s="82" t="s">
        <v>15984</v>
      </c>
      <c r="BC1680" s="82" t="s">
        <v>13279</v>
      </c>
      <c r="BD1680" s="82" t="s">
        <v>16267</v>
      </c>
      <c r="BE1680" s="77"/>
      <c r="BF1680" s="77"/>
      <c r="BG1680" s="77"/>
      <c r="BH1680" s="77"/>
      <c r="BI1680" s="77"/>
    </row>
    <row r="1681" spans="1:61" x14ac:dyDescent="0.25">
      <c r="A1681" s="62" t="s">
        <v>502</v>
      </c>
      <c r="B1681" s="62" t="s">
        <v>502</v>
      </c>
      <c r="C1681" s="63"/>
      <c r="D1681" s="64"/>
      <c r="E1681" s="65"/>
      <c r="F1681" s="66"/>
      <c r="G1681" s="63"/>
      <c r="H1681" s="67"/>
      <c r="I1681" s="68"/>
      <c r="J1681" s="68"/>
      <c r="K1681" s="32"/>
      <c r="L1681" s="75">
        <v>1681</v>
      </c>
      <c r="M1681" s="75"/>
      <c r="N1681" s="70"/>
      <c r="O1681" s="77" t="s">
        <v>179</v>
      </c>
      <c r="P1681" s="79">
        <v>45161.562303240738</v>
      </c>
      <c r="Q1681" s="77" t="s">
        <v>2387</v>
      </c>
      <c r="R1681" s="77">
        <v>0</v>
      </c>
      <c r="S1681" s="77">
        <v>2</v>
      </c>
      <c r="T1681" s="77">
        <v>0</v>
      </c>
      <c r="U1681" s="77">
        <v>0</v>
      </c>
      <c r="V1681" s="77">
        <v>693</v>
      </c>
      <c r="W1681" s="82" t="s">
        <v>5672</v>
      </c>
      <c r="X1681" s="80" t="str">
        <f>HYPERLINK("https://youtu.be/n_RxnpFMl2s")</f>
        <v>https://youtu.be/n_RxnpFMl2s</v>
      </c>
      <c r="Y1681" s="77" t="s">
        <v>6472</v>
      </c>
      <c r="Z1681" s="77"/>
      <c r="AA1681" s="77" t="s">
        <v>7435</v>
      </c>
      <c r="AB1681" s="77" t="s">
        <v>7742</v>
      </c>
      <c r="AC1681" s="82" t="s">
        <v>7761</v>
      </c>
      <c r="AD1681" s="77" t="s">
        <v>7790</v>
      </c>
      <c r="AE1681" s="80" t="str">
        <f>HYPERLINK("https://twitter.com/negocios_tv/status/1694341146850259033")</f>
        <v>https://twitter.com/negocios_tv/status/1694341146850259033</v>
      </c>
      <c r="AF1681" s="79">
        <v>45161.562303240738</v>
      </c>
      <c r="AG1681" s="85">
        <v>45161</v>
      </c>
      <c r="AH1681" s="82" t="s">
        <v>9222</v>
      </c>
      <c r="AI1681" s="77" t="b">
        <v>0</v>
      </c>
      <c r="AJ1681" s="77"/>
      <c r="AK1681" s="77"/>
      <c r="AL1681" s="77"/>
      <c r="AM1681" s="77"/>
      <c r="AN1681" s="77"/>
      <c r="AO1681" s="77"/>
      <c r="AP1681" s="77"/>
      <c r="AQ1681" s="77" t="s">
        <v>11407</v>
      </c>
      <c r="AR1681" s="77"/>
      <c r="AS1681" s="77"/>
      <c r="AT1681" s="77"/>
      <c r="AU1681" s="77"/>
      <c r="AV1681" s="80" t="str">
        <f>HYPERLINK("https://pbs.twimg.com/media/F4OCS2kW4AEPrgE.jpg")</f>
        <v>https://pbs.twimg.com/media/F4OCS2kW4AEPrgE.jpg</v>
      </c>
      <c r="AW1681" s="82" t="s">
        <v>13280</v>
      </c>
      <c r="AX1681" s="82" t="s">
        <v>13280</v>
      </c>
      <c r="AY1681" s="77"/>
      <c r="AZ1681" s="82" t="s">
        <v>15984</v>
      </c>
      <c r="BA1681" s="82" t="s">
        <v>15984</v>
      </c>
      <c r="BB1681" s="82" t="s">
        <v>15984</v>
      </c>
      <c r="BC1681" s="82" t="s">
        <v>13280</v>
      </c>
      <c r="BD1681" s="82" t="s">
        <v>16267</v>
      </c>
      <c r="BE1681" s="77"/>
      <c r="BF1681" s="77"/>
      <c r="BG1681" s="77"/>
      <c r="BH1681" s="77"/>
      <c r="BI1681" s="77"/>
    </row>
    <row r="1682" spans="1:61" x14ac:dyDescent="0.25">
      <c r="A1682" s="62" t="s">
        <v>502</v>
      </c>
      <c r="B1682" s="62" t="s">
        <v>502</v>
      </c>
      <c r="C1682" s="63"/>
      <c r="D1682" s="64"/>
      <c r="E1682" s="65"/>
      <c r="F1682" s="66"/>
      <c r="G1682" s="63"/>
      <c r="H1682" s="67"/>
      <c r="I1682" s="68"/>
      <c r="J1682" s="68"/>
      <c r="K1682" s="32"/>
      <c r="L1682" s="75">
        <v>1682</v>
      </c>
      <c r="M1682" s="75"/>
      <c r="N1682" s="70"/>
      <c r="O1682" s="77" t="s">
        <v>179</v>
      </c>
      <c r="P1682" s="79">
        <v>45141.548634259256</v>
      </c>
      <c r="Q1682" s="77" t="s">
        <v>2388</v>
      </c>
      <c r="R1682" s="77">
        <v>14</v>
      </c>
      <c r="S1682" s="77">
        <v>36</v>
      </c>
      <c r="T1682" s="77">
        <v>2</v>
      </c>
      <c r="U1682" s="77">
        <v>1</v>
      </c>
      <c r="V1682" s="77">
        <v>1604</v>
      </c>
      <c r="W1682" s="82" t="s">
        <v>5673</v>
      </c>
      <c r="X1682" s="80" t="str">
        <f>HYPERLINK("https://youtu.be/bTs078vnT7o")</f>
        <v>https://youtu.be/bTs078vnT7o</v>
      </c>
      <c r="Y1682" s="77" t="s">
        <v>6472</v>
      </c>
      <c r="Z1682" s="77"/>
      <c r="AA1682" s="77" t="s">
        <v>7436</v>
      </c>
      <c r="AB1682" s="77" t="s">
        <v>7742</v>
      </c>
      <c r="AC1682" s="82" t="s">
        <v>7761</v>
      </c>
      <c r="AD1682" s="77" t="s">
        <v>7790</v>
      </c>
      <c r="AE1682" s="80" t="str">
        <f>HYPERLINK("https://twitter.com/negocios_tv/status/1687088435498983424")</f>
        <v>https://twitter.com/negocios_tv/status/1687088435498983424</v>
      </c>
      <c r="AF1682" s="79">
        <v>45141.548634259256</v>
      </c>
      <c r="AG1682" s="85">
        <v>45141</v>
      </c>
      <c r="AH1682" s="82" t="s">
        <v>9138</v>
      </c>
      <c r="AI1682" s="77" t="b">
        <v>0</v>
      </c>
      <c r="AJ1682" s="77"/>
      <c r="AK1682" s="77"/>
      <c r="AL1682" s="77"/>
      <c r="AM1682" s="77"/>
      <c r="AN1682" s="77"/>
      <c r="AO1682" s="77"/>
      <c r="AP1682" s="77"/>
      <c r="AQ1682" s="77" t="s">
        <v>11408</v>
      </c>
      <c r="AR1682" s="77"/>
      <c r="AS1682" s="77"/>
      <c r="AT1682" s="77"/>
      <c r="AU1682" s="77"/>
      <c r="AV1682" s="80" t="str">
        <f>HYPERLINK("https://pbs.twimg.com/media/F2m9_gHXwAA7wDV.jpg")</f>
        <v>https://pbs.twimg.com/media/F2m9_gHXwAA7wDV.jpg</v>
      </c>
      <c r="AW1682" s="82" t="s">
        <v>13281</v>
      </c>
      <c r="AX1682" s="82" t="s">
        <v>13281</v>
      </c>
      <c r="AY1682" s="77"/>
      <c r="AZ1682" s="82" t="s">
        <v>15984</v>
      </c>
      <c r="BA1682" s="82" t="s">
        <v>15984</v>
      </c>
      <c r="BB1682" s="82" t="s">
        <v>15984</v>
      </c>
      <c r="BC1682" s="82" t="s">
        <v>13281</v>
      </c>
      <c r="BD1682" s="82" t="s">
        <v>16267</v>
      </c>
      <c r="BE1682" s="77"/>
      <c r="BF1682" s="77"/>
      <c r="BG1682" s="77"/>
      <c r="BH1682" s="77"/>
      <c r="BI1682" s="77"/>
    </row>
    <row r="1683" spans="1:61" x14ac:dyDescent="0.25">
      <c r="A1683" s="62" t="s">
        <v>502</v>
      </c>
      <c r="B1683" s="62" t="s">
        <v>502</v>
      </c>
      <c r="C1683" s="63"/>
      <c r="D1683" s="64"/>
      <c r="E1683" s="65"/>
      <c r="F1683" s="66"/>
      <c r="G1683" s="63"/>
      <c r="H1683" s="67"/>
      <c r="I1683" s="68"/>
      <c r="J1683" s="68"/>
      <c r="K1683" s="32"/>
      <c r="L1683" s="75">
        <v>1683</v>
      </c>
      <c r="M1683" s="75"/>
      <c r="N1683" s="70"/>
      <c r="O1683" s="77" t="s">
        <v>179</v>
      </c>
      <c r="P1683" s="79">
        <v>45146.527546296296</v>
      </c>
      <c r="Q1683" s="77" t="s">
        <v>2389</v>
      </c>
      <c r="R1683" s="77">
        <v>3</v>
      </c>
      <c r="S1683" s="77">
        <v>2</v>
      </c>
      <c r="T1683" s="77">
        <v>0</v>
      </c>
      <c r="U1683" s="77">
        <v>0</v>
      </c>
      <c r="V1683" s="77">
        <v>788</v>
      </c>
      <c r="W1683" s="82" t="s">
        <v>5674</v>
      </c>
      <c r="X1683" s="80" t="str">
        <f>HYPERLINK("https://youtu.be/23JvuGAEvGw")</f>
        <v>https://youtu.be/23JvuGAEvGw</v>
      </c>
      <c r="Y1683" s="77" t="s">
        <v>6472</v>
      </c>
      <c r="Z1683" s="77"/>
      <c r="AA1683" s="77" t="s">
        <v>7437</v>
      </c>
      <c r="AB1683" s="77" t="s">
        <v>7742</v>
      </c>
      <c r="AC1683" s="82" t="s">
        <v>7761</v>
      </c>
      <c r="AD1683" s="77" t="s">
        <v>7790</v>
      </c>
      <c r="AE1683" s="80" t="str">
        <f>HYPERLINK("https://twitter.com/negocios_tv/status/1688892732859621376")</f>
        <v>https://twitter.com/negocios_tv/status/1688892732859621376</v>
      </c>
      <c r="AF1683" s="79">
        <v>45146.527546296296</v>
      </c>
      <c r="AG1683" s="85">
        <v>45146</v>
      </c>
      <c r="AH1683" s="82" t="s">
        <v>9223</v>
      </c>
      <c r="AI1683" s="77" t="b">
        <v>0</v>
      </c>
      <c r="AJ1683" s="77"/>
      <c r="AK1683" s="77"/>
      <c r="AL1683" s="77"/>
      <c r="AM1683" s="77"/>
      <c r="AN1683" s="77"/>
      <c r="AO1683" s="77"/>
      <c r="AP1683" s="77"/>
      <c r="AQ1683" s="77" t="s">
        <v>11409</v>
      </c>
      <c r="AR1683" s="77"/>
      <c r="AS1683" s="77"/>
      <c r="AT1683" s="77"/>
      <c r="AU1683" s="77"/>
      <c r="AV1683" s="80" t="str">
        <f>HYPERLINK("https://pbs.twimg.com/media/F3Am_aPWUAIpr7A.jpg")</f>
        <v>https://pbs.twimg.com/media/F3Am_aPWUAIpr7A.jpg</v>
      </c>
      <c r="AW1683" s="82" t="s">
        <v>13282</v>
      </c>
      <c r="AX1683" s="82" t="s">
        <v>13282</v>
      </c>
      <c r="AY1683" s="77"/>
      <c r="AZ1683" s="82" t="s">
        <v>15984</v>
      </c>
      <c r="BA1683" s="82" t="s">
        <v>15984</v>
      </c>
      <c r="BB1683" s="82" t="s">
        <v>15984</v>
      </c>
      <c r="BC1683" s="82" t="s">
        <v>13282</v>
      </c>
      <c r="BD1683" s="82" t="s">
        <v>16267</v>
      </c>
      <c r="BE1683" s="77"/>
      <c r="BF1683" s="77"/>
      <c r="BG1683" s="77"/>
      <c r="BH1683" s="77"/>
      <c r="BI1683" s="77"/>
    </row>
    <row r="1684" spans="1:61" x14ac:dyDescent="0.25">
      <c r="A1684" s="62" t="s">
        <v>502</v>
      </c>
      <c r="B1684" s="62" t="s">
        <v>502</v>
      </c>
      <c r="C1684" s="63"/>
      <c r="D1684" s="64"/>
      <c r="E1684" s="65"/>
      <c r="F1684" s="66"/>
      <c r="G1684" s="63"/>
      <c r="H1684" s="67"/>
      <c r="I1684" s="68"/>
      <c r="J1684" s="68"/>
      <c r="K1684" s="32"/>
      <c r="L1684" s="75">
        <v>1684</v>
      </c>
      <c r="M1684" s="75"/>
      <c r="N1684" s="70"/>
      <c r="O1684" s="77" t="s">
        <v>179</v>
      </c>
      <c r="P1684" s="79">
        <v>45161.756620370368</v>
      </c>
      <c r="Q1684" s="77" t="s">
        <v>2390</v>
      </c>
      <c r="R1684" s="77">
        <v>0</v>
      </c>
      <c r="S1684" s="77">
        <v>1</v>
      </c>
      <c r="T1684" s="77">
        <v>0</v>
      </c>
      <c r="U1684" s="77">
        <v>0</v>
      </c>
      <c r="V1684" s="77">
        <v>827</v>
      </c>
      <c r="W1684" s="82" t="s">
        <v>5675</v>
      </c>
      <c r="X1684" s="80" t="str">
        <f>HYPERLINK("https://youtu.be/oitQkWLO4cU")</f>
        <v>https://youtu.be/oitQkWLO4cU</v>
      </c>
      <c r="Y1684" s="77" t="s">
        <v>6472</v>
      </c>
      <c r="Z1684" s="77"/>
      <c r="AA1684" s="77" t="s">
        <v>7438</v>
      </c>
      <c r="AB1684" s="77" t="s">
        <v>7742</v>
      </c>
      <c r="AC1684" s="82" t="s">
        <v>7761</v>
      </c>
      <c r="AD1684" s="77" t="s">
        <v>7790</v>
      </c>
      <c r="AE1684" s="80" t="str">
        <f>HYPERLINK("https://twitter.com/negocios_tv/status/1694411564596576753")</f>
        <v>https://twitter.com/negocios_tv/status/1694411564596576753</v>
      </c>
      <c r="AF1684" s="79">
        <v>45161.756620370368</v>
      </c>
      <c r="AG1684" s="85">
        <v>45161</v>
      </c>
      <c r="AH1684" s="82" t="s">
        <v>9224</v>
      </c>
      <c r="AI1684" s="77" t="b">
        <v>0</v>
      </c>
      <c r="AJ1684" s="77"/>
      <c r="AK1684" s="77"/>
      <c r="AL1684" s="77"/>
      <c r="AM1684" s="77"/>
      <c r="AN1684" s="77"/>
      <c r="AO1684" s="77"/>
      <c r="AP1684" s="77"/>
      <c r="AQ1684" s="77" t="s">
        <v>11410</v>
      </c>
      <c r="AR1684" s="77"/>
      <c r="AS1684" s="77"/>
      <c r="AT1684" s="77"/>
      <c r="AU1684" s="77"/>
      <c r="AV1684" s="80" t="str">
        <f>HYPERLINK("https://pbs.twimg.com/media/F4PCVsbWkAAMFdo.jpg")</f>
        <v>https://pbs.twimg.com/media/F4PCVsbWkAAMFdo.jpg</v>
      </c>
      <c r="AW1684" s="82" t="s">
        <v>13283</v>
      </c>
      <c r="AX1684" s="82" t="s">
        <v>13283</v>
      </c>
      <c r="AY1684" s="77"/>
      <c r="AZ1684" s="82" t="s">
        <v>15984</v>
      </c>
      <c r="BA1684" s="82" t="s">
        <v>15984</v>
      </c>
      <c r="BB1684" s="82" t="s">
        <v>15984</v>
      </c>
      <c r="BC1684" s="82" t="s">
        <v>13283</v>
      </c>
      <c r="BD1684" s="82" t="s">
        <v>16267</v>
      </c>
      <c r="BE1684" s="77"/>
      <c r="BF1684" s="77"/>
      <c r="BG1684" s="77"/>
      <c r="BH1684" s="77"/>
      <c r="BI1684" s="77"/>
    </row>
    <row r="1685" spans="1:61" x14ac:dyDescent="0.25">
      <c r="A1685" s="62" t="s">
        <v>502</v>
      </c>
      <c r="B1685" s="62" t="s">
        <v>502</v>
      </c>
      <c r="C1685" s="63"/>
      <c r="D1685" s="64"/>
      <c r="E1685" s="65"/>
      <c r="F1685" s="66"/>
      <c r="G1685" s="63"/>
      <c r="H1685" s="67"/>
      <c r="I1685" s="68"/>
      <c r="J1685" s="68"/>
      <c r="K1685" s="32"/>
      <c r="L1685" s="75">
        <v>1685</v>
      </c>
      <c r="M1685" s="75"/>
      <c r="N1685" s="70"/>
      <c r="O1685" s="77" t="s">
        <v>179</v>
      </c>
      <c r="P1685" s="79">
        <v>45189.388807870368</v>
      </c>
      <c r="Q1685" s="77" t="s">
        <v>2391</v>
      </c>
      <c r="R1685" s="77">
        <v>0</v>
      </c>
      <c r="S1685" s="77">
        <v>2</v>
      </c>
      <c r="T1685" s="77">
        <v>0</v>
      </c>
      <c r="U1685" s="77">
        <v>0</v>
      </c>
      <c r="V1685" s="77">
        <v>372</v>
      </c>
      <c r="W1685" s="82" t="s">
        <v>5676</v>
      </c>
      <c r="X1685" s="80" t="str">
        <f>HYPERLINK("https://youtu.be/7KpmuEogTBY")</f>
        <v>https://youtu.be/7KpmuEogTBY</v>
      </c>
      <c r="Y1685" s="77" t="s">
        <v>6472</v>
      </c>
      <c r="Z1685" s="77"/>
      <c r="AA1685" s="77" t="s">
        <v>7439</v>
      </c>
      <c r="AB1685" s="77" t="s">
        <v>7742</v>
      </c>
      <c r="AC1685" s="82" t="s">
        <v>7761</v>
      </c>
      <c r="AD1685" s="77" t="s">
        <v>7790</v>
      </c>
      <c r="AE1685" s="80" t="str">
        <f>HYPERLINK("https://twitter.com/negocios_tv/status/1704425132855308520")</f>
        <v>https://twitter.com/negocios_tv/status/1704425132855308520</v>
      </c>
      <c r="AF1685" s="79">
        <v>45189.388807870368</v>
      </c>
      <c r="AG1685" s="85">
        <v>45189</v>
      </c>
      <c r="AH1685" s="82" t="s">
        <v>9225</v>
      </c>
      <c r="AI1685" s="77" t="b">
        <v>0</v>
      </c>
      <c r="AJ1685" s="77"/>
      <c r="AK1685" s="77"/>
      <c r="AL1685" s="77"/>
      <c r="AM1685" s="77"/>
      <c r="AN1685" s="77"/>
      <c r="AO1685" s="77"/>
      <c r="AP1685" s="77"/>
      <c r="AQ1685" s="77" t="s">
        <v>11411</v>
      </c>
      <c r="AR1685" s="77"/>
      <c r="AS1685" s="77"/>
      <c r="AT1685" s="77"/>
      <c r="AU1685" s="77"/>
      <c r="AV1685" s="80" t="str">
        <f>HYPERLINK("https://pbs.twimg.com/media/F6dVoG7XsAAI4B4.jpg")</f>
        <v>https://pbs.twimg.com/media/F6dVoG7XsAAI4B4.jpg</v>
      </c>
      <c r="AW1685" s="82" t="s">
        <v>13284</v>
      </c>
      <c r="AX1685" s="82" t="s">
        <v>13284</v>
      </c>
      <c r="AY1685" s="77"/>
      <c r="AZ1685" s="82" t="s">
        <v>15984</v>
      </c>
      <c r="BA1685" s="82" t="s">
        <v>15984</v>
      </c>
      <c r="BB1685" s="82" t="s">
        <v>15984</v>
      </c>
      <c r="BC1685" s="82" t="s">
        <v>13284</v>
      </c>
      <c r="BD1685" s="82" t="s">
        <v>16267</v>
      </c>
      <c r="BE1685" s="77"/>
      <c r="BF1685" s="77"/>
      <c r="BG1685" s="77"/>
      <c r="BH1685" s="77"/>
      <c r="BI1685" s="77"/>
    </row>
    <row r="1686" spans="1:61" x14ac:dyDescent="0.25">
      <c r="A1686" s="62" t="s">
        <v>502</v>
      </c>
      <c r="B1686" s="62" t="s">
        <v>502</v>
      </c>
      <c r="C1686" s="63"/>
      <c r="D1686" s="64"/>
      <c r="E1686" s="65"/>
      <c r="F1686" s="66"/>
      <c r="G1686" s="63"/>
      <c r="H1686" s="67"/>
      <c r="I1686" s="68"/>
      <c r="J1686" s="68"/>
      <c r="K1686" s="32"/>
      <c r="L1686" s="75">
        <v>1686</v>
      </c>
      <c r="M1686" s="75"/>
      <c r="N1686" s="70"/>
      <c r="O1686" s="77" t="s">
        <v>179</v>
      </c>
      <c r="P1686" s="79">
        <v>45189.462326388886</v>
      </c>
      <c r="Q1686" s="77" t="s">
        <v>2392</v>
      </c>
      <c r="R1686" s="77">
        <v>0</v>
      </c>
      <c r="S1686" s="77">
        <v>3</v>
      </c>
      <c r="T1686" s="77">
        <v>0</v>
      </c>
      <c r="U1686" s="77">
        <v>0</v>
      </c>
      <c r="V1686" s="77">
        <v>570</v>
      </c>
      <c r="W1686" s="82" t="s">
        <v>5677</v>
      </c>
      <c r="X1686" s="80" t="str">
        <f>HYPERLINK("https://youtu.be/_erIIu0d5sQ")</f>
        <v>https://youtu.be/_erIIu0d5sQ</v>
      </c>
      <c r="Y1686" s="77" t="s">
        <v>6472</v>
      </c>
      <c r="Z1686" s="77"/>
      <c r="AA1686" s="77" t="s">
        <v>7440</v>
      </c>
      <c r="AB1686" s="77" t="s">
        <v>7742</v>
      </c>
      <c r="AC1686" s="82" t="s">
        <v>7761</v>
      </c>
      <c r="AD1686" s="77" t="s">
        <v>7790</v>
      </c>
      <c r="AE1686" s="80" t="str">
        <f>HYPERLINK("https://twitter.com/negocios_tv/status/1704451778941428192")</f>
        <v>https://twitter.com/negocios_tv/status/1704451778941428192</v>
      </c>
      <c r="AF1686" s="79">
        <v>45189.462326388886</v>
      </c>
      <c r="AG1686" s="85">
        <v>45189</v>
      </c>
      <c r="AH1686" s="82" t="s">
        <v>9226</v>
      </c>
      <c r="AI1686" s="77" t="b">
        <v>0</v>
      </c>
      <c r="AJ1686" s="77"/>
      <c r="AK1686" s="77"/>
      <c r="AL1686" s="77"/>
      <c r="AM1686" s="77"/>
      <c r="AN1686" s="77"/>
      <c r="AO1686" s="77"/>
      <c r="AP1686" s="77"/>
      <c r="AQ1686" s="77" t="s">
        <v>11412</v>
      </c>
      <c r="AR1686" s="77"/>
      <c r="AS1686" s="77"/>
      <c r="AT1686" s="77"/>
      <c r="AU1686" s="77"/>
      <c r="AV1686" s="80" t="str">
        <f>HYPERLINK("https://pbs.twimg.com/media/F6dt3GyWwAADpJO.jpg")</f>
        <v>https://pbs.twimg.com/media/F6dt3GyWwAADpJO.jpg</v>
      </c>
      <c r="AW1686" s="82" t="s">
        <v>13285</v>
      </c>
      <c r="AX1686" s="82" t="s">
        <v>13285</v>
      </c>
      <c r="AY1686" s="77"/>
      <c r="AZ1686" s="82" t="s">
        <v>15984</v>
      </c>
      <c r="BA1686" s="82" t="s">
        <v>15984</v>
      </c>
      <c r="BB1686" s="82" t="s">
        <v>15984</v>
      </c>
      <c r="BC1686" s="82" t="s">
        <v>13285</v>
      </c>
      <c r="BD1686" s="82" t="s">
        <v>16267</v>
      </c>
      <c r="BE1686" s="77"/>
      <c r="BF1686" s="77"/>
      <c r="BG1686" s="77"/>
      <c r="BH1686" s="77"/>
      <c r="BI1686" s="77"/>
    </row>
    <row r="1687" spans="1:61" x14ac:dyDescent="0.25">
      <c r="A1687" s="62" t="s">
        <v>502</v>
      </c>
      <c r="B1687" s="62" t="s">
        <v>502</v>
      </c>
      <c r="C1687" s="63"/>
      <c r="D1687" s="64"/>
      <c r="E1687" s="65"/>
      <c r="F1687" s="66"/>
      <c r="G1687" s="63"/>
      <c r="H1687" s="67"/>
      <c r="I1687" s="68"/>
      <c r="J1687" s="68"/>
      <c r="K1687" s="32"/>
      <c r="L1687" s="75">
        <v>1687</v>
      </c>
      <c r="M1687" s="75"/>
      <c r="N1687" s="70"/>
      <c r="O1687" s="77" t="s">
        <v>179</v>
      </c>
      <c r="P1687" s="79">
        <v>45191.561111111114</v>
      </c>
      <c r="Q1687" s="77" t="s">
        <v>2393</v>
      </c>
      <c r="R1687" s="77">
        <v>0</v>
      </c>
      <c r="S1687" s="77">
        <v>2</v>
      </c>
      <c r="T1687" s="77">
        <v>0</v>
      </c>
      <c r="U1687" s="77">
        <v>0</v>
      </c>
      <c r="V1687" s="77">
        <v>514</v>
      </c>
      <c r="W1687" s="82" t="s">
        <v>5678</v>
      </c>
      <c r="X1687" s="80" t="str">
        <f>HYPERLINK("https://youtu.be/GMeClobTMB0")</f>
        <v>https://youtu.be/GMeClobTMB0</v>
      </c>
      <c r="Y1687" s="77" t="s">
        <v>6472</v>
      </c>
      <c r="Z1687" s="77"/>
      <c r="AA1687" s="77" t="s">
        <v>7441</v>
      </c>
      <c r="AB1687" s="77" t="s">
        <v>7742</v>
      </c>
      <c r="AC1687" s="82" t="s">
        <v>7761</v>
      </c>
      <c r="AD1687" s="77" t="s">
        <v>7790</v>
      </c>
      <c r="AE1687" s="80" t="str">
        <f>HYPERLINK("https://twitter.com/negocios_tv/status/1705212352038154292")</f>
        <v>https://twitter.com/negocios_tv/status/1705212352038154292</v>
      </c>
      <c r="AF1687" s="79">
        <v>45191.561111111114</v>
      </c>
      <c r="AG1687" s="85">
        <v>45191</v>
      </c>
      <c r="AH1687" s="82" t="s">
        <v>9227</v>
      </c>
      <c r="AI1687" s="77" t="b">
        <v>0</v>
      </c>
      <c r="AJ1687" s="77"/>
      <c r="AK1687" s="77"/>
      <c r="AL1687" s="77"/>
      <c r="AM1687" s="77"/>
      <c r="AN1687" s="77"/>
      <c r="AO1687" s="77"/>
      <c r="AP1687" s="77"/>
      <c r="AQ1687" s="77" t="s">
        <v>11413</v>
      </c>
      <c r="AR1687" s="77"/>
      <c r="AS1687" s="77"/>
      <c r="AT1687" s="77"/>
      <c r="AU1687" s="77"/>
      <c r="AV1687" s="80" t="str">
        <f>HYPERLINK("https://pbs.twimg.com/media/F6ohmQ4WQAEGx4h.jpg")</f>
        <v>https://pbs.twimg.com/media/F6ohmQ4WQAEGx4h.jpg</v>
      </c>
      <c r="AW1687" s="82" t="s">
        <v>13286</v>
      </c>
      <c r="AX1687" s="82" t="s">
        <v>13286</v>
      </c>
      <c r="AY1687" s="77"/>
      <c r="AZ1687" s="82" t="s">
        <v>15984</v>
      </c>
      <c r="BA1687" s="82" t="s">
        <v>15984</v>
      </c>
      <c r="BB1687" s="82" t="s">
        <v>15984</v>
      </c>
      <c r="BC1687" s="82" t="s">
        <v>13286</v>
      </c>
      <c r="BD1687" s="82" t="s">
        <v>16267</v>
      </c>
      <c r="BE1687" s="77"/>
      <c r="BF1687" s="77"/>
      <c r="BG1687" s="77"/>
      <c r="BH1687" s="77"/>
      <c r="BI1687" s="77"/>
    </row>
    <row r="1688" spans="1:61" x14ac:dyDescent="0.25">
      <c r="A1688" s="62" t="s">
        <v>502</v>
      </c>
      <c r="B1688" s="62" t="s">
        <v>502</v>
      </c>
      <c r="C1688" s="63"/>
      <c r="D1688" s="64"/>
      <c r="E1688" s="65"/>
      <c r="F1688" s="66"/>
      <c r="G1688" s="63"/>
      <c r="H1688" s="67"/>
      <c r="I1688" s="68"/>
      <c r="J1688" s="68"/>
      <c r="K1688" s="32"/>
      <c r="L1688" s="75">
        <v>1688</v>
      </c>
      <c r="M1688" s="75"/>
      <c r="N1688" s="70"/>
      <c r="O1688" s="77" t="s">
        <v>179</v>
      </c>
      <c r="P1688" s="79">
        <v>45189.362199074072</v>
      </c>
      <c r="Q1688" s="77" t="s">
        <v>2394</v>
      </c>
      <c r="R1688" s="77">
        <v>12</v>
      </c>
      <c r="S1688" s="77">
        <v>33</v>
      </c>
      <c r="T1688" s="77">
        <v>4</v>
      </c>
      <c r="U1688" s="77">
        <v>0</v>
      </c>
      <c r="V1688" s="77">
        <v>1474</v>
      </c>
      <c r="W1688" s="82" t="s">
        <v>5679</v>
      </c>
      <c r="X1688" s="80" t="str">
        <f>HYPERLINK("https://youtu.be/aSbrtD6V3qo")</f>
        <v>https://youtu.be/aSbrtD6V3qo</v>
      </c>
      <c r="Y1688" s="77" t="s">
        <v>6472</v>
      </c>
      <c r="Z1688" s="77"/>
      <c r="AA1688" s="77" t="s">
        <v>7442</v>
      </c>
      <c r="AB1688" s="77" t="s">
        <v>7742</v>
      </c>
      <c r="AC1688" s="82" t="s">
        <v>7761</v>
      </c>
      <c r="AD1688" s="77" t="s">
        <v>7790</v>
      </c>
      <c r="AE1688" s="80" t="str">
        <f>HYPERLINK("https://twitter.com/negocios_tv/status/1704415493040320747")</f>
        <v>https://twitter.com/negocios_tv/status/1704415493040320747</v>
      </c>
      <c r="AF1688" s="79">
        <v>45189.362199074072</v>
      </c>
      <c r="AG1688" s="85">
        <v>45189</v>
      </c>
      <c r="AH1688" s="82" t="s">
        <v>9228</v>
      </c>
      <c r="AI1688" s="77" t="b">
        <v>0</v>
      </c>
      <c r="AJ1688" s="77"/>
      <c r="AK1688" s="77"/>
      <c r="AL1688" s="77"/>
      <c r="AM1688" s="77"/>
      <c r="AN1688" s="77"/>
      <c r="AO1688" s="77"/>
      <c r="AP1688" s="77"/>
      <c r="AQ1688" s="77" t="s">
        <v>11414</v>
      </c>
      <c r="AR1688" s="77"/>
      <c r="AS1688" s="77"/>
      <c r="AT1688" s="77"/>
      <c r="AU1688" s="77"/>
      <c r="AV1688" s="80" t="str">
        <f>HYPERLINK("https://pbs.twimg.com/media/F6dM2_VWUAAaqLF.jpg")</f>
        <v>https://pbs.twimg.com/media/F6dM2_VWUAAaqLF.jpg</v>
      </c>
      <c r="AW1688" s="82" t="s">
        <v>13287</v>
      </c>
      <c r="AX1688" s="82" t="s">
        <v>13287</v>
      </c>
      <c r="AY1688" s="77"/>
      <c r="AZ1688" s="82" t="s">
        <v>15984</v>
      </c>
      <c r="BA1688" s="82" t="s">
        <v>15984</v>
      </c>
      <c r="BB1688" s="82" t="s">
        <v>15984</v>
      </c>
      <c r="BC1688" s="82" t="s">
        <v>13287</v>
      </c>
      <c r="BD1688" s="82" t="s">
        <v>16267</v>
      </c>
      <c r="BE1688" s="77"/>
      <c r="BF1688" s="77"/>
      <c r="BG1688" s="77"/>
      <c r="BH1688" s="77"/>
      <c r="BI1688" s="77"/>
    </row>
    <row r="1689" spans="1:61" x14ac:dyDescent="0.25">
      <c r="A1689" s="62" t="s">
        <v>668</v>
      </c>
      <c r="B1689" s="62" t="s">
        <v>502</v>
      </c>
      <c r="C1689" s="63"/>
      <c r="D1689" s="64"/>
      <c r="E1689" s="65"/>
      <c r="F1689" s="66"/>
      <c r="G1689" s="63"/>
      <c r="H1689" s="67"/>
      <c r="I1689" s="68"/>
      <c r="J1689" s="68"/>
      <c r="K1689" s="32"/>
      <c r="L1689" s="75">
        <v>1689</v>
      </c>
      <c r="M1689" s="75"/>
      <c r="N1689" s="70"/>
      <c r="O1689" s="77" t="s">
        <v>897</v>
      </c>
      <c r="P1689" s="79">
        <v>45189.558634259258</v>
      </c>
      <c r="Q1689" s="77" t="s">
        <v>1118</v>
      </c>
      <c r="R1689" s="77">
        <v>12</v>
      </c>
      <c r="S1689" s="77">
        <v>0</v>
      </c>
      <c r="T1689" s="77">
        <v>0</v>
      </c>
      <c r="U1689" s="77">
        <v>0</v>
      </c>
      <c r="V1689" s="77"/>
      <c r="W1689" s="82" t="s">
        <v>4934</v>
      </c>
      <c r="X1689" s="77"/>
      <c r="Y1689" s="77"/>
      <c r="Z1689" s="77" t="s">
        <v>502</v>
      </c>
      <c r="AA1689" s="77"/>
      <c r="AB1689" s="77"/>
      <c r="AC1689" s="82" t="s">
        <v>7750</v>
      </c>
      <c r="AD1689" s="77" t="s">
        <v>7790</v>
      </c>
      <c r="AE1689" s="80" t="str">
        <f>HYPERLINK("https://twitter.com/anasanchezayal1/status/1704486677119385767")</f>
        <v>https://twitter.com/anasanchezayal1/status/1704486677119385767</v>
      </c>
      <c r="AF1689" s="79">
        <v>45189.558634259258</v>
      </c>
      <c r="AG1689" s="85">
        <v>45189</v>
      </c>
      <c r="AH1689" s="82" t="s">
        <v>9229</v>
      </c>
      <c r="AI1689" s="77"/>
      <c r="AJ1689" s="77"/>
      <c r="AK1689" s="77"/>
      <c r="AL1689" s="77"/>
      <c r="AM1689" s="77"/>
      <c r="AN1689" s="77"/>
      <c r="AO1689" s="77"/>
      <c r="AP1689" s="77"/>
      <c r="AQ1689" s="77"/>
      <c r="AR1689" s="77"/>
      <c r="AS1689" s="77"/>
      <c r="AT1689" s="77"/>
      <c r="AU1689" s="77"/>
      <c r="AV1689" s="80" t="str">
        <f>HYPERLINK("https://pbs.twimg.com/profile_images/1695333549233106944/iGzGx_oW_normal.jpg")</f>
        <v>https://pbs.twimg.com/profile_images/1695333549233106944/iGzGx_oW_normal.jpg</v>
      </c>
      <c r="AW1689" s="82" t="s">
        <v>13288</v>
      </c>
      <c r="AX1689" s="82" t="s">
        <v>13288</v>
      </c>
      <c r="AY1689" s="77"/>
      <c r="AZ1689" s="82" t="s">
        <v>15984</v>
      </c>
      <c r="BA1689" s="82" t="s">
        <v>15984</v>
      </c>
      <c r="BB1689" s="82" t="s">
        <v>13287</v>
      </c>
      <c r="BC1689" s="82" t="s">
        <v>13287</v>
      </c>
      <c r="BD1689" s="82" t="s">
        <v>16360</v>
      </c>
      <c r="BE1689" s="77"/>
      <c r="BF1689" s="77"/>
      <c r="BG1689" s="77"/>
      <c r="BH1689" s="77"/>
      <c r="BI1689" s="77"/>
    </row>
    <row r="1690" spans="1:61" x14ac:dyDescent="0.25">
      <c r="A1690" s="62" t="s">
        <v>669</v>
      </c>
      <c r="B1690" s="62" t="s">
        <v>669</v>
      </c>
      <c r="C1690" s="63"/>
      <c r="D1690" s="64"/>
      <c r="E1690" s="65"/>
      <c r="F1690" s="66"/>
      <c r="G1690" s="63"/>
      <c r="H1690" s="67"/>
      <c r="I1690" s="68"/>
      <c r="J1690" s="68"/>
      <c r="K1690" s="32"/>
      <c r="L1690" s="75">
        <v>1690</v>
      </c>
      <c r="M1690" s="75"/>
      <c r="N1690" s="70"/>
      <c r="O1690" s="77" t="s">
        <v>179</v>
      </c>
      <c r="P1690" s="79">
        <v>45172.386932870373</v>
      </c>
      <c r="Q1690" s="77" t="s">
        <v>2395</v>
      </c>
      <c r="R1690" s="77">
        <v>0</v>
      </c>
      <c r="S1690" s="77">
        <v>1</v>
      </c>
      <c r="T1690" s="77">
        <v>0</v>
      </c>
      <c r="U1690" s="77">
        <v>0</v>
      </c>
      <c r="V1690" s="77">
        <v>65</v>
      </c>
      <c r="W1690" s="82" t="s">
        <v>5680</v>
      </c>
      <c r="X1690" s="77"/>
      <c r="Y1690" s="77"/>
      <c r="Z1690" s="77"/>
      <c r="AA1690" s="77"/>
      <c r="AB1690" s="77"/>
      <c r="AC1690" s="82" t="s">
        <v>7750</v>
      </c>
      <c r="AD1690" s="77" t="s">
        <v>7788</v>
      </c>
      <c r="AE1690" s="80" t="str">
        <f>HYPERLINK("https://twitter.com/arthurvallephd/status/1698263862821425513")</f>
        <v>https://twitter.com/arthurvallephd/status/1698263862821425513</v>
      </c>
      <c r="AF1690" s="79">
        <v>45172.386932870373</v>
      </c>
      <c r="AG1690" s="85">
        <v>45172</v>
      </c>
      <c r="AH1690" s="82" t="s">
        <v>9230</v>
      </c>
      <c r="AI1690" s="77"/>
      <c r="AJ1690" s="77"/>
      <c r="AK1690" s="77"/>
      <c r="AL1690" s="77"/>
      <c r="AM1690" s="77"/>
      <c r="AN1690" s="77"/>
      <c r="AO1690" s="77"/>
      <c r="AP1690" s="77"/>
      <c r="AQ1690" s="77"/>
      <c r="AR1690" s="77"/>
      <c r="AS1690" s="77"/>
      <c r="AT1690" s="77"/>
      <c r="AU1690" s="77"/>
      <c r="AV1690" s="80" t="str">
        <f>HYPERLINK("https://pbs.twimg.com/profile_images/1615501037283975171/ycPlUEDC_normal.jpg")</f>
        <v>https://pbs.twimg.com/profile_images/1615501037283975171/ycPlUEDC_normal.jpg</v>
      </c>
      <c r="AW1690" s="82" t="s">
        <v>13289</v>
      </c>
      <c r="AX1690" s="82" t="s">
        <v>13289</v>
      </c>
      <c r="AY1690" s="77"/>
      <c r="AZ1690" s="82" t="s">
        <v>15984</v>
      </c>
      <c r="BA1690" s="82" t="s">
        <v>15984</v>
      </c>
      <c r="BB1690" s="82" t="s">
        <v>15984</v>
      </c>
      <c r="BC1690" s="82" t="s">
        <v>13289</v>
      </c>
      <c r="BD1690" s="82" t="s">
        <v>16361</v>
      </c>
      <c r="BE1690" s="77"/>
      <c r="BF1690" s="77"/>
      <c r="BG1690" s="77"/>
      <c r="BH1690" s="77"/>
      <c r="BI1690" s="77"/>
    </row>
    <row r="1691" spans="1:61" x14ac:dyDescent="0.25">
      <c r="A1691" s="62" t="s">
        <v>670</v>
      </c>
      <c r="B1691" s="62" t="s">
        <v>670</v>
      </c>
      <c r="C1691" s="63"/>
      <c r="D1691" s="64"/>
      <c r="E1691" s="65"/>
      <c r="F1691" s="66"/>
      <c r="G1691" s="63"/>
      <c r="H1691" s="67"/>
      <c r="I1691" s="68"/>
      <c r="J1691" s="68"/>
      <c r="K1691" s="32"/>
      <c r="L1691" s="75">
        <v>1691</v>
      </c>
      <c r="M1691" s="75"/>
      <c r="N1691" s="70"/>
      <c r="O1691" s="77" t="s">
        <v>179</v>
      </c>
      <c r="P1691" s="79">
        <v>45118.456250000003</v>
      </c>
      <c r="Q1691" s="77" t="s">
        <v>2396</v>
      </c>
      <c r="R1691" s="77">
        <v>14</v>
      </c>
      <c r="S1691" s="77">
        <v>59</v>
      </c>
      <c r="T1691" s="77">
        <v>2</v>
      </c>
      <c r="U1691" s="77">
        <v>2</v>
      </c>
      <c r="V1691" s="77">
        <v>5879</v>
      </c>
      <c r="W1691" s="77"/>
      <c r="X1691" s="77"/>
      <c r="Y1691" s="77"/>
      <c r="Z1691" s="77"/>
      <c r="AA1691" s="77" t="s">
        <v>7443</v>
      </c>
      <c r="AB1691" s="77" t="s">
        <v>7742</v>
      </c>
      <c r="AC1691" s="82" t="s">
        <v>7750</v>
      </c>
      <c r="AD1691" s="77" t="s">
        <v>7790</v>
      </c>
      <c r="AE1691" s="80" t="str">
        <f>HYPERLINK("https://twitter.com/hectorchamizo/status/1678720035424989184")</f>
        <v>https://twitter.com/hectorchamizo/status/1678720035424989184</v>
      </c>
      <c r="AF1691" s="79">
        <v>45118.456250000003</v>
      </c>
      <c r="AG1691" s="85">
        <v>45118</v>
      </c>
      <c r="AH1691" s="82" t="s">
        <v>9231</v>
      </c>
      <c r="AI1691" s="77" t="b">
        <v>0</v>
      </c>
      <c r="AJ1691" s="77"/>
      <c r="AK1691" s="77"/>
      <c r="AL1691" s="77"/>
      <c r="AM1691" s="77"/>
      <c r="AN1691" s="77"/>
      <c r="AO1691" s="77"/>
      <c r="AP1691" s="77"/>
      <c r="AQ1691" s="77" t="s">
        <v>11415</v>
      </c>
      <c r="AR1691" s="77"/>
      <c r="AS1691" s="77"/>
      <c r="AT1691" s="77"/>
      <c r="AU1691" s="77"/>
      <c r="AV1691" s="80" t="str">
        <f>HYPERLINK("https://pbs.twimg.com/media/F0vSciuXwAArQxD.jpg")</f>
        <v>https://pbs.twimg.com/media/F0vSciuXwAArQxD.jpg</v>
      </c>
      <c r="AW1691" s="82" t="s">
        <v>13290</v>
      </c>
      <c r="AX1691" s="82" t="s">
        <v>13290</v>
      </c>
      <c r="AY1691" s="77"/>
      <c r="AZ1691" s="82" t="s">
        <v>15984</v>
      </c>
      <c r="BA1691" s="82" t="s">
        <v>15984</v>
      </c>
      <c r="BB1691" s="82" t="s">
        <v>15984</v>
      </c>
      <c r="BC1691" s="82" t="s">
        <v>13290</v>
      </c>
      <c r="BD1691" s="77">
        <v>176231745</v>
      </c>
      <c r="BE1691" s="77"/>
      <c r="BF1691" s="77"/>
      <c r="BG1691" s="77"/>
      <c r="BH1691" s="77"/>
      <c r="BI1691" s="77"/>
    </row>
    <row r="1692" spans="1:61" x14ac:dyDescent="0.25">
      <c r="A1692" s="62" t="s">
        <v>671</v>
      </c>
      <c r="B1692" s="62" t="s">
        <v>671</v>
      </c>
      <c r="C1692" s="63"/>
      <c r="D1692" s="64"/>
      <c r="E1692" s="65"/>
      <c r="F1692" s="66"/>
      <c r="G1692" s="63"/>
      <c r="H1692" s="67"/>
      <c r="I1692" s="68"/>
      <c r="J1692" s="68"/>
      <c r="K1692" s="32"/>
      <c r="L1692" s="75">
        <v>1692</v>
      </c>
      <c r="M1692" s="75"/>
      <c r="N1692" s="70"/>
      <c r="O1692" s="77" t="s">
        <v>179</v>
      </c>
      <c r="P1692" s="79">
        <v>45120.667118055557</v>
      </c>
      <c r="Q1692" s="77" t="s">
        <v>2397</v>
      </c>
      <c r="R1692" s="77">
        <v>0</v>
      </c>
      <c r="S1692" s="77">
        <v>0</v>
      </c>
      <c r="T1692" s="77">
        <v>0</v>
      </c>
      <c r="U1692" s="77">
        <v>0</v>
      </c>
      <c r="V1692" s="77">
        <v>6</v>
      </c>
      <c r="W1692" s="82" t="s">
        <v>5681</v>
      </c>
      <c r="X1692" s="77"/>
      <c r="Y1692" s="77"/>
      <c r="Z1692" s="77"/>
      <c r="AA1692" s="77" t="s">
        <v>7444</v>
      </c>
      <c r="AB1692" s="77" t="s">
        <v>7742</v>
      </c>
      <c r="AC1692" s="82" t="s">
        <v>7757</v>
      </c>
      <c r="AD1692" s="77" t="s">
        <v>7788</v>
      </c>
      <c r="AE1692" s="80" t="str">
        <f>HYPERLINK("https://twitter.com/rnainvest/status/1679521226786500609")</f>
        <v>https://twitter.com/rnainvest/status/1679521226786500609</v>
      </c>
      <c r="AF1692" s="79">
        <v>45120.667118055557</v>
      </c>
      <c r="AG1692" s="85">
        <v>45120</v>
      </c>
      <c r="AH1692" s="82" t="s">
        <v>9232</v>
      </c>
      <c r="AI1692" s="77" t="b">
        <v>0</v>
      </c>
      <c r="AJ1692" s="77"/>
      <c r="AK1692" s="77"/>
      <c r="AL1692" s="77"/>
      <c r="AM1692" s="77"/>
      <c r="AN1692" s="77"/>
      <c r="AO1692" s="77"/>
      <c r="AP1692" s="77"/>
      <c r="AQ1692" s="77" t="s">
        <v>11416</v>
      </c>
      <c r="AR1692" s="77"/>
      <c r="AS1692" s="77"/>
      <c r="AT1692" s="77"/>
      <c r="AU1692" s="77"/>
      <c r="AV1692" s="80" t="str">
        <f>HYPERLINK("https://pbs.twimg.com/media/F07bp5kX0AATIkI.jpg")</f>
        <v>https://pbs.twimg.com/media/F07bp5kX0AATIkI.jpg</v>
      </c>
      <c r="AW1692" s="82" t="s">
        <v>13291</v>
      </c>
      <c r="AX1692" s="82" t="s">
        <v>13291</v>
      </c>
      <c r="AY1692" s="77"/>
      <c r="AZ1692" s="82" t="s">
        <v>15984</v>
      </c>
      <c r="BA1692" s="82" t="s">
        <v>15984</v>
      </c>
      <c r="BB1692" s="82" t="s">
        <v>15984</v>
      </c>
      <c r="BC1692" s="82" t="s">
        <v>13291</v>
      </c>
      <c r="BD1692" s="82" t="s">
        <v>16362</v>
      </c>
      <c r="BE1692" s="77"/>
      <c r="BF1692" s="77"/>
      <c r="BG1692" s="77"/>
      <c r="BH1692" s="77"/>
      <c r="BI1692" s="77"/>
    </row>
    <row r="1693" spans="1:61" x14ac:dyDescent="0.25">
      <c r="A1693" s="62" t="s">
        <v>672</v>
      </c>
      <c r="B1693" s="62" t="s">
        <v>672</v>
      </c>
      <c r="C1693" s="63"/>
      <c r="D1693" s="64"/>
      <c r="E1693" s="65"/>
      <c r="F1693" s="66"/>
      <c r="G1693" s="63"/>
      <c r="H1693" s="67"/>
      <c r="I1693" s="68"/>
      <c r="J1693" s="68"/>
      <c r="K1693" s="32"/>
      <c r="L1693" s="75">
        <v>1693</v>
      </c>
      <c r="M1693" s="75"/>
      <c r="N1693" s="70"/>
      <c r="O1693" s="77" t="s">
        <v>898</v>
      </c>
      <c r="P1693" s="79">
        <v>45146.022812499999</v>
      </c>
      <c r="Q1693" s="77" t="s">
        <v>2398</v>
      </c>
      <c r="R1693" s="77">
        <v>0</v>
      </c>
      <c r="S1693" s="77">
        <v>0</v>
      </c>
      <c r="T1693" s="77">
        <v>0</v>
      </c>
      <c r="U1693" s="77">
        <v>0</v>
      </c>
      <c r="V1693" s="77">
        <v>16</v>
      </c>
      <c r="W1693" s="82" t="s">
        <v>5682</v>
      </c>
      <c r="X1693" s="77"/>
      <c r="Y1693" s="77"/>
      <c r="Z1693" s="77"/>
      <c r="AA1693" s="77"/>
      <c r="AB1693" s="77"/>
      <c r="AC1693" s="82" t="s">
        <v>7750</v>
      </c>
      <c r="AD1693" s="77" t="s">
        <v>7788</v>
      </c>
      <c r="AE1693" s="80" t="str">
        <f>HYPERLINK("https://twitter.com/xghmarkets/status/1688709824832315393")</f>
        <v>https://twitter.com/xghmarkets/status/1688709824832315393</v>
      </c>
      <c r="AF1693" s="79">
        <v>45146.022812499999</v>
      </c>
      <c r="AG1693" s="85">
        <v>45146</v>
      </c>
      <c r="AH1693" s="82" t="s">
        <v>9233</v>
      </c>
      <c r="AI1693" s="77"/>
      <c r="AJ1693" s="77"/>
      <c r="AK1693" s="77"/>
      <c r="AL1693" s="77"/>
      <c r="AM1693" s="77"/>
      <c r="AN1693" s="77"/>
      <c r="AO1693" s="77"/>
      <c r="AP1693" s="77"/>
      <c r="AQ1693" s="77"/>
      <c r="AR1693" s="77"/>
      <c r="AS1693" s="77"/>
      <c r="AT1693" s="77"/>
      <c r="AU1693" s="77"/>
      <c r="AV1693" s="80" t="str">
        <f>HYPERLINK("https://pbs.twimg.com/profile_images/1462845729169420289/OS6QVM4g_normal.jpg")</f>
        <v>https://pbs.twimg.com/profile_images/1462845729169420289/OS6QVM4g_normal.jpg</v>
      </c>
      <c r="AW1693" s="82" t="s">
        <v>13292</v>
      </c>
      <c r="AX1693" s="82" t="s">
        <v>15882</v>
      </c>
      <c r="AY1693" s="82" t="s">
        <v>15973</v>
      </c>
      <c r="AZ1693" s="82" t="s">
        <v>16090</v>
      </c>
      <c r="BA1693" s="82" t="s">
        <v>15984</v>
      </c>
      <c r="BB1693" s="82" t="s">
        <v>15984</v>
      </c>
      <c r="BC1693" s="82" t="s">
        <v>16090</v>
      </c>
      <c r="BD1693" s="82" t="s">
        <v>15973</v>
      </c>
      <c r="BE1693" s="77"/>
      <c r="BF1693" s="77"/>
      <c r="BG1693" s="77"/>
      <c r="BH1693" s="77"/>
      <c r="BI1693" s="77"/>
    </row>
    <row r="1694" spans="1:61" x14ac:dyDescent="0.25">
      <c r="A1694" s="62" t="s">
        <v>672</v>
      </c>
      <c r="B1694" s="62" t="s">
        <v>672</v>
      </c>
      <c r="C1694" s="63"/>
      <c r="D1694" s="64"/>
      <c r="E1694" s="65"/>
      <c r="F1694" s="66"/>
      <c r="G1694" s="63"/>
      <c r="H1694" s="67"/>
      <c r="I1694" s="68"/>
      <c r="J1694" s="68"/>
      <c r="K1694" s="32"/>
      <c r="L1694" s="75">
        <v>1694</v>
      </c>
      <c r="M1694" s="75"/>
      <c r="N1694" s="70"/>
      <c r="O1694" s="77" t="s">
        <v>898</v>
      </c>
      <c r="P1694" s="79">
        <v>45141.709675925929</v>
      </c>
      <c r="Q1694" s="77" t="s">
        <v>2399</v>
      </c>
      <c r="R1694" s="77">
        <v>0</v>
      </c>
      <c r="S1694" s="77">
        <v>0</v>
      </c>
      <c r="T1694" s="77">
        <v>0</v>
      </c>
      <c r="U1694" s="77">
        <v>0</v>
      </c>
      <c r="V1694" s="77">
        <v>13</v>
      </c>
      <c r="W1694" s="82" t="s">
        <v>5683</v>
      </c>
      <c r="X1694" s="77"/>
      <c r="Y1694" s="77"/>
      <c r="Z1694" s="77"/>
      <c r="AA1694" s="77"/>
      <c r="AB1694" s="77"/>
      <c r="AC1694" s="82" t="s">
        <v>7750</v>
      </c>
      <c r="AD1694" s="77" t="s">
        <v>7788</v>
      </c>
      <c r="AE1694" s="80" t="str">
        <f>HYPERLINK("https://twitter.com/xghmarkets/status/1687146794495483928")</f>
        <v>https://twitter.com/xghmarkets/status/1687146794495483928</v>
      </c>
      <c r="AF1694" s="79">
        <v>45141.709675925929</v>
      </c>
      <c r="AG1694" s="85">
        <v>45141</v>
      </c>
      <c r="AH1694" s="82" t="s">
        <v>9234</v>
      </c>
      <c r="AI1694" s="77"/>
      <c r="AJ1694" s="77"/>
      <c r="AK1694" s="77"/>
      <c r="AL1694" s="77"/>
      <c r="AM1694" s="77"/>
      <c r="AN1694" s="77"/>
      <c r="AO1694" s="77"/>
      <c r="AP1694" s="77"/>
      <c r="AQ1694" s="77"/>
      <c r="AR1694" s="77"/>
      <c r="AS1694" s="77"/>
      <c r="AT1694" s="77"/>
      <c r="AU1694" s="77"/>
      <c r="AV1694" s="80" t="str">
        <f>HYPERLINK("https://pbs.twimg.com/profile_images/1462845729169420289/OS6QVM4g_normal.jpg")</f>
        <v>https://pbs.twimg.com/profile_images/1462845729169420289/OS6QVM4g_normal.jpg</v>
      </c>
      <c r="AW1694" s="82" t="s">
        <v>13293</v>
      </c>
      <c r="AX1694" s="82" t="s">
        <v>15883</v>
      </c>
      <c r="AY1694" s="82" t="s">
        <v>15973</v>
      </c>
      <c r="AZ1694" s="82" t="s">
        <v>16091</v>
      </c>
      <c r="BA1694" s="82" t="s">
        <v>15984</v>
      </c>
      <c r="BB1694" s="82" t="s">
        <v>15984</v>
      </c>
      <c r="BC1694" s="82" t="s">
        <v>16091</v>
      </c>
      <c r="BD1694" s="82" t="s">
        <v>15973</v>
      </c>
      <c r="BE1694" s="77"/>
      <c r="BF1694" s="77"/>
      <c r="BG1694" s="77"/>
      <c r="BH1694" s="77"/>
      <c r="BI1694" s="77"/>
    </row>
    <row r="1695" spans="1:61" x14ac:dyDescent="0.25">
      <c r="A1695" s="62" t="s">
        <v>672</v>
      </c>
      <c r="B1695" s="62" t="s">
        <v>672</v>
      </c>
      <c r="C1695" s="63"/>
      <c r="D1695" s="64"/>
      <c r="E1695" s="65"/>
      <c r="F1695" s="66"/>
      <c r="G1695" s="63"/>
      <c r="H1695" s="67"/>
      <c r="I1695" s="68"/>
      <c r="J1695" s="68"/>
      <c r="K1695" s="32"/>
      <c r="L1695" s="75">
        <v>1695</v>
      </c>
      <c r="M1695" s="75"/>
      <c r="N1695" s="70"/>
      <c r="O1695" s="77" t="s">
        <v>898</v>
      </c>
      <c r="P1695" s="79">
        <v>45142.931805555556</v>
      </c>
      <c r="Q1695" s="77" t="s">
        <v>2400</v>
      </c>
      <c r="R1695" s="77">
        <v>0</v>
      </c>
      <c r="S1695" s="77">
        <v>0</v>
      </c>
      <c r="T1695" s="77">
        <v>0</v>
      </c>
      <c r="U1695" s="77">
        <v>0</v>
      </c>
      <c r="V1695" s="77">
        <v>39</v>
      </c>
      <c r="W1695" s="82" t="s">
        <v>5684</v>
      </c>
      <c r="X1695" s="77"/>
      <c r="Y1695" s="77"/>
      <c r="Z1695" s="77"/>
      <c r="AA1695" s="77"/>
      <c r="AB1695" s="77"/>
      <c r="AC1695" s="82" t="s">
        <v>7750</v>
      </c>
      <c r="AD1695" s="77" t="s">
        <v>7788</v>
      </c>
      <c r="AE1695" s="80" t="str">
        <f>HYPERLINK("https://twitter.com/xghmarkets/status/1687589679636324352")</f>
        <v>https://twitter.com/xghmarkets/status/1687589679636324352</v>
      </c>
      <c r="AF1695" s="79">
        <v>45142.931805555556</v>
      </c>
      <c r="AG1695" s="85">
        <v>45142</v>
      </c>
      <c r="AH1695" s="82" t="s">
        <v>9235</v>
      </c>
      <c r="AI1695" s="77"/>
      <c r="AJ1695" s="77"/>
      <c r="AK1695" s="77"/>
      <c r="AL1695" s="77"/>
      <c r="AM1695" s="77"/>
      <c r="AN1695" s="77"/>
      <c r="AO1695" s="77"/>
      <c r="AP1695" s="77"/>
      <c r="AQ1695" s="77"/>
      <c r="AR1695" s="77"/>
      <c r="AS1695" s="77"/>
      <c r="AT1695" s="77"/>
      <c r="AU1695" s="77"/>
      <c r="AV1695" s="80" t="str">
        <f>HYPERLINK("https://pbs.twimg.com/profile_images/1462845729169420289/OS6QVM4g_normal.jpg")</f>
        <v>https://pbs.twimg.com/profile_images/1462845729169420289/OS6QVM4g_normal.jpg</v>
      </c>
      <c r="AW1695" s="82" t="s">
        <v>13294</v>
      </c>
      <c r="AX1695" s="82" t="s">
        <v>15884</v>
      </c>
      <c r="AY1695" s="82" t="s">
        <v>15973</v>
      </c>
      <c r="AZ1695" s="82" t="s">
        <v>16092</v>
      </c>
      <c r="BA1695" s="82" t="s">
        <v>15984</v>
      </c>
      <c r="BB1695" s="82" t="s">
        <v>15984</v>
      </c>
      <c r="BC1695" s="82" t="s">
        <v>16092</v>
      </c>
      <c r="BD1695" s="82" t="s">
        <v>15973</v>
      </c>
      <c r="BE1695" s="77"/>
      <c r="BF1695" s="77"/>
      <c r="BG1695" s="77"/>
      <c r="BH1695" s="77"/>
      <c r="BI1695" s="77"/>
    </row>
    <row r="1696" spans="1:61" x14ac:dyDescent="0.25">
      <c r="A1696" s="62" t="s">
        <v>673</v>
      </c>
      <c r="B1696" s="62" t="s">
        <v>673</v>
      </c>
      <c r="C1696" s="63"/>
      <c r="D1696" s="64"/>
      <c r="E1696" s="65"/>
      <c r="F1696" s="66"/>
      <c r="G1696" s="63"/>
      <c r="H1696" s="67"/>
      <c r="I1696" s="68"/>
      <c r="J1696" s="68"/>
      <c r="K1696" s="32"/>
      <c r="L1696" s="75">
        <v>1696</v>
      </c>
      <c r="M1696" s="75"/>
      <c r="N1696" s="70"/>
      <c r="O1696" s="77" t="s">
        <v>898</v>
      </c>
      <c r="P1696" s="79">
        <v>45183.5003125</v>
      </c>
      <c r="Q1696" s="77" t="s">
        <v>2401</v>
      </c>
      <c r="R1696" s="77">
        <v>0</v>
      </c>
      <c r="S1696" s="77">
        <v>1</v>
      </c>
      <c r="T1696" s="77">
        <v>0</v>
      </c>
      <c r="U1696" s="77">
        <v>0</v>
      </c>
      <c r="V1696" s="77">
        <v>135</v>
      </c>
      <c r="W1696" s="82" t="s">
        <v>5685</v>
      </c>
      <c r="X1696" s="77"/>
      <c r="Y1696" s="77"/>
      <c r="Z1696" s="77"/>
      <c r="AA1696" s="77"/>
      <c r="AB1696" s="77"/>
      <c r="AC1696" s="82" t="s">
        <v>7750</v>
      </c>
      <c r="AD1696" s="77" t="s">
        <v>7790</v>
      </c>
      <c r="AE1696" s="80" t="str">
        <f>HYPERLINK("https://twitter.com/zonavalue/status/1702291214291157153")</f>
        <v>https://twitter.com/zonavalue/status/1702291214291157153</v>
      </c>
      <c r="AF1696" s="79">
        <v>45183.5003125</v>
      </c>
      <c r="AG1696" s="85">
        <v>45183</v>
      </c>
      <c r="AH1696" s="82" t="s">
        <v>9236</v>
      </c>
      <c r="AI1696" s="77"/>
      <c r="AJ1696" s="77"/>
      <c r="AK1696" s="77"/>
      <c r="AL1696" s="77"/>
      <c r="AM1696" s="77"/>
      <c r="AN1696" s="77"/>
      <c r="AO1696" s="77"/>
      <c r="AP1696" s="77"/>
      <c r="AQ1696" s="77"/>
      <c r="AR1696" s="77"/>
      <c r="AS1696" s="77"/>
      <c r="AT1696" s="77"/>
      <c r="AU1696" s="77"/>
      <c r="AV1696" s="80" t="str">
        <f>HYPERLINK("https://pbs.twimg.com/profile_images/1443528303504134151/7Tk-BMzv_normal.png")</f>
        <v>https://pbs.twimg.com/profile_images/1443528303504134151/7Tk-BMzv_normal.png</v>
      </c>
      <c r="AW1696" s="82" t="s">
        <v>13295</v>
      </c>
      <c r="AX1696" s="82" t="s">
        <v>15885</v>
      </c>
      <c r="AY1696" s="82" t="s">
        <v>15974</v>
      </c>
      <c r="AZ1696" s="82" t="s">
        <v>15885</v>
      </c>
      <c r="BA1696" s="82" t="s">
        <v>15984</v>
      </c>
      <c r="BB1696" s="82" t="s">
        <v>15984</v>
      </c>
      <c r="BC1696" s="82" t="s">
        <v>15885</v>
      </c>
      <c r="BD1696" s="82" t="s">
        <v>15974</v>
      </c>
      <c r="BE1696" s="77"/>
      <c r="BF1696" s="77"/>
      <c r="BG1696" s="77"/>
      <c r="BH1696" s="77"/>
      <c r="BI1696" s="77"/>
    </row>
    <row r="1697" spans="1:61" x14ac:dyDescent="0.25">
      <c r="A1697" s="62" t="s">
        <v>674</v>
      </c>
      <c r="B1697" s="62" t="s">
        <v>753</v>
      </c>
      <c r="C1697" s="63"/>
      <c r="D1697" s="64"/>
      <c r="E1697" s="65"/>
      <c r="F1697" s="66"/>
      <c r="G1697" s="63"/>
      <c r="H1697" s="67"/>
      <c r="I1697" s="68"/>
      <c r="J1697" s="68"/>
      <c r="K1697" s="32"/>
      <c r="L1697" s="75">
        <v>1697</v>
      </c>
      <c r="M1697" s="75"/>
      <c r="N1697" s="70"/>
      <c r="O1697" s="77" t="s">
        <v>899</v>
      </c>
      <c r="P1697" s="79">
        <v>45192.055763888886</v>
      </c>
      <c r="Q1697" s="77" t="s">
        <v>1116</v>
      </c>
      <c r="R1697" s="77">
        <v>10</v>
      </c>
      <c r="S1697" s="77">
        <v>0</v>
      </c>
      <c r="T1697" s="77">
        <v>0</v>
      </c>
      <c r="U1697" s="77">
        <v>0</v>
      </c>
      <c r="V1697" s="77"/>
      <c r="W1697" s="82" t="s">
        <v>4821</v>
      </c>
      <c r="X1697" s="77"/>
      <c r="Y1697" s="77"/>
      <c r="Z1697" s="77" t="s">
        <v>6566</v>
      </c>
      <c r="AA1697" s="77"/>
      <c r="AB1697" s="77"/>
      <c r="AC1697" s="82" t="s">
        <v>7752</v>
      </c>
      <c r="AD1697" s="77" t="s">
        <v>7790</v>
      </c>
      <c r="AE1697" s="80" t="str">
        <f>HYPERLINK("https://twitter.com/camilosilvaj/status/1705391606218809421")</f>
        <v>https://twitter.com/camilosilvaj/status/1705391606218809421</v>
      </c>
      <c r="AF1697" s="79">
        <v>45192.055763888886</v>
      </c>
      <c r="AG1697" s="85">
        <v>45192</v>
      </c>
      <c r="AH1697" s="82" t="s">
        <v>9237</v>
      </c>
      <c r="AI1697" s="77"/>
      <c r="AJ1697" s="77"/>
      <c r="AK1697" s="77"/>
      <c r="AL1697" s="77"/>
      <c r="AM1697" s="77"/>
      <c r="AN1697" s="77"/>
      <c r="AO1697" s="77"/>
      <c r="AP1697" s="77"/>
      <c r="AQ1697" s="77"/>
      <c r="AR1697" s="77"/>
      <c r="AS1697" s="77"/>
      <c r="AT1697" s="77"/>
      <c r="AU1697" s="77"/>
      <c r="AV1697" s="80" t="str">
        <f>HYPERLINK("https://pbs.twimg.com/profile_images/1428786616034861059/v9AzjpAS_normal.jpg")</f>
        <v>https://pbs.twimg.com/profile_images/1428786616034861059/v9AzjpAS_normal.jpg</v>
      </c>
      <c r="AW1697" s="82" t="s">
        <v>13296</v>
      </c>
      <c r="AX1697" s="82" t="s">
        <v>13296</v>
      </c>
      <c r="AY1697" s="77"/>
      <c r="AZ1697" s="82" t="s">
        <v>15984</v>
      </c>
      <c r="BA1697" s="82" t="s">
        <v>15984</v>
      </c>
      <c r="BB1697" s="82" t="s">
        <v>15303</v>
      </c>
      <c r="BC1697" s="82" t="s">
        <v>15303</v>
      </c>
      <c r="BD1697" s="77">
        <v>1597352947</v>
      </c>
      <c r="BE1697" s="77"/>
      <c r="BF1697" s="77"/>
      <c r="BG1697" s="77"/>
      <c r="BH1697" s="77"/>
      <c r="BI1697" s="77"/>
    </row>
    <row r="1698" spans="1:61" x14ac:dyDescent="0.25">
      <c r="A1698" s="62" t="s">
        <v>674</v>
      </c>
      <c r="B1698" s="62" t="s">
        <v>614</v>
      </c>
      <c r="C1698" s="63"/>
      <c r="D1698" s="64"/>
      <c r="E1698" s="65"/>
      <c r="F1698" s="66"/>
      <c r="G1698" s="63"/>
      <c r="H1698" s="67"/>
      <c r="I1698" s="68"/>
      <c r="J1698" s="68"/>
      <c r="K1698" s="32"/>
      <c r="L1698" s="75">
        <v>1698</v>
      </c>
      <c r="M1698" s="75"/>
      <c r="N1698" s="70"/>
      <c r="O1698" s="77" t="s">
        <v>897</v>
      </c>
      <c r="P1698" s="79">
        <v>45192.055763888886</v>
      </c>
      <c r="Q1698" s="77" t="s">
        <v>1116</v>
      </c>
      <c r="R1698" s="77">
        <v>10</v>
      </c>
      <c r="S1698" s="77">
        <v>0</v>
      </c>
      <c r="T1698" s="77">
        <v>0</v>
      </c>
      <c r="U1698" s="77">
        <v>0</v>
      </c>
      <c r="V1698" s="77"/>
      <c r="W1698" s="82" t="s">
        <v>4821</v>
      </c>
      <c r="X1698" s="77"/>
      <c r="Y1698" s="77"/>
      <c r="Z1698" s="77" t="s">
        <v>6566</v>
      </c>
      <c r="AA1698" s="77"/>
      <c r="AB1698" s="77"/>
      <c r="AC1698" s="82" t="s">
        <v>7752</v>
      </c>
      <c r="AD1698" s="77" t="s">
        <v>7790</v>
      </c>
      <c r="AE1698" s="80" t="str">
        <f>HYPERLINK("https://twitter.com/camilosilvaj/status/1705391606218809421")</f>
        <v>https://twitter.com/camilosilvaj/status/1705391606218809421</v>
      </c>
      <c r="AF1698" s="79">
        <v>45192.055763888886</v>
      </c>
      <c r="AG1698" s="85">
        <v>45192</v>
      </c>
      <c r="AH1698" s="82" t="s">
        <v>9237</v>
      </c>
      <c r="AI1698" s="77"/>
      <c r="AJ1698" s="77"/>
      <c r="AK1698" s="77"/>
      <c r="AL1698" s="77"/>
      <c r="AM1698" s="77"/>
      <c r="AN1698" s="77"/>
      <c r="AO1698" s="77"/>
      <c r="AP1698" s="77"/>
      <c r="AQ1698" s="77"/>
      <c r="AR1698" s="77"/>
      <c r="AS1698" s="77"/>
      <c r="AT1698" s="77"/>
      <c r="AU1698" s="77"/>
      <c r="AV1698" s="80" t="str">
        <f>HYPERLINK("https://pbs.twimg.com/profile_images/1428786616034861059/v9AzjpAS_normal.jpg")</f>
        <v>https://pbs.twimg.com/profile_images/1428786616034861059/v9AzjpAS_normal.jpg</v>
      </c>
      <c r="AW1698" s="82" t="s">
        <v>13296</v>
      </c>
      <c r="AX1698" s="82" t="s">
        <v>13296</v>
      </c>
      <c r="AY1698" s="77"/>
      <c r="AZ1698" s="82" t="s">
        <v>15984</v>
      </c>
      <c r="BA1698" s="82" t="s">
        <v>15984</v>
      </c>
      <c r="BB1698" s="82" t="s">
        <v>15303</v>
      </c>
      <c r="BC1698" s="82" t="s">
        <v>15303</v>
      </c>
      <c r="BD1698" s="77">
        <v>1597352947</v>
      </c>
      <c r="BE1698" s="77"/>
      <c r="BF1698" s="77"/>
      <c r="BG1698" s="77"/>
      <c r="BH1698" s="77"/>
      <c r="BI1698" s="77"/>
    </row>
    <row r="1699" spans="1:61" x14ac:dyDescent="0.25">
      <c r="A1699" s="62" t="s">
        <v>675</v>
      </c>
      <c r="B1699" s="62" t="s">
        <v>780</v>
      </c>
      <c r="C1699" s="63"/>
      <c r="D1699" s="64"/>
      <c r="E1699" s="65"/>
      <c r="F1699" s="66"/>
      <c r="G1699" s="63"/>
      <c r="H1699" s="67"/>
      <c r="I1699" s="68"/>
      <c r="J1699" s="68"/>
      <c r="K1699" s="32"/>
      <c r="L1699" s="75">
        <v>1699</v>
      </c>
      <c r="M1699" s="75"/>
      <c r="N1699" s="70"/>
      <c r="O1699" s="77" t="s">
        <v>895</v>
      </c>
      <c r="P1699" s="79">
        <v>45124.543391203704</v>
      </c>
      <c r="Q1699" s="77" t="s">
        <v>2402</v>
      </c>
      <c r="R1699" s="77">
        <v>0</v>
      </c>
      <c r="S1699" s="77">
        <v>0</v>
      </c>
      <c r="T1699" s="77">
        <v>0</v>
      </c>
      <c r="U1699" s="77">
        <v>0</v>
      </c>
      <c r="V1699" s="77">
        <v>74</v>
      </c>
      <c r="W1699" s="82" t="s">
        <v>5117</v>
      </c>
      <c r="X1699" s="80" t="str">
        <f>HYPERLINK("https://dirigentesdigital.com/funds-markets/bolsas-y-mercados/macroeconomia-y-su-impacto-en-las-criptomonedas")</f>
        <v>https://dirigentesdigital.com/funds-markets/bolsas-y-mercados/macroeconomia-y-su-impacto-en-las-criptomonedas</v>
      </c>
      <c r="Y1699" s="77" t="s">
        <v>6507</v>
      </c>
      <c r="Z1699" s="77" t="s">
        <v>6569</v>
      </c>
      <c r="AA1699" s="77"/>
      <c r="AB1699" s="77"/>
      <c r="AC1699" s="82" t="s">
        <v>7762</v>
      </c>
      <c r="AD1699" s="77" t="s">
        <v>7790</v>
      </c>
      <c r="AE1699" s="80" t="str">
        <f>HYPERLINK("https://twitter.com/fundsmarkets/status/1680925940916928514")</f>
        <v>https://twitter.com/fundsmarkets/status/1680925940916928514</v>
      </c>
      <c r="AF1699" s="79">
        <v>45124.543391203704</v>
      </c>
      <c r="AG1699" s="85">
        <v>45124</v>
      </c>
      <c r="AH1699" s="82" t="s">
        <v>9238</v>
      </c>
      <c r="AI1699" s="77" t="b">
        <v>0</v>
      </c>
      <c r="AJ1699" s="77"/>
      <c r="AK1699" s="77"/>
      <c r="AL1699" s="77"/>
      <c r="AM1699" s="77"/>
      <c r="AN1699" s="77"/>
      <c r="AO1699" s="77"/>
      <c r="AP1699" s="77"/>
      <c r="AQ1699" s="77"/>
      <c r="AR1699" s="77"/>
      <c r="AS1699" s="77"/>
      <c r="AT1699" s="77"/>
      <c r="AU1699" s="77"/>
      <c r="AV1699" s="80" t="str">
        <f>HYPERLINK("https://pbs.twimg.com/profile_images/1597187041950924802/23gUcOob_normal.jpg")</f>
        <v>https://pbs.twimg.com/profile_images/1597187041950924802/23gUcOob_normal.jpg</v>
      </c>
      <c r="AW1699" s="82" t="s">
        <v>13297</v>
      </c>
      <c r="AX1699" s="82" t="s">
        <v>13297</v>
      </c>
      <c r="AY1699" s="77"/>
      <c r="AZ1699" s="82" t="s">
        <v>15984</v>
      </c>
      <c r="BA1699" s="82" t="s">
        <v>15984</v>
      </c>
      <c r="BB1699" s="82" t="s">
        <v>15984</v>
      </c>
      <c r="BC1699" s="82" t="s">
        <v>13297</v>
      </c>
      <c r="BD1699" s="82" t="s">
        <v>16363</v>
      </c>
      <c r="BE1699" s="77"/>
      <c r="BF1699" s="77"/>
      <c r="BG1699" s="77"/>
      <c r="BH1699" s="77"/>
      <c r="BI1699" s="77"/>
    </row>
    <row r="1700" spans="1:61" x14ac:dyDescent="0.25">
      <c r="A1700" s="62" t="s">
        <v>675</v>
      </c>
      <c r="B1700" s="62" t="s">
        <v>781</v>
      </c>
      <c r="C1700" s="63"/>
      <c r="D1700" s="64"/>
      <c r="E1700" s="65"/>
      <c r="F1700" s="66"/>
      <c r="G1700" s="63"/>
      <c r="H1700" s="67"/>
      <c r="I1700" s="68"/>
      <c r="J1700" s="68"/>
      <c r="K1700" s="32"/>
      <c r="L1700" s="75">
        <v>1700</v>
      </c>
      <c r="M1700" s="75"/>
      <c r="N1700" s="70"/>
      <c r="O1700" s="77" t="s">
        <v>895</v>
      </c>
      <c r="P1700" s="79">
        <v>45124.543391203704</v>
      </c>
      <c r="Q1700" s="77" t="s">
        <v>2402</v>
      </c>
      <c r="R1700" s="77">
        <v>0</v>
      </c>
      <c r="S1700" s="77">
        <v>0</v>
      </c>
      <c r="T1700" s="77">
        <v>0</v>
      </c>
      <c r="U1700" s="77">
        <v>0</v>
      </c>
      <c r="V1700" s="77">
        <v>74</v>
      </c>
      <c r="W1700" s="82" t="s">
        <v>5117</v>
      </c>
      <c r="X1700" s="80" t="str">
        <f>HYPERLINK("https://dirigentesdigital.com/funds-markets/bolsas-y-mercados/macroeconomia-y-su-impacto-en-las-criptomonedas")</f>
        <v>https://dirigentesdigital.com/funds-markets/bolsas-y-mercados/macroeconomia-y-su-impacto-en-las-criptomonedas</v>
      </c>
      <c r="Y1700" s="77" t="s">
        <v>6507</v>
      </c>
      <c r="Z1700" s="77" t="s">
        <v>6569</v>
      </c>
      <c r="AA1700" s="77"/>
      <c r="AB1700" s="77"/>
      <c r="AC1700" s="82" t="s">
        <v>7762</v>
      </c>
      <c r="AD1700" s="77" t="s">
        <v>7790</v>
      </c>
      <c r="AE1700" s="80" t="str">
        <f>HYPERLINK("https://twitter.com/fundsmarkets/status/1680925940916928514")</f>
        <v>https://twitter.com/fundsmarkets/status/1680925940916928514</v>
      </c>
      <c r="AF1700" s="79">
        <v>45124.543391203704</v>
      </c>
      <c r="AG1700" s="85">
        <v>45124</v>
      </c>
      <c r="AH1700" s="82" t="s">
        <v>9238</v>
      </c>
      <c r="AI1700" s="77" t="b">
        <v>0</v>
      </c>
      <c r="AJ1700" s="77"/>
      <c r="AK1700" s="77"/>
      <c r="AL1700" s="77"/>
      <c r="AM1700" s="77"/>
      <c r="AN1700" s="77"/>
      <c r="AO1700" s="77"/>
      <c r="AP1700" s="77"/>
      <c r="AQ1700" s="77"/>
      <c r="AR1700" s="77"/>
      <c r="AS1700" s="77"/>
      <c r="AT1700" s="77"/>
      <c r="AU1700" s="77"/>
      <c r="AV1700" s="80" t="str">
        <f>HYPERLINK("https://pbs.twimg.com/profile_images/1597187041950924802/23gUcOob_normal.jpg")</f>
        <v>https://pbs.twimg.com/profile_images/1597187041950924802/23gUcOob_normal.jpg</v>
      </c>
      <c r="AW1700" s="82" t="s">
        <v>13297</v>
      </c>
      <c r="AX1700" s="82" t="s">
        <v>13297</v>
      </c>
      <c r="AY1700" s="77"/>
      <c r="AZ1700" s="82" t="s">
        <v>15984</v>
      </c>
      <c r="BA1700" s="82" t="s">
        <v>15984</v>
      </c>
      <c r="BB1700" s="82" t="s">
        <v>15984</v>
      </c>
      <c r="BC1700" s="82" t="s">
        <v>13297</v>
      </c>
      <c r="BD1700" s="82" t="s">
        <v>16363</v>
      </c>
      <c r="BE1700" s="77"/>
      <c r="BF1700" s="77"/>
      <c r="BG1700" s="77"/>
      <c r="BH1700" s="77"/>
      <c r="BI1700" s="77"/>
    </row>
    <row r="1701" spans="1:61" x14ac:dyDescent="0.25">
      <c r="A1701" s="62" t="s">
        <v>676</v>
      </c>
      <c r="B1701" s="62" t="s">
        <v>676</v>
      </c>
      <c r="C1701" s="63"/>
      <c r="D1701" s="64"/>
      <c r="E1701" s="65"/>
      <c r="F1701" s="66"/>
      <c r="G1701" s="63"/>
      <c r="H1701" s="67"/>
      <c r="I1701" s="68"/>
      <c r="J1701" s="68"/>
      <c r="K1701" s="32"/>
      <c r="L1701" s="75">
        <v>1701</v>
      </c>
      <c r="M1701" s="75"/>
      <c r="N1701" s="70"/>
      <c r="O1701" s="77" t="s">
        <v>179</v>
      </c>
      <c r="P1701" s="79">
        <v>45127.054710648146</v>
      </c>
      <c r="Q1701" s="77" t="s">
        <v>2403</v>
      </c>
      <c r="R1701" s="77">
        <v>12</v>
      </c>
      <c r="S1701" s="77">
        <v>25</v>
      </c>
      <c r="T1701" s="77">
        <v>7</v>
      </c>
      <c r="U1701" s="77">
        <v>0</v>
      </c>
      <c r="V1701" s="77">
        <v>275</v>
      </c>
      <c r="W1701" s="82" t="s">
        <v>5686</v>
      </c>
      <c r="X1701" s="77"/>
      <c r="Y1701" s="77"/>
      <c r="Z1701" s="77"/>
      <c r="AA1701" s="77" t="s">
        <v>7445</v>
      </c>
      <c r="AB1701" s="77" t="s">
        <v>7742</v>
      </c>
      <c r="AC1701" s="82" t="s">
        <v>7752</v>
      </c>
      <c r="AD1701" s="77" t="s">
        <v>7791</v>
      </c>
      <c r="AE1701" s="80" t="str">
        <f>HYPERLINK("https://twitter.com/yodacoinswap/status/1681836013860134912")</f>
        <v>https://twitter.com/yodacoinswap/status/1681836013860134912</v>
      </c>
      <c r="AF1701" s="79">
        <v>45127.054710648146</v>
      </c>
      <c r="AG1701" s="85">
        <v>45127</v>
      </c>
      <c r="AH1701" s="82" t="s">
        <v>9239</v>
      </c>
      <c r="AI1701" s="77" t="b">
        <v>0</v>
      </c>
      <c r="AJ1701" s="77"/>
      <c r="AK1701" s="77"/>
      <c r="AL1701" s="77"/>
      <c r="AM1701" s="77"/>
      <c r="AN1701" s="77"/>
      <c r="AO1701" s="77"/>
      <c r="AP1701" s="77"/>
      <c r="AQ1701" s="77" t="s">
        <v>11417</v>
      </c>
      <c r="AR1701" s="77"/>
      <c r="AS1701" s="77"/>
      <c r="AT1701" s="77"/>
      <c r="AU1701" s="77"/>
      <c r="AV1701" s="80" t="str">
        <f>HYPERLINK("https://pbs.twimg.com/media/F1cU8HKXoAAKnN0.jpg")</f>
        <v>https://pbs.twimg.com/media/F1cU8HKXoAAKnN0.jpg</v>
      </c>
      <c r="AW1701" s="82" t="s">
        <v>13298</v>
      </c>
      <c r="AX1701" s="82" t="s">
        <v>13298</v>
      </c>
      <c r="AY1701" s="77"/>
      <c r="AZ1701" s="82" t="s">
        <v>15984</v>
      </c>
      <c r="BA1701" s="82" t="s">
        <v>15984</v>
      </c>
      <c r="BB1701" s="82" t="s">
        <v>15984</v>
      </c>
      <c r="BC1701" s="82" t="s">
        <v>13298</v>
      </c>
      <c r="BD1701" s="82" t="s">
        <v>16364</v>
      </c>
      <c r="BE1701" s="77"/>
      <c r="BF1701" s="77"/>
      <c r="BG1701" s="77"/>
      <c r="BH1701" s="77"/>
      <c r="BI1701" s="77"/>
    </row>
    <row r="1702" spans="1:61" x14ac:dyDescent="0.25">
      <c r="A1702" s="62" t="s">
        <v>677</v>
      </c>
      <c r="B1702" s="62" t="s">
        <v>677</v>
      </c>
      <c r="C1702" s="63"/>
      <c r="D1702" s="64"/>
      <c r="E1702" s="65"/>
      <c r="F1702" s="66"/>
      <c r="G1702" s="63"/>
      <c r="H1702" s="67"/>
      <c r="I1702" s="68"/>
      <c r="J1702" s="68"/>
      <c r="K1702" s="32"/>
      <c r="L1702" s="75">
        <v>1702</v>
      </c>
      <c r="M1702" s="75"/>
      <c r="N1702" s="70"/>
      <c r="O1702" s="77" t="s">
        <v>179</v>
      </c>
      <c r="P1702" s="79">
        <v>45162.104560185187</v>
      </c>
      <c r="Q1702" s="77" t="s">
        <v>2404</v>
      </c>
      <c r="R1702" s="77">
        <v>0</v>
      </c>
      <c r="S1702" s="77">
        <v>0</v>
      </c>
      <c r="T1702" s="77">
        <v>0</v>
      </c>
      <c r="U1702" s="77">
        <v>0</v>
      </c>
      <c r="V1702" s="77">
        <v>125</v>
      </c>
      <c r="W1702" s="82" t="s">
        <v>5687</v>
      </c>
      <c r="X1702" s="77"/>
      <c r="Y1702" s="77"/>
      <c r="Z1702" s="77"/>
      <c r="AA1702" s="77" t="s">
        <v>7446</v>
      </c>
      <c r="AB1702" s="77" t="s">
        <v>7742</v>
      </c>
      <c r="AC1702" s="82" t="s">
        <v>7751</v>
      </c>
      <c r="AD1702" s="77" t="s">
        <v>7788</v>
      </c>
      <c r="AE1702" s="80" t="str">
        <f>HYPERLINK("https://twitter.com/tiagosi54861365/status/1694537654057279684")</f>
        <v>https://twitter.com/tiagosi54861365/status/1694537654057279684</v>
      </c>
      <c r="AF1702" s="79">
        <v>45162.104560185187</v>
      </c>
      <c r="AG1702" s="85">
        <v>45162</v>
      </c>
      <c r="AH1702" s="82" t="s">
        <v>9240</v>
      </c>
      <c r="AI1702" s="77" t="b">
        <v>0</v>
      </c>
      <c r="AJ1702" s="77" t="s">
        <v>10568</v>
      </c>
      <c r="AK1702" s="77" t="s">
        <v>10570</v>
      </c>
      <c r="AL1702" s="77" t="s">
        <v>10574</v>
      </c>
      <c r="AM1702" s="77" t="s">
        <v>10586</v>
      </c>
      <c r="AN1702" s="77" t="s">
        <v>10597</v>
      </c>
      <c r="AO1702" s="77" t="s">
        <v>10607</v>
      </c>
      <c r="AP1702" s="77" t="s">
        <v>10609</v>
      </c>
      <c r="AQ1702" s="77" t="s">
        <v>11418</v>
      </c>
      <c r="AR1702" s="77"/>
      <c r="AS1702" s="77"/>
      <c r="AT1702" s="77"/>
      <c r="AU1702" s="77"/>
      <c r="AV1702" s="80" t="str">
        <f>HYPERLINK("https://pbs.twimg.com/media/F4Q1ADkbsAAHdcM.jpg")</f>
        <v>https://pbs.twimg.com/media/F4Q1ADkbsAAHdcM.jpg</v>
      </c>
      <c r="AW1702" s="82" t="s">
        <v>13299</v>
      </c>
      <c r="AX1702" s="82" t="s">
        <v>13299</v>
      </c>
      <c r="AY1702" s="77"/>
      <c r="AZ1702" s="82" t="s">
        <v>15984</v>
      </c>
      <c r="BA1702" s="82" t="s">
        <v>15984</v>
      </c>
      <c r="BB1702" s="82" t="s">
        <v>15984</v>
      </c>
      <c r="BC1702" s="82" t="s">
        <v>13299</v>
      </c>
      <c r="BD1702" s="82" t="s">
        <v>16365</v>
      </c>
      <c r="BE1702" s="77"/>
      <c r="BF1702" s="77"/>
      <c r="BG1702" s="77"/>
      <c r="BH1702" s="77"/>
      <c r="BI1702" s="77"/>
    </row>
    <row r="1703" spans="1:61" x14ac:dyDescent="0.25">
      <c r="A1703" s="62" t="s">
        <v>678</v>
      </c>
      <c r="B1703" s="62" t="s">
        <v>678</v>
      </c>
      <c r="C1703" s="63"/>
      <c r="D1703" s="64"/>
      <c r="E1703" s="65"/>
      <c r="F1703" s="66"/>
      <c r="G1703" s="63"/>
      <c r="H1703" s="67"/>
      <c r="I1703" s="68"/>
      <c r="J1703" s="68"/>
      <c r="K1703" s="32"/>
      <c r="L1703" s="75">
        <v>1703</v>
      </c>
      <c r="M1703" s="75"/>
      <c r="N1703" s="70"/>
      <c r="O1703" s="77" t="s">
        <v>179</v>
      </c>
      <c r="P1703" s="79">
        <v>45182.958333333336</v>
      </c>
      <c r="Q1703" s="77" t="s">
        <v>2405</v>
      </c>
      <c r="R1703" s="77">
        <v>0</v>
      </c>
      <c r="S1703" s="77">
        <v>0</v>
      </c>
      <c r="T1703" s="77">
        <v>0</v>
      </c>
      <c r="U1703" s="77">
        <v>0</v>
      </c>
      <c r="V1703" s="77">
        <v>64</v>
      </c>
      <c r="W1703" s="82" t="s">
        <v>5688</v>
      </c>
      <c r="X1703" s="77"/>
      <c r="Y1703" s="77"/>
      <c r="Z1703" s="77"/>
      <c r="AA1703" s="77" t="s">
        <v>7447</v>
      </c>
      <c r="AB1703" s="77" t="s">
        <v>7742</v>
      </c>
      <c r="AC1703" s="82" t="s">
        <v>7750</v>
      </c>
      <c r="AD1703" s="77" t="s">
        <v>7788</v>
      </c>
      <c r="AE1703" s="80" t="str">
        <f>HYPERLINK("https://twitter.com/profitoclub/status/1702094807609544953")</f>
        <v>https://twitter.com/profitoclub/status/1702094807609544953</v>
      </c>
      <c r="AF1703" s="79">
        <v>45182.958333333336</v>
      </c>
      <c r="AG1703" s="85">
        <v>45182</v>
      </c>
      <c r="AH1703" s="82" t="s">
        <v>8279</v>
      </c>
      <c r="AI1703" s="77" t="b">
        <v>0</v>
      </c>
      <c r="AJ1703" s="77"/>
      <c r="AK1703" s="77"/>
      <c r="AL1703" s="77"/>
      <c r="AM1703" s="77"/>
      <c r="AN1703" s="77"/>
      <c r="AO1703" s="77"/>
      <c r="AP1703" s="77"/>
      <c r="AQ1703" s="77" t="s">
        <v>11419</v>
      </c>
      <c r="AR1703" s="77"/>
      <c r="AS1703" s="77"/>
      <c r="AT1703" s="77"/>
      <c r="AU1703" s="77"/>
      <c r="AV1703" s="80" t="str">
        <f>HYPERLINK("https://pbs.twimg.com/media/F5wtyIEXEAEej2t.jpg")</f>
        <v>https://pbs.twimg.com/media/F5wtyIEXEAEej2t.jpg</v>
      </c>
      <c r="AW1703" s="82" t="s">
        <v>13300</v>
      </c>
      <c r="AX1703" s="82" t="s">
        <v>13300</v>
      </c>
      <c r="AY1703" s="77"/>
      <c r="AZ1703" s="82" t="s">
        <v>15984</v>
      </c>
      <c r="BA1703" s="82" t="s">
        <v>15984</v>
      </c>
      <c r="BB1703" s="82" t="s">
        <v>15984</v>
      </c>
      <c r="BC1703" s="82" t="s">
        <v>13300</v>
      </c>
      <c r="BD1703" s="82" t="s">
        <v>16366</v>
      </c>
      <c r="BE1703" s="77"/>
      <c r="BF1703" s="77"/>
      <c r="BG1703" s="77"/>
      <c r="BH1703" s="77"/>
      <c r="BI1703" s="77"/>
    </row>
    <row r="1704" spans="1:61" x14ac:dyDescent="0.25">
      <c r="A1704" s="62" t="s">
        <v>678</v>
      </c>
      <c r="B1704" s="62" t="s">
        <v>678</v>
      </c>
      <c r="C1704" s="63"/>
      <c r="D1704" s="64"/>
      <c r="E1704" s="65"/>
      <c r="F1704" s="66"/>
      <c r="G1704" s="63"/>
      <c r="H1704" s="67"/>
      <c r="I1704" s="68"/>
      <c r="J1704" s="68"/>
      <c r="K1704" s="32"/>
      <c r="L1704" s="75">
        <v>1704</v>
      </c>
      <c r="M1704" s="75"/>
      <c r="N1704" s="70"/>
      <c r="O1704" s="77" t="s">
        <v>179</v>
      </c>
      <c r="P1704" s="79">
        <v>45183.958344907405</v>
      </c>
      <c r="Q1704" s="77" t="s">
        <v>2406</v>
      </c>
      <c r="R1704" s="77">
        <v>0</v>
      </c>
      <c r="S1704" s="77">
        <v>0</v>
      </c>
      <c r="T1704" s="77">
        <v>0</v>
      </c>
      <c r="U1704" s="77">
        <v>0</v>
      </c>
      <c r="V1704" s="77">
        <v>57</v>
      </c>
      <c r="W1704" s="82" t="s">
        <v>5689</v>
      </c>
      <c r="X1704" s="77"/>
      <c r="Y1704" s="77"/>
      <c r="Z1704" s="77"/>
      <c r="AA1704" s="77" t="s">
        <v>7448</v>
      </c>
      <c r="AB1704" s="77" t="s">
        <v>7742</v>
      </c>
      <c r="AC1704" s="82" t="s">
        <v>7750</v>
      </c>
      <c r="AD1704" s="77" t="s">
        <v>7788</v>
      </c>
      <c r="AE1704" s="80" t="str">
        <f>HYPERLINK("https://twitter.com/profitoclub/status/1702457202710319229")</f>
        <v>https://twitter.com/profitoclub/status/1702457202710319229</v>
      </c>
      <c r="AF1704" s="79">
        <v>45183.958344907405</v>
      </c>
      <c r="AG1704" s="85">
        <v>45183</v>
      </c>
      <c r="AH1704" s="82" t="s">
        <v>9241</v>
      </c>
      <c r="AI1704" s="77" t="b">
        <v>0</v>
      </c>
      <c r="AJ1704" s="77"/>
      <c r="AK1704" s="77"/>
      <c r="AL1704" s="77"/>
      <c r="AM1704" s="77"/>
      <c r="AN1704" s="77"/>
      <c r="AO1704" s="77"/>
      <c r="AP1704" s="77"/>
      <c r="AQ1704" s="77" t="s">
        <v>11420</v>
      </c>
      <c r="AR1704" s="77"/>
      <c r="AS1704" s="77"/>
      <c r="AT1704" s="77"/>
      <c r="AU1704" s="77"/>
      <c r="AV1704" s="80" t="str">
        <f>HYPERLINK("https://pbs.twimg.com/media/F5wrf3lXMAE_d86.jpg")</f>
        <v>https://pbs.twimg.com/media/F5wrf3lXMAE_d86.jpg</v>
      </c>
      <c r="AW1704" s="82" t="s">
        <v>13301</v>
      </c>
      <c r="AX1704" s="82" t="s">
        <v>13301</v>
      </c>
      <c r="AY1704" s="77"/>
      <c r="AZ1704" s="82" t="s">
        <v>15984</v>
      </c>
      <c r="BA1704" s="82" t="s">
        <v>15984</v>
      </c>
      <c r="BB1704" s="82" t="s">
        <v>15984</v>
      </c>
      <c r="BC1704" s="82" t="s">
        <v>13301</v>
      </c>
      <c r="BD1704" s="82" t="s">
        <v>16366</v>
      </c>
      <c r="BE1704" s="77"/>
      <c r="BF1704" s="77"/>
      <c r="BG1704" s="77"/>
      <c r="BH1704" s="77"/>
      <c r="BI1704" s="77"/>
    </row>
    <row r="1705" spans="1:61" x14ac:dyDescent="0.25">
      <c r="A1705" s="62" t="s">
        <v>678</v>
      </c>
      <c r="B1705" s="62" t="s">
        <v>678</v>
      </c>
      <c r="C1705" s="63"/>
      <c r="D1705" s="64"/>
      <c r="E1705" s="65"/>
      <c r="F1705" s="66"/>
      <c r="G1705" s="63"/>
      <c r="H1705" s="67"/>
      <c r="I1705" s="68"/>
      <c r="J1705" s="68"/>
      <c r="K1705" s="32"/>
      <c r="L1705" s="75">
        <v>1705</v>
      </c>
      <c r="M1705" s="75"/>
      <c r="N1705" s="70"/>
      <c r="O1705" s="77" t="s">
        <v>179</v>
      </c>
      <c r="P1705" s="79">
        <v>45191.500023148146</v>
      </c>
      <c r="Q1705" s="77" t="s">
        <v>2407</v>
      </c>
      <c r="R1705" s="77">
        <v>0</v>
      </c>
      <c r="S1705" s="77">
        <v>0</v>
      </c>
      <c r="T1705" s="77">
        <v>0</v>
      </c>
      <c r="U1705" s="77">
        <v>0</v>
      </c>
      <c r="V1705" s="77">
        <v>40</v>
      </c>
      <c r="W1705" s="82" t="s">
        <v>5690</v>
      </c>
      <c r="X1705" s="77"/>
      <c r="Y1705" s="77"/>
      <c r="Z1705" s="77"/>
      <c r="AA1705" s="77" t="s">
        <v>7449</v>
      </c>
      <c r="AB1705" s="77" t="s">
        <v>7742</v>
      </c>
      <c r="AC1705" s="82" t="s">
        <v>7750</v>
      </c>
      <c r="AD1705" s="77" t="s">
        <v>7788</v>
      </c>
      <c r="AE1705" s="80" t="str">
        <f>HYPERLINK("https://twitter.com/profitoclub/status/1705190213960745413")</f>
        <v>https://twitter.com/profitoclub/status/1705190213960745413</v>
      </c>
      <c r="AF1705" s="79">
        <v>45191.500023148146</v>
      </c>
      <c r="AG1705" s="85">
        <v>45191</v>
      </c>
      <c r="AH1705" s="82" t="s">
        <v>8525</v>
      </c>
      <c r="AI1705" s="77" t="b">
        <v>0</v>
      </c>
      <c r="AJ1705" s="77"/>
      <c r="AK1705" s="77"/>
      <c r="AL1705" s="77"/>
      <c r="AM1705" s="77"/>
      <c r="AN1705" s="77"/>
      <c r="AO1705" s="77"/>
      <c r="AP1705" s="77"/>
      <c r="AQ1705" s="77" t="s">
        <v>11421</v>
      </c>
      <c r="AR1705" s="77"/>
      <c r="AS1705" s="77"/>
      <c r="AT1705" s="77"/>
      <c r="AU1705" s="77"/>
      <c r="AV1705" s="80" t="str">
        <f>HYPERLINK("https://pbs.twimg.com/media/F6WJTjGXIAAj8z2.jpg")</f>
        <v>https://pbs.twimg.com/media/F6WJTjGXIAAj8z2.jpg</v>
      </c>
      <c r="AW1705" s="82" t="s">
        <v>13302</v>
      </c>
      <c r="AX1705" s="82" t="s">
        <v>13302</v>
      </c>
      <c r="AY1705" s="77"/>
      <c r="AZ1705" s="82" t="s">
        <v>15984</v>
      </c>
      <c r="BA1705" s="82" t="s">
        <v>15984</v>
      </c>
      <c r="BB1705" s="82" t="s">
        <v>15984</v>
      </c>
      <c r="BC1705" s="82" t="s">
        <v>13302</v>
      </c>
      <c r="BD1705" s="82" t="s">
        <v>16366</v>
      </c>
      <c r="BE1705" s="77"/>
      <c r="BF1705" s="77"/>
      <c r="BG1705" s="77"/>
      <c r="BH1705" s="77"/>
      <c r="BI1705" s="77"/>
    </row>
    <row r="1706" spans="1:61" x14ac:dyDescent="0.25">
      <c r="A1706" s="62" t="s">
        <v>678</v>
      </c>
      <c r="B1706" s="62" t="s">
        <v>678</v>
      </c>
      <c r="C1706" s="63"/>
      <c r="D1706" s="64"/>
      <c r="E1706" s="65"/>
      <c r="F1706" s="66"/>
      <c r="G1706" s="63"/>
      <c r="H1706" s="67"/>
      <c r="I1706" s="68"/>
      <c r="J1706" s="68"/>
      <c r="K1706" s="32"/>
      <c r="L1706" s="75">
        <v>1706</v>
      </c>
      <c r="M1706" s="75"/>
      <c r="N1706" s="70"/>
      <c r="O1706" s="77" t="s">
        <v>179</v>
      </c>
      <c r="P1706" s="79">
        <v>45190.500023148146</v>
      </c>
      <c r="Q1706" s="77" t="s">
        <v>2408</v>
      </c>
      <c r="R1706" s="77">
        <v>0</v>
      </c>
      <c r="S1706" s="77">
        <v>0</v>
      </c>
      <c r="T1706" s="77">
        <v>0</v>
      </c>
      <c r="U1706" s="77">
        <v>0</v>
      </c>
      <c r="V1706" s="77">
        <v>42</v>
      </c>
      <c r="W1706" s="82" t="s">
        <v>5691</v>
      </c>
      <c r="X1706" s="77"/>
      <c r="Y1706" s="77"/>
      <c r="Z1706" s="77"/>
      <c r="AA1706" s="77" t="s">
        <v>7450</v>
      </c>
      <c r="AB1706" s="77" t="s">
        <v>7742</v>
      </c>
      <c r="AC1706" s="82" t="s">
        <v>7750</v>
      </c>
      <c r="AD1706" s="77" t="s">
        <v>7788</v>
      </c>
      <c r="AE1706" s="80" t="str">
        <f>HYPERLINK("https://twitter.com/profitoclub/status/1704827824421642417")</f>
        <v>https://twitter.com/profitoclub/status/1704827824421642417</v>
      </c>
      <c r="AF1706" s="79">
        <v>45190.500023148146</v>
      </c>
      <c r="AG1706" s="85">
        <v>45190</v>
      </c>
      <c r="AH1706" s="82" t="s">
        <v>8525</v>
      </c>
      <c r="AI1706" s="77" t="b">
        <v>0</v>
      </c>
      <c r="AJ1706" s="77"/>
      <c r="AK1706" s="77"/>
      <c r="AL1706" s="77"/>
      <c r="AM1706" s="77"/>
      <c r="AN1706" s="77"/>
      <c r="AO1706" s="77"/>
      <c r="AP1706" s="77"/>
      <c r="AQ1706" s="77" t="s">
        <v>11422</v>
      </c>
      <c r="AR1706" s="77"/>
      <c r="AS1706" s="77"/>
      <c r="AT1706" s="77"/>
      <c r="AU1706" s="77"/>
      <c r="AV1706" s="80" t="str">
        <f>HYPERLINK("https://pbs.twimg.com/media/F6WGmfqXUAArqeX.jpg")</f>
        <v>https://pbs.twimg.com/media/F6WGmfqXUAArqeX.jpg</v>
      </c>
      <c r="AW1706" s="82" t="s">
        <v>13303</v>
      </c>
      <c r="AX1706" s="82" t="s">
        <v>13303</v>
      </c>
      <c r="AY1706" s="77"/>
      <c r="AZ1706" s="82" t="s">
        <v>15984</v>
      </c>
      <c r="BA1706" s="82" t="s">
        <v>15984</v>
      </c>
      <c r="BB1706" s="82" t="s">
        <v>15984</v>
      </c>
      <c r="BC1706" s="82" t="s">
        <v>13303</v>
      </c>
      <c r="BD1706" s="82" t="s">
        <v>16366</v>
      </c>
      <c r="BE1706" s="77"/>
      <c r="BF1706" s="77"/>
      <c r="BG1706" s="77"/>
      <c r="BH1706" s="77"/>
      <c r="BI1706" s="77"/>
    </row>
    <row r="1707" spans="1:61" x14ac:dyDescent="0.25">
      <c r="A1707" s="62" t="s">
        <v>678</v>
      </c>
      <c r="B1707" s="62" t="s">
        <v>678</v>
      </c>
      <c r="C1707" s="63"/>
      <c r="D1707" s="64"/>
      <c r="E1707" s="65"/>
      <c r="F1707" s="66"/>
      <c r="G1707" s="63"/>
      <c r="H1707" s="67"/>
      <c r="I1707" s="68"/>
      <c r="J1707" s="68"/>
      <c r="K1707" s="32"/>
      <c r="L1707" s="75">
        <v>1707</v>
      </c>
      <c r="M1707" s="75"/>
      <c r="N1707" s="70"/>
      <c r="O1707" s="77" t="s">
        <v>179</v>
      </c>
      <c r="P1707" s="79">
        <v>45194.635810185187</v>
      </c>
      <c r="Q1707" s="77" t="s">
        <v>2409</v>
      </c>
      <c r="R1707" s="77">
        <v>0</v>
      </c>
      <c r="S1707" s="77">
        <v>1</v>
      </c>
      <c r="T1707" s="77">
        <v>1</v>
      </c>
      <c r="U1707" s="77">
        <v>0</v>
      </c>
      <c r="V1707" s="77">
        <v>41</v>
      </c>
      <c r="W1707" s="82" t="s">
        <v>5692</v>
      </c>
      <c r="X1707" s="80" t="str">
        <f>HYPERLINK("https://whatsapp.com/channel/0029Va9CIbxKmCPLubrh3f0D")</f>
        <v>https://whatsapp.com/channel/0029Va9CIbxKmCPLubrh3f0D</v>
      </c>
      <c r="Y1707" s="77" t="s">
        <v>6549</v>
      </c>
      <c r="Z1707" s="77"/>
      <c r="AA1707" s="77"/>
      <c r="AB1707" s="77"/>
      <c r="AC1707" s="82" t="s">
        <v>7750</v>
      </c>
      <c r="AD1707" s="77" t="s">
        <v>7788</v>
      </c>
      <c r="AE1707" s="80" t="str">
        <f>HYPERLINK("https://twitter.com/profitoclub/status/1706326584011976974")</f>
        <v>https://twitter.com/profitoclub/status/1706326584011976974</v>
      </c>
      <c r="AF1707" s="79">
        <v>45194.635810185187</v>
      </c>
      <c r="AG1707" s="85">
        <v>45194</v>
      </c>
      <c r="AH1707" s="82" t="s">
        <v>9242</v>
      </c>
      <c r="AI1707" s="77" t="b">
        <v>0</v>
      </c>
      <c r="AJ1707" s="77"/>
      <c r="AK1707" s="77"/>
      <c r="AL1707" s="77"/>
      <c r="AM1707" s="77"/>
      <c r="AN1707" s="77"/>
      <c r="AO1707" s="77"/>
      <c r="AP1707" s="77"/>
      <c r="AQ1707" s="77"/>
      <c r="AR1707" s="77"/>
      <c r="AS1707" s="77"/>
      <c r="AT1707" s="77"/>
      <c r="AU1707" s="77"/>
      <c r="AV1707" s="80" t="str">
        <f>HYPERLINK("https://pbs.twimg.com/profile_images/1368503144053891072/kELfbxiS_normal.jpg")</f>
        <v>https://pbs.twimg.com/profile_images/1368503144053891072/kELfbxiS_normal.jpg</v>
      </c>
      <c r="AW1707" s="82" t="s">
        <v>13304</v>
      </c>
      <c r="AX1707" s="82" t="s">
        <v>13304</v>
      </c>
      <c r="AY1707" s="77"/>
      <c r="AZ1707" s="82" t="s">
        <v>15984</v>
      </c>
      <c r="BA1707" s="82" t="s">
        <v>15984</v>
      </c>
      <c r="BB1707" s="82" t="s">
        <v>15984</v>
      </c>
      <c r="BC1707" s="82" t="s">
        <v>13304</v>
      </c>
      <c r="BD1707" s="82" t="s">
        <v>16366</v>
      </c>
      <c r="BE1707" s="77"/>
      <c r="BF1707" s="77"/>
      <c r="BG1707" s="77"/>
      <c r="BH1707" s="77"/>
      <c r="BI1707" s="77"/>
    </row>
    <row r="1708" spans="1:61" x14ac:dyDescent="0.25">
      <c r="A1708" s="62" t="s">
        <v>679</v>
      </c>
      <c r="B1708" s="62" t="s">
        <v>679</v>
      </c>
      <c r="C1708" s="63"/>
      <c r="D1708" s="64"/>
      <c r="E1708" s="65"/>
      <c r="F1708" s="66"/>
      <c r="G1708" s="63"/>
      <c r="H1708" s="67"/>
      <c r="I1708" s="68"/>
      <c r="J1708" s="68"/>
      <c r="K1708" s="32"/>
      <c r="L1708" s="75">
        <v>1708</v>
      </c>
      <c r="M1708" s="75"/>
      <c r="N1708" s="70"/>
      <c r="O1708" s="77" t="s">
        <v>179</v>
      </c>
      <c r="P1708" s="79">
        <v>45192.795486111114</v>
      </c>
      <c r="Q1708" s="77" t="s">
        <v>2410</v>
      </c>
      <c r="R1708" s="77">
        <v>0</v>
      </c>
      <c r="S1708" s="77">
        <v>0</v>
      </c>
      <c r="T1708" s="77">
        <v>0</v>
      </c>
      <c r="U1708" s="77">
        <v>0</v>
      </c>
      <c r="V1708" s="77">
        <v>12</v>
      </c>
      <c r="W1708" s="82" t="s">
        <v>5693</v>
      </c>
      <c r="X1708" s="80" t="str">
        <f>HYPERLINK("https://wa.link/809xqz")</f>
        <v>https://wa.link/809xqz</v>
      </c>
      <c r="Y1708" s="77" t="s">
        <v>6550</v>
      </c>
      <c r="Z1708" s="77"/>
      <c r="AA1708" s="77" t="s">
        <v>7451</v>
      </c>
      <c r="AB1708" s="77" t="s">
        <v>7742</v>
      </c>
      <c r="AC1708" s="82" t="s">
        <v>7750</v>
      </c>
      <c r="AD1708" s="77" t="s">
        <v>7790</v>
      </c>
      <c r="AE1708" s="80" t="str">
        <f>HYPERLINK("https://twitter.com/infox_educa/status/1705659675146874942")</f>
        <v>https://twitter.com/infox_educa/status/1705659675146874942</v>
      </c>
      <c r="AF1708" s="79">
        <v>45192.795486111114</v>
      </c>
      <c r="AG1708" s="85">
        <v>45192</v>
      </c>
      <c r="AH1708" s="82" t="s">
        <v>9243</v>
      </c>
      <c r="AI1708" s="77" t="b">
        <v>0</v>
      </c>
      <c r="AJ1708" s="77"/>
      <c r="AK1708" s="77"/>
      <c r="AL1708" s="77"/>
      <c r="AM1708" s="77"/>
      <c r="AN1708" s="77"/>
      <c r="AO1708" s="77"/>
      <c r="AP1708" s="77"/>
      <c r="AQ1708" s="77" t="s">
        <v>11423</v>
      </c>
      <c r="AR1708" s="77"/>
      <c r="AS1708" s="77"/>
      <c r="AT1708" s="77"/>
      <c r="AU1708" s="77"/>
      <c r="AV1708" s="80" t="str">
        <f>HYPERLINK("https://pbs.twimg.com/media/F6u4WVlXEAA-lxj.jpg")</f>
        <v>https://pbs.twimg.com/media/F6u4WVlXEAA-lxj.jpg</v>
      </c>
      <c r="AW1708" s="82" t="s">
        <v>13305</v>
      </c>
      <c r="AX1708" s="82" t="s">
        <v>13305</v>
      </c>
      <c r="AY1708" s="77"/>
      <c r="AZ1708" s="82" t="s">
        <v>15984</v>
      </c>
      <c r="BA1708" s="82" t="s">
        <v>15984</v>
      </c>
      <c r="BB1708" s="82" t="s">
        <v>15984</v>
      </c>
      <c r="BC1708" s="82" t="s">
        <v>13305</v>
      </c>
      <c r="BD1708" s="82" t="s">
        <v>16367</v>
      </c>
      <c r="BE1708" s="77"/>
      <c r="BF1708" s="77"/>
      <c r="BG1708" s="77"/>
      <c r="BH1708" s="77"/>
      <c r="BI1708" s="77"/>
    </row>
    <row r="1709" spans="1:61" x14ac:dyDescent="0.25">
      <c r="A1709" s="62" t="s">
        <v>680</v>
      </c>
      <c r="B1709" s="62" t="s">
        <v>614</v>
      </c>
      <c r="C1709" s="63"/>
      <c r="D1709" s="64"/>
      <c r="E1709" s="65"/>
      <c r="F1709" s="66"/>
      <c r="G1709" s="63"/>
      <c r="H1709" s="67"/>
      <c r="I1709" s="68"/>
      <c r="J1709" s="68"/>
      <c r="K1709" s="32"/>
      <c r="L1709" s="75">
        <v>1709</v>
      </c>
      <c r="M1709" s="75"/>
      <c r="N1709" s="70"/>
      <c r="O1709" s="77" t="s">
        <v>897</v>
      </c>
      <c r="P1709" s="79">
        <v>45190.08053240741</v>
      </c>
      <c r="Q1709" s="77" t="s">
        <v>1569</v>
      </c>
      <c r="R1709" s="77">
        <v>4</v>
      </c>
      <c r="S1709" s="77">
        <v>0</v>
      </c>
      <c r="T1709" s="77">
        <v>0</v>
      </c>
      <c r="U1709" s="77">
        <v>0</v>
      </c>
      <c r="V1709" s="77"/>
      <c r="W1709" s="82" t="s">
        <v>4821</v>
      </c>
      <c r="X1709" s="77"/>
      <c r="Y1709" s="77"/>
      <c r="Z1709" s="77" t="s">
        <v>614</v>
      </c>
      <c r="AA1709" s="77"/>
      <c r="AB1709" s="77"/>
      <c r="AC1709" s="82" t="s">
        <v>7751</v>
      </c>
      <c r="AD1709" s="77" t="s">
        <v>7790</v>
      </c>
      <c r="AE1709" s="80" t="str">
        <f>HYPERLINK("https://twitter.com/ivanrondon05/status/1704675808311173292")</f>
        <v>https://twitter.com/ivanrondon05/status/1704675808311173292</v>
      </c>
      <c r="AF1709" s="79">
        <v>45190.08053240741</v>
      </c>
      <c r="AG1709" s="85">
        <v>45190</v>
      </c>
      <c r="AH1709" s="82" t="s">
        <v>9244</v>
      </c>
      <c r="AI1709" s="77"/>
      <c r="AJ1709" s="77"/>
      <c r="AK1709" s="77"/>
      <c r="AL1709" s="77"/>
      <c r="AM1709" s="77"/>
      <c r="AN1709" s="77"/>
      <c r="AO1709" s="77"/>
      <c r="AP1709" s="77"/>
      <c r="AQ1709" s="77"/>
      <c r="AR1709" s="77"/>
      <c r="AS1709" s="77"/>
      <c r="AT1709" s="77"/>
      <c r="AU1709" s="77"/>
      <c r="AV1709" s="80" t="str">
        <f>HYPERLINK("https://pbs.twimg.com/profile_images/436547001916739584/AmRs-G0M_normal.jpeg")</f>
        <v>https://pbs.twimg.com/profile_images/436547001916739584/AmRs-G0M_normal.jpeg</v>
      </c>
      <c r="AW1709" s="82" t="s">
        <v>13306</v>
      </c>
      <c r="AX1709" s="82" t="s">
        <v>13306</v>
      </c>
      <c r="AY1709" s="77"/>
      <c r="AZ1709" s="82" t="s">
        <v>15984</v>
      </c>
      <c r="BA1709" s="82" t="s">
        <v>15984</v>
      </c>
      <c r="BB1709" s="82" t="s">
        <v>15301</v>
      </c>
      <c r="BC1709" s="82" t="s">
        <v>15301</v>
      </c>
      <c r="BD1709" s="77">
        <v>370134254</v>
      </c>
      <c r="BE1709" s="77"/>
      <c r="BF1709" s="77"/>
      <c r="BG1709" s="77"/>
      <c r="BH1709" s="77"/>
      <c r="BI1709" s="77"/>
    </row>
    <row r="1710" spans="1:61" x14ac:dyDescent="0.25">
      <c r="A1710" s="62" t="s">
        <v>681</v>
      </c>
      <c r="B1710" s="62" t="s">
        <v>681</v>
      </c>
      <c r="C1710" s="63"/>
      <c r="D1710" s="64"/>
      <c r="E1710" s="65"/>
      <c r="F1710" s="66"/>
      <c r="G1710" s="63"/>
      <c r="H1710" s="67"/>
      <c r="I1710" s="68"/>
      <c r="J1710" s="68"/>
      <c r="K1710" s="32"/>
      <c r="L1710" s="75">
        <v>1710</v>
      </c>
      <c r="M1710" s="75"/>
      <c r="N1710" s="70"/>
      <c r="O1710" s="77" t="s">
        <v>179</v>
      </c>
      <c r="P1710" s="79">
        <v>45117.869976851849</v>
      </c>
      <c r="Q1710" s="77" t="s">
        <v>2411</v>
      </c>
      <c r="R1710" s="77">
        <v>0</v>
      </c>
      <c r="S1710" s="77">
        <v>0</v>
      </c>
      <c r="T1710" s="77">
        <v>0</v>
      </c>
      <c r="U1710" s="77">
        <v>0</v>
      </c>
      <c r="V1710" s="77">
        <v>54</v>
      </c>
      <c r="W1710" s="82" t="s">
        <v>5694</v>
      </c>
      <c r="X1710" s="80" t="str">
        <f>HYPERLINK("https://youtu.be/1xiTHWXrx1A")</f>
        <v>https://youtu.be/1xiTHWXrx1A</v>
      </c>
      <c r="Y1710" s="77" t="s">
        <v>6472</v>
      </c>
      <c r="Z1710" s="77"/>
      <c r="AA1710" s="77"/>
      <c r="AB1710" s="77"/>
      <c r="AC1710" s="82" t="s">
        <v>7750</v>
      </c>
      <c r="AD1710" s="77" t="s">
        <v>7788</v>
      </c>
      <c r="AE1710" s="80" t="str">
        <f>HYPERLINK("https://twitter.com/branco_elton/status/1678507577003458560")</f>
        <v>https://twitter.com/branco_elton/status/1678507577003458560</v>
      </c>
      <c r="AF1710" s="79">
        <v>45117.869976851849</v>
      </c>
      <c r="AG1710" s="85">
        <v>45117</v>
      </c>
      <c r="AH1710" s="82" t="s">
        <v>9245</v>
      </c>
      <c r="AI1710" s="77" t="b">
        <v>0</v>
      </c>
      <c r="AJ1710" s="77"/>
      <c r="AK1710" s="77"/>
      <c r="AL1710" s="77"/>
      <c r="AM1710" s="77"/>
      <c r="AN1710" s="77"/>
      <c r="AO1710" s="77"/>
      <c r="AP1710" s="77"/>
      <c r="AQ1710" s="77"/>
      <c r="AR1710" s="77"/>
      <c r="AS1710" s="77"/>
      <c r="AT1710" s="77"/>
      <c r="AU1710" s="77"/>
      <c r="AV1710" s="80" t="str">
        <f>HYPERLINK("https://pbs.twimg.com/profile_images/1405355728504823816/F8w7-veZ_normal.jpg")</f>
        <v>https://pbs.twimg.com/profile_images/1405355728504823816/F8w7-veZ_normal.jpg</v>
      </c>
      <c r="AW1710" s="82" t="s">
        <v>13307</v>
      </c>
      <c r="AX1710" s="82" t="s">
        <v>13307</v>
      </c>
      <c r="AY1710" s="77"/>
      <c r="AZ1710" s="82" t="s">
        <v>15984</v>
      </c>
      <c r="BA1710" s="82" t="s">
        <v>15984</v>
      </c>
      <c r="BB1710" s="82" t="s">
        <v>15984</v>
      </c>
      <c r="BC1710" s="82" t="s">
        <v>13307</v>
      </c>
      <c r="BD1710" s="82" t="s">
        <v>16368</v>
      </c>
      <c r="BE1710" s="77"/>
      <c r="BF1710" s="77"/>
      <c r="BG1710" s="77"/>
      <c r="BH1710" s="77"/>
      <c r="BI1710" s="77"/>
    </row>
    <row r="1711" spans="1:61" x14ac:dyDescent="0.25">
      <c r="A1711" s="62" t="s">
        <v>682</v>
      </c>
      <c r="B1711" s="62" t="s">
        <v>682</v>
      </c>
      <c r="C1711" s="63"/>
      <c r="D1711" s="64"/>
      <c r="E1711" s="65"/>
      <c r="F1711" s="66"/>
      <c r="G1711" s="63"/>
      <c r="H1711" s="67"/>
      <c r="I1711" s="68"/>
      <c r="J1711" s="68"/>
      <c r="K1711" s="32"/>
      <c r="L1711" s="75">
        <v>1711</v>
      </c>
      <c r="M1711" s="75"/>
      <c r="N1711" s="70"/>
      <c r="O1711" s="77" t="s">
        <v>179</v>
      </c>
      <c r="P1711" s="79">
        <v>45185.596666666665</v>
      </c>
      <c r="Q1711" s="77" t="s">
        <v>2412</v>
      </c>
      <c r="R1711" s="77">
        <v>0</v>
      </c>
      <c r="S1711" s="77">
        <v>3</v>
      </c>
      <c r="T1711" s="77">
        <v>1</v>
      </c>
      <c r="U1711" s="77">
        <v>0</v>
      </c>
      <c r="V1711" s="77">
        <v>1300</v>
      </c>
      <c r="W1711" s="82" t="s">
        <v>5695</v>
      </c>
      <c r="X1711" s="80" t="str">
        <f>HYPERLINK("https://www.moneytimes.com.br/nova-pagadora-de-dividendos-na-area-veja-os-destaques-em-comprar-ou-vender/?ttmt")</f>
        <v>https://www.moneytimes.com.br/nova-pagadora-de-dividendos-na-area-veja-os-destaques-em-comprar-ou-vender/?ttmt</v>
      </c>
      <c r="Y1711" s="77" t="s">
        <v>6470</v>
      </c>
      <c r="Z1711" s="77"/>
      <c r="AA1711" s="77"/>
      <c r="AB1711" s="77"/>
      <c r="AC1711" s="82" t="s">
        <v>7750</v>
      </c>
      <c r="AD1711" s="77" t="s">
        <v>7788</v>
      </c>
      <c r="AE1711" s="80" t="str">
        <f>HYPERLINK("https://twitter.com/leiamoneytimes/status/1703050908383281296")</f>
        <v>https://twitter.com/leiamoneytimes/status/1703050908383281296</v>
      </c>
      <c r="AF1711" s="79">
        <v>45185.596666666665</v>
      </c>
      <c r="AG1711" s="85">
        <v>45185</v>
      </c>
      <c r="AH1711" s="82" t="s">
        <v>9246</v>
      </c>
      <c r="AI1711" s="77" t="b">
        <v>0</v>
      </c>
      <c r="AJ1711" s="77"/>
      <c r="AK1711" s="77"/>
      <c r="AL1711" s="77"/>
      <c r="AM1711" s="77"/>
      <c r="AN1711" s="77"/>
      <c r="AO1711" s="77"/>
      <c r="AP1711" s="77"/>
      <c r="AQ1711" s="77"/>
      <c r="AR1711" s="77"/>
      <c r="AS1711" s="77"/>
      <c r="AT1711" s="77"/>
      <c r="AU1711" s="77"/>
      <c r="AV1711" s="80" t="str">
        <f>HYPERLINK("https://pbs.twimg.com/profile_images/1559883556846977024/bXHnQFY0_normal.jpg")</f>
        <v>https://pbs.twimg.com/profile_images/1559883556846977024/bXHnQFY0_normal.jpg</v>
      </c>
      <c r="AW1711" s="82" t="s">
        <v>13308</v>
      </c>
      <c r="AX1711" s="82" t="s">
        <v>13308</v>
      </c>
      <c r="AY1711" s="77"/>
      <c r="AZ1711" s="82" t="s">
        <v>15984</v>
      </c>
      <c r="BA1711" s="82" t="s">
        <v>15984</v>
      </c>
      <c r="BB1711" s="82" t="s">
        <v>15984</v>
      </c>
      <c r="BC1711" s="82" t="s">
        <v>13308</v>
      </c>
      <c r="BD1711" s="77">
        <v>51150679</v>
      </c>
      <c r="BE1711" s="77"/>
      <c r="BF1711" s="77"/>
      <c r="BG1711" s="77"/>
      <c r="BH1711" s="77"/>
      <c r="BI1711" s="77"/>
    </row>
    <row r="1712" spans="1:61" x14ac:dyDescent="0.25">
      <c r="A1712" s="62" t="s">
        <v>682</v>
      </c>
      <c r="B1712" s="62" t="s">
        <v>682</v>
      </c>
      <c r="C1712" s="63"/>
      <c r="D1712" s="64"/>
      <c r="E1712" s="65"/>
      <c r="F1712" s="66"/>
      <c r="G1712" s="63"/>
      <c r="H1712" s="67"/>
      <c r="I1712" s="68"/>
      <c r="J1712" s="68"/>
      <c r="K1712" s="32"/>
      <c r="L1712" s="75">
        <v>1712</v>
      </c>
      <c r="M1712" s="75"/>
      <c r="N1712" s="70"/>
      <c r="O1712" s="77" t="s">
        <v>179</v>
      </c>
      <c r="P1712" s="79">
        <v>45185.572708333333</v>
      </c>
      <c r="Q1712" s="77" t="s">
        <v>2413</v>
      </c>
      <c r="R1712" s="77">
        <v>0</v>
      </c>
      <c r="S1712" s="77">
        <v>13</v>
      </c>
      <c r="T1712" s="77">
        <v>1</v>
      </c>
      <c r="U1712" s="77">
        <v>1</v>
      </c>
      <c r="V1712" s="77">
        <v>2899</v>
      </c>
      <c r="W1712" s="82" t="s">
        <v>5696</v>
      </c>
      <c r="X1712" s="80" t="str">
        <f>HYPERLINK("https://www.moneytimes.com.br/muitos-imoveis-em-construcao-e-apartamentos-de-milhoes-por-que-sp-tem-mercado-tao-aquecido/?ttmt")</f>
        <v>https://www.moneytimes.com.br/muitos-imoveis-em-construcao-e-apartamentos-de-milhoes-por-que-sp-tem-mercado-tao-aquecido/?ttmt</v>
      </c>
      <c r="Y1712" s="77" t="s">
        <v>6470</v>
      </c>
      <c r="Z1712" s="77"/>
      <c r="AA1712" s="77"/>
      <c r="AB1712" s="77"/>
      <c r="AC1712" s="82" t="s">
        <v>7750</v>
      </c>
      <c r="AD1712" s="77" t="s">
        <v>7788</v>
      </c>
      <c r="AE1712" s="80" t="str">
        <f>HYPERLINK("https://twitter.com/leiamoneytimes/status/1703042226043883547")</f>
        <v>https://twitter.com/leiamoneytimes/status/1703042226043883547</v>
      </c>
      <c r="AF1712" s="79">
        <v>45185.572708333333</v>
      </c>
      <c r="AG1712" s="85">
        <v>45185</v>
      </c>
      <c r="AH1712" s="82" t="s">
        <v>9247</v>
      </c>
      <c r="AI1712" s="77" t="b">
        <v>0</v>
      </c>
      <c r="AJ1712" s="77"/>
      <c r="AK1712" s="77"/>
      <c r="AL1712" s="77"/>
      <c r="AM1712" s="77"/>
      <c r="AN1712" s="77"/>
      <c r="AO1712" s="77"/>
      <c r="AP1712" s="77"/>
      <c r="AQ1712" s="77"/>
      <c r="AR1712" s="77"/>
      <c r="AS1712" s="77"/>
      <c r="AT1712" s="77"/>
      <c r="AU1712" s="77"/>
      <c r="AV1712" s="80" t="str">
        <f>HYPERLINK("https://pbs.twimg.com/profile_images/1559883556846977024/bXHnQFY0_normal.jpg")</f>
        <v>https://pbs.twimg.com/profile_images/1559883556846977024/bXHnQFY0_normal.jpg</v>
      </c>
      <c r="AW1712" s="82" t="s">
        <v>13309</v>
      </c>
      <c r="AX1712" s="82" t="s">
        <v>13309</v>
      </c>
      <c r="AY1712" s="77"/>
      <c r="AZ1712" s="82" t="s">
        <v>15984</v>
      </c>
      <c r="BA1712" s="82" t="s">
        <v>15984</v>
      </c>
      <c r="BB1712" s="82" t="s">
        <v>15984</v>
      </c>
      <c r="BC1712" s="82" t="s">
        <v>13309</v>
      </c>
      <c r="BD1712" s="77">
        <v>51150679</v>
      </c>
      <c r="BE1712" s="77"/>
      <c r="BF1712" s="77"/>
      <c r="BG1712" s="77"/>
      <c r="BH1712" s="77"/>
      <c r="BI1712" s="77"/>
    </row>
    <row r="1713" spans="1:61" x14ac:dyDescent="0.25">
      <c r="A1713" s="62" t="s">
        <v>682</v>
      </c>
      <c r="B1713" s="62" t="s">
        <v>682</v>
      </c>
      <c r="C1713" s="63"/>
      <c r="D1713" s="64"/>
      <c r="E1713" s="65"/>
      <c r="F1713" s="66"/>
      <c r="G1713" s="63"/>
      <c r="H1713" s="67"/>
      <c r="I1713" s="68"/>
      <c r="J1713" s="68"/>
      <c r="K1713" s="32"/>
      <c r="L1713" s="75">
        <v>1713</v>
      </c>
      <c r="M1713" s="75"/>
      <c r="N1713" s="70"/>
      <c r="O1713" s="77" t="s">
        <v>179</v>
      </c>
      <c r="P1713" s="79">
        <v>45187.749479166669</v>
      </c>
      <c r="Q1713" s="77" t="s">
        <v>2414</v>
      </c>
      <c r="R1713" s="77">
        <v>0</v>
      </c>
      <c r="S1713" s="77">
        <v>2</v>
      </c>
      <c r="T1713" s="77">
        <v>0</v>
      </c>
      <c r="U1713" s="77">
        <v>0</v>
      </c>
      <c r="V1713" s="77">
        <v>835</v>
      </c>
      <c r="W1713" s="82" t="s">
        <v>5697</v>
      </c>
      <c r="X1713" s="80" t="str">
        <f>HYPERLINK("https://www.moneytimes.com.br/suzano-suzb3-swing-trade-acao-do-agro-geradora-de-bilionarios-pode-subir-de-110-a-716-em-breve/?ttmt")</f>
        <v>https://www.moneytimes.com.br/suzano-suzb3-swing-trade-acao-do-agro-geradora-de-bilionarios-pode-subir-de-110-a-716-em-breve/?ttmt</v>
      </c>
      <c r="Y1713" s="77" t="s">
        <v>6470</v>
      </c>
      <c r="Z1713" s="77"/>
      <c r="AA1713" s="77"/>
      <c r="AB1713" s="77"/>
      <c r="AC1713" s="82" t="s">
        <v>7750</v>
      </c>
      <c r="AD1713" s="77" t="s">
        <v>7788</v>
      </c>
      <c r="AE1713" s="80" t="str">
        <f>HYPERLINK("https://twitter.com/leiamoneytimes/status/1703831060679700533")</f>
        <v>https://twitter.com/leiamoneytimes/status/1703831060679700533</v>
      </c>
      <c r="AF1713" s="79">
        <v>45187.749479166669</v>
      </c>
      <c r="AG1713" s="85">
        <v>45187</v>
      </c>
      <c r="AH1713" s="82" t="s">
        <v>9248</v>
      </c>
      <c r="AI1713" s="77" t="b">
        <v>0</v>
      </c>
      <c r="AJ1713" s="77"/>
      <c r="AK1713" s="77"/>
      <c r="AL1713" s="77"/>
      <c r="AM1713" s="77"/>
      <c r="AN1713" s="77"/>
      <c r="AO1713" s="77"/>
      <c r="AP1713" s="77"/>
      <c r="AQ1713" s="77"/>
      <c r="AR1713" s="77"/>
      <c r="AS1713" s="77"/>
      <c r="AT1713" s="77"/>
      <c r="AU1713" s="77"/>
      <c r="AV1713" s="80" t="str">
        <f>HYPERLINK("https://pbs.twimg.com/profile_images/1559883556846977024/bXHnQFY0_normal.jpg")</f>
        <v>https://pbs.twimg.com/profile_images/1559883556846977024/bXHnQFY0_normal.jpg</v>
      </c>
      <c r="AW1713" s="82" t="s">
        <v>13310</v>
      </c>
      <c r="AX1713" s="82" t="s">
        <v>13310</v>
      </c>
      <c r="AY1713" s="77"/>
      <c r="AZ1713" s="82" t="s">
        <v>15984</v>
      </c>
      <c r="BA1713" s="82" t="s">
        <v>15984</v>
      </c>
      <c r="BB1713" s="82" t="s">
        <v>15984</v>
      </c>
      <c r="BC1713" s="82" t="s">
        <v>13310</v>
      </c>
      <c r="BD1713" s="77">
        <v>51150679</v>
      </c>
      <c r="BE1713" s="77"/>
      <c r="BF1713" s="77"/>
      <c r="BG1713" s="77"/>
      <c r="BH1713" s="77"/>
      <c r="BI1713" s="77"/>
    </row>
    <row r="1714" spans="1:61" x14ac:dyDescent="0.25">
      <c r="A1714" s="62" t="s">
        <v>682</v>
      </c>
      <c r="B1714" s="62" t="s">
        <v>682</v>
      </c>
      <c r="C1714" s="63"/>
      <c r="D1714" s="64"/>
      <c r="E1714" s="65"/>
      <c r="F1714" s="66"/>
      <c r="G1714" s="63"/>
      <c r="H1714" s="67"/>
      <c r="I1714" s="68"/>
      <c r="J1714" s="68"/>
      <c r="K1714" s="32"/>
      <c r="L1714" s="75">
        <v>1714</v>
      </c>
      <c r="M1714" s="75"/>
      <c r="N1714" s="70"/>
      <c r="O1714" s="77" t="s">
        <v>179</v>
      </c>
      <c r="P1714" s="79">
        <v>45185.630173611113</v>
      </c>
      <c r="Q1714" s="77" t="s">
        <v>2415</v>
      </c>
      <c r="R1714" s="77">
        <v>0</v>
      </c>
      <c r="S1714" s="77">
        <v>6</v>
      </c>
      <c r="T1714" s="77">
        <v>0</v>
      </c>
      <c r="U1714" s="77">
        <v>0</v>
      </c>
      <c r="V1714" s="77">
        <v>1239</v>
      </c>
      <c r="W1714" s="82" t="s">
        <v>5698</v>
      </c>
      <c r="X1714" s="80" t="str">
        <f>HYPERLINK("https://www.moneytimes.com.br/carteira-semanal-nenhuma-acao-sobrevive-a-atualizacao-do-bb-veja-as-5-novas-recomendacoes/?ttmt")</f>
        <v>https://www.moneytimes.com.br/carteira-semanal-nenhuma-acao-sobrevive-a-atualizacao-do-bb-veja-as-5-novas-recomendacoes/?ttmt</v>
      </c>
      <c r="Y1714" s="77" t="s">
        <v>6470</v>
      </c>
      <c r="Z1714" s="77"/>
      <c r="AA1714" s="77"/>
      <c r="AB1714" s="77"/>
      <c r="AC1714" s="82" t="s">
        <v>7750</v>
      </c>
      <c r="AD1714" s="77" t="s">
        <v>7788</v>
      </c>
      <c r="AE1714" s="80" t="str">
        <f>HYPERLINK("https://twitter.com/leiamoneytimes/status/1703063053137289218")</f>
        <v>https://twitter.com/leiamoneytimes/status/1703063053137289218</v>
      </c>
      <c r="AF1714" s="79">
        <v>45185.630173611113</v>
      </c>
      <c r="AG1714" s="85">
        <v>45185</v>
      </c>
      <c r="AH1714" s="82" t="s">
        <v>9249</v>
      </c>
      <c r="AI1714" s="77" t="b">
        <v>0</v>
      </c>
      <c r="AJ1714" s="77"/>
      <c r="AK1714" s="77"/>
      <c r="AL1714" s="77"/>
      <c r="AM1714" s="77"/>
      <c r="AN1714" s="77"/>
      <c r="AO1714" s="77"/>
      <c r="AP1714" s="77"/>
      <c r="AQ1714" s="77"/>
      <c r="AR1714" s="77"/>
      <c r="AS1714" s="77"/>
      <c r="AT1714" s="77"/>
      <c r="AU1714" s="77"/>
      <c r="AV1714" s="80" t="str">
        <f>HYPERLINK("https://pbs.twimg.com/profile_images/1559883556846977024/bXHnQFY0_normal.jpg")</f>
        <v>https://pbs.twimg.com/profile_images/1559883556846977024/bXHnQFY0_normal.jpg</v>
      </c>
      <c r="AW1714" s="82" t="s">
        <v>13311</v>
      </c>
      <c r="AX1714" s="82" t="s">
        <v>13311</v>
      </c>
      <c r="AY1714" s="77"/>
      <c r="AZ1714" s="82" t="s">
        <v>15984</v>
      </c>
      <c r="BA1714" s="82" t="s">
        <v>15984</v>
      </c>
      <c r="BB1714" s="82" t="s">
        <v>15984</v>
      </c>
      <c r="BC1714" s="82" t="s">
        <v>13311</v>
      </c>
      <c r="BD1714" s="77">
        <v>51150679</v>
      </c>
      <c r="BE1714" s="77"/>
      <c r="BF1714" s="77"/>
      <c r="BG1714" s="77"/>
      <c r="BH1714" s="77"/>
      <c r="BI1714" s="77"/>
    </row>
    <row r="1715" spans="1:61" x14ac:dyDescent="0.25">
      <c r="A1715" s="62" t="s">
        <v>682</v>
      </c>
      <c r="B1715" s="62" t="s">
        <v>682</v>
      </c>
      <c r="C1715" s="63"/>
      <c r="D1715" s="64"/>
      <c r="E1715" s="65"/>
      <c r="F1715" s="66"/>
      <c r="G1715" s="63"/>
      <c r="H1715" s="67"/>
      <c r="I1715" s="68"/>
      <c r="J1715" s="68"/>
      <c r="K1715" s="32"/>
      <c r="L1715" s="75">
        <v>1715</v>
      </c>
      <c r="M1715" s="75"/>
      <c r="N1715" s="70"/>
      <c r="O1715" s="77" t="s">
        <v>179</v>
      </c>
      <c r="P1715" s="79">
        <v>45184.979722222219</v>
      </c>
      <c r="Q1715" s="77" t="s">
        <v>2416</v>
      </c>
      <c r="R1715" s="77">
        <v>1</v>
      </c>
      <c r="S1715" s="77">
        <v>10</v>
      </c>
      <c r="T1715" s="77">
        <v>1</v>
      </c>
      <c r="U1715" s="77">
        <v>1</v>
      </c>
      <c r="V1715" s="77">
        <v>3020</v>
      </c>
      <c r="W1715" s="82" t="s">
        <v>5699</v>
      </c>
      <c r="X1715" s="80" t="str">
        <f>HYPERLINK("https://www.moneytimes.com.br/btg-esta-com-uma-nova-eletrica-favorita-entenda-o-potencial-da-acao/?ttmt")</f>
        <v>https://www.moneytimes.com.br/btg-esta-com-uma-nova-eletrica-favorita-entenda-o-potencial-da-acao/?ttmt</v>
      </c>
      <c r="Y1715" s="77" t="s">
        <v>6470</v>
      </c>
      <c r="Z1715" s="77"/>
      <c r="AA1715" s="77"/>
      <c r="AB1715" s="77"/>
      <c r="AC1715" s="82" t="s">
        <v>7750</v>
      </c>
      <c r="AD1715" s="77" t="s">
        <v>7788</v>
      </c>
      <c r="AE1715" s="80" t="str">
        <f>HYPERLINK("https://twitter.com/leiamoneytimes/status/1702827333650919918")</f>
        <v>https://twitter.com/leiamoneytimes/status/1702827333650919918</v>
      </c>
      <c r="AF1715" s="79">
        <v>45184.979722222219</v>
      </c>
      <c r="AG1715" s="85">
        <v>45184</v>
      </c>
      <c r="AH1715" s="82" t="s">
        <v>9250</v>
      </c>
      <c r="AI1715" s="77" t="b">
        <v>0</v>
      </c>
      <c r="AJ1715" s="77"/>
      <c r="AK1715" s="77"/>
      <c r="AL1715" s="77"/>
      <c r="AM1715" s="77"/>
      <c r="AN1715" s="77"/>
      <c r="AO1715" s="77"/>
      <c r="AP1715" s="77"/>
      <c r="AQ1715" s="77"/>
      <c r="AR1715" s="77"/>
      <c r="AS1715" s="77"/>
      <c r="AT1715" s="77"/>
      <c r="AU1715" s="77"/>
      <c r="AV1715" s="80" t="str">
        <f>HYPERLINK("https://pbs.twimg.com/profile_images/1559883556846977024/bXHnQFY0_normal.jpg")</f>
        <v>https://pbs.twimg.com/profile_images/1559883556846977024/bXHnQFY0_normal.jpg</v>
      </c>
      <c r="AW1715" s="82" t="s">
        <v>13312</v>
      </c>
      <c r="AX1715" s="82" t="s">
        <v>13312</v>
      </c>
      <c r="AY1715" s="77"/>
      <c r="AZ1715" s="82" t="s">
        <v>15984</v>
      </c>
      <c r="BA1715" s="82" t="s">
        <v>15984</v>
      </c>
      <c r="BB1715" s="82" t="s">
        <v>15984</v>
      </c>
      <c r="BC1715" s="82" t="s">
        <v>13312</v>
      </c>
      <c r="BD1715" s="77">
        <v>51150679</v>
      </c>
      <c r="BE1715" s="77"/>
      <c r="BF1715" s="77"/>
      <c r="BG1715" s="77"/>
      <c r="BH1715" s="77"/>
      <c r="BI1715" s="77"/>
    </row>
    <row r="1716" spans="1:61" x14ac:dyDescent="0.25">
      <c r="A1716" s="62" t="s">
        <v>682</v>
      </c>
      <c r="B1716" s="62" t="s">
        <v>682</v>
      </c>
      <c r="C1716" s="63"/>
      <c r="D1716" s="64"/>
      <c r="E1716" s="65"/>
      <c r="F1716" s="66"/>
      <c r="G1716" s="63"/>
      <c r="H1716" s="67"/>
      <c r="I1716" s="68"/>
      <c r="J1716" s="68"/>
      <c r="K1716" s="32"/>
      <c r="L1716" s="75">
        <v>1716</v>
      </c>
      <c r="M1716" s="75"/>
      <c r="N1716" s="70"/>
      <c r="O1716" s="77" t="s">
        <v>179</v>
      </c>
      <c r="P1716" s="79">
        <v>45187.806828703702</v>
      </c>
      <c r="Q1716" s="77" t="s">
        <v>2417</v>
      </c>
      <c r="R1716" s="77">
        <v>0</v>
      </c>
      <c r="S1716" s="77">
        <v>2</v>
      </c>
      <c r="T1716" s="77">
        <v>0</v>
      </c>
      <c r="U1716" s="77">
        <v>0</v>
      </c>
      <c r="V1716" s="77">
        <v>1201</v>
      </c>
      <c r="W1716" s="82" t="s">
        <v>5700</v>
      </c>
      <c r="X1716" s="80" t="str">
        <f>HYPERLINK("https://www.moneytimes.com.br/potencial-de-alta-de-45-com-posicoes-vendidas-em-nivel-recorde-acao-desta-varejista-vale-compra-defende-xp/?ttmt")</f>
        <v>https://www.moneytimes.com.br/potencial-de-alta-de-45-com-posicoes-vendidas-em-nivel-recorde-acao-desta-varejista-vale-compra-defende-xp/?ttmt</v>
      </c>
      <c r="Y1716" s="77" t="s">
        <v>6470</v>
      </c>
      <c r="Z1716" s="77"/>
      <c r="AA1716" s="77"/>
      <c r="AB1716" s="77"/>
      <c r="AC1716" s="82" t="s">
        <v>7750</v>
      </c>
      <c r="AD1716" s="77" t="s">
        <v>7788</v>
      </c>
      <c r="AE1716" s="80" t="str">
        <f>HYPERLINK("https://twitter.com/leiamoneytimes/status/1703851845972631728")</f>
        <v>https://twitter.com/leiamoneytimes/status/1703851845972631728</v>
      </c>
      <c r="AF1716" s="79">
        <v>45187.806828703702</v>
      </c>
      <c r="AG1716" s="85">
        <v>45187</v>
      </c>
      <c r="AH1716" s="82" t="s">
        <v>9251</v>
      </c>
      <c r="AI1716" s="77" t="b">
        <v>0</v>
      </c>
      <c r="AJ1716" s="77"/>
      <c r="AK1716" s="77"/>
      <c r="AL1716" s="77"/>
      <c r="AM1716" s="77"/>
      <c r="AN1716" s="77"/>
      <c r="AO1716" s="77"/>
      <c r="AP1716" s="77"/>
      <c r="AQ1716" s="77"/>
      <c r="AR1716" s="77"/>
      <c r="AS1716" s="77"/>
      <c r="AT1716" s="77"/>
      <c r="AU1716" s="77"/>
      <c r="AV1716" s="80" t="str">
        <f>HYPERLINK("https://pbs.twimg.com/profile_images/1559883556846977024/bXHnQFY0_normal.jpg")</f>
        <v>https://pbs.twimg.com/profile_images/1559883556846977024/bXHnQFY0_normal.jpg</v>
      </c>
      <c r="AW1716" s="82" t="s">
        <v>13313</v>
      </c>
      <c r="AX1716" s="82" t="s">
        <v>13313</v>
      </c>
      <c r="AY1716" s="77"/>
      <c r="AZ1716" s="82" t="s">
        <v>15984</v>
      </c>
      <c r="BA1716" s="82" t="s">
        <v>15984</v>
      </c>
      <c r="BB1716" s="82" t="s">
        <v>15984</v>
      </c>
      <c r="BC1716" s="82" t="s">
        <v>13313</v>
      </c>
      <c r="BD1716" s="77">
        <v>51150679</v>
      </c>
      <c r="BE1716" s="77"/>
      <c r="BF1716" s="77"/>
      <c r="BG1716" s="77"/>
      <c r="BH1716" s="77"/>
      <c r="BI1716" s="77"/>
    </row>
    <row r="1717" spans="1:61" x14ac:dyDescent="0.25">
      <c r="A1717" s="62" t="s">
        <v>682</v>
      </c>
      <c r="B1717" s="62" t="s">
        <v>682</v>
      </c>
      <c r="C1717" s="63"/>
      <c r="D1717" s="64"/>
      <c r="E1717" s="65"/>
      <c r="F1717" s="66"/>
      <c r="G1717" s="63"/>
      <c r="H1717" s="67"/>
      <c r="I1717" s="68"/>
      <c r="J1717" s="68"/>
      <c r="K1717" s="32"/>
      <c r="L1717" s="75">
        <v>1717</v>
      </c>
      <c r="M1717" s="75"/>
      <c r="N1717" s="70"/>
      <c r="O1717" s="77" t="s">
        <v>179</v>
      </c>
      <c r="P1717" s="79">
        <v>45184.86986111111</v>
      </c>
      <c r="Q1717" s="77" t="s">
        <v>2418</v>
      </c>
      <c r="R1717" s="77">
        <v>0</v>
      </c>
      <c r="S1717" s="77">
        <v>5</v>
      </c>
      <c r="T1717" s="77">
        <v>1</v>
      </c>
      <c r="U1717" s="77">
        <v>0</v>
      </c>
      <c r="V1717" s="77">
        <v>1388</v>
      </c>
      <c r="W1717" s="82" t="s">
        <v>5701</v>
      </c>
      <c r="X1717" s="80" t="str">
        <f>HYPERLINK("https://www.moneytimes.com.br/copasa-csmg3-aprova-bolada-em-jcp-a-acionistas-confira-valor-e-datas/?ttmt")</f>
        <v>https://www.moneytimes.com.br/copasa-csmg3-aprova-bolada-em-jcp-a-acionistas-confira-valor-e-datas/?ttmt</v>
      </c>
      <c r="Y1717" s="77" t="s">
        <v>6470</v>
      </c>
      <c r="Z1717" s="77"/>
      <c r="AA1717" s="77"/>
      <c r="AB1717" s="77"/>
      <c r="AC1717" s="82" t="s">
        <v>7750</v>
      </c>
      <c r="AD1717" s="77" t="s">
        <v>7788</v>
      </c>
      <c r="AE1717" s="80" t="str">
        <f>HYPERLINK("https://twitter.com/leiamoneytimes/status/1702787524651856204")</f>
        <v>https://twitter.com/leiamoneytimes/status/1702787524651856204</v>
      </c>
      <c r="AF1717" s="79">
        <v>45184.86986111111</v>
      </c>
      <c r="AG1717" s="85">
        <v>45184</v>
      </c>
      <c r="AH1717" s="82" t="s">
        <v>8503</v>
      </c>
      <c r="AI1717" s="77" t="b">
        <v>0</v>
      </c>
      <c r="AJ1717" s="77"/>
      <c r="AK1717" s="77"/>
      <c r="AL1717" s="77"/>
      <c r="AM1717" s="77"/>
      <c r="AN1717" s="77"/>
      <c r="AO1717" s="77"/>
      <c r="AP1717" s="77"/>
      <c r="AQ1717" s="77"/>
      <c r="AR1717" s="77"/>
      <c r="AS1717" s="77"/>
      <c r="AT1717" s="77"/>
      <c r="AU1717" s="77"/>
      <c r="AV1717" s="80" t="str">
        <f>HYPERLINK("https://pbs.twimg.com/profile_images/1559883556846977024/bXHnQFY0_normal.jpg")</f>
        <v>https://pbs.twimg.com/profile_images/1559883556846977024/bXHnQFY0_normal.jpg</v>
      </c>
      <c r="AW1717" s="82" t="s">
        <v>13314</v>
      </c>
      <c r="AX1717" s="82" t="s">
        <v>13314</v>
      </c>
      <c r="AY1717" s="77"/>
      <c r="AZ1717" s="82" t="s">
        <v>15984</v>
      </c>
      <c r="BA1717" s="82" t="s">
        <v>15984</v>
      </c>
      <c r="BB1717" s="82" t="s">
        <v>15984</v>
      </c>
      <c r="BC1717" s="82" t="s">
        <v>13314</v>
      </c>
      <c r="BD1717" s="77">
        <v>51150679</v>
      </c>
      <c r="BE1717" s="77"/>
      <c r="BF1717" s="77"/>
      <c r="BG1717" s="77"/>
      <c r="BH1717" s="77"/>
      <c r="BI1717" s="77"/>
    </row>
    <row r="1718" spans="1:61" x14ac:dyDescent="0.25">
      <c r="A1718" s="62" t="s">
        <v>682</v>
      </c>
      <c r="B1718" s="62" t="s">
        <v>682</v>
      </c>
      <c r="C1718" s="63"/>
      <c r="D1718" s="64"/>
      <c r="E1718" s="65"/>
      <c r="F1718" s="66"/>
      <c r="G1718" s="63"/>
      <c r="H1718" s="67"/>
      <c r="I1718" s="68"/>
      <c r="J1718" s="68"/>
      <c r="K1718" s="32"/>
      <c r="L1718" s="75">
        <v>1718</v>
      </c>
      <c r="M1718" s="75"/>
      <c r="N1718" s="70"/>
      <c r="O1718" s="77" t="s">
        <v>179</v>
      </c>
      <c r="P1718" s="79">
        <v>45188.531759259262</v>
      </c>
      <c r="Q1718" s="77" t="s">
        <v>2419</v>
      </c>
      <c r="R1718" s="77">
        <v>0</v>
      </c>
      <c r="S1718" s="77">
        <v>0</v>
      </c>
      <c r="T1718" s="77">
        <v>0</v>
      </c>
      <c r="U1718" s="77">
        <v>0</v>
      </c>
      <c r="V1718" s="77">
        <v>818</v>
      </c>
      <c r="W1718" s="82" t="s">
        <v>5702</v>
      </c>
      <c r="X1718" s="80" t="str">
        <f>HYPERLINK("https://www.moneytimes.com.br/day-trade-hoje-vender-prio-prio3-cielo-ciel3-acoes-19-09-2023/?ttmt")</f>
        <v>https://www.moneytimes.com.br/day-trade-hoje-vender-prio-prio3-cielo-ciel3-acoes-19-09-2023/?ttmt</v>
      </c>
      <c r="Y1718" s="77" t="s">
        <v>6470</v>
      </c>
      <c r="Z1718" s="77"/>
      <c r="AA1718" s="77"/>
      <c r="AB1718" s="77"/>
      <c r="AC1718" s="82" t="s">
        <v>7750</v>
      </c>
      <c r="AD1718" s="77" t="s">
        <v>7788</v>
      </c>
      <c r="AE1718" s="80" t="str">
        <f>HYPERLINK("https://twitter.com/leiamoneytimes/status/1704114549694013596")</f>
        <v>https://twitter.com/leiamoneytimes/status/1704114549694013596</v>
      </c>
      <c r="AF1718" s="79">
        <v>45188.531759259262</v>
      </c>
      <c r="AG1718" s="85">
        <v>45188</v>
      </c>
      <c r="AH1718" s="82" t="s">
        <v>9252</v>
      </c>
      <c r="AI1718" s="77" t="b">
        <v>0</v>
      </c>
      <c r="AJ1718" s="77"/>
      <c r="AK1718" s="77"/>
      <c r="AL1718" s="77"/>
      <c r="AM1718" s="77"/>
      <c r="AN1718" s="77"/>
      <c r="AO1718" s="77"/>
      <c r="AP1718" s="77"/>
      <c r="AQ1718" s="77"/>
      <c r="AR1718" s="77"/>
      <c r="AS1718" s="77"/>
      <c r="AT1718" s="77"/>
      <c r="AU1718" s="77"/>
      <c r="AV1718" s="80" t="str">
        <f>HYPERLINK("https://pbs.twimg.com/profile_images/1559883556846977024/bXHnQFY0_normal.jpg")</f>
        <v>https://pbs.twimg.com/profile_images/1559883556846977024/bXHnQFY0_normal.jpg</v>
      </c>
      <c r="AW1718" s="82" t="s">
        <v>13315</v>
      </c>
      <c r="AX1718" s="82" t="s">
        <v>13315</v>
      </c>
      <c r="AY1718" s="77"/>
      <c r="AZ1718" s="82" t="s">
        <v>15984</v>
      </c>
      <c r="BA1718" s="82" t="s">
        <v>15984</v>
      </c>
      <c r="BB1718" s="82" t="s">
        <v>15984</v>
      </c>
      <c r="BC1718" s="82" t="s">
        <v>13315</v>
      </c>
      <c r="BD1718" s="77">
        <v>51150679</v>
      </c>
      <c r="BE1718" s="77"/>
      <c r="BF1718" s="77"/>
      <c r="BG1718" s="77"/>
      <c r="BH1718" s="77"/>
      <c r="BI1718" s="77"/>
    </row>
    <row r="1719" spans="1:61" x14ac:dyDescent="0.25">
      <c r="A1719" s="62" t="s">
        <v>682</v>
      </c>
      <c r="B1719" s="62" t="s">
        <v>682</v>
      </c>
      <c r="C1719" s="63"/>
      <c r="D1719" s="64"/>
      <c r="E1719" s="65"/>
      <c r="F1719" s="66"/>
      <c r="G1719" s="63"/>
      <c r="H1719" s="67"/>
      <c r="I1719" s="68"/>
      <c r="J1719" s="68"/>
      <c r="K1719" s="32"/>
      <c r="L1719" s="75">
        <v>1719</v>
      </c>
      <c r="M1719" s="75"/>
      <c r="N1719" s="70"/>
      <c r="O1719" s="77" t="s">
        <v>179</v>
      </c>
      <c r="P1719" s="79">
        <v>45187.735219907408</v>
      </c>
      <c r="Q1719" s="77" t="s">
        <v>2420</v>
      </c>
      <c r="R1719" s="77">
        <v>0</v>
      </c>
      <c r="S1719" s="77">
        <v>2</v>
      </c>
      <c r="T1719" s="77">
        <v>0</v>
      </c>
      <c r="U1719" s="77">
        <v>0</v>
      </c>
      <c r="V1719" s="77">
        <v>959</v>
      </c>
      <c r="W1719" s="82" t="s">
        <v>5703</v>
      </c>
      <c r="X1719" s="80" t="str">
        <f>HYPERLINK("https://www.moneytimes.com.br/a-injecao-de-otimismo-da-petrobras-petr4-na-braskem-brkm5/?TTMT")</f>
        <v>https://www.moneytimes.com.br/a-injecao-de-otimismo-da-petrobras-petr4-na-braskem-brkm5/?TTMT</v>
      </c>
      <c r="Y1719" s="77" t="s">
        <v>6470</v>
      </c>
      <c r="Z1719" s="77"/>
      <c r="AA1719" s="77"/>
      <c r="AB1719" s="77"/>
      <c r="AC1719" s="82" t="s">
        <v>7750</v>
      </c>
      <c r="AD1719" s="77" t="s">
        <v>7788</v>
      </c>
      <c r="AE1719" s="80" t="str">
        <f>HYPERLINK("https://twitter.com/leiamoneytimes/status/1703825893712421276")</f>
        <v>https://twitter.com/leiamoneytimes/status/1703825893712421276</v>
      </c>
      <c r="AF1719" s="79">
        <v>45187.735219907408</v>
      </c>
      <c r="AG1719" s="85">
        <v>45187</v>
      </c>
      <c r="AH1719" s="82" t="s">
        <v>9253</v>
      </c>
      <c r="AI1719" s="77" t="b">
        <v>0</v>
      </c>
      <c r="AJ1719" s="77"/>
      <c r="AK1719" s="77"/>
      <c r="AL1719" s="77"/>
      <c r="AM1719" s="77"/>
      <c r="AN1719" s="77"/>
      <c r="AO1719" s="77"/>
      <c r="AP1719" s="77"/>
      <c r="AQ1719" s="77"/>
      <c r="AR1719" s="77"/>
      <c r="AS1719" s="77"/>
      <c r="AT1719" s="77"/>
      <c r="AU1719" s="77"/>
      <c r="AV1719" s="80" t="str">
        <f>HYPERLINK("https://pbs.twimg.com/profile_images/1559883556846977024/bXHnQFY0_normal.jpg")</f>
        <v>https://pbs.twimg.com/profile_images/1559883556846977024/bXHnQFY0_normal.jpg</v>
      </c>
      <c r="AW1719" s="82" t="s">
        <v>13316</v>
      </c>
      <c r="AX1719" s="82" t="s">
        <v>13316</v>
      </c>
      <c r="AY1719" s="77"/>
      <c r="AZ1719" s="82" t="s">
        <v>15984</v>
      </c>
      <c r="BA1719" s="82" t="s">
        <v>15984</v>
      </c>
      <c r="BB1719" s="82" t="s">
        <v>15984</v>
      </c>
      <c r="BC1719" s="82" t="s">
        <v>13316</v>
      </c>
      <c r="BD1719" s="77">
        <v>51150679</v>
      </c>
      <c r="BE1719" s="77"/>
      <c r="BF1719" s="77"/>
      <c r="BG1719" s="77"/>
      <c r="BH1719" s="77"/>
      <c r="BI1719" s="77"/>
    </row>
    <row r="1720" spans="1:61" x14ac:dyDescent="0.25">
      <c r="A1720" s="62" t="s">
        <v>682</v>
      </c>
      <c r="B1720" s="62" t="s">
        <v>682</v>
      </c>
      <c r="C1720" s="63"/>
      <c r="D1720" s="64"/>
      <c r="E1720" s="65"/>
      <c r="F1720" s="66"/>
      <c r="G1720" s="63"/>
      <c r="H1720" s="67"/>
      <c r="I1720" s="68"/>
      <c r="J1720" s="68"/>
      <c r="K1720" s="32"/>
      <c r="L1720" s="75">
        <v>1720</v>
      </c>
      <c r="M1720" s="75"/>
      <c r="N1720" s="70"/>
      <c r="O1720" s="77" t="s">
        <v>179</v>
      </c>
      <c r="P1720" s="79">
        <v>45189.80023148148</v>
      </c>
      <c r="Q1720" s="77" t="s">
        <v>2421</v>
      </c>
      <c r="R1720" s="77">
        <v>0</v>
      </c>
      <c r="S1720" s="77">
        <v>2</v>
      </c>
      <c r="T1720" s="77">
        <v>1</v>
      </c>
      <c r="U1720" s="77">
        <v>0</v>
      </c>
      <c r="V1720" s="77">
        <v>719</v>
      </c>
      <c r="W1720" s="82" t="s">
        <v>5704</v>
      </c>
      <c r="X1720" s="80" t="str">
        <f>HYPERLINK("https://www.moneytimes.com.br/azul-azul4-ainda-pode-disparar-121-diz-banco-gringo-acoes-saltam-nesta-quarta-20/?ttmt")</f>
        <v>https://www.moneytimes.com.br/azul-azul4-ainda-pode-disparar-121-diz-banco-gringo-acoes-saltam-nesta-quarta-20/?ttmt</v>
      </c>
      <c r="Y1720" s="77" t="s">
        <v>6470</v>
      </c>
      <c r="Z1720" s="77"/>
      <c r="AA1720" s="77"/>
      <c r="AB1720" s="77"/>
      <c r="AC1720" s="82" t="s">
        <v>7750</v>
      </c>
      <c r="AD1720" s="77" t="s">
        <v>7788</v>
      </c>
      <c r="AE1720" s="80" t="str">
        <f>HYPERLINK("https://twitter.com/leiamoneytimes/status/1704574228681376132")</f>
        <v>https://twitter.com/leiamoneytimes/status/1704574228681376132</v>
      </c>
      <c r="AF1720" s="79">
        <v>45189.80023148148</v>
      </c>
      <c r="AG1720" s="85">
        <v>45189</v>
      </c>
      <c r="AH1720" s="82" t="s">
        <v>9254</v>
      </c>
      <c r="AI1720" s="77" t="b">
        <v>0</v>
      </c>
      <c r="AJ1720" s="77"/>
      <c r="AK1720" s="77"/>
      <c r="AL1720" s="77"/>
      <c r="AM1720" s="77"/>
      <c r="AN1720" s="77"/>
      <c r="AO1720" s="77"/>
      <c r="AP1720" s="77"/>
      <c r="AQ1720" s="77"/>
      <c r="AR1720" s="77"/>
      <c r="AS1720" s="77"/>
      <c r="AT1720" s="77"/>
      <c r="AU1720" s="77"/>
      <c r="AV1720" s="80" t="str">
        <f>HYPERLINK("https://pbs.twimg.com/profile_images/1559883556846977024/bXHnQFY0_normal.jpg")</f>
        <v>https://pbs.twimg.com/profile_images/1559883556846977024/bXHnQFY0_normal.jpg</v>
      </c>
      <c r="AW1720" s="82" t="s">
        <v>13317</v>
      </c>
      <c r="AX1720" s="82" t="s">
        <v>13317</v>
      </c>
      <c r="AY1720" s="77"/>
      <c r="AZ1720" s="82" t="s">
        <v>15984</v>
      </c>
      <c r="BA1720" s="82" t="s">
        <v>15984</v>
      </c>
      <c r="BB1720" s="82" t="s">
        <v>15984</v>
      </c>
      <c r="BC1720" s="82" t="s">
        <v>13317</v>
      </c>
      <c r="BD1720" s="77">
        <v>51150679</v>
      </c>
      <c r="BE1720" s="77"/>
      <c r="BF1720" s="77"/>
      <c r="BG1720" s="77"/>
      <c r="BH1720" s="77"/>
      <c r="BI1720" s="77"/>
    </row>
    <row r="1721" spans="1:61" x14ac:dyDescent="0.25">
      <c r="A1721" s="62" t="s">
        <v>682</v>
      </c>
      <c r="B1721" s="62" t="s">
        <v>682</v>
      </c>
      <c r="C1721" s="63"/>
      <c r="D1721" s="64"/>
      <c r="E1721" s="65"/>
      <c r="F1721" s="66"/>
      <c r="G1721" s="63"/>
      <c r="H1721" s="67"/>
      <c r="I1721" s="68"/>
      <c r="J1721" s="68"/>
      <c r="K1721" s="32"/>
      <c r="L1721" s="75">
        <v>1721</v>
      </c>
      <c r="M1721" s="75"/>
      <c r="N1721" s="70"/>
      <c r="O1721" s="77" t="s">
        <v>179</v>
      </c>
      <c r="P1721" s="79">
        <v>45184.849374999998</v>
      </c>
      <c r="Q1721" s="77" t="s">
        <v>2422</v>
      </c>
      <c r="R1721" s="77">
        <v>0</v>
      </c>
      <c r="S1721" s="77">
        <v>1</v>
      </c>
      <c r="T1721" s="77">
        <v>1</v>
      </c>
      <c r="U1721" s="77">
        <v>0</v>
      </c>
      <c r="V1721" s="77">
        <v>1010</v>
      </c>
      <c r="W1721" s="82" t="s">
        <v>5705</v>
      </c>
      <c r="X1721" s="80" t="str">
        <f>HYPERLINK("https://www.moneytimes.com.br/ibovespa-hoje-fecha-queda-juros-wall-street-15-09-2023/?ttmt")</f>
        <v>https://www.moneytimes.com.br/ibovespa-hoje-fecha-queda-juros-wall-street-15-09-2023/?ttmt</v>
      </c>
      <c r="Y1721" s="77" t="s">
        <v>6470</v>
      </c>
      <c r="Z1721" s="77"/>
      <c r="AA1721" s="77"/>
      <c r="AB1721" s="77"/>
      <c r="AC1721" s="82" t="s">
        <v>7750</v>
      </c>
      <c r="AD1721" s="77" t="s">
        <v>7788</v>
      </c>
      <c r="AE1721" s="80" t="str">
        <f>HYPERLINK("https://twitter.com/leiamoneytimes/status/1702780099513245837")</f>
        <v>https://twitter.com/leiamoneytimes/status/1702780099513245837</v>
      </c>
      <c r="AF1721" s="79">
        <v>45184.849374999998</v>
      </c>
      <c r="AG1721" s="85">
        <v>45184</v>
      </c>
      <c r="AH1721" s="82" t="s">
        <v>9255</v>
      </c>
      <c r="AI1721" s="77" t="b">
        <v>0</v>
      </c>
      <c r="AJ1721" s="77"/>
      <c r="AK1721" s="77"/>
      <c r="AL1721" s="77"/>
      <c r="AM1721" s="77"/>
      <c r="AN1721" s="77"/>
      <c r="AO1721" s="77"/>
      <c r="AP1721" s="77"/>
      <c r="AQ1721" s="77"/>
      <c r="AR1721" s="77"/>
      <c r="AS1721" s="77"/>
      <c r="AT1721" s="77"/>
      <c r="AU1721" s="77"/>
      <c r="AV1721" s="80" t="str">
        <f>HYPERLINK("https://pbs.twimg.com/profile_images/1559883556846977024/bXHnQFY0_normal.jpg")</f>
        <v>https://pbs.twimg.com/profile_images/1559883556846977024/bXHnQFY0_normal.jpg</v>
      </c>
      <c r="AW1721" s="82" t="s">
        <v>13318</v>
      </c>
      <c r="AX1721" s="82" t="s">
        <v>13318</v>
      </c>
      <c r="AY1721" s="77"/>
      <c r="AZ1721" s="82" t="s">
        <v>15984</v>
      </c>
      <c r="BA1721" s="82" t="s">
        <v>15984</v>
      </c>
      <c r="BB1721" s="82" t="s">
        <v>15984</v>
      </c>
      <c r="BC1721" s="82" t="s">
        <v>13318</v>
      </c>
      <c r="BD1721" s="77">
        <v>51150679</v>
      </c>
      <c r="BE1721" s="77"/>
      <c r="BF1721" s="77"/>
      <c r="BG1721" s="77"/>
      <c r="BH1721" s="77"/>
      <c r="BI1721" s="77"/>
    </row>
    <row r="1722" spans="1:61" x14ac:dyDescent="0.25">
      <c r="A1722" s="62" t="s">
        <v>682</v>
      </c>
      <c r="B1722" s="62" t="s">
        <v>682</v>
      </c>
      <c r="C1722" s="63"/>
      <c r="D1722" s="64"/>
      <c r="E1722" s="65"/>
      <c r="F1722" s="66"/>
      <c r="G1722" s="63"/>
      <c r="H1722" s="67"/>
      <c r="I1722" s="68"/>
      <c r="J1722" s="68"/>
      <c r="K1722" s="32"/>
      <c r="L1722" s="75">
        <v>1722</v>
      </c>
      <c r="M1722" s="75"/>
      <c r="N1722" s="70"/>
      <c r="O1722" s="77" t="s">
        <v>179</v>
      </c>
      <c r="P1722" s="79">
        <v>45190.969282407408</v>
      </c>
      <c r="Q1722" s="77" t="s">
        <v>2423</v>
      </c>
      <c r="R1722" s="77">
        <v>1</v>
      </c>
      <c r="S1722" s="77">
        <v>6</v>
      </c>
      <c r="T1722" s="77">
        <v>1</v>
      </c>
      <c r="U1722" s="77">
        <v>0</v>
      </c>
      <c r="V1722" s="77">
        <v>2338</v>
      </c>
      <c r="W1722" s="82" t="s">
        <v>5706</v>
      </c>
      <c r="X1722" s="80" t="str">
        <f>HYPERLINK("https://www.moneytimes.com.br/itau-bba-troca-varejista-por-construtora-que-salta-quase-70-na-bolsa-em-2023-veja-as-5-acoes-do-momento/?ttmt")</f>
        <v>https://www.moneytimes.com.br/itau-bba-troca-varejista-por-construtora-que-salta-quase-70-na-bolsa-em-2023-veja-as-5-acoes-do-momento/?ttmt</v>
      </c>
      <c r="Y1722" s="77" t="s">
        <v>6470</v>
      </c>
      <c r="Z1722" s="77"/>
      <c r="AA1722" s="77"/>
      <c r="AB1722" s="77"/>
      <c r="AC1722" s="82" t="s">
        <v>7750</v>
      </c>
      <c r="AD1722" s="77" t="s">
        <v>7788</v>
      </c>
      <c r="AE1722" s="80" t="str">
        <f>HYPERLINK("https://twitter.com/leiamoneytimes/status/1704997878932947327")</f>
        <v>https://twitter.com/leiamoneytimes/status/1704997878932947327</v>
      </c>
      <c r="AF1722" s="79">
        <v>45190.969282407408</v>
      </c>
      <c r="AG1722" s="85">
        <v>45190</v>
      </c>
      <c r="AH1722" s="82" t="s">
        <v>9256</v>
      </c>
      <c r="AI1722" s="77" t="b">
        <v>0</v>
      </c>
      <c r="AJ1722" s="77"/>
      <c r="AK1722" s="77"/>
      <c r="AL1722" s="77"/>
      <c r="AM1722" s="77"/>
      <c r="AN1722" s="77"/>
      <c r="AO1722" s="77"/>
      <c r="AP1722" s="77"/>
      <c r="AQ1722" s="77"/>
      <c r="AR1722" s="77"/>
      <c r="AS1722" s="77"/>
      <c r="AT1722" s="77"/>
      <c r="AU1722" s="77"/>
      <c r="AV1722" s="80" t="str">
        <f>HYPERLINK("https://pbs.twimg.com/profile_images/1559883556846977024/bXHnQFY0_normal.jpg")</f>
        <v>https://pbs.twimg.com/profile_images/1559883556846977024/bXHnQFY0_normal.jpg</v>
      </c>
      <c r="AW1722" s="82" t="s">
        <v>13319</v>
      </c>
      <c r="AX1722" s="82" t="s">
        <v>13319</v>
      </c>
      <c r="AY1722" s="77"/>
      <c r="AZ1722" s="82" t="s">
        <v>15984</v>
      </c>
      <c r="BA1722" s="82" t="s">
        <v>15984</v>
      </c>
      <c r="BB1722" s="82" t="s">
        <v>15984</v>
      </c>
      <c r="BC1722" s="82" t="s">
        <v>13319</v>
      </c>
      <c r="BD1722" s="77">
        <v>51150679</v>
      </c>
      <c r="BE1722" s="77"/>
      <c r="BF1722" s="77"/>
      <c r="BG1722" s="77"/>
      <c r="BH1722" s="77"/>
      <c r="BI1722" s="77"/>
    </row>
    <row r="1723" spans="1:61" x14ac:dyDescent="0.25">
      <c r="A1723" s="62" t="s">
        <v>682</v>
      </c>
      <c r="B1723" s="62" t="s">
        <v>682</v>
      </c>
      <c r="C1723" s="63"/>
      <c r="D1723" s="64"/>
      <c r="E1723" s="65"/>
      <c r="F1723" s="66"/>
      <c r="G1723" s="63"/>
      <c r="H1723" s="67"/>
      <c r="I1723" s="68"/>
      <c r="J1723" s="68"/>
      <c r="K1723" s="32"/>
      <c r="L1723" s="75">
        <v>1723</v>
      </c>
      <c r="M1723" s="75"/>
      <c r="N1723" s="70"/>
      <c r="O1723" s="77" t="s">
        <v>179</v>
      </c>
      <c r="P1723" s="79">
        <v>45190.964722222219</v>
      </c>
      <c r="Q1723" s="77" t="s">
        <v>2424</v>
      </c>
      <c r="R1723" s="77">
        <v>0</v>
      </c>
      <c r="S1723" s="77">
        <v>3</v>
      </c>
      <c r="T1723" s="77">
        <v>1</v>
      </c>
      <c r="U1723" s="77">
        <v>0</v>
      </c>
      <c r="V1723" s="77">
        <v>1299</v>
      </c>
      <c r="W1723" s="82" t="s">
        <v>5707</v>
      </c>
      <c r="X1723" s="80" t="str">
        <f>HYPERLINK("https://www.moneytimes.com.br/irb-irbr3-lucra-r-223-milhoes-em-julho-e-acumula-saldo-positivo-no-ano/?ttmt")</f>
        <v>https://www.moneytimes.com.br/irb-irbr3-lucra-r-223-milhoes-em-julho-e-acumula-saldo-positivo-no-ano/?ttmt</v>
      </c>
      <c r="Y1723" s="77" t="s">
        <v>6470</v>
      </c>
      <c r="Z1723" s="77"/>
      <c r="AA1723" s="77"/>
      <c r="AB1723" s="77"/>
      <c r="AC1723" s="82" t="s">
        <v>7750</v>
      </c>
      <c r="AD1723" s="77" t="s">
        <v>7788</v>
      </c>
      <c r="AE1723" s="80" t="str">
        <f>HYPERLINK("https://twitter.com/leiamoneytimes/status/1704996229111824714")</f>
        <v>https://twitter.com/leiamoneytimes/status/1704996229111824714</v>
      </c>
      <c r="AF1723" s="79">
        <v>45190.964722222219</v>
      </c>
      <c r="AG1723" s="85">
        <v>45190</v>
      </c>
      <c r="AH1723" s="82" t="s">
        <v>9257</v>
      </c>
      <c r="AI1723" s="77" t="b">
        <v>0</v>
      </c>
      <c r="AJ1723" s="77"/>
      <c r="AK1723" s="77"/>
      <c r="AL1723" s="77"/>
      <c r="AM1723" s="77"/>
      <c r="AN1723" s="77"/>
      <c r="AO1723" s="77"/>
      <c r="AP1723" s="77"/>
      <c r="AQ1723" s="77"/>
      <c r="AR1723" s="77"/>
      <c r="AS1723" s="77"/>
      <c r="AT1723" s="77"/>
      <c r="AU1723" s="77"/>
      <c r="AV1723" s="80" t="str">
        <f>HYPERLINK("https://pbs.twimg.com/profile_images/1559883556846977024/bXHnQFY0_normal.jpg")</f>
        <v>https://pbs.twimg.com/profile_images/1559883556846977024/bXHnQFY0_normal.jpg</v>
      </c>
      <c r="AW1723" s="82" t="s">
        <v>13320</v>
      </c>
      <c r="AX1723" s="82" t="s">
        <v>13320</v>
      </c>
      <c r="AY1723" s="77"/>
      <c r="AZ1723" s="82" t="s">
        <v>15984</v>
      </c>
      <c r="BA1723" s="82" t="s">
        <v>15984</v>
      </c>
      <c r="BB1723" s="82" t="s">
        <v>15984</v>
      </c>
      <c r="BC1723" s="82" t="s">
        <v>13320</v>
      </c>
      <c r="BD1723" s="77">
        <v>51150679</v>
      </c>
      <c r="BE1723" s="77"/>
      <c r="BF1723" s="77"/>
      <c r="BG1723" s="77"/>
      <c r="BH1723" s="77"/>
      <c r="BI1723" s="77"/>
    </row>
    <row r="1724" spans="1:61" x14ac:dyDescent="0.25">
      <c r="A1724" s="62" t="s">
        <v>682</v>
      </c>
      <c r="B1724" s="62" t="s">
        <v>682</v>
      </c>
      <c r="C1724" s="63"/>
      <c r="D1724" s="64"/>
      <c r="E1724" s="65"/>
      <c r="F1724" s="66"/>
      <c r="G1724" s="63"/>
      <c r="H1724" s="67"/>
      <c r="I1724" s="68"/>
      <c r="J1724" s="68"/>
      <c r="K1724" s="32"/>
      <c r="L1724" s="75">
        <v>1724</v>
      </c>
      <c r="M1724" s="75"/>
      <c r="N1724" s="70"/>
      <c r="O1724" s="77" t="s">
        <v>179</v>
      </c>
      <c r="P1724" s="79">
        <v>45190.531782407408</v>
      </c>
      <c r="Q1724" s="77" t="s">
        <v>2425</v>
      </c>
      <c r="R1724" s="77">
        <v>0</v>
      </c>
      <c r="S1724" s="77">
        <v>4</v>
      </c>
      <c r="T1724" s="77">
        <v>1</v>
      </c>
      <c r="U1724" s="77">
        <v>0</v>
      </c>
      <c r="V1724" s="77">
        <v>799</v>
      </c>
      <c r="W1724" s="82" t="s">
        <v>5708</v>
      </c>
      <c r="X1724" s="80" t="str">
        <f>HYPERLINK("https://www.moneytimes.com.br/day-trade-hoje-comprar-eletrobras-elet3-sanepar-sapr11-acoes-copom-selic-21-09-2023/?ttmt")</f>
        <v>https://www.moneytimes.com.br/day-trade-hoje-comprar-eletrobras-elet3-sanepar-sapr11-acoes-copom-selic-21-09-2023/?ttmt</v>
      </c>
      <c r="Y1724" s="77" t="s">
        <v>6470</v>
      </c>
      <c r="Z1724" s="77"/>
      <c r="AA1724" s="77"/>
      <c r="AB1724" s="77"/>
      <c r="AC1724" s="82" t="s">
        <v>7750</v>
      </c>
      <c r="AD1724" s="77" t="s">
        <v>7788</v>
      </c>
      <c r="AE1724" s="80" t="str">
        <f>HYPERLINK("https://twitter.com/leiamoneytimes/status/1704839334065484147")</f>
        <v>https://twitter.com/leiamoneytimes/status/1704839334065484147</v>
      </c>
      <c r="AF1724" s="79">
        <v>45190.531782407408</v>
      </c>
      <c r="AG1724" s="85">
        <v>45190</v>
      </c>
      <c r="AH1724" s="82" t="s">
        <v>9258</v>
      </c>
      <c r="AI1724" s="77" t="b">
        <v>0</v>
      </c>
      <c r="AJ1724" s="77"/>
      <c r="AK1724" s="77"/>
      <c r="AL1724" s="77"/>
      <c r="AM1724" s="77"/>
      <c r="AN1724" s="77"/>
      <c r="AO1724" s="77"/>
      <c r="AP1724" s="77"/>
      <c r="AQ1724" s="77"/>
      <c r="AR1724" s="77"/>
      <c r="AS1724" s="77"/>
      <c r="AT1724" s="77"/>
      <c r="AU1724" s="77"/>
      <c r="AV1724" s="80" t="str">
        <f>HYPERLINK("https://pbs.twimg.com/profile_images/1559883556846977024/bXHnQFY0_normal.jpg")</f>
        <v>https://pbs.twimg.com/profile_images/1559883556846977024/bXHnQFY0_normal.jpg</v>
      </c>
      <c r="AW1724" s="82" t="s">
        <v>13321</v>
      </c>
      <c r="AX1724" s="82" t="s">
        <v>13321</v>
      </c>
      <c r="AY1724" s="77"/>
      <c r="AZ1724" s="82" t="s">
        <v>15984</v>
      </c>
      <c r="BA1724" s="82" t="s">
        <v>15984</v>
      </c>
      <c r="BB1724" s="82" t="s">
        <v>15984</v>
      </c>
      <c r="BC1724" s="82" t="s">
        <v>13321</v>
      </c>
      <c r="BD1724" s="77">
        <v>51150679</v>
      </c>
      <c r="BE1724" s="77"/>
      <c r="BF1724" s="77"/>
      <c r="BG1724" s="77"/>
      <c r="BH1724" s="77"/>
      <c r="BI1724" s="77"/>
    </row>
    <row r="1725" spans="1:61" x14ac:dyDescent="0.25">
      <c r="A1725" s="62" t="s">
        <v>682</v>
      </c>
      <c r="B1725" s="62" t="s">
        <v>682</v>
      </c>
      <c r="C1725" s="63"/>
      <c r="D1725" s="64"/>
      <c r="E1725" s="65"/>
      <c r="F1725" s="66"/>
      <c r="G1725" s="63"/>
      <c r="H1725" s="67"/>
      <c r="I1725" s="68"/>
      <c r="J1725" s="68"/>
      <c r="K1725" s="32"/>
      <c r="L1725" s="75">
        <v>1725</v>
      </c>
      <c r="M1725" s="75"/>
      <c r="N1725" s="70"/>
      <c r="O1725" s="77" t="s">
        <v>179</v>
      </c>
      <c r="P1725" s="79">
        <v>45190.531273148146</v>
      </c>
      <c r="Q1725" s="77" t="s">
        <v>2426</v>
      </c>
      <c r="R1725" s="77">
        <v>0</v>
      </c>
      <c r="S1725" s="77">
        <v>2</v>
      </c>
      <c r="T1725" s="77">
        <v>1</v>
      </c>
      <c r="U1725" s="77">
        <v>0</v>
      </c>
      <c r="V1725" s="77">
        <v>694</v>
      </c>
      <c r="W1725" s="82" t="s">
        <v>5709</v>
      </c>
      <c r="X1725" s="80" t="str">
        <f>HYPERLINK("https://www.moneytimes.com.br/day-trade-hoje-vender-vale-vale3-csn-mineracao-cmin3-acoes-copom-selic-21-09-2023/?ttmt")</f>
        <v>https://www.moneytimes.com.br/day-trade-hoje-vender-vale-vale3-csn-mineracao-cmin3-acoes-copom-selic-21-09-2023/?ttmt</v>
      </c>
      <c r="Y1725" s="77" t="s">
        <v>6470</v>
      </c>
      <c r="Z1725" s="77"/>
      <c r="AA1725" s="77"/>
      <c r="AB1725" s="77"/>
      <c r="AC1725" s="82" t="s">
        <v>7750</v>
      </c>
      <c r="AD1725" s="77" t="s">
        <v>7788</v>
      </c>
      <c r="AE1725" s="80" t="str">
        <f>HYPERLINK("https://twitter.com/leiamoneytimes/status/1704839149507719527")</f>
        <v>https://twitter.com/leiamoneytimes/status/1704839149507719527</v>
      </c>
      <c r="AF1725" s="79">
        <v>45190.531273148146</v>
      </c>
      <c r="AG1725" s="85">
        <v>45190</v>
      </c>
      <c r="AH1725" s="82" t="s">
        <v>9259</v>
      </c>
      <c r="AI1725" s="77" t="b">
        <v>0</v>
      </c>
      <c r="AJ1725" s="77"/>
      <c r="AK1725" s="77"/>
      <c r="AL1725" s="77"/>
      <c r="AM1725" s="77"/>
      <c r="AN1725" s="77"/>
      <c r="AO1725" s="77"/>
      <c r="AP1725" s="77"/>
      <c r="AQ1725" s="77"/>
      <c r="AR1725" s="77"/>
      <c r="AS1725" s="77"/>
      <c r="AT1725" s="77"/>
      <c r="AU1725" s="77"/>
      <c r="AV1725" s="80" t="str">
        <f>HYPERLINK("https://pbs.twimg.com/profile_images/1559883556846977024/bXHnQFY0_normal.jpg")</f>
        <v>https://pbs.twimg.com/profile_images/1559883556846977024/bXHnQFY0_normal.jpg</v>
      </c>
      <c r="AW1725" s="82" t="s">
        <v>13322</v>
      </c>
      <c r="AX1725" s="82" t="s">
        <v>13322</v>
      </c>
      <c r="AY1725" s="77"/>
      <c r="AZ1725" s="82" t="s">
        <v>15984</v>
      </c>
      <c r="BA1725" s="82" t="s">
        <v>15984</v>
      </c>
      <c r="BB1725" s="82" t="s">
        <v>15984</v>
      </c>
      <c r="BC1725" s="82" t="s">
        <v>13322</v>
      </c>
      <c r="BD1725" s="77">
        <v>51150679</v>
      </c>
      <c r="BE1725" s="77"/>
      <c r="BF1725" s="77"/>
      <c r="BG1725" s="77"/>
      <c r="BH1725" s="77"/>
      <c r="BI1725" s="77"/>
    </row>
    <row r="1726" spans="1:61" x14ac:dyDescent="0.25">
      <c r="A1726" s="62" t="s">
        <v>682</v>
      </c>
      <c r="B1726" s="62" t="s">
        <v>682</v>
      </c>
      <c r="C1726" s="63"/>
      <c r="D1726" s="64"/>
      <c r="E1726" s="65"/>
      <c r="F1726" s="66"/>
      <c r="G1726" s="63"/>
      <c r="H1726" s="67"/>
      <c r="I1726" s="68"/>
      <c r="J1726" s="68"/>
      <c r="K1726" s="32"/>
      <c r="L1726" s="75">
        <v>1726</v>
      </c>
      <c r="M1726" s="75"/>
      <c r="N1726" s="70"/>
      <c r="O1726" s="77" t="s">
        <v>179</v>
      </c>
      <c r="P1726" s="79">
        <v>45189.979097222225</v>
      </c>
      <c r="Q1726" s="77" t="s">
        <v>2427</v>
      </c>
      <c r="R1726" s="77">
        <v>0</v>
      </c>
      <c r="S1726" s="77">
        <v>5</v>
      </c>
      <c r="T1726" s="77">
        <v>1</v>
      </c>
      <c r="U1726" s="77">
        <v>0</v>
      </c>
      <c r="V1726" s="77">
        <v>1098</v>
      </c>
      <c r="W1726" s="82" t="s">
        <v>5710</v>
      </c>
      <c r="X1726" s="80" t="str">
        <f>HYPERLINK("https://www.moneytimes.com.br/ibovespa-ibov-sobe-nesta-quinta-21-por-que-corte-na-selic-pode-nao-segurar-alta-do-indice-segundo-especialistas/?ttmt")</f>
        <v>https://www.moneytimes.com.br/ibovespa-ibov-sobe-nesta-quinta-21-por-que-corte-na-selic-pode-nao-segurar-alta-do-indice-segundo-especialistas/?ttmt</v>
      </c>
      <c r="Y1726" s="77" t="s">
        <v>6470</v>
      </c>
      <c r="Z1726" s="77"/>
      <c r="AA1726" s="77"/>
      <c r="AB1726" s="77"/>
      <c r="AC1726" s="82" t="s">
        <v>7750</v>
      </c>
      <c r="AD1726" s="77" t="s">
        <v>7788</v>
      </c>
      <c r="AE1726" s="80" t="str">
        <f>HYPERLINK("https://twitter.com/leiamoneytimes/status/1704639046570381548")</f>
        <v>https://twitter.com/leiamoneytimes/status/1704639046570381548</v>
      </c>
      <c r="AF1726" s="79">
        <v>45189.979097222225</v>
      </c>
      <c r="AG1726" s="85">
        <v>45189</v>
      </c>
      <c r="AH1726" s="82" t="s">
        <v>9260</v>
      </c>
      <c r="AI1726" s="77" t="b">
        <v>0</v>
      </c>
      <c r="AJ1726" s="77"/>
      <c r="AK1726" s="77"/>
      <c r="AL1726" s="77"/>
      <c r="AM1726" s="77"/>
      <c r="AN1726" s="77"/>
      <c r="AO1726" s="77"/>
      <c r="AP1726" s="77"/>
      <c r="AQ1726" s="77"/>
      <c r="AR1726" s="77"/>
      <c r="AS1726" s="77"/>
      <c r="AT1726" s="77"/>
      <c r="AU1726" s="77"/>
      <c r="AV1726" s="80" t="str">
        <f>HYPERLINK("https://pbs.twimg.com/profile_images/1559883556846977024/bXHnQFY0_normal.jpg")</f>
        <v>https://pbs.twimg.com/profile_images/1559883556846977024/bXHnQFY0_normal.jpg</v>
      </c>
      <c r="AW1726" s="82" t="s">
        <v>13323</v>
      </c>
      <c r="AX1726" s="82" t="s">
        <v>13323</v>
      </c>
      <c r="AY1726" s="77"/>
      <c r="AZ1726" s="82" t="s">
        <v>15984</v>
      </c>
      <c r="BA1726" s="82" t="s">
        <v>15984</v>
      </c>
      <c r="BB1726" s="82" t="s">
        <v>15984</v>
      </c>
      <c r="BC1726" s="82" t="s">
        <v>13323</v>
      </c>
      <c r="BD1726" s="77">
        <v>51150679</v>
      </c>
      <c r="BE1726" s="77"/>
      <c r="BF1726" s="77"/>
      <c r="BG1726" s="77"/>
      <c r="BH1726" s="77"/>
      <c r="BI1726" s="77"/>
    </row>
    <row r="1727" spans="1:61" x14ac:dyDescent="0.25">
      <c r="A1727" s="62" t="s">
        <v>682</v>
      </c>
      <c r="B1727" s="62" t="s">
        <v>682</v>
      </c>
      <c r="C1727" s="63"/>
      <c r="D1727" s="64"/>
      <c r="E1727" s="65"/>
      <c r="F1727" s="66"/>
      <c r="G1727" s="63"/>
      <c r="H1727" s="67"/>
      <c r="I1727" s="68"/>
      <c r="J1727" s="68"/>
      <c r="K1727" s="32"/>
      <c r="L1727" s="75">
        <v>1727</v>
      </c>
      <c r="M1727" s="75"/>
      <c r="N1727" s="70"/>
      <c r="O1727" s="77" t="s">
        <v>179</v>
      </c>
      <c r="P1727" s="79">
        <v>45189.916712962964</v>
      </c>
      <c r="Q1727" s="77" t="s">
        <v>2428</v>
      </c>
      <c r="R1727" s="77">
        <v>0</v>
      </c>
      <c r="S1727" s="77">
        <v>3</v>
      </c>
      <c r="T1727" s="77">
        <v>1</v>
      </c>
      <c r="U1727" s="77">
        <v>0</v>
      </c>
      <c r="V1727" s="77">
        <v>943</v>
      </c>
      <c r="W1727" s="82" t="s">
        <v>5711</v>
      </c>
      <c r="X1727" s="80" t="str">
        <f>HYPERLINK("https://www.moneytimes.com.br/copel-cple6-distribuira-mais-de-r-900-milhoes-em-jcp-aos-acionistas-confira-as-datas/?ttmt")</f>
        <v>https://www.moneytimes.com.br/copel-cple6-distribuira-mais-de-r-900-milhoes-em-jcp-aos-acionistas-confira-as-datas/?ttmt</v>
      </c>
      <c r="Y1727" s="77" t="s">
        <v>6470</v>
      </c>
      <c r="Z1727" s="77"/>
      <c r="AA1727" s="77"/>
      <c r="AB1727" s="77"/>
      <c r="AC1727" s="82" t="s">
        <v>7750</v>
      </c>
      <c r="AD1727" s="77" t="s">
        <v>7788</v>
      </c>
      <c r="AE1727" s="80" t="str">
        <f>HYPERLINK("https://twitter.com/leiamoneytimes/status/1704616442887344610")</f>
        <v>https://twitter.com/leiamoneytimes/status/1704616442887344610</v>
      </c>
      <c r="AF1727" s="79">
        <v>45189.916712962964</v>
      </c>
      <c r="AG1727" s="85">
        <v>45189</v>
      </c>
      <c r="AH1727" s="82" t="s">
        <v>9261</v>
      </c>
      <c r="AI1727" s="77" t="b">
        <v>0</v>
      </c>
      <c r="AJ1727" s="77"/>
      <c r="AK1727" s="77"/>
      <c r="AL1727" s="77"/>
      <c r="AM1727" s="77"/>
      <c r="AN1727" s="77"/>
      <c r="AO1727" s="77"/>
      <c r="AP1727" s="77"/>
      <c r="AQ1727" s="77"/>
      <c r="AR1727" s="77"/>
      <c r="AS1727" s="77"/>
      <c r="AT1727" s="77"/>
      <c r="AU1727" s="77"/>
      <c r="AV1727" s="80" t="str">
        <f>HYPERLINK("https://pbs.twimg.com/profile_images/1559883556846977024/bXHnQFY0_normal.jpg")</f>
        <v>https://pbs.twimg.com/profile_images/1559883556846977024/bXHnQFY0_normal.jpg</v>
      </c>
      <c r="AW1727" s="82" t="s">
        <v>13324</v>
      </c>
      <c r="AX1727" s="82" t="s">
        <v>13324</v>
      </c>
      <c r="AY1727" s="77"/>
      <c r="AZ1727" s="82" t="s">
        <v>15984</v>
      </c>
      <c r="BA1727" s="82" t="s">
        <v>15984</v>
      </c>
      <c r="BB1727" s="82" t="s">
        <v>15984</v>
      </c>
      <c r="BC1727" s="82" t="s">
        <v>13324</v>
      </c>
      <c r="BD1727" s="77">
        <v>51150679</v>
      </c>
      <c r="BE1727" s="77"/>
      <c r="BF1727" s="77"/>
      <c r="BG1727" s="77"/>
      <c r="BH1727" s="77"/>
      <c r="BI1727" s="77"/>
    </row>
    <row r="1728" spans="1:61" x14ac:dyDescent="0.25">
      <c r="A1728" s="62" t="s">
        <v>682</v>
      </c>
      <c r="B1728" s="62" t="s">
        <v>682</v>
      </c>
      <c r="C1728" s="63"/>
      <c r="D1728" s="64"/>
      <c r="E1728" s="65"/>
      <c r="F1728" s="66"/>
      <c r="G1728" s="63"/>
      <c r="H1728" s="67"/>
      <c r="I1728" s="68"/>
      <c r="J1728" s="68"/>
      <c r="K1728" s="32"/>
      <c r="L1728" s="75">
        <v>1728</v>
      </c>
      <c r="M1728" s="75"/>
      <c r="N1728" s="70"/>
      <c r="O1728" s="77" t="s">
        <v>179</v>
      </c>
      <c r="P1728" s="79">
        <v>45188.441180555557</v>
      </c>
      <c r="Q1728" s="77" t="s">
        <v>2429</v>
      </c>
      <c r="R1728" s="77">
        <v>0</v>
      </c>
      <c r="S1728" s="77">
        <v>2</v>
      </c>
      <c r="T1728" s="77">
        <v>0</v>
      </c>
      <c r="U1728" s="77">
        <v>0</v>
      </c>
      <c r="V1728" s="77">
        <v>1016</v>
      </c>
      <c r="W1728" s="82" t="s">
        <v>5712</v>
      </c>
      <c r="X1728" s="80" t="str">
        <f>HYPERLINK("https://www.moneytimes.com.br/tempo-real-ibovespa-hoje-mercado-ao-vivo-terca-feira-19-09-2023/?ttmt")</f>
        <v>https://www.moneytimes.com.br/tempo-real-ibovespa-hoje-mercado-ao-vivo-terca-feira-19-09-2023/?ttmt</v>
      </c>
      <c r="Y1728" s="77" t="s">
        <v>6470</v>
      </c>
      <c r="Z1728" s="77"/>
      <c r="AA1728" s="77"/>
      <c r="AB1728" s="77"/>
      <c r="AC1728" s="82" t="s">
        <v>7750</v>
      </c>
      <c r="AD1728" s="77" t="s">
        <v>7788</v>
      </c>
      <c r="AE1728" s="80" t="str">
        <f>HYPERLINK("https://twitter.com/leiamoneytimes/status/1704081726064988336")</f>
        <v>https://twitter.com/leiamoneytimes/status/1704081726064988336</v>
      </c>
      <c r="AF1728" s="79">
        <v>45188.441180555557</v>
      </c>
      <c r="AG1728" s="85">
        <v>45188</v>
      </c>
      <c r="AH1728" s="82" t="s">
        <v>9262</v>
      </c>
      <c r="AI1728" s="77" t="b">
        <v>0</v>
      </c>
      <c r="AJ1728" s="77"/>
      <c r="AK1728" s="77"/>
      <c r="AL1728" s="77"/>
      <c r="AM1728" s="77"/>
      <c r="AN1728" s="77"/>
      <c r="AO1728" s="77"/>
      <c r="AP1728" s="77"/>
      <c r="AQ1728" s="77"/>
      <c r="AR1728" s="77"/>
      <c r="AS1728" s="77"/>
      <c r="AT1728" s="77"/>
      <c r="AU1728" s="77"/>
      <c r="AV1728" s="80" t="str">
        <f>HYPERLINK("https://pbs.twimg.com/profile_images/1559883556846977024/bXHnQFY0_normal.jpg")</f>
        <v>https://pbs.twimg.com/profile_images/1559883556846977024/bXHnQFY0_normal.jpg</v>
      </c>
      <c r="AW1728" s="82" t="s">
        <v>13325</v>
      </c>
      <c r="AX1728" s="82" t="s">
        <v>13325</v>
      </c>
      <c r="AY1728" s="77"/>
      <c r="AZ1728" s="82" t="s">
        <v>15984</v>
      </c>
      <c r="BA1728" s="82" t="s">
        <v>15984</v>
      </c>
      <c r="BB1728" s="82" t="s">
        <v>15984</v>
      </c>
      <c r="BC1728" s="82" t="s">
        <v>13325</v>
      </c>
      <c r="BD1728" s="77">
        <v>51150679</v>
      </c>
      <c r="BE1728" s="77"/>
      <c r="BF1728" s="77"/>
      <c r="BG1728" s="77"/>
      <c r="BH1728" s="77"/>
      <c r="BI1728" s="77"/>
    </row>
    <row r="1729" spans="1:61" x14ac:dyDescent="0.25">
      <c r="A1729" s="62" t="s">
        <v>682</v>
      </c>
      <c r="B1729" s="62" t="s">
        <v>682</v>
      </c>
      <c r="C1729" s="63"/>
      <c r="D1729" s="64"/>
      <c r="E1729" s="65"/>
      <c r="F1729" s="66"/>
      <c r="G1729" s="63"/>
      <c r="H1729" s="67"/>
      <c r="I1729" s="68"/>
      <c r="J1729" s="68"/>
      <c r="K1729" s="32"/>
      <c r="L1729" s="75">
        <v>1729</v>
      </c>
      <c r="M1729" s="75"/>
      <c r="N1729" s="70"/>
      <c r="O1729" s="77" t="s">
        <v>179</v>
      </c>
      <c r="P1729" s="79">
        <v>45192.581238425926</v>
      </c>
      <c r="Q1729" s="77" t="s">
        <v>2430</v>
      </c>
      <c r="R1729" s="77">
        <v>1</v>
      </c>
      <c r="S1729" s="77">
        <v>0</v>
      </c>
      <c r="T1729" s="77">
        <v>1</v>
      </c>
      <c r="U1729" s="77">
        <v>0</v>
      </c>
      <c r="V1729" s="77">
        <v>909</v>
      </c>
      <c r="W1729" s="82" t="s">
        <v>5713</v>
      </c>
      <c r="X1729" s="80" t="str">
        <f>HYPERLINK("https://www.moneytimes.com.br/temporada-de-leiloes-de-imoveis-por-bancos-esquenta-vale-a-pena-comprar-nessas-operacoes/?ttmt")</f>
        <v>https://www.moneytimes.com.br/temporada-de-leiloes-de-imoveis-por-bancos-esquenta-vale-a-pena-comprar-nessas-operacoes/?ttmt</v>
      </c>
      <c r="Y1729" s="77" t="s">
        <v>6470</v>
      </c>
      <c r="Z1729" s="77"/>
      <c r="AA1729" s="77"/>
      <c r="AB1729" s="77"/>
      <c r="AC1729" s="82" t="s">
        <v>7750</v>
      </c>
      <c r="AD1729" s="77" t="s">
        <v>7788</v>
      </c>
      <c r="AE1729" s="80" t="str">
        <f>HYPERLINK("https://twitter.com/leiamoneytimes/status/1705582032745615436")</f>
        <v>https://twitter.com/leiamoneytimes/status/1705582032745615436</v>
      </c>
      <c r="AF1729" s="79">
        <v>45192.581238425926</v>
      </c>
      <c r="AG1729" s="85">
        <v>45192</v>
      </c>
      <c r="AH1729" s="82" t="s">
        <v>9263</v>
      </c>
      <c r="AI1729" s="77" t="b">
        <v>0</v>
      </c>
      <c r="AJ1729" s="77"/>
      <c r="AK1729" s="77"/>
      <c r="AL1729" s="77"/>
      <c r="AM1729" s="77"/>
      <c r="AN1729" s="77"/>
      <c r="AO1729" s="77"/>
      <c r="AP1729" s="77"/>
      <c r="AQ1729" s="77"/>
      <c r="AR1729" s="77"/>
      <c r="AS1729" s="77"/>
      <c r="AT1729" s="77"/>
      <c r="AU1729" s="77"/>
      <c r="AV1729" s="80" t="str">
        <f>HYPERLINK("https://pbs.twimg.com/profile_images/1559883556846977024/bXHnQFY0_normal.jpg")</f>
        <v>https://pbs.twimg.com/profile_images/1559883556846977024/bXHnQFY0_normal.jpg</v>
      </c>
      <c r="AW1729" s="82" t="s">
        <v>13326</v>
      </c>
      <c r="AX1729" s="82" t="s">
        <v>13326</v>
      </c>
      <c r="AY1729" s="77"/>
      <c r="AZ1729" s="82" t="s">
        <v>15984</v>
      </c>
      <c r="BA1729" s="82" t="s">
        <v>15984</v>
      </c>
      <c r="BB1729" s="82" t="s">
        <v>15984</v>
      </c>
      <c r="BC1729" s="82" t="s">
        <v>13326</v>
      </c>
      <c r="BD1729" s="77">
        <v>51150679</v>
      </c>
      <c r="BE1729" s="77"/>
      <c r="BF1729" s="77"/>
      <c r="BG1729" s="77"/>
      <c r="BH1729" s="77"/>
      <c r="BI1729" s="77"/>
    </row>
    <row r="1730" spans="1:61" x14ac:dyDescent="0.25">
      <c r="A1730" s="62" t="s">
        <v>682</v>
      </c>
      <c r="B1730" s="62" t="s">
        <v>682</v>
      </c>
      <c r="C1730" s="63"/>
      <c r="D1730" s="64"/>
      <c r="E1730" s="65"/>
      <c r="F1730" s="66"/>
      <c r="G1730" s="63"/>
      <c r="H1730" s="67"/>
      <c r="I1730" s="68"/>
      <c r="J1730" s="68"/>
      <c r="K1730" s="32"/>
      <c r="L1730" s="75">
        <v>1730</v>
      </c>
      <c r="M1730" s="75"/>
      <c r="N1730" s="70"/>
      <c r="O1730" s="77" t="s">
        <v>179</v>
      </c>
      <c r="P1730" s="79">
        <v>45188.958090277774</v>
      </c>
      <c r="Q1730" s="77" t="s">
        <v>2431</v>
      </c>
      <c r="R1730" s="77">
        <v>0</v>
      </c>
      <c r="S1730" s="77">
        <v>2</v>
      </c>
      <c r="T1730" s="77">
        <v>0</v>
      </c>
      <c r="U1730" s="77">
        <v>0</v>
      </c>
      <c r="V1730" s="77">
        <v>1076</v>
      </c>
      <c r="W1730" s="82" t="s">
        <v>5714</v>
      </c>
      <c r="X1730" s="80" t="str">
        <f>HYPERLINK("https://www.moneytimes.com.br/vai-ter-ipo-2w-ecobank-engaja-bancos-para-avaliar-estreia-na-bolsa/?ttmt")</f>
        <v>https://www.moneytimes.com.br/vai-ter-ipo-2w-ecobank-engaja-bancos-para-avaliar-estreia-na-bolsa/?ttmt</v>
      </c>
      <c r="Y1730" s="77" t="s">
        <v>6470</v>
      </c>
      <c r="Z1730" s="77"/>
      <c r="AA1730" s="77"/>
      <c r="AB1730" s="77"/>
      <c r="AC1730" s="82" t="s">
        <v>7750</v>
      </c>
      <c r="AD1730" s="77" t="s">
        <v>7788</v>
      </c>
      <c r="AE1730" s="80" t="str">
        <f>HYPERLINK("https://twitter.com/leiamoneytimes/status/1704269049914405233")</f>
        <v>https://twitter.com/leiamoneytimes/status/1704269049914405233</v>
      </c>
      <c r="AF1730" s="79">
        <v>45188.958090277774</v>
      </c>
      <c r="AG1730" s="85">
        <v>45188</v>
      </c>
      <c r="AH1730" s="82" t="s">
        <v>9264</v>
      </c>
      <c r="AI1730" s="77" t="b">
        <v>0</v>
      </c>
      <c r="AJ1730" s="77"/>
      <c r="AK1730" s="77"/>
      <c r="AL1730" s="77"/>
      <c r="AM1730" s="77"/>
      <c r="AN1730" s="77"/>
      <c r="AO1730" s="77"/>
      <c r="AP1730" s="77"/>
      <c r="AQ1730" s="77"/>
      <c r="AR1730" s="77"/>
      <c r="AS1730" s="77"/>
      <c r="AT1730" s="77"/>
      <c r="AU1730" s="77"/>
      <c r="AV1730" s="80" t="str">
        <f>HYPERLINK("https://pbs.twimg.com/profile_images/1559883556846977024/bXHnQFY0_normal.jpg")</f>
        <v>https://pbs.twimg.com/profile_images/1559883556846977024/bXHnQFY0_normal.jpg</v>
      </c>
      <c r="AW1730" s="82" t="s">
        <v>13327</v>
      </c>
      <c r="AX1730" s="82" t="s">
        <v>13327</v>
      </c>
      <c r="AY1730" s="77"/>
      <c r="AZ1730" s="82" t="s">
        <v>15984</v>
      </c>
      <c r="BA1730" s="82" t="s">
        <v>15984</v>
      </c>
      <c r="BB1730" s="82" t="s">
        <v>15984</v>
      </c>
      <c r="BC1730" s="82" t="s">
        <v>13327</v>
      </c>
      <c r="BD1730" s="77">
        <v>51150679</v>
      </c>
      <c r="BE1730" s="77"/>
      <c r="BF1730" s="77"/>
      <c r="BG1730" s="77"/>
      <c r="BH1730" s="77"/>
      <c r="BI1730" s="77"/>
    </row>
    <row r="1731" spans="1:61" x14ac:dyDescent="0.25">
      <c r="A1731" s="62" t="s">
        <v>682</v>
      </c>
      <c r="B1731" s="62" t="s">
        <v>682</v>
      </c>
      <c r="C1731" s="63"/>
      <c r="D1731" s="64"/>
      <c r="E1731" s="65"/>
      <c r="F1731" s="66"/>
      <c r="G1731" s="63"/>
      <c r="H1731" s="67"/>
      <c r="I1731" s="68"/>
      <c r="J1731" s="68"/>
      <c r="K1731" s="32"/>
      <c r="L1731" s="75">
        <v>1731</v>
      </c>
      <c r="M1731" s="75"/>
      <c r="N1731" s="70"/>
      <c r="O1731" s="77" t="s">
        <v>179</v>
      </c>
      <c r="P1731" s="79">
        <v>45187.529976851853</v>
      </c>
      <c r="Q1731" s="77" t="s">
        <v>2432</v>
      </c>
      <c r="R1731" s="77">
        <v>0</v>
      </c>
      <c r="S1731" s="77">
        <v>1</v>
      </c>
      <c r="T1731" s="77">
        <v>1</v>
      </c>
      <c r="U1731" s="77">
        <v>0</v>
      </c>
      <c r="V1731" s="77">
        <v>1003</v>
      </c>
      <c r="W1731" s="82" t="s">
        <v>5715</v>
      </c>
      <c r="X1731" s="80" t="str">
        <f>HYPERLINK("https://www.moneytimes.com.br/day-trade-hoje-comprar-jbs-jbss3-lojas-renner-lren3-acoes-18-09-2023/?ttmt")</f>
        <v>https://www.moneytimes.com.br/day-trade-hoje-comprar-jbs-jbss3-lojas-renner-lren3-acoes-18-09-2023/?ttmt</v>
      </c>
      <c r="Y1731" s="77" t="s">
        <v>6470</v>
      </c>
      <c r="Z1731" s="77"/>
      <c r="AA1731" s="77"/>
      <c r="AB1731" s="77"/>
      <c r="AC1731" s="82" t="s">
        <v>7750</v>
      </c>
      <c r="AD1731" s="77" t="s">
        <v>7788</v>
      </c>
      <c r="AE1731" s="80" t="str">
        <f>HYPERLINK("https://twitter.com/leiamoneytimes/status/1703751515859492910")</f>
        <v>https://twitter.com/leiamoneytimes/status/1703751515859492910</v>
      </c>
      <c r="AF1731" s="79">
        <v>45187.529976851853</v>
      </c>
      <c r="AG1731" s="85">
        <v>45187</v>
      </c>
      <c r="AH1731" s="82" t="s">
        <v>9265</v>
      </c>
      <c r="AI1731" s="77" t="b">
        <v>0</v>
      </c>
      <c r="AJ1731" s="77"/>
      <c r="AK1731" s="77"/>
      <c r="AL1731" s="77"/>
      <c r="AM1731" s="77"/>
      <c r="AN1731" s="77"/>
      <c r="AO1731" s="77"/>
      <c r="AP1731" s="77"/>
      <c r="AQ1731" s="77"/>
      <c r="AR1731" s="77"/>
      <c r="AS1731" s="77"/>
      <c r="AT1731" s="77"/>
      <c r="AU1731" s="77"/>
      <c r="AV1731" s="80" t="str">
        <f>HYPERLINK("https://pbs.twimg.com/profile_images/1559883556846977024/bXHnQFY0_normal.jpg")</f>
        <v>https://pbs.twimg.com/profile_images/1559883556846977024/bXHnQFY0_normal.jpg</v>
      </c>
      <c r="AW1731" s="82" t="s">
        <v>13328</v>
      </c>
      <c r="AX1731" s="82" t="s">
        <v>13328</v>
      </c>
      <c r="AY1731" s="77"/>
      <c r="AZ1731" s="82" t="s">
        <v>15984</v>
      </c>
      <c r="BA1731" s="82" t="s">
        <v>15984</v>
      </c>
      <c r="BB1731" s="82" t="s">
        <v>15984</v>
      </c>
      <c r="BC1731" s="82" t="s">
        <v>13328</v>
      </c>
      <c r="BD1731" s="77">
        <v>51150679</v>
      </c>
      <c r="BE1731" s="77"/>
      <c r="BF1731" s="77"/>
      <c r="BG1731" s="77"/>
      <c r="BH1731" s="77"/>
      <c r="BI1731" s="77"/>
    </row>
    <row r="1732" spans="1:61" x14ac:dyDescent="0.25">
      <c r="A1732" s="62" t="s">
        <v>682</v>
      </c>
      <c r="B1732" s="62" t="s">
        <v>682</v>
      </c>
      <c r="C1732" s="63"/>
      <c r="D1732" s="64"/>
      <c r="E1732" s="65"/>
      <c r="F1732" s="66"/>
      <c r="G1732" s="63"/>
      <c r="H1732" s="67"/>
      <c r="I1732" s="68"/>
      <c r="J1732" s="68"/>
      <c r="K1732" s="32"/>
      <c r="L1732" s="75">
        <v>1732</v>
      </c>
      <c r="M1732" s="75"/>
      <c r="N1732" s="70"/>
      <c r="O1732" s="77" t="s">
        <v>179</v>
      </c>
      <c r="P1732" s="79">
        <v>45195.762430555558</v>
      </c>
      <c r="Q1732" s="77" t="s">
        <v>2433</v>
      </c>
      <c r="R1732" s="77">
        <v>0</v>
      </c>
      <c r="S1732" s="77">
        <v>2</v>
      </c>
      <c r="T1732" s="77">
        <v>1</v>
      </c>
      <c r="U1732" s="77">
        <v>0</v>
      </c>
      <c r="V1732" s="77">
        <v>913</v>
      </c>
      <c r="W1732" s="82" t="s">
        <v>5716</v>
      </c>
      <c r="X1732" s="80" t="str">
        <f>HYPERLINK("https://www.moneytimes.com.br/ibovespa-ibov-em-queda-livre-mercado-esta-cetico-com-a-bolsa-veja-apostas-para-o-fim-do-ano/?ttmt")</f>
        <v>https://www.moneytimes.com.br/ibovespa-ibov-em-queda-livre-mercado-esta-cetico-com-a-bolsa-veja-apostas-para-o-fim-do-ano/?ttmt</v>
      </c>
      <c r="Y1732" s="77" t="s">
        <v>6470</v>
      </c>
      <c r="Z1732" s="77"/>
      <c r="AA1732" s="77"/>
      <c r="AB1732" s="77"/>
      <c r="AC1732" s="82" t="s">
        <v>7750</v>
      </c>
      <c r="AD1732" s="77" t="s">
        <v>7788</v>
      </c>
      <c r="AE1732" s="80" t="str">
        <f>HYPERLINK("https://twitter.com/leiamoneytimes/status/1706734860092502341")</f>
        <v>https://twitter.com/leiamoneytimes/status/1706734860092502341</v>
      </c>
      <c r="AF1732" s="79">
        <v>45195.762430555558</v>
      </c>
      <c r="AG1732" s="85">
        <v>45195</v>
      </c>
      <c r="AH1732" s="82" t="s">
        <v>9266</v>
      </c>
      <c r="AI1732" s="77" t="b">
        <v>0</v>
      </c>
      <c r="AJ1732" s="77"/>
      <c r="AK1732" s="77"/>
      <c r="AL1732" s="77"/>
      <c r="AM1732" s="77"/>
      <c r="AN1732" s="77"/>
      <c r="AO1732" s="77"/>
      <c r="AP1732" s="77"/>
      <c r="AQ1732" s="77"/>
      <c r="AR1732" s="77"/>
      <c r="AS1732" s="77"/>
      <c r="AT1732" s="77"/>
      <c r="AU1732" s="77"/>
      <c r="AV1732" s="80" t="str">
        <f>HYPERLINK("https://pbs.twimg.com/profile_images/1559883556846977024/bXHnQFY0_normal.jpg")</f>
        <v>https://pbs.twimg.com/profile_images/1559883556846977024/bXHnQFY0_normal.jpg</v>
      </c>
      <c r="AW1732" s="82" t="s">
        <v>13329</v>
      </c>
      <c r="AX1732" s="82" t="s">
        <v>13329</v>
      </c>
      <c r="AY1732" s="77"/>
      <c r="AZ1732" s="82" t="s">
        <v>15984</v>
      </c>
      <c r="BA1732" s="82" t="s">
        <v>15984</v>
      </c>
      <c r="BB1732" s="82" t="s">
        <v>15984</v>
      </c>
      <c r="BC1732" s="82" t="s">
        <v>13329</v>
      </c>
      <c r="BD1732" s="77">
        <v>51150679</v>
      </c>
      <c r="BE1732" s="77"/>
      <c r="BF1732" s="77"/>
      <c r="BG1732" s="77"/>
      <c r="BH1732" s="77"/>
      <c r="BI1732" s="77"/>
    </row>
    <row r="1733" spans="1:61" x14ac:dyDescent="0.25">
      <c r="A1733" s="62" t="s">
        <v>682</v>
      </c>
      <c r="B1733" s="62" t="s">
        <v>682</v>
      </c>
      <c r="C1733" s="63"/>
      <c r="D1733" s="64"/>
      <c r="E1733" s="65"/>
      <c r="F1733" s="66"/>
      <c r="G1733" s="63"/>
      <c r="H1733" s="67"/>
      <c r="I1733" s="68"/>
      <c r="J1733" s="68"/>
      <c r="K1733" s="32"/>
      <c r="L1733" s="75">
        <v>1733</v>
      </c>
      <c r="M1733" s="75"/>
      <c r="N1733" s="70"/>
      <c r="O1733" s="77" t="s">
        <v>179</v>
      </c>
      <c r="P1733" s="79">
        <v>45188.92559027778</v>
      </c>
      <c r="Q1733" s="77" t="s">
        <v>2434</v>
      </c>
      <c r="R1733" s="77">
        <v>0</v>
      </c>
      <c r="S1733" s="77">
        <v>2</v>
      </c>
      <c r="T1733" s="77">
        <v>0</v>
      </c>
      <c r="U1733" s="77">
        <v>0</v>
      </c>
      <c r="V1733" s="77">
        <v>1106</v>
      </c>
      <c r="W1733" s="82" t="s">
        <v>5717</v>
      </c>
      <c r="X1733" s="80" t="str">
        <f>HYPERLINK("https://www.moneytimes.com.br/vale-vale3-ou-csn-mineracao-cmin3-a-acao-para-comprar-segundo-genial/?ttmt")</f>
        <v>https://www.moneytimes.com.br/vale-vale3-ou-csn-mineracao-cmin3-a-acao-para-comprar-segundo-genial/?ttmt</v>
      </c>
      <c r="Y1733" s="77" t="s">
        <v>6470</v>
      </c>
      <c r="Z1733" s="77"/>
      <c r="AA1733" s="77"/>
      <c r="AB1733" s="77"/>
      <c r="AC1733" s="82" t="s">
        <v>7750</v>
      </c>
      <c r="AD1733" s="77" t="s">
        <v>7788</v>
      </c>
      <c r="AE1733" s="80" t="str">
        <f>HYPERLINK("https://twitter.com/leiamoneytimes/status/1704257271109214467")</f>
        <v>https://twitter.com/leiamoneytimes/status/1704257271109214467</v>
      </c>
      <c r="AF1733" s="79">
        <v>45188.92559027778</v>
      </c>
      <c r="AG1733" s="85">
        <v>45188</v>
      </c>
      <c r="AH1733" s="82" t="s">
        <v>9267</v>
      </c>
      <c r="AI1733" s="77" t="b">
        <v>0</v>
      </c>
      <c r="AJ1733" s="77"/>
      <c r="AK1733" s="77"/>
      <c r="AL1733" s="77"/>
      <c r="AM1733" s="77"/>
      <c r="AN1733" s="77"/>
      <c r="AO1733" s="77"/>
      <c r="AP1733" s="77"/>
      <c r="AQ1733" s="77"/>
      <c r="AR1733" s="77"/>
      <c r="AS1733" s="77"/>
      <c r="AT1733" s="77"/>
      <c r="AU1733" s="77"/>
      <c r="AV1733" s="80" t="str">
        <f>HYPERLINK("https://pbs.twimg.com/profile_images/1559883556846977024/bXHnQFY0_normal.jpg")</f>
        <v>https://pbs.twimg.com/profile_images/1559883556846977024/bXHnQFY0_normal.jpg</v>
      </c>
      <c r="AW1733" s="82" t="s">
        <v>13330</v>
      </c>
      <c r="AX1733" s="82" t="s">
        <v>13330</v>
      </c>
      <c r="AY1733" s="77"/>
      <c r="AZ1733" s="82" t="s">
        <v>15984</v>
      </c>
      <c r="BA1733" s="82" t="s">
        <v>15984</v>
      </c>
      <c r="BB1733" s="82" t="s">
        <v>15984</v>
      </c>
      <c r="BC1733" s="82" t="s">
        <v>13330</v>
      </c>
      <c r="BD1733" s="77">
        <v>51150679</v>
      </c>
      <c r="BE1733" s="77"/>
      <c r="BF1733" s="77"/>
      <c r="BG1733" s="77"/>
      <c r="BH1733" s="77"/>
      <c r="BI1733" s="77"/>
    </row>
    <row r="1734" spans="1:61" x14ac:dyDescent="0.25">
      <c r="A1734" s="62" t="s">
        <v>682</v>
      </c>
      <c r="B1734" s="62" t="s">
        <v>682</v>
      </c>
      <c r="C1734" s="63"/>
      <c r="D1734" s="64"/>
      <c r="E1734" s="65"/>
      <c r="F1734" s="66"/>
      <c r="G1734" s="63"/>
      <c r="H1734" s="67"/>
      <c r="I1734" s="68"/>
      <c r="J1734" s="68"/>
      <c r="K1734" s="32"/>
      <c r="L1734" s="75">
        <v>1734</v>
      </c>
      <c r="M1734" s="75"/>
      <c r="N1734" s="70"/>
      <c r="O1734" s="77" t="s">
        <v>179</v>
      </c>
      <c r="P1734" s="79">
        <v>45187.438854166663</v>
      </c>
      <c r="Q1734" s="77" t="s">
        <v>2435</v>
      </c>
      <c r="R1734" s="77">
        <v>0</v>
      </c>
      <c r="S1734" s="77">
        <v>4</v>
      </c>
      <c r="T1734" s="77">
        <v>0</v>
      </c>
      <c r="U1734" s="77">
        <v>0</v>
      </c>
      <c r="V1734" s="77">
        <v>1140</v>
      </c>
      <c r="W1734" s="82" t="s">
        <v>5718</v>
      </c>
      <c r="X1734" s="80" t="str">
        <f>HYPERLINK("https://www.moneytimes.com.br/tempo-real-ibovespa-hoje-mercado-ao-vivo-segunda-feira-18-09-2023/")</f>
        <v>https://www.moneytimes.com.br/tempo-real-ibovespa-hoje-mercado-ao-vivo-segunda-feira-18-09-2023/</v>
      </c>
      <c r="Y1734" s="77" t="s">
        <v>6470</v>
      </c>
      <c r="Z1734" s="77"/>
      <c r="AA1734" s="77"/>
      <c r="AB1734" s="77"/>
      <c r="AC1734" s="82" t="s">
        <v>7750</v>
      </c>
      <c r="AD1734" s="77" t="s">
        <v>7788</v>
      </c>
      <c r="AE1734" s="80" t="str">
        <f>HYPERLINK("https://twitter.com/leiamoneytimes/status/1703718497224679545")</f>
        <v>https://twitter.com/leiamoneytimes/status/1703718497224679545</v>
      </c>
      <c r="AF1734" s="79">
        <v>45187.438854166663</v>
      </c>
      <c r="AG1734" s="85">
        <v>45187</v>
      </c>
      <c r="AH1734" s="82" t="s">
        <v>9268</v>
      </c>
      <c r="AI1734" s="77" t="b">
        <v>0</v>
      </c>
      <c r="AJ1734" s="77"/>
      <c r="AK1734" s="77"/>
      <c r="AL1734" s="77"/>
      <c r="AM1734" s="77"/>
      <c r="AN1734" s="77"/>
      <c r="AO1734" s="77"/>
      <c r="AP1734" s="77"/>
      <c r="AQ1734" s="77"/>
      <c r="AR1734" s="77"/>
      <c r="AS1734" s="77"/>
      <c r="AT1734" s="77"/>
      <c r="AU1734" s="77"/>
      <c r="AV1734" s="80" t="str">
        <f>HYPERLINK("https://pbs.twimg.com/profile_images/1559883556846977024/bXHnQFY0_normal.jpg")</f>
        <v>https://pbs.twimg.com/profile_images/1559883556846977024/bXHnQFY0_normal.jpg</v>
      </c>
      <c r="AW1734" s="82" t="s">
        <v>13331</v>
      </c>
      <c r="AX1734" s="82" t="s">
        <v>13331</v>
      </c>
      <c r="AY1734" s="77"/>
      <c r="AZ1734" s="82" t="s">
        <v>15984</v>
      </c>
      <c r="BA1734" s="82" t="s">
        <v>15984</v>
      </c>
      <c r="BB1734" s="82" t="s">
        <v>15984</v>
      </c>
      <c r="BC1734" s="82" t="s">
        <v>13331</v>
      </c>
      <c r="BD1734" s="77">
        <v>51150679</v>
      </c>
      <c r="BE1734" s="77"/>
      <c r="BF1734" s="77"/>
      <c r="BG1734" s="77"/>
      <c r="BH1734" s="77"/>
      <c r="BI1734" s="77"/>
    </row>
    <row r="1735" spans="1:61" x14ac:dyDescent="0.25">
      <c r="A1735" s="62" t="s">
        <v>682</v>
      </c>
      <c r="B1735" s="62" t="s">
        <v>682</v>
      </c>
      <c r="C1735" s="63"/>
      <c r="D1735" s="64"/>
      <c r="E1735" s="65"/>
      <c r="F1735" s="66"/>
      <c r="G1735" s="63"/>
      <c r="H1735" s="67"/>
      <c r="I1735" s="68"/>
      <c r="J1735" s="68"/>
      <c r="K1735" s="32"/>
      <c r="L1735" s="75">
        <v>1735</v>
      </c>
      <c r="M1735" s="75"/>
      <c r="N1735" s="70"/>
      <c r="O1735" s="77" t="s">
        <v>179</v>
      </c>
      <c r="P1735" s="79">
        <v>45195.968541666669</v>
      </c>
      <c r="Q1735" s="77" t="s">
        <v>2436</v>
      </c>
      <c r="R1735" s="77">
        <v>0</v>
      </c>
      <c r="S1735" s="77">
        <v>3</v>
      </c>
      <c r="T1735" s="77">
        <v>1</v>
      </c>
      <c r="U1735" s="77">
        <v>0</v>
      </c>
      <c r="V1735" s="77">
        <v>1678</v>
      </c>
      <c r="W1735" s="82" t="s">
        <v>5719</v>
      </c>
      <c r="X1735" s="80" t="str">
        <f>HYPERLINK("https://www.moneytimes.com.br/bbse3-cxse3-ou-pssa3-uma-destas-seguradoras-e-a-rainha-dos-dividendos-segundo-analistas/?ttmt")</f>
        <v>https://www.moneytimes.com.br/bbse3-cxse3-ou-pssa3-uma-destas-seguradoras-e-a-rainha-dos-dividendos-segundo-analistas/?ttmt</v>
      </c>
      <c r="Y1735" s="77" t="s">
        <v>6470</v>
      </c>
      <c r="Z1735" s="77"/>
      <c r="AA1735" s="77"/>
      <c r="AB1735" s="77"/>
      <c r="AC1735" s="82" t="s">
        <v>7750</v>
      </c>
      <c r="AD1735" s="77" t="s">
        <v>7788</v>
      </c>
      <c r="AE1735" s="80" t="str">
        <f>HYPERLINK("https://twitter.com/leiamoneytimes/status/1706809549196308495")</f>
        <v>https://twitter.com/leiamoneytimes/status/1706809549196308495</v>
      </c>
      <c r="AF1735" s="79">
        <v>45195.968541666669</v>
      </c>
      <c r="AG1735" s="85">
        <v>45195</v>
      </c>
      <c r="AH1735" s="82" t="s">
        <v>9269</v>
      </c>
      <c r="AI1735" s="77" t="b">
        <v>0</v>
      </c>
      <c r="AJ1735" s="77"/>
      <c r="AK1735" s="77"/>
      <c r="AL1735" s="77"/>
      <c r="AM1735" s="77"/>
      <c r="AN1735" s="77"/>
      <c r="AO1735" s="77"/>
      <c r="AP1735" s="77"/>
      <c r="AQ1735" s="77"/>
      <c r="AR1735" s="77"/>
      <c r="AS1735" s="77"/>
      <c r="AT1735" s="77"/>
      <c r="AU1735" s="77"/>
      <c r="AV1735" s="80" t="str">
        <f>HYPERLINK("https://pbs.twimg.com/profile_images/1559883556846977024/bXHnQFY0_normal.jpg")</f>
        <v>https://pbs.twimg.com/profile_images/1559883556846977024/bXHnQFY0_normal.jpg</v>
      </c>
      <c r="AW1735" s="82" t="s">
        <v>13332</v>
      </c>
      <c r="AX1735" s="82" t="s">
        <v>13332</v>
      </c>
      <c r="AY1735" s="77"/>
      <c r="AZ1735" s="82" t="s">
        <v>15984</v>
      </c>
      <c r="BA1735" s="82" t="s">
        <v>15984</v>
      </c>
      <c r="BB1735" s="82" t="s">
        <v>15984</v>
      </c>
      <c r="BC1735" s="82" t="s">
        <v>13332</v>
      </c>
      <c r="BD1735" s="77">
        <v>51150679</v>
      </c>
      <c r="BE1735" s="77"/>
      <c r="BF1735" s="77"/>
      <c r="BG1735" s="77"/>
      <c r="BH1735" s="77"/>
      <c r="BI1735" s="77"/>
    </row>
    <row r="1736" spans="1:61" x14ac:dyDescent="0.25">
      <c r="A1736" s="62" t="s">
        <v>682</v>
      </c>
      <c r="B1736" s="62" t="s">
        <v>682</v>
      </c>
      <c r="C1736" s="63"/>
      <c r="D1736" s="64"/>
      <c r="E1736" s="65"/>
      <c r="F1736" s="66"/>
      <c r="G1736" s="63"/>
      <c r="H1736" s="67"/>
      <c r="I1736" s="68"/>
      <c r="J1736" s="68"/>
      <c r="K1736" s="32"/>
      <c r="L1736" s="75">
        <v>1736</v>
      </c>
      <c r="M1736" s="75"/>
      <c r="N1736" s="70"/>
      <c r="O1736" s="77" t="s">
        <v>179</v>
      </c>
      <c r="P1736" s="79">
        <v>45194.950729166667</v>
      </c>
      <c r="Q1736" s="77" t="s">
        <v>2437</v>
      </c>
      <c r="R1736" s="77">
        <v>0</v>
      </c>
      <c r="S1736" s="77">
        <v>2</v>
      </c>
      <c r="T1736" s="77">
        <v>1</v>
      </c>
      <c r="U1736" s="77">
        <v>0</v>
      </c>
      <c r="V1736" s="77">
        <v>1292</v>
      </c>
      <c r="W1736" s="82" t="s">
        <v>5720</v>
      </c>
      <c r="X1736" s="80" t="str">
        <f>HYPERLINK("https://www.moneytimes.com.br/eletrica-praticamente-no-zero-a-zero-em-2023-vai-deslanchar-bb-atualiza-potencial-da-acao/?ttmt")</f>
        <v>https://www.moneytimes.com.br/eletrica-praticamente-no-zero-a-zero-em-2023-vai-deslanchar-bb-atualiza-potencial-da-acao/?ttmt</v>
      </c>
      <c r="Y1736" s="77" t="s">
        <v>6470</v>
      </c>
      <c r="Z1736" s="77"/>
      <c r="AA1736" s="77"/>
      <c r="AB1736" s="77"/>
      <c r="AC1736" s="82" t="s">
        <v>7750</v>
      </c>
      <c r="AD1736" s="77" t="s">
        <v>7788</v>
      </c>
      <c r="AE1736" s="80" t="str">
        <f>HYPERLINK("https://twitter.com/leiamoneytimes/status/1706440706665964027")</f>
        <v>https://twitter.com/leiamoneytimes/status/1706440706665964027</v>
      </c>
      <c r="AF1736" s="79">
        <v>45194.950729166667</v>
      </c>
      <c r="AG1736" s="85">
        <v>45194</v>
      </c>
      <c r="AH1736" s="82" t="s">
        <v>9270</v>
      </c>
      <c r="AI1736" s="77" t="b">
        <v>0</v>
      </c>
      <c r="AJ1736" s="77"/>
      <c r="AK1736" s="77"/>
      <c r="AL1736" s="77"/>
      <c r="AM1736" s="77"/>
      <c r="AN1736" s="77"/>
      <c r="AO1736" s="77"/>
      <c r="AP1736" s="77"/>
      <c r="AQ1736" s="77"/>
      <c r="AR1736" s="77"/>
      <c r="AS1736" s="77"/>
      <c r="AT1736" s="77"/>
      <c r="AU1736" s="77"/>
      <c r="AV1736" s="80" t="str">
        <f>HYPERLINK("https://pbs.twimg.com/profile_images/1559883556846977024/bXHnQFY0_normal.jpg")</f>
        <v>https://pbs.twimg.com/profile_images/1559883556846977024/bXHnQFY0_normal.jpg</v>
      </c>
      <c r="AW1736" s="82" t="s">
        <v>13333</v>
      </c>
      <c r="AX1736" s="82" t="s">
        <v>13333</v>
      </c>
      <c r="AY1736" s="77"/>
      <c r="AZ1736" s="82" t="s">
        <v>15984</v>
      </c>
      <c r="BA1736" s="82" t="s">
        <v>15984</v>
      </c>
      <c r="BB1736" s="82" t="s">
        <v>15984</v>
      </c>
      <c r="BC1736" s="82" t="s">
        <v>13333</v>
      </c>
      <c r="BD1736" s="77">
        <v>51150679</v>
      </c>
      <c r="BE1736" s="77"/>
      <c r="BF1736" s="77"/>
      <c r="BG1736" s="77"/>
      <c r="BH1736" s="77"/>
      <c r="BI1736" s="77"/>
    </row>
    <row r="1737" spans="1:61" x14ac:dyDescent="0.25">
      <c r="A1737" s="62" t="s">
        <v>682</v>
      </c>
      <c r="B1737" s="62" t="s">
        <v>682</v>
      </c>
      <c r="C1737" s="63"/>
      <c r="D1737" s="64"/>
      <c r="E1737" s="65"/>
      <c r="F1737" s="66"/>
      <c r="G1737" s="63"/>
      <c r="H1737" s="67"/>
      <c r="I1737" s="68"/>
      <c r="J1737" s="68"/>
      <c r="K1737" s="32"/>
      <c r="L1737" s="75">
        <v>1737</v>
      </c>
      <c r="M1737" s="75"/>
      <c r="N1737" s="70"/>
      <c r="O1737" s="77" t="s">
        <v>179</v>
      </c>
      <c r="P1737" s="79">
        <v>45191.566666666666</v>
      </c>
      <c r="Q1737" s="77" t="s">
        <v>2438</v>
      </c>
      <c r="R1737" s="77">
        <v>0</v>
      </c>
      <c r="S1737" s="77">
        <v>1</v>
      </c>
      <c r="T1737" s="77">
        <v>1</v>
      </c>
      <c r="U1737" s="77">
        <v>0</v>
      </c>
      <c r="V1737" s="77">
        <v>770</v>
      </c>
      <c r="W1737" s="82" t="s">
        <v>5721</v>
      </c>
      <c r="X1737" s="80" t="str">
        <f>HYPERLINK("https://www.moneytimes.com.br/day-trade-hoje-vender-gol-goll4-eletrobras-elet3-acoes-sexta-feira-22-09-2023/?ttmt")</f>
        <v>https://www.moneytimes.com.br/day-trade-hoje-vender-gol-goll4-eletrobras-elet3-acoes-sexta-feira-22-09-2023/?ttmt</v>
      </c>
      <c r="Y1737" s="77" t="s">
        <v>6470</v>
      </c>
      <c r="Z1737" s="77"/>
      <c r="AA1737" s="77"/>
      <c r="AB1737" s="77"/>
      <c r="AC1737" s="82" t="s">
        <v>7750</v>
      </c>
      <c r="AD1737" s="77" t="s">
        <v>7788</v>
      </c>
      <c r="AE1737" s="80" t="str">
        <f>HYPERLINK("https://twitter.com/leiamoneytimes/status/1705214366381965324")</f>
        <v>https://twitter.com/leiamoneytimes/status/1705214366381965324</v>
      </c>
      <c r="AF1737" s="79">
        <v>45191.566666666666</v>
      </c>
      <c r="AG1737" s="85">
        <v>45191</v>
      </c>
      <c r="AH1737" s="82" t="s">
        <v>9271</v>
      </c>
      <c r="AI1737" s="77" t="b">
        <v>0</v>
      </c>
      <c r="AJ1737" s="77"/>
      <c r="AK1737" s="77"/>
      <c r="AL1737" s="77"/>
      <c r="AM1737" s="77"/>
      <c r="AN1737" s="77"/>
      <c r="AO1737" s="77"/>
      <c r="AP1737" s="77"/>
      <c r="AQ1737" s="77"/>
      <c r="AR1737" s="77"/>
      <c r="AS1737" s="77"/>
      <c r="AT1737" s="77"/>
      <c r="AU1737" s="77"/>
      <c r="AV1737" s="80" t="str">
        <f>HYPERLINK("https://pbs.twimg.com/profile_images/1559883556846977024/bXHnQFY0_normal.jpg")</f>
        <v>https://pbs.twimg.com/profile_images/1559883556846977024/bXHnQFY0_normal.jpg</v>
      </c>
      <c r="AW1737" s="82" t="s">
        <v>13334</v>
      </c>
      <c r="AX1737" s="82" t="s">
        <v>13334</v>
      </c>
      <c r="AY1737" s="77"/>
      <c r="AZ1737" s="82" t="s">
        <v>15984</v>
      </c>
      <c r="BA1737" s="82" t="s">
        <v>15984</v>
      </c>
      <c r="BB1737" s="82" t="s">
        <v>15984</v>
      </c>
      <c r="BC1737" s="82" t="s">
        <v>13334</v>
      </c>
      <c r="BD1737" s="77">
        <v>51150679</v>
      </c>
      <c r="BE1737" s="77"/>
      <c r="BF1737" s="77"/>
      <c r="BG1737" s="77"/>
      <c r="BH1737" s="77"/>
      <c r="BI1737" s="77"/>
    </row>
    <row r="1738" spans="1:61" x14ac:dyDescent="0.25">
      <c r="A1738" s="62" t="s">
        <v>682</v>
      </c>
      <c r="B1738" s="62" t="s">
        <v>682</v>
      </c>
      <c r="C1738" s="63"/>
      <c r="D1738" s="64"/>
      <c r="E1738" s="65"/>
      <c r="F1738" s="66"/>
      <c r="G1738" s="63"/>
      <c r="H1738" s="67"/>
      <c r="I1738" s="68"/>
      <c r="J1738" s="68"/>
      <c r="K1738" s="32"/>
      <c r="L1738" s="75">
        <v>1738</v>
      </c>
      <c r="M1738" s="75"/>
      <c r="N1738" s="70"/>
      <c r="O1738" s="77" t="s">
        <v>179</v>
      </c>
      <c r="P1738" s="79">
        <v>45188.680844907409</v>
      </c>
      <c r="Q1738" s="77" t="s">
        <v>2439</v>
      </c>
      <c r="R1738" s="77">
        <v>0</v>
      </c>
      <c r="S1738" s="77">
        <v>0</v>
      </c>
      <c r="T1738" s="77">
        <v>1</v>
      </c>
      <c r="U1738" s="77">
        <v>0</v>
      </c>
      <c r="V1738" s="77">
        <v>913</v>
      </c>
      <c r="W1738" s="82" t="s">
        <v>5722</v>
      </c>
      <c r="X1738" s="80" t="str">
        <f>HYPERLINK("https://www.moneytimes.com.br/sabesp-sbsp3-privatizacao-sao-paulo-19-09-2023/?ttmt")</f>
        <v>https://www.moneytimes.com.br/sabesp-sbsp3-privatizacao-sao-paulo-19-09-2023/?ttmt</v>
      </c>
      <c r="Y1738" s="77" t="s">
        <v>6470</v>
      </c>
      <c r="Z1738" s="77"/>
      <c r="AA1738" s="77"/>
      <c r="AB1738" s="77"/>
      <c r="AC1738" s="82" t="s">
        <v>7750</v>
      </c>
      <c r="AD1738" s="77" t="s">
        <v>7788</v>
      </c>
      <c r="AE1738" s="80" t="str">
        <f>HYPERLINK("https://twitter.com/leiamoneytimes/status/1704168578755256789")</f>
        <v>https://twitter.com/leiamoneytimes/status/1704168578755256789</v>
      </c>
      <c r="AF1738" s="79">
        <v>45188.680844907409</v>
      </c>
      <c r="AG1738" s="85">
        <v>45188</v>
      </c>
      <c r="AH1738" s="82" t="s">
        <v>9272</v>
      </c>
      <c r="AI1738" s="77" t="b">
        <v>0</v>
      </c>
      <c r="AJ1738" s="77"/>
      <c r="AK1738" s="77"/>
      <c r="AL1738" s="77"/>
      <c r="AM1738" s="77"/>
      <c r="AN1738" s="77"/>
      <c r="AO1738" s="77"/>
      <c r="AP1738" s="77"/>
      <c r="AQ1738" s="77"/>
      <c r="AR1738" s="77"/>
      <c r="AS1738" s="77"/>
      <c r="AT1738" s="77"/>
      <c r="AU1738" s="77"/>
      <c r="AV1738" s="80" t="str">
        <f>HYPERLINK("https://pbs.twimg.com/profile_images/1559883556846977024/bXHnQFY0_normal.jpg")</f>
        <v>https://pbs.twimg.com/profile_images/1559883556846977024/bXHnQFY0_normal.jpg</v>
      </c>
      <c r="AW1738" s="82" t="s">
        <v>13335</v>
      </c>
      <c r="AX1738" s="82" t="s">
        <v>13335</v>
      </c>
      <c r="AY1738" s="77"/>
      <c r="AZ1738" s="82" t="s">
        <v>15984</v>
      </c>
      <c r="BA1738" s="82" t="s">
        <v>15984</v>
      </c>
      <c r="BB1738" s="82" t="s">
        <v>15984</v>
      </c>
      <c r="BC1738" s="82" t="s">
        <v>13335</v>
      </c>
      <c r="BD1738" s="77">
        <v>51150679</v>
      </c>
      <c r="BE1738" s="77"/>
      <c r="BF1738" s="77"/>
      <c r="BG1738" s="77"/>
      <c r="BH1738" s="77"/>
      <c r="BI1738" s="77"/>
    </row>
    <row r="1739" spans="1:61" x14ac:dyDescent="0.25">
      <c r="A1739" s="62" t="s">
        <v>682</v>
      </c>
      <c r="B1739" s="62" t="s">
        <v>682</v>
      </c>
      <c r="C1739" s="63"/>
      <c r="D1739" s="64"/>
      <c r="E1739" s="65"/>
      <c r="F1739" s="66"/>
      <c r="G1739" s="63"/>
      <c r="H1739" s="67"/>
      <c r="I1739" s="68"/>
      <c r="J1739" s="68"/>
      <c r="K1739" s="32"/>
      <c r="L1739" s="75">
        <v>1739</v>
      </c>
      <c r="M1739" s="75"/>
      <c r="N1739" s="70"/>
      <c r="O1739" s="77" t="s">
        <v>179</v>
      </c>
      <c r="P1739" s="79">
        <v>45185.852060185185</v>
      </c>
      <c r="Q1739" s="77" t="s">
        <v>2440</v>
      </c>
      <c r="R1739" s="77">
        <v>0</v>
      </c>
      <c r="S1739" s="77">
        <v>3</v>
      </c>
      <c r="T1739" s="77">
        <v>1</v>
      </c>
      <c r="U1739" s="77">
        <v>0</v>
      </c>
      <c r="V1739" s="77">
        <v>1525</v>
      </c>
      <c r="W1739" s="82" t="s">
        <v>5723</v>
      </c>
      <c r="X1739" s="80" t="str">
        <f>HYPERLINK("https://www.moneytimes.com.br/a-joia-da-renda-fixa-para-poder-ganhar-muito-dinheiro-nos-proximos-dois-anos-confira-titulos-cdbs/?ttmt")</f>
        <v>https://www.moneytimes.com.br/a-joia-da-renda-fixa-para-poder-ganhar-muito-dinheiro-nos-proximos-dois-anos-confira-titulos-cdbs/?ttmt</v>
      </c>
      <c r="Y1739" s="77" t="s">
        <v>6470</v>
      </c>
      <c r="Z1739" s="77"/>
      <c r="AA1739" s="77"/>
      <c r="AB1739" s="77"/>
      <c r="AC1739" s="82" t="s">
        <v>7750</v>
      </c>
      <c r="AD1739" s="77" t="s">
        <v>7788</v>
      </c>
      <c r="AE1739" s="80" t="str">
        <f>HYPERLINK("https://twitter.com/leiamoneytimes/status/1703143459668812283")</f>
        <v>https://twitter.com/leiamoneytimes/status/1703143459668812283</v>
      </c>
      <c r="AF1739" s="79">
        <v>45185.852060185185</v>
      </c>
      <c r="AG1739" s="85">
        <v>45185</v>
      </c>
      <c r="AH1739" s="82" t="s">
        <v>9273</v>
      </c>
      <c r="AI1739" s="77" t="b">
        <v>0</v>
      </c>
      <c r="AJ1739" s="77"/>
      <c r="AK1739" s="77"/>
      <c r="AL1739" s="77"/>
      <c r="AM1739" s="77"/>
      <c r="AN1739" s="77"/>
      <c r="AO1739" s="77"/>
      <c r="AP1739" s="77"/>
      <c r="AQ1739" s="77"/>
      <c r="AR1739" s="77"/>
      <c r="AS1739" s="77"/>
      <c r="AT1739" s="77"/>
      <c r="AU1739" s="77"/>
      <c r="AV1739" s="80" t="str">
        <f>HYPERLINK("https://pbs.twimg.com/profile_images/1559883556846977024/bXHnQFY0_normal.jpg")</f>
        <v>https://pbs.twimg.com/profile_images/1559883556846977024/bXHnQFY0_normal.jpg</v>
      </c>
      <c r="AW1739" s="82" t="s">
        <v>13336</v>
      </c>
      <c r="AX1739" s="82" t="s">
        <v>13336</v>
      </c>
      <c r="AY1739" s="77"/>
      <c r="AZ1739" s="82" t="s">
        <v>15984</v>
      </c>
      <c r="BA1739" s="82" t="s">
        <v>15984</v>
      </c>
      <c r="BB1739" s="82" t="s">
        <v>15984</v>
      </c>
      <c r="BC1739" s="82" t="s">
        <v>13336</v>
      </c>
      <c r="BD1739" s="77">
        <v>51150679</v>
      </c>
      <c r="BE1739" s="77"/>
      <c r="BF1739" s="77"/>
      <c r="BG1739" s="77"/>
      <c r="BH1739" s="77"/>
      <c r="BI1739" s="77"/>
    </row>
    <row r="1740" spans="1:61" x14ac:dyDescent="0.25">
      <c r="A1740" s="62" t="s">
        <v>682</v>
      </c>
      <c r="B1740" s="62" t="s">
        <v>682</v>
      </c>
      <c r="C1740" s="63"/>
      <c r="D1740" s="64"/>
      <c r="E1740" s="65"/>
      <c r="F1740" s="66"/>
      <c r="G1740" s="63"/>
      <c r="H1740" s="67"/>
      <c r="I1740" s="68"/>
      <c r="J1740" s="68"/>
      <c r="K1740" s="32"/>
      <c r="L1740" s="75">
        <v>1740</v>
      </c>
      <c r="M1740" s="75"/>
      <c r="N1740" s="70"/>
      <c r="O1740" s="77" t="s">
        <v>179</v>
      </c>
      <c r="P1740" s="79">
        <v>45185.849398148152</v>
      </c>
      <c r="Q1740" s="77" t="s">
        <v>2441</v>
      </c>
      <c r="R1740" s="77">
        <v>0</v>
      </c>
      <c r="S1740" s="77">
        <v>5</v>
      </c>
      <c r="T1740" s="77">
        <v>1</v>
      </c>
      <c r="U1740" s="77">
        <v>0</v>
      </c>
      <c r="V1740" s="77">
        <v>1737</v>
      </c>
      <c r="W1740" s="82" t="s">
        <v>5724</v>
      </c>
      <c r="X1740" s="80" t="str">
        <f>HYPERLINK("https://www.moneytimes.com.br/o-banco-que-e-uma-opcao-acima-das-demais-atrativa-acao-ainda-pode-subir-30-diz-bbi/?ttmt")</f>
        <v>https://www.moneytimes.com.br/o-banco-que-e-uma-opcao-acima-das-demais-atrativa-acao-ainda-pode-subir-30-diz-bbi/?ttmt</v>
      </c>
      <c r="Y1740" s="77" t="s">
        <v>6470</v>
      </c>
      <c r="Z1740" s="77"/>
      <c r="AA1740" s="77"/>
      <c r="AB1740" s="77"/>
      <c r="AC1740" s="82" t="s">
        <v>7750</v>
      </c>
      <c r="AD1740" s="77" t="s">
        <v>7788</v>
      </c>
      <c r="AE1740" s="80" t="str">
        <f>HYPERLINK("https://twitter.com/leiamoneytimes/status/1703142494769144125")</f>
        <v>https://twitter.com/leiamoneytimes/status/1703142494769144125</v>
      </c>
      <c r="AF1740" s="79">
        <v>45185.849398148152</v>
      </c>
      <c r="AG1740" s="85">
        <v>45185</v>
      </c>
      <c r="AH1740" s="82" t="s">
        <v>9274</v>
      </c>
      <c r="AI1740" s="77" t="b">
        <v>0</v>
      </c>
      <c r="AJ1740" s="77"/>
      <c r="AK1740" s="77"/>
      <c r="AL1740" s="77"/>
      <c r="AM1740" s="77"/>
      <c r="AN1740" s="77"/>
      <c r="AO1740" s="77"/>
      <c r="AP1740" s="77"/>
      <c r="AQ1740" s="77"/>
      <c r="AR1740" s="77"/>
      <c r="AS1740" s="77"/>
      <c r="AT1740" s="77"/>
      <c r="AU1740" s="77"/>
      <c r="AV1740" s="80" t="str">
        <f>HYPERLINK("https://pbs.twimg.com/profile_images/1559883556846977024/bXHnQFY0_normal.jpg")</f>
        <v>https://pbs.twimg.com/profile_images/1559883556846977024/bXHnQFY0_normal.jpg</v>
      </c>
      <c r="AW1740" s="82" t="s">
        <v>13337</v>
      </c>
      <c r="AX1740" s="82" t="s">
        <v>13337</v>
      </c>
      <c r="AY1740" s="77"/>
      <c r="AZ1740" s="82" t="s">
        <v>15984</v>
      </c>
      <c r="BA1740" s="82" t="s">
        <v>15984</v>
      </c>
      <c r="BB1740" s="82" t="s">
        <v>15984</v>
      </c>
      <c r="BC1740" s="82" t="s">
        <v>13337</v>
      </c>
      <c r="BD1740" s="77">
        <v>51150679</v>
      </c>
      <c r="BE1740" s="77"/>
      <c r="BF1740" s="77"/>
      <c r="BG1740" s="77"/>
      <c r="BH1740" s="77"/>
      <c r="BI1740" s="77"/>
    </row>
    <row r="1741" spans="1:61" x14ac:dyDescent="0.25">
      <c r="A1741" s="62" t="s">
        <v>682</v>
      </c>
      <c r="B1741" s="62" t="s">
        <v>682</v>
      </c>
      <c r="C1741" s="63"/>
      <c r="D1741" s="64"/>
      <c r="E1741" s="65"/>
      <c r="F1741" s="66"/>
      <c r="G1741" s="63"/>
      <c r="H1741" s="67"/>
      <c r="I1741" s="68"/>
      <c r="J1741" s="68"/>
      <c r="K1741" s="32"/>
      <c r="L1741" s="75">
        <v>1741</v>
      </c>
      <c r="M1741" s="75"/>
      <c r="N1741" s="70"/>
      <c r="O1741" s="77" t="s">
        <v>179</v>
      </c>
      <c r="P1741" s="79">
        <v>45185.731053240743</v>
      </c>
      <c r="Q1741" s="77" t="s">
        <v>2442</v>
      </c>
      <c r="R1741" s="77">
        <v>0</v>
      </c>
      <c r="S1741" s="77">
        <v>5</v>
      </c>
      <c r="T1741" s="77">
        <v>1</v>
      </c>
      <c r="U1741" s="77">
        <v>0</v>
      </c>
      <c r="V1741" s="77">
        <v>1500</v>
      </c>
      <c r="W1741" s="82" t="s">
        <v>5725</v>
      </c>
      <c r="X1741" s="80" t="str">
        <f>HYPERLINK("https://www.moneytimes.com.br/casas-bahia-viia3-desaba-35-na-bolsa-em-semana-agitada-veja-resumo-e-recomendacao-para-acoes/?ttmt")</f>
        <v>https://www.moneytimes.com.br/casas-bahia-viia3-desaba-35-na-bolsa-em-semana-agitada-veja-resumo-e-recomendacao-para-acoes/?ttmt</v>
      </c>
      <c r="Y1741" s="77" t="s">
        <v>6470</v>
      </c>
      <c r="Z1741" s="77"/>
      <c r="AA1741" s="77"/>
      <c r="AB1741" s="77"/>
      <c r="AC1741" s="82" t="s">
        <v>7750</v>
      </c>
      <c r="AD1741" s="77" t="s">
        <v>7788</v>
      </c>
      <c r="AE1741" s="80" t="str">
        <f>HYPERLINK("https://twitter.com/leiamoneytimes/status/1703099609239724163")</f>
        <v>https://twitter.com/leiamoneytimes/status/1703099609239724163</v>
      </c>
      <c r="AF1741" s="79">
        <v>45185.731053240743</v>
      </c>
      <c r="AG1741" s="85">
        <v>45185</v>
      </c>
      <c r="AH1741" s="82" t="s">
        <v>9275</v>
      </c>
      <c r="AI1741" s="77" t="b">
        <v>0</v>
      </c>
      <c r="AJ1741" s="77"/>
      <c r="AK1741" s="77"/>
      <c r="AL1741" s="77"/>
      <c r="AM1741" s="77"/>
      <c r="AN1741" s="77"/>
      <c r="AO1741" s="77"/>
      <c r="AP1741" s="77"/>
      <c r="AQ1741" s="77"/>
      <c r="AR1741" s="77"/>
      <c r="AS1741" s="77"/>
      <c r="AT1741" s="77"/>
      <c r="AU1741" s="77"/>
      <c r="AV1741" s="80" t="str">
        <f>HYPERLINK("https://pbs.twimg.com/profile_images/1559883556846977024/bXHnQFY0_normal.jpg")</f>
        <v>https://pbs.twimg.com/profile_images/1559883556846977024/bXHnQFY0_normal.jpg</v>
      </c>
      <c r="AW1741" s="82" t="s">
        <v>13338</v>
      </c>
      <c r="AX1741" s="82" t="s">
        <v>13338</v>
      </c>
      <c r="AY1741" s="77"/>
      <c r="AZ1741" s="82" t="s">
        <v>15984</v>
      </c>
      <c r="BA1741" s="82" t="s">
        <v>15984</v>
      </c>
      <c r="BB1741" s="82" t="s">
        <v>15984</v>
      </c>
      <c r="BC1741" s="82" t="s">
        <v>13338</v>
      </c>
      <c r="BD1741" s="77">
        <v>51150679</v>
      </c>
      <c r="BE1741" s="77"/>
      <c r="BF1741" s="77"/>
      <c r="BG1741" s="77"/>
      <c r="BH1741" s="77"/>
      <c r="BI1741" s="77"/>
    </row>
    <row r="1742" spans="1:61" x14ac:dyDescent="0.25">
      <c r="A1742" s="62" t="s">
        <v>682</v>
      </c>
      <c r="B1742" s="62" t="s">
        <v>682</v>
      </c>
      <c r="C1742" s="63"/>
      <c r="D1742" s="64"/>
      <c r="E1742" s="65"/>
      <c r="F1742" s="66"/>
      <c r="G1742" s="63"/>
      <c r="H1742" s="67"/>
      <c r="I1742" s="68"/>
      <c r="J1742" s="68"/>
      <c r="K1742" s="32"/>
      <c r="L1742" s="75">
        <v>1742</v>
      </c>
      <c r="M1742" s="75"/>
      <c r="N1742" s="70"/>
      <c r="O1742" s="77" t="s">
        <v>179</v>
      </c>
      <c r="P1742" s="79">
        <v>45185.676157407404</v>
      </c>
      <c r="Q1742" s="77" t="s">
        <v>2443</v>
      </c>
      <c r="R1742" s="77">
        <v>1</v>
      </c>
      <c r="S1742" s="77">
        <v>4</v>
      </c>
      <c r="T1742" s="77">
        <v>1</v>
      </c>
      <c r="U1742" s="77">
        <v>0</v>
      </c>
      <c r="V1742" s="77">
        <v>1355</v>
      </c>
      <c r="W1742" s="82" t="s">
        <v>5726</v>
      </c>
      <c r="X1742" s="80" t="str">
        <f>HYPERLINK("https://www.moneytimes.com.br/dividendos-e-jcp-itau-itub4-vivo-vivt3-e-mais-2-tem-data-com-na-3a-semana-do-mes-veja/?ttmt")</f>
        <v>https://www.moneytimes.com.br/dividendos-e-jcp-itau-itub4-vivo-vivt3-e-mais-2-tem-data-com-na-3a-semana-do-mes-veja/?ttmt</v>
      </c>
      <c r="Y1742" s="77" t="s">
        <v>6470</v>
      </c>
      <c r="Z1742" s="77"/>
      <c r="AA1742" s="77"/>
      <c r="AB1742" s="77"/>
      <c r="AC1742" s="82" t="s">
        <v>7750</v>
      </c>
      <c r="AD1742" s="77" t="s">
        <v>7788</v>
      </c>
      <c r="AE1742" s="80" t="str">
        <f>HYPERLINK("https://twitter.com/leiamoneytimes/status/1703079717383881049")</f>
        <v>https://twitter.com/leiamoneytimes/status/1703079717383881049</v>
      </c>
      <c r="AF1742" s="79">
        <v>45185.676157407404</v>
      </c>
      <c r="AG1742" s="85">
        <v>45185</v>
      </c>
      <c r="AH1742" s="82" t="s">
        <v>9276</v>
      </c>
      <c r="AI1742" s="77" t="b">
        <v>0</v>
      </c>
      <c r="AJ1742" s="77"/>
      <c r="AK1742" s="77"/>
      <c r="AL1742" s="77"/>
      <c r="AM1742" s="77"/>
      <c r="AN1742" s="77"/>
      <c r="AO1742" s="77"/>
      <c r="AP1742" s="77"/>
      <c r="AQ1742" s="77"/>
      <c r="AR1742" s="77"/>
      <c r="AS1742" s="77"/>
      <c r="AT1742" s="77"/>
      <c r="AU1742" s="77"/>
      <c r="AV1742" s="80" t="str">
        <f>HYPERLINK("https://pbs.twimg.com/profile_images/1559883556846977024/bXHnQFY0_normal.jpg")</f>
        <v>https://pbs.twimg.com/profile_images/1559883556846977024/bXHnQFY0_normal.jpg</v>
      </c>
      <c r="AW1742" s="82" t="s">
        <v>13339</v>
      </c>
      <c r="AX1742" s="82" t="s">
        <v>13339</v>
      </c>
      <c r="AY1742" s="77"/>
      <c r="AZ1742" s="82" t="s">
        <v>15984</v>
      </c>
      <c r="BA1742" s="82" t="s">
        <v>15984</v>
      </c>
      <c r="BB1742" s="82" t="s">
        <v>15984</v>
      </c>
      <c r="BC1742" s="82" t="s">
        <v>13339</v>
      </c>
      <c r="BD1742" s="77">
        <v>51150679</v>
      </c>
      <c r="BE1742" s="77"/>
      <c r="BF1742" s="77"/>
      <c r="BG1742" s="77"/>
      <c r="BH1742" s="77"/>
      <c r="BI1742" s="77"/>
    </row>
    <row r="1743" spans="1:61" x14ac:dyDescent="0.25">
      <c r="A1743" s="62" t="s">
        <v>682</v>
      </c>
      <c r="B1743" s="62" t="s">
        <v>682</v>
      </c>
      <c r="C1743" s="63"/>
      <c r="D1743" s="64"/>
      <c r="E1743" s="65"/>
      <c r="F1743" s="66"/>
      <c r="G1743" s="63"/>
      <c r="H1743" s="67"/>
      <c r="I1743" s="68"/>
      <c r="J1743" s="68"/>
      <c r="K1743" s="32"/>
      <c r="L1743" s="75">
        <v>1743</v>
      </c>
      <c r="M1743" s="75"/>
      <c r="N1743" s="70"/>
      <c r="O1743" s="77" t="s">
        <v>179</v>
      </c>
      <c r="P1743" s="79">
        <v>45185.632071759261</v>
      </c>
      <c r="Q1743" s="77" t="s">
        <v>2444</v>
      </c>
      <c r="R1743" s="77">
        <v>0</v>
      </c>
      <c r="S1743" s="77">
        <v>4</v>
      </c>
      <c r="T1743" s="77">
        <v>1</v>
      </c>
      <c r="U1743" s="77">
        <v>0</v>
      </c>
      <c r="V1743" s="77">
        <v>1266</v>
      </c>
      <c r="W1743" s="82" t="s">
        <v>5727</v>
      </c>
      <c r="X1743" s="80" t="str">
        <f>HYPERLINK("https://www.moneytimes.com.br/selic-a-1275-mercado-fica-no-aguardo-do-copom-confira-a-agenda-da-semana/?ttmt")</f>
        <v>https://www.moneytimes.com.br/selic-a-1275-mercado-fica-no-aguardo-do-copom-confira-a-agenda-da-semana/?ttmt</v>
      </c>
      <c r="Y1743" s="77" t="s">
        <v>6470</v>
      </c>
      <c r="Z1743" s="77"/>
      <c r="AA1743" s="77"/>
      <c r="AB1743" s="77"/>
      <c r="AC1743" s="82" t="s">
        <v>7750</v>
      </c>
      <c r="AD1743" s="77" t="s">
        <v>7788</v>
      </c>
      <c r="AE1743" s="80" t="str">
        <f>HYPERLINK("https://twitter.com/leiamoneytimes/status/1703063739166019966")</f>
        <v>https://twitter.com/leiamoneytimes/status/1703063739166019966</v>
      </c>
      <c r="AF1743" s="79">
        <v>45185.632071759261</v>
      </c>
      <c r="AG1743" s="85">
        <v>45185</v>
      </c>
      <c r="AH1743" s="82" t="s">
        <v>9277</v>
      </c>
      <c r="AI1743" s="77" t="b">
        <v>0</v>
      </c>
      <c r="AJ1743" s="77"/>
      <c r="AK1743" s="77"/>
      <c r="AL1743" s="77"/>
      <c r="AM1743" s="77"/>
      <c r="AN1743" s="77"/>
      <c r="AO1743" s="77"/>
      <c r="AP1743" s="77"/>
      <c r="AQ1743" s="77"/>
      <c r="AR1743" s="77"/>
      <c r="AS1743" s="77"/>
      <c r="AT1743" s="77"/>
      <c r="AU1743" s="77"/>
      <c r="AV1743" s="80" t="str">
        <f>HYPERLINK("https://pbs.twimg.com/profile_images/1559883556846977024/bXHnQFY0_normal.jpg")</f>
        <v>https://pbs.twimg.com/profile_images/1559883556846977024/bXHnQFY0_normal.jpg</v>
      </c>
      <c r="AW1743" s="82" t="s">
        <v>13340</v>
      </c>
      <c r="AX1743" s="82" t="s">
        <v>13340</v>
      </c>
      <c r="AY1743" s="77"/>
      <c r="AZ1743" s="82" t="s">
        <v>15984</v>
      </c>
      <c r="BA1743" s="82" t="s">
        <v>15984</v>
      </c>
      <c r="BB1743" s="82" t="s">
        <v>15984</v>
      </c>
      <c r="BC1743" s="82" t="s">
        <v>13340</v>
      </c>
      <c r="BD1743" s="77">
        <v>51150679</v>
      </c>
      <c r="BE1743" s="77"/>
      <c r="BF1743" s="77"/>
      <c r="BG1743" s="77"/>
      <c r="BH1743" s="77"/>
      <c r="BI1743" s="77"/>
    </row>
    <row r="1744" spans="1:61" x14ac:dyDescent="0.25">
      <c r="A1744" s="62" t="s">
        <v>682</v>
      </c>
      <c r="B1744" s="62" t="s">
        <v>682</v>
      </c>
      <c r="C1744" s="63"/>
      <c r="D1744" s="64"/>
      <c r="E1744" s="65"/>
      <c r="F1744" s="66"/>
      <c r="G1744" s="63"/>
      <c r="H1744" s="67"/>
      <c r="I1744" s="68"/>
      <c r="J1744" s="68"/>
      <c r="K1744" s="32"/>
      <c r="L1744" s="75">
        <v>1744</v>
      </c>
      <c r="M1744" s="75"/>
      <c r="N1744" s="70"/>
      <c r="O1744" s="77" t="s">
        <v>179</v>
      </c>
      <c r="P1744" s="79">
        <v>45196.908587962964</v>
      </c>
      <c r="Q1744" s="77" t="s">
        <v>2445</v>
      </c>
      <c r="R1744" s="77">
        <v>0</v>
      </c>
      <c r="S1744" s="77">
        <v>3</v>
      </c>
      <c r="T1744" s="77">
        <v>3</v>
      </c>
      <c r="U1744" s="77">
        <v>0</v>
      </c>
      <c r="V1744" s="77">
        <v>1616</v>
      </c>
      <c r="W1744" s="82" t="s">
        <v>5728</v>
      </c>
      <c r="X1744" s="80" t="str">
        <f>HYPERLINK("https://www.moneytimes.com.br/magazine-luiza-mglu3-esta-nas-minimas-do-ano-entenda-o-que-abala-a-acao-e-veja-recomendacoes/?ttmt")</f>
        <v>https://www.moneytimes.com.br/magazine-luiza-mglu3-esta-nas-minimas-do-ano-entenda-o-que-abala-a-acao-e-veja-recomendacoes/?ttmt</v>
      </c>
      <c r="Y1744" s="77" t="s">
        <v>6470</v>
      </c>
      <c r="Z1744" s="77"/>
      <c r="AA1744" s="77"/>
      <c r="AB1744" s="77"/>
      <c r="AC1744" s="82" t="s">
        <v>7750</v>
      </c>
      <c r="AD1744" s="77" t="s">
        <v>7788</v>
      </c>
      <c r="AE1744" s="80" t="str">
        <f>HYPERLINK("https://twitter.com/leiamoneytimes/status/1707150210344919126")</f>
        <v>https://twitter.com/leiamoneytimes/status/1707150210344919126</v>
      </c>
      <c r="AF1744" s="79">
        <v>45196.908587962964</v>
      </c>
      <c r="AG1744" s="85">
        <v>45196</v>
      </c>
      <c r="AH1744" s="82" t="s">
        <v>9278</v>
      </c>
      <c r="AI1744" s="77" t="b">
        <v>0</v>
      </c>
      <c r="AJ1744" s="77"/>
      <c r="AK1744" s="77"/>
      <c r="AL1744" s="77"/>
      <c r="AM1744" s="77"/>
      <c r="AN1744" s="77"/>
      <c r="AO1744" s="77"/>
      <c r="AP1744" s="77"/>
      <c r="AQ1744" s="77"/>
      <c r="AR1744" s="77"/>
      <c r="AS1744" s="77"/>
      <c r="AT1744" s="77"/>
      <c r="AU1744" s="77"/>
      <c r="AV1744" s="80" t="str">
        <f>HYPERLINK("https://pbs.twimg.com/profile_images/1559883556846977024/bXHnQFY0_normal.jpg")</f>
        <v>https://pbs.twimg.com/profile_images/1559883556846977024/bXHnQFY0_normal.jpg</v>
      </c>
      <c r="AW1744" s="82" t="s">
        <v>13341</v>
      </c>
      <c r="AX1744" s="82" t="s">
        <v>13341</v>
      </c>
      <c r="AY1744" s="77"/>
      <c r="AZ1744" s="82" t="s">
        <v>15984</v>
      </c>
      <c r="BA1744" s="82" t="s">
        <v>15984</v>
      </c>
      <c r="BB1744" s="82" t="s">
        <v>15984</v>
      </c>
      <c r="BC1744" s="82" t="s">
        <v>13341</v>
      </c>
      <c r="BD1744" s="77">
        <v>51150679</v>
      </c>
      <c r="BE1744" s="77"/>
      <c r="BF1744" s="77"/>
      <c r="BG1744" s="77"/>
      <c r="BH1744" s="77"/>
      <c r="BI1744" s="77"/>
    </row>
    <row r="1745" spans="1:61" x14ac:dyDescent="0.25">
      <c r="A1745" s="62" t="s">
        <v>682</v>
      </c>
      <c r="B1745" s="62" t="s">
        <v>682</v>
      </c>
      <c r="C1745" s="63"/>
      <c r="D1745" s="64"/>
      <c r="E1745" s="65"/>
      <c r="F1745" s="66"/>
      <c r="G1745" s="63"/>
      <c r="H1745" s="67"/>
      <c r="I1745" s="68"/>
      <c r="J1745" s="68"/>
      <c r="K1745" s="32"/>
      <c r="L1745" s="75">
        <v>1745</v>
      </c>
      <c r="M1745" s="75"/>
      <c r="N1745" s="70"/>
      <c r="O1745" s="77" t="s">
        <v>179</v>
      </c>
      <c r="P1745" s="79">
        <v>45195.84814814815</v>
      </c>
      <c r="Q1745" s="77" t="s">
        <v>2446</v>
      </c>
      <c r="R1745" s="77">
        <v>0</v>
      </c>
      <c r="S1745" s="77">
        <v>7</v>
      </c>
      <c r="T1745" s="77">
        <v>1</v>
      </c>
      <c r="U1745" s="77">
        <v>0</v>
      </c>
      <c r="V1745" s="77">
        <v>1123</v>
      </c>
      <c r="W1745" s="82" t="s">
        <v>5729</v>
      </c>
      <c r="X1745" s="80" t="str">
        <f>HYPERLINK("https://www.moneytimes.com.br/ibovespa-hoje-fecha-queda-114-mil-pontos-juros-fed-copom-26-09-2023/?ttmt")</f>
        <v>https://www.moneytimes.com.br/ibovespa-hoje-fecha-queda-114-mil-pontos-juros-fed-copom-26-09-2023/?ttmt</v>
      </c>
      <c r="Y1745" s="77" t="s">
        <v>6470</v>
      </c>
      <c r="Z1745" s="77"/>
      <c r="AA1745" s="77"/>
      <c r="AB1745" s="77"/>
      <c r="AC1745" s="82" t="s">
        <v>7750</v>
      </c>
      <c r="AD1745" s="77" t="s">
        <v>7788</v>
      </c>
      <c r="AE1745" s="80" t="str">
        <f>HYPERLINK("https://twitter.com/leiamoneytimes/status/1706765922713665978")</f>
        <v>https://twitter.com/leiamoneytimes/status/1706765922713665978</v>
      </c>
      <c r="AF1745" s="79">
        <v>45195.84814814815</v>
      </c>
      <c r="AG1745" s="85">
        <v>45195</v>
      </c>
      <c r="AH1745" s="82" t="s">
        <v>9279</v>
      </c>
      <c r="AI1745" s="77" t="b">
        <v>0</v>
      </c>
      <c r="AJ1745" s="77"/>
      <c r="AK1745" s="77"/>
      <c r="AL1745" s="77"/>
      <c r="AM1745" s="77"/>
      <c r="AN1745" s="77"/>
      <c r="AO1745" s="77"/>
      <c r="AP1745" s="77"/>
      <c r="AQ1745" s="77"/>
      <c r="AR1745" s="77"/>
      <c r="AS1745" s="77"/>
      <c r="AT1745" s="77"/>
      <c r="AU1745" s="77"/>
      <c r="AV1745" s="80" t="str">
        <f>HYPERLINK("https://pbs.twimg.com/profile_images/1559883556846977024/bXHnQFY0_normal.jpg")</f>
        <v>https://pbs.twimg.com/profile_images/1559883556846977024/bXHnQFY0_normal.jpg</v>
      </c>
      <c r="AW1745" s="82" t="s">
        <v>13342</v>
      </c>
      <c r="AX1745" s="82" t="s">
        <v>13342</v>
      </c>
      <c r="AY1745" s="77"/>
      <c r="AZ1745" s="82" t="s">
        <v>15984</v>
      </c>
      <c r="BA1745" s="82" t="s">
        <v>15984</v>
      </c>
      <c r="BB1745" s="82" t="s">
        <v>15984</v>
      </c>
      <c r="BC1745" s="82" t="s">
        <v>13342</v>
      </c>
      <c r="BD1745" s="77">
        <v>51150679</v>
      </c>
      <c r="BE1745" s="77"/>
      <c r="BF1745" s="77"/>
      <c r="BG1745" s="77"/>
      <c r="BH1745" s="77"/>
      <c r="BI1745" s="77"/>
    </row>
    <row r="1746" spans="1:61" x14ac:dyDescent="0.25">
      <c r="A1746" s="62" t="s">
        <v>682</v>
      </c>
      <c r="B1746" s="62" t="s">
        <v>682</v>
      </c>
      <c r="C1746" s="63"/>
      <c r="D1746" s="64"/>
      <c r="E1746" s="65"/>
      <c r="F1746" s="66"/>
      <c r="G1746" s="63"/>
      <c r="H1746" s="67"/>
      <c r="I1746" s="68"/>
      <c r="J1746" s="68"/>
      <c r="K1746" s="32"/>
      <c r="L1746" s="75">
        <v>1746</v>
      </c>
      <c r="M1746" s="75"/>
      <c r="N1746" s="70"/>
      <c r="O1746" s="77" t="s">
        <v>179</v>
      </c>
      <c r="P1746" s="79">
        <v>45194.807743055557</v>
      </c>
      <c r="Q1746" s="77" t="s">
        <v>2447</v>
      </c>
      <c r="R1746" s="77">
        <v>0</v>
      </c>
      <c r="S1746" s="77">
        <v>2</v>
      </c>
      <c r="T1746" s="77">
        <v>2</v>
      </c>
      <c r="U1746" s="77">
        <v>0</v>
      </c>
      <c r="V1746" s="77">
        <v>1014</v>
      </c>
      <c r="W1746" s="82" t="s">
        <v>5730</v>
      </c>
      <c r="X1746" s="80" t="str">
        <f>HYPERLINK("https://www.moneytimes.com.br/ibovespa-ibov-continua-sob-efeito-de-super-quarta-indice-pode-cair-muito-mais/?ttmt")</f>
        <v>https://www.moneytimes.com.br/ibovespa-ibov-continua-sob-efeito-de-super-quarta-indice-pode-cair-muito-mais/?ttmt</v>
      </c>
      <c r="Y1746" s="77" t="s">
        <v>6470</v>
      </c>
      <c r="Z1746" s="77"/>
      <c r="AA1746" s="77"/>
      <c r="AB1746" s="77"/>
      <c r="AC1746" s="82" t="s">
        <v>7750</v>
      </c>
      <c r="AD1746" s="77" t="s">
        <v>7788</v>
      </c>
      <c r="AE1746" s="80" t="str">
        <f>HYPERLINK("https://twitter.com/leiamoneytimes/status/1706388890284605595")</f>
        <v>https://twitter.com/leiamoneytimes/status/1706388890284605595</v>
      </c>
      <c r="AF1746" s="79">
        <v>45194.807743055557</v>
      </c>
      <c r="AG1746" s="85">
        <v>45194</v>
      </c>
      <c r="AH1746" s="82" t="s">
        <v>9280</v>
      </c>
      <c r="AI1746" s="77" t="b">
        <v>0</v>
      </c>
      <c r="AJ1746" s="77"/>
      <c r="AK1746" s="77"/>
      <c r="AL1746" s="77"/>
      <c r="AM1746" s="77"/>
      <c r="AN1746" s="77"/>
      <c r="AO1746" s="77"/>
      <c r="AP1746" s="77"/>
      <c r="AQ1746" s="77"/>
      <c r="AR1746" s="77"/>
      <c r="AS1746" s="77"/>
      <c r="AT1746" s="77"/>
      <c r="AU1746" s="77"/>
      <c r="AV1746" s="80" t="str">
        <f>HYPERLINK("https://pbs.twimg.com/profile_images/1559883556846977024/bXHnQFY0_normal.jpg")</f>
        <v>https://pbs.twimg.com/profile_images/1559883556846977024/bXHnQFY0_normal.jpg</v>
      </c>
      <c r="AW1746" s="82" t="s">
        <v>13343</v>
      </c>
      <c r="AX1746" s="82" t="s">
        <v>13343</v>
      </c>
      <c r="AY1746" s="77"/>
      <c r="AZ1746" s="82" t="s">
        <v>15984</v>
      </c>
      <c r="BA1746" s="82" t="s">
        <v>15984</v>
      </c>
      <c r="BB1746" s="82" t="s">
        <v>15984</v>
      </c>
      <c r="BC1746" s="82" t="s">
        <v>13343</v>
      </c>
      <c r="BD1746" s="77">
        <v>51150679</v>
      </c>
      <c r="BE1746" s="77"/>
      <c r="BF1746" s="77"/>
      <c r="BG1746" s="77"/>
      <c r="BH1746" s="77"/>
      <c r="BI1746" s="77"/>
    </row>
    <row r="1747" spans="1:61" x14ac:dyDescent="0.25">
      <c r="A1747" s="62" t="s">
        <v>682</v>
      </c>
      <c r="B1747" s="62" t="s">
        <v>682</v>
      </c>
      <c r="C1747" s="63"/>
      <c r="D1747" s="64"/>
      <c r="E1747" s="65"/>
      <c r="F1747" s="66"/>
      <c r="G1747" s="63"/>
      <c r="H1747" s="67"/>
      <c r="I1747" s="68"/>
      <c r="J1747" s="68"/>
      <c r="K1747" s="32"/>
      <c r="L1747" s="75">
        <v>1747</v>
      </c>
      <c r="M1747" s="75"/>
      <c r="N1747" s="70"/>
      <c r="O1747" s="77" t="s">
        <v>179</v>
      </c>
      <c r="P1747" s="79">
        <v>45191.913194444445</v>
      </c>
      <c r="Q1747" s="77" t="s">
        <v>2448</v>
      </c>
      <c r="R1747" s="77">
        <v>0</v>
      </c>
      <c r="S1747" s="77">
        <v>6</v>
      </c>
      <c r="T1747" s="77">
        <v>1</v>
      </c>
      <c r="U1747" s="77">
        <v>0</v>
      </c>
      <c r="V1747" s="77">
        <v>1683</v>
      </c>
      <c r="W1747" s="82" t="s">
        <v>5731</v>
      </c>
      <c r="X1747" s="80" t="str">
        <f>HYPERLINK("https://www.moneytimes.com.br/vale-vale3-csn-mineracao-cmin3-e-o-caminho-do-minerio-de-ferro-daqui-para-frente-segundo-analistas/?ttmt")</f>
        <v>https://www.moneytimes.com.br/vale-vale3-csn-mineracao-cmin3-e-o-caminho-do-minerio-de-ferro-daqui-para-frente-segundo-analistas/?ttmt</v>
      </c>
      <c r="Y1747" s="77" t="s">
        <v>6470</v>
      </c>
      <c r="Z1747" s="77"/>
      <c r="AA1747" s="77"/>
      <c r="AB1747" s="77"/>
      <c r="AC1747" s="82" t="s">
        <v>7750</v>
      </c>
      <c r="AD1747" s="77" t="s">
        <v>7788</v>
      </c>
      <c r="AE1747" s="80" t="str">
        <f>HYPERLINK("https://twitter.com/leiamoneytimes/status/1705339943101346223")</f>
        <v>https://twitter.com/leiamoneytimes/status/1705339943101346223</v>
      </c>
      <c r="AF1747" s="79">
        <v>45191.913194444445</v>
      </c>
      <c r="AG1747" s="85">
        <v>45191</v>
      </c>
      <c r="AH1747" s="82" t="s">
        <v>9281</v>
      </c>
      <c r="AI1747" s="77" t="b">
        <v>0</v>
      </c>
      <c r="AJ1747" s="77"/>
      <c r="AK1747" s="77"/>
      <c r="AL1747" s="77"/>
      <c r="AM1747" s="77"/>
      <c r="AN1747" s="77"/>
      <c r="AO1747" s="77"/>
      <c r="AP1747" s="77"/>
      <c r="AQ1747" s="77"/>
      <c r="AR1747" s="77"/>
      <c r="AS1747" s="77"/>
      <c r="AT1747" s="77"/>
      <c r="AU1747" s="77"/>
      <c r="AV1747" s="80" t="str">
        <f>HYPERLINK("https://pbs.twimg.com/profile_images/1559883556846977024/bXHnQFY0_normal.jpg")</f>
        <v>https://pbs.twimg.com/profile_images/1559883556846977024/bXHnQFY0_normal.jpg</v>
      </c>
      <c r="AW1747" s="82" t="s">
        <v>13344</v>
      </c>
      <c r="AX1747" s="82" t="s">
        <v>13344</v>
      </c>
      <c r="AY1747" s="77"/>
      <c r="AZ1747" s="82" t="s">
        <v>15984</v>
      </c>
      <c r="BA1747" s="82" t="s">
        <v>15984</v>
      </c>
      <c r="BB1747" s="82" t="s">
        <v>15984</v>
      </c>
      <c r="BC1747" s="82" t="s">
        <v>13344</v>
      </c>
      <c r="BD1747" s="77">
        <v>51150679</v>
      </c>
      <c r="BE1747" s="77"/>
      <c r="BF1747" s="77"/>
      <c r="BG1747" s="77"/>
      <c r="BH1747" s="77"/>
      <c r="BI1747" s="77"/>
    </row>
    <row r="1748" spans="1:61" x14ac:dyDescent="0.25">
      <c r="A1748" s="62" t="s">
        <v>682</v>
      </c>
      <c r="B1748" s="62" t="s">
        <v>682</v>
      </c>
      <c r="C1748" s="63"/>
      <c r="D1748" s="64"/>
      <c r="E1748" s="65"/>
      <c r="F1748" s="66"/>
      <c r="G1748" s="63"/>
      <c r="H1748" s="67"/>
      <c r="I1748" s="68"/>
      <c r="J1748" s="68"/>
      <c r="K1748" s="32"/>
      <c r="L1748" s="75">
        <v>1748</v>
      </c>
      <c r="M1748" s="75"/>
      <c r="N1748" s="70"/>
      <c r="O1748" s="77" t="s">
        <v>179</v>
      </c>
      <c r="P1748" s="79">
        <v>45189.438738425924</v>
      </c>
      <c r="Q1748" s="77" t="s">
        <v>2449</v>
      </c>
      <c r="R1748" s="77">
        <v>0</v>
      </c>
      <c r="S1748" s="77">
        <v>1</v>
      </c>
      <c r="T1748" s="77">
        <v>0</v>
      </c>
      <c r="U1748" s="77">
        <v>0</v>
      </c>
      <c r="V1748" s="77">
        <v>922</v>
      </c>
      <c r="W1748" s="82" t="s">
        <v>5732</v>
      </c>
      <c r="X1748" s="80" t="str">
        <f>HYPERLINK("https://www.moneytimes.com.br/tempo-real-ibovespa-hoje-mercado-ao-vivo-quarta-feira-20-09-2023/?ttmt")</f>
        <v>https://www.moneytimes.com.br/tempo-real-ibovespa-hoje-mercado-ao-vivo-quarta-feira-20-09-2023/?ttmt</v>
      </c>
      <c r="Y1748" s="77" t="s">
        <v>6470</v>
      </c>
      <c r="Z1748" s="77"/>
      <c r="AA1748" s="77"/>
      <c r="AB1748" s="77"/>
      <c r="AC1748" s="82" t="s">
        <v>7750</v>
      </c>
      <c r="AD1748" s="77" t="s">
        <v>7788</v>
      </c>
      <c r="AE1748" s="80" t="str">
        <f>HYPERLINK("https://twitter.com/leiamoneytimes/status/1704443228697636991")</f>
        <v>https://twitter.com/leiamoneytimes/status/1704443228697636991</v>
      </c>
      <c r="AF1748" s="79">
        <v>45189.438738425924</v>
      </c>
      <c r="AG1748" s="85">
        <v>45189</v>
      </c>
      <c r="AH1748" s="82" t="s">
        <v>9282</v>
      </c>
      <c r="AI1748" s="77" t="b">
        <v>0</v>
      </c>
      <c r="AJ1748" s="77"/>
      <c r="AK1748" s="77"/>
      <c r="AL1748" s="77"/>
      <c r="AM1748" s="77"/>
      <c r="AN1748" s="77"/>
      <c r="AO1748" s="77"/>
      <c r="AP1748" s="77"/>
      <c r="AQ1748" s="77"/>
      <c r="AR1748" s="77"/>
      <c r="AS1748" s="77"/>
      <c r="AT1748" s="77"/>
      <c r="AU1748" s="77"/>
      <c r="AV1748" s="80" t="str">
        <f>HYPERLINK("https://pbs.twimg.com/profile_images/1559883556846977024/bXHnQFY0_normal.jpg")</f>
        <v>https://pbs.twimg.com/profile_images/1559883556846977024/bXHnQFY0_normal.jpg</v>
      </c>
      <c r="AW1748" s="82" t="s">
        <v>13345</v>
      </c>
      <c r="AX1748" s="82" t="s">
        <v>13345</v>
      </c>
      <c r="AY1748" s="77"/>
      <c r="AZ1748" s="82" t="s">
        <v>15984</v>
      </c>
      <c r="BA1748" s="82" t="s">
        <v>15984</v>
      </c>
      <c r="BB1748" s="82" t="s">
        <v>15984</v>
      </c>
      <c r="BC1748" s="82" t="s">
        <v>13345</v>
      </c>
      <c r="BD1748" s="77">
        <v>51150679</v>
      </c>
      <c r="BE1748" s="77"/>
      <c r="BF1748" s="77"/>
      <c r="BG1748" s="77"/>
      <c r="BH1748" s="77"/>
      <c r="BI1748" s="77"/>
    </row>
    <row r="1749" spans="1:61" x14ac:dyDescent="0.25">
      <c r="A1749" s="62" t="s">
        <v>683</v>
      </c>
      <c r="B1749" s="62" t="s">
        <v>885</v>
      </c>
      <c r="C1749" s="63"/>
      <c r="D1749" s="64"/>
      <c r="E1749" s="65"/>
      <c r="F1749" s="66"/>
      <c r="G1749" s="63"/>
      <c r="H1749" s="67"/>
      <c r="I1749" s="68"/>
      <c r="J1749" s="68"/>
      <c r="K1749" s="32"/>
      <c r="L1749" s="75">
        <v>1749</v>
      </c>
      <c r="M1749" s="75"/>
      <c r="N1749" s="70"/>
      <c r="O1749" s="77" t="s">
        <v>895</v>
      </c>
      <c r="P1749" s="79">
        <v>45134.243472222224</v>
      </c>
      <c r="Q1749" s="77" t="s">
        <v>2450</v>
      </c>
      <c r="R1749" s="77">
        <v>1</v>
      </c>
      <c r="S1749" s="77">
        <v>3</v>
      </c>
      <c r="T1749" s="77">
        <v>0</v>
      </c>
      <c r="U1749" s="77">
        <v>0</v>
      </c>
      <c r="V1749" s="77">
        <v>181</v>
      </c>
      <c r="W1749" s="82" t="s">
        <v>5733</v>
      </c>
      <c r="X1749" s="80" t="str">
        <f>HYPERLINK("https://www.publico.es/economia/encarecimiento-credito-zarandea-pymes-e-hipotecados-ano-subidas-tipos-bce.html")</f>
        <v>https://www.publico.es/economia/encarecimiento-credito-zarandea-pymes-e-hipotecados-ano-subidas-tipos-bce.html</v>
      </c>
      <c r="Y1749" s="77" t="s">
        <v>6551</v>
      </c>
      <c r="Z1749" s="77" t="s">
        <v>885</v>
      </c>
      <c r="AA1749" s="77"/>
      <c r="AB1749" s="77"/>
      <c r="AC1749" s="82" t="s">
        <v>7751</v>
      </c>
      <c r="AD1749" s="77" t="s">
        <v>7790</v>
      </c>
      <c r="AE1749" s="80" t="str">
        <f>HYPERLINK("https://twitter.com/e_bayona/status/1684441135530266624")</f>
        <v>https://twitter.com/e_bayona/status/1684441135530266624</v>
      </c>
      <c r="AF1749" s="79">
        <v>45134.243472222224</v>
      </c>
      <c r="AG1749" s="85">
        <v>45134</v>
      </c>
      <c r="AH1749" s="82" t="s">
        <v>9283</v>
      </c>
      <c r="AI1749" s="77" t="b">
        <v>0</v>
      </c>
      <c r="AJ1749" s="77"/>
      <c r="AK1749" s="77"/>
      <c r="AL1749" s="77"/>
      <c r="AM1749" s="77"/>
      <c r="AN1749" s="77"/>
      <c r="AO1749" s="77"/>
      <c r="AP1749" s="77"/>
      <c r="AQ1749" s="77"/>
      <c r="AR1749" s="77"/>
      <c r="AS1749" s="77"/>
      <c r="AT1749" s="77"/>
      <c r="AU1749" s="77"/>
      <c r="AV1749" s="80" t="str">
        <f>HYPERLINK("https://pbs.twimg.com/profile_images/830161150335672322/yfw6h0pa_normal.jpg")</f>
        <v>https://pbs.twimg.com/profile_images/830161150335672322/yfw6h0pa_normal.jpg</v>
      </c>
      <c r="AW1749" s="82" t="s">
        <v>13346</v>
      </c>
      <c r="AX1749" s="82" t="s">
        <v>13346</v>
      </c>
      <c r="AY1749" s="77"/>
      <c r="AZ1749" s="82" t="s">
        <v>15984</v>
      </c>
      <c r="BA1749" s="82" t="s">
        <v>15984</v>
      </c>
      <c r="BB1749" s="82" t="s">
        <v>15984</v>
      </c>
      <c r="BC1749" s="82" t="s">
        <v>13346</v>
      </c>
      <c r="BD1749" s="77">
        <v>225854166</v>
      </c>
      <c r="BE1749" s="77"/>
      <c r="BF1749" s="77"/>
      <c r="BG1749" s="77"/>
      <c r="BH1749" s="77"/>
      <c r="BI1749" s="77"/>
    </row>
    <row r="1750" spans="1:61" x14ac:dyDescent="0.25">
      <c r="A1750" s="62" t="s">
        <v>684</v>
      </c>
      <c r="B1750" s="62" t="s">
        <v>886</v>
      </c>
      <c r="C1750" s="63"/>
      <c r="D1750" s="64"/>
      <c r="E1750" s="65"/>
      <c r="F1750" s="66"/>
      <c r="G1750" s="63"/>
      <c r="H1750" s="67"/>
      <c r="I1750" s="68"/>
      <c r="J1750" s="68"/>
      <c r="K1750" s="32"/>
      <c r="L1750" s="75">
        <v>1750</v>
      </c>
      <c r="M1750" s="75"/>
      <c r="N1750" s="70"/>
      <c r="O1750" s="77" t="s">
        <v>895</v>
      </c>
      <c r="P1750" s="79">
        <v>45151.668055555558</v>
      </c>
      <c r="Q1750" s="77" t="s">
        <v>2451</v>
      </c>
      <c r="R1750" s="77">
        <v>6</v>
      </c>
      <c r="S1750" s="77">
        <v>13</v>
      </c>
      <c r="T1750" s="77">
        <v>3</v>
      </c>
      <c r="U1750" s="77">
        <v>2</v>
      </c>
      <c r="V1750" s="77">
        <v>2699</v>
      </c>
      <c r="W1750" s="82" t="s">
        <v>5734</v>
      </c>
      <c r="X1750" s="77"/>
      <c r="Y1750" s="77"/>
      <c r="Z1750" s="77" t="s">
        <v>6640</v>
      </c>
      <c r="AA1750" s="77" t="s">
        <v>7452</v>
      </c>
      <c r="AB1750" s="77" t="s">
        <v>7743</v>
      </c>
      <c r="AC1750" s="82" t="s">
        <v>7754</v>
      </c>
      <c r="AD1750" s="77" t="s">
        <v>7790</v>
      </c>
      <c r="AE1750" s="80" t="str">
        <f>HYPERLINK("https://twitter.com/politikcorrecta/status/1690755590950449152")</f>
        <v>https://twitter.com/politikcorrecta/status/1690755590950449152</v>
      </c>
      <c r="AF1750" s="79">
        <v>45151.668055555558</v>
      </c>
      <c r="AG1750" s="85">
        <v>45151</v>
      </c>
      <c r="AH1750" s="82" t="s">
        <v>9284</v>
      </c>
      <c r="AI1750" s="77" t="b">
        <v>0</v>
      </c>
      <c r="AJ1750" s="77"/>
      <c r="AK1750" s="77"/>
      <c r="AL1750" s="77"/>
      <c r="AM1750" s="77"/>
      <c r="AN1750" s="77"/>
      <c r="AO1750" s="77"/>
      <c r="AP1750" s="77"/>
      <c r="AQ1750" s="77" t="s">
        <v>11424</v>
      </c>
      <c r="AR1750" s="77">
        <v>166186</v>
      </c>
      <c r="AS1750" s="77"/>
      <c r="AT1750" s="77"/>
      <c r="AU1750" s="77"/>
      <c r="AV1750" s="80" t="str">
        <f>HYPERLINK("https://pbs.twimg.com/ext_tw_video_thumb/1689755121985437696/pu/img/HEn-NikJJ_WtTzke.jpg")</f>
        <v>https://pbs.twimg.com/ext_tw_video_thumb/1689755121985437696/pu/img/HEn-NikJJ_WtTzke.jpg</v>
      </c>
      <c r="AW1750" s="82" t="s">
        <v>13347</v>
      </c>
      <c r="AX1750" s="82" t="s">
        <v>13347</v>
      </c>
      <c r="AY1750" s="77"/>
      <c r="AZ1750" s="82" t="s">
        <v>15984</v>
      </c>
      <c r="BA1750" s="82" t="s">
        <v>15984</v>
      </c>
      <c r="BB1750" s="82" t="s">
        <v>15984</v>
      </c>
      <c r="BC1750" s="82" t="s">
        <v>13347</v>
      </c>
      <c r="BD1750" s="82" t="s">
        <v>16369</v>
      </c>
      <c r="BE1750" s="77"/>
      <c r="BF1750" s="77"/>
      <c r="BG1750" s="77"/>
      <c r="BH1750" s="77"/>
      <c r="BI1750" s="77"/>
    </row>
    <row r="1751" spans="1:61" x14ac:dyDescent="0.25">
      <c r="A1751" s="62" t="s">
        <v>684</v>
      </c>
      <c r="B1751" s="62" t="s">
        <v>887</v>
      </c>
      <c r="C1751" s="63"/>
      <c r="D1751" s="64"/>
      <c r="E1751" s="65"/>
      <c r="F1751" s="66"/>
      <c r="G1751" s="63"/>
      <c r="H1751" s="67"/>
      <c r="I1751" s="68"/>
      <c r="J1751" s="68"/>
      <c r="K1751" s="32"/>
      <c r="L1751" s="75">
        <v>1751</v>
      </c>
      <c r="M1751" s="75"/>
      <c r="N1751" s="70"/>
      <c r="O1751" s="77" t="s">
        <v>895</v>
      </c>
      <c r="P1751" s="79">
        <v>45151.668055555558</v>
      </c>
      <c r="Q1751" s="77" t="s">
        <v>2451</v>
      </c>
      <c r="R1751" s="77">
        <v>6</v>
      </c>
      <c r="S1751" s="77">
        <v>13</v>
      </c>
      <c r="T1751" s="77">
        <v>3</v>
      </c>
      <c r="U1751" s="77">
        <v>2</v>
      </c>
      <c r="V1751" s="77">
        <v>2699</v>
      </c>
      <c r="W1751" s="82" t="s">
        <v>5734</v>
      </c>
      <c r="X1751" s="77"/>
      <c r="Y1751" s="77"/>
      <c r="Z1751" s="77" t="s">
        <v>6640</v>
      </c>
      <c r="AA1751" s="77" t="s">
        <v>7452</v>
      </c>
      <c r="AB1751" s="77" t="s">
        <v>7743</v>
      </c>
      <c r="AC1751" s="82" t="s">
        <v>7754</v>
      </c>
      <c r="AD1751" s="77" t="s">
        <v>7790</v>
      </c>
      <c r="AE1751" s="80" t="str">
        <f>HYPERLINK("https://twitter.com/politikcorrecta/status/1690755590950449152")</f>
        <v>https://twitter.com/politikcorrecta/status/1690755590950449152</v>
      </c>
      <c r="AF1751" s="79">
        <v>45151.668055555558</v>
      </c>
      <c r="AG1751" s="85">
        <v>45151</v>
      </c>
      <c r="AH1751" s="82" t="s">
        <v>9284</v>
      </c>
      <c r="AI1751" s="77" t="b">
        <v>0</v>
      </c>
      <c r="AJ1751" s="77"/>
      <c r="AK1751" s="77"/>
      <c r="AL1751" s="77"/>
      <c r="AM1751" s="77"/>
      <c r="AN1751" s="77"/>
      <c r="AO1751" s="77"/>
      <c r="AP1751" s="77"/>
      <c r="AQ1751" s="77" t="s">
        <v>11424</v>
      </c>
      <c r="AR1751" s="77">
        <v>166186</v>
      </c>
      <c r="AS1751" s="77"/>
      <c r="AT1751" s="77"/>
      <c r="AU1751" s="77"/>
      <c r="AV1751" s="80" t="str">
        <f>HYPERLINK("https://pbs.twimg.com/ext_tw_video_thumb/1689755121985437696/pu/img/HEn-NikJJ_WtTzke.jpg")</f>
        <v>https://pbs.twimg.com/ext_tw_video_thumb/1689755121985437696/pu/img/HEn-NikJJ_WtTzke.jpg</v>
      </c>
      <c r="AW1751" s="82" t="s">
        <v>13347</v>
      </c>
      <c r="AX1751" s="82" t="s">
        <v>13347</v>
      </c>
      <c r="AY1751" s="77"/>
      <c r="AZ1751" s="82" t="s">
        <v>15984</v>
      </c>
      <c r="BA1751" s="82" t="s">
        <v>15984</v>
      </c>
      <c r="BB1751" s="82" t="s">
        <v>15984</v>
      </c>
      <c r="BC1751" s="82" t="s">
        <v>13347</v>
      </c>
      <c r="BD1751" s="82" t="s">
        <v>16369</v>
      </c>
      <c r="BE1751" s="77"/>
      <c r="BF1751" s="77"/>
      <c r="BG1751" s="77"/>
      <c r="BH1751" s="77"/>
      <c r="BI1751" s="77"/>
    </row>
    <row r="1752" spans="1:61" x14ac:dyDescent="0.25">
      <c r="A1752" s="62" t="s">
        <v>685</v>
      </c>
      <c r="B1752" s="62" t="s">
        <v>685</v>
      </c>
      <c r="C1752" s="63"/>
      <c r="D1752" s="64"/>
      <c r="E1752" s="65"/>
      <c r="F1752" s="66"/>
      <c r="G1752" s="63"/>
      <c r="H1752" s="67"/>
      <c r="I1752" s="68"/>
      <c r="J1752" s="68"/>
      <c r="K1752" s="32"/>
      <c r="L1752" s="75">
        <v>1752</v>
      </c>
      <c r="M1752" s="75"/>
      <c r="N1752" s="70"/>
      <c r="O1752" s="77" t="s">
        <v>179</v>
      </c>
      <c r="P1752" s="79">
        <v>45183.844548611109</v>
      </c>
      <c r="Q1752" s="77" t="s">
        <v>2452</v>
      </c>
      <c r="R1752" s="77">
        <v>0</v>
      </c>
      <c r="S1752" s="77">
        <v>0</v>
      </c>
      <c r="T1752" s="77">
        <v>0</v>
      </c>
      <c r="U1752" s="77">
        <v>0</v>
      </c>
      <c r="V1752" s="77">
        <v>4</v>
      </c>
      <c r="W1752" s="82" t="s">
        <v>5735</v>
      </c>
      <c r="X1752" s="77"/>
      <c r="Y1752" s="77"/>
      <c r="Z1752" s="77"/>
      <c r="AA1752" s="77" t="s">
        <v>7453</v>
      </c>
      <c r="AB1752" s="77" t="s">
        <v>7743</v>
      </c>
      <c r="AC1752" s="82" t="s">
        <v>7751</v>
      </c>
      <c r="AD1752" s="77" t="s">
        <v>7788</v>
      </c>
      <c r="AE1752" s="80" t="str">
        <f>HYPERLINK("https://twitter.com/educacaosemsist/status/1702415962077528426")</f>
        <v>https://twitter.com/educacaosemsist/status/1702415962077528426</v>
      </c>
      <c r="AF1752" s="79">
        <v>45183.844548611109</v>
      </c>
      <c r="AG1752" s="85">
        <v>45183</v>
      </c>
      <c r="AH1752" s="82" t="s">
        <v>9285</v>
      </c>
      <c r="AI1752" s="77" t="b">
        <v>0</v>
      </c>
      <c r="AJ1752" s="77"/>
      <c r="AK1752" s="77"/>
      <c r="AL1752" s="77"/>
      <c r="AM1752" s="77"/>
      <c r="AN1752" s="77"/>
      <c r="AO1752" s="77"/>
      <c r="AP1752" s="77"/>
      <c r="AQ1752" s="77" t="s">
        <v>11425</v>
      </c>
      <c r="AR1752" s="77">
        <v>44985</v>
      </c>
      <c r="AS1752" s="77"/>
      <c r="AT1752" s="77"/>
      <c r="AU1752" s="77"/>
      <c r="AV1752" s="80" t="str">
        <f>HYPERLINK("https://pbs.twimg.com/ext_tw_video_thumb/1702415883652440064/pu/img/vniG_CxY3CbTwXlg.jpg")</f>
        <v>https://pbs.twimg.com/ext_tw_video_thumb/1702415883652440064/pu/img/vniG_CxY3CbTwXlg.jpg</v>
      </c>
      <c r="AW1752" s="82" t="s">
        <v>13348</v>
      </c>
      <c r="AX1752" s="82" t="s">
        <v>13348</v>
      </c>
      <c r="AY1752" s="77"/>
      <c r="AZ1752" s="82" t="s">
        <v>15984</v>
      </c>
      <c r="BA1752" s="82" t="s">
        <v>15984</v>
      </c>
      <c r="BB1752" s="82" t="s">
        <v>15984</v>
      </c>
      <c r="BC1752" s="82" t="s">
        <v>13348</v>
      </c>
      <c r="BD1752" s="82" t="s">
        <v>16370</v>
      </c>
      <c r="BE1752" s="77"/>
      <c r="BF1752" s="77"/>
      <c r="BG1752" s="77"/>
      <c r="BH1752" s="77"/>
      <c r="BI1752" s="77"/>
    </row>
    <row r="1753" spans="1:61" x14ac:dyDescent="0.25">
      <c r="A1753" s="62" t="s">
        <v>686</v>
      </c>
      <c r="B1753" s="62" t="s">
        <v>888</v>
      </c>
      <c r="C1753" s="63"/>
      <c r="D1753" s="64"/>
      <c r="E1753" s="65"/>
      <c r="F1753" s="66"/>
      <c r="G1753" s="63"/>
      <c r="H1753" s="67"/>
      <c r="I1753" s="68"/>
      <c r="J1753" s="68"/>
      <c r="K1753" s="32"/>
      <c r="L1753" s="75">
        <v>1753</v>
      </c>
      <c r="M1753" s="75"/>
      <c r="N1753" s="70"/>
      <c r="O1753" s="77" t="s">
        <v>895</v>
      </c>
      <c r="P1753" s="79">
        <v>45166.6875</v>
      </c>
      <c r="Q1753" s="77" t="s">
        <v>2453</v>
      </c>
      <c r="R1753" s="77">
        <v>0</v>
      </c>
      <c r="S1753" s="77">
        <v>0</v>
      </c>
      <c r="T1753" s="77">
        <v>0</v>
      </c>
      <c r="U1753" s="77">
        <v>0</v>
      </c>
      <c r="V1753" s="77">
        <v>1</v>
      </c>
      <c r="W1753" s="82" t="s">
        <v>5736</v>
      </c>
      <c r="X1753" s="80" t="str">
        <f>HYPERLINK("https://youtu.be/mo4IsLu7Kmw")</f>
        <v>https://youtu.be/mo4IsLu7Kmw</v>
      </c>
      <c r="Y1753" s="77" t="s">
        <v>6472</v>
      </c>
      <c r="Z1753" s="77" t="s">
        <v>888</v>
      </c>
      <c r="AA1753" s="77"/>
      <c r="AB1753" s="77"/>
      <c r="AC1753" s="82" t="s">
        <v>7750</v>
      </c>
      <c r="AD1753" s="77" t="s">
        <v>7790</v>
      </c>
      <c r="AE1753" s="80" t="str">
        <f>HYPERLINK("https://twitter.com/elbote/status/1696198456103125452")</f>
        <v>https://twitter.com/elbote/status/1696198456103125452</v>
      </c>
      <c r="AF1753" s="79">
        <v>45166.6875</v>
      </c>
      <c r="AG1753" s="85">
        <v>45166</v>
      </c>
      <c r="AH1753" s="82" t="s">
        <v>9286</v>
      </c>
      <c r="AI1753" s="77" t="b">
        <v>0</v>
      </c>
      <c r="AJ1753" s="77"/>
      <c r="AK1753" s="77"/>
      <c r="AL1753" s="77"/>
      <c r="AM1753" s="77"/>
      <c r="AN1753" s="77"/>
      <c r="AO1753" s="77"/>
      <c r="AP1753" s="77"/>
      <c r="AQ1753" s="77"/>
      <c r="AR1753" s="77"/>
      <c r="AS1753" s="77"/>
      <c r="AT1753" s="77"/>
      <c r="AU1753" s="77"/>
      <c r="AV1753" s="80" t="str">
        <f>HYPERLINK("https://pbs.twimg.com/profile_images/1247173001415667712/7ED1DSXO_normal.jpg")</f>
        <v>https://pbs.twimg.com/profile_images/1247173001415667712/7ED1DSXO_normal.jpg</v>
      </c>
      <c r="AW1753" s="82" t="s">
        <v>13349</v>
      </c>
      <c r="AX1753" s="82" t="s">
        <v>13349</v>
      </c>
      <c r="AY1753" s="77"/>
      <c r="AZ1753" s="82" t="s">
        <v>15984</v>
      </c>
      <c r="BA1753" s="82" t="s">
        <v>15984</v>
      </c>
      <c r="BB1753" s="82" t="s">
        <v>15984</v>
      </c>
      <c r="BC1753" s="82" t="s">
        <v>13349</v>
      </c>
      <c r="BD1753" s="77">
        <v>36204276</v>
      </c>
      <c r="BE1753" s="77"/>
      <c r="BF1753" s="77"/>
      <c r="BG1753" s="77"/>
      <c r="BH1753" s="77"/>
      <c r="BI1753" s="77"/>
    </row>
    <row r="1754" spans="1:61" x14ac:dyDescent="0.25">
      <c r="A1754" s="62" t="s">
        <v>686</v>
      </c>
      <c r="B1754" s="62" t="s">
        <v>888</v>
      </c>
      <c r="C1754" s="63"/>
      <c r="D1754" s="64"/>
      <c r="E1754" s="65"/>
      <c r="F1754" s="66"/>
      <c r="G1754" s="63"/>
      <c r="H1754" s="67"/>
      <c r="I1754" s="68"/>
      <c r="J1754" s="68"/>
      <c r="K1754" s="32"/>
      <c r="L1754" s="75">
        <v>1754</v>
      </c>
      <c r="M1754" s="75"/>
      <c r="N1754" s="70"/>
      <c r="O1754" s="77" t="s">
        <v>895</v>
      </c>
      <c r="P1754" s="79">
        <v>45166.104166666664</v>
      </c>
      <c r="Q1754" s="77" t="s">
        <v>2454</v>
      </c>
      <c r="R1754" s="77">
        <v>1</v>
      </c>
      <c r="S1754" s="77">
        <v>0</v>
      </c>
      <c r="T1754" s="77">
        <v>0</v>
      </c>
      <c r="U1754" s="77">
        <v>0</v>
      </c>
      <c r="V1754" s="77">
        <v>31</v>
      </c>
      <c r="W1754" s="82" t="s">
        <v>5737</v>
      </c>
      <c r="X1754" s="80" t="str">
        <f>HYPERLINK("https://youtu.be/mo4IsLu7Kmw")</f>
        <v>https://youtu.be/mo4IsLu7Kmw</v>
      </c>
      <c r="Y1754" s="77" t="s">
        <v>6472</v>
      </c>
      <c r="Z1754" s="77" t="s">
        <v>888</v>
      </c>
      <c r="AA1754" s="77"/>
      <c r="AB1754" s="77"/>
      <c r="AC1754" s="82" t="s">
        <v>7750</v>
      </c>
      <c r="AD1754" s="77" t="s">
        <v>7790</v>
      </c>
      <c r="AE1754" s="80" t="str">
        <f>HYPERLINK("https://twitter.com/elbote/status/1695987063139787057")</f>
        <v>https://twitter.com/elbote/status/1695987063139787057</v>
      </c>
      <c r="AF1754" s="79">
        <v>45166.104166666664</v>
      </c>
      <c r="AG1754" s="85">
        <v>45166</v>
      </c>
      <c r="AH1754" s="82" t="s">
        <v>9287</v>
      </c>
      <c r="AI1754" s="77" t="b">
        <v>0</v>
      </c>
      <c r="AJ1754" s="77"/>
      <c r="AK1754" s="77"/>
      <c r="AL1754" s="77"/>
      <c r="AM1754" s="77"/>
      <c r="AN1754" s="77"/>
      <c r="AO1754" s="77"/>
      <c r="AP1754" s="77"/>
      <c r="AQ1754" s="77"/>
      <c r="AR1754" s="77"/>
      <c r="AS1754" s="77"/>
      <c r="AT1754" s="77"/>
      <c r="AU1754" s="77"/>
      <c r="AV1754" s="80" t="str">
        <f>HYPERLINK("https://pbs.twimg.com/profile_images/1247173001415667712/7ED1DSXO_normal.jpg")</f>
        <v>https://pbs.twimg.com/profile_images/1247173001415667712/7ED1DSXO_normal.jpg</v>
      </c>
      <c r="AW1754" s="82" t="s">
        <v>13350</v>
      </c>
      <c r="AX1754" s="82" t="s">
        <v>13350</v>
      </c>
      <c r="AY1754" s="77"/>
      <c r="AZ1754" s="82" t="s">
        <v>15984</v>
      </c>
      <c r="BA1754" s="82" t="s">
        <v>15984</v>
      </c>
      <c r="BB1754" s="82" t="s">
        <v>15984</v>
      </c>
      <c r="BC1754" s="82" t="s">
        <v>13350</v>
      </c>
      <c r="BD1754" s="77">
        <v>36204276</v>
      </c>
      <c r="BE1754" s="77"/>
      <c r="BF1754" s="77"/>
      <c r="BG1754" s="77"/>
      <c r="BH1754" s="77"/>
      <c r="BI1754" s="77"/>
    </row>
    <row r="1755" spans="1:61" x14ac:dyDescent="0.25">
      <c r="A1755" s="62" t="s">
        <v>686</v>
      </c>
      <c r="B1755" s="62" t="s">
        <v>888</v>
      </c>
      <c r="C1755" s="63"/>
      <c r="D1755" s="64"/>
      <c r="E1755" s="65"/>
      <c r="F1755" s="66"/>
      <c r="G1755" s="63"/>
      <c r="H1755" s="67"/>
      <c r="I1755" s="68"/>
      <c r="J1755" s="68"/>
      <c r="K1755" s="32"/>
      <c r="L1755" s="75">
        <v>1755</v>
      </c>
      <c r="M1755" s="75"/>
      <c r="N1755" s="70"/>
      <c r="O1755" s="77" t="s">
        <v>895</v>
      </c>
      <c r="P1755" s="79">
        <v>45164.259988425925</v>
      </c>
      <c r="Q1755" s="77" t="s">
        <v>2455</v>
      </c>
      <c r="R1755" s="77">
        <v>0</v>
      </c>
      <c r="S1755" s="77">
        <v>0</v>
      </c>
      <c r="T1755" s="77">
        <v>0</v>
      </c>
      <c r="U1755" s="77">
        <v>0</v>
      </c>
      <c r="V1755" s="77">
        <v>16</v>
      </c>
      <c r="W1755" s="82" t="s">
        <v>5738</v>
      </c>
      <c r="X1755" s="80" t="str">
        <f>HYPERLINK("https://youtu.be/mo4IsLu7Kmw")</f>
        <v>https://youtu.be/mo4IsLu7Kmw</v>
      </c>
      <c r="Y1755" s="77" t="s">
        <v>6472</v>
      </c>
      <c r="Z1755" s="77" t="s">
        <v>888</v>
      </c>
      <c r="AA1755" s="77"/>
      <c r="AB1755" s="77"/>
      <c r="AC1755" s="82" t="s">
        <v>7750</v>
      </c>
      <c r="AD1755" s="77" t="s">
        <v>7790</v>
      </c>
      <c r="AE1755" s="80" t="str">
        <f>HYPERLINK("https://twitter.com/elbote/status/1695318757025980569")</f>
        <v>https://twitter.com/elbote/status/1695318757025980569</v>
      </c>
      <c r="AF1755" s="79">
        <v>45164.259988425925</v>
      </c>
      <c r="AG1755" s="85">
        <v>45164</v>
      </c>
      <c r="AH1755" s="82" t="s">
        <v>9288</v>
      </c>
      <c r="AI1755" s="77" t="b">
        <v>0</v>
      </c>
      <c r="AJ1755" s="77"/>
      <c r="AK1755" s="77"/>
      <c r="AL1755" s="77"/>
      <c r="AM1755" s="77"/>
      <c r="AN1755" s="77"/>
      <c r="AO1755" s="77"/>
      <c r="AP1755" s="77"/>
      <c r="AQ1755" s="77"/>
      <c r="AR1755" s="77"/>
      <c r="AS1755" s="77"/>
      <c r="AT1755" s="77"/>
      <c r="AU1755" s="77"/>
      <c r="AV1755" s="80" t="str">
        <f>HYPERLINK("https://pbs.twimg.com/profile_images/1247173001415667712/7ED1DSXO_normal.jpg")</f>
        <v>https://pbs.twimg.com/profile_images/1247173001415667712/7ED1DSXO_normal.jpg</v>
      </c>
      <c r="AW1755" s="82" t="s">
        <v>13351</v>
      </c>
      <c r="AX1755" s="82" t="s">
        <v>13351</v>
      </c>
      <c r="AY1755" s="77"/>
      <c r="AZ1755" s="82" t="s">
        <v>15984</v>
      </c>
      <c r="BA1755" s="82" t="s">
        <v>15984</v>
      </c>
      <c r="BB1755" s="82" t="s">
        <v>15984</v>
      </c>
      <c r="BC1755" s="82" t="s">
        <v>13351</v>
      </c>
      <c r="BD1755" s="77">
        <v>36204276</v>
      </c>
      <c r="BE1755" s="77"/>
      <c r="BF1755" s="77"/>
      <c r="BG1755" s="77"/>
      <c r="BH1755" s="77"/>
      <c r="BI1755" s="77"/>
    </row>
    <row r="1756" spans="1:61" x14ac:dyDescent="0.25">
      <c r="A1756" s="62" t="s">
        <v>686</v>
      </c>
      <c r="B1756" s="62" t="s">
        <v>888</v>
      </c>
      <c r="C1756" s="63"/>
      <c r="D1756" s="64"/>
      <c r="E1756" s="65"/>
      <c r="F1756" s="66"/>
      <c r="G1756" s="63"/>
      <c r="H1756" s="67"/>
      <c r="I1756" s="68"/>
      <c r="J1756" s="68"/>
      <c r="K1756" s="32"/>
      <c r="L1756" s="75">
        <v>1756</v>
      </c>
      <c r="M1756" s="75"/>
      <c r="N1756" s="70"/>
      <c r="O1756" s="77" t="s">
        <v>895</v>
      </c>
      <c r="P1756" s="79">
        <v>45165.895833333336</v>
      </c>
      <c r="Q1756" s="77" t="s">
        <v>2456</v>
      </c>
      <c r="R1756" s="77">
        <v>0</v>
      </c>
      <c r="S1756" s="77">
        <v>0</v>
      </c>
      <c r="T1756" s="77">
        <v>0</v>
      </c>
      <c r="U1756" s="77">
        <v>0</v>
      </c>
      <c r="V1756" s="77">
        <v>6</v>
      </c>
      <c r="W1756" s="82" t="s">
        <v>5737</v>
      </c>
      <c r="X1756" s="80" t="str">
        <f>HYPERLINK("https://youtu.be/mo4IsLu7Kmw")</f>
        <v>https://youtu.be/mo4IsLu7Kmw</v>
      </c>
      <c r="Y1756" s="77" t="s">
        <v>6472</v>
      </c>
      <c r="Z1756" s="77" t="s">
        <v>888</v>
      </c>
      <c r="AA1756" s="77"/>
      <c r="AB1756" s="77"/>
      <c r="AC1756" s="82" t="s">
        <v>7750</v>
      </c>
      <c r="AD1756" s="77" t="s">
        <v>7790</v>
      </c>
      <c r="AE1756" s="80" t="str">
        <f>HYPERLINK("https://twitter.com/elbote/status/1695911565768204465")</f>
        <v>https://twitter.com/elbote/status/1695911565768204465</v>
      </c>
      <c r="AF1756" s="79">
        <v>45165.895833333336</v>
      </c>
      <c r="AG1756" s="85">
        <v>45165</v>
      </c>
      <c r="AH1756" s="82" t="s">
        <v>8089</v>
      </c>
      <c r="AI1756" s="77" t="b">
        <v>0</v>
      </c>
      <c r="AJ1756" s="77"/>
      <c r="AK1756" s="77"/>
      <c r="AL1756" s="77"/>
      <c r="AM1756" s="77"/>
      <c r="AN1756" s="77"/>
      <c r="AO1756" s="77"/>
      <c r="AP1756" s="77"/>
      <c r="AQ1756" s="77"/>
      <c r="AR1756" s="77"/>
      <c r="AS1756" s="77"/>
      <c r="AT1756" s="77"/>
      <c r="AU1756" s="77"/>
      <c r="AV1756" s="80" t="str">
        <f>HYPERLINK("https://pbs.twimg.com/profile_images/1247173001415667712/7ED1DSXO_normal.jpg")</f>
        <v>https://pbs.twimg.com/profile_images/1247173001415667712/7ED1DSXO_normal.jpg</v>
      </c>
      <c r="AW1756" s="82" t="s">
        <v>13352</v>
      </c>
      <c r="AX1756" s="82" t="s">
        <v>13352</v>
      </c>
      <c r="AY1756" s="77"/>
      <c r="AZ1756" s="82" t="s">
        <v>15984</v>
      </c>
      <c r="BA1756" s="82" t="s">
        <v>15984</v>
      </c>
      <c r="BB1756" s="82" t="s">
        <v>15984</v>
      </c>
      <c r="BC1756" s="82" t="s">
        <v>13352</v>
      </c>
      <c r="BD1756" s="77">
        <v>36204276</v>
      </c>
      <c r="BE1756" s="77"/>
      <c r="BF1756" s="77"/>
      <c r="BG1756" s="77"/>
      <c r="BH1756" s="77"/>
      <c r="BI1756" s="77"/>
    </row>
    <row r="1757" spans="1:61" x14ac:dyDescent="0.25">
      <c r="A1757" s="62" t="s">
        <v>686</v>
      </c>
      <c r="B1757" s="62" t="s">
        <v>888</v>
      </c>
      <c r="C1757" s="63"/>
      <c r="D1757" s="64"/>
      <c r="E1757" s="65"/>
      <c r="F1757" s="66"/>
      <c r="G1757" s="63"/>
      <c r="H1757" s="67"/>
      <c r="I1757" s="68"/>
      <c r="J1757" s="68"/>
      <c r="K1757" s="32"/>
      <c r="L1757" s="75">
        <v>1757</v>
      </c>
      <c r="M1757" s="75"/>
      <c r="N1757" s="70"/>
      <c r="O1757" s="77" t="s">
        <v>895</v>
      </c>
      <c r="P1757" s="79">
        <v>45167.729166666664</v>
      </c>
      <c r="Q1757" s="77" t="s">
        <v>2457</v>
      </c>
      <c r="R1757" s="77">
        <v>0</v>
      </c>
      <c r="S1757" s="77">
        <v>0</v>
      </c>
      <c r="T1757" s="77">
        <v>0</v>
      </c>
      <c r="U1757" s="77">
        <v>0</v>
      </c>
      <c r="V1757" s="77">
        <v>5</v>
      </c>
      <c r="W1757" s="82" t="s">
        <v>5739</v>
      </c>
      <c r="X1757" s="80" t="str">
        <f>HYPERLINK("https://youtu.be/mo4IsLu7Kmw")</f>
        <v>https://youtu.be/mo4IsLu7Kmw</v>
      </c>
      <c r="Y1757" s="77" t="s">
        <v>6472</v>
      </c>
      <c r="Z1757" s="77" t="s">
        <v>888</v>
      </c>
      <c r="AA1757" s="77"/>
      <c r="AB1757" s="77"/>
      <c r="AC1757" s="82" t="s">
        <v>7750</v>
      </c>
      <c r="AD1757" s="77" t="s">
        <v>7790</v>
      </c>
      <c r="AE1757" s="80" t="str">
        <f>HYPERLINK("https://twitter.com/elbote/status/1696575943580758198")</f>
        <v>https://twitter.com/elbote/status/1696575943580758198</v>
      </c>
      <c r="AF1757" s="79">
        <v>45167.729166666664</v>
      </c>
      <c r="AG1757" s="85">
        <v>45167</v>
      </c>
      <c r="AH1757" s="82" t="s">
        <v>8091</v>
      </c>
      <c r="AI1757" s="77" t="b">
        <v>0</v>
      </c>
      <c r="AJ1757" s="77"/>
      <c r="AK1757" s="77"/>
      <c r="AL1757" s="77"/>
      <c r="AM1757" s="77"/>
      <c r="AN1757" s="77"/>
      <c r="AO1757" s="77"/>
      <c r="AP1757" s="77"/>
      <c r="AQ1757" s="77"/>
      <c r="AR1757" s="77"/>
      <c r="AS1757" s="77"/>
      <c r="AT1757" s="77"/>
      <c r="AU1757" s="77"/>
      <c r="AV1757" s="80" t="str">
        <f>HYPERLINK("https://pbs.twimg.com/profile_images/1247173001415667712/7ED1DSXO_normal.jpg")</f>
        <v>https://pbs.twimg.com/profile_images/1247173001415667712/7ED1DSXO_normal.jpg</v>
      </c>
      <c r="AW1757" s="82" t="s">
        <v>13353</v>
      </c>
      <c r="AX1757" s="82" t="s">
        <v>13353</v>
      </c>
      <c r="AY1757" s="77"/>
      <c r="AZ1757" s="82" t="s">
        <v>15984</v>
      </c>
      <c r="BA1757" s="82" t="s">
        <v>15984</v>
      </c>
      <c r="BB1757" s="82" t="s">
        <v>15984</v>
      </c>
      <c r="BC1757" s="82" t="s">
        <v>13353</v>
      </c>
      <c r="BD1757" s="77">
        <v>36204276</v>
      </c>
      <c r="BE1757" s="77"/>
      <c r="BF1757" s="77"/>
      <c r="BG1757" s="77"/>
      <c r="BH1757" s="77"/>
      <c r="BI1757" s="77"/>
    </row>
    <row r="1758" spans="1:61" x14ac:dyDescent="0.25">
      <c r="A1758" s="62" t="s">
        <v>686</v>
      </c>
      <c r="B1758" s="62" t="s">
        <v>888</v>
      </c>
      <c r="C1758" s="63"/>
      <c r="D1758" s="64"/>
      <c r="E1758" s="65"/>
      <c r="F1758" s="66"/>
      <c r="G1758" s="63"/>
      <c r="H1758" s="67"/>
      <c r="I1758" s="68"/>
      <c r="J1758" s="68"/>
      <c r="K1758" s="32"/>
      <c r="L1758" s="75">
        <v>1758</v>
      </c>
      <c r="M1758" s="75"/>
      <c r="N1758" s="70"/>
      <c r="O1758" s="77" t="s">
        <v>895</v>
      </c>
      <c r="P1758" s="79">
        <v>45168.294687499998</v>
      </c>
      <c r="Q1758" s="77" t="s">
        <v>2455</v>
      </c>
      <c r="R1758" s="77">
        <v>0</v>
      </c>
      <c r="S1758" s="77">
        <v>0</v>
      </c>
      <c r="T1758" s="77">
        <v>0</v>
      </c>
      <c r="U1758" s="77">
        <v>0</v>
      </c>
      <c r="V1758" s="77">
        <v>7</v>
      </c>
      <c r="W1758" s="82" t="s">
        <v>5738</v>
      </c>
      <c r="X1758" s="80" t="str">
        <f>HYPERLINK("https://youtu.be/mo4IsLu7Kmw")</f>
        <v>https://youtu.be/mo4IsLu7Kmw</v>
      </c>
      <c r="Y1758" s="77" t="s">
        <v>6472</v>
      </c>
      <c r="Z1758" s="77" t="s">
        <v>888</v>
      </c>
      <c r="AA1758" s="77"/>
      <c r="AB1758" s="77"/>
      <c r="AC1758" s="82" t="s">
        <v>7750</v>
      </c>
      <c r="AD1758" s="77" t="s">
        <v>7790</v>
      </c>
      <c r="AE1758" s="80" t="str">
        <f>HYPERLINK("https://twitter.com/elbote/status/1696780883653455920")</f>
        <v>https://twitter.com/elbote/status/1696780883653455920</v>
      </c>
      <c r="AF1758" s="79">
        <v>45168.294687499998</v>
      </c>
      <c r="AG1758" s="85">
        <v>45168</v>
      </c>
      <c r="AH1758" s="82" t="s">
        <v>9289</v>
      </c>
      <c r="AI1758" s="77" t="b">
        <v>0</v>
      </c>
      <c r="AJ1758" s="77"/>
      <c r="AK1758" s="77"/>
      <c r="AL1758" s="77"/>
      <c r="AM1758" s="77"/>
      <c r="AN1758" s="77"/>
      <c r="AO1758" s="77"/>
      <c r="AP1758" s="77"/>
      <c r="AQ1758" s="77"/>
      <c r="AR1758" s="77"/>
      <c r="AS1758" s="77"/>
      <c r="AT1758" s="77"/>
      <c r="AU1758" s="77"/>
      <c r="AV1758" s="80" t="str">
        <f>HYPERLINK("https://pbs.twimg.com/profile_images/1247173001415667712/7ED1DSXO_normal.jpg")</f>
        <v>https://pbs.twimg.com/profile_images/1247173001415667712/7ED1DSXO_normal.jpg</v>
      </c>
      <c r="AW1758" s="82" t="s">
        <v>13354</v>
      </c>
      <c r="AX1758" s="82" t="s">
        <v>13354</v>
      </c>
      <c r="AY1758" s="77"/>
      <c r="AZ1758" s="82" t="s">
        <v>15984</v>
      </c>
      <c r="BA1758" s="82" t="s">
        <v>15984</v>
      </c>
      <c r="BB1758" s="82" t="s">
        <v>15984</v>
      </c>
      <c r="BC1758" s="82" t="s">
        <v>13354</v>
      </c>
      <c r="BD1758" s="77">
        <v>36204276</v>
      </c>
      <c r="BE1758" s="77"/>
      <c r="BF1758" s="77"/>
      <c r="BG1758" s="77"/>
      <c r="BH1758" s="77"/>
      <c r="BI1758" s="77"/>
    </row>
    <row r="1759" spans="1:61" x14ac:dyDescent="0.25">
      <c r="A1759" s="62" t="s">
        <v>686</v>
      </c>
      <c r="B1759" s="62" t="s">
        <v>888</v>
      </c>
      <c r="C1759" s="63"/>
      <c r="D1759" s="64"/>
      <c r="E1759" s="65"/>
      <c r="F1759" s="66"/>
      <c r="G1759" s="63"/>
      <c r="H1759" s="67"/>
      <c r="I1759" s="68"/>
      <c r="J1759" s="68"/>
      <c r="K1759" s="32"/>
      <c r="L1759" s="75">
        <v>1759</v>
      </c>
      <c r="M1759" s="75"/>
      <c r="N1759" s="70"/>
      <c r="O1759" s="77" t="s">
        <v>895</v>
      </c>
      <c r="P1759" s="79">
        <v>45172.229166666664</v>
      </c>
      <c r="Q1759" s="77" t="s">
        <v>2453</v>
      </c>
      <c r="R1759" s="77">
        <v>0</v>
      </c>
      <c r="S1759" s="77">
        <v>0</v>
      </c>
      <c r="T1759" s="77">
        <v>0</v>
      </c>
      <c r="U1759" s="77">
        <v>0</v>
      </c>
      <c r="V1759" s="77">
        <v>14</v>
      </c>
      <c r="W1759" s="82" t="s">
        <v>5736</v>
      </c>
      <c r="X1759" s="80" t="str">
        <f>HYPERLINK("https://youtu.be/mo4IsLu7Kmw")</f>
        <v>https://youtu.be/mo4IsLu7Kmw</v>
      </c>
      <c r="Y1759" s="77" t="s">
        <v>6472</v>
      </c>
      <c r="Z1759" s="77" t="s">
        <v>888</v>
      </c>
      <c r="AA1759" s="77"/>
      <c r="AB1759" s="77"/>
      <c r="AC1759" s="82" t="s">
        <v>7750</v>
      </c>
      <c r="AD1759" s="77" t="s">
        <v>7790</v>
      </c>
      <c r="AE1759" s="80" t="str">
        <f>HYPERLINK("https://twitter.com/elbote/status/1698206688048709967")</f>
        <v>https://twitter.com/elbote/status/1698206688048709967</v>
      </c>
      <c r="AF1759" s="79">
        <v>45172.229166666664</v>
      </c>
      <c r="AG1759" s="85">
        <v>45172</v>
      </c>
      <c r="AH1759" s="82" t="s">
        <v>9290</v>
      </c>
      <c r="AI1759" s="77" t="b">
        <v>0</v>
      </c>
      <c r="AJ1759" s="77"/>
      <c r="AK1759" s="77"/>
      <c r="AL1759" s="77"/>
      <c r="AM1759" s="77"/>
      <c r="AN1759" s="77"/>
      <c r="AO1759" s="77"/>
      <c r="AP1759" s="77"/>
      <c r="AQ1759" s="77"/>
      <c r="AR1759" s="77"/>
      <c r="AS1759" s="77"/>
      <c r="AT1759" s="77"/>
      <c r="AU1759" s="77"/>
      <c r="AV1759" s="80" t="str">
        <f>HYPERLINK("https://pbs.twimg.com/profile_images/1247173001415667712/7ED1DSXO_normal.jpg")</f>
        <v>https://pbs.twimg.com/profile_images/1247173001415667712/7ED1DSXO_normal.jpg</v>
      </c>
      <c r="AW1759" s="82" t="s">
        <v>13355</v>
      </c>
      <c r="AX1759" s="82" t="s">
        <v>13355</v>
      </c>
      <c r="AY1759" s="77"/>
      <c r="AZ1759" s="82" t="s">
        <v>15984</v>
      </c>
      <c r="BA1759" s="82" t="s">
        <v>15984</v>
      </c>
      <c r="BB1759" s="82" t="s">
        <v>15984</v>
      </c>
      <c r="BC1759" s="82" t="s">
        <v>13355</v>
      </c>
      <c r="BD1759" s="77">
        <v>36204276</v>
      </c>
      <c r="BE1759" s="77"/>
      <c r="BF1759" s="77"/>
      <c r="BG1759" s="77"/>
      <c r="BH1759" s="77"/>
      <c r="BI1759" s="77"/>
    </row>
    <row r="1760" spans="1:61" x14ac:dyDescent="0.25">
      <c r="A1760" s="62" t="s">
        <v>686</v>
      </c>
      <c r="B1760" s="62" t="s">
        <v>888</v>
      </c>
      <c r="C1760" s="63"/>
      <c r="D1760" s="64"/>
      <c r="E1760" s="65"/>
      <c r="F1760" s="66"/>
      <c r="G1760" s="63"/>
      <c r="H1760" s="67"/>
      <c r="I1760" s="68"/>
      <c r="J1760" s="68"/>
      <c r="K1760" s="32"/>
      <c r="L1760" s="75">
        <v>1760</v>
      </c>
      <c r="M1760" s="75"/>
      <c r="N1760" s="70"/>
      <c r="O1760" s="77" t="s">
        <v>895</v>
      </c>
      <c r="P1760" s="79">
        <v>45172.020833333336</v>
      </c>
      <c r="Q1760" s="77" t="s">
        <v>2458</v>
      </c>
      <c r="R1760" s="77">
        <v>0</v>
      </c>
      <c r="S1760" s="77">
        <v>0</v>
      </c>
      <c r="T1760" s="77">
        <v>0</v>
      </c>
      <c r="U1760" s="77">
        <v>0</v>
      </c>
      <c r="V1760" s="77">
        <v>13</v>
      </c>
      <c r="W1760" s="82" t="s">
        <v>5736</v>
      </c>
      <c r="X1760" s="80" t="str">
        <f>HYPERLINK("https://youtu.be/mo4IsLu7Kmw")</f>
        <v>https://youtu.be/mo4IsLu7Kmw</v>
      </c>
      <c r="Y1760" s="77" t="s">
        <v>6472</v>
      </c>
      <c r="Z1760" s="77" t="s">
        <v>888</v>
      </c>
      <c r="AA1760" s="77"/>
      <c r="AB1760" s="77"/>
      <c r="AC1760" s="82" t="s">
        <v>7750</v>
      </c>
      <c r="AD1760" s="77" t="s">
        <v>7790</v>
      </c>
      <c r="AE1760" s="80" t="str">
        <f>HYPERLINK("https://twitter.com/elbote/status/1698131191386509671")</f>
        <v>https://twitter.com/elbote/status/1698131191386509671</v>
      </c>
      <c r="AF1760" s="79">
        <v>45172.020833333336</v>
      </c>
      <c r="AG1760" s="85">
        <v>45172</v>
      </c>
      <c r="AH1760" s="82" t="s">
        <v>8088</v>
      </c>
      <c r="AI1760" s="77" t="b">
        <v>0</v>
      </c>
      <c r="AJ1760" s="77"/>
      <c r="AK1760" s="77"/>
      <c r="AL1760" s="77"/>
      <c r="AM1760" s="77"/>
      <c r="AN1760" s="77"/>
      <c r="AO1760" s="77"/>
      <c r="AP1760" s="77"/>
      <c r="AQ1760" s="77"/>
      <c r="AR1760" s="77"/>
      <c r="AS1760" s="77"/>
      <c r="AT1760" s="77"/>
      <c r="AU1760" s="77"/>
      <c r="AV1760" s="80" t="str">
        <f>HYPERLINK("https://pbs.twimg.com/profile_images/1247173001415667712/7ED1DSXO_normal.jpg")</f>
        <v>https://pbs.twimg.com/profile_images/1247173001415667712/7ED1DSXO_normal.jpg</v>
      </c>
      <c r="AW1760" s="82" t="s">
        <v>13356</v>
      </c>
      <c r="AX1760" s="82" t="s">
        <v>13356</v>
      </c>
      <c r="AY1760" s="77"/>
      <c r="AZ1760" s="82" t="s">
        <v>15984</v>
      </c>
      <c r="BA1760" s="82" t="s">
        <v>15984</v>
      </c>
      <c r="BB1760" s="82" t="s">
        <v>15984</v>
      </c>
      <c r="BC1760" s="82" t="s">
        <v>13356</v>
      </c>
      <c r="BD1760" s="77">
        <v>36204276</v>
      </c>
      <c r="BE1760" s="77"/>
      <c r="BF1760" s="77"/>
      <c r="BG1760" s="77"/>
      <c r="BH1760" s="77"/>
      <c r="BI1760" s="77"/>
    </row>
    <row r="1761" spans="1:61" x14ac:dyDescent="0.25">
      <c r="A1761" s="62" t="s">
        <v>686</v>
      </c>
      <c r="B1761" s="62" t="s">
        <v>888</v>
      </c>
      <c r="C1761" s="63"/>
      <c r="D1761" s="64"/>
      <c r="E1761" s="65"/>
      <c r="F1761" s="66"/>
      <c r="G1761" s="63"/>
      <c r="H1761" s="67"/>
      <c r="I1761" s="68"/>
      <c r="J1761" s="68"/>
      <c r="K1761" s="32"/>
      <c r="L1761" s="75">
        <v>1761</v>
      </c>
      <c r="M1761" s="75"/>
      <c r="N1761" s="70"/>
      <c r="O1761" s="77" t="s">
        <v>895</v>
      </c>
      <c r="P1761" s="79">
        <v>45171.8125</v>
      </c>
      <c r="Q1761" s="77" t="s">
        <v>2458</v>
      </c>
      <c r="R1761" s="77">
        <v>0</v>
      </c>
      <c r="S1761" s="77">
        <v>0</v>
      </c>
      <c r="T1761" s="77">
        <v>0</v>
      </c>
      <c r="U1761" s="77">
        <v>0</v>
      </c>
      <c r="V1761" s="77">
        <v>10</v>
      </c>
      <c r="W1761" s="82" t="s">
        <v>5736</v>
      </c>
      <c r="X1761" s="80" t="str">
        <f>HYPERLINK("https://youtu.be/mo4IsLu7Kmw")</f>
        <v>https://youtu.be/mo4IsLu7Kmw</v>
      </c>
      <c r="Y1761" s="77" t="s">
        <v>6472</v>
      </c>
      <c r="Z1761" s="77" t="s">
        <v>888</v>
      </c>
      <c r="AA1761" s="77"/>
      <c r="AB1761" s="77"/>
      <c r="AC1761" s="82" t="s">
        <v>7750</v>
      </c>
      <c r="AD1761" s="77" t="s">
        <v>7790</v>
      </c>
      <c r="AE1761" s="80" t="str">
        <f>HYPERLINK("https://twitter.com/elbote/status/1698055693599982005")</f>
        <v>https://twitter.com/elbote/status/1698055693599982005</v>
      </c>
      <c r="AF1761" s="79">
        <v>45171.8125</v>
      </c>
      <c r="AG1761" s="85">
        <v>45171</v>
      </c>
      <c r="AH1761" s="82" t="s">
        <v>8281</v>
      </c>
      <c r="AI1761" s="77" t="b">
        <v>0</v>
      </c>
      <c r="AJ1761" s="77"/>
      <c r="AK1761" s="77"/>
      <c r="AL1761" s="77"/>
      <c r="AM1761" s="77"/>
      <c r="AN1761" s="77"/>
      <c r="AO1761" s="77"/>
      <c r="AP1761" s="77"/>
      <c r="AQ1761" s="77"/>
      <c r="AR1761" s="77"/>
      <c r="AS1761" s="77"/>
      <c r="AT1761" s="77"/>
      <c r="AU1761" s="77"/>
      <c r="AV1761" s="80" t="str">
        <f>HYPERLINK("https://pbs.twimg.com/profile_images/1247173001415667712/7ED1DSXO_normal.jpg")</f>
        <v>https://pbs.twimg.com/profile_images/1247173001415667712/7ED1DSXO_normal.jpg</v>
      </c>
      <c r="AW1761" s="82" t="s">
        <v>13357</v>
      </c>
      <c r="AX1761" s="82" t="s">
        <v>13357</v>
      </c>
      <c r="AY1761" s="77"/>
      <c r="AZ1761" s="82" t="s">
        <v>15984</v>
      </c>
      <c r="BA1761" s="82" t="s">
        <v>15984</v>
      </c>
      <c r="BB1761" s="82" t="s">
        <v>15984</v>
      </c>
      <c r="BC1761" s="82" t="s">
        <v>13357</v>
      </c>
      <c r="BD1761" s="77">
        <v>36204276</v>
      </c>
      <c r="BE1761" s="77"/>
      <c r="BF1761" s="77"/>
      <c r="BG1761" s="77"/>
      <c r="BH1761" s="77"/>
      <c r="BI1761" s="77"/>
    </row>
    <row r="1762" spans="1:61" x14ac:dyDescent="0.25">
      <c r="A1762" s="62" t="s">
        <v>686</v>
      </c>
      <c r="B1762" s="62" t="s">
        <v>888</v>
      </c>
      <c r="C1762" s="63"/>
      <c r="D1762" s="64"/>
      <c r="E1762" s="65"/>
      <c r="F1762" s="66"/>
      <c r="G1762" s="63"/>
      <c r="H1762" s="67"/>
      <c r="I1762" s="68"/>
      <c r="J1762" s="68"/>
      <c r="K1762" s="32"/>
      <c r="L1762" s="75">
        <v>1762</v>
      </c>
      <c r="M1762" s="75"/>
      <c r="N1762" s="70"/>
      <c r="O1762" s="77" t="s">
        <v>895</v>
      </c>
      <c r="P1762" s="79">
        <v>45170.309490740743</v>
      </c>
      <c r="Q1762" s="77" t="s">
        <v>2459</v>
      </c>
      <c r="R1762" s="77">
        <v>0</v>
      </c>
      <c r="S1762" s="77">
        <v>0</v>
      </c>
      <c r="T1762" s="77">
        <v>0</v>
      </c>
      <c r="U1762" s="77">
        <v>0</v>
      </c>
      <c r="V1762" s="77">
        <v>4</v>
      </c>
      <c r="W1762" s="82" t="s">
        <v>5739</v>
      </c>
      <c r="X1762" s="80" t="str">
        <f>HYPERLINK("https://youtu.be/mo4IsLu7Kmw")</f>
        <v>https://youtu.be/mo4IsLu7Kmw</v>
      </c>
      <c r="Y1762" s="77" t="s">
        <v>6472</v>
      </c>
      <c r="Z1762" s="77" t="s">
        <v>888</v>
      </c>
      <c r="AA1762" s="77"/>
      <c r="AB1762" s="77"/>
      <c r="AC1762" s="82" t="s">
        <v>7750</v>
      </c>
      <c r="AD1762" s="77" t="s">
        <v>7790</v>
      </c>
      <c r="AE1762" s="80" t="str">
        <f>HYPERLINK("https://twitter.com/elbote/status/1697511020678246503")</f>
        <v>https://twitter.com/elbote/status/1697511020678246503</v>
      </c>
      <c r="AF1762" s="79">
        <v>45170.309490740743</v>
      </c>
      <c r="AG1762" s="85">
        <v>45170</v>
      </c>
      <c r="AH1762" s="82" t="s">
        <v>9291</v>
      </c>
      <c r="AI1762" s="77" t="b">
        <v>0</v>
      </c>
      <c r="AJ1762" s="77"/>
      <c r="AK1762" s="77"/>
      <c r="AL1762" s="77"/>
      <c r="AM1762" s="77"/>
      <c r="AN1762" s="77"/>
      <c r="AO1762" s="77"/>
      <c r="AP1762" s="77"/>
      <c r="AQ1762" s="77"/>
      <c r="AR1762" s="77"/>
      <c r="AS1762" s="77"/>
      <c r="AT1762" s="77"/>
      <c r="AU1762" s="77"/>
      <c r="AV1762" s="80" t="str">
        <f>HYPERLINK("https://pbs.twimg.com/profile_images/1247173001415667712/7ED1DSXO_normal.jpg")</f>
        <v>https://pbs.twimg.com/profile_images/1247173001415667712/7ED1DSXO_normal.jpg</v>
      </c>
      <c r="AW1762" s="82" t="s">
        <v>13358</v>
      </c>
      <c r="AX1762" s="82" t="s">
        <v>13358</v>
      </c>
      <c r="AY1762" s="77"/>
      <c r="AZ1762" s="82" t="s">
        <v>15984</v>
      </c>
      <c r="BA1762" s="82" t="s">
        <v>15984</v>
      </c>
      <c r="BB1762" s="82" t="s">
        <v>15984</v>
      </c>
      <c r="BC1762" s="82" t="s">
        <v>13358</v>
      </c>
      <c r="BD1762" s="77">
        <v>36204276</v>
      </c>
      <c r="BE1762" s="77"/>
      <c r="BF1762" s="77"/>
      <c r="BG1762" s="77"/>
      <c r="BH1762" s="77"/>
      <c r="BI1762" s="77"/>
    </row>
    <row r="1763" spans="1:61" x14ac:dyDescent="0.25">
      <c r="A1763" s="62" t="s">
        <v>686</v>
      </c>
      <c r="B1763" s="62" t="s">
        <v>888</v>
      </c>
      <c r="C1763" s="63"/>
      <c r="D1763" s="64"/>
      <c r="E1763" s="65"/>
      <c r="F1763" s="66"/>
      <c r="G1763" s="63"/>
      <c r="H1763" s="67"/>
      <c r="I1763" s="68"/>
      <c r="J1763" s="68"/>
      <c r="K1763" s="32"/>
      <c r="L1763" s="75">
        <v>1763</v>
      </c>
      <c r="M1763" s="75"/>
      <c r="N1763" s="70"/>
      <c r="O1763" s="77" t="s">
        <v>895</v>
      </c>
      <c r="P1763" s="79">
        <v>45169.979166666664</v>
      </c>
      <c r="Q1763" s="77" t="s">
        <v>2457</v>
      </c>
      <c r="R1763" s="77">
        <v>0</v>
      </c>
      <c r="S1763" s="77">
        <v>0</v>
      </c>
      <c r="T1763" s="77">
        <v>0</v>
      </c>
      <c r="U1763" s="77">
        <v>0</v>
      </c>
      <c r="V1763" s="77">
        <v>10</v>
      </c>
      <c r="W1763" s="82" t="s">
        <v>5739</v>
      </c>
      <c r="X1763" s="80" t="str">
        <f>HYPERLINK("https://youtu.be/mo4IsLu7Kmw")</f>
        <v>https://youtu.be/mo4IsLu7Kmw</v>
      </c>
      <c r="Y1763" s="77" t="s">
        <v>6472</v>
      </c>
      <c r="Z1763" s="77" t="s">
        <v>888</v>
      </c>
      <c r="AA1763" s="77"/>
      <c r="AB1763" s="77"/>
      <c r="AC1763" s="82" t="s">
        <v>7750</v>
      </c>
      <c r="AD1763" s="77" t="s">
        <v>7790</v>
      </c>
      <c r="AE1763" s="80" t="str">
        <f>HYPERLINK("https://twitter.com/elbote/status/1697391317561807124")</f>
        <v>https://twitter.com/elbote/status/1697391317561807124</v>
      </c>
      <c r="AF1763" s="79">
        <v>45169.979166666664</v>
      </c>
      <c r="AG1763" s="85">
        <v>45169</v>
      </c>
      <c r="AH1763" s="82" t="s">
        <v>7928</v>
      </c>
      <c r="AI1763" s="77" t="b">
        <v>0</v>
      </c>
      <c r="AJ1763" s="77"/>
      <c r="AK1763" s="77"/>
      <c r="AL1763" s="77"/>
      <c r="AM1763" s="77"/>
      <c r="AN1763" s="77"/>
      <c r="AO1763" s="77"/>
      <c r="AP1763" s="77"/>
      <c r="AQ1763" s="77"/>
      <c r="AR1763" s="77"/>
      <c r="AS1763" s="77"/>
      <c r="AT1763" s="77"/>
      <c r="AU1763" s="77"/>
      <c r="AV1763" s="80" t="str">
        <f>HYPERLINK("https://pbs.twimg.com/profile_images/1247173001415667712/7ED1DSXO_normal.jpg")</f>
        <v>https://pbs.twimg.com/profile_images/1247173001415667712/7ED1DSXO_normal.jpg</v>
      </c>
      <c r="AW1763" s="82" t="s">
        <v>13359</v>
      </c>
      <c r="AX1763" s="82" t="s">
        <v>13359</v>
      </c>
      <c r="AY1763" s="77"/>
      <c r="AZ1763" s="82" t="s">
        <v>15984</v>
      </c>
      <c r="BA1763" s="82" t="s">
        <v>15984</v>
      </c>
      <c r="BB1763" s="82" t="s">
        <v>15984</v>
      </c>
      <c r="BC1763" s="82" t="s">
        <v>13359</v>
      </c>
      <c r="BD1763" s="77">
        <v>36204276</v>
      </c>
      <c r="BE1763" s="77"/>
      <c r="BF1763" s="77"/>
      <c r="BG1763" s="77"/>
      <c r="BH1763" s="77"/>
      <c r="BI1763" s="77"/>
    </row>
    <row r="1764" spans="1:61" x14ac:dyDescent="0.25">
      <c r="A1764" s="62" t="s">
        <v>686</v>
      </c>
      <c r="B1764" s="62" t="s">
        <v>888</v>
      </c>
      <c r="C1764" s="63"/>
      <c r="D1764" s="64"/>
      <c r="E1764" s="65"/>
      <c r="F1764" s="66"/>
      <c r="G1764" s="63"/>
      <c r="H1764" s="67"/>
      <c r="I1764" s="68"/>
      <c r="J1764" s="68"/>
      <c r="K1764" s="32"/>
      <c r="L1764" s="75">
        <v>1764</v>
      </c>
      <c r="M1764" s="75"/>
      <c r="N1764" s="70"/>
      <c r="O1764" s="77" t="s">
        <v>895</v>
      </c>
      <c r="P1764" s="79">
        <v>45166.895833333336</v>
      </c>
      <c r="Q1764" s="77" t="s">
        <v>2458</v>
      </c>
      <c r="R1764" s="77">
        <v>0</v>
      </c>
      <c r="S1764" s="77">
        <v>0</v>
      </c>
      <c r="T1764" s="77">
        <v>0</v>
      </c>
      <c r="U1764" s="77">
        <v>0</v>
      </c>
      <c r="V1764" s="77">
        <v>6</v>
      </c>
      <c r="W1764" s="82" t="s">
        <v>5736</v>
      </c>
      <c r="X1764" s="80" t="str">
        <f>HYPERLINK("https://youtu.be/mo4IsLu7Kmw")</f>
        <v>https://youtu.be/mo4IsLu7Kmw</v>
      </c>
      <c r="Y1764" s="77" t="s">
        <v>6472</v>
      </c>
      <c r="Z1764" s="77" t="s">
        <v>888</v>
      </c>
      <c r="AA1764" s="77"/>
      <c r="AB1764" s="77"/>
      <c r="AC1764" s="82" t="s">
        <v>7750</v>
      </c>
      <c r="AD1764" s="77" t="s">
        <v>7790</v>
      </c>
      <c r="AE1764" s="80" t="str">
        <f>HYPERLINK("https://twitter.com/elbote/status/1696273954066087982")</f>
        <v>https://twitter.com/elbote/status/1696273954066087982</v>
      </c>
      <c r="AF1764" s="79">
        <v>45166.895833333336</v>
      </c>
      <c r="AG1764" s="85">
        <v>45166</v>
      </c>
      <c r="AH1764" s="82" t="s">
        <v>8089</v>
      </c>
      <c r="AI1764" s="77" t="b">
        <v>0</v>
      </c>
      <c r="AJ1764" s="77"/>
      <c r="AK1764" s="77"/>
      <c r="AL1764" s="77"/>
      <c r="AM1764" s="77"/>
      <c r="AN1764" s="77"/>
      <c r="AO1764" s="77"/>
      <c r="AP1764" s="77"/>
      <c r="AQ1764" s="77"/>
      <c r="AR1764" s="77"/>
      <c r="AS1764" s="77"/>
      <c r="AT1764" s="77"/>
      <c r="AU1764" s="77"/>
      <c r="AV1764" s="80" t="str">
        <f>HYPERLINK("https://pbs.twimg.com/profile_images/1247173001415667712/7ED1DSXO_normal.jpg")</f>
        <v>https://pbs.twimg.com/profile_images/1247173001415667712/7ED1DSXO_normal.jpg</v>
      </c>
      <c r="AW1764" s="82" t="s">
        <v>13360</v>
      </c>
      <c r="AX1764" s="82" t="s">
        <v>13360</v>
      </c>
      <c r="AY1764" s="77"/>
      <c r="AZ1764" s="82" t="s">
        <v>15984</v>
      </c>
      <c r="BA1764" s="82" t="s">
        <v>15984</v>
      </c>
      <c r="BB1764" s="82" t="s">
        <v>15984</v>
      </c>
      <c r="BC1764" s="82" t="s">
        <v>13360</v>
      </c>
      <c r="BD1764" s="77">
        <v>36204276</v>
      </c>
      <c r="BE1764" s="77"/>
      <c r="BF1764" s="77"/>
      <c r="BG1764" s="77"/>
      <c r="BH1764" s="77"/>
      <c r="BI1764" s="77"/>
    </row>
    <row r="1765" spans="1:61" x14ac:dyDescent="0.25">
      <c r="A1765" s="62" t="s">
        <v>686</v>
      </c>
      <c r="B1765" s="62" t="s">
        <v>888</v>
      </c>
      <c r="C1765" s="63"/>
      <c r="D1765" s="64"/>
      <c r="E1765" s="65"/>
      <c r="F1765" s="66"/>
      <c r="G1765" s="63"/>
      <c r="H1765" s="67"/>
      <c r="I1765" s="68"/>
      <c r="J1765" s="68"/>
      <c r="K1765" s="32"/>
      <c r="L1765" s="75">
        <v>1765</v>
      </c>
      <c r="M1765" s="75"/>
      <c r="N1765" s="70"/>
      <c r="O1765" s="77" t="s">
        <v>895</v>
      </c>
      <c r="P1765" s="79">
        <v>45170.802083333336</v>
      </c>
      <c r="Q1765" s="77" t="s">
        <v>2457</v>
      </c>
      <c r="R1765" s="77">
        <v>0</v>
      </c>
      <c r="S1765" s="77">
        <v>0</v>
      </c>
      <c r="T1765" s="77">
        <v>0</v>
      </c>
      <c r="U1765" s="77">
        <v>0</v>
      </c>
      <c r="V1765" s="77">
        <v>1</v>
      </c>
      <c r="W1765" s="82" t="s">
        <v>5739</v>
      </c>
      <c r="X1765" s="80" t="str">
        <f>HYPERLINK("https://youtu.be/mo4IsLu7Kmw")</f>
        <v>https://youtu.be/mo4IsLu7Kmw</v>
      </c>
      <c r="Y1765" s="77" t="s">
        <v>6472</v>
      </c>
      <c r="Z1765" s="77" t="s">
        <v>888</v>
      </c>
      <c r="AA1765" s="77"/>
      <c r="AB1765" s="77"/>
      <c r="AC1765" s="82" t="s">
        <v>7750</v>
      </c>
      <c r="AD1765" s="77" t="s">
        <v>7790</v>
      </c>
      <c r="AE1765" s="80" t="str">
        <f>HYPERLINK("https://twitter.com/elbote/status/1697689530269306926")</f>
        <v>https://twitter.com/elbote/status/1697689530269306926</v>
      </c>
      <c r="AF1765" s="79">
        <v>45170.802083333336</v>
      </c>
      <c r="AG1765" s="85">
        <v>45170</v>
      </c>
      <c r="AH1765" s="82" t="s">
        <v>7868</v>
      </c>
      <c r="AI1765" s="77" t="b">
        <v>0</v>
      </c>
      <c r="AJ1765" s="77"/>
      <c r="AK1765" s="77"/>
      <c r="AL1765" s="77"/>
      <c r="AM1765" s="77"/>
      <c r="AN1765" s="77"/>
      <c r="AO1765" s="77"/>
      <c r="AP1765" s="77"/>
      <c r="AQ1765" s="77"/>
      <c r="AR1765" s="77"/>
      <c r="AS1765" s="77"/>
      <c r="AT1765" s="77"/>
      <c r="AU1765" s="77"/>
      <c r="AV1765" s="80" t="str">
        <f>HYPERLINK("https://pbs.twimg.com/profile_images/1247173001415667712/7ED1DSXO_normal.jpg")</f>
        <v>https://pbs.twimg.com/profile_images/1247173001415667712/7ED1DSXO_normal.jpg</v>
      </c>
      <c r="AW1765" s="82" t="s">
        <v>13361</v>
      </c>
      <c r="AX1765" s="82" t="s">
        <v>13361</v>
      </c>
      <c r="AY1765" s="77"/>
      <c r="AZ1765" s="82" t="s">
        <v>15984</v>
      </c>
      <c r="BA1765" s="82" t="s">
        <v>15984</v>
      </c>
      <c r="BB1765" s="82" t="s">
        <v>15984</v>
      </c>
      <c r="BC1765" s="82" t="s">
        <v>13361</v>
      </c>
      <c r="BD1765" s="77">
        <v>36204276</v>
      </c>
      <c r="BE1765" s="77"/>
      <c r="BF1765" s="77"/>
      <c r="BG1765" s="77"/>
      <c r="BH1765" s="77"/>
      <c r="BI1765" s="77"/>
    </row>
    <row r="1766" spans="1:61" x14ac:dyDescent="0.25">
      <c r="A1766" s="62" t="s">
        <v>686</v>
      </c>
      <c r="B1766" s="62" t="s">
        <v>888</v>
      </c>
      <c r="C1766" s="63"/>
      <c r="D1766" s="64"/>
      <c r="E1766" s="65"/>
      <c r="F1766" s="66"/>
      <c r="G1766" s="63"/>
      <c r="H1766" s="67"/>
      <c r="I1766" s="68"/>
      <c r="J1766" s="68"/>
      <c r="K1766" s="32"/>
      <c r="L1766" s="75">
        <v>1766</v>
      </c>
      <c r="M1766" s="75"/>
      <c r="N1766" s="70"/>
      <c r="O1766" s="77" t="s">
        <v>895</v>
      </c>
      <c r="P1766" s="79">
        <v>45167.9375</v>
      </c>
      <c r="Q1766" s="77" t="s">
        <v>2459</v>
      </c>
      <c r="R1766" s="77">
        <v>0</v>
      </c>
      <c r="S1766" s="77">
        <v>0</v>
      </c>
      <c r="T1766" s="77">
        <v>0</v>
      </c>
      <c r="U1766" s="77">
        <v>0</v>
      </c>
      <c r="V1766" s="77">
        <v>8</v>
      </c>
      <c r="W1766" s="82" t="s">
        <v>5739</v>
      </c>
      <c r="X1766" s="80" t="str">
        <f>HYPERLINK("https://youtu.be/mo4IsLu7Kmw")</f>
        <v>https://youtu.be/mo4IsLu7Kmw</v>
      </c>
      <c r="Y1766" s="77" t="s">
        <v>6472</v>
      </c>
      <c r="Z1766" s="77" t="s">
        <v>888</v>
      </c>
      <c r="AA1766" s="77"/>
      <c r="AB1766" s="77"/>
      <c r="AC1766" s="82" t="s">
        <v>7750</v>
      </c>
      <c r="AD1766" s="77" t="s">
        <v>7790</v>
      </c>
      <c r="AE1766" s="80" t="str">
        <f>HYPERLINK("https://twitter.com/elbote/status/1696651442340102594")</f>
        <v>https://twitter.com/elbote/status/1696651442340102594</v>
      </c>
      <c r="AF1766" s="79">
        <v>45167.9375</v>
      </c>
      <c r="AG1766" s="85">
        <v>45167</v>
      </c>
      <c r="AH1766" s="82" t="s">
        <v>7926</v>
      </c>
      <c r="AI1766" s="77" t="b">
        <v>0</v>
      </c>
      <c r="AJ1766" s="77"/>
      <c r="AK1766" s="77"/>
      <c r="AL1766" s="77"/>
      <c r="AM1766" s="77"/>
      <c r="AN1766" s="77"/>
      <c r="AO1766" s="77"/>
      <c r="AP1766" s="77"/>
      <c r="AQ1766" s="77"/>
      <c r="AR1766" s="77"/>
      <c r="AS1766" s="77"/>
      <c r="AT1766" s="77"/>
      <c r="AU1766" s="77"/>
      <c r="AV1766" s="80" t="str">
        <f>HYPERLINK("https://pbs.twimg.com/profile_images/1247173001415667712/7ED1DSXO_normal.jpg")</f>
        <v>https://pbs.twimg.com/profile_images/1247173001415667712/7ED1DSXO_normal.jpg</v>
      </c>
      <c r="AW1766" s="82" t="s">
        <v>13362</v>
      </c>
      <c r="AX1766" s="82" t="s">
        <v>13362</v>
      </c>
      <c r="AY1766" s="77"/>
      <c r="AZ1766" s="82" t="s">
        <v>15984</v>
      </c>
      <c r="BA1766" s="82" t="s">
        <v>15984</v>
      </c>
      <c r="BB1766" s="82" t="s">
        <v>15984</v>
      </c>
      <c r="BC1766" s="82" t="s">
        <v>13362</v>
      </c>
      <c r="BD1766" s="77">
        <v>36204276</v>
      </c>
      <c r="BE1766" s="77"/>
      <c r="BF1766" s="77"/>
      <c r="BG1766" s="77"/>
      <c r="BH1766" s="77"/>
      <c r="BI1766" s="77"/>
    </row>
    <row r="1767" spans="1:61" x14ac:dyDescent="0.25">
      <c r="A1767" s="62" t="s">
        <v>686</v>
      </c>
      <c r="B1767" s="62" t="s">
        <v>888</v>
      </c>
      <c r="C1767" s="63"/>
      <c r="D1767" s="64"/>
      <c r="E1767" s="65"/>
      <c r="F1767" s="66"/>
      <c r="G1767" s="63"/>
      <c r="H1767" s="67"/>
      <c r="I1767" s="68"/>
      <c r="J1767" s="68"/>
      <c r="K1767" s="32"/>
      <c r="L1767" s="75">
        <v>1767</v>
      </c>
      <c r="M1767" s="75"/>
      <c r="N1767" s="70"/>
      <c r="O1767" s="77" t="s">
        <v>895</v>
      </c>
      <c r="P1767" s="79">
        <v>45172.813194444447</v>
      </c>
      <c r="Q1767" s="77" t="s">
        <v>2457</v>
      </c>
      <c r="R1767" s="77">
        <v>0</v>
      </c>
      <c r="S1767" s="77">
        <v>0</v>
      </c>
      <c r="T1767" s="77">
        <v>0</v>
      </c>
      <c r="U1767" s="77">
        <v>0</v>
      </c>
      <c r="V1767" s="77">
        <v>12</v>
      </c>
      <c r="W1767" s="82" t="s">
        <v>5739</v>
      </c>
      <c r="X1767" s="80" t="str">
        <f>HYPERLINK("https://youtu.be/mo4IsLu7Kmw")</f>
        <v>https://youtu.be/mo4IsLu7Kmw</v>
      </c>
      <c r="Y1767" s="77" t="s">
        <v>6472</v>
      </c>
      <c r="Z1767" s="77" t="s">
        <v>888</v>
      </c>
      <c r="AA1767" s="77"/>
      <c r="AB1767" s="77"/>
      <c r="AC1767" s="82" t="s">
        <v>7750</v>
      </c>
      <c r="AD1767" s="77" t="s">
        <v>7790</v>
      </c>
      <c r="AE1767" s="80" t="str">
        <f>HYPERLINK("https://twitter.com/elbote/status/1698418332570206509")</f>
        <v>https://twitter.com/elbote/status/1698418332570206509</v>
      </c>
      <c r="AF1767" s="79">
        <v>45172.813194444447</v>
      </c>
      <c r="AG1767" s="85">
        <v>45172</v>
      </c>
      <c r="AH1767" s="82" t="s">
        <v>9292</v>
      </c>
      <c r="AI1767" s="77" t="b">
        <v>0</v>
      </c>
      <c r="AJ1767" s="77"/>
      <c r="AK1767" s="77"/>
      <c r="AL1767" s="77"/>
      <c r="AM1767" s="77"/>
      <c r="AN1767" s="77"/>
      <c r="AO1767" s="77"/>
      <c r="AP1767" s="77"/>
      <c r="AQ1767" s="77"/>
      <c r="AR1767" s="77"/>
      <c r="AS1767" s="77"/>
      <c r="AT1767" s="77"/>
      <c r="AU1767" s="77"/>
      <c r="AV1767" s="80" t="str">
        <f>HYPERLINK("https://pbs.twimg.com/profile_images/1247173001415667712/7ED1DSXO_normal.jpg")</f>
        <v>https://pbs.twimg.com/profile_images/1247173001415667712/7ED1DSXO_normal.jpg</v>
      </c>
      <c r="AW1767" s="82" t="s">
        <v>13363</v>
      </c>
      <c r="AX1767" s="82" t="s">
        <v>13363</v>
      </c>
      <c r="AY1767" s="77"/>
      <c r="AZ1767" s="82" t="s">
        <v>15984</v>
      </c>
      <c r="BA1767" s="82" t="s">
        <v>15984</v>
      </c>
      <c r="BB1767" s="82" t="s">
        <v>15984</v>
      </c>
      <c r="BC1767" s="82" t="s">
        <v>13363</v>
      </c>
      <c r="BD1767" s="77">
        <v>36204276</v>
      </c>
      <c r="BE1767" s="77"/>
      <c r="BF1767" s="77"/>
      <c r="BG1767" s="77"/>
      <c r="BH1767" s="77"/>
      <c r="BI1767" s="77"/>
    </row>
    <row r="1768" spans="1:61" x14ac:dyDescent="0.25">
      <c r="A1768" s="62" t="s">
        <v>686</v>
      </c>
      <c r="B1768" s="62" t="s">
        <v>888</v>
      </c>
      <c r="C1768" s="63"/>
      <c r="D1768" s="64"/>
      <c r="E1768" s="65"/>
      <c r="F1768" s="66"/>
      <c r="G1768" s="63"/>
      <c r="H1768" s="67"/>
      <c r="I1768" s="68"/>
      <c r="J1768" s="68"/>
      <c r="K1768" s="32"/>
      <c r="L1768" s="75">
        <v>1768</v>
      </c>
      <c r="M1768" s="75"/>
      <c r="N1768" s="70"/>
      <c r="O1768" s="77" t="s">
        <v>895</v>
      </c>
      <c r="P1768" s="79">
        <v>45174.330995370372</v>
      </c>
      <c r="Q1768" s="77" t="s">
        <v>2459</v>
      </c>
      <c r="R1768" s="77">
        <v>0</v>
      </c>
      <c r="S1768" s="77">
        <v>0</v>
      </c>
      <c r="T1768" s="77">
        <v>0</v>
      </c>
      <c r="U1768" s="77">
        <v>0</v>
      </c>
      <c r="V1768" s="77">
        <v>4</v>
      </c>
      <c r="W1768" s="82" t="s">
        <v>5739</v>
      </c>
      <c r="X1768" s="80" t="str">
        <f>HYPERLINK("https://youtu.be/mo4IsLu7Kmw")</f>
        <v>https://youtu.be/mo4IsLu7Kmw</v>
      </c>
      <c r="Y1768" s="77" t="s">
        <v>6472</v>
      </c>
      <c r="Z1768" s="77" t="s">
        <v>888</v>
      </c>
      <c r="AA1768" s="77"/>
      <c r="AB1768" s="77"/>
      <c r="AC1768" s="82" t="s">
        <v>7750</v>
      </c>
      <c r="AD1768" s="77" t="s">
        <v>7790</v>
      </c>
      <c r="AE1768" s="80" t="str">
        <f>HYPERLINK("https://twitter.com/elbote/status/1698968366919065816")</f>
        <v>https://twitter.com/elbote/status/1698968366919065816</v>
      </c>
      <c r="AF1768" s="79">
        <v>45174.330995370372</v>
      </c>
      <c r="AG1768" s="85">
        <v>45174</v>
      </c>
      <c r="AH1768" s="82" t="s">
        <v>9293</v>
      </c>
      <c r="AI1768" s="77" t="b">
        <v>0</v>
      </c>
      <c r="AJ1768" s="77"/>
      <c r="AK1768" s="77"/>
      <c r="AL1768" s="77"/>
      <c r="AM1768" s="77"/>
      <c r="AN1768" s="77"/>
      <c r="AO1768" s="77"/>
      <c r="AP1768" s="77"/>
      <c r="AQ1768" s="77"/>
      <c r="AR1768" s="77"/>
      <c r="AS1768" s="77"/>
      <c r="AT1768" s="77"/>
      <c r="AU1768" s="77"/>
      <c r="AV1768" s="80" t="str">
        <f>HYPERLINK("https://pbs.twimg.com/profile_images/1247173001415667712/7ED1DSXO_normal.jpg")</f>
        <v>https://pbs.twimg.com/profile_images/1247173001415667712/7ED1DSXO_normal.jpg</v>
      </c>
      <c r="AW1768" s="82" t="s">
        <v>13364</v>
      </c>
      <c r="AX1768" s="82" t="s">
        <v>13364</v>
      </c>
      <c r="AY1768" s="77"/>
      <c r="AZ1768" s="82" t="s">
        <v>15984</v>
      </c>
      <c r="BA1768" s="82" t="s">
        <v>15984</v>
      </c>
      <c r="BB1768" s="82" t="s">
        <v>15984</v>
      </c>
      <c r="BC1768" s="82" t="s">
        <v>13364</v>
      </c>
      <c r="BD1768" s="77">
        <v>36204276</v>
      </c>
      <c r="BE1768" s="77"/>
      <c r="BF1768" s="77"/>
      <c r="BG1768" s="77"/>
      <c r="BH1768" s="77"/>
      <c r="BI1768" s="77"/>
    </row>
    <row r="1769" spans="1:61" x14ac:dyDescent="0.25">
      <c r="A1769" s="62" t="s">
        <v>686</v>
      </c>
      <c r="B1769" s="62" t="s">
        <v>888</v>
      </c>
      <c r="C1769" s="63"/>
      <c r="D1769" s="64"/>
      <c r="E1769" s="65"/>
      <c r="F1769" s="66"/>
      <c r="G1769" s="63"/>
      <c r="H1769" s="67"/>
      <c r="I1769" s="68"/>
      <c r="J1769" s="68"/>
      <c r="K1769" s="32"/>
      <c r="L1769" s="75">
        <v>1769</v>
      </c>
      <c r="M1769" s="75"/>
      <c r="N1769" s="70"/>
      <c r="O1769" s="77" t="s">
        <v>895</v>
      </c>
      <c r="P1769" s="79">
        <v>45173.229861111111</v>
      </c>
      <c r="Q1769" s="77" t="s">
        <v>2459</v>
      </c>
      <c r="R1769" s="77">
        <v>0</v>
      </c>
      <c r="S1769" s="77">
        <v>0</v>
      </c>
      <c r="T1769" s="77">
        <v>0</v>
      </c>
      <c r="U1769" s="77">
        <v>0</v>
      </c>
      <c r="V1769" s="77">
        <v>28</v>
      </c>
      <c r="W1769" s="82" t="s">
        <v>5739</v>
      </c>
      <c r="X1769" s="80" t="str">
        <f>HYPERLINK("https://youtu.be/mo4IsLu7Kmw")</f>
        <v>https://youtu.be/mo4IsLu7Kmw</v>
      </c>
      <c r="Y1769" s="77" t="s">
        <v>6472</v>
      </c>
      <c r="Z1769" s="77" t="s">
        <v>888</v>
      </c>
      <c r="AA1769" s="77"/>
      <c r="AB1769" s="77"/>
      <c r="AC1769" s="82" t="s">
        <v>7750</v>
      </c>
      <c r="AD1769" s="77" t="s">
        <v>7790</v>
      </c>
      <c r="AE1769" s="80" t="str">
        <f>HYPERLINK("https://twitter.com/elbote/status/1698569327417434295")</f>
        <v>https://twitter.com/elbote/status/1698569327417434295</v>
      </c>
      <c r="AF1769" s="79">
        <v>45173.229861111111</v>
      </c>
      <c r="AG1769" s="85">
        <v>45173</v>
      </c>
      <c r="AH1769" s="82" t="s">
        <v>9294</v>
      </c>
      <c r="AI1769" s="77" t="b">
        <v>0</v>
      </c>
      <c r="AJ1769" s="77"/>
      <c r="AK1769" s="77"/>
      <c r="AL1769" s="77"/>
      <c r="AM1769" s="77"/>
      <c r="AN1769" s="77"/>
      <c r="AO1769" s="77"/>
      <c r="AP1769" s="77"/>
      <c r="AQ1769" s="77"/>
      <c r="AR1769" s="77"/>
      <c r="AS1769" s="77"/>
      <c r="AT1769" s="77"/>
      <c r="AU1769" s="77"/>
      <c r="AV1769" s="80" t="str">
        <f>HYPERLINK("https://pbs.twimg.com/profile_images/1247173001415667712/7ED1DSXO_normal.jpg")</f>
        <v>https://pbs.twimg.com/profile_images/1247173001415667712/7ED1DSXO_normal.jpg</v>
      </c>
      <c r="AW1769" s="82" t="s">
        <v>13365</v>
      </c>
      <c r="AX1769" s="82" t="s">
        <v>13365</v>
      </c>
      <c r="AY1769" s="77"/>
      <c r="AZ1769" s="82" t="s">
        <v>15984</v>
      </c>
      <c r="BA1769" s="82" t="s">
        <v>15984</v>
      </c>
      <c r="BB1769" s="82" t="s">
        <v>15984</v>
      </c>
      <c r="BC1769" s="82" t="s">
        <v>13365</v>
      </c>
      <c r="BD1769" s="77">
        <v>36204276</v>
      </c>
      <c r="BE1769" s="77"/>
      <c r="BF1769" s="77"/>
      <c r="BG1769" s="77"/>
      <c r="BH1769" s="77"/>
      <c r="BI1769" s="77"/>
    </row>
    <row r="1770" spans="1:61" x14ac:dyDescent="0.25">
      <c r="A1770" s="62" t="s">
        <v>686</v>
      </c>
      <c r="B1770" s="62" t="s">
        <v>888</v>
      </c>
      <c r="C1770" s="63"/>
      <c r="D1770" s="64"/>
      <c r="E1770" s="65"/>
      <c r="F1770" s="66"/>
      <c r="G1770" s="63"/>
      <c r="H1770" s="67"/>
      <c r="I1770" s="68"/>
      <c r="J1770" s="68"/>
      <c r="K1770" s="32"/>
      <c r="L1770" s="75">
        <v>1770</v>
      </c>
      <c r="M1770" s="75"/>
      <c r="N1770" s="70"/>
      <c r="O1770" s="77" t="s">
        <v>895</v>
      </c>
      <c r="P1770" s="79">
        <v>45169.313125000001</v>
      </c>
      <c r="Q1770" s="77" t="s">
        <v>2459</v>
      </c>
      <c r="R1770" s="77">
        <v>0</v>
      </c>
      <c r="S1770" s="77">
        <v>0</v>
      </c>
      <c r="T1770" s="77">
        <v>0</v>
      </c>
      <c r="U1770" s="77">
        <v>0</v>
      </c>
      <c r="V1770" s="77">
        <v>5</v>
      </c>
      <c r="W1770" s="82" t="s">
        <v>5739</v>
      </c>
      <c r="X1770" s="80" t="str">
        <f>HYPERLINK("https://youtu.be/mo4IsLu7Kmw")</f>
        <v>https://youtu.be/mo4IsLu7Kmw</v>
      </c>
      <c r="Y1770" s="77" t="s">
        <v>6472</v>
      </c>
      <c r="Z1770" s="77" t="s">
        <v>888</v>
      </c>
      <c r="AA1770" s="77"/>
      <c r="AB1770" s="77"/>
      <c r="AC1770" s="82" t="s">
        <v>7750</v>
      </c>
      <c r="AD1770" s="77" t="s">
        <v>7790</v>
      </c>
      <c r="AE1770" s="80" t="str">
        <f>HYPERLINK("https://twitter.com/elbote/status/1697149949937344799")</f>
        <v>https://twitter.com/elbote/status/1697149949937344799</v>
      </c>
      <c r="AF1770" s="79">
        <v>45169.313125000001</v>
      </c>
      <c r="AG1770" s="85">
        <v>45169</v>
      </c>
      <c r="AH1770" s="82" t="s">
        <v>9295</v>
      </c>
      <c r="AI1770" s="77" t="b">
        <v>0</v>
      </c>
      <c r="AJ1770" s="77"/>
      <c r="AK1770" s="77"/>
      <c r="AL1770" s="77"/>
      <c r="AM1770" s="77"/>
      <c r="AN1770" s="77"/>
      <c r="AO1770" s="77"/>
      <c r="AP1770" s="77"/>
      <c r="AQ1770" s="77"/>
      <c r="AR1770" s="77"/>
      <c r="AS1770" s="77"/>
      <c r="AT1770" s="77"/>
      <c r="AU1770" s="77"/>
      <c r="AV1770" s="80" t="str">
        <f>HYPERLINK("https://pbs.twimg.com/profile_images/1247173001415667712/7ED1DSXO_normal.jpg")</f>
        <v>https://pbs.twimg.com/profile_images/1247173001415667712/7ED1DSXO_normal.jpg</v>
      </c>
      <c r="AW1770" s="82" t="s">
        <v>13366</v>
      </c>
      <c r="AX1770" s="82" t="s">
        <v>13366</v>
      </c>
      <c r="AY1770" s="77"/>
      <c r="AZ1770" s="82" t="s">
        <v>15984</v>
      </c>
      <c r="BA1770" s="82" t="s">
        <v>15984</v>
      </c>
      <c r="BB1770" s="82" t="s">
        <v>15984</v>
      </c>
      <c r="BC1770" s="82" t="s">
        <v>13366</v>
      </c>
      <c r="BD1770" s="77">
        <v>36204276</v>
      </c>
      <c r="BE1770" s="77"/>
      <c r="BF1770" s="77"/>
      <c r="BG1770" s="77"/>
      <c r="BH1770" s="77"/>
      <c r="BI1770" s="77"/>
    </row>
    <row r="1771" spans="1:61" x14ac:dyDescent="0.25">
      <c r="A1771" s="62" t="s">
        <v>686</v>
      </c>
      <c r="B1771" s="62" t="s">
        <v>888</v>
      </c>
      <c r="C1771" s="63"/>
      <c r="D1771" s="64"/>
      <c r="E1771" s="65"/>
      <c r="F1771" s="66"/>
      <c r="G1771" s="63"/>
      <c r="H1771" s="67"/>
      <c r="I1771" s="68"/>
      <c r="J1771" s="68"/>
      <c r="K1771" s="32"/>
      <c r="L1771" s="75">
        <v>1771</v>
      </c>
      <c r="M1771" s="75"/>
      <c r="N1771" s="70"/>
      <c r="O1771" s="77" t="s">
        <v>895</v>
      </c>
      <c r="P1771" s="79">
        <v>45174.84375</v>
      </c>
      <c r="Q1771" s="77" t="s">
        <v>2457</v>
      </c>
      <c r="R1771" s="77">
        <v>0</v>
      </c>
      <c r="S1771" s="77">
        <v>0</v>
      </c>
      <c r="T1771" s="77">
        <v>0</v>
      </c>
      <c r="U1771" s="77">
        <v>0</v>
      </c>
      <c r="V1771" s="77">
        <v>4</v>
      </c>
      <c r="W1771" s="82" t="s">
        <v>5739</v>
      </c>
      <c r="X1771" s="80" t="str">
        <f>HYPERLINK("https://youtu.be/mo4IsLu7Kmw")</f>
        <v>https://youtu.be/mo4IsLu7Kmw</v>
      </c>
      <c r="Y1771" s="77" t="s">
        <v>6472</v>
      </c>
      <c r="Z1771" s="77" t="s">
        <v>888</v>
      </c>
      <c r="AA1771" s="77"/>
      <c r="AB1771" s="77"/>
      <c r="AC1771" s="82" t="s">
        <v>7750</v>
      </c>
      <c r="AD1771" s="77" t="s">
        <v>7790</v>
      </c>
      <c r="AE1771" s="80" t="str">
        <f>HYPERLINK("https://twitter.com/elbote/status/1699154181167481213")</f>
        <v>https://twitter.com/elbote/status/1699154181167481213</v>
      </c>
      <c r="AF1771" s="79">
        <v>45174.84375</v>
      </c>
      <c r="AG1771" s="85">
        <v>45174</v>
      </c>
      <c r="AH1771" s="82" t="s">
        <v>9296</v>
      </c>
      <c r="AI1771" s="77" t="b">
        <v>0</v>
      </c>
      <c r="AJ1771" s="77"/>
      <c r="AK1771" s="77"/>
      <c r="AL1771" s="77"/>
      <c r="AM1771" s="77"/>
      <c r="AN1771" s="77"/>
      <c r="AO1771" s="77"/>
      <c r="AP1771" s="77"/>
      <c r="AQ1771" s="77"/>
      <c r="AR1771" s="77"/>
      <c r="AS1771" s="77"/>
      <c r="AT1771" s="77"/>
      <c r="AU1771" s="77"/>
      <c r="AV1771" s="80" t="str">
        <f>HYPERLINK("https://pbs.twimg.com/profile_images/1247173001415667712/7ED1DSXO_normal.jpg")</f>
        <v>https://pbs.twimg.com/profile_images/1247173001415667712/7ED1DSXO_normal.jpg</v>
      </c>
      <c r="AW1771" s="82" t="s">
        <v>13367</v>
      </c>
      <c r="AX1771" s="82" t="s">
        <v>13367</v>
      </c>
      <c r="AY1771" s="77"/>
      <c r="AZ1771" s="82" t="s">
        <v>15984</v>
      </c>
      <c r="BA1771" s="82" t="s">
        <v>15984</v>
      </c>
      <c r="BB1771" s="82" t="s">
        <v>15984</v>
      </c>
      <c r="BC1771" s="82" t="s">
        <v>13367</v>
      </c>
      <c r="BD1771" s="77">
        <v>36204276</v>
      </c>
      <c r="BE1771" s="77"/>
      <c r="BF1771" s="77"/>
      <c r="BG1771" s="77"/>
      <c r="BH1771" s="77"/>
      <c r="BI1771" s="77"/>
    </row>
    <row r="1772" spans="1:61" x14ac:dyDescent="0.25">
      <c r="A1772" s="62" t="s">
        <v>686</v>
      </c>
      <c r="B1772" s="62" t="s">
        <v>888</v>
      </c>
      <c r="C1772" s="63"/>
      <c r="D1772" s="64"/>
      <c r="E1772" s="65"/>
      <c r="F1772" s="66"/>
      <c r="G1772" s="63"/>
      <c r="H1772" s="67"/>
      <c r="I1772" s="68"/>
      <c r="J1772" s="68"/>
      <c r="K1772" s="32"/>
      <c r="L1772" s="75">
        <v>1772</v>
      </c>
      <c r="M1772" s="75"/>
      <c r="N1772" s="70"/>
      <c r="O1772" s="77" t="s">
        <v>895</v>
      </c>
      <c r="P1772" s="79">
        <v>45175.052083333336</v>
      </c>
      <c r="Q1772" s="77" t="s">
        <v>2459</v>
      </c>
      <c r="R1772" s="77">
        <v>0</v>
      </c>
      <c r="S1772" s="77">
        <v>0</v>
      </c>
      <c r="T1772" s="77">
        <v>0</v>
      </c>
      <c r="U1772" s="77">
        <v>0</v>
      </c>
      <c r="V1772" s="77">
        <v>9</v>
      </c>
      <c r="W1772" s="82" t="s">
        <v>5739</v>
      </c>
      <c r="X1772" s="80" t="str">
        <f>HYPERLINK("https://youtu.be/mo4IsLu7Kmw")</f>
        <v>https://youtu.be/mo4IsLu7Kmw</v>
      </c>
      <c r="Y1772" s="77" t="s">
        <v>6472</v>
      </c>
      <c r="Z1772" s="77" t="s">
        <v>888</v>
      </c>
      <c r="AA1772" s="77"/>
      <c r="AB1772" s="77"/>
      <c r="AC1772" s="82" t="s">
        <v>7750</v>
      </c>
      <c r="AD1772" s="77" t="s">
        <v>7790</v>
      </c>
      <c r="AE1772" s="80" t="str">
        <f>HYPERLINK("https://twitter.com/elbote/status/1699229678718816535")</f>
        <v>https://twitter.com/elbote/status/1699229678718816535</v>
      </c>
      <c r="AF1772" s="79">
        <v>45175.052083333336</v>
      </c>
      <c r="AG1772" s="85">
        <v>45175</v>
      </c>
      <c r="AH1772" s="82" t="s">
        <v>9297</v>
      </c>
      <c r="AI1772" s="77" t="b">
        <v>0</v>
      </c>
      <c r="AJ1772" s="77"/>
      <c r="AK1772" s="77"/>
      <c r="AL1772" s="77"/>
      <c r="AM1772" s="77"/>
      <c r="AN1772" s="77"/>
      <c r="AO1772" s="77"/>
      <c r="AP1772" s="77"/>
      <c r="AQ1772" s="77"/>
      <c r="AR1772" s="77"/>
      <c r="AS1772" s="77"/>
      <c r="AT1772" s="77"/>
      <c r="AU1772" s="77"/>
      <c r="AV1772" s="80" t="str">
        <f>HYPERLINK("https://pbs.twimg.com/profile_images/1247173001415667712/7ED1DSXO_normal.jpg")</f>
        <v>https://pbs.twimg.com/profile_images/1247173001415667712/7ED1DSXO_normal.jpg</v>
      </c>
      <c r="AW1772" s="82" t="s">
        <v>13368</v>
      </c>
      <c r="AX1772" s="82" t="s">
        <v>13368</v>
      </c>
      <c r="AY1772" s="77"/>
      <c r="AZ1772" s="82" t="s">
        <v>15984</v>
      </c>
      <c r="BA1772" s="82" t="s">
        <v>15984</v>
      </c>
      <c r="BB1772" s="82" t="s">
        <v>15984</v>
      </c>
      <c r="BC1772" s="82" t="s">
        <v>13368</v>
      </c>
      <c r="BD1772" s="77">
        <v>36204276</v>
      </c>
      <c r="BE1772" s="77"/>
      <c r="BF1772" s="77"/>
      <c r="BG1772" s="77"/>
      <c r="BH1772" s="77"/>
      <c r="BI1772" s="77"/>
    </row>
    <row r="1773" spans="1:61" x14ac:dyDescent="0.25">
      <c r="A1773" s="62" t="s">
        <v>686</v>
      </c>
      <c r="B1773" s="62" t="s">
        <v>888</v>
      </c>
      <c r="C1773" s="63"/>
      <c r="D1773" s="64"/>
      <c r="E1773" s="65"/>
      <c r="F1773" s="66"/>
      <c r="G1773" s="63"/>
      <c r="H1773" s="67"/>
      <c r="I1773" s="68"/>
      <c r="J1773" s="68"/>
      <c r="K1773" s="32"/>
      <c r="L1773" s="75">
        <v>1773</v>
      </c>
      <c r="M1773" s="75"/>
      <c r="N1773" s="70"/>
      <c r="O1773" s="77" t="s">
        <v>895</v>
      </c>
      <c r="P1773" s="79">
        <v>45168.958344907405</v>
      </c>
      <c r="Q1773" s="77" t="s">
        <v>2455</v>
      </c>
      <c r="R1773" s="77">
        <v>0</v>
      </c>
      <c r="S1773" s="77">
        <v>0</v>
      </c>
      <c r="T1773" s="77">
        <v>0</v>
      </c>
      <c r="U1773" s="77">
        <v>0</v>
      </c>
      <c r="V1773" s="77">
        <v>8</v>
      </c>
      <c r="W1773" s="82" t="s">
        <v>5738</v>
      </c>
      <c r="X1773" s="80" t="str">
        <f>HYPERLINK("https://youtu.be/mo4IsLu7Kmw")</f>
        <v>https://youtu.be/mo4IsLu7Kmw</v>
      </c>
      <c r="Y1773" s="77" t="s">
        <v>6472</v>
      </c>
      <c r="Z1773" s="77" t="s">
        <v>888</v>
      </c>
      <c r="AA1773" s="77"/>
      <c r="AB1773" s="77"/>
      <c r="AC1773" s="82" t="s">
        <v>7750</v>
      </c>
      <c r="AD1773" s="77" t="s">
        <v>7790</v>
      </c>
      <c r="AE1773" s="80" t="str">
        <f>HYPERLINK("https://twitter.com/elbote/status/1697021384357011654")</f>
        <v>https://twitter.com/elbote/status/1697021384357011654</v>
      </c>
      <c r="AF1773" s="79">
        <v>45168.958344907405</v>
      </c>
      <c r="AG1773" s="85">
        <v>45168</v>
      </c>
      <c r="AH1773" s="82" t="s">
        <v>9241</v>
      </c>
      <c r="AI1773" s="77" t="b">
        <v>0</v>
      </c>
      <c r="AJ1773" s="77"/>
      <c r="AK1773" s="77"/>
      <c r="AL1773" s="77"/>
      <c r="AM1773" s="77"/>
      <c r="AN1773" s="77"/>
      <c r="AO1773" s="77"/>
      <c r="AP1773" s="77"/>
      <c r="AQ1773" s="77"/>
      <c r="AR1773" s="77"/>
      <c r="AS1773" s="77"/>
      <c r="AT1773" s="77"/>
      <c r="AU1773" s="77"/>
      <c r="AV1773" s="80" t="str">
        <f>HYPERLINK("https://pbs.twimg.com/profile_images/1247173001415667712/7ED1DSXO_normal.jpg")</f>
        <v>https://pbs.twimg.com/profile_images/1247173001415667712/7ED1DSXO_normal.jpg</v>
      </c>
      <c r="AW1773" s="82" t="s">
        <v>13369</v>
      </c>
      <c r="AX1773" s="82" t="s">
        <v>13369</v>
      </c>
      <c r="AY1773" s="77"/>
      <c r="AZ1773" s="82" t="s">
        <v>15984</v>
      </c>
      <c r="BA1773" s="82" t="s">
        <v>15984</v>
      </c>
      <c r="BB1773" s="82" t="s">
        <v>15984</v>
      </c>
      <c r="BC1773" s="82" t="s">
        <v>13369</v>
      </c>
      <c r="BD1773" s="77">
        <v>36204276</v>
      </c>
      <c r="BE1773" s="77"/>
      <c r="BF1773" s="77"/>
      <c r="BG1773" s="77"/>
      <c r="BH1773" s="77"/>
      <c r="BI1773" s="77"/>
    </row>
    <row r="1774" spans="1:61" x14ac:dyDescent="0.25">
      <c r="A1774" s="62" t="s">
        <v>686</v>
      </c>
      <c r="B1774" s="62" t="s">
        <v>888</v>
      </c>
      <c r="C1774" s="63"/>
      <c r="D1774" s="64"/>
      <c r="E1774" s="65"/>
      <c r="F1774" s="66"/>
      <c r="G1774" s="63"/>
      <c r="H1774" s="67"/>
      <c r="I1774" s="68"/>
      <c r="J1774" s="68"/>
      <c r="K1774" s="32"/>
      <c r="L1774" s="75">
        <v>1774</v>
      </c>
      <c r="M1774" s="75"/>
      <c r="N1774" s="70"/>
      <c r="O1774" s="77" t="s">
        <v>895</v>
      </c>
      <c r="P1774" s="79">
        <v>45165.306516203702</v>
      </c>
      <c r="Q1774" s="77" t="s">
        <v>2456</v>
      </c>
      <c r="R1774" s="77">
        <v>0</v>
      </c>
      <c r="S1774" s="77">
        <v>0</v>
      </c>
      <c r="T1774" s="77">
        <v>0</v>
      </c>
      <c r="U1774" s="77">
        <v>0</v>
      </c>
      <c r="V1774" s="77">
        <v>9</v>
      </c>
      <c r="W1774" s="82" t="s">
        <v>5737</v>
      </c>
      <c r="X1774" s="80" t="str">
        <f>HYPERLINK("https://youtu.be/mo4IsLu7Kmw")</f>
        <v>https://youtu.be/mo4IsLu7Kmw</v>
      </c>
      <c r="Y1774" s="77" t="s">
        <v>6472</v>
      </c>
      <c r="Z1774" s="77" t="s">
        <v>888</v>
      </c>
      <c r="AA1774" s="77"/>
      <c r="AB1774" s="77"/>
      <c r="AC1774" s="82" t="s">
        <v>7750</v>
      </c>
      <c r="AD1774" s="77" t="s">
        <v>7790</v>
      </c>
      <c r="AE1774" s="80" t="str">
        <f>HYPERLINK("https://twitter.com/elbote/status/1695698003099586850")</f>
        <v>https://twitter.com/elbote/status/1695698003099586850</v>
      </c>
      <c r="AF1774" s="79">
        <v>45165.306516203702</v>
      </c>
      <c r="AG1774" s="85">
        <v>45165</v>
      </c>
      <c r="AH1774" s="82" t="s">
        <v>9298</v>
      </c>
      <c r="AI1774" s="77" t="b">
        <v>0</v>
      </c>
      <c r="AJ1774" s="77"/>
      <c r="AK1774" s="77"/>
      <c r="AL1774" s="77"/>
      <c r="AM1774" s="77"/>
      <c r="AN1774" s="77"/>
      <c r="AO1774" s="77"/>
      <c r="AP1774" s="77"/>
      <c r="AQ1774" s="77"/>
      <c r="AR1774" s="77"/>
      <c r="AS1774" s="77"/>
      <c r="AT1774" s="77"/>
      <c r="AU1774" s="77"/>
      <c r="AV1774" s="80" t="str">
        <f>HYPERLINK("https://pbs.twimg.com/profile_images/1247173001415667712/7ED1DSXO_normal.jpg")</f>
        <v>https://pbs.twimg.com/profile_images/1247173001415667712/7ED1DSXO_normal.jpg</v>
      </c>
      <c r="AW1774" s="82" t="s">
        <v>13370</v>
      </c>
      <c r="AX1774" s="82" t="s">
        <v>13370</v>
      </c>
      <c r="AY1774" s="77"/>
      <c r="AZ1774" s="82" t="s">
        <v>15984</v>
      </c>
      <c r="BA1774" s="82" t="s">
        <v>15984</v>
      </c>
      <c r="BB1774" s="82" t="s">
        <v>15984</v>
      </c>
      <c r="BC1774" s="82" t="s">
        <v>13370</v>
      </c>
      <c r="BD1774" s="77">
        <v>36204276</v>
      </c>
      <c r="BE1774" s="77"/>
      <c r="BF1774" s="77"/>
      <c r="BG1774" s="77"/>
      <c r="BH1774" s="77"/>
      <c r="BI1774" s="77"/>
    </row>
    <row r="1775" spans="1:61" x14ac:dyDescent="0.25">
      <c r="A1775" s="62" t="s">
        <v>686</v>
      </c>
      <c r="B1775" s="62" t="s">
        <v>888</v>
      </c>
      <c r="C1775" s="63"/>
      <c r="D1775" s="64"/>
      <c r="E1775" s="65"/>
      <c r="F1775" s="66"/>
      <c r="G1775" s="63"/>
      <c r="H1775" s="67"/>
      <c r="I1775" s="68"/>
      <c r="J1775" s="68"/>
      <c r="K1775" s="32"/>
      <c r="L1775" s="75">
        <v>1775</v>
      </c>
      <c r="M1775" s="75"/>
      <c r="N1775" s="70"/>
      <c r="O1775" s="77" t="s">
        <v>895</v>
      </c>
      <c r="P1775" s="79">
        <v>45164.895833333336</v>
      </c>
      <c r="Q1775" s="77" t="s">
        <v>2455</v>
      </c>
      <c r="R1775" s="77">
        <v>0</v>
      </c>
      <c r="S1775" s="77">
        <v>0</v>
      </c>
      <c r="T1775" s="77">
        <v>0</v>
      </c>
      <c r="U1775" s="77">
        <v>0</v>
      </c>
      <c r="V1775" s="77">
        <v>6</v>
      </c>
      <c r="W1775" s="82" t="s">
        <v>5738</v>
      </c>
      <c r="X1775" s="80" t="str">
        <f>HYPERLINK("https://youtu.be/mo4IsLu7Kmw")</f>
        <v>https://youtu.be/mo4IsLu7Kmw</v>
      </c>
      <c r="Y1775" s="77" t="s">
        <v>6472</v>
      </c>
      <c r="Z1775" s="77" t="s">
        <v>888</v>
      </c>
      <c r="AA1775" s="77"/>
      <c r="AB1775" s="77"/>
      <c r="AC1775" s="82" t="s">
        <v>7750</v>
      </c>
      <c r="AD1775" s="77" t="s">
        <v>7790</v>
      </c>
      <c r="AE1775" s="80" t="str">
        <f>HYPERLINK("https://twitter.com/elbote/status/1695549177265095150")</f>
        <v>https://twitter.com/elbote/status/1695549177265095150</v>
      </c>
      <c r="AF1775" s="79">
        <v>45164.895833333336</v>
      </c>
      <c r="AG1775" s="85">
        <v>45164</v>
      </c>
      <c r="AH1775" s="82" t="s">
        <v>8089</v>
      </c>
      <c r="AI1775" s="77" t="b">
        <v>0</v>
      </c>
      <c r="AJ1775" s="77"/>
      <c r="AK1775" s="77"/>
      <c r="AL1775" s="77"/>
      <c r="AM1775" s="77"/>
      <c r="AN1775" s="77"/>
      <c r="AO1775" s="77"/>
      <c r="AP1775" s="77"/>
      <c r="AQ1775" s="77"/>
      <c r="AR1775" s="77"/>
      <c r="AS1775" s="77"/>
      <c r="AT1775" s="77"/>
      <c r="AU1775" s="77"/>
      <c r="AV1775" s="80" t="str">
        <f>HYPERLINK("https://pbs.twimg.com/profile_images/1247173001415667712/7ED1DSXO_normal.jpg")</f>
        <v>https://pbs.twimg.com/profile_images/1247173001415667712/7ED1DSXO_normal.jpg</v>
      </c>
      <c r="AW1775" s="82" t="s">
        <v>13371</v>
      </c>
      <c r="AX1775" s="82" t="s">
        <v>13371</v>
      </c>
      <c r="AY1775" s="77"/>
      <c r="AZ1775" s="82" t="s">
        <v>15984</v>
      </c>
      <c r="BA1775" s="82" t="s">
        <v>15984</v>
      </c>
      <c r="BB1775" s="82" t="s">
        <v>15984</v>
      </c>
      <c r="BC1775" s="82" t="s">
        <v>13371</v>
      </c>
      <c r="BD1775" s="77">
        <v>36204276</v>
      </c>
      <c r="BE1775" s="77"/>
      <c r="BF1775" s="77"/>
      <c r="BG1775" s="77"/>
      <c r="BH1775" s="77"/>
      <c r="BI1775" s="77"/>
    </row>
    <row r="1776" spans="1:61" x14ac:dyDescent="0.25">
      <c r="A1776" s="62" t="s">
        <v>686</v>
      </c>
      <c r="B1776" s="62" t="s">
        <v>888</v>
      </c>
      <c r="C1776" s="63"/>
      <c r="D1776" s="64"/>
      <c r="E1776" s="65"/>
      <c r="F1776" s="66"/>
      <c r="G1776" s="63"/>
      <c r="H1776" s="67"/>
      <c r="I1776" s="68"/>
      <c r="J1776" s="68"/>
      <c r="K1776" s="32"/>
      <c r="L1776" s="75">
        <v>1776</v>
      </c>
      <c r="M1776" s="75"/>
      <c r="N1776" s="70"/>
      <c r="O1776" s="77" t="s">
        <v>895</v>
      </c>
      <c r="P1776" s="79">
        <v>45164.6875</v>
      </c>
      <c r="Q1776" s="77" t="s">
        <v>2460</v>
      </c>
      <c r="R1776" s="77">
        <v>0</v>
      </c>
      <c r="S1776" s="77">
        <v>0</v>
      </c>
      <c r="T1776" s="77">
        <v>0</v>
      </c>
      <c r="U1776" s="77">
        <v>0</v>
      </c>
      <c r="V1776" s="77">
        <v>10</v>
      </c>
      <c r="W1776" s="82" t="s">
        <v>5738</v>
      </c>
      <c r="X1776" s="80" t="str">
        <f>HYPERLINK("https://youtu.be/mo4IsLu7Kmw")</f>
        <v>https://youtu.be/mo4IsLu7Kmw</v>
      </c>
      <c r="Y1776" s="77" t="s">
        <v>6472</v>
      </c>
      <c r="Z1776" s="77" t="s">
        <v>888</v>
      </c>
      <c r="AA1776" s="77"/>
      <c r="AB1776" s="77"/>
      <c r="AC1776" s="82" t="s">
        <v>7750</v>
      </c>
      <c r="AD1776" s="77" t="s">
        <v>7790</v>
      </c>
      <c r="AE1776" s="80" t="str">
        <f>HYPERLINK("https://twitter.com/elbote/status/1695473680418320401")</f>
        <v>https://twitter.com/elbote/status/1695473680418320401</v>
      </c>
      <c r="AF1776" s="79">
        <v>45164.6875</v>
      </c>
      <c r="AG1776" s="85">
        <v>45164</v>
      </c>
      <c r="AH1776" s="82" t="s">
        <v>9286</v>
      </c>
      <c r="AI1776" s="77" t="b">
        <v>0</v>
      </c>
      <c r="AJ1776" s="77"/>
      <c r="AK1776" s="77"/>
      <c r="AL1776" s="77"/>
      <c r="AM1776" s="77"/>
      <c r="AN1776" s="77"/>
      <c r="AO1776" s="77"/>
      <c r="AP1776" s="77"/>
      <c r="AQ1776" s="77"/>
      <c r="AR1776" s="77"/>
      <c r="AS1776" s="77"/>
      <c r="AT1776" s="77"/>
      <c r="AU1776" s="77"/>
      <c r="AV1776" s="80" t="str">
        <f>HYPERLINK("https://pbs.twimg.com/profile_images/1247173001415667712/7ED1DSXO_normal.jpg")</f>
        <v>https://pbs.twimg.com/profile_images/1247173001415667712/7ED1DSXO_normal.jpg</v>
      </c>
      <c r="AW1776" s="82" t="s">
        <v>13372</v>
      </c>
      <c r="AX1776" s="82" t="s">
        <v>13372</v>
      </c>
      <c r="AY1776" s="77"/>
      <c r="AZ1776" s="82" t="s">
        <v>15984</v>
      </c>
      <c r="BA1776" s="82" t="s">
        <v>15984</v>
      </c>
      <c r="BB1776" s="82" t="s">
        <v>15984</v>
      </c>
      <c r="BC1776" s="82" t="s">
        <v>13372</v>
      </c>
      <c r="BD1776" s="77">
        <v>36204276</v>
      </c>
      <c r="BE1776" s="77"/>
      <c r="BF1776" s="77"/>
      <c r="BG1776" s="77"/>
      <c r="BH1776" s="77"/>
      <c r="BI1776" s="77"/>
    </row>
    <row r="1777" spans="1:61" x14ac:dyDescent="0.25">
      <c r="A1777" s="62" t="s">
        <v>686</v>
      </c>
      <c r="B1777" s="62" t="s">
        <v>888</v>
      </c>
      <c r="C1777" s="63"/>
      <c r="D1777" s="64"/>
      <c r="E1777" s="65"/>
      <c r="F1777" s="66"/>
      <c r="G1777" s="63"/>
      <c r="H1777" s="67"/>
      <c r="I1777" s="68"/>
      <c r="J1777" s="68"/>
      <c r="K1777" s="32"/>
      <c r="L1777" s="75">
        <v>1777</v>
      </c>
      <c r="M1777" s="75"/>
      <c r="N1777" s="70"/>
      <c r="O1777" s="77" t="s">
        <v>895</v>
      </c>
      <c r="P1777" s="79">
        <v>45175.791666666664</v>
      </c>
      <c r="Q1777" s="77" t="s">
        <v>2461</v>
      </c>
      <c r="R1777" s="77">
        <v>0</v>
      </c>
      <c r="S1777" s="77">
        <v>0</v>
      </c>
      <c r="T1777" s="77">
        <v>0</v>
      </c>
      <c r="U1777" s="77">
        <v>0</v>
      </c>
      <c r="V1777" s="77">
        <v>2</v>
      </c>
      <c r="W1777" s="82" t="s">
        <v>5739</v>
      </c>
      <c r="X1777" s="80" t="str">
        <f>HYPERLINK("https://youtu.be/mo4IsLu7Kmw")</f>
        <v>https://youtu.be/mo4IsLu7Kmw</v>
      </c>
      <c r="Y1777" s="77" t="s">
        <v>6472</v>
      </c>
      <c r="Z1777" s="77" t="s">
        <v>888</v>
      </c>
      <c r="AA1777" s="77"/>
      <c r="AB1777" s="77"/>
      <c r="AC1777" s="82" t="s">
        <v>7750</v>
      </c>
      <c r="AD1777" s="77" t="s">
        <v>7790</v>
      </c>
      <c r="AE1777" s="80" t="str">
        <f>HYPERLINK("https://twitter.com/elbote/status/1699497695826550953")</f>
        <v>https://twitter.com/elbote/status/1699497695826550953</v>
      </c>
      <c r="AF1777" s="79">
        <v>45175.791666666664</v>
      </c>
      <c r="AG1777" s="85">
        <v>45175</v>
      </c>
      <c r="AH1777" s="82" t="s">
        <v>9299</v>
      </c>
      <c r="AI1777" s="77" t="b">
        <v>0</v>
      </c>
      <c r="AJ1777" s="77"/>
      <c r="AK1777" s="77"/>
      <c r="AL1777" s="77"/>
      <c r="AM1777" s="77"/>
      <c r="AN1777" s="77"/>
      <c r="AO1777" s="77"/>
      <c r="AP1777" s="77"/>
      <c r="AQ1777" s="77"/>
      <c r="AR1777" s="77"/>
      <c r="AS1777" s="77"/>
      <c r="AT1777" s="77"/>
      <c r="AU1777" s="77"/>
      <c r="AV1777" s="80" t="str">
        <f>HYPERLINK("https://pbs.twimg.com/profile_images/1247173001415667712/7ED1DSXO_normal.jpg")</f>
        <v>https://pbs.twimg.com/profile_images/1247173001415667712/7ED1DSXO_normal.jpg</v>
      </c>
      <c r="AW1777" s="82" t="s">
        <v>13373</v>
      </c>
      <c r="AX1777" s="82" t="s">
        <v>13373</v>
      </c>
      <c r="AY1777" s="77"/>
      <c r="AZ1777" s="82" t="s">
        <v>15984</v>
      </c>
      <c r="BA1777" s="82" t="s">
        <v>15984</v>
      </c>
      <c r="BB1777" s="82" t="s">
        <v>15984</v>
      </c>
      <c r="BC1777" s="82" t="s">
        <v>13373</v>
      </c>
      <c r="BD1777" s="77">
        <v>36204276</v>
      </c>
      <c r="BE1777" s="77"/>
      <c r="BF1777" s="77"/>
      <c r="BG1777" s="77"/>
      <c r="BH1777" s="77"/>
      <c r="BI1777" s="77"/>
    </row>
    <row r="1778" spans="1:61" x14ac:dyDescent="0.25">
      <c r="A1778" s="62" t="s">
        <v>686</v>
      </c>
      <c r="B1778" s="62" t="s">
        <v>888</v>
      </c>
      <c r="C1778" s="63"/>
      <c r="D1778" s="64"/>
      <c r="E1778" s="65"/>
      <c r="F1778" s="66"/>
      <c r="G1778" s="63"/>
      <c r="H1778" s="67"/>
      <c r="I1778" s="68"/>
      <c r="J1778" s="68"/>
      <c r="K1778" s="32"/>
      <c r="L1778" s="75">
        <v>1778</v>
      </c>
      <c r="M1778" s="75"/>
      <c r="N1778" s="70"/>
      <c r="O1778" s="77" t="s">
        <v>895</v>
      </c>
      <c r="P1778" s="79">
        <v>45176</v>
      </c>
      <c r="Q1778" s="77" t="s">
        <v>2462</v>
      </c>
      <c r="R1778" s="77">
        <v>0</v>
      </c>
      <c r="S1778" s="77">
        <v>0</v>
      </c>
      <c r="T1778" s="77">
        <v>0</v>
      </c>
      <c r="U1778" s="77">
        <v>0</v>
      </c>
      <c r="V1778" s="77">
        <v>9</v>
      </c>
      <c r="W1778" s="82" t="s">
        <v>5739</v>
      </c>
      <c r="X1778" s="80" t="str">
        <f>HYPERLINK("https://youtu.be/mo4IsLu7Kmw")</f>
        <v>https://youtu.be/mo4IsLu7Kmw</v>
      </c>
      <c r="Y1778" s="77" t="s">
        <v>6472</v>
      </c>
      <c r="Z1778" s="77" t="s">
        <v>888</v>
      </c>
      <c r="AA1778" s="77"/>
      <c r="AB1778" s="77"/>
      <c r="AC1778" s="82" t="s">
        <v>7750</v>
      </c>
      <c r="AD1778" s="77" t="s">
        <v>7790</v>
      </c>
      <c r="AE1778" s="80" t="str">
        <f>HYPERLINK("https://twitter.com/elbote/status/1699573193240097006")</f>
        <v>https://twitter.com/elbote/status/1699573193240097006</v>
      </c>
      <c r="AF1778" s="79">
        <v>45176</v>
      </c>
      <c r="AG1778" s="85">
        <v>45176</v>
      </c>
      <c r="AH1778" s="82" t="s">
        <v>9300</v>
      </c>
      <c r="AI1778" s="77" t="b">
        <v>0</v>
      </c>
      <c r="AJ1778" s="77"/>
      <c r="AK1778" s="77"/>
      <c r="AL1778" s="77"/>
      <c r="AM1778" s="77"/>
      <c r="AN1778" s="77"/>
      <c r="AO1778" s="77"/>
      <c r="AP1778" s="77"/>
      <c r="AQ1778" s="77"/>
      <c r="AR1778" s="77"/>
      <c r="AS1778" s="77"/>
      <c r="AT1778" s="77"/>
      <c r="AU1778" s="77"/>
      <c r="AV1778" s="80" t="str">
        <f>HYPERLINK("https://pbs.twimg.com/profile_images/1247173001415667712/7ED1DSXO_normal.jpg")</f>
        <v>https://pbs.twimg.com/profile_images/1247173001415667712/7ED1DSXO_normal.jpg</v>
      </c>
      <c r="AW1778" s="82" t="s">
        <v>13374</v>
      </c>
      <c r="AX1778" s="82" t="s">
        <v>13374</v>
      </c>
      <c r="AY1778" s="77"/>
      <c r="AZ1778" s="82" t="s">
        <v>15984</v>
      </c>
      <c r="BA1778" s="82" t="s">
        <v>15984</v>
      </c>
      <c r="BB1778" s="82" t="s">
        <v>15984</v>
      </c>
      <c r="BC1778" s="82" t="s">
        <v>13374</v>
      </c>
      <c r="BD1778" s="77">
        <v>36204276</v>
      </c>
      <c r="BE1778" s="77"/>
      <c r="BF1778" s="77"/>
      <c r="BG1778" s="77"/>
      <c r="BH1778" s="77"/>
      <c r="BI1778" s="77"/>
    </row>
    <row r="1779" spans="1:61" x14ac:dyDescent="0.25">
      <c r="A1779" s="62" t="s">
        <v>686</v>
      </c>
      <c r="B1779" s="62" t="s">
        <v>888</v>
      </c>
      <c r="C1779" s="63"/>
      <c r="D1779" s="64"/>
      <c r="E1779" s="65"/>
      <c r="F1779" s="66"/>
      <c r="G1779" s="63"/>
      <c r="H1779" s="67"/>
      <c r="I1779" s="68"/>
      <c r="J1779" s="68"/>
      <c r="K1779" s="32"/>
      <c r="L1779" s="75">
        <v>1779</v>
      </c>
      <c r="M1779" s="75"/>
      <c r="N1779" s="70"/>
      <c r="O1779" s="77" t="s">
        <v>895</v>
      </c>
      <c r="P1779" s="79">
        <v>45167.274618055555</v>
      </c>
      <c r="Q1779" s="77" t="s">
        <v>2459</v>
      </c>
      <c r="R1779" s="77">
        <v>0</v>
      </c>
      <c r="S1779" s="77">
        <v>0</v>
      </c>
      <c r="T1779" s="77">
        <v>0</v>
      </c>
      <c r="U1779" s="77">
        <v>0</v>
      </c>
      <c r="V1779" s="77">
        <v>17</v>
      </c>
      <c r="W1779" s="82" t="s">
        <v>5739</v>
      </c>
      <c r="X1779" s="80" t="str">
        <f>HYPERLINK("https://youtu.be/mo4IsLu7Kmw")</f>
        <v>https://youtu.be/mo4IsLu7Kmw</v>
      </c>
      <c r="Y1779" s="77" t="s">
        <v>6472</v>
      </c>
      <c r="Z1779" s="77" t="s">
        <v>888</v>
      </c>
      <c r="AA1779" s="77"/>
      <c r="AB1779" s="77"/>
      <c r="AC1779" s="82" t="s">
        <v>7750</v>
      </c>
      <c r="AD1779" s="77" t="s">
        <v>7790</v>
      </c>
      <c r="AE1779" s="80" t="str">
        <f>HYPERLINK("https://twitter.com/elbote/status/1696411218850746850")</f>
        <v>https://twitter.com/elbote/status/1696411218850746850</v>
      </c>
      <c r="AF1779" s="79">
        <v>45167.274618055555</v>
      </c>
      <c r="AG1779" s="85">
        <v>45167</v>
      </c>
      <c r="AH1779" s="82" t="s">
        <v>9301</v>
      </c>
      <c r="AI1779" s="77" t="b">
        <v>0</v>
      </c>
      <c r="AJ1779" s="77"/>
      <c r="AK1779" s="77"/>
      <c r="AL1779" s="77"/>
      <c r="AM1779" s="77"/>
      <c r="AN1779" s="77"/>
      <c r="AO1779" s="77"/>
      <c r="AP1779" s="77"/>
      <c r="AQ1779" s="77"/>
      <c r="AR1779" s="77"/>
      <c r="AS1779" s="77"/>
      <c r="AT1779" s="77"/>
      <c r="AU1779" s="77"/>
      <c r="AV1779" s="80" t="str">
        <f>HYPERLINK("https://pbs.twimg.com/profile_images/1247173001415667712/7ED1DSXO_normal.jpg")</f>
        <v>https://pbs.twimg.com/profile_images/1247173001415667712/7ED1DSXO_normal.jpg</v>
      </c>
      <c r="AW1779" s="82" t="s">
        <v>13375</v>
      </c>
      <c r="AX1779" s="82" t="s">
        <v>13375</v>
      </c>
      <c r="AY1779" s="77"/>
      <c r="AZ1779" s="82" t="s">
        <v>15984</v>
      </c>
      <c r="BA1779" s="82" t="s">
        <v>15984</v>
      </c>
      <c r="BB1779" s="82" t="s">
        <v>15984</v>
      </c>
      <c r="BC1779" s="82" t="s">
        <v>13375</v>
      </c>
      <c r="BD1779" s="77">
        <v>36204276</v>
      </c>
      <c r="BE1779" s="77"/>
      <c r="BF1779" s="77"/>
      <c r="BG1779" s="77"/>
      <c r="BH1779" s="77"/>
      <c r="BI1779" s="77"/>
    </row>
    <row r="1780" spans="1:61" x14ac:dyDescent="0.25">
      <c r="A1780" s="62" t="s">
        <v>687</v>
      </c>
      <c r="B1780" s="62" t="s">
        <v>687</v>
      </c>
      <c r="C1780" s="63"/>
      <c r="D1780" s="64"/>
      <c r="E1780" s="65"/>
      <c r="F1780" s="66"/>
      <c r="G1780" s="63"/>
      <c r="H1780" s="67"/>
      <c r="I1780" s="68"/>
      <c r="J1780" s="68"/>
      <c r="K1780" s="32"/>
      <c r="L1780" s="75">
        <v>1780</v>
      </c>
      <c r="M1780" s="75"/>
      <c r="N1780" s="70"/>
      <c r="O1780" s="77" t="s">
        <v>179</v>
      </c>
      <c r="P1780" s="79">
        <v>45134.5625</v>
      </c>
      <c r="Q1780" s="77" t="s">
        <v>2463</v>
      </c>
      <c r="R1780" s="77">
        <v>0</v>
      </c>
      <c r="S1780" s="77">
        <v>0</v>
      </c>
      <c r="T1780" s="77">
        <v>0</v>
      </c>
      <c r="U1780" s="77">
        <v>0</v>
      </c>
      <c r="V1780" s="77">
        <v>118</v>
      </c>
      <c r="W1780" s="82" t="s">
        <v>5076</v>
      </c>
      <c r="X1780" s="80" t="str">
        <f>HYPERLINK("https://bit.ly/3O98DGM")</f>
        <v>https://bit.ly/3O98DGM</v>
      </c>
      <c r="Y1780" s="77" t="s">
        <v>6468</v>
      </c>
      <c r="Z1780" s="77"/>
      <c r="AA1780" s="77"/>
      <c r="AB1780" s="77"/>
      <c r="AC1780" s="82" t="s">
        <v>7754</v>
      </c>
      <c r="AD1780" s="77" t="s">
        <v>7788</v>
      </c>
      <c r="AE1780" s="80" t="str">
        <f>HYPERLINK("https://twitter.com/sigaif/status/1684556744952094723")</f>
        <v>https://twitter.com/sigaif/status/1684556744952094723</v>
      </c>
      <c r="AF1780" s="79">
        <v>45134.5625</v>
      </c>
      <c r="AG1780" s="85">
        <v>45134</v>
      </c>
      <c r="AH1780" s="82" t="s">
        <v>7922</v>
      </c>
      <c r="AI1780" s="77" t="b">
        <v>0</v>
      </c>
      <c r="AJ1780" s="77"/>
      <c r="AK1780" s="77"/>
      <c r="AL1780" s="77"/>
      <c r="AM1780" s="77"/>
      <c r="AN1780" s="77"/>
      <c r="AO1780" s="77"/>
      <c r="AP1780" s="77"/>
      <c r="AQ1780" s="77"/>
      <c r="AR1780" s="77"/>
      <c r="AS1780" s="77"/>
      <c r="AT1780" s="77"/>
      <c r="AU1780" s="77"/>
      <c r="AV1780" s="80" t="str">
        <f>HYPERLINK("https://pbs.twimg.com/profile_images/1694699476663914496/pAhGWDTb_normal.jpg")</f>
        <v>https://pbs.twimg.com/profile_images/1694699476663914496/pAhGWDTb_normal.jpg</v>
      </c>
      <c r="AW1780" s="82" t="s">
        <v>13376</v>
      </c>
      <c r="AX1780" s="82" t="s">
        <v>13376</v>
      </c>
      <c r="AY1780" s="77"/>
      <c r="AZ1780" s="82" t="s">
        <v>15984</v>
      </c>
      <c r="BA1780" s="82" t="s">
        <v>15984</v>
      </c>
      <c r="BB1780" s="82" t="s">
        <v>15984</v>
      </c>
      <c r="BC1780" s="82" t="s">
        <v>13376</v>
      </c>
      <c r="BD1780" s="82" t="s">
        <v>16371</v>
      </c>
      <c r="BE1780" s="77"/>
      <c r="BF1780" s="77"/>
      <c r="BG1780" s="77"/>
      <c r="BH1780" s="77"/>
      <c r="BI1780" s="77"/>
    </row>
    <row r="1781" spans="1:61" x14ac:dyDescent="0.25">
      <c r="A1781" s="62" t="s">
        <v>687</v>
      </c>
      <c r="B1781" s="62" t="s">
        <v>687</v>
      </c>
      <c r="C1781" s="63"/>
      <c r="D1781" s="64"/>
      <c r="E1781" s="65"/>
      <c r="F1781" s="66"/>
      <c r="G1781" s="63"/>
      <c r="H1781" s="67"/>
      <c r="I1781" s="68"/>
      <c r="J1781" s="68"/>
      <c r="K1781" s="32"/>
      <c r="L1781" s="75">
        <v>1781</v>
      </c>
      <c r="M1781" s="75"/>
      <c r="N1781" s="70"/>
      <c r="O1781" s="77" t="s">
        <v>179</v>
      </c>
      <c r="P1781" s="79">
        <v>45137.541689814818</v>
      </c>
      <c r="Q1781" s="77" t="s">
        <v>2464</v>
      </c>
      <c r="R1781" s="77">
        <v>1</v>
      </c>
      <c r="S1781" s="77">
        <v>5</v>
      </c>
      <c r="T1781" s="77">
        <v>0</v>
      </c>
      <c r="U1781" s="77">
        <v>0</v>
      </c>
      <c r="V1781" s="77">
        <v>367</v>
      </c>
      <c r="W1781" s="82" t="s">
        <v>4839</v>
      </c>
      <c r="X1781" s="80" t="str">
        <f>HYPERLINK("https://bit.ly/3OAiKpw")</f>
        <v>https://bit.ly/3OAiKpw</v>
      </c>
      <c r="Y1781" s="77" t="s">
        <v>6468</v>
      </c>
      <c r="Z1781" s="77"/>
      <c r="AA1781" s="77"/>
      <c r="AB1781" s="77"/>
      <c r="AC1781" s="82" t="s">
        <v>7754</v>
      </c>
      <c r="AD1781" s="77" t="s">
        <v>7788</v>
      </c>
      <c r="AE1781" s="80" t="str">
        <f>HYPERLINK("https://twitter.com/sigaif/status/1685636367278022656")</f>
        <v>https://twitter.com/sigaif/status/1685636367278022656</v>
      </c>
      <c r="AF1781" s="79">
        <v>45137.541689814818</v>
      </c>
      <c r="AG1781" s="85">
        <v>45137</v>
      </c>
      <c r="AH1781" s="82" t="s">
        <v>8312</v>
      </c>
      <c r="AI1781" s="77" t="b">
        <v>0</v>
      </c>
      <c r="AJ1781" s="77"/>
      <c r="AK1781" s="77"/>
      <c r="AL1781" s="77"/>
      <c r="AM1781" s="77"/>
      <c r="AN1781" s="77"/>
      <c r="AO1781" s="77"/>
      <c r="AP1781" s="77"/>
      <c r="AQ1781" s="77"/>
      <c r="AR1781" s="77"/>
      <c r="AS1781" s="77"/>
      <c r="AT1781" s="77"/>
      <c r="AU1781" s="77"/>
      <c r="AV1781" s="80" t="str">
        <f>HYPERLINK("https://pbs.twimg.com/profile_images/1694699476663914496/pAhGWDTb_normal.jpg")</f>
        <v>https://pbs.twimg.com/profile_images/1694699476663914496/pAhGWDTb_normal.jpg</v>
      </c>
      <c r="AW1781" s="82" t="s">
        <v>13377</v>
      </c>
      <c r="AX1781" s="82" t="s">
        <v>13377</v>
      </c>
      <c r="AY1781" s="77"/>
      <c r="AZ1781" s="82" t="s">
        <v>15984</v>
      </c>
      <c r="BA1781" s="82" t="s">
        <v>15984</v>
      </c>
      <c r="BB1781" s="82" t="s">
        <v>15984</v>
      </c>
      <c r="BC1781" s="82" t="s">
        <v>13377</v>
      </c>
      <c r="BD1781" s="82" t="s">
        <v>16371</v>
      </c>
      <c r="BE1781" s="77"/>
      <c r="BF1781" s="77"/>
      <c r="BG1781" s="77"/>
      <c r="BH1781" s="77"/>
      <c r="BI1781" s="77"/>
    </row>
    <row r="1782" spans="1:61" x14ac:dyDescent="0.25">
      <c r="A1782" s="62" t="s">
        <v>687</v>
      </c>
      <c r="B1782" s="62" t="s">
        <v>687</v>
      </c>
      <c r="C1782" s="63"/>
      <c r="D1782" s="64"/>
      <c r="E1782" s="65"/>
      <c r="F1782" s="66"/>
      <c r="G1782" s="63"/>
      <c r="H1782" s="67"/>
      <c r="I1782" s="68"/>
      <c r="J1782" s="68"/>
      <c r="K1782" s="32"/>
      <c r="L1782" s="75">
        <v>1782</v>
      </c>
      <c r="M1782" s="75"/>
      <c r="N1782" s="70"/>
      <c r="O1782" s="77" t="s">
        <v>179</v>
      </c>
      <c r="P1782" s="79">
        <v>45136.916678240741</v>
      </c>
      <c r="Q1782" s="77" t="s">
        <v>2465</v>
      </c>
      <c r="R1782" s="77">
        <v>0</v>
      </c>
      <c r="S1782" s="77">
        <v>1</v>
      </c>
      <c r="T1782" s="77">
        <v>0</v>
      </c>
      <c r="U1782" s="77">
        <v>0</v>
      </c>
      <c r="V1782" s="77">
        <v>246</v>
      </c>
      <c r="W1782" s="82" t="s">
        <v>4839</v>
      </c>
      <c r="X1782" s="80" t="str">
        <f>HYPERLINK("https://bit.ly/3pZ3mJP")</f>
        <v>https://bit.ly/3pZ3mJP</v>
      </c>
      <c r="Y1782" s="77" t="s">
        <v>6468</v>
      </c>
      <c r="Z1782" s="77"/>
      <c r="AA1782" s="77"/>
      <c r="AB1782" s="77"/>
      <c r="AC1782" s="82" t="s">
        <v>7754</v>
      </c>
      <c r="AD1782" s="77" t="s">
        <v>7788</v>
      </c>
      <c r="AE1782" s="80" t="str">
        <f>HYPERLINK("https://twitter.com/sigaif/status/1685409872093859841")</f>
        <v>https://twitter.com/sigaif/status/1685409872093859841</v>
      </c>
      <c r="AF1782" s="79">
        <v>45136.916678240741</v>
      </c>
      <c r="AG1782" s="85">
        <v>45136</v>
      </c>
      <c r="AH1782" s="82" t="s">
        <v>8052</v>
      </c>
      <c r="AI1782" s="77" t="b">
        <v>0</v>
      </c>
      <c r="AJ1782" s="77"/>
      <c r="AK1782" s="77"/>
      <c r="AL1782" s="77"/>
      <c r="AM1782" s="77"/>
      <c r="AN1782" s="77"/>
      <c r="AO1782" s="77"/>
      <c r="AP1782" s="77"/>
      <c r="AQ1782" s="77"/>
      <c r="AR1782" s="77"/>
      <c r="AS1782" s="77"/>
      <c r="AT1782" s="77"/>
      <c r="AU1782" s="77"/>
      <c r="AV1782" s="80" t="str">
        <f>HYPERLINK("https://pbs.twimg.com/profile_images/1694699476663914496/pAhGWDTb_normal.jpg")</f>
        <v>https://pbs.twimg.com/profile_images/1694699476663914496/pAhGWDTb_normal.jpg</v>
      </c>
      <c r="AW1782" s="82" t="s">
        <v>13378</v>
      </c>
      <c r="AX1782" s="82" t="s">
        <v>13378</v>
      </c>
      <c r="AY1782" s="77"/>
      <c r="AZ1782" s="82" t="s">
        <v>15984</v>
      </c>
      <c r="BA1782" s="82" t="s">
        <v>15984</v>
      </c>
      <c r="BB1782" s="82" t="s">
        <v>15984</v>
      </c>
      <c r="BC1782" s="82" t="s">
        <v>13378</v>
      </c>
      <c r="BD1782" s="82" t="s">
        <v>16371</v>
      </c>
      <c r="BE1782" s="77"/>
      <c r="BF1782" s="77"/>
      <c r="BG1782" s="77"/>
      <c r="BH1782" s="77"/>
      <c r="BI1782" s="77"/>
    </row>
    <row r="1783" spans="1:61" x14ac:dyDescent="0.25">
      <c r="A1783" s="62" t="s">
        <v>688</v>
      </c>
      <c r="B1783" s="62" t="s">
        <v>688</v>
      </c>
      <c r="C1783" s="63"/>
      <c r="D1783" s="64"/>
      <c r="E1783" s="65"/>
      <c r="F1783" s="66"/>
      <c r="G1783" s="63"/>
      <c r="H1783" s="67"/>
      <c r="I1783" s="68"/>
      <c r="J1783" s="68"/>
      <c r="K1783" s="32"/>
      <c r="L1783" s="75">
        <v>1783</v>
      </c>
      <c r="M1783" s="75"/>
      <c r="N1783" s="70"/>
      <c r="O1783" s="77" t="s">
        <v>179</v>
      </c>
      <c r="P1783" s="79">
        <v>45119.465104166666</v>
      </c>
      <c r="Q1783" s="77" t="s">
        <v>2466</v>
      </c>
      <c r="R1783" s="77">
        <v>0</v>
      </c>
      <c r="S1783" s="77">
        <v>0</v>
      </c>
      <c r="T1783" s="77">
        <v>0</v>
      </c>
      <c r="U1783" s="77">
        <v>0</v>
      </c>
      <c r="V1783" s="77">
        <v>81</v>
      </c>
      <c r="W1783" s="82" t="s">
        <v>5740</v>
      </c>
      <c r="X1783" s="80" t="str">
        <f>HYPERLINK("https://flj.com.br/noticia/avaliacao-do-mercado-financeiro-sobre-haddad-e-perspectivas-para-economia-tem-forte-melhora-mostra-genial-quaest")</f>
        <v>https://flj.com.br/noticia/avaliacao-do-mercado-financeiro-sobre-haddad-e-perspectivas-para-economia-tem-forte-melhora-mostra-genial-quaest</v>
      </c>
      <c r="Y1783" s="77" t="s">
        <v>6470</v>
      </c>
      <c r="Z1783" s="77"/>
      <c r="AA1783" s="77"/>
      <c r="AB1783" s="77"/>
      <c r="AC1783" s="82" t="s">
        <v>7750</v>
      </c>
      <c r="AD1783" s="77" t="s">
        <v>7788</v>
      </c>
      <c r="AE1783" s="80" t="str">
        <f>HYPERLINK("https://twitter.com/leiaflj/status/1679085633149587456")</f>
        <v>https://twitter.com/leiaflj/status/1679085633149587456</v>
      </c>
      <c r="AF1783" s="79">
        <v>45119.465104166666</v>
      </c>
      <c r="AG1783" s="85">
        <v>45119</v>
      </c>
      <c r="AH1783" s="82" t="s">
        <v>9302</v>
      </c>
      <c r="AI1783" s="77" t="b">
        <v>0</v>
      </c>
      <c r="AJ1783" s="77"/>
      <c r="AK1783" s="77"/>
      <c r="AL1783" s="77"/>
      <c r="AM1783" s="77"/>
      <c r="AN1783" s="77"/>
      <c r="AO1783" s="77"/>
      <c r="AP1783" s="77"/>
      <c r="AQ1783" s="77"/>
      <c r="AR1783" s="77"/>
      <c r="AS1783" s="77"/>
      <c r="AT1783" s="77"/>
      <c r="AU1783" s="77"/>
      <c r="AV1783" s="80" t="str">
        <f>HYPERLINK("https://pbs.twimg.com/profile_images/1620068456165933060/TShADQck_normal.jpg")</f>
        <v>https://pbs.twimg.com/profile_images/1620068456165933060/TShADQck_normal.jpg</v>
      </c>
      <c r="AW1783" s="82" t="s">
        <v>13379</v>
      </c>
      <c r="AX1783" s="82" t="s">
        <v>13379</v>
      </c>
      <c r="AY1783" s="77"/>
      <c r="AZ1783" s="82" t="s">
        <v>15984</v>
      </c>
      <c r="BA1783" s="82" t="s">
        <v>15984</v>
      </c>
      <c r="BB1783" s="82" t="s">
        <v>15984</v>
      </c>
      <c r="BC1783" s="82" t="s">
        <v>13379</v>
      </c>
      <c r="BD1783" s="82" t="s">
        <v>16372</v>
      </c>
      <c r="BE1783" s="77"/>
      <c r="BF1783" s="77"/>
      <c r="BG1783" s="77"/>
      <c r="BH1783" s="77"/>
      <c r="BI1783" s="77"/>
    </row>
    <row r="1784" spans="1:61" x14ac:dyDescent="0.25">
      <c r="A1784" s="62" t="s">
        <v>688</v>
      </c>
      <c r="B1784" s="62" t="s">
        <v>688</v>
      </c>
      <c r="C1784" s="63"/>
      <c r="D1784" s="64"/>
      <c r="E1784" s="65"/>
      <c r="F1784" s="66"/>
      <c r="G1784" s="63"/>
      <c r="H1784" s="67"/>
      <c r="I1784" s="68"/>
      <c r="J1784" s="68"/>
      <c r="K1784" s="32"/>
      <c r="L1784" s="75">
        <v>1784</v>
      </c>
      <c r="M1784" s="75"/>
      <c r="N1784" s="70"/>
      <c r="O1784" s="77" t="s">
        <v>179</v>
      </c>
      <c r="P1784" s="79">
        <v>45128.569305555553</v>
      </c>
      <c r="Q1784" s="77" t="s">
        <v>2467</v>
      </c>
      <c r="R1784" s="77">
        <v>0</v>
      </c>
      <c r="S1784" s="77">
        <v>0</v>
      </c>
      <c r="T1784" s="77">
        <v>0</v>
      </c>
      <c r="U1784" s="77">
        <v>0</v>
      </c>
      <c r="V1784" s="77">
        <v>82</v>
      </c>
      <c r="W1784" s="82" t="s">
        <v>5741</v>
      </c>
      <c r="X1784" s="80" t="str">
        <f>HYPERLINK("https://flj.com.br/noticia/janela-para-follow-ons-no-brasil-segue-aberta-e-ipos-podem-vir-no-fim-do-ano-veem-executivos")</f>
        <v>https://flj.com.br/noticia/janela-para-follow-ons-no-brasil-segue-aberta-e-ipos-podem-vir-no-fim-do-ano-veem-executivos</v>
      </c>
      <c r="Y1784" s="77" t="s">
        <v>6470</v>
      </c>
      <c r="Z1784" s="77"/>
      <c r="AA1784" s="77"/>
      <c r="AB1784" s="77"/>
      <c r="AC1784" s="82" t="s">
        <v>7750</v>
      </c>
      <c r="AD1784" s="77" t="s">
        <v>7788</v>
      </c>
      <c r="AE1784" s="80" t="str">
        <f>HYPERLINK("https://twitter.com/leiaflj/status/1682384887213375488")</f>
        <v>https://twitter.com/leiaflj/status/1682384887213375488</v>
      </c>
      <c r="AF1784" s="79">
        <v>45128.569305555553</v>
      </c>
      <c r="AG1784" s="85">
        <v>45128</v>
      </c>
      <c r="AH1784" s="82" t="s">
        <v>9303</v>
      </c>
      <c r="AI1784" s="77" t="b">
        <v>0</v>
      </c>
      <c r="AJ1784" s="77"/>
      <c r="AK1784" s="77"/>
      <c r="AL1784" s="77"/>
      <c r="AM1784" s="77"/>
      <c r="AN1784" s="77"/>
      <c r="AO1784" s="77"/>
      <c r="AP1784" s="77"/>
      <c r="AQ1784" s="77"/>
      <c r="AR1784" s="77"/>
      <c r="AS1784" s="77"/>
      <c r="AT1784" s="77"/>
      <c r="AU1784" s="77"/>
      <c r="AV1784" s="80" t="str">
        <f>HYPERLINK("https://pbs.twimg.com/profile_images/1620068456165933060/TShADQck_normal.jpg")</f>
        <v>https://pbs.twimg.com/profile_images/1620068456165933060/TShADQck_normal.jpg</v>
      </c>
      <c r="AW1784" s="82" t="s">
        <v>13380</v>
      </c>
      <c r="AX1784" s="82" t="s">
        <v>13380</v>
      </c>
      <c r="AY1784" s="77"/>
      <c r="AZ1784" s="82" t="s">
        <v>15984</v>
      </c>
      <c r="BA1784" s="82" t="s">
        <v>15984</v>
      </c>
      <c r="BB1784" s="82" t="s">
        <v>15984</v>
      </c>
      <c r="BC1784" s="82" t="s">
        <v>13380</v>
      </c>
      <c r="BD1784" s="82" t="s">
        <v>16372</v>
      </c>
      <c r="BE1784" s="77"/>
      <c r="BF1784" s="77"/>
      <c r="BG1784" s="77"/>
      <c r="BH1784" s="77"/>
      <c r="BI1784" s="77"/>
    </row>
    <row r="1785" spans="1:61" x14ac:dyDescent="0.25">
      <c r="A1785" s="62" t="s">
        <v>688</v>
      </c>
      <c r="B1785" s="62" t="s">
        <v>688</v>
      </c>
      <c r="C1785" s="63"/>
      <c r="D1785" s="64"/>
      <c r="E1785" s="65"/>
      <c r="F1785" s="66"/>
      <c r="G1785" s="63"/>
      <c r="H1785" s="67"/>
      <c r="I1785" s="68"/>
      <c r="J1785" s="68"/>
      <c r="K1785" s="32"/>
      <c r="L1785" s="75">
        <v>1785</v>
      </c>
      <c r="M1785" s="75"/>
      <c r="N1785" s="70"/>
      <c r="O1785" s="77" t="s">
        <v>179</v>
      </c>
      <c r="P1785" s="79">
        <v>45123.500011574077</v>
      </c>
      <c r="Q1785" s="77" t="s">
        <v>2468</v>
      </c>
      <c r="R1785" s="77">
        <v>0</v>
      </c>
      <c r="S1785" s="77">
        <v>2</v>
      </c>
      <c r="T1785" s="77">
        <v>0</v>
      </c>
      <c r="U1785" s="77">
        <v>0</v>
      </c>
      <c r="V1785" s="77">
        <v>150</v>
      </c>
      <c r="W1785" s="82" t="s">
        <v>5742</v>
      </c>
      <c r="X1785" s="80" t="str">
        <f>HYPERLINK("https://flj.com.br/")</f>
        <v>https://flj.com.br/</v>
      </c>
      <c r="Y1785" s="77" t="s">
        <v>6470</v>
      </c>
      <c r="Z1785" s="77"/>
      <c r="AA1785" s="77" t="s">
        <v>7454</v>
      </c>
      <c r="AB1785" s="77" t="s">
        <v>7744</v>
      </c>
      <c r="AC1785" s="82" t="s">
        <v>7750</v>
      </c>
      <c r="AD1785" s="77" t="s">
        <v>7788</v>
      </c>
      <c r="AE1785" s="80" t="str">
        <f>HYPERLINK("https://twitter.com/leiaflj/status/1680547835933229056")</f>
        <v>https://twitter.com/leiaflj/status/1680547835933229056</v>
      </c>
      <c r="AF1785" s="79">
        <v>45123.500011574077</v>
      </c>
      <c r="AG1785" s="85">
        <v>45123</v>
      </c>
      <c r="AH1785" s="82" t="s">
        <v>9002</v>
      </c>
      <c r="AI1785" s="77" t="b">
        <v>0</v>
      </c>
      <c r="AJ1785" s="77"/>
      <c r="AK1785" s="77"/>
      <c r="AL1785" s="77"/>
      <c r="AM1785" s="77"/>
      <c r="AN1785" s="77"/>
      <c r="AO1785" s="77"/>
      <c r="AP1785" s="77"/>
      <c r="AQ1785" s="77" t="s">
        <v>11426</v>
      </c>
      <c r="AR1785" s="77"/>
      <c r="AS1785" s="77"/>
      <c r="AT1785" s="77"/>
      <c r="AU1785" s="77"/>
      <c r="AV1785" s="80" t="str">
        <f>HYPERLINK("https://pbs.twimg.com/media/F1AcOf2WAAMKW3x.jpg")</f>
        <v>https://pbs.twimg.com/media/F1AcOf2WAAMKW3x.jpg</v>
      </c>
      <c r="AW1785" s="82" t="s">
        <v>13381</v>
      </c>
      <c r="AX1785" s="82" t="s">
        <v>13381</v>
      </c>
      <c r="AY1785" s="77"/>
      <c r="AZ1785" s="82" t="s">
        <v>15984</v>
      </c>
      <c r="BA1785" s="82" t="s">
        <v>15984</v>
      </c>
      <c r="BB1785" s="82" t="s">
        <v>15984</v>
      </c>
      <c r="BC1785" s="82" t="s">
        <v>13381</v>
      </c>
      <c r="BD1785" s="82" t="s">
        <v>16372</v>
      </c>
      <c r="BE1785" s="77"/>
      <c r="BF1785" s="77"/>
      <c r="BG1785" s="77"/>
      <c r="BH1785" s="77"/>
      <c r="BI1785" s="77"/>
    </row>
    <row r="1786" spans="1:61" x14ac:dyDescent="0.25">
      <c r="A1786" s="62" t="s">
        <v>688</v>
      </c>
      <c r="B1786" s="62" t="s">
        <v>688</v>
      </c>
      <c r="C1786" s="63"/>
      <c r="D1786" s="64"/>
      <c r="E1786" s="65"/>
      <c r="F1786" s="66"/>
      <c r="G1786" s="63"/>
      <c r="H1786" s="67"/>
      <c r="I1786" s="68"/>
      <c r="J1786" s="68"/>
      <c r="K1786" s="32"/>
      <c r="L1786" s="75">
        <v>1786</v>
      </c>
      <c r="M1786" s="75"/>
      <c r="N1786" s="70"/>
      <c r="O1786" s="77" t="s">
        <v>179</v>
      </c>
      <c r="P1786" s="79">
        <v>45130.833344907405</v>
      </c>
      <c r="Q1786" s="77" t="s">
        <v>2469</v>
      </c>
      <c r="R1786" s="77">
        <v>0</v>
      </c>
      <c r="S1786" s="77">
        <v>0</v>
      </c>
      <c r="T1786" s="77">
        <v>0</v>
      </c>
      <c r="U1786" s="77">
        <v>0</v>
      </c>
      <c r="V1786" s="77">
        <v>144</v>
      </c>
      <c r="W1786" s="82" t="s">
        <v>5743</v>
      </c>
      <c r="X1786" s="80" t="str">
        <f>HYPERLINK("https://flj.com.br/aprenda/comprar-acoes-saiba-porque-e-importante-investir-no-mercado")</f>
        <v>https://flj.com.br/aprenda/comprar-acoes-saiba-porque-e-importante-investir-no-mercado</v>
      </c>
      <c r="Y1786" s="77" t="s">
        <v>6470</v>
      </c>
      <c r="Z1786" s="77"/>
      <c r="AA1786" s="77"/>
      <c r="AB1786" s="77"/>
      <c r="AC1786" s="82" t="s">
        <v>7750</v>
      </c>
      <c r="AD1786" s="77" t="s">
        <v>7788</v>
      </c>
      <c r="AE1786" s="80" t="str">
        <f>HYPERLINK("https://twitter.com/leiaflj/status/1683205344053305344")</f>
        <v>https://twitter.com/leiaflj/status/1683205344053305344</v>
      </c>
      <c r="AF1786" s="79">
        <v>45130.833344907405</v>
      </c>
      <c r="AG1786" s="85">
        <v>45130</v>
      </c>
      <c r="AH1786" s="82" t="s">
        <v>8284</v>
      </c>
      <c r="AI1786" s="77" t="b">
        <v>0</v>
      </c>
      <c r="AJ1786" s="77"/>
      <c r="AK1786" s="77"/>
      <c r="AL1786" s="77"/>
      <c r="AM1786" s="77"/>
      <c r="AN1786" s="77"/>
      <c r="AO1786" s="77"/>
      <c r="AP1786" s="77"/>
      <c r="AQ1786" s="77"/>
      <c r="AR1786" s="77"/>
      <c r="AS1786" s="77"/>
      <c r="AT1786" s="77"/>
      <c r="AU1786" s="77"/>
      <c r="AV1786" s="80" t="str">
        <f>HYPERLINK("https://pbs.twimg.com/profile_images/1620068456165933060/TShADQck_normal.jpg")</f>
        <v>https://pbs.twimg.com/profile_images/1620068456165933060/TShADQck_normal.jpg</v>
      </c>
      <c r="AW1786" s="82" t="s">
        <v>13382</v>
      </c>
      <c r="AX1786" s="82" t="s">
        <v>13382</v>
      </c>
      <c r="AY1786" s="77"/>
      <c r="AZ1786" s="82" t="s">
        <v>15984</v>
      </c>
      <c r="BA1786" s="82" t="s">
        <v>15984</v>
      </c>
      <c r="BB1786" s="82" t="s">
        <v>15984</v>
      </c>
      <c r="BC1786" s="82" t="s">
        <v>13382</v>
      </c>
      <c r="BD1786" s="82" t="s">
        <v>16372</v>
      </c>
      <c r="BE1786" s="77"/>
      <c r="BF1786" s="77"/>
      <c r="BG1786" s="77"/>
      <c r="BH1786" s="77"/>
      <c r="BI1786" s="77"/>
    </row>
    <row r="1787" spans="1:61" x14ac:dyDescent="0.25">
      <c r="A1787" s="62" t="s">
        <v>688</v>
      </c>
      <c r="B1787" s="62" t="s">
        <v>688</v>
      </c>
      <c r="C1787" s="63"/>
      <c r="D1787" s="64"/>
      <c r="E1787" s="65"/>
      <c r="F1787" s="66"/>
      <c r="G1787" s="63"/>
      <c r="H1787" s="67"/>
      <c r="I1787" s="68"/>
      <c r="J1787" s="68"/>
      <c r="K1787" s="32"/>
      <c r="L1787" s="75">
        <v>1787</v>
      </c>
      <c r="M1787" s="75"/>
      <c r="N1787" s="70"/>
      <c r="O1787" s="77" t="s">
        <v>179</v>
      </c>
      <c r="P1787" s="79">
        <v>45130.5</v>
      </c>
      <c r="Q1787" s="77" t="s">
        <v>2470</v>
      </c>
      <c r="R1787" s="77">
        <v>0</v>
      </c>
      <c r="S1787" s="77">
        <v>0</v>
      </c>
      <c r="T1787" s="77">
        <v>0</v>
      </c>
      <c r="U1787" s="77">
        <v>0</v>
      </c>
      <c r="V1787" s="77">
        <v>139</v>
      </c>
      <c r="W1787" s="82" t="s">
        <v>5742</v>
      </c>
      <c r="X1787" s="80" t="str">
        <f>HYPERLINK("https://flj.com.br/")</f>
        <v>https://flj.com.br/</v>
      </c>
      <c r="Y1787" s="77" t="s">
        <v>6470</v>
      </c>
      <c r="Z1787" s="77"/>
      <c r="AA1787" s="77" t="s">
        <v>7455</v>
      </c>
      <c r="AB1787" s="77" t="s">
        <v>7744</v>
      </c>
      <c r="AC1787" s="82" t="s">
        <v>7750</v>
      </c>
      <c r="AD1787" s="77" t="s">
        <v>7788</v>
      </c>
      <c r="AE1787" s="80" t="str">
        <f>HYPERLINK("https://twitter.com/leiaflj/status/1683084546504290304")</f>
        <v>https://twitter.com/leiaflj/status/1683084546504290304</v>
      </c>
      <c r="AF1787" s="79">
        <v>45130.5</v>
      </c>
      <c r="AG1787" s="85">
        <v>45130</v>
      </c>
      <c r="AH1787" s="82" t="s">
        <v>7872</v>
      </c>
      <c r="AI1787" s="77" t="b">
        <v>0</v>
      </c>
      <c r="AJ1787" s="77"/>
      <c r="AK1787" s="77"/>
      <c r="AL1787" s="77"/>
      <c r="AM1787" s="77"/>
      <c r="AN1787" s="77"/>
      <c r="AO1787" s="77"/>
      <c r="AP1787" s="77"/>
      <c r="AQ1787" s="77" t="s">
        <v>11427</v>
      </c>
      <c r="AR1787" s="77"/>
      <c r="AS1787" s="77"/>
      <c r="AT1787" s="77"/>
      <c r="AU1787" s="77"/>
      <c r="AV1787" s="80" t="str">
        <f>HYPERLINK("https://pbs.twimg.com/media/F1lipeiXsAY_Uv4.jpg")</f>
        <v>https://pbs.twimg.com/media/F1lipeiXsAY_Uv4.jpg</v>
      </c>
      <c r="AW1787" s="82" t="s">
        <v>13383</v>
      </c>
      <c r="AX1787" s="82" t="s">
        <v>13383</v>
      </c>
      <c r="AY1787" s="77"/>
      <c r="AZ1787" s="82" t="s">
        <v>15984</v>
      </c>
      <c r="BA1787" s="82" t="s">
        <v>15984</v>
      </c>
      <c r="BB1787" s="82" t="s">
        <v>15984</v>
      </c>
      <c r="BC1787" s="82" t="s">
        <v>13383</v>
      </c>
      <c r="BD1787" s="82" t="s">
        <v>16372</v>
      </c>
      <c r="BE1787" s="77"/>
      <c r="BF1787" s="77"/>
      <c r="BG1787" s="77"/>
      <c r="BH1787" s="77"/>
      <c r="BI1787" s="77"/>
    </row>
    <row r="1788" spans="1:61" x14ac:dyDescent="0.25">
      <c r="A1788" s="62" t="s">
        <v>688</v>
      </c>
      <c r="B1788" s="62" t="s">
        <v>688</v>
      </c>
      <c r="C1788" s="63"/>
      <c r="D1788" s="64"/>
      <c r="E1788" s="65"/>
      <c r="F1788" s="66"/>
      <c r="G1788" s="63"/>
      <c r="H1788" s="67"/>
      <c r="I1788" s="68"/>
      <c r="J1788" s="68"/>
      <c r="K1788" s="32"/>
      <c r="L1788" s="75">
        <v>1788</v>
      </c>
      <c r="M1788" s="75"/>
      <c r="N1788" s="70"/>
      <c r="O1788" s="77" t="s">
        <v>179</v>
      </c>
      <c r="P1788" s="79">
        <v>45137.500011574077</v>
      </c>
      <c r="Q1788" s="77" t="s">
        <v>2471</v>
      </c>
      <c r="R1788" s="77">
        <v>0</v>
      </c>
      <c r="S1788" s="77">
        <v>1</v>
      </c>
      <c r="T1788" s="77">
        <v>0</v>
      </c>
      <c r="U1788" s="77">
        <v>0</v>
      </c>
      <c r="V1788" s="77">
        <v>118</v>
      </c>
      <c r="W1788" s="82" t="s">
        <v>5742</v>
      </c>
      <c r="X1788" s="80" t="str">
        <f>HYPERLINK("https://flj.com.br/")</f>
        <v>https://flj.com.br/</v>
      </c>
      <c r="Y1788" s="77" t="s">
        <v>6470</v>
      </c>
      <c r="Z1788" s="77"/>
      <c r="AA1788" s="77" t="s">
        <v>7456</v>
      </c>
      <c r="AB1788" s="77" t="s">
        <v>7744</v>
      </c>
      <c r="AC1788" s="82" t="s">
        <v>7750</v>
      </c>
      <c r="AD1788" s="77" t="s">
        <v>7788</v>
      </c>
      <c r="AE1788" s="80" t="str">
        <f>HYPERLINK("https://twitter.com/leiaflj/status/1685621265992933376")</f>
        <v>https://twitter.com/leiaflj/status/1685621265992933376</v>
      </c>
      <c r="AF1788" s="79">
        <v>45137.500011574077</v>
      </c>
      <c r="AG1788" s="85">
        <v>45137</v>
      </c>
      <c r="AH1788" s="82" t="s">
        <v>9002</v>
      </c>
      <c r="AI1788" s="77" t="b">
        <v>0</v>
      </c>
      <c r="AJ1788" s="77"/>
      <c r="AK1788" s="77"/>
      <c r="AL1788" s="77"/>
      <c r="AM1788" s="77"/>
      <c r="AN1788" s="77"/>
      <c r="AO1788" s="77"/>
      <c r="AP1788" s="77"/>
      <c r="AQ1788" s="77" t="s">
        <v>11428</v>
      </c>
      <c r="AR1788" s="77"/>
      <c r="AS1788" s="77"/>
      <c r="AT1788" s="77"/>
      <c r="AU1788" s="77"/>
      <c r="AV1788" s="80" t="str">
        <f>HYPERLINK("https://pbs.twimg.com/media/F2IzLtiXQAA3rpM.jpg")</f>
        <v>https://pbs.twimg.com/media/F2IzLtiXQAA3rpM.jpg</v>
      </c>
      <c r="AW1788" s="82" t="s">
        <v>13384</v>
      </c>
      <c r="AX1788" s="82" t="s">
        <v>13384</v>
      </c>
      <c r="AY1788" s="77"/>
      <c r="AZ1788" s="82" t="s">
        <v>15984</v>
      </c>
      <c r="BA1788" s="82" t="s">
        <v>15984</v>
      </c>
      <c r="BB1788" s="82" t="s">
        <v>15984</v>
      </c>
      <c r="BC1788" s="82" t="s">
        <v>13384</v>
      </c>
      <c r="BD1788" s="82" t="s">
        <v>16372</v>
      </c>
      <c r="BE1788" s="77"/>
      <c r="BF1788" s="77"/>
      <c r="BG1788" s="77"/>
      <c r="BH1788" s="77"/>
      <c r="BI1788" s="77"/>
    </row>
    <row r="1789" spans="1:61" x14ac:dyDescent="0.25">
      <c r="A1789" s="62" t="s">
        <v>688</v>
      </c>
      <c r="B1789" s="62" t="s">
        <v>688</v>
      </c>
      <c r="C1789" s="63"/>
      <c r="D1789" s="64"/>
      <c r="E1789" s="65"/>
      <c r="F1789" s="66"/>
      <c r="G1789" s="63"/>
      <c r="H1789" s="67"/>
      <c r="I1789" s="68"/>
      <c r="J1789" s="68"/>
      <c r="K1789" s="32"/>
      <c r="L1789" s="75">
        <v>1789</v>
      </c>
      <c r="M1789" s="75"/>
      <c r="N1789" s="70"/>
      <c r="O1789" s="77" t="s">
        <v>179</v>
      </c>
      <c r="P1789" s="79">
        <v>45144.5</v>
      </c>
      <c r="Q1789" s="77" t="s">
        <v>2472</v>
      </c>
      <c r="R1789" s="77">
        <v>0</v>
      </c>
      <c r="S1789" s="77">
        <v>0</v>
      </c>
      <c r="T1789" s="77">
        <v>0</v>
      </c>
      <c r="U1789" s="77">
        <v>0</v>
      </c>
      <c r="V1789" s="77">
        <v>127</v>
      </c>
      <c r="W1789" s="82" t="s">
        <v>5742</v>
      </c>
      <c r="X1789" s="80" t="str">
        <f>HYPERLINK("https://flj.com.br/")</f>
        <v>https://flj.com.br/</v>
      </c>
      <c r="Y1789" s="77" t="s">
        <v>6470</v>
      </c>
      <c r="Z1789" s="77"/>
      <c r="AA1789" s="77" t="s">
        <v>7457</v>
      </c>
      <c r="AB1789" s="77" t="s">
        <v>7744</v>
      </c>
      <c r="AC1789" s="82" t="s">
        <v>7750</v>
      </c>
      <c r="AD1789" s="77" t="s">
        <v>7788</v>
      </c>
      <c r="AE1789" s="80" t="str">
        <f>HYPERLINK("https://twitter.com/leiaflj/status/1688157974681075713")</f>
        <v>https://twitter.com/leiaflj/status/1688157974681075713</v>
      </c>
      <c r="AF1789" s="79">
        <v>45144.5</v>
      </c>
      <c r="AG1789" s="85">
        <v>45144</v>
      </c>
      <c r="AH1789" s="82" t="s">
        <v>7872</v>
      </c>
      <c r="AI1789" s="77" t="b">
        <v>0</v>
      </c>
      <c r="AJ1789" s="77"/>
      <c r="AK1789" s="77"/>
      <c r="AL1789" s="77"/>
      <c r="AM1789" s="77"/>
      <c r="AN1789" s="77"/>
      <c r="AO1789" s="77"/>
      <c r="AP1789" s="77"/>
      <c r="AQ1789" s="77" t="s">
        <v>11429</v>
      </c>
      <c r="AR1789" s="77"/>
      <c r="AS1789" s="77"/>
      <c r="AT1789" s="77"/>
      <c r="AU1789" s="77"/>
      <c r="AV1789" s="80" t="str">
        <f>HYPERLINK("https://pbs.twimg.com/media/F2taijAWQAAGLuS.jpg")</f>
        <v>https://pbs.twimg.com/media/F2taijAWQAAGLuS.jpg</v>
      </c>
      <c r="AW1789" s="82" t="s">
        <v>13385</v>
      </c>
      <c r="AX1789" s="82" t="s">
        <v>13385</v>
      </c>
      <c r="AY1789" s="77"/>
      <c r="AZ1789" s="82" t="s">
        <v>15984</v>
      </c>
      <c r="BA1789" s="82" t="s">
        <v>15984</v>
      </c>
      <c r="BB1789" s="82" t="s">
        <v>15984</v>
      </c>
      <c r="BC1789" s="82" t="s">
        <v>13385</v>
      </c>
      <c r="BD1789" s="82" t="s">
        <v>16372</v>
      </c>
      <c r="BE1789" s="77"/>
      <c r="BF1789" s="77"/>
      <c r="BG1789" s="77"/>
      <c r="BH1789" s="77"/>
      <c r="BI1789" s="77"/>
    </row>
    <row r="1790" spans="1:61" x14ac:dyDescent="0.25">
      <c r="A1790" s="62" t="s">
        <v>688</v>
      </c>
      <c r="B1790" s="62" t="s">
        <v>688</v>
      </c>
      <c r="C1790" s="63"/>
      <c r="D1790" s="64"/>
      <c r="E1790" s="65"/>
      <c r="F1790" s="66"/>
      <c r="G1790" s="63"/>
      <c r="H1790" s="67"/>
      <c r="I1790" s="68"/>
      <c r="J1790" s="68"/>
      <c r="K1790" s="32"/>
      <c r="L1790" s="75">
        <v>1790</v>
      </c>
      <c r="M1790" s="75"/>
      <c r="N1790" s="70"/>
      <c r="O1790" s="77" t="s">
        <v>179</v>
      </c>
      <c r="P1790" s="79">
        <v>45158.458344907405</v>
      </c>
      <c r="Q1790" s="77" t="s">
        <v>2473</v>
      </c>
      <c r="R1790" s="77">
        <v>1</v>
      </c>
      <c r="S1790" s="77">
        <v>1</v>
      </c>
      <c r="T1790" s="77">
        <v>0</v>
      </c>
      <c r="U1790" s="77">
        <v>0</v>
      </c>
      <c r="V1790" s="77">
        <v>166</v>
      </c>
      <c r="W1790" s="82" t="s">
        <v>5744</v>
      </c>
      <c r="X1790" s="80" t="str">
        <f>HYPERLINK("https://flj.com.br/")</f>
        <v>https://flj.com.br/</v>
      </c>
      <c r="Y1790" s="77" t="s">
        <v>6470</v>
      </c>
      <c r="Z1790" s="77"/>
      <c r="AA1790" s="77" t="s">
        <v>7458</v>
      </c>
      <c r="AB1790" s="77" t="s">
        <v>7744</v>
      </c>
      <c r="AC1790" s="82" t="s">
        <v>7750</v>
      </c>
      <c r="AD1790" s="77" t="s">
        <v>7788</v>
      </c>
      <c r="AE1790" s="80" t="str">
        <f>HYPERLINK("https://twitter.com/leiaflj/status/1693216309402615857")</f>
        <v>https://twitter.com/leiaflj/status/1693216309402615857</v>
      </c>
      <c r="AF1790" s="79">
        <v>45158.458344907405</v>
      </c>
      <c r="AG1790" s="85">
        <v>45158</v>
      </c>
      <c r="AH1790" s="82" t="s">
        <v>9304</v>
      </c>
      <c r="AI1790" s="77" t="b">
        <v>0</v>
      </c>
      <c r="AJ1790" s="77"/>
      <c r="AK1790" s="77"/>
      <c r="AL1790" s="77"/>
      <c r="AM1790" s="77"/>
      <c r="AN1790" s="77"/>
      <c r="AO1790" s="77"/>
      <c r="AP1790" s="77"/>
      <c r="AQ1790" s="77" t="s">
        <v>11430</v>
      </c>
      <c r="AR1790" s="77"/>
      <c r="AS1790" s="77"/>
      <c r="AT1790" s="77"/>
      <c r="AU1790" s="77"/>
      <c r="AV1790" s="80" t="str">
        <f>HYPERLINK("https://pbs.twimg.com/media/F31n6GdXcAASF-S.jpg")</f>
        <v>https://pbs.twimg.com/media/F31n6GdXcAASF-S.jpg</v>
      </c>
      <c r="AW1790" s="82" t="s">
        <v>13386</v>
      </c>
      <c r="AX1790" s="82" t="s">
        <v>13386</v>
      </c>
      <c r="AY1790" s="77"/>
      <c r="AZ1790" s="82" t="s">
        <v>15984</v>
      </c>
      <c r="BA1790" s="82" t="s">
        <v>15984</v>
      </c>
      <c r="BB1790" s="82" t="s">
        <v>15984</v>
      </c>
      <c r="BC1790" s="82" t="s">
        <v>13386</v>
      </c>
      <c r="BD1790" s="82" t="s">
        <v>16372</v>
      </c>
      <c r="BE1790" s="77"/>
      <c r="BF1790" s="77"/>
      <c r="BG1790" s="77"/>
      <c r="BH1790" s="77"/>
      <c r="BI1790" s="77"/>
    </row>
    <row r="1791" spans="1:61" x14ac:dyDescent="0.25">
      <c r="A1791" s="62" t="s">
        <v>688</v>
      </c>
      <c r="B1791" s="62" t="s">
        <v>688</v>
      </c>
      <c r="C1791" s="63"/>
      <c r="D1791" s="64"/>
      <c r="E1791" s="65"/>
      <c r="F1791" s="66"/>
      <c r="G1791" s="63"/>
      <c r="H1791" s="67"/>
      <c r="I1791" s="68"/>
      <c r="J1791" s="68"/>
      <c r="K1791" s="32"/>
      <c r="L1791" s="75">
        <v>1791</v>
      </c>
      <c r="M1791" s="75"/>
      <c r="N1791" s="70"/>
      <c r="O1791" s="77" t="s">
        <v>179</v>
      </c>
      <c r="P1791" s="79">
        <v>45151.5</v>
      </c>
      <c r="Q1791" s="77" t="s">
        <v>2474</v>
      </c>
      <c r="R1791" s="77">
        <v>0</v>
      </c>
      <c r="S1791" s="77">
        <v>2</v>
      </c>
      <c r="T1791" s="77">
        <v>0</v>
      </c>
      <c r="U1791" s="77">
        <v>0</v>
      </c>
      <c r="V1791" s="77">
        <v>162</v>
      </c>
      <c r="W1791" s="82" t="s">
        <v>5742</v>
      </c>
      <c r="X1791" s="80" t="str">
        <f>HYPERLINK("https://flj.com.br/")</f>
        <v>https://flj.com.br/</v>
      </c>
      <c r="Y1791" s="77" t="s">
        <v>6470</v>
      </c>
      <c r="Z1791" s="77"/>
      <c r="AA1791" s="77" t="s">
        <v>7459</v>
      </c>
      <c r="AB1791" s="77" t="s">
        <v>7744</v>
      </c>
      <c r="AC1791" s="82" t="s">
        <v>7750</v>
      </c>
      <c r="AD1791" s="77" t="s">
        <v>7788</v>
      </c>
      <c r="AE1791" s="80" t="str">
        <f>HYPERLINK("https://twitter.com/leiaflj/status/1690694690369064960")</f>
        <v>https://twitter.com/leiaflj/status/1690694690369064960</v>
      </c>
      <c r="AF1791" s="79">
        <v>45151.5</v>
      </c>
      <c r="AG1791" s="85">
        <v>45151</v>
      </c>
      <c r="AH1791" s="82" t="s">
        <v>7872</v>
      </c>
      <c r="AI1791" s="77" t="b">
        <v>0</v>
      </c>
      <c r="AJ1791" s="77"/>
      <c r="AK1791" s="77"/>
      <c r="AL1791" s="77"/>
      <c r="AM1791" s="77"/>
      <c r="AN1791" s="77"/>
      <c r="AO1791" s="77"/>
      <c r="AP1791" s="77"/>
      <c r="AQ1791" s="77" t="s">
        <v>11431</v>
      </c>
      <c r="AR1791" s="77"/>
      <c r="AS1791" s="77"/>
      <c r="AT1791" s="77"/>
      <c r="AU1791" s="77"/>
      <c r="AV1791" s="80" t="str">
        <f>HYPERLINK("https://pbs.twimg.com/media/F3Rw8wpW0AAXl_6.jpg")</f>
        <v>https://pbs.twimg.com/media/F3Rw8wpW0AAXl_6.jpg</v>
      </c>
      <c r="AW1791" s="82" t="s">
        <v>13387</v>
      </c>
      <c r="AX1791" s="82" t="s">
        <v>13387</v>
      </c>
      <c r="AY1791" s="77"/>
      <c r="AZ1791" s="82" t="s">
        <v>15984</v>
      </c>
      <c r="BA1791" s="82" t="s">
        <v>15984</v>
      </c>
      <c r="BB1791" s="82" t="s">
        <v>15984</v>
      </c>
      <c r="BC1791" s="82" t="s">
        <v>13387</v>
      </c>
      <c r="BD1791" s="82" t="s">
        <v>16372</v>
      </c>
      <c r="BE1791" s="77"/>
      <c r="BF1791" s="77"/>
      <c r="BG1791" s="77"/>
      <c r="BH1791" s="77"/>
      <c r="BI1791" s="77"/>
    </row>
    <row r="1792" spans="1:61" x14ac:dyDescent="0.25">
      <c r="A1792" s="62" t="s">
        <v>688</v>
      </c>
      <c r="B1792" s="62" t="s">
        <v>688</v>
      </c>
      <c r="C1792" s="63"/>
      <c r="D1792" s="64"/>
      <c r="E1792" s="65"/>
      <c r="F1792" s="66"/>
      <c r="G1792" s="63"/>
      <c r="H1792" s="67"/>
      <c r="I1792" s="68"/>
      <c r="J1792" s="68"/>
      <c r="K1792" s="32"/>
      <c r="L1792" s="75">
        <v>1792</v>
      </c>
      <c r="M1792" s="75"/>
      <c r="N1792" s="70"/>
      <c r="O1792" s="77" t="s">
        <v>179</v>
      </c>
      <c r="P1792" s="79">
        <v>45165.500023148146</v>
      </c>
      <c r="Q1792" s="77" t="s">
        <v>2475</v>
      </c>
      <c r="R1792" s="77">
        <v>0</v>
      </c>
      <c r="S1792" s="77">
        <v>1</v>
      </c>
      <c r="T1792" s="77">
        <v>0</v>
      </c>
      <c r="U1792" s="77">
        <v>0</v>
      </c>
      <c r="V1792" s="77">
        <v>137</v>
      </c>
      <c r="W1792" s="82" t="s">
        <v>5742</v>
      </c>
      <c r="X1792" s="80" t="str">
        <f>HYPERLINK("https://flj.com.br/")</f>
        <v>https://flj.com.br/</v>
      </c>
      <c r="Y1792" s="77" t="s">
        <v>6470</v>
      </c>
      <c r="Z1792" s="77"/>
      <c r="AA1792" s="77" t="s">
        <v>7460</v>
      </c>
      <c r="AB1792" s="77" t="s">
        <v>7744</v>
      </c>
      <c r="AC1792" s="82" t="s">
        <v>7750</v>
      </c>
      <c r="AD1792" s="77" t="s">
        <v>7788</v>
      </c>
      <c r="AE1792" s="80" t="str">
        <f>HYPERLINK("https://twitter.com/leiaflj/status/1695768127521309088")</f>
        <v>https://twitter.com/leiaflj/status/1695768127521309088</v>
      </c>
      <c r="AF1792" s="79">
        <v>45165.500023148146</v>
      </c>
      <c r="AG1792" s="85">
        <v>45165</v>
      </c>
      <c r="AH1792" s="82" t="s">
        <v>8525</v>
      </c>
      <c r="AI1792" s="77" t="b">
        <v>0</v>
      </c>
      <c r="AJ1792" s="77"/>
      <c r="AK1792" s="77"/>
      <c r="AL1792" s="77"/>
      <c r="AM1792" s="77"/>
      <c r="AN1792" s="77"/>
      <c r="AO1792" s="77"/>
      <c r="AP1792" s="77"/>
      <c r="AQ1792" s="77" t="s">
        <v>11432</v>
      </c>
      <c r="AR1792" s="77"/>
      <c r="AS1792" s="77"/>
      <c r="AT1792" s="77"/>
      <c r="AU1792" s="77"/>
      <c r="AV1792" s="80" t="str">
        <f>HYPERLINK("https://pbs.twimg.com/media/F4ZrOjTWEAA9v7m.jpg")</f>
        <v>https://pbs.twimg.com/media/F4ZrOjTWEAA9v7m.jpg</v>
      </c>
      <c r="AW1792" s="82" t="s">
        <v>13388</v>
      </c>
      <c r="AX1792" s="82" t="s">
        <v>13388</v>
      </c>
      <c r="AY1792" s="77"/>
      <c r="AZ1792" s="82" t="s">
        <v>15984</v>
      </c>
      <c r="BA1792" s="82" t="s">
        <v>15984</v>
      </c>
      <c r="BB1792" s="82" t="s">
        <v>15984</v>
      </c>
      <c r="BC1792" s="82" t="s">
        <v>13388</v>
      </c>
      <c r="BD1792" s="82" t="s">
        <v>16372</v>
      </c>
      <c r="BE1792" s="77"/>
      <c r="BF1792" s="77"/>
      <c r="BG1792" s="77"/>
      <c r="BH1792" s="77"/>
      <c r="BI1792" s="77"/>
    </row>
    <row r="1793" spans="1:61" x14ac:dyDescent="0.25">
      <c r="A1793" s="62" t="s">
        <v>688</v>
      </c>
      <c r="B1793" s="62" t="s">
        <v>688</v>
      </c>
      <c r="C1793" s="63"/>
      <c r="D1793" s="64"/>
      <c r="E1793" s="65"/>
      <c r="F1793" s="66"/>
      <c r="G1793" s="63"/>
      <c r="H1793" s="67"/>
      <c r="I1793" s="68"/>
      <c r="J1793" s="68"/>
      <c r="K1793" s="32"/>
      <c r="L1793" s="75">
        <v>1793</v>
      </c>
      <c r="M1793" s="75"/>
      <c r="N1793" s="70"/>
      <c r="O1793" s="77" t="s">
        <v>179</v>
      </c>
      <c r="P1793" s="79">
        <v>45172.500023148146</v>
      </c>
      <c r="Q1793" s="77" t="s">
        <v>2476</v>
      </c>
      <c r="R1793" s="77">
        <v>1</v>
      </c>
      <c r="S1793" s="77">
        <v>2</v>
      </c>
      <c r="T1793" s="77">
        <v>0</v>
      </c>
      <c r="U1793" s="77">
        <v>0</v>
      </c>
      <c r="V1793" s="77">
        <v>168</v>
      </c>
      <c r="W1793" s="82" t="s">
        <v>5742</v>
      </c>
      <c r="X1793" s="80" t="str">
        <f>HYPERLINK("https://flj.com.br/")</f>
        <v>https://flj.com.br/</v>
      </c>
      <c r="Y1793" s="77" t="s">
        <v>6470</v>
      </c>
      <c r="Z1793" s="77"/>
      <c r="AA1793" s="77" t="s">
        <v>7461</v>
      </c>
      <c r="AB1793" s="77" t="s">
        <v>7744</v>
      </c>
      <c r="AC1793" s="82" t="s">
        <v>7750</v>
      </c>
      <c r="AD1793" s="77" t="s">
        <v>7788</v>
      </c>
      <c r="AE1793" s="80" t="str">
        <f>HYPERLINK("https://twitter.com/leiaflj/status/1698304845327868052")</f>
        <v>https://twitter.com/leiaflj/status/1698304845327868052</v>
      </c>
      <c r="AF1793" s="79">
        <v>45172.500023148146</v>
      </c>
      <c r="AG1793" s="85">
        <v>45172</v>
      </c>
      <c r="AH1793" s="82" t="s">
        <v>8525</v>
      </c>
      <c r="AI1793" s="77" t="b">
        <v>0</v>
      </c>
      <c r="AJ1793" s="77"/>
      <c r="AK1793" s="77"/>
      <c r="AL1793" s="77"/>
      <c r="AM1793" s="77"/>
      <c r="AN1793" s="77"/>
      <c r="AO1793" s="77"/>
      <c r="AP1793" s="77"/>
      <c r="AQ1793" s="77" t="s">
        <v>11433</v>
      </c>
      <c r="AR1793" s="77"/>
      <c r="AS1793" s="77"/>
      <c r="AT1793" s="77"/>
      <c r="AU1793" s="77"/>
      <c r="AV1793" s="80" t="str">
        <f>HYPERLINK("https://pbs.twimg.com/media/F49jO2xWEAA54uO.jpg")</f>
        <v>https://pbs.twimg.com/media/F49jO2xWEAA54uO.jpg</v>
      </c>
      <c r="AW1793" s="82" t="s">
        <v>13389</v>
      </c>
      <c r="AX1793" s="82" t="s">
        <v>13389</v>
      </c>
      <c r="AY1793" s="77"/>
      <c r="AZ1793" s="82" t="s">
        <v>15984</v>
      </c>
      <c r="BA1793" s="82" t="s">
        <v>15984</v>
      </c>
      <c r="BB1793" s="82" t="s">
        <v>15984</v>
      </c>
      <c r="BC1793" s="82" t="s">
        <v>13389</v>
      </c>
      <c r="BD1793" s="82" t="s">
        <v>16372</v>
      </c>
      <c r="BE1793" s="77"/>
      <c r="BF1793" s="77"/>
      <c r="BG1793" s="77"/>
      <c r="BH1793" s="77"/>
      <c r="BI1793" s="77"/>
    </row>
    <row r="1794" spans="1:61" x14ac:dyDescent="0.25">
      <c r="A1794" s="62" t="s">
        <v>688</v>
      </c>
      <c r="B1794" s="62" t="s">
        <v>688</v>
      </c>
      <c r="C1794" s="63"/>
      <c r="D1794" s="64"/>
      <c r="E1794" s="65"/>
      <c r="F1794" s="66"/>
      <c r="G1794" s="63"/>
      <c r="H1794" s="67"/>
      <c r="I1794" s="68"/>
      <c r="J1794" s="68"/>
      <c r="K1794" s="32"/>
      <c r="L1794" s="75">
        <v>1794</v>
      </c>
      <c r="M1794" s="75"/>
      <c r="N1794" s="70"/>
      <c r="O1794" s="77" t="s">
        <v>179</v>
      </c>
      <c r="P1794" s="79">
        <v>45193.500011574077</v>
      </c>
      <c r="Q1794" s="77" t="s">
        <v>2477</v>
      </c>
      <c r="R1794" s="77">
        <v>0</v>
      </c>
      <c r="S1794" s="77">
        <v>1</v>
      </c>
      <c r="T1794" s="77">
        <v>0</v>
      </c>
      <c r="U1794" s="77">
        <v>0</v>
      </c>
      <c r="V1794" s="77">
        <v>178</v>
      </c>
      <c r="W1794" s="82" t="s">
        <v>5744</v>
      </c>
      <c r="X1794" s="80" t="str">
        <f>HYPERLINK("https://flj.com.br/")</f>
        <v>https://flj.com.br/</v>
      </c>
      <c r="Y1794" s="77" t="s">
        <v>6470</v>
      </c>
      <c r="Z1794" s="77"/>
      <c r="AA1794" s="77" t="s">
        <v>7462</v>
      </c>
      <c r="AB1794" s="77" t="s">
        <v>7744</v>
      </c>
      <c r="AC1794" s="82" t="s">
        <v>7750</v>
      </c>
      <c r="AD1794" s="77" t="s">
        <v>7788</v>
      </c>
      <c r="AE1794" s="80" t="str">
        <f>HYPERLINK("https://twitter.com/leiaflj/status/1705914985208303691")</f>
        <v>https://twitter.com/leiaflj/status/1705914985208303691</v>
      </c>
      <c r="AF1794" s="79">
        <v>45193.500011574077</v>
      </c>
      <c r="AG1794" s="85">
        <v>45193</v>
      </c>
      <c r="AH1794" s="82" t="s">
        <v>9002</v>
      </c>
      <c r="AI1794" s="77" t="b">
        <v>0</v>
      </c>
      <c r="AJ1794" s="77"/>
      <c r="AK1794" s="77"/>
      <c r="AL1794" s="77"/>
      <c r="AM1794" s="77"/>
      <c r="AN1794" s="77"/>
      <c r="AO1794" s="77"/>
      <c r="AP1794" s="77"/>
      <c r="AQ1794" s="77" t="s">
        <v>11434</v>
      </c>
      <c r="AR1794" s="77"/>
      <c r="AS1794" s="77"/>
      <c r="AT1794" s="77"/>
      <c r="AU1794" s="77"/>
      <c r="AV1794" s="80" t="str">
        <f>HYPERLINK("https://pbs.twimg.com/media/F6pm9oRXMAAyHo0.jpg")</f>
        <v>https://pbs.twimg.com/media/F6pm9oRXMAAyHo0.jpg</v>
      </c>
      <c r="AW1794" s="82" t="s">
        <v>13390</v>
      </c>
      <c r="AX1794" s="82" t="s">
        <v>13390</v>
      </c>
      <c r="AY1794" s="77"/>
      <c r="AZ1794" s="82" t="s">
        <v>15984</v>
      </c>
      <c r="BA1794" s="82" t="s">
        <v>15984</v>
      </c>
      <c r="BB1794" s="82" t="s">
        <v>15984</v>
      </c>
      <c r="BC1794" s="82" t="s">
        <v>13390</v>
      </c>
      <c r="BD1794" s="82" t="s">
        <v>16372</v>
      </c>
      <c r="BE1794" s="77"/>
      <c r="BF1794" s="77"/>
      <c r="BG1794" s="77"/>
      <c r="BH1794" s="77"/>
      <c r="BI1794" s="77"/>
    </row>
    <row r="1795" spans="1:61" x14ac:dyDescent="0.25">
      <c r="A1795" s="62" t="s">
        <v>688</v>
      </c>
      <c r="B1795" s="62" t="s">
        <v>688</v>
      </c>
      <c r="C1795" s="63"/>
      <c r="D1795" s="64"/>
      <c r="E1795" s="65"/>
      <c r="F1795" s="66"/>
      <c r="G1795" s="63"/>
      <c r="H1795" s="67"/>
      <c r="I1795" s="68"/>
      <c r="J1795" s="68"/>
      <c r="K1795" s="32"/>
      <c r="L1795" s="75">
        <v>1795</v>
      </c>
      <c r="M1795" s="75"/>
      <c r="N1795" s="70"/>
      <c r="O1795" s="77" t="s">
        <v>179</v>
      </c>
      <c r="P1795" s="79">
        <v>45186.500011574077</v>
      </c>
      <c r="Q1795" s="77" t="s">
        <v>2478</v>
      </c>
      <c r="R1795" s="77">
        <v>0</v>
      </c>
      <c r="S1795" s="77">
        <v>1</v>
      </c>
      <c r="T1795" s="77">
        <v>0</v>
      </c>
      <c r="U1795" s="77">
        <v>0</v>
      </c>
      <c r="V1795" s="77">
        <v>127</v>
      </c>
      <c r="W1795" s="82" t="s">
        <v>5745</v>
      </c>
      <c r="X1795" s="80" t="str">
        <f>HYPERLINK("https://flj.com.br/")</f>
        <v>https://flj.com.br/</v>
      </c>
      <c r="Y1795" s="77" t="s">
        <v>6470</v>
      </c>
      <c r="Z1795" s="77"/>
      <c r="AA1795" s="77" t="s">
        <v>7463</v>
      </c>
      <c r="AB1795" s="77" t="s">
        <v>7744</v>
      </c>
      <c r="AC1795" s="82" t="s">
        <v>7750</v>
      </c>
      <c r="AD1795" s="77" t="s">
        <v>7788</v>
      </c>
      <c r="AE1795" s="80" t="str">
        <f>HYPERLINK("https://twitter.com/leiaflj/status/1703378269439942817")</f>
        <v>https://twitter.com/leiaflj/status/1703378269439942817</v>
      </c>
      <c r="AF1795" s="79">
        <v>45186.500011574077</v>
      </c>
      <c r="AG1795" s="85">
        <v>45186</v>
      </c>
      <c r="AH1795" s="82" t="s">
        <v>9002</v>
      </c>
      <c r="AI1795" s="77" t="b">
        <v>0</v>
      </c>
      <c r="AJ1795" s="77"/>
      <c r="AK1795" s="77"/>
      <c r="AL1795" s="77"/>
      <c r="AM1795" s="77"/>
      <c r="AN1795" s="77"/>
      <c r="AO1795" s="77"/>
      <c r="AP1795" s="77"/>
      <c r="AQ1795" s="77" t="s">
        <v>11435</v>
      </c>
      <c r="AR1795" s="77"/>
      <c r="AS1795" s="77"/>
      <c r="AT1795" s="77"/>
      <c r="AU1795" s="77"/>
      <c r="AV1795" s="80" t="str">
        <f>HYPERLINK("https://pbs.twimg.com/media/F6FmoJwX0AEO7Va.jpg")</f>
        <v>https://pbs.twimg.com/media/F6FmoJwX0AEO7Va.jpg</v>
      </c>
      <c r="AW1795" s="82" t="s">
        <v>13391</v>
      </c>
      <c r="AX1795" s="82" t="s">
        <v>13391</v>
      </c>
      <c r="AY1795" s="77"/>
      <c r="AZ1795" s="82" t="s">
        <v>15984</v>
      </c>
      <c r="BA1795" s="82" t="s">
        <v>15984</v>
      </c>
      <c r="BB1795" s="82" t="s">
        <v>15984</v>
      </c>
      <c r="BC1795" s="82" t="s">
        <v>13391</v>
      </c>
      <c r="BD1795" s="82" t="s">
        <v>16372</v>
      </c>
      <c r="BE1795" s="77"/>
      <c r="BF1795" s="77"/>
      <c r="BG1795" s="77"/>
      <c r="BH1795" s="77"/>
      <c r="BI1795" s="77"/>
    </row>
    <row r="1796" spans="1:61" x14ac:dyDescent="0.25">
      <c r="A1796" s="62" t="s">
        <v>689</v>
      </c>
      <c r="B1796" s="62" t="s">
        <v>689</v>
      </c>
      <c r="C1796" s="63"/>
      <c r="D1796" s="64"/>
      <c r="E1796" s="65"/>
      <c r="F1796" s="66"/>
      <c r="G1796" s="63"/>
      <c r="H1796" s="67"/>
      <c r="I1796" s="68"/>
      <c r="J1796" s="68"/>
      <c r="K1796" s="32"/>
      <c r="L1796" s="75">
        <v>1796</v>
      </c>
      <c r="M1796" s="75"/>
      <c r="N1796" s="70"/>
      <c r="O1796" s="77" t="s">
        <v>179</v>
      </c>
      <c r="P1796" s="79">
        <v>45150.229189814818</v>
      </c>
      <c r="Q1796" s="77" t="s">
        <v>2479</v>
      </c>
      <c r="R1796" s="77">
        <v>2</v>
      </c>
      <c r="S1796" s="77">
        <v>4</v>
      </c>
      <c r="T1796" s="77">
        <v>3</v>
      </c>
      <c r="U1796" s="77">
        <v>0</v>
      </c>
      <c r="V1796" s="77">
        <v>640</v>
      </c>
      <c r="W1796" s="82" t="s">
        <v>5746</v>
      </c>
      <c r="X1796" s="80" t="str">
        <f>HYPERLINK("https://partner.bybit.com/b/PERTRADTRADING")</f>
        <v>https://partner.bybit.com/b/PERTRADTRADING</v>
      </c>
      <c r="Y1796" s="77" t="s">
        <v>6552</v>
      </c>
      <c r="Z1796" s="77"/>
      <c r="AA1796" s="77" t="s">
        <v>7464</v>
      </c>
      <c r="AB1796" s="77" t="s">
        <v>7743</v>
      </c>
      <c r="AC1796" s="82" t="s">
        <v>7752</v>
      </c>
      <c r="AD1796" s="77" t="s">
        <v>7790</v>
      </c>
      <c r="AE1796" s="80" t="str">
        <f>HYPERLINK("https://twitter.com/javierska2/status/1690234164077854720")</f>
        <v>https://twitter.com/javierska2/status/1690234164077854720</v>
      </c>
      <c r="AF1796" s="79">
        <v>45150.229189814818</v>
      </c>
      <c r="AG1796" s="85">
        <v>45150</v>
      </c>
      <c r="AH1796" s="82" t="s">
        <v>9305</v>
      </c>
      <c r="AI1796" s="77" t="b">
        <v>0</v>
      </c>
      <c r="AJ1796" s="77"/>
      <c r="AK1796" s="77"/>
      <c r="AL1796" s="77"/>
      <c r="AM1796" s="77"/>
      <c r="AN1796" s="77"/>
      <c r="AO1796" s="77"/>
      <c r="AP1796" s="77"/>
      <c r="AQ1796" s="77" t="s">
        <v>11436</v>
      </c>
      <c r="AR1796" s="77">
        <v>127833</v>
      </c>
      <c r="AS1796" s="77"/>
      <c r="AT1796" s="77"/>
      <c r="AU1796" s="77"/>
      <c r="AV1796" s="80" t="str">
        <f>HYPERLINK("https://pbs.twimg.com/ext_tw_video_thumb/1690234020888555520/pu/img/W6rbhzFHKCiC-mFx.jpg")</f>
        <v>https://pbs.twimg.com/ext_tw_video_thumb/1690234020888555520/pu/img/W6rbhzFHKCiC-mFx.jpg</v>
      </c>
      <c r="AW1796" s="82" t="s">
        <v>13392</v>
      </c>
      <c r="AX1796" s="82" t="s">
        <v>13392</v>
      </c>
      <c r="AY1796" s="77"/>
      <c r="AZ1796" s="82" t="s">
        <v>15984</v>
      </c>
      <c r="BA1796" s="82" t="s">
        <v>15984</v>
      </c>
      <c r="BB1796" s="82" t="s">
        <v>15984</v>
      </c>
      <c r="BC1796" s="82" t="s">
        <v>13392</v>
      </c>
      <c r="BD1796" s="82" t="s">
        <v>16373</v>
      </c>
      <c r="BE1796" s="77"/>
      <c r="BF1796" s="77"/>
      <c r="BG1796" s="77"/>
      <c r="BH1796" s="77"/>
      <c r="BI1796" s="77"/>
    </row>
    <row r="1797" spans="1:61" x14ac:dyDescent="0.25">
      <c r="A1797" s="62" t="s">
        <v>689</v>
      </c>
      <c r="B1797" s="62" t="s">
        <v>689</v>
      </c>
      <c r="C1797" s="63"/>
      <c r="D1797" s="64"/>
      <c r="E1797" s="65"/>
      <c r="F1797" s="66"/>
      <c r="G1797" s="63"/>
      <c r="H1797" s="67"/>
      <c r="I1797" s="68"/>
      <c r="J1797" s="68"/>
      <c r="K1797" s="32"/>
      <c r="L1797" s="75">
        <v>1797</v>
      </c>
      <c r="M1797" s="75"/>
      <c r="N1797" s="70"/>
      <c r="O1797" s="77" t="s">
        <v>179</v>
      </c>
      <c r="P1797" s="79">
        <v>45153.653240740743</v>
      </c>
      <c r="Q1797" s="77" t="s">
        <v>2480</v>
      </c>
      <c r="R1797" s="77">
        <v>1</v>
      </c>
      <c r="S1797" s="77">
        <v>2</v>
      </c>
      <c r="T1797" s="77">
        <v>4</v>
      </c>
      <c r="U1797" s="77">
        <v>0</v>
      </c>
      <c r="V1797" s="77">
        <v>97</v>
      </c>
      <c r="W1797" s="82" t="s">
        <v>5746</v>
      </c>
      <c r="X1797" s="77"/>
      <c r="Y1797" s="77"/>
      <c r="Z1797" s="77"/>
      <c r="AA1797" s="77" t="s">
        <v>7465</v>
      </c>
      <c r="AB1797" s="77" t="s">
        <v>7747</v>
      </c>
      <c r="AC1797" s="82" t="s">
        <v>7752</v>
      </c>
      <c r="AD1797" s="77" t="s">
        <v>7791</v>
      </c>
      <c r="AE1797" s="80" t="str">
        <f>HYPERLINK("https://twitter.com/javierska2/status/1691475001017237504")</f>
        <v>https://twitter.com/javierska2/status/1691475001017237504</v>
      </c>
      <c r="AF1797" s="79">
        <v>45153.653240740743</v>
      </c>
      <c r="AG1797" s="85">
        <v>45153</v>
      </c>
      <c r="AH1797" s="82" t="s">
        <v>9306</v>
      </c>
      <c r="AI1797" s="77" t="b">
        <v>0</v>
      </c>
      <c r="AJ1797" s="77"/>
      <c r="AK1797" s="77"/>
      <c r="AL1797" s="77"/>
      <c r="AM1797" s="77"/>
      <c r="AN1797" s="77"/>
      <c r="AO1797" s="77"/>
      <c r="AP1797" s="77"/>
      <c r="AQ1797" s="77" t="s">
        <v>11437</v>
      </c>
      <c r="AR1797" s="77"/>
      <c r="AS1797" s="77"/>
      <c r="AT1797" s="77"/>
      <c r="AU1797" s="77"/>
      <c r="AV1797" s="80" t="str">
        <f>HYPERLINK("https://pbs.twimg.com/media/F3lTjFwW8AEDNuy.jpg")</f>
        <v>https://pbs.twimg.com/media/F3lTjFwW8AEDNuy.jpg</v>
      </c>
      <c r="AW1797" s="82" t="s">
        <v>13393</v>
      </c>
      <c r="AX1797" s="82" t="s">
        <v>13393</v>
      </c>
      <c r="AY1797" s="77"/>
      <c r="AZ1797" s="82" t="s">
        <v>15984</v>
      </c>
      <c r="BA1797" s="82" t="s">
        <v>15984</v>
      </c>
      <c r="BB1797" s="82" t="s">
        <v>15984</v>
      </c>
      <c r="BC1797" s="82" t="s">
        <v>13393</v>
      </c>
      <c r="BD1797" s="82" t="s">
        <v>16373</v>
      </c>
      <c r="BE1797" s="77"/>
      <c r="BF1797" s="77"/>
      <c r="BG1797" s="77"/>
      <c r="BH1797" s="77"/>
      <c r="BI1797" s="77"/>
    </row>
    <row r="1798" spans="1:61" x14ac:dyDescent="0.25">
      <c r="A1798" s="62" t="s">
        <v>689</v>
      </c>
      <c r="B1798" s="62" t="s">
        <v>689</v>
      </c>
      <c r="C1798" s="63"/>
      <c r="D1798" s="64"/>
      <c r="E1798" s="65"/>
      <c r="F1798" s="66"/>
      <c r="G1798" s="63"/>
      <c r="H1798" s="67"/>
      <c r="I1798" s="68"/>
      <c r="J1798" s="68"/>
      <c r="K1798" s="32"/>
      <c r="L1798" s="75">
        <v>1798</v>
      </c>
      <c r="M1798" s="75"/>
      <c r="N1798" s="70"/>
      <c r="O1798" s="77" t="s">
        <v>179</v>
      </c>
      <c r="P1798" s="79">
        <v>45155.952048611114</v>
      </c>
      <c r="Q1798" s="77" t="s">
        <v>2481</v>
      </c>
      <c r="R1798" s="77">
        <v>0</v>
      </c>
      <c r="S1798" s="77">
        <v>2</v>
      </c>
      <c r="T1798" s="77">
        <v>2</v>
      </c>
      <c r="U1798" s="77">
        <v>0</v>
      </c>
      <c r="V1798" s="77">
        <v>162</v>
      </c>
      <c r="W1798" s="82" t="s">
        <v>5746</v>
      </c>
      <c r="X1798" s="77"/>
      <c r="Y1798" s="77"/>
      <c r="Z1798" s="77"/>
      <c r="AA1798" s="77" t="s">
        <v>7466</v>
      </c>
      <c r="AB1798" s="77" t="s">
        <v>7745</v>
      </c>
      <c r="AC1798" s="82" t="s">
        <v>7752</v>
      </c>
      <c r="AD1798" s="77" t="s">
        <v>7790</v>
      </c>
      <c r="AE1798" s="80" t="str">
        <f>HYPERLINK("https://twitter.com/javierska2/status/1692308060104953922")</f>
        <v>https://twitter.com/javierska2/status/1692308060104953922</v>
      </c>
      <c r="AF1798" s="79">
        <v>45155.952048611114</v>
      </c>
      <c r="AG1798" s="85">
        <v>45155</v>
      </c>
      <c r="AH1798" s="82" t="s">
        <v>9307</v>
      </c>
      <c r="AI1798" s="77" t="b">
        <v>0</v>
      </c>
      <c r="AJ1798" s="77"/>
      <c r="AK1798" s="77"/>
      <c r="AL1798" s="77"/>
      <c r="AM1798" s="77"/>
      <c r="AN1798" s="77"/>
      <c r="AO1798" s="77"/>
      <c r="AP1798" s="77"/>
      <c r="AQ1798" s="77" t="s">
        <v>11438</v>
      </c>
      <c r="AR1798" s="77"/>
      <c r="AS1798" s="77"/>
      <c r="AT1798" s="77"/>
      <c r="AU1798" s="77"/>
      <c r="AV1798" s="80" t="str">
        <f>HYPERLINK("https://pbs.twimg.com/media/F3xJNgyWIAA5Hc1.jpg")</f>
        <v>https://pbs.twimg.com/media/F3xJNgyWIAA5Hc1.jpg</v>
      </c>
      <c r="AW1798" s="82" t="s">
        <v>13394</v>
      </c>
      <c r="AX1798" s="82" t="s">
        <v>13394</v>
      </c>
      <c r="AY1798" s="77"/>
      <c r="AZ1798" s="82" t="s">
        <v>15984</v>
      </c>
      <c r="BA1798" s="82" t="s">
        <v>15984</v>
      </c>
      <c r="BB1798" s="82" t="s">
        <v>15984</v>
      </c>
      <c r="BC1798" s="82" t="s">
        <v>13394</v>
      </c>
      <c r="BD1798" s="82" t="s">
        <v>16373</v>
      </c>
      <c r="BE1798" s="77"/>
      <c r="BF1798" s="77"/>
      <c r="BG1798" s="77"/>
      <c r="BH1798" s="77"/>
      <c r="BI1798" s="77"/>
    </row>
    <row r="1799" spans="1:61" x14ac:dyDescent="0.25">
      <c r="A1799" s="62" t="s">
        <v>690</v>
      </c>
      <c r="B1799" s="62" t="s">
        <v>690</v>
      </c>
      <c r="C1799" s="63"/>
      <c r="D1799" s="64"/>
      <c r="E1799" s="65"/>
      <c r="F1799" s="66"/>
      <c r="G1799" s="63"/>
      <c r="H1799" s="67"/>
      <c r="I1799" s="68"/>
      <c r="J1799" s="68"/>
      <c r="K1799" s="32"/>
      <c r="L1799" s="75">
        <v>1799</v>
      </c>
      <c r="M1799" s="75"/>
      <c r="N1799" s="70"/>
      <c r="O1799" s="77" t="s">
        <v>179</v>
      </c>
      <c r="P1799" s="79">
        <v>45159.639733796299</v>
      </c>
      <c r="Q1799" s="77" t="s">
        <v>2482</v>
      </c>
      <c r="R1799" s="77">
        <v>0</v>
      </c>
      <c r="S1799" s="77">
        <v>0</v>
      </c>
      <c r="T1799" s="77">
        <v>0</v>
      </c>
      <c r="U1799" s="77">
        <v>0</v>
      </c>
      <c r="V1799" s="77">
        <v>61</v>
      </c>
      <c r="W1799" s="82" t="s">
        <v>5747</v>
      </c>
      <c r="X1799" s="77"/>
      <c r="Y1799" s="77"/>
      <c r="Z1799" s="77"/>
      <c r="AA1799" s="77" t="s">
        <v>7467</v>
      </c>
      <c r="AB1799" s="77" t="s">
        <v>7747</v>
      </c>
      <c r="AC1799" s="82" t="s">
        <v>7750</v>
      </c>
      <c r="AD1799" s="77" t="s">
        <v>7788</v>
      </c>
      <c r="AE1799" s="80" t="str">
        <f>HYPERLINK("https://twitter.com/platinum_invest/status/1693644430387937452")</f>
        <v>https://twitter.com/platinum_invest/status/1693644430387937452</v>
      </c>
      <c r="AF1799" s="79">
        <v>45159.639733796299</v>
      </c>
      <c r="AG1799" s="85">
        <v>45159</v>
      </c>
      <c r="AH1799" s="82" t="s">
        <v>9308</v>
      </c>
      <c r="AI1799" s="77" t="b">
        <v>0</v>
      </c>
      <c r="AJ1799" s="77"/>
      <c r="AK1799" s="77"/>
      <c r="AL1799" s="77"/>
      <c r="AM1799" s="77"/>
      <c r="AN1799" s="77"/>
      <c r="AO1799" s="77"/>
      <c r="AP1799" s="77"/>
      <c r="AQ1799" s="77" t="s">
        <v>11439</v>
      </c>
      <c r="AR1799" s="77"/>
      <c r="AS1799" s="77"/>
      <c r="AT1799" s="77"/>
      <c r="AU1799" s="77"/>
      <c r="AV1799" s="80" t="str">
        <f>HYPERLINK("https://pbs.twimg.com/media/F4EIX4jXEAE8S0G.jpg")</f>
        <v>https://pbs.twimg.com/media/F4EIX4jXEAE8S0G.jpg</v>
      </c>
      <c r="AW1799" s="82" t="s">
        <v>13395</v>
      </c>
      <c r="AX1799" s="82" t="s">
        <v>13395</v>
      </c>
      <c r="AY1799" s="77"/>
      <c r="AZ1799" s="82" t="s">
        <v>15984</v>
      </c>
      <c r="BA1799" s="82" t="s">
        <v>15984</v>
      </c>
      <c r="BB1799" s="82" t="s">
        <v>15984</v>
      </c>
      <c r="BC1799" s="82" t="s">
        <v>13395</v>
      </c>
      <c r="BD1799" s="82" t="s">
        <v>16374</v>
      </c>
      <c r="BE1799" s="77"/>
      <c r="BF1799" s="77"/>
      <c r="BG1799" s="77"/>
      <c r="BH1799" s="77"/>
      <c r="BI1799" s="77"/>
    </row>
    <row r="1800" spans="1:61" x14ac:dyDescent="0.25">
      <c r="A1800" s="62" t="s">
        <v>691</v>
      </c>
      <c r="B1800" s="62" t="s">
        <v>691</v>
      </c>
      <c r="C1800" s="63"/>
      <c r="D1800" s="64"/>
      <c r="E1800" s="65"/>
      <c r="F1800" s="66"/>
      <c r="G1800" s="63"/>
      <c r="H1800" s="67"/>
      <c r="I1800" s="68"/>
      <c r="J1800" s="68"/>
      <c r="K1800" s="32"/>
      <c r="L1800" s="75">
        <v>1800</v>
      </c>
      <c r="M1800" s="75"/>
      <c r="N1800" s="70"/>
      <c r="O1800" s="77" t="s">
        <v>179</v>
      </c>
      <c r="P1800" s="79">
        <v>45170.518159722225</v>
      </c>
      <c r="Q1800" s="77" t="s">
        <v>2483</v>
      </c>
      <c r="R1800" s="77">
        <v>0</v>
      </c>
      <c r="S1800" s="77">
        <v>1</v>
      </c>
      <c r="T1800" s="77">
        <v>0</v>
      </c>
      <c r="U1800" s="77">
        <v>0</v>
      </c>
      <c r="V1800" s="77">
        <v>23</v>
      </c>
      <c r="W1800" s="82" t="s">
        <v>5748</v>
      </c>
      <c r="X1800" s="77"/>
      <c r="Y1800" s="77"/>
      <c r="Z1800" s="77"/>
      <c r="AA1800" s="77"/>
      <c r="AB1800" s="77"/>
      <c r="AC1800" s="82" t="s">
        <v>7751</v>
      </c>
      <c r="AD1800" s="77" t="s">
        <v>7788</v>
      </c>
      <c r="AE1800" s="80" t="str">
        <f>HYPERLINK("https://twitter.com/hlxnogueira/status/1697586642456870979")</f>
        <v>https://twitter.com/hlxnogueira/status/1697586642456870979</v>
      </c>
      <c r="AF1800" s="79">
        <v>45170.518159722225</v>
      </c>
      <c r="AG1800" s="85">
        <v>45170</v>
      </c>
      <c r="AH1800" s="82" t="s">
        <v>9309</v>
      </c>
      <c r="AI1800" s="77"/>
      <c r="AJ1800" s="77"/>
      <c r="AK1800" s="77"/>
      <c r="AL1800" s="77"/>
      <c r="AM1800" s="77"/>
      <c r="AN1800" s="77"/>
      <c r="AO1800" s="77"/>
      <c r="AP1800" s="77"/>
      <c r="AQ1800" s="77"/>
      <c r="AR1800" s="77"/>
      <c r="AS1800" s="77"/>
      <c r="AT1800" s="77"/>
      <c r="AU1800" s="77"/>
      <c r="AV1800" s="80" t="str">
        <f>HYPERLINK("https://pbs.twimg.com/profile_images/1682829548813950976/SngmmEY0_normal.jpg")</f>
        <v>https://pbs.twimg.com/profile_images/1682829548813950976/SngmmEY0_normal.jpg</v>
      </c>
      <c r="AW1800" s="82" t="s">
        <v>13396</v>
      </c>
      <c r="AX1800" s="82" t="s">
        <v>13396</v>
      </c>
      <c r="AY1800" s="77"/>
      <c r="AZ1800" s="82" t="s">
        <v>15984</v>
      </c>
      <c r="BA1800" s="82" t="s">
        <v>15984</v>
      </c>
      <c r="BB1800" s="82" t="s">
        <v>15984</v>
      </c>
      <c r="BC1800" s="82" t="s">
        <v>13396</v>
      </c>
      <c r="BD1800" s="82" t="s">
        <v>16375</v>
      </c>
      <c r="BE1800" s="77"/>
      <c r="BF1800" s="77"/>
      <c r="BG1800" s="77"/>
      <c r="BH1800" s="77"/>
      <c r="BI1800" s="77"/>
    </row>
    <row r="1801" spans="1:61" x14ac:dyDescent="0.25">
      <c r="A1801" s="62" t="s">
        <v>692</v>
      </c>
      <c r="B1801" s="62" t="s">
        <v>692</v>
      </c>
      <c r="C1801" s="63"/>
      <c r="D1801" s="64"/>
      <c r="E1801" s="65"/>
      <c r="F1801" s="66"/>
      <c r="G1801" s="63"/>
      <c r="H1801" s="67"/>
      <c r="I1801" s="68"/>
      <c r="J1801" s="68"/>
      <c r="K1801" s="32"/>
      <c r="L1801" s="75">
        <v>1801</v>
      </c>
      <c r="M1801" s="75"/>
      <c r="N1801" s="70"/>
      <c r="O1801" s="77" t="s">
        <v>179</v>
      </c>
      <c r="P1801" s="79">
        <v>45140.933356481481</v>
      </c>
      <c r="Q1801" s="77" t="s">
        <v>2484</v>
      </c>
      <c r="R1801" s="77">
        <v>0</v>
      </c>
      <c r="S1801" s="77">
        <v>0</v>
      </c>
      <c r="T1801" s="77">
        <v>0</v>
      </c>
      <c r="U1801" s="77">
        <v>0</v>
      </c>
      <c r="V1801" s="77">
        <v>38</v>
      </c>
      <c r="W1801" s="82" t="s">
        <v>5749</v>
      </c>
      <c r="X1801" s="80" t="str">
        <f>HYPERLINK("http://bcb.gov.br")</f>
        <v>http://bcb.gov.br</v>
      </c>
      <c r="Y1801" s="77" t="s">
        <v>6553</v>
      </c>
      <c r="Z1801" s="77"/>
      <c r="AA1801" s="77" t="s">
        <v>7468</v>
      </c>
      <c r="AB1801" s="77" t="s">
        <v>7742</v>
      </c>
      <c r="AC1801" s="82" t="s">
        <v>7751</v>
      </c>
      <c r="AD1801" s="77" t="s">
        <v>7788</v>
      </c>
      <c r="AE1801" s="80" t="str">
        <f>HYPERLINK("https://twitter.com/s6investimentos/status/1686865468164837381")</f>
        <v>https://twitter.com/s6investimentos/status/1686865468164837381</v>
      </c>
      <c r="AF1801" s="79">
        <v>45140.933356481481</v>
      </c>
      <c r="AG1801" s="85">
        <v>45140</v>
      </c>
      <c r="AH1801" s="82" t="s">
        <v>9310</v>
      </c>
      <c r="AI1801" s="77" t="b">
        <v>0</v>
      </c>
      <c r="AJ1801" s="77"/>
      <c r="AK1801" s="77"/>
      <c r="AL1801" s="77"/>
      <c r="AM1801" s="77"/>
      <c r="AN1801" s="77"/>
      <c r="AO1801" s="77"/>
      <c r="AP1801" s="77"/>
      <c r="AQ1801" s="77" t="s">
        <v>11440</v>
      </c>
      <c r="AR1801" s="77"/>
      <c r="AS1801" s="77"/>
      <c r="AT1801" s="77"/>
      <c r="AU1801" s="77"/>
      <c r="AV1801" s="80" t="str">
        <f>HYPERLINK("https://pbs.twimg.com/media/F2jzNCrWMAA8Zam.jpg")</f>
        <v>https://pbs.twimg.com/media/F2jzNCrWMAA8Zam.jpg</v>
      </c>
      <c r="AW1801" s="82" t="s">
        <v>13397</v>
      </c>
      <c r="AX1801" s="82" t="s">
        <v>13397</v>
      </c>
      <c r="AY1801" s="77"/>
      <c r="AZ1801" s="82" t="s">
        <v>15984</v>
      </c>
      <c r="BA1801" s="82" t="s">
        <v>15984</v>
      </c>
      <c r="BB1801" s="82" t="s">
        <v>15984</v>
      </c>
      <c r="BC1801" s="82" t="s">
        <v>13397</v>
      </c>
      <c r="BD1801" s="82" t="s">
        <v>16376</v>
      </c>
      <c r="BE1801" s="77"/>
      <c r="BF1801" s="77"/>
      <c r="BG1801" s="77"/>
      <c r="BH1801" s="77"/>
      <c r="BI1801" s="77"/>
    </row>
    <row r="1802" spans="1:61" x14ac:dyDescent="0.25">
      <c r="A1802" s="62" t="s">
        <v>693</v>
      </c>
      <c r="B1802" s="62" t="s">
        <v>693</v>
      </c>
      <c r="C1802" s="63"/>
      <c r="D1802" s="64"/>
      <c r="E1802" s="65"/>
      <c r="F1802" s="66"/>
      <c r="G1802" s="63"/>
      <c r="H1802" s="67"/>
      <c r="I1802" s="68"/>
      <c r="J1802" s="68"/>
      <c r="K1802" s="32"/>
      <c r="L1802" s="75">
        <v>1802</v>
      </c>
      <c r="M1802" s="75"/>
      <c r="N1802" s="70"/>
      <c r="O1802" s="77" t="s">
        <v>179</v>
      </c>
      <c r="P1802" s="79">
        <v>45139.374027777776</v>
      </c>
      <c r="Q1802" s="77" t="s">
        <v>2485</v>
      </c>
      <c r="R1802" s="77">
        <v>0</v>
      </c>
      <c r="S1802" s="77">
        <v>2</v>
      </c>
      <c r="T1802" s="77">
        <v>0</v>
      </c>
      <c r="U1802" s="77">
        <v>0</v>
      </c>
      <c r="V1802" s="77">
        <v>640</v>
      </c>
      <c r="W1802" s="82" t="s">
        <v>5750</v>
      </c>
      <c r="X1802" s="77"/>
      <c r="Y1802" s="77"/>
      <c r="Z1802" s="77"/>
      <c r="AA1802" s="77" t="s">
        <v>7469</v>
      </c>
      <c r="AB1802" s="77" t="s">
        <v>7747</v>
      </c>
      <c r="AC1802" s="82" t="s">
        <v>7750</v>
      </c>
      <c r="AD1802" s="77" t="s">
        <v>7790</v>
      </c>
      <c r="AE1802" s="80" t="str">
        <f>HYPERLINK("https://twitter.com/alfiedata/status/1686300385248518144")</f>
        <v>https://twitter.com/alfiedata/status/1686300385248518144</v>
      </c>
      <c r="AF1802" s="79">
        <v>45139.374027777776</v>
      </c>
      <c r="AG1802" s="85">
        <v>45139</v>
      </c>
      <c r="AH1802" s="82" t="s">
        <v>9311</v>
      </c>
      <c r="AI1802" s="77" t="b">
        <v>0</v>
      </c>
      <c r="AJ1802" s="77"/>
      <c r="AK1802" s="77"/>
      <c r="AL1802" s="77"/>
      <c r="AM1802" s="77"/>
      <c r="AN1802" s="77"/>
      <c r="AO1802" s="77"/>
      <c r="AP1802" s="77"/>
      <c r="AQ1802" s="77" t="s">
        <v>11441</v>
      </c>
      <c r="AR1802" s="77"/>
      <c r="AS1802" s="77"/>
      <c r="AT1802" s="77"/>
      <c r="AU1802" s="77"/>
      <c r="AV1802" s="80" t="str">
        <f>HYPERLINK("https://pbs.twimg.com/media/F2bwbdlW8AABpPY.jpg")</f>
        <v>https://pbs.twimg.com/media/F2bwbdlW8AABpPY.jpg</v>
      </c>
      <c r="AW1802" s="82" t="s">
        <v>13398</v>
      </c>
      <c r="AX1802" s="82" t="s">
        <v>13398</v>
      </c>
      <c r="AY1802" s="77"/>
      <c r="AZ1802" s="82" t="s">
        <v>15984</v>
      </c>
      <c r="BA1802" s="82" t="s">
        <v>15984</v>
      </c>
      <c r="BB1802" s="82" t="s">
        <v>15984</v>
      </c>
      <c r="BC1802" s="82" t="s">
        <v>13398</v>
      </c>
      <c r="BD1802" s="77">
        <v>526309602</v>
      </c>
      <c r="BE1802" s="77"/>
      <c r="BF1802" s="77"/>
      <c r="BG1802" s="77"/>
      <c r="BH1802" s="77"/>
      <c r="BI1802" s="77"/>
    </row>
    <row r="1803" spans="1:61" x14ac:dyDescent="0.25">
      <c r="A1803" s="62" t="s">
        <v>694</v>
      </c>
      <c r="B1803" s="62" t="s">
        <v>694</v>
      </c>
      <c r="C1803" s="63"/>
      <c r="D1803" s="64"/>
      <c r="E1803" s="65"/>
      <c r="F1803" s="66"/>
      <c r="G1803" s="63"/>
      <c r="H1803" s="67"/>
      <c r="I1803" s="68"/>
      <c r="J1803" s="68"/>
      <c r="K1803" s="32"/>
      <c r="L1803" s="75">
        <v>1803</v>
      </c>
      <c r="M1803" s="75"/>
      <c r="N1803" s="70"/>
      <c r="O1803" s="77" t="s">
        <v>179</v>
      </c>
      <c r="P1803" s="79">
        <v>45119.520370370374</v>
      </c>
      <c r="Q1803" s="77" t="s">
        <v>2486</v>
      </c>
      <c r="R1803" s="77">
        <v>0</v>
      </c>
      <c r="S1803" s="77">
        <v>4</v>
      </c>
      <c r="T1803" s="77">
        <v>0</v>
      </c>
      <c r="U1803" s="77">
        <v>0</v>
      </c>
      <c r="V1803" s="77">
        <v>1691</v>
      </c>
      <c r="W1803" s="82" t="s">
        <v>5751</v>
      </c>
      <c r="X1803" s="77"/>
      <c r="Y1803" s="77"/>
      <c r="Z1803" s="77"/>
      <c r="AA1803" s="77" t="s">
        <v>7470</v>
      </c>
      <c r="AB1803" s="77" t="s">
        <v>7743</v>
      </c>
      <c r="AC1803" s="82" t="s">
        <v>7781</v>
      </c>
      <c r="AD1803" s="77" t="s">
        <v>7788</v>
      </c>
      <c r="AE1803" s="80" t="str">
        <f>HYPERLINK("https://twitter.com/radiobandnewsfm/status/1679105660598845440")</f>
        <v>https://twitter.com/radiobandnewsfm/status/1679105660598845440</v>
      </c>
      <c r="AF1803" s="79">
        <v>45119.520370370374</v>
      </c>
      <c r="AG1803" s="85">
        <v>45119</v>
      </c>
      <c r="AH1803" s="82" t="s">
        <v>9312</v>
      </c>
      <c r="AI1803" s="77" t="b">
        <v>0</v>
      </c>
      <c r="AJ1803" s="77"/>
      <c r="AK1803" s="77"/>
      <c r="AL1803" s="77"/>
      <c r="AM1803" s="77"/>
      <c r="AN1803" s="77"/>
      <c r="AO1803" s="77"/>
      <c r="AP1803" s="77"/>
      <c r="AQ1803" s="77" t="s">
        <v>11442</v>
      </c>
      <c r="AR1803" s="77">
        <v>62927</v>
      </c>
      <c r="AS1803" s="77"/>
      <c r="AT1803" s="77"/>
      <c r="AU1803" s="77"/>
      <c r="AV1803" s="80" t="str">
        <f>HYPERLINK("https://pbs.twimg.com/amplify_video_thumb/1679105611814846469/img/oveA4hv70X0gFadd.jpg")</f>
        <v>https://pbs.twimg.com/amplify_video_thumb/1679105611814846469/img/oveA4hv70X0gFadd.jpg</v>
      </c>
      <c r="AW1803" s="82" t="s">
        <v>13399</v>
      </c>
      <c r="AX1803" s="82" t="s">
        <v>13399</v>
      </c>
      <c r="AY1803" s="77"/>
      <c r="AZ1803" s="82" t="s">
        <v>15984</v>
      </c>
      <c r="BA1803" s="82" t="s">
        <v>15984</v>
      </c>
      <c r="BB1803" s="82" t="s">
        <v>15984</v>
      </c>
      <c r="BC1803" s="82" t="s">
        <v>13399</v>
      </c>
      <c r="BD1803" s="77">
        <v>26573303</v>
      </c>
      <c r="BE1803" s="77"/>
      <c r="BF1803" s="77"/>
      <c r="BG1803" s="77"/>
      <c r="BH1803" s="77"/>
      <c r="BI1803" s="77"/>
    </row>
    <row r="1804" spans="1:61" x14ac:dyDescent="0.25">
      <c r="A1804" s="62" t="s">
        <v>694</v>
      </c>
      <c r="B1804" s="62" t="s">
        <v>694</v>
      </c>
      <c r="C1804" s="63"/>
      <c r="D1804" s="64"/>
      <c r="E1804" s="65"/>
      <c r="F1804" s="66"/>
      <c r="G1804" s="63"/>
      <c r="H1804" s="67"/>
      <c r="I1804" s="68"/>
      <c r="J1804" s="68"/>
      <c r="K1804" s="32"/>
      <c r="L1804" s="75">
        <v>1804</v>
      </c>
      <c r="M1804" s="75"/>
      <c r="N1804" s="70"/>
      <c r="O1804" s="77" t="s">
        <v>179</v>
      </c>
      <c r="P1804" s="79">
        <v>45166.540972222225</v>
      </c>
      <c r="Q1804" s="77" t="s">
        <v>2487</v>
      </c>
      <c r="R1804" s="77">
        <v>1</v>
      </c>
      <c r="S1804" s="77">
        <v>10</v>
      </c>
      <c r="T1804" s="77">
        <v>0</v>
      </c>
      <c r="U1804" s="77">
        <v>0</v>
      </c>
      <c r="V1804" s="77">
        <v>2142</v>
      </c>
      <c r="W1804" s="82" t="s">
        <v>5263</v>
      </c>
      <c r="X1804" s="77"/>
      <c r="Y1804" s="77"/>
      <c r="Z1804" s="77"/>
      <c r="AA1804" s="77" t="s">
        <v>7471</v>
      </c>
      <c r="AB1804" s="77" t="s">
        <v>7743</v>
      </c>
      <c r="AC1804" s="82" t="s">
        <v>7781</v>
      </c>
      <c r="AD1804" s="77" t="s">
        <v>7800</v>
      </c>
      <c r="AE1804" s="80" t="str">
        <f>HYPERLINK("https://twitter.com/radiobandnewsfm/status/1696145355220423020")</f>
        <v>https://twitter.com/radiobandnewsfm/status/1696145355220423020</v>
      </c>
      <c r="AF1804" s="79">
        <v>45166.540972222225</v>
      </c>
      <c r="AG1804" s="85">
        <v>45166</v>
      </c>
      <c r="AH1804" s="82" t="s">
        <v>9313</v>
      </c>
      <c r="AI1804" s="77" t="b">
        <v>0</v>
      </c>
      <c r="AJ1804" s="77"/>
      <c r="AK1804" s="77"/>
      <c r="AL1804" s="77"/>
      <c r="AM1804" s="77"/>
      <c r="AN1804" s="77"/>
      <c r="AO1804" s="77"/>
      <c r="AP1804" s="77"/>
      <c r="AQ1804" s="77" t="s">
        <v>11443</v>
      </c>
      <c r="AR1804" s="77">
        <v>353361</v>
      </c>
      <c r="AS1804" s="77"/>
      <c r="AT1804" s="77"/>
      <c r="AU1804" s="77"/>
      <c r="AV1804" s="80" t="str">
        <f>HYPERLINK("https://pbs.twimg.com/amplify_video_thumb/1696145249372942337/img/QxEsjJyWG9Zv0Um6.jpg")</f>
        <v>https://pbs.twimg.com/amplify_video_thumb/1696145249372942337/img/QxEsjJyWG9Zv0Um6.jpg</v>
      </c>
      <c r="AW1804" s="82" t="s">
        <v>13400</v>
      </c>
      <c r="AX1804" s="82" t="s">
        <v>13400</v>
      </c>
      <c r="AY1804" s="77"/>
      <c r="AZ1804" s="82" t="s">
        <v>15984</v>
      </c>
      <c r="BA1804" s="82" t="s">
        <v>15984</v>
      </c>
      <c r="BB1804" s="82" t="s">
        <v>15984</v>
      </c>
      <c r="BC1804" s="82" t="s">
        <v>13400</v>
      </c>
      <c r="BD1804" s="77">
        <v>26573303</v>
      </c>
      <c r="BE1804" s="77"/>
      <c r="BF1804" s="77"/>
      <c r="BG1804" s="77"/>
      <c r="BH1804" s="77"/>
      <c r="BI1804" s="77"/>
    </row>
    <row r="1805" spans="1:61" x14ac:dyDescent="0.25">
      <c r="A1805" s="62" t="s">
        <v>694</v>
      </c>
      <c r="B1805" s="62" t="s">
        <v>694</v>
      </c>
      <c r="C1805" s="63"/>
      <c r="D1805" s="64"/>
      <c r="E1805" s="65"/>
      <c r="F1805" s="66"/>
      <c r="G1805" s="63"/>
      <c r="H1805" s="67"/>
      <c r="I1805" s="68"/>
      <c r="J1805" s="68"/>
      <c r="K1805" s="32"/>
      <c r="L1805" s="75">
        <v>1805</v>
      </c>
      <c r="M1805" s="75"/>
      <c r="N1805" s="70"/>
      <c r="O1805" s="77" t="s">
        <v>179</v>
      </c>
      <c r="P1805" s="79">
        <v>45194.520624999997</v>
      </c>
      <c r="Q1805" s="77" t="s">
        <v>2488</v>
      </c>
      <c r="R1805" s="77">
        <v>1</v>
      </c>
      <c r="S1805" s="77">
        <v>5</v>
      </c>
      <c r="T1805" s="77">
        <v>0</v>
      </c>
      <c r="U1805" s="77">
        <v>1</v>
      </c>
      <c r="V1805" s="77">
        <v>1645</v>
      </c>
      <c r="W1805" s="82" t="s">
        <v>5263</v>
      </c>
      <c r="X1805" s="77"/>
      <c r="Y1805" s="77"/>
      <c r="Z1805" s="77"/>
      <c r="AA1805" s="77" t="s">
        <v>7129</v>
      </c>
      <c r="AB1805" s="77" t="s">
        <v>7743</v>
      </c>
      <c r="AC1805" s="82" t="s">
        <v>7781</v>
      </c>
      <c r="AD1805" s="77" t="s">
        <v>7788</v>
      </c>
      <c r="AE1805" s="80" t="str">
        <f>HYPERLINK("https://twitter.com/radiobandnewsfm/status/1706284844462780901")</f>
        <v>https://twitter.com/radiobandnewsfm/status/1706284844462780901</v>
      </c>
      <c r="AF1805" s="79">
        <v>45194.520624999997</v>
      </c>
      <c r="AG1805" s="85">
        <v>45194</v>
      </c>
      <c r="AH1805" s="82" t="s">
        <v>9314</v>
      </c>
      <c r="AI1805" s="77" t="b">
        <v>0</v>
      </c>
      <c r="AJ1805" s="77"/>
      <c r="AK1805" s="77"/>
      <c r="AL1805" s="77"/>
      <c r="AM1805" s="77"/>
      <c r="AN1805" s="77"/>
      <c r="AO1805" s="77"/>
      <c r="AP1805" s="77"/>
      <c r="AQ1805" s="77" t="s">
        <v>11101</v>
      </c>
      <c r="AR1805" s="77">
        <v>310479</v>
      </c>
      <c r="AS1805" s="77"/>
      <c r="AT1805" s="77"/>
      <c r="AU1805" s="77"/>
      <c r="AV1805" s="80" t="str">
        <f>HYPERLINK("https://pbs.twimg.com/amplify_video_thumb/1706284742755094528/img/UMiDlZdjvZuc1yL7.jpg")</f>
        <v>https://pbs.twimg.com/amplify_video_thumb/1706284742755094528/img/UMiDlZdjvZuc1yL7.jpg</v>
      </c>
      <c r="AW1805" s="82" t="s">
        <v>13401</v>
      </c>
      <c r="AX1805" s="82" t="s">
        <v>13401</v>
      </c>
      <c r="AY1805" s="77"/>
      <c r="AZ1805" s="82" t="s">
        <v>15984</v>
      </c>
      <c r="BA1805" s="82" t="s">
        <v>15984</v>
      </c>
      <c r="BB1805" s="82" t="s">
        <v>15984</v>
      </c>
      <c r="BC1805" s="82" t="s">
        <v>13401</v>
      </c>
      <c r="BD1805" s="77">
        <v>26573303</v>
      </c>
      <c r="BE1805" s="77"/>
      <c r="BF1805" s="77"/>
      <c r="BG1805" s="77"/>
      <c r="BH1805" s="77"/>
      <c r="BI1805" s="77"/>
    </row>
    <row r="1806" spans="1:61" x14ac:dyDescent="0.25">
      <c r="A1806" s="62" t="s">
        <v>694</v>
      </c>
      <c r="B1806" s="62" t="s">
        <v>694</v>
      </c>
      <c r="C1806" s="63"/>
      <c r="D1806" s="64"/>
      <c r="E1806" s="65"/>
      <c r="F1806" s="66"/>
      <c r="G1806" s="63"/>
      <c r="H1806" s="67"/>
      <c r="I1806" s="68"/>
      <c r="J1806" s="68"/>
      <c r="K1806" s="32"/>
      <c r="L1806" s="75">
        <v>1806</v>
      </c>
      <c r="M1806" s="75"/>
      <c r="N1806" s="70"/>
      <c r="O1806" s="77" t="s">
        <v>179</v>
      </c>
      <c r="P1806" s="79">
        <v>45173.531284722223</v>
      </c>
      <c r="Q1806" s="77" t="s">
        <v>2489</v>
      </c>
      <c r="R1806" s="77">
        <v>1</v>
      </c>
      <c r="S1806" s="77">
        <v>6</v>
      </c>
      <c r="T1806" s="77">
        <v>2</v>
      </c>
      <c r="U1806" s="77">
        <v>0</v>
      </c>
      <c r="V1806" s="77">
        <v>1550</v>
      </c>
      <c r="W1806" s="82" t="s">
        <v>5263</v>
      </c>
      <c r="X1806" s="77"/>
      <c r="Y1806" s="77"/>
      <c r="Z1806" s="77"/>
      <c r="AA1806" s="77" t="s">
        <v>7472</v>
      </c>
      <c r="AB1806" s="77" t="s">
        <v>7743</v>
      </c>
      <c r="AC1806" s="82" t="s">
        <v>7781</v>
      </c>
      <c r="AD1806" s="77" t="s">
        <v>7788</v>
      </c>
      <c r="AE1806" s="80" t="str">
        <f>HYPERLINK("https://twitter.com/radiobandnewsfm/status/1698678562880901483")</f>
        <v>https://twitter.com/radiobandnewsfm/status/1698678562880901483</v>
      </c>
      <c r="AF1806" s="79">
        <v>45173.531284722223</v>
      </c>
      <c r="AG1806" s="85">
        <v>45173</v>
      </c>
      <c r="AH1806" s="82" t="s">
        <v>9315</v>
      </c>
      <c r="AI1806" s="77" t="b">
        <v>0</v>
      </c>
      <c r="AJ1806" s="77"/>
      <c r="AK1806" s="77"/>
      <c r="AL1806" s="77"/>
      <c r="AM1806" s="77"/>
      <c r="AN1806" s="77"/>
      <c r="AO1806" s="77"/>
      <c r="AP1806" s="77"/>
      <c r="AQ1806" s="77" t="s">
        <v>11444</v>
      </c>
      <c r="AR1806" s="77">
        <v>398664</v>
      </c>
      <c r="AS1806" s="77"/>
      <c r="AT1806" s="77"/>
      <c r="AU1806" s="77"/>
      <c r="AV1806" s="80" t="str">
        <f>HYPERLINK("https://pbs.twimg.com/amplify_video_thumb/1698678459592003584/img/EwF7VIHHURsBiVyl.jpg")</f>
        <v>https://pbs.twimg.com/amplify_video_thumb/1698678459592003584/img/EwF7VIHHURsBiVyl.jpg</v>
      </c>
      <c r="AW1806" s="82" t="s">
        <v>13402</v>
      </c>
      <c r="AX1806" s="82" t="s">
        <v>13402</v>
      </c>
      <c r="AY1806" s="77"/>
      <c r="AZ1806" s="82" t="s">
        <v>15984</v>
      </c>
      <c r="BA1806" s="82" t="s">
        <v>15984</v>
      </c>
      <c r="BB1806" s="82" t="s">
        <v>15984</v>
      </c>
      <c r="BC1806" s="82" t="s">
        <v>13402</v>
      </c>
      <c r="BD1806" s="77">
        <v>26573303</v>
      </c>
      <c r="BE1806" s="77"/>
      <c r="BF1806" s="77"/>
      <c r="BG1806" s="77"/>
      <c r="BH1806" s="77"/>
      <c r="BI1806" s="77"/>
    </row>
    <row r="1807" spans="1:61" x14ac:dyDescent="0.25">
      <c r="A1807" s="62" t="s">
        <v>695</v>
      </c>
      <c r="B1807" s="62" t="s">
        <v>614</v>
      </c>
      <c r="C1807" s="63"/>
      <c r="D1807" s="64"/>
      <c r="E1807" s="65"/>
      <c r="F1807" s="66"/>
      <c r="G1807" s="63"/>
      <c r="H1807" s="67"/>
      <c r="I1807" s="68"/>
      <c r="J1807" s="68"/>
      <c r="K1807" s="32"/>
      <c r="L1807" s="75">
        <v>1807</v>
      </c>
      <c r="M1807" s="75"/>
      <c r="N1807" s="70"/>
      <c r="O1807" s="77" t="s">
        <v>897</v>
      </c>
      <c r="P1807" s="79">
        <v>45193.493796296294</v>
      </c>
      <c r="Q1807" s="77" t="s">
        <v>1515</v>
      </c>
      <c r="R1807" s="77">
        <v>3</v>
      </c>
      <c r="S1807" s="77">
        <v>0</v>
      </c>
      <c r="T1807" s="77">
        <v>0</v>
      </c>
      <c r="U1807" s="77">
        <v>0</v>
      </c>
      <c r="V1807" s="77"/>
      <c r="W1807" s="82" t="s">
        <v>4821</v>
      </c>
      <c r="X1807" s="80" t="str">
        <f>HYPERLINK("https://www.valoraanalitik.com/2023/09/23/subir-precio-peajes-colombia-la-peticion-del-exministro-ocampo/")</f>
        <v>https://www.valoraanalitik.com/2023/09/23/subir-precio-peajes-colombia-la-peticion-del-exministro-ocampo/</v>
      </c>
      <c r="Y1807" s="77" t="s">
        <v>6471</v>
      </c>
      <c r="Z1807" s="77" t="s">
        <v>614</v>
      </c>
      <c r="AA1807" s="77"/>
      <c r="AB1807" s="77"/>
      <c r="AC1807" s="82" t="s">
        <v>7751</v>
      </c>
      <c r="AD1807" s="77" t="s">
        <v>7790</v>
      </c>
      <c r="AE1807" s="80" t="str">
        <f>HYPERLINK("https://twitter.com/migue6/status/1705912733298827362")</f>
        <v>https://twitter.com/migue6/status/1705912733298827362</v>
      </c>
      <c r="AF1807" s="79">
        <v>45193.493796296294</v>
      </c>
      <c r="AG1807" s="85">
        <v>45193</v>
      </c>
      <c r="AH1807" s="82" t="s">
        <v>9316</v>
      </c>
      <c r="AI1807" s="77" t="b">
        <v>1</v>
      </c>
      <c r="AJ1807" s="77"/>
      <c r="AK1807" s="77"/>
      <c r="AL1807" s="77"/>
      <c r="AM1807" s="77"/>
      <c r="AN1807" s="77"/>
      <c r="AO1807" s="77"/>
      <c r="AP1807" s="77"/>
      <c r="AQ1807" s="77"/>
      <c r="AR1807" s="77"/>
      <c r="AS1807" s="77"/>
      <c r="AT1807" s="77"/>
      <c r="AU1807" s="77"/>
      <c r="AV1807" s="80" t="str">
        <f>HYPERLINK("https://pbs.twimg.com/profile_images/1647837613594648577/7T1Kf6rH_normal.jpg")</f>
        <v>https://pbs.twimg.com/profile_images/1647837613594648577/7T1Kf6rH_normal.jpg</v>
      </c>
      <c r="AW1807" s="82" t="s">
        <v>13403</v>
      </c>
      <c r="AX1807" s="82" t="s">
        <v>13403</v>
      </c>
      <c r="AY1807" s="77"/>
      <c r="AZ1807" s="82" t="s">
        <v>15984</v>
      </c>
      <c r="BA1807" s="82" t="s">
        <v>15984</v>
      </c>
      <c r="BB1807" s="82" t="s">
        <v>13018</v>
      </c>
      <c r="BC1807" s="82" t="s">
        <v>13018</v>
      </c>
      <c r="BD1807" s="77">
        <v>55766693</v>
      </c>
      <c r="BE1807" s="77"/>
      <c r="BF1807" s="77"/>
      <c r="BG1807" s="77"/>
      <c r="BH1807" s="77"/>
      <c r="BI1807" s="77"/>
    </row>
    <row r="1808" spans="1:61" x14ac:dyDescent="0.25">
      <c r="A1808" s="62" t="s">
        <v>696</v>
      </c>
      <c r="B1808" s="62" t="s">
        <v>696</v>
      </c>
      <c r="C1808" s="63"/>
      <c r="D1808" s="64"/>
      <c r="E1808" s="65"/>
      <c r="F1808" s="66"/>
      <c r="G1808" s="63"/>
      <c r="H1808" s="67"/>
      <c r="I1808" s="68"/>
      <c r="J1808" s="68"/>
      <c r="K1808" s="32"/>
      <c r="L1808" s="75">
        <v>1808</v>
      </c>
      <c r="M1808" s="75"/>
      <c r="N1808" s="70"/>
      <c r="O1808" s="77" t="s">
        <v>179</v>
      </c>
      <c r="P1808" s="79">
        <v>45121.458865740744</v>
      </c>
      <c r="Q1808" s="77" t="s">
        <v>2490</v>
      </c>
      <c r="R1808" s="77">
        <v>0</v>
      </c>
      <c r="S1808" s="77">
        <v>0</v>
      </c>
      <c r="T1808" s="77">
        <v>0</v>
      </c>
      <c r="U1808" s="77">
        <v>0</v>
      </c>
      <c r="V1808" s="77">
        <v>16</v>
      </c>
      <c r="W1808" s="82" t="s">
        <v>5752</v>
      </c>
      <c r="X1808" s="77"/>
      <c r="Y1808" s="77"/>
      <c r="Z1808" s="77"/>
      <c r="AA1808" s="77" t="s">
        <v>7473</v>
      </c>
      <c r="AB1808" s="77" t="s">
        <v>7742</v>
      </c>
      <c r="AC1808" s="82" t="s">
        <v>7757</v>
      </c>
      <c r="AD1808" s="77" t="s">
        <v>7788</v>
      </c>
      <c r="AE1808" s="80" t="str">
        <f>HYPERLINK("https://twitter.com/infogainbrazil/status/1679808148289253377")</f>
        <v>https://twitter.com/infogainbrazil/status/1679808148289253377</v>
      </c>
      <c r="AF1808" s="79">
        <v>45121.458865740744</v>
      </c>
      <c r="AG1808" s="85">
        <v>45121</v>
      </c>
      <c r="AH1808" s="82" t="s">
        <v>9317</v>
      </c>
      <c r="AI1808" s="77" t="b">
        <v>0</v>
      </c>
      <c r="AJ1808" s="77"/>
      <c r="AK1808" s="77"/>
      <c r="AL1808" s="77"/>
      <c r="AM1808" s="77"/>
      <c r="AN1808" s="77"/>
      <c r="AO1808" s="77"/>
      <c r="AP1808" s="77"/>
      <c r="AQ1808" s="77" t="s">
        <v>11445</v>
      </c>
      <c r="AR1808" s="77"/>
      <c r="AS1808" s="77"/>
      <c r="AT1808" s="77"/>
      <c r="AU1808" s="77"/>
      <c r="AV1808" s="80" t="str">
        <f>HYPERLINK("https://pbs.twimg.com/media/F0_gm8xWAAE3rlH.jpg")</f>
        <v>https://pbs.twimg.com/media/F0_gm8xWAAE3rlH.jpg</v>
      </c>
      <c r="AW1808" s="82" t="s">
        <v>13404</v>
      </c>
      <c r="AX1808" s="82" t="s">
        <v>13404</v>
      </c>
      <c r="AY1808" s="77"/>
      <c r="AZ1808" s="82" t="s">
        <v>15984</v>
      </c>
      <c r="BA1808" s="82" t="s">
        <v>15984</v>
      </c>
      <c r="BB1808" s="82" t="s">
        <v>15984</v>
      </c>
      <c r="BC1808" s="82" t="s">
        <v>13404</v>
      </c>
      <c r="BD1808" s="82" t="s">
        <v>16377</v>
      </c>
      <c r="BE1808" s="77"/>
      <c r="BF1808" s="77"/>
      <c r="BG1808" s="77"/>
      <c r="BH1808" s="77"/>
      <c r="BI1808" s="77"/>
    </row>
    <row r="1809" spans="1:61" x14ac:dyDescent="0.25">
      <c r="A1809" s="62" t="s">
        <v>697</v>
      </c>
      <c r="B1809" s="62" t="s">
        <v>697</v>
      </c>
      <c r="C1809" s="63"/>
      <c r="D1809" s="64"/>
      <c r="E1809" s="65"/>
      <c r="F1809" s="66"/>
      <c r="G1809" s="63"/>
      <c r="H1809" s="67"/>
      <c r="I1809" s="68"/>
      <c r="J1809" s="68"/>
      <c r="K1809" s="32"/>
      <c r="L1809" s="75">
        <v>1809</v>
      </c>
      <c r="M1809" s="75"/>
      <c r="N1809" s="70"/>
      <c r="O1809" s="77" t="s">
        <v>179</v>
      </c>
      <c r="P1809" s="79">
        <v>45146.248229166667</v>
      </c>
      <c r="Q1809" s="77" t="s">
        <v>2491</v>
      </c>
      <c r="R1809" s="77">
        <v>1</v>
      </c>
      <c r="S1809" s="77">
        <v>1</v>
      </c>
      <c r="T1809" s="77">
        <v>0</v>
      </c>
      <c r="U1809" s="77">
        <v>0</v>
      </c>
      <c r="V1809" s="77">
        <v>79</v>
      </c>
      <c r="W1809" s="82" t="s">
        <v>5753</v>
      </c>
      <c r="X1809" s="80" t="str">
        <f>HYPERLINK("https://javiermliron.blogspot.com/2023/08/indice-de-produccion-industrial-espana.html")</f>
        <v>https://javiermliron.blogspot.com/2023/08/indice-de-produccion-industrial-espana.html</v>
      </c>
      <c r="Y1809" s="77" t="s">
        <v>6532</v>
      </c>
      <c r="Z1809" s="77"/>
      <c r="AA1809" s="77" t="s">
        <v>7474</v>
      </c>
      <c r="AB1809" s="77" t="s">
        <v>7742</v>
      </c>
      <c r="AC1809" s="82" t="s">
        <v>7750</v>
      </c>
      <c r="AD1809" s="77" t="s">
        <v>7790</v>
      </c>
      <c r="AE1809" s="80" t="str">
        <f>HYPERLINK("https://twitter.com/jmendezliron/status/1688791511184310272")</f>
        <v>https://twitter.com/jmendezliron/status/1688791511184310272</v>
      </c>
      <c r="AF1809" s="79">
        <v>45146.248229166667</v>
      </c>
      <c r="AG1809" s="85">
        <v>45146</v>
      </c>
      <c r="AH1809" s="82" t="s">
        <v>9318</v>
      </c>
      <c r="AI1809" s="77" t="b">
        <v>0</v>
      </c>
      <c r="AJ1809" s="77"/>
      <c r="AK1809" s="77"/>
      <c r="AL1809" s="77"/>
      <c r="AM1809" s="77"/>
      <c r="AN1809" s="77"/>
      <c r="AO1809" s="77"/>
      <c r="AP1809" s="77"/>
      <c r="AQ1809" s="77" t="s">
        <v>11446</v>
      </c>
      <c r="AR1809" s="77"/>
      <c r="AS1809" s="77"/>
      <c r="AT1809" s="77"/>
      <c r="AU1809" s="77"/>
      <c r="AV1809" s="80" t="str">
        <f>HYPERLINK("https://pbs.twimg.com/media/F2_K7MrWAAAHxZH.png")</f>
        <v>https://pbs.twimg.com/media/F2_K7MrWAAAHxZH.png</v>
      </c>
      <c r="AW1809" s="82" t="s">
        <v>13405</v>
      </c>
      <c r="AX1809" s="82" t="s">
        <v>13405</v>
      </c>
      <c r="AY1809" s="77"/>
      <c r="AZ1809" s="82" t="s">
        <v>15984</v>
      </c>
      <c r="BA1809" s="82" t="s">
        <v>15984</v>
      </c>
      <c r="BB1809" s="82" t="s">
        <v>15984</v>
      </c>
      <c r="BC1809" s="82" t="s">
        <v>13405</v>
      </c>
      <c r="BD1809" s="77">
        <v>748960584</v>
      </c>
      <c r="BE1809" s="77"/>
      <c r="BF1809" s="77"/>
      <c r="BG1809" s="77"/>
      <c r="BH1809" s="77"/>
      <c r="BI1809" s="77"/>
    </row>
    <row r="1810" spans="1:61" x14ac:dyDescent="0.25">
      <c r="A1810" s="62" t="s">
        <v>697</v>
      </c>
      <c r="B1810" s="62" t="s">
        <v>697</v>
      </c>
      <c r="C1810" s="63"/>
      <c r="D1810" s="64"/>
      <c r="E1810" s="65"/>
      <c r="F1810" s="66"/>
      <c r="G1810" s="63"/>
      <c r="H1810" s="67"/>
      <c r="I1810" s="68"/>
      <c r="J1810" s="68"/>
      <c r="K1810" s="32"/>
      <c r="L1810" s="75">
        <v>1810</v>
      </c>
      <c r="M1810" s="75"/>
      <c r="N1810" s="70"/>
      <c r="O1810" s="77" t="s">
        <v>898</v>
      </c>
      <c r="P1810" s="79">
        <v>45138.739814814813</v>
      </c>
      <c r="Q1810" s="77" t="s">
        <v>2492</v>
      </c>
      <c r="R1810" s="77">
        <v>1</v>
      </c>
      <c r="S1810" s="77">
        <v>1</v>
      </c>
      <c r="T1810" s="77">
        <v>0</v>
      </c>
      <c r="U1810" s="77">
        <v>0</v>
      </c>
      <c r="V1810" s="77">
        <v>125</v>
      </c>
      <c r="W1810" s="82" t="s">
        <v>5754</v>
      </c>
      <c r="X1810" s="80" t="str">
        <f>HYPERLINK("https://javiermliron.blogspot.com/2023/07/exportaciones-sector-agroalimentario-de.html")</f>
        <v>https://javiermliron.blogspot.com/2023/07/exportaciones-sector-agroalimentario-de.html</v>
      </c>
      <c r="Y1810" s="77" t="s">
        <v>6532</v>
      </c>
      <c r="Z1810" s="77"/>
      <c r="AA1810" s="77"/>
      <c r="AB1810" s="77"/>
      <c r="AC1810" s="82" t="s">
        <v>7750</v>
      </c>
      <c r="AD1810" s="77" t="s">
        <v>7790</v>
      </c>
      <c r="AE1810" s="80" t="str">
        <f>HYPERLINK("https://twitter.com/jmendezliron/status/1686070554556542976")</f>
        <v>https://twitter.com/jmendezliron/status/1686070554556542976</v>
      </c>
      <c r="AF1810" s="79">
        <v>45138.739814814813</v>
      </c>
      <c r="AG1810" s="85">
        <v>45138</v>
      </c>
      <c r="AH1810" s="82" t="s">
        <v>9319</v>
      </c>
      <c r="AI1810" s="77" t="b">
        <v>0</v>
      </c>
      <c r="AJ1810" s="77"/>
      <c r="AK1810" s="77"/>
      <c r="AL1810" s="77"/>
      <c r="AM1810" s="77"/>
      <c r="AN1810" s="77"/>
      <c r="AO1810" s="77"/>
      <c r="AP1810" s="77"/>
      <c r="AQ1810" s="77"/>
      <c r="AR1810" s="77"/>
      <c r="AS1810" s="77"/>
      <c r="AT1810" s="77"/>
      <c r="AU1810" s="77"/>
      <c r="AV1810" s="80" t="str">
        <f>HYPERLINK("https://pbs.twimg.com/profile_images/612292231358246912/gMKxM5xX_normal.jpg")</f>
        <v>https://pbs.twimg.com/profile_images/612292231358246912/gMKxM5xX_normal.jpg</v>
      </c>
      <c r="AW1810" s="82" t="s">
        <v>13406</v>
      </c>
      <c r="AX1810" s="82" t="s">
        <v>13407</v>
      </c>
      <c r="AY1810" s="82" t="s">
        <v>15975</v>
      </c>
      <c r="AZ1810" s="82" t="s">
        <v>13407</v>
      </c>
      <c r="BA1810" s="82" t="s">
        <v>15984</v>
      </c>
      <c r="BB1810" s="82" t="s">
        <v>15984</v>
      </c>
      <c r="BC1810" s="82" t="s">
        <v>13407</v>
      </c>
      <c r="BD1810" s="77">
        <v>748960584</v>
      </c>
      <c r="BE1810" s="77"/>
      <c r="BF1810" s="77"/>
      <c r="BG1810" s="77"/>
      <c r="BH1810" s="77"/>
      <c r="BI1810" s="77"/>
    </row>
    <row r="1811" spans="1:61" x14ac:dyDescent="0.25">
      <c r="A1811" s="62" t="s">
        <v>697</v>
      </c>
      <c r="B1811" s="62" t="s">
        <v>697</v>
      </c>
      <c r="C1811" s="63"/>
      <c r="D1811" s="64"/>
      <c r="E1811" s="65"/>
      <c r="F1811" s="66"/>
      <c r="G1811" s="63"/>
      <c r="H1811" s="67"/>
      <c r="I1811" s="68"/>
      <c r="J1811" s="68"/>
      <c r="K1811" s="32"/>
      <c r="L1811" s="75">
        <v>1811</v>
      </c>
      <c r="M1811" s="75"/>
      <c r="N1811" s="70"/>
      <c r="O1811" s="77" t="s">
        <v>179</v>
      </c>
      <c r="P1811" s="79">
        <v>45138.739814814813</v>
      </c>
      <c r="Q1811" s="77" t="s">
        <v>2493</v>
      </c>
      <c r="R1811" s="77">
        <v>1</v>
      </c>
      <c r="S1811" s="77">
        <v>1</v>
      </c>
      <c r="T1811" s="77">
        <v>1</v>
      </c>
      <c r="U1811" s="77">
        <v>0</v>
      </c>
      <c r="V1811" s="77">
        <v>133</v>
      </c>
      <c r="W1811" s="82" t="s">
        <v>5755</v>
      </c>
      <c r="X1811" s="80" t="str">
        <f>HYPERLINK("https://javiermliron.blogspot.com/2023/07/exportaciones-sector-agroalimentario-de.html")</f>
        <v>https://javiermliron.blogspot.com/2023/07/exportaciones-sector-agroalimentario-de.html</v>
      </c>
      <c r="Y1811" s="77" t="s">
        <v>6532</v>
      </c>
      <c r="Z1811" s="77"/>
      <c r="AA1811" s="77" t="s">
        <v>7475</v>
      </c>
      <c r="AB1811" s="77" t="s">
        <v>7742</v>
      </c>
      <c r="AC1811" s="82" t="s">
        <v>7750</v>
      </c>
      <c r="AD1811" s="77" t="s">
        <v>7790</v>
      </c>
      <c r="AE1811" s="80" t="str">
        <f>HYPERLINK("https://twitter.com/jmendezliron/status/1686070552383930380")</f>
        <v>https://twitter.com/jmendezliron/status/1686070552383930380</v>
      </c>
      <c r="AF1811" s="79">
        <v>45138.739814814813</v>
      </c>
      <c r="AG1811" s="85">
        <v>45138</v>
      </c>
      <c r="AH1811" s="82" t="s">
        <v>9319</v>
      </c>
      <c r="AI1811" s="77" t="b">
        <v>0</v>
      </c>
      <c r="AJ1811" s="77"/>
      <c r="AK1811" s="77"/>
      <c r="AL1811" s="77"/>
      <c r="AM1811" s="77"/>
      <c r="AN1811" s="77"/>
      <c r="AO1811" s="77"/>
      <c r="AP1811" s="77"/>
      <c r="AQ1811" s="77" t="s">
        <v>11447</v>
      </c>
      <c r="AR1811" s="77"/>
      <c r="AS1811" s="77"/>
      <c r="AT1811" s="77"/>
      <c r="AU1811" s="77"/>
      <c r="AV1811" s="80" t="str">
        <f>HYPERLINK("https://pbs.twimg.com/media/F2YgOjaXQAohInM.jpg")</f>
        <v>https://pbs.twimg.com/media/F2YgOjaXQAohInM.jpg</v>
      </c>
      <c r="AW1811" s="82" t="s">
        <v>13407</v>
      </c>
      <c r="AX1811" s="82" t="s">
        <v>13407</v>
      </c>
      <c r="AY1811" s="77"/>
      <c r="AZ1811" s="82" t="s">
        <v>15984</v>
      </c>
      <c r="BA1811" s="82" t="s">
        <v>15984</v>
      </c>
      <c r="BB1811" s="82" t="s">
        <v>15984</v>
      </c>
      <c r="BC1811" s="82" t="s">
        <v>13407</v>
      </c>
      <c r="BD1811" s="77">
        <v>748960584</v>
      </c>
      <c r="BE1811" s="77"/>
      <c r="BF1811" s="77"/>
      <c r="BG1811" s="77"/>
      <c r="BH1811" s="77"/>
      <c r="BI1811" s="77"/>
    </row>
    <row r="1812" spans="1:61" x14ac:dyDescent="0.25">
      <c r="A1812" s="62" t="s">
        <v>697</v>
      </c>
      <c r="B1812" s="62" t="s">
        <v>697</v>
      </c>
      <c r="C1812" s="63"/>
      <c r="D1812" s="64"/>
      <c r="E1812" s="65"/>
      <c r="F1812" s="66"/>
      <c r="G1812" s="63"/>
      <c r="H1812" s="67"/>
      <c r="I1812" s="68"/>
      <c r="J1812" s="68"/>
      <c r="K1812" s="32"/>
      <c r="L1812" s="75">
        <v>1812</v>
      </c>
      <c r="M1812" s="75"/>
      <c r="N1812" s="70"/>
      <c r="O1812" s="77" t="s">
        <v>898</v>
      </c>
      <c r="P1812" s="79">
        <v>45119.745300925926</v>
      </c>
      <c r="Q1812" s="77" t="s">
        <v>2494</v>
      </c>
      <c r="R1812" s="77">
        <v>1</v>
      </c>
      <c r="S1812" s="77">
        <v>1</v>
      </c>
      <c r="T1812" s="77">
        <v>0</v>
      </c>
      <c r="U1812" s="77">
        <v>0</v>
      </c>
      <c r="V1812" s="77">
        <v>107</v>
      </c>
      <c r="W1812" s="82" t="s">
        <v>5756</v>
      </c>
      <c r="X1812" s="80" t="str">
        <f>HYPERLINK("https://javiermliron.blogspot.com/2023/07/sociedades-mercantiles-en-andalucia.html")</f>
        <v>https://javiermliron.blogspot.com/2023/07/sociedades-mercantiles-en-andalucia.html</v>
      </c>
      <c r="Y1812" s="77" t="s">
        <v>6532</v>
      </c>
      <c r="Z1812" s="77"/>
      <c r="AA1812" s="77"/>
      <c r="AB1812" s="77"/>
      <c r="AC1812" s="82" t="s">
        <v>7750</v>
      </c>
      <c r="AD1812" s="77" t="s">
        <v>7790</v>
      </c>
      <c r="AE1812" s="80" t="str">
        <f>HYPERLINK("https://twitter.com/jmendezliron/status/1679187175118721024")</f>
        <v>https://twitter.com/jmendezliron/status/1679187175118721024</v>
      </c>
      <c r="AF1812" s="79">
        <v>45119.745300925926</v>
      </c>
      <c r="AG1812" s="85">
        <v>45119</v>
      </c>
      <c r="AH1812" s="82" t="s">
        <v>9320</v>
      </c>
      <c r="AI1812" s="77" t="b">
        <v>0</v>
      </c>
      <c r="AJ1812" s="77"/>
      <c r="AK1812" s="77"/>
      <c r="AL1812" s="77"/>
      <c r="AM1812" s="77"/>
      <c r="AN1812" s="77"/>
      <c r="AO1812" s="77"/>
      <c r="AP1812" s="77"/>
      <c r="AQ1812" s="77"/>
      <c r="AR1812" s="77"/>
      <c r="AS1812" s="77"/>
      <c r="AT1812" s="77"/>
      <c r="AU1812" s="77"/>
      <c r="AV1812" s="80" t="str">
        <f>HYPERLINK("https://pbs.twimg.com/profile_images/612292231358246912/gMKxM5xX_normal.jpg")</f>
        <v>https://pbs.twimg.com/profile_images/612292231358246912/gMKxM5xX_normal.jpg</v>
      </c>
      <c r="AW1812" s="82" t="s">
        <v>13408</v>
      </c>
      <c r="AX1812" s="82" t="s">
        <v>13409</v>
      </c>
      <c r="AY1812" s="82" t="s">
        <v>15975</v>
      </c>
      <c r="AZ1812" s="82" t="s">
        <v>13409</v>
      </c>
      <c r="BA1812" s="82" t="s">
        <v>15984</v>
      </c>
      <c r="BB1812" s="82" t="s">
        <v>15984</v>
      </c>
      <c r="BC1812" s="82" t="s">
        <v>13409</v>
      </c>
      <c r="BD1812" s="77">
        <v>748960584</v>
      </c>
      <c r="BE1812" s="77"/>
      <c r="BF1812" s="77"/>
      <c r="BG1812" s="77"/>
      <c r="BH1812" s="77"/>
      <c r="BI1812" s="77"/>
    </row>
    <row r="1813" spans="1:61" x14ac:dyDescent="0.25">
      <c r="A1813" s="62" t="s">
        <v>697</v>
      </c>
      <c r="B1813" s="62" t="s">
        <v>697</v>
      </c>
      <c r="C1813" s="63"/>
      <c r="D1813" s="64"/>
      <c r="E1813" s="65"/>
      <c r="F1813" s="66"/>
      <c r="G1813" s="63"/>
      <c r="H1813" s="67"/>
      <c r="I1813" s="68"/>
      <c r="J1813" s="68"/>
      <c r="K1813" s="32"/>
      <c r="L1813" s="75">
        <v>1813</v>
      </c>
      <c r="M1813" s="75"/>
      <c r="N1813" s="70"/>
      <c r="O1813" s="77" t="s">
        <v>179</v>
      </c>
      <c r="P1813" s="79">
        <v>45119.745300925926</v>
      </c>
      <c r="Q1813" s="77" t="s">
        <v>2495</v>
      </c>
      <c r="R1813" s="77">
        <v>1</v>
      </c>
      <c r="S1813" s="77">
        <v>1</v>
      </c>
      <c r="T1813" s="77">
        <v>1</v>
      </c>
      <c r="U1813" s="77">
        <v>0</v>
      </c>
      <c r="V1813" s="77">
        <v>98</v>
      </c>
      <c r="W1813" s="82" t="s">
        <v>5757</v>
      </c>
      <c r="X1813" s="80" t="str">
        <f>HYPERLINK("https://javiermliron.blogspot.com/2023/07/sociedades-mercantiles-en-andalucia.html")</f>
        <v>https://javiermliron.blogspot.com/2023/07/sociedades-mercantiles-en-andalucia.html</v>
      </c>
      <c r="Y1813" s="77" t="s">
        <v>6532</v>
      </c>
      <c r="Z1813" s="77"/>
      <c r="AA1813" s="77" t="s">
        <v>7476</v>
      </c>
      <c r="AB1813" s="77" t="s">
        <v>7742</v>
      </c>
      <c r="AC1813" s="82" t="s">
        <v>7750</v>
      </c>
      <c r="AD1813" s="77" t="s">
        <v>7790</v>
      </c>
      <c r="AE1813" s="80" t="str">
        <f>HYPERLINK("https://twitter.com/jmendezliron/status/1679187172983820288")</f>
        <v>https://twitter.com/jmendezliron/status/1679187172983820288</v>
      </c>
      <c r="AF1813" s="79">
        <v>45119.745300925926</v>
      </c>
      <c r="AG1813" s="85">
        <v>45119</v>
      </c>
      <c r="AH1813" s="82" t="s">
        <v>9320</v>
      </c>
      <c r="AI1813" s="77" t="b">
        <v>0</v>
      </c>
      <c r="AJ1813" s="77"/>
      <c r="AK1813" s="77"/>
      <c r="AL1813" s="77"/>
      <c r="AM1813" s="77"/>
      <c r="AN1813" s="77"/>
      <c r="AO1813" s="77"/>
      <c r="AP1813" s="77"/>
      <c r="AQ1813" s="77" t="s">
        <v>11448</v>
      </c>
      <c r="AR1813" s="77"/>
      <c r="AS1813" s="77"/>
      <c r="AT1813" s="77"/>
      <c r="AU1813" s="77"/>
      <c r="AV1813" s="80" t="str">
        <f>HYPERLINK("https://pbs.twimg.com/media/F02rzTCWcAA8esF.png")</f>
        <v>https://pbs.twimg.com/media/F02rzTCWcAA8esF.png</v>
      </c>
      <c r="AW1813" s="82" t="s">
        <v>13409</v>
      </c>
      <c r="AX1813" s="82" t="s">
        <v>13409</v>
      </c>
      <c r="AY1813" s="77"/>
      <c r="AZ1813" s="82" t="s">
        <v>15984</v>
      </c>
      <c r="BA1813" s="82" t="s">
        <v>15984</v>
      </c>
      <c r="BB1813" s="82" t="s">
        <v>15984</v>
      </c>
      <c r="BC1813" s="82" t="s">
        <v>13409</v>
      </c>
      <c r="BD1813" s="77">
        <v>748960584</v>
      </c>
      <c r="BE1813" s="77"/>
      <c r="BF1813" s="77"/>
      <c r="BG1813" s="77"/>
      <c r="BH1813" s="77"/>
      <c r="BI1813" s="77"/>
    </row>
    <row r="1814" spans="1:61" x14ac:dyDescent="0.25">
      <c r="A1814" s="62" t="s">
        <v>697</v>
      </c>
      <c r="B1814" s="62" t="s">
        <v>697</v>
      </c>
      <c r="C1814" s="63"/>
      <c r="D1814" s="64"/>
      <c r="E1814" s="65"/>
      <c r="F1814" s="66"/>
      <c r="G1814" s="63"/>
      <c r="H1814" s="67"/>
      <c r="I1814" s="68"/>
      <c r="J1814" s="68"/>
      <c r="K1814" s="32"/>
      <c r="L1814" s="75">
        <v>1814</v>
      </c>
      <c r="M1814" s="75"/>
      <c r="N1814" s="70"/>
      <c r="O1814" s="77" t="s">
        <v>179</v>
      </c>
      <c r="P1814" s="79">
        <v>45119.73841435185</v>
      </c>
      <c r="Q1814" s="77" t="s">
        <v>2496</v>
      </c>
      <c r="R1814" s="77">
        <v>1</v>
      </c>
      <c r="S1814" s="77">
        <v>1</v>
      </c>
      <c r="T1814" s="77">
        <v>0</v>
      </c>
      <c r="U1814" s="77">
        <v>0</v>
      </c>
      <c r="V1814" s="77">
        <v>95</v>
      </c>
      <c r="W1814" s="82" t="s">
        <v>5758</v>
      </c>
      <c r="X1814" s="80" t="str">
        <f>HYPERLINK("https://javiermliron.blogspot.com/2023/07/indice-de-produccion-industrial_01611919822.html")</f>
        <v>https://javiermliron.blogspot.com/2023/07/indice-de-produccion-industrial_01611919822.html</v>
      </c>
      <c r="Y1814" s="77" t="s">
        <v>6532</v>
      </c>
      <c r="Z1814" s="77"/>
      <c r="AA1814" s="77" t="s">
        <v>7477</v>
      </c>
      <c r="AB1814" s="77" t="s">
        <v>7742</v>
      </c>
      <c r="AC1814" s="82" t="s">
        <v>7750</v>
      </c>
      <c r="AD1814" s="77" t="s">
        <v>7790</v>
      </c>
      <c r="AE1814" s="80" t="str">
        <f>HYPERLINK("https://twitter.com/jmendezliron/status/1679184677544787973")</f>
        <v>https://twitter.com/jmendezliron/status/1679184677544787973</v>
      </c>
      <c r="AF1814" s="79">
        <v>45119.73841435185</v>
      </c>
      <c r="AG1814" s="85">
        <v>45119</v>
      </c>
      <c r="AH1814" s="82" t="s">
        <v>9321</v>
      </c>
      <c r="AI1814" s="77" t="b">
        <v>0</v>
      </c>
      <c r="AJ1814" s="77"/>
      <c r="AK1814" s="77"/>
      <c r="AL1814" s="77"/>
      <c r="AM1814" s="77"/>
      <c r="AN1814" s="77"/>
      <c r="AO1814" s="77"/>
      <c r="AP1814" s="77"/>
      <c r="AQ1814" s="77" t="s">
        <v>11449</v>
      </c>
      <c r="AR1814" s="77"/>
      <c r="AS1814" s="77"/>
      <c r="AT1814" s="77"/>
      <c r="AU1814" s="77"/>
      <c r="AV1814" s="80" t="str">
        <f>HYPERLINK("https://pbs.twimg.com/media/F02pj-zWcAENBMd.png")</f>
        <v>https://pbs.twimg.com/media/F02pj-zWcAENBMd.png</v>
      </c>
      <c r="AW1814" s="82" t="s">
        <v>13410</v>
      </c>
      <c r="AX1814" s="82" t="s">
        <v>13410</v>
      </c>
      <c r="AY1814" s="77"/>
      <c r="AZ1814" s="82" t="s">
        <v>15984</v>
      </c>
      <c r="BA1814" s="82" t="s">
        <v>15984</v>
      </c>
      <c r="BB1814" s="82" t="s">
        <v>15984</v>
      </c>
      <c r="BC1814" s="82" t="s">
        <v>13410</v>
      </c>
      <c r="BD1814" s="77">
        <v>748960584</v>
      </c>
      <c r="BE1814" s="77"/>
      <c r="BF1814" s="77"/>
      <c r="BG1814" s="77"/>
      <c r="BH1814" s="77"/>
      <c r="BI1814" s="77"/>
    </row>
    <row r="1815" spans="1:61" x14ac:dyDescent="0.25">
      <c r="A1815" s="62" t="s">
        <v>697</v>
      </c>
      <c r="B1815" s="62" t="s">
        <v>697</v>
      </c>
      <c r="C1815" s="63"/>
      <c r="D1815" s="64"/>
      <c r="E1815" s="65"/>
      <c r="F1815" s="66"/>
      <c r="G1815" s="63"/>
      <c r="H1815" s="67"/>
      <c r="I1815" s="68"/>
      <c r="J1815" s="68"/>
      <c r="K1815" s="32"/>
      <c r="L1815" s="75">
        <v>1815</v>
      </c>
      <c r="M1815" s="75"/>
      <c r="N1815" s="70"/>
      <c r="O1815" s="77" t="s">
        <v>179</v>
      </c>
      <c r="P1815" s="79">
        <v>45145.254467592589</v>
      </c>
      <c r="Q1815" s="77" t="s">
        <v>2497</v>
      </c>
      <c r="R1815" s="77">
        <v>1</v>
      </c>
      <c r="S1815" s="77">
        <v>1</v>
      </c>
      <c r="T1815" s="77">
        <v>0</v>
      </c>
      <c r="U1815" s="77">
        <v>0</v>
      </c>
      <c r="V1815" s="77">
        <v>76</v>
      </c>
      <c r="W1815" s="82" t="s">
        <v>5759</v>
      </c>
      <c r="X1815" s="80" t="str">
        <f>HYPERLINK("https://javiermliron.blogspot.com/2023/08/gasto-turistico-en-castilla-y-leon.html")</f>
        <v>https://javiermliron.blogspot.com/2023/08/gasto-turistico-en-castilla-y-leon.html</v>
      </c>
      <c r="Y1815" s="77" t="s">
        <v>6532</v>
      </c>
      <c r="Z1815" s="77"/>
      <c r="AA1815" s="77" t="s">
        <v>7478</v>
      </c>
      <c r="AB1815" s="77" t="s">
        <v>7742</v>
      </c>
      <c r="AC1815" s="82" t="s">
        <v>7750</v>
      </c>
      <c r="AD1815" s="77" t="s">
        <v>7790</v>
      </c>
      <c r="AE1815" s="80" t="str">
        <f>HYPERLINK("https://twitter.com/jmendezliron/status/1688431387508973568")</f>
        <v>https://twitter.com/jmendezliron/status/1688431387508973568</v>
      </c>
      <c r="AF1815" s="79">
        <v>45145.254467592589</v>
      </c>
      <c r="AG1815" s="85">
        <v>45145</v>
      </c>
      <c r="AH1815" s="82" t="s">
        <v>9322</v>
      </c>
      <c r="AI1815" s="77" t="b">
        <v>0</v>
      </c>
      <c r="AJ1815" s="77"/>
      <c r="AK1815" s="77"/>
      <c r="AL1815" s="77"/>
      <c r="AM1815" s="77"/>
      <c r="AN1815" s="77"/>
      <c r="AO1815" s="77"/>
      <c r="AP1815" s="77"/>
      <c r="AQ1815" s="77" t="s">
        <v>11450</v>
      </c>
      <c r="AR1815" s="77"/>
      <c r="AS1815" s="77"/>
      <c r="AT1815" s="77"/>
      <c r="AU1815" s="77"/>
      <c r="AV1815" s="80" t="str">
        <f>HYPERLINK("https://pbs.twimg.com/media/F26DZJ8XgAIIocD.png")</f>
        <v>https://pbs.twimg.com/media/F26DZJ8XgAIIocD.png</v>
      </c>
      <c r="AW1815" s="82" t="s">
        <v>13411</v>
      </c>
      <c r="AX1815" s="82" t="s">
        <v>13411</v>
      </c>
      <c r="AY1815" s="77"/>
      <c r="AZ1815" s="82" t="s">
        <v>15984</v>
      </c>
      <c r="BA1815" s="82" t="s">
        <v>15984</v>
      </c>
      <c r="BB1815" s="82" t="s">
        <v>15984</v>
      </c>
      <c r="BC1815" s="82" t="s">
        <v>13411</v>
      </c>
      <c r="BD1815" s="77">
        <v>748960584</v>
      </c>
      <c r="BE1815" s="77"/>
      <c r="BF1815" s="77"/>
      <c r="BG1815" s="77"/>
      <c r="BH1815" s="77"/>
      <c r="BI1815" s="77"/>
    </row>
    <row r="1816" spans="1:61" x14ac:dyDescent="0.25">
      <c r="A1816" s="62" t="s">
        <v>697</v>
      </c>
      <c r="B1816" s="62" t="s">
        <v>697</v>
      </c>
      <c r="C1816" s="63"/>
      <c r="D1816" s="64"/>
      <c r="E1816" s="65"/>
      <c r="F1816" s="66"/>
      <c r="G1816" s="63"/>
      <c r="H1816" s="67"/>
      <c r="I1816" s="68"/>
      <c r="J1816" s="68"/>
      <c r="K1816" s="32"/>
      <c r="L1816" s="75">
        <v>1816</v>
      </c>
      <c r="M1816" s="75"/>
      <c r="N1816" s="70"/>
      <c r="O1816" s="77" t="s">
        <v>179</v>
      </c>
      <c r="P1816" s="79">
        <v>45126.245740740742</v>
      </c>
      <c r="Q1816" s="77" t="s">
        <v>2498</v>
      </c>
      <c r="R1816" s="77">
        <v>1</v>
      </c>
      <c r="S1816" s="77">
        <v>1</v>
      </c>
      <c r="T1816" s="77">
        <v>0</v>
      </c>
      <c r="U1816" s="77">
        <v>0</v>
      </c>
      <c r="V1816" s="77">
        <v>86</v>
      </c>
      <c r="W1816" s="82" t="s">
        <v>5760</v>
      </c>
      <c r="X1816" s="80" t="str">
        <f>HYPERLINK("https://javiermliron.blogspot.com/2023/07/contratos-registrados-en-castilla-y.html")</f>
        <v>https://javiermliron.blogspot.com/2023/07/contratos-registrados-en-castilla-y.html</v>
      </c>
      <c r="Y1816" s="77" t="s">
        <v>6532</v>
      </c>
      <c r="Z1816" s="77"/>
      <c r="AA1816" s="77" t="s">
        <v>7479</v>
      </c>
      <c r="AB1816" s="77" t="s">
        <v>7746</v>
      </c>
      <c r="AC1816" s="82" t="s">
        <v>7750</v>
      </c>
      <c r="AD1816" s="77" t="s">
        <v>7790</v>
      </c>
      <c r="AE1816" s="80" t="str">
        <f>HYPERLINK("https://twitter.com/jmendezliron/status/1681542851476303872")</f>
        <v>https://twitter.com/jmendezliron/status/1681542851476303872</v>
      </c>
      <c r="AF1816" s="79">
        <v>45126.245740740742</v>
      </c>
      <c r="AG1816" s="85">
        <v>45126</v>
      </c>
      <c r="AH1816" s="82" t="s">
        <v>9323</v>
      </c>
      <c r="AI1816" s="77" t="b">
        <v>0</v>
      </c>
      <c r="AJ1816" s="77"/>
      <c r="AK1816" s="77"/>
      <c r="AL1816" s="77"/>
      <c r="AM1816" s="77"/>
      <c r="AN1816" s="77"/>
      <c r="AO1816" s="77"/>
      <c r="AP1816" s="77"/>
      <c r="AQ1816" s="77" t="s">
        <v>11451</v>
      </c>
      <c r="AR1816" s="77"/>
      <c r="AS1816" s="77"/>
      <c r="AT1816" s="77"/>
      <c r="AU1816" s="77"/>
      <c r="AV1816" s="80" t="str">
        <f>HYPERLINK("https://pbs.twimg.com/tweet_video_thumb/F1YKTjSXoAEkZl8.jpg")</f>
        <v>https://pbs.twimg.com/tweet_video_thumb/F1YKTjSXoAEkZl8.jpg</v>
      </c>
      <c r="AW1816" s="82" t="s">
        <v>13412</v>
      </c>
      <c r="AX1816" s="82" t="s">
        <v>13412</v>
      </c>
      <c r="AY1816" s="77"/>
      <c r="AZ1816" s="82" t="s">
        <v>15984</v>
      </c>
      <c r="BA1816" s="82" t="s">
        <v>15984</v>
      </c>
      <c r="BB1816" s="82" t="s">
        <v>15984</v>
      </c>
      <c r="BC1816" s="82" t="s">
        <v>13412</v>
      </c>
      <c r="BD1816" s="77">
        <v>748960584</v>
      </c>
      <c r="BE1816" s="77"/>
      <c r="BF1816" s="77"/>
      <c r="BG1816" s="77"/>
      <c r="BH1816" s="77"/>
      <c r="BI1816" s="77"/>
    </row>
    <row r="1817" spans="1:61" x14ac:dyDescent="0.25">
      <c r="A1817" s="62" t="s">
        <v>697</v>
      </c>
      <c r="B1817" s="62" t="s">
        <v>697</v>
      </c>
      <c r="C1817" s="63"/>
      <c r="D1817" s="64"/>
      <c r="E1817" s="65"/>
      <c r="F1817" s="66"/>
      <c r="G1817" s="63"/>
      <c r="H1817" s="67"/>
      <c r="I1817" s="68"/>
      <c r="J1817" s="68"/>
      <c r="K1817" s="32"/>
      <c r="L1817" s="75">
        <v>1817</v>
      </c>
      <c r="M1817" s="75"/>
      <c r="N1817" s="70"/>
      <c r="O1817" s="77" t="s">
        <v>179</v>
      </c>
      <c r="P1817" s="79">
        <v>45126.239652777775</v>
      </c>
      <c r="Q1817" s="77" t="s">
        <v>2499</v>
      </c>
      <c r="R1817" s="77">
        <v>1</v>
      </c>
      <c r="S1817" s="77">
        <v>1</v>
      </c>
      <c r="T1817" s="77">
        <v>0</v>
      </c>
      <c r="U1817" s="77">
        <v>0</v>
      </c>
      <c r="V1817" s="77">
        <v>80</v>
      </c>
      <c r="W1817" s="82" t="s">
        <v>5761</v>
      </c>
      <c r="X1817" s="80" t="str">
        <f>HYPERLINK("https://javiermliron.blogspot.com/2023/07/ipc-madrid-junio-2023.html")</f>
        <v>https://javiermliron.blogspot.com/2023/07/ipc-madrid-junio-2023.html</v>
      </c>
      <c r="Y1817" s="77" t="s">
        <v>6532</v>
      </c>
      <c r="Z1817" s="77"/>
      <c r="AA1817" s="77" t="s">
        <v>7480</v>
      </c>
      <c r="AB1817" s="77" t="s">
        <v>7742</v>
      </c>
      <c r="AC1817" s="82" t="s">
        <v>7750</v>
      </c>
      <c r="AD1817" s="77" t="s">
        <v>7790</v>
      </c>
      <c r="AE1817" s="80" t="str">
        <f>HYPERLINK("https://twitter.com/jmendezliron/status/1681540645855416320")</f>
        <v>https://twitter.com/jmendezliron/status/1681540645855416320</v>
      </c>
      <c r="AF1817" s="79">
        <v>45126.239652777775</v>
      </c>
      <c r="AG1817" s="85">
        <v>45126</v>
      </c>
      <c r="AH1817" s="82" t="s">
        <v>9324</v>
      </c>
      <c r="AI1817" s="77" t="b">
        <v>0</v>
      </c>
      <c r="AJ1817" s="77"/>
      <c r="AK1817" s="77"/>
      <c r="AL1817" s="77"/>
      <c r="AM1817" s="77"/>
      <c r="AN1817" s="77"/>
      <c r="AO1817" s="77"/>
      <c r="AP1817" s="77"/>
      <c r="AQ1817" s="77" t="s">
        <v>11452</v>
      </c>
      <c r="AR1817" s="77"/>
      <c r="AS1817" s="77"/>
      <c r="AT1817" s="77"/>
      <c r="AU1817" s="77"/>
      <c r="AV1817" s="80" t="str">
        <f>HYPERLINK("https://pbs.twimg.com/media/F1YITInWYAAlXoH.png")</f>
        <v>https://pbs.twimg.com/media/F1YITInWYAAlXoH.png</v>
      </c>
      <c r="AW1817" s="82" t="s">
        <v>13413</v>
      </c>
      <c r="AX1817" s="82" t="s">
        <v>13413</v>
      </c>
      <c r="AY1817" s="77"/>
      <c r="AZ1817" s="82" t="s">
        <v>15984</v>
      </c>
      <c r="BA1817" s="82" t="s">
        <v>15984</v>
      </c>
      <c r="BB1817" s="82" t="s">
        <v>15984</v>
      </c>
      <c r="BC1817" s="82" t="s">
        <v>13413</v>
      </c>
      <c r="BD1817" s="77">
        <v>748960584</v>
      </c>
      <c r="BE1817" s="77"/>
      <c r="BF1817" s="77"/>
      <c r="BG1817" s="77"/>
      <c r="BH1817" s="77"/>
      <c r="BI1817" s="77"/>
    </row>
    <row r="1818" spans="1:61" x14ac:dyDescent="0.25">
      <c r="A1818" s="62" t="s">
        <v>697</v>
      </c>
      <c r="B1818" s="62" t="s">
        <v>697</v>
      </c>
      <c r="C1818" s="63"/>
      <c r="D1818" s="64"/>
      <c r="E1818" s="65"/>
      <c r="F1818" s="66"/>
      <c r="G1818" s="63"/>
      <c r="H1818" s="67"/>
      <c r="I1818" s="68"/>
      <c r="J1818" s="68"/>
      <c r="K1818" s="32"/>
      <c r="L1818" s="75">
        <v>1818</v>
      </c>
      <c r="M1818" s="75"/>
      <c r="N1818" s="70"/>
      <c r="O1818" s="77" t="s">
        <v>179</v>
      </c>
      <c r="P1818" s="79">
        <v>45140.234189814815</v>
      </c>
      <c r="Q1818" s="77" t="s">
        <v>2500</v>
      </c>
      <c r="R1818" s="77">
        <v>1</v>
      </c>
      <c r="S1818" s="77">
        <v>1</v>
      </c>
      <c r="T1818" s="77">
        <v>0</v>
      </c>
      <c r="U1818" s="77">
        <v>0</v>
      </c>
      <c r="V1818" s="77">
        <v>82</v>
      </c>
      <c r="W1818" s="82" t="s">
        <v>5762</v>
      </c>
      <c r="X1818" s="80" t="str">
        <f>HYPERLINK("https://javiermliron.blogspot.com/2023/08/epa-tasa-de-paro-segundo-trimestre-2023.html")</f>
        <v>https://javiermliron.blogspot.com/2023/08/epa-tasa-de-paro-segundo-trimestre-2023.html</v>
      </c>
      <c r="Y1818" s="77" t="s">
        <v>6532</v>
      </c>
      <c r="Z1818" s="77"/>
      <c r="AA1818" s="77" t="s">
        <v>7481</v>
      </c>
      <c r="AB1818" s="77" t="s">
        <v>7742</v>
      </c>
      <c r="AC1818" s="82" t="s">
        <v>7750</v>
      </c>
      <c r="AD1818" s="77" t="s">
        <v>7790</v>
      </c>
      <c r="AE1818" s="80" t="str">
        <f>HYPERLINK("https://twitter.com/jmendezliron/status/1686612099806425089")</f>
        <v>https://twitter.com/jmendezliron/status/1686612099806425089</v>
      </c>
      <c r="AF1818" s="79">
        <v>45140.234189814815</v>
      </c>
      <c r="AG1818" s="85">
        <v>45140</v>
      </c>
      <c r="AH1818" s="82" t="s">
        <v>9325</v>
      </c>
      <c r="AI1818" s="77" t="b">
        <v>0</v>
      </c>
      <c r="AJ1818" s="77"/>
      <c r="AK1818" s="77"/>
      <c r="AL1818" s="77"/>
      <c r="AM1818" s="77"/>
      <c r="AN1818" s="77"/>
      <c r="AO1818" s="77"/>
      <c r="AP1818" s="77"/>
      <c r="AQ1818" s="77" t="s">
        <v>11453</v>
      </c>
      <c r="AR1818" s="77"/>
      <c r="AS1818" s="77"/>
      <c r="AT1818" s="77"/>
      <c r="AU1818" s="77"/>
      <c r="AV1818" s="80" t="str">
        <f>HYPERLINK("https://pbs.twimg.com/media/F2gMw7-WoAAp0qt.png")</f>
        <v>https://pbs.twimg.com/media/F2gMw7-WoAAp0qt.png</v>
      </c>
      <c r="AW1818" s="82" t="s">
        <v>13414</v>
      </c>
      <c r="AX1818" s="82" t="s">
        <v>13414</v>
      </c>
      <c r="AY1818" s="77"/>
      <c r="AZ1818" s="82" t="s">
        <v>15984</v>
      </c>
      <c r="BA1818" s="82" t="s">
        <v>15984</v>
      </c>
      <c r="BB1818" s="82" t="s">
        <v>15984</v>
      </c>
      <c r="BC1818" s="82" t="s">
        <v>13414</v>
      </c>
      <c r="BD1818" s="77">
        <v>748960584</v>
      </c>
      <c r="BE1818" s="77"/>
      <c r="BF1818" s="77"/>
      <c r="BG1818" s="77"/>
      <c r="BH1818" s="77"/>
      <c r="BI1818" s="77"/>
    </row>
    <row r="1819" spans="1:61" x14ac:dyDescent="0.25">
      <c r="A1819" s="62" t="s">
        <v>697</v>
      </c>
      <c r="B1819" s="62" t="s">
        <v>697</v>
      </c>
      <c r="C1819" s="63"/>
      <c r="D1819" s="64"/>
      <c r="E1819" s="65"/>
      <c r="F1819" s="66"/>
      <c r="G1819" s="63"/>
      <c r="H1819" s="67"/>
      <c r="I1819" s="68"/>
      <c r="J1819" s="68"/>
      <c r="K1819" s="32"/>
      <c r="L1819" s="75">
        <v>1819</v>
      </c>
      <c r="M1819" s="75"/>
      <c r="N1819" s="70"/>
      <c r="O1819" s="77" t="s">
        <v>179</v>
      </c>
      <c r="P1819" s="79">
        <v>45138.233495370368</v>
      </c>
      <c r="Q1819" s="77" t="s">
        <v>2501</v>
      </c>
      <c r="R1819" s="77">
        <v>1</v>
      </c>
      <c r="S1819" s="77">
        <v>1</v>
      </c>
      <c r="T1819" s="77">
        <v>0</v>
      </c>
      <c r="U1819" s="77">
        <v>0</v>
      </c>
      <c r="V1819" s="77">
        <v>102</v>
      </c>
      <c r="W1819" s="82" t="s">
        <v>5763</v>
      </c>
      <c r="X1819" s="80" t="str">
        <f>HYPERLINK("https://javiermliron.blogspot.com/2023/07/indicadores-de-hipotecas-en-espana-mayo.html")</f>
        <v>https://javiermliron.blogspot.com/2023/07/indicadores-de-hipotecas-en-espana-mayo.html</v>
      </c>
      <c r="Y1819" s="77" t="s">
        <v>6532</v>
      </c>
      <c r="Z1819" s="77"/>
      <c r="AA1819" s="77" t="s">
        <v>7482</v>
      </c>
      <c r="AB1819" s="77" t="s">
        <v>7742</v>
      </c>
      <c r="AC1819" s="82" t="s">
        <v>7750</v>
      </c>
      <c r="AD1819" s="77" t="s">
        <v>7790</v>
      </c>
      <c r="AE1819" s="80" t="str">
        <f>HYPERLINK("https://twitter.com/jmendezliron/status/1685887068327514112")</f>
        <v>https://twitter.com/jmendezliron/status/1685887068327514112</v>
      </c>
      <c r="AF1819" s="79">
        <v>45138.233495370368</v>
      </c>
      <c r="AG1819" s="85">
        <v>45138</v>
      </c>
      <c r="AH1819" s="82" t="s">
        <v>9326</v>
      </c>
      <c r="AI1819" s="77" t="b">
        <v>0</v>
      </c>
      <c r="AJ1819" s="77"/>
      <c r="AK1819" s="77"/>
      <c r="AL1819" s="77"/>
      <c r="AM1819" s="77"/>
      <c r="AN1819" s="77"/>
      <c r="AO1819" s="77"/>
      <c r="AP1819" s="77"/>
      <c r="AQ1819" s="77" t="s">
        <v>11454</v>
      </c>
      <c r="AR1819" s="77"/>
      <c r="AS1819" s="77"/>
      <c r="AT1819" s="77"/>
      <c r="AU1819" s="77"/>
      <c r="AV1819" s="80" t="str">
        <f>HYPERLINK("https://pbs.twimg.com/media/F2V5WlbWkAAdcYu.png")</f>
        <v>https://pbs.twimg.com/media/F2V5WlbWkAAdcYu.png</v>
      </c>
      <c r="AW1819" s="82" t="s">
        <v>13415</v>
      </c>
      <c r="AX1819" s="82" t="s">
        <v>13415</v>
      </c>
      <c r="AY1819" s="77"/>
      <c r="AZ1819" s="82" t="s">
        <v>15984</v>
      </c>
      <c r="BA1819" s="82" t="s">
        <v>15984</v>
      </c>
      <c r="BB1819" s="82" t="s">
        <v>15984</v>
      </c>
      <c r="BC1819" s="82" t="s">
        <v>13415</v>
      </c>
      <c r="BD1819" s="77">
        <v>748960584</v>
      </c>
      <c r="BE1819" s="77"/>
      <c r="BF1819" s="77"/>
      <c r="BG1819" s="77"/>
      <c r="BH1819" s="77"/>
      <c r="BI1819" s="77"/>
    </row>
    <row r="1820" spans="1:61" x14ac:dyDescent="0.25">
      <c r="A1820" s="62" t="s">
        <v>697</v>
      </c>
      <c r="B1820" s="62" t="s">
        <v>697</v>
      </c>
      <c r="C1820" s="63"/>
      <c r="D1820" s="64"/>
      <c r="E1820" s="65"/>
      <c r="F1820" s="66"/>
      <c r="G1820" s="63"/>
      <c r="H1820" s="67"/>
      <c r="I1820" s="68"/>
      <c r="J1820" s="68"/>
      <c r="K1820" s="32"/>
      <c r="L1820" s="75">
        <v>1820</v>
      </c>
      <c r="M1820" s="75"/>
      <c r="N1820" s="70"/>
      <c r="O1820" s="77" t="s">
        <v>898</v>
      </c>
      <c r="P1820" s="79">
        <v>45154.747870370367</v>
      </c>
      <c r="Q1820" s="77" t="s">
        <v>2502</v>
      </c>
      <c r="R1820" s="77">
        <v>1</v>
      </c>
      <c r="S1820" s="77">
        <v>1</v>
      </c>
      <c r="T1820" s="77">
        <v>0</v>
      </c>
      <c r="U1820" s="77">
        <v>0</v>
      </c>
      <c r="V1820" s="77">
        <v>75</v>
      </c>
      <c r="W1820" s="82" t="s">
        <v>5764</v>
      </c>
      <c r="X1820" s="80" t="str">
        <f>HYPERLINK("https://javiermliron.blogspot.com/2023/08/ipc-espana-julio-2023.html")</f>
        <v>https://javiermliron.blogspot.com/2023/08/ipc-espana-julio-2023.html</v>
      </c>
      <c r="Y1820" s="77" t="s">
        <v>6532</v>
      </c>
      <c r="Z1820" s="77"/>
      <c r="AA1820" s="77"/>
      <c r="AB1820" s="77"/>
      <c r="AC1820" s="82" t="s">
        <v>7750</v>
      </c>
      <c r="AD1820" s="77" t="s">
        <v>7790</v>
      </c>
      <c r="AE1820" s="80" t="str">
        <f>HYPERLINK("https://twitter.com/jmendezliron/status/1691871680849670214")</f>
        <v>https://twitter.com/jmendezliron/status/1691871680849670214</v>
      </c>
      <c r="AF1820" s="79">
        <v>45154.747870370367</v>
      </c>
      <c r="AG1820" s="85">
        <v>45154</v>
      </c>
      <c r="AH1820" s="82" t="s">
        <v>9327</v>
      </c>
      <c r="AI1820" s="77" t="b">
        <v>0</v>
      </c>
      <c r="AJ1820" s="77"/>
      <c r="AK1820" s="77"/>
      <c r="AL1820" s="77"/>
      <c r="AM1820" s="77"/>
      <c r="AN1820" s="77"/>
      <c r="AO1820" s="77"/>
      <c r="AP1820" s="77"/>
      <c r="AQ1820" s="77"/>
      <c r="AR1820" s="77"/>
      <c r="AS1820" s="77"/>
      <c r="AT1820" s="77"/>
      <c r="AU1820" s="77"/>
      <c r="AV1820" s="80" t="str">
        <f>HYPERLINK("https://pbs.twimg.com/profile_images/612292231358246912/gMKxM5xX_normal.jpg")</f>
        <v>https://pbs.twimg.com/profile_images/612292231358246912/gMKxM5xX_normal.jpg</v>
      </c>
      <c r="AW1820" s="82" t="s">
        <v>13416</v>
      </c>
      <c r="AX1820" s="82" t="s">
        <v>13417</v>
      </c>
      <c r="AY1820" s="82" t="s">
        <v>15975</v>
      </c>
      <c r="AZ1820" s="82" t="s">
        <v>13417</v>
      </c>
      <c r="BA1820" s="82" t="s">
        <v>15984</v>
      </c>
      <c r="BB1820" s="82" t="s">
        <v>15984</v>
      </c>
      <c r="BC1820" s="82" t="s">
        <v>13417</v>
      </c>
      <c r="BD1820" s="77">
        <v>748960584</v>
      </c>
      <c r="BE1820" s="77"/>
      <c r="BF1820" s="77"/>
      <c r="BG1820" s="77"/>
      <c r="BH1820" s="77"/>
      <c r="BI1820" s="77"/>
    </row>
    <row r="1821" spans="1:61" x14ac:dyDescent="0.25">
      <c r="A1821" s="62" t="s">
        <v>697</v>
      </c>
      <c r="B1821" s="62" t="s">
        <v>697</v>
      </c>
      <c r="C1821" s="63"/>
      <c r="D1821" s="64"/>
      <c r="E1821" s="65"/>
      <c r="F1821" s="66"/>
      <c r="G1821" s="63"/>
      <c r="H1821" s="67"/>
      <c r="I1821" s="68"/>
      <c r="J1821" s="68"/>
      <c r="K1821" s="32"/>
      <c r="L1821" s="75">
        <v>1821</v>
      </c>
      <c r="M1821" s="75"/>
      <c r="N1821" s="70"/>
      <c r="O1821" s="77" t="s">
        <v>179</v>
      </c>
      <c r="P1821" s="79">
        <v>45154.747870370367</v>
      </c>
      <c r="Q1821" s="77" t="s">
        <v>2503</v>
      </c>
      <c r="R1821" s="77">
        <v>1</v>
      </c>
      <c r="S1821" s="77">
        <v>1</v>
      </c>
      <c r="T1821" s="77">
        <v>1</v>
      </c>
      <c r="U1821" s="77">
        <v>0</v>
      </c>
      <c r="V1821" s="77">
        <v>77</v>
      </c>
      <c r="W1821" s="82" t="s">
        <v>5765</v>
      </c>
      <c r="X1821" s="80" t="str">
        <f>HYPERLINK("https://javiermliron.blogspot.com/2023/08/ipc-espana-julio-2023.html")</f>
        <v>https://javiermliron.blogspot.com/2023/08/ipc-espana-julio-2023.html</v>
      </c>
      <c r="Y1821" s="77" t="s">
        <v>6532</v>
      </c>
      <c r="Z1821" s="77"/>
      <c r="AA1821" s="77" t="s">
        <v>7483</v>
      </c>
      <c r="AB1821" s="77" t="s">
        <v>7742</v>
      </c>
      <c r="AC1821" s="82" t="s">
        <v>7750</v>
      </c>
      <c r="AD1821" s="77" t="s">
        <v>7790</v>
      </c>
      <c r="AE1821" s="80" t="str">
        <f>HYPERLINK("https://twitter.com/jmendezliron/status/1691871678710604048")</f>
        <v>https://twitter.com/jmendezliron/status/1691871678710604048</v>
      </c>
      <c r="AF1821" s="79">
        <v>45154.747870370367</v>
      </c>
      <c r="AG1821" s="85">
        <v>45154</v>
      </c>
      <c r="AH1821" s="82" t="s">
        <v>9327</v>
      </c>
      <c r="AI1821" s="77" t="b">
        <v>0</v>
      </c>
      <c r="AJ1821" s="77"/>
      <c r="AK1821" s="77"/>
      <c r="AL1821" s="77"/>
      <c r="AM1821" s="77"/>
      <c r="AN1821" s="77"/>
      <c r="AO1821" s="77"/>
      <c r="AP1821" s="77"/>
      <c r="AQ1821" s="77" t="s">
        <v>11455</v>
      </c>
      <c r="AR1821" s="77"/>
      <c r="AS1821" s="77"/>
      <c r="AT1821" s="77"/>
      <c r="AU1821" s="77"/>
      <c r="AV1821" s="80" t="str">
        <f>HYPERLINK("https://pbs.twimg.com/media/F3q8UhxWgAAQmq5.png")</f>
        <v>https://pbs.twimg.com/media/F3q8UhxWgAAQmq5.png</v>
      </c>
      <c r="AW1821" s="82" t="s">
        <v>13417</v>
      </c>
      <c r="AX1821" s="82" t="s">
        <v>13417</v>
      </c>
      <c r="AY1821" s="77"/>
      <c r="AZ1821" s="82" t="s">
        <v>15984</v>
      </c>
      <c r="BA1821" s="82" t="s">
        <v>15984</v>
      </c>
      <c r="BB1821" s="82" t="s">
        <v>15984</v>
      </c>
      <c r="BC1821" s="82" t="s">
        <v>13417</v>
      </c>
      <c r="BD1821" s="77">
        <v>748960584</v>
      </c>
      <c r="BE1821" s="77"/>
      <c r="BF1821" s="77"/>
      <c r="BG1821" s="77"/>
      <c r="BH1821" s="77"/>
      <c r="BI1821" s="77"/>
    </row>
    <row r="1822" spans="1:61" x14ac:dyDescent="0.25">
      <c r="A1822" s="62" t="s">
        <v>697</v>
      </c>
      <c r="B1822" s="62" t="s">
        <v>697</v>
      </c>
      <c r="C1822" s="63"/>
      <c r="D1822" s="64"/>
      <c r="E1822" s="65"/>
      <c r="F1822" s="66"/>
      <c r="G1822" s="63"/>
      <c r="H1822" s="67"/>
      <c r="I1822" s="68"/>
      <c r="J1822" s="68"/>
      <c r="K1822" s="32"/>
      <c r="L1822" s="75">
        <v>1822</v>
      </c>
      <c r="M1822" s="75"/>
      <c r="N1822" s="70"/>
      <c r="O1822" s="77" t="s">
        <v>179</v>
      </c>
      <c r="P1822" s="79">
        <v>45154.742071759261</v>
      </c>
      <c r="Q1822" s="77" t="s">
        <v>2504</v>
      </c>
      <c r="R1822" s="77">
        <v>1</v>
      </c>
      <c r="S1822" s="77">
        <v>1</v>
      </c>
      <c r="T1822" s="77">
        <v>0</v>
      </c>
      <c r="U1822" s="77">
        <v>0</v>
      </c>
      <c r="V1822" s="77">
        <v>78</v>
      </c>
      <c r="W1822" s="82" t="s">
        <v>5766</v>
      </c>
      <c r="X1822" s="80" t="str">
        <f>HYPERLINK("https://javiermliron.blogspot.com/2023/08/sociedades-mercantiles-en-espana-junio.html")</f>
        <v>https://javiermliron.blogspot.com/2023/08/sociedades-mercantiles-en-espana-junio.html</v>
      </c>
      <c r="Y1822" s="77" t="s">
        <v>6532</v>
      </c>
      <c r="Z1822" s="77"/>
      <c r="AA1822" s="77" t="s">
        <v>7484</v>
      </c>
      <c r="AB1822" s="77" t="s">
        <v>7742</v>
      </c>
      <c r="AC1822" s="82" t="s">
        <v>7750</v>
      </c>
      <c r="AD1822" s="77" t="s">
        <v>7790</v>
      </c>
      <c r="AE1822" s="80" t="str">
        <f>HYPERLINK("https://twitter.com/jmendezliron/status/1691869580048683013")</f>
        <v>https://twitter.com/jmendezliron/status/1691869580048683013</v>
      </c>
      <c r="AF1822" s="79">
        <v>45154.742071759261</v>
      </c>
      <c r="AG1822" s="85">
        <v>45154</v>
      </c>
      <c r="AH1822" s="82" t="s">
        <v>9328</v>
      </c>
      <c r="AI1822" s="77" t="b">
        <v>0</v>
      </c>
      <c r="AJ1822" s="77"/>
      <c r="AK1822" s="77"/>
      <c r="AL1822" s="77"/>
      <c r="AM1822" s="77"/>
      <c r="AN1822" s="77"/>
      <c r="AO1822" s="77"/>
      <c r="AP1822" s="77"/>
      <c r="AQ1822" s="77" t="s">
        <v>11456</v>
      </c>
      <c r="AR1822" s="77"/>
      <c r="AS1822" s="77"/>
      <c r="AT1822" s="77"/>
      <c r="AU1822" s="77"/>
      <c r="AV1822" s="80" t="str">
        <f>HYPERLINK("https://pbs.twimg.com/media/F3q6XFTW4AAzzIV.png")</f>
        <v>https://pbs.twimg.com/media/F3q6XFTW4AAzzIV.png</v>
      </c>
      <c r="AW1822" s="82" t="s">
        <v>13418</v>
      </c>
      <c r="AX1822" s="82" t="s">
        <v>13418</v>
      </c>
      <c r="AY1822" s="77"/>
      <c r="AZ1822" s="82" t="s">
        <v>15984</v>
      </c>
      <c r="BA1822" s="82" t="s">
        <v>15984</v>
      </c>
      <c r="BB1822" s="82" t="s">
        <v>15984</v>
      </c>
      <c r="BC1822" s="82" t="s">
        <v>13418</v>
      </c>
      <c r="BD1822" s="77">
        <v>748960584</v>
      </c>
      <c r="BE1822" s="77"/>
      <c r="BF1822" s="77"/>
      <c r="BG1822" s="77"/>
      <c r="BH1822" s="77"/>
      <c r="BI1822" s="77"/>
    </row>
    <row r="1823" spans="1:61" x14ac:dyDescent="0.25">
      <c r="A1823" s="62" t="s">
        <v>697</v>
      </c>
      <c r="B1823" s="62" t="s">
        <v>697</v>
      </c>
      <c r="C1823" s="63"/>
      <c r="D1823" s="64"/>
      <c r="E1823" s="65"/>
      <c r="F1823" s="66"/>
      <c r="G1823" s="63"/>
      <c r="H1823" s="67"/>
      <c r="I1823" s="68"/>
      <c r="J1823" s="68"/>
      <c r="K1823" s="32"/>
      <c r="L1823" s="75">
        <v>1823</v>
      </c>
      <c r="M1823" s="75"/>
      <c r="N1823" s="70"/>
      <c r="O1823" s="77" t="s">
        <v>179</v>
      </c>
      <c r="P1823" s="79">
        <v>45156.27380787037</v>
      </c>
      <c r="Q1823" s="77" t="s">
        <v>2505</v>
      </c>
      <c r="R1823" s="77">
        <v>1</v>
      </c>
      <c r="S1823" s="77">
        <v>1</v>
      </c>
      <c r="T1823" s="77">
        <v>0</v>
      </c>
      <c r="U1823" s="77">
        <v>0</v>
      </c>
      <c r="V1823" s="77">
        <v>69</v>
      </c>
      <c r="W1823" s="82" t="s">
        <v>5767</v>
      </c>
      <c r="X1823" s="80" t="str">
        <f>HYPERLINK("https://javiermliron.blogspot.com/2023/08/ipc-andalucia-julio-2023.html")</f>
        <v>https://javiermliron.blogspot.com/2023/08/ipc-andalucia-julio-2023.html</v>
      </c>
      <c r="Y1823" s="77" t="s">
        <v>6532</v>
      </c>
      <c r="Z1823" s="77"/>
      <c r="AA1823" s="77" t="s">
        <v>7485</v>
      </c>
      <c r="AB1823" s="77" t="s">
        <v>7742</v>
      </c>
      <c r="AC1823" s="82" t="s">
        <v>7750</v>
      </c>
      <c r="AD1823" s="77" t="s">
        <v>7790</v>
      </c>
      <c r="AE1823" s="80" t="str">
        <f>HYPERLINK("https://twitter.com/jmendezliron/status/1692424660984406069")</f>
        <v>https://twitter.com/jmendezliron/status/1692424660984406069</v>
      </c>
      <c r="AF1823" s="79">
        <v>45156.27380787037</v>
      </c>
      <c r="AG1823" s="85">
        <v>45156</v>
      </c>
      <c r="AH1823" s="82" t="s">
        <v>9329</v>
      </c>
      <c r="AI1823" s="77" t="b">
        <v>0</v>
      </c>
      <c r="AJ1823" s="77"/>
      <c r="AK1823" s="77"/>
      <c r="AL1823" s="77"/>
      <c r="AM1823" s="77"/>
      <c r="AN1823" s="77"/>
      <c r="AO1823" s="77"/>
      <c r="AP1823" s="77"/>
      <c r="AQ1823" s="77" t="s">
        <v>11457</v>
      </c>
      <c r="AR1823" s="77"/>
      <c r="AS1823" s="77"/>
      <c r="AT1823" s="77"/>
      <c r="AU1823" s="77"/>
      <c r="AV1823" s="80" t="str">
        <f>HYPERLINK("https://pbs.twimg.com/media/F3yzQNSXkAAudra.png")</f>
        <v>https://pbs.twimg.com/media/F3yzQNSXkAAudra.png</v>
      </c>
      <c r="AW1823" s="82" t="s">
        <v>13419</v>
      </c>
      <c r="AX1823" s="82" t="s">
        <v>13419</v>
      </c>
      <c r="AY1823" s="77"/>
      <c r="AZ1823" s="82" t="s">
        <v>15984</v>
      </c>
      <c r="BA1823" s="82" t="s">
        <v>15984</v>
      </c>
      <c r="BB1823" s="82" t="s">
        <v>15984</v>
      </c>
      <c r="BC1823" s="82" t="s">
        <v>13419</v>
      </c>
      <c r="BD1823" s="77">
        <v>748960584</v>
      </c>
      <c r="BE1823" s="77"/>
      <c r="BF1823" s="77"/>
      <c r="BG1823" s="77"/>
      <c r="BH1823" s="77"/>
      <c r="BI1823" s="77"/>
    </row>
    <row r="1824" spans="1:61" x14ac:dyDescent="0.25">
      <c r="A1824" s="62" t="s">
        <v>697</v>
      </c>
      <c r="B1824" s="62" t="s">
        <v>697</v>
      </c>
      <c r="C1824" s="63"/>
      <c r="D1824" s="64"/>
      <c r="E1824" s="65"/>
      <c r="F1824" s="66"/>
      <c r="G1824" s="63"/>
      <c r="H1824" s="67"/>
      <c r="I1824" s="68"/>
      <c r="J1824" s="68"/>
      <c r="K1824" s="32"/>
      <c r="L1824" s="75">
        <v>1824</v>
      </c>
      <c r="M1824" s="75"/>
      <c r="N1824" s="70"/>
      <c r="O1824" s="77" t="s">
        <v>179</v>
      </c>
      <c r="P1824" s="79">
        <v>45156.270740740743</v>
      </c>
      <c r="Q1824" s="77" t="s">
        <v>2506</v>
      </c>
      <c r="R1824" s="77">
        <v>1</v>
      </c>
      <c r="S1824" s="77">
        <v>1</v>
      </c>
      <c r="T1824" s="77">
        <v>0</v>
      </c>
      <c r="U1824" s="77">
        <v>0</v>
      </c>
      <c r="V1824" s="77">
        <v>76</v>
      </c>
      <c r="W1824" s="82" t="s">
        <v>5768</v>
      </c>
      <c r="X1824" s="80" t="str">
        <f>HYPERLINK("https://javiermliron.blogspot.com/2023/08/sociedades-mercantiles-en-andalucia.html")</f>
        <v>https://javiermliron.blogspot.com/2023/08/sociedades-mercantiles-en-andalucia.html</v>
      </c>
      <c r="Y1824" s="77" t="s">
        <v>6532</v>
      </c>
      <c r="Z1824" s="77"/>
      <c r="AA1824" s="77" t="s">
        <v>7486</v>
      </c>
      <c r="AB1824" s="77" t="s">
        <v>7742</v>
      </c>
      <c r="AC1824" s="82" t="s">
        <v>7750</v>
      </c>
      <c r="AD1824" s="77" t="s">
        <v>7790</v>
      </c>
      <c r="AE1824" s="80" t="str">
        <f>HYPERLINK("https://twitter.com/jmendezliron/status/1692423547371639203")</f>
        <v>https://twitter.com/jmendezliron/status/1692423547371639203</v>
      </c>
      <c r="AF1824" s="79">
        <v>45156.270740740743</v>
      </c>
      <c r="AG1824" s="85">
        <v>45156</v>
      </c>
      <c r="AH1824" s="82" t="s">
        <v>9330</v>
      </c>
      <c r="AI1824" s="77" t="b">
        <v>0</v>
      </c>
      <c r="AJ1824" s="77"/>
      <c r="AK1824" s="77"/>
      <c r="AL1824" s="77"/>
      <c r="AM1824" s="77"/>
      <c r="AN1824" s="77"/>
      <c r="AO1824" s="77"/>
      <c r="AP1824" s="77"/>
      <c r="AQ1824" s="77" t="s">
        <v>11458</v>
      </c>
      <c r="AR1824" s="77"/>
      <c r="AS1824" s="77"/>
      <c r="AT1824" s="77"/>
      <c r="AU1824" s="77"/>
      <c r="AV1824" s="80" t="str">
        <f>HYPERLINK("https://pbs.twimg.com/media/F3yyPgsXIAEf53f.jpg")</f>
        <v>https://pbs.twimg.com/media/F3yyPgsXIAEf53f.jpg</v>
      </c>
      <c r="AW1824" s="82" t="s">
        <v>13420</v>
      </c>
      <c r="AX1824" s="82" t="s">
        <v>13420</v>
      </c>
      <c r="AY1824" s="77"/>
      <c r="AZ1824" s="82" t="s">
        <v>15984</v>
      </c>
      <c r="BA1824" s="82" t="s">
        <v>15984</v>
      </c>
      <c r="BB1824" s="82" t="s">
        <v>15984</v>
      </c>
      <c r="BC1824" s="82" t="s">
        <v>13420</v>
      </c>
      <c r="BD1824" s="77">
        <v>748960584</v>
      </c>
      <c r="BE1824" s="77"/>
      <c r="BF1824" s="77"/>
      <c r="BG1824" s="77"/>
      <c r="BH1824" s="77"/>
      <c r="BI1824" s="77"/>
    </row>
    <row r="1825" spans="1:61" x14ac:dyDescent="0.25">
      <c r="A1825" s="62" t="s">
        <v>697</v>
      </c>
      <c r="B1825" s="62" t="s">
        <v>697</v>
      </c>
      <c r="C1825" s="63"/>
      <c r="D1825" s="64"/>
      <c r="E1825" s="65"/>
      <c r="F1825" s="66"/>
      <c r="G1825" s="63"/>
      <c r="H1825" s="67"/>
      <c r="I1825" s="68"/>
      <c r="J1825" s="68"/>
      <c r="K1825" s="32"/>
      <c r="L1825" s="75">
        <v>1825</v>
      </c>
      <c r="M1825" s="75"/>
      <c r="N1825" s="70"/>
      <c r="O1825" s="77" t="s">
        <v>179</v>
      </c>
      <c r="P1825" s="79">
        <v>45148.229247685187</v>
      </c>
      <c r="Q1825" s="77" t="s">
        <v>2507</v>
      </c>
      <c r="R1825" s="77">
        <v>1</v>
      </c>
      <c r="S1825" s="77">
        <v>1</v>
      </c>
      <c r="T1825" s="77">
        <v>1</v>
      </c>
      <c r="U1825" s="77">
        <v>0</v>
      </c>
      <c r="V1825" s="77">
        <v>97</v>
      </c>
      <c r="W1825" s="82" t="s">
        <v>5769</v>
      </c>
      <c r="X1825" s="80" t="str">
        <f>HYPERLINK("https://javiermliron.blogspot.com/2023/08/contratos-registrados-45-en-espana.html")</f>
        <v>https://javiermliron.blogspot.com/2023/08/contratos-registrados-45-en-espana.html</v>
      </c>
      <c r="Y1825" s="77" t="s">
        <v>6532</v>
      </c>
      <c r="Z1825" s="77"/>
      <c r="AA1825" s="77" t="s">
        <v>7487</v>
      </c>
      <c r="AB1825" s="77" t="s">
        <v>7742</v>
      </c>
      <c r="AC1825" s="82" t="s">
        <v>7750</v>
      </c>
      <c r="AD1825" s="77" t="s">
        <v>7790</v>
      </c>
      <c r="AE1825" s="80" t="str">
        <f>HYPERLINK("https://twitter.com/jmendezliron/status/1689509410127691776")</f>
        <v>https://twitter.com/jmendezliron/status/1689509410127691776</v>
      </c>
      <c r="AF1825" s="79">
        <v>45148.229247685187</v>
      </c>
      <c r="AG1825" s="85">
        <v>45148</v>
      </c>
      <c r="AH1825" s="82" t="s">
        <v>9331</v>
      </c>
      <c r="AI1825" s="77" t="b">
        <v>0</v>
      </c>
      <c r="AJ1825" s="77"/>
      <c r="AK1825" s="77"/>
      <c r="AL1825" s="77"/>
      <c r="AM1825" s="77"/>
      <c r="AN1825" s="77"/>
      <c r="AO1825" s="77"/>
      <c r="AP1825" s="77"/>
      <c r="AQ1825" s="77" t="s">
        <v>11459</v>
      </c>
      <c r="AR1825" s="77"/>
      <c r="AS1825" s="77"/>
      <c r="AT1825" s="77"/>
      <c r="AU1825" s="77"/>
      <c r="AV1825" s="80" t="str">
        <f>HYPERLINK("https://pbs.twimg.com/media/F3JX2chWwAAlz2h.png")</f>
        <v>https://pbs.twimg.com/media/F3JX2chWwAAlz2h.png</v>
      </c>
      <c r="AW1825" s="82" t="s">
        <v>13421</v>
      </c>
      <c r="AX1825" s="82" t="s">
        <v>13421</v>
      </c>
      <c r="AY1825" s="77"/>
      <c r="AZ1825" s="82" t="s">
        <v>15984</v>
      </c>
      <c r="BA1825" s="82" t="s">
        <v>15984</v>
      </c>
      <c r="BB1825" s="82" t="s">
        <v>15984</v>
      </c>
      <c r="BC1825" s="82" t="s">
        <v>13421</v>
      </c>
      <c r="BD1825" s="77">
        <v>748960584</v>
      </c>
      <c r="BE1825" s="77"/>
      <c r="BF1825" s="77"/>
      <c r="BG1825" s="77"/>
      <c r="BH1825" s="77"/>
      <c r="BI1825" s="77"/>
    </row>
    <row r="1826" spans="1:61" x14ac:dyDescent="0.25">
      <c r="A1826" s="62" t="s">
        <v>697</v>
      </c>
      <c r="B1826" s="62" t="s">
        <v>697</v>
      </c>
      <c r="C1826" s="63"/>
      <c r="D1826" s="64"/>
      <c r="E1826" s="65"/>
      <c r="F1826" s="66"/>
      <c r="G1826" s="63"/>
      <c r="H1826" s="67"/>
      <c r="I1826" s="68"/>
      <c r="J1826" s="68"/>
      <c r="K1826" s="32"/>
      <c r="L1826" s="75">
        <v>1826</v>
      </c>
      <c r="M1826" s="75"/>
      <c r="N1826" s="70"/>
      <c r="O1826" s="77" t="s">
        <v>179</v>
      </c>
      <c r="P1826" s="79">
        <v>45148.22556712963</v>
      </c>
      <c r="Q1826" s="77" t="s">
        <v>2508</v>
      </c>
      <c r="R1826" s="77">
        <v>1</v>
      </c>
      <c r="S1826" s="77">
        <v>1</v>
      </c>
      <c r="T1826" s="77">
        <v>0</v>
      </c>
      <c r="U1826" s="77">
        <v>0</v>
      </c>
      <c r="V1826" s="77">
        <v>78</v>
      </c>
      <c r="W1826" s="82" t="s">
        <v>5770</v>
      </c>
      <c r="X1826" s="80" t="str">
        <f>HYPERLINK("https://javiermliron.blogspot.com/2023/08/indice-de-produccion-industrial_01593380712.html")</f>
        <v>https://javiermliron.blogspot.com/2023/08/indice-de-produccion-industrial_01593380712.html</v>
      </c>
      <c r="Y1826" s="77" t="s">
        <v>6532</v>
      </c>
      <c r="Z1826" s="77"/>
      <c r="AA1826" s="77" t="s">
        <v>7488</v>
      </c>
      <c r="AB1826" s="77" t="s">
        <v>7742</v>
      </c>
      <c r="AC1826" s="82" t="s">
        <v>7750</v>
      </c>
      <c r="AD1826" s="77" t="s">
        <v>7790</v>
      </c>
      <c r="AE1826" s="80" t="str">
        <f>HYPERLINK("https://twitter.com/jmendezliron/status/1689508075391111170")</f>
        <v>https://twitter.com/jmendezliron/status/1689508075391111170</v>
      </c>
      <c r="AF1826" s="79">
        <v>45148.22556712963</v>
      </c>
      <c r="AG1826" s="85">
        <v>45148</v>
      </c>
      <c r="AH1826" s="82" t="s">
        <v>9332</v>
      </c>
      <c r="AI1826" s="77" t="b">
        <v>0</v>
      </c>
      <c r="AJ1826" s="77"/>
      <c r="AK1826" s="77"/>
      <c r="AL1826" s="77"/>
      <c r="AM1826" s="77"/>
      <c r="AN1826" s="77"/>
      <c r="AO1826" s="77"/>
      <c r="AP1826" s="77"/>
      <c r="AQ1826" s="77" t="s">
        <v>11460</v>
      </c>
      <c r="AR1826" s="77"/>
      <c r="AS1826" s="77"/>
      <c r="AT1826" s="77"/>
      <c r="AU1826" s="77"/>
      <c r="AV1826" s="80" t="str">
        <f>HYPERLINK("https://pbs.twimg.com/media/F3JWouLWsAAzZUD.png")</f>
        <v>https://pbs.twimg.com/media/F3JWouLWsAAzZUD.png</v>
      </c>
      <c r="AW1826" s="82" t="s">
        <v>13422</v>
      </c>
      <c r="AX1826" s="82" t="s">
        <v>13422</v>
      </c>
      <c r="AY1826" s="77"/>
      <c r="AZ1826" s="82" t="s">
        <v>15984</v>
      </c>
      <c r="BA1826" s="82" t="s">
        <v>15984</v>
      </c>
      <c r="BB1826" s="82" t="s">
        <v>15984</v>
      </c>
      <c r="BC1826" s="82" t="s">
        <v>13422</v>
      </c>
      <c r="BD1826" s="77">
        <v>748960584</v>
      </c>
      <c r="BE1826" s="77"/>
      <c r="BF1826" s="77"/>
      <c r="BG1826" s="77"/>
      <c r="BH1826" s="77"/>
      <c r="BI1826" s="77"/>
    </row>
    <row r="1827" spans="1:61" x14ac:dyDescent="0.25">
      <c r="A1827" s="62" t="s">
        <v>697</v>
      </c>
      <c r="B1827" s="62" t="s">
        <v>697</v>
      </c>
      <c r="C1827" s="63"/>
      <c r="D1827" s="64"/>
      <c r="E1827" s="65"/>
      <c r="F1827" s="66"/>
      <c r="G1827" s="63"/>
      <c r="H1827" s="67"/>
      <c r="I1827" s="68"/>
      <c r="J1827" s="68"/>
      <c r="K1827" s="32"/>
      <c r="L1827" s="75">
        <v>1827</v>
      </c>
      <c r="M1827" s="75"/>
      <c r="N1827" s="70"/>
      <c r="O1827" s="77" t="s">
        <v>179</v>
      </c>
      <c r="P1827" s="79">
        <v>45131.438750000001</v>
      </c>
      <c r="Q1827" s="77" t="s">
        <v>2509</v>
      </c>
      <c r="R1827" s="77">
        <v>1</v>
      </c>
      <c r="S1827" s="77">
        <v>1</v>
      </c>
      <c r="T1827" s="77">
        <v>0</v>
      </c>
      <c r="U1827" s="77">
        <v>0</v>
      </c>
      <c r="V1827" s="77">
        <v>88</v>
      </c>
      <c r="W1827" s="82" t="s">
        <v>5771</v>
      </c>
      <c r="X1827" s="80" t="str">
        <f>HYPERLINK("https://javiermliron.blogspot.com/2023/07/exportaciones-de-castilla-y-leon-de.html")</f>
        <v>https://javiermliron.blogspot.com/2023/07/exportaciones-de-castilla-y-leon-de.html</v>
      </c>
      <c r="Y1827" s="77" t="s">
        <v>6532</v>
      </c>
      <c r="Z1827" s="77"/>
      <c r="AA1827" s="77" t="s">
        <v>7489</v>
      </c>
      <c r="AB1827" s="77" t="s">
        <v>7742</v>
      </c>
      <c r="AC1827" s="82" t="s">
        <v>7750</v>
      </c>
      <c r="AD1827" s="77" t="s">
        <v>7790</v>
      </c>
      <c r="AE1827" s="80" t="str">
        <f>HYPERLINK("https://twitter.com/jmendezliron/status/1683424738373165059")</f>
        <v>https://twitter.com/jmendezliron/status/1683424738373165059</v>
      </c>
      <c r="AF1827" s="79">
        <v>45131.438750000001</v>
      </c>
      <c r="AG1827" s="85">
        <v>45131</v>
      </c>
      <c r="AH1827" s="82" t="s">
        <v>9333</v>
      </c>
      <c r="AI1827" s="77" t="b">
        <v>0</v>
      </c>
      <c r="AJ1827" s="77"/>
      <c r="AK1827" s="77"/>
      <c r="AL1827" s="77"/>
      <c r="AM1827" s="77"/>
      <c r="AN1827" s="77"/>
      <c r="AO1827" s="77"/>
      <c r="AP1827" s="77"/>
      <c r="AQ1827" s="77" t="s">
        <v>11461</v>
      </c>
      <c r="AR1827" s="77"/>
      <c r="AS1827" s="77"/>
      <c r="AT1827" s="77"/>
      <c r="AU1827" s="77"/>
      <c r="AV1827" s="80" t="str">
        <f>HYPERLINK("https://pbs.twimg.com/media/F1y51PPXwAIgRxl.jpg")</f>
        <v>https://pbs.twimg.com/media/F1y51PPXwAIgRxl.jpg</v>
      </c>
      <c r="AW1827" s="82" t="s">
        <v>13423</v>
      </c>
      <c r="AX1827" s="82" t="s">
        <v>13423</v>
      </c>
      <c r="AY1827" s="77"/>
      <c r="AZ1827" s="82" t="s">
        <v>15984</v>
      </c>
      <c r="BA1827" s="82" t="s">
        <v>15984</v>
      </c>
      <c r="BB1827" s="82" t="s">
        <v>15984</v>
      </c>
      <c r="BC1827" s="82" t="s">
        <v>13423</v>
      </c>
      <c r="BD1827" s="77">
        <v>748960584</v>
      </c>
      <c r="BE1827" s="77"/>
      <c r="BF1827" s="77"/>
      <c r="BG1827" s="77"/>
      <c r="BH1827" s="77"/>
      <c r="BI1827" s="77"/>
    </row>
    <row r="1828" spans="1:61" x14ac:dyDescent="0.25">
      <c r="A1828" s="62" t="s">
        <v>697</v>
      </c>
      <c r="B1828" s="62" t="s">
        <v>697</v>
      </c>
      <c r="C1828" s="63"/>
      <c r="D1828" s="64"/>
      <c r="E1828" s="65"/>
      <c r="F1828" s="66"/>
      <c r="G1828" s="63"/>
      <c r="H1828" s="67"/>
      <c r="I1828" s="68"/>
      <c r="J1828" s="68"/>
      <c r="K1828" s="32"/>
      <c r="L1828" s="75">
        <v>1828</v>
      </c>
      <c r="M1828" s="75"/>
      <c r="N1828" s="70"/>
      <c r="O1828" s="77" t="s">
        <v>179</v>
      </c>
      <c r="P1828" s="79">
        <v>45120.740636574075</v>
      </c>
      <c r="Q1828" s="77" t="s">
        <v>2510</v>
      </c>
      <c r="R1828" s="77">
        <v>1</v>
      </c>
      <c r="S1828" s="77">
        <v>1</v>
      </c>
      <c r="T1828" s="77">
        <v>0</v>
      </c>
      <c r="U1828" s="77">
        <v>0</v>
      </c>
      <c r="V1828" s="77">
        <v>95</v>
      </c>
      <c r="W1828" s="82" t="s">
        <v>5772</v>
      </c>
      <c r="X1828" s="80" t="str">
        <f>HYPERLINK("https://javiermliron.blogspot.com/2023/07/indice-de-produccion-industrial-madrid.html")</f>
        <v>https://javiermliron.blogspot.com/2023/07/indice-de-produccion-industrial-madrid.html</v>
      </c>
      <c r="Y1828" s="77" t="s">
        <v>6532</v>
      </c>
      <c r="Z1828" s="77"/>
      <c r="AA1828" s="77" t="s">
        <v>7490</v>
      </c>
      <c r="AB1828" s="77" t="s">
        <v>7742</v>
      </c>
      <c r="AC1828" s="82" t="s">
        <v>7750</v>
      </c>
      <c r="AD1828" s="77" t="s">
        <v>7790</v>
      </c>
      <c r="AE1828" s="80" t="str">
        <f>HYPERLINK("https://twitter.com/jmendezliron/status/1679547870834204676")</f>
        <v>https://twitter.com/jmendezliron/status/1679547870834204676</v>
      </c>
      <c r="AF1828" s="79">
        <v>45120.740636574075</v>
      </c>
      <c r="AG1828" s="85">
        <v>45120</v>
      </c>
      <c r="AH1828" s="82" t="s">
        <v>9334</v>
      </c>
      <c r="AI1828" s="77" t="b">
        <v>0</v>
      </c>
      <c r="AJ1828" s="77"/>
      <c r="AK1828" s="77"/>
      <c r="AL1828" s="77"/>
      <c r="AM1828" s="77"/>
      <c r="AN1828" s="77"/>
      <c r="AO1828" s="77"/>
      <c r="AP1828" s="77"/>
      <c r="AQ1828" s="77" t="s">
        <v>11462</v>
      </c>
      <c r="AR1828" s="77"/>
      <c r="AS1828" s="77"/>
      <c r="AT1828" s="77"/>
      <c r="AU1828" s="77"/>
      <c r="AV1828" s="80" t="str">
        <f>HYPERLINK("https://pbs.twimg.com/media/F07z4rfWIA4iePb.png")</f>
        <v>https://pbs.twimg.com/media/F07z4rfWIA4iePb.png</v>
      </c>
      <c r="AW1828" s="82" t="s">
        <v>13424</v>
      </c>
      <c r="AX1828" s="82" t="s">
        <v>13424</v>
      </c>
      <c r="AY1828" s="77"/>
      <c r="AZ1828" s="82" t="s">
        <v>15984</v>
      </c>
      <c r="BA1828" s="82" t="s">
        <v>15984</v>
      </c>
      <c r="BB1828" s="82" t="s">
        <v>15984</v>
      </c>
      <c r="BC1828" s="82" t="s">
        <v>13424</v>
      </c>
      <c r="BD1828" s="77">
        <v>748960584</v>
      </c>
      <c r="BE1828" s="77"/>
      <c r="BF1828" s="77"/>
      <c r="BG1828" s="77"/>
      <c r="BH1828" s="77"/>
      <c r="BI1828" s="77"/>
    </row>
    <row r="1829" spans="1:61" x14ac:dyDescent="0.25">
      <c r="A1829" s="62" t="s">
        <v>697</v>
      </c>
      <c r="B1829" s="62" t="s">
        <v>697</v>
      </c>
      <c r="C1829" s="63"/>
      <c r="D1829" s="64"/>
      <c r="E1829" s="65"/>
      <c r="F1829" s="66"/>
      <c r="G1829" s="63"/>
      <c r="H1829" s="67"/>
      <c r="I1829" s="68"/>
      <c r="J1829" s="68"/>
      <c r="K1829" s="32"/>
      <c r="L1829" s="75">
        <v>1829</v>
      </c>
      <c r="M1829" s="75"/>
      <c r="N1829" s="70"/>
      <c r="O1829" s="77" t="s">
        <v>179</v>
      </c>
      <c r="P1829" s="79">
        <v>45155.734652777777</v>
      </c>
      <c r="Q1829" s="77" t="s">
        <v>2511</v>
      </c>
      <c r="R1829" s="77">
        <v>1</v>
      </c>
      <c r="S1829" s="77">
        <v>1</v>
      </c>
      <c r="T1829" s="77">
        <v>1</v>
      </c>
      <c r="U1829" s="77">
        <v>0</v>
      </c>
      <c r="V1829" s="77">
        <v>71</v>
      </c>
      <c r="W1829" s="82" t="s">
        <v>5773</v>
      </c>
      <c r="X1829" s="80" t="str">
        <f>HYPERLINK("https://javiermliron.blogspot.com/2023/08/ipc-castilla-y-leon-julio-2023.html")</f>
        <v>https://javiermliron.blogspot.com/2023/08/ipc-castilla-y-leon-julio-2023.html</v>
      </c>
      <c r="Y1829" s="77" t="s">
        <v>6532</v>
      </c>
      <c r="Z1829" s="77"/>
      <c r="AA1829" s="77" t="s">
        <v>7491</v>
      </c>
      <c r="AB1829" s="77" t="s">
        <v>7742</v>
      </c>
      <c r="AC1829" s="82" t="s">
        <v>7750</v>
      </c>
      <c r="AD1829" s="77" t="s">
        <v>7790</v>
      </c>
      <c r="AE1829" s="80" t="str">
        <f>HYPERLINK("https://twitter.com/jmendezliron/status/1692229278597829061")</f>
        <v>https://twitter.com/jmendezliron/status/1692229278597829061</v>
      </c>
      <c r="AF1829" s="79">
        <v>45155.734652777777</v>
      </c>
      <c r="AG1829" s="85">
        <v>45155</v>
      </c>
      <c r="AH1829" s="82" t="s">
        <v>9335</v>
      </c>
      <c r="AI1829" s="77" t="b">
        <v>0</v>
      </c>
      <c r="AJ1829" s="77"/>
      <c r="AK1829" s="77"/>
      <c r="AL1829" s="77"/>
      <c r="AM1829" s="77"/>
      <c r="AN1829" s="77"/>
      <c r="AO1829" s="77"/>
      <c r="AP1829" s="77"/>
      <c r="AQ1829" s="77" t="s">
        <v>11463</v>
      </c>
      <c r="AR1829" s="77"/>
      <c r="AS1829" s="77"/>
      <c r="AT1829" s="77"/>
      <c r="AU1829" s="77"/>
      <c r="AV1829" s="80" t="str">
        <f>HYPERLINK("https://pbs.twimg.com/media/F3wBiE-WAAAFrU6.png")</f>
        <v>https://pbs.twimg.com/media/F3wBiE-WAAAFrU6.png</v>
      </c>
      <c r="AW1829" s="82" t="s">
        <v>13425</v>
      </c>
      <c r="AX1829" s="82" t="s">
        <v>13425</v>
      </c>
      <c r="AY1829" s="77"/>
      <c r="AZ1829" s="82" t="s">
        <v>15984</v>
      </c>
      <c r="BA1829" s="82" t="s">
        <v>15984</v>
      </c>
      <c r="BB1829" s="82" t="s">
        <v>15984</v>
      </c>
      <c r="BC1829" s="82" t="s">
        <v>13425</v>
      </c>
      <c r="BD1829" s="77">
        <v>748960584</v>
      </c>
      <c r="BE1829" s="77"/>
      <c r="BF1829" s="77"/>
      <c r="BG1829" s="77"/>
      <c r="BH1829" s="77"/>
      <c r="BI1829" s="77"/>
    </row>
    <row r="1830" spans="1:61" x14ac:dyDescent="0.25">
      <c r="A1830" s="62" t="s">
        <v>697</v>
      </c>
      <c r="B1830" s="62" t="s">
        <v>697</v>
      </c>
      <c r="C1830" s="63"/>
      <c r="D1830" s="64"/>
      <c r="E1830" s="65"/>
      <c r="F1830" s="66"/>
      <c r="G1830" s="63"/>
      <c r="H1830" s="67"/>
      <c r="I1830" s="68"/>
      <c r="J1830" s="68"/>
      <c r="K1830" s="32"/>
      <c r="L1830" s="75">
        <v>1830</v>
      </c>
      <c r="M1830" s="75"/>
      <c r="N1830" s="70"/>
      <c r="O1830" s="77" t="s">
        <v>898</v>
      </c>
      <c r="P1830" s="79">
        <v>45155.728842592594</v>
      </c>
      <c r="Q1830" s="77" t="s">
        <v>2512</v>
      </c>
      <c r="R1830" s="77">
        <v>1</v>
      </c>
      <c r="S1830" s="77">
        <v>1</v>
      </c>
      <c r="T1830" s="77">
        <v>0</v>
      </c>
      <c r="U1830" s="77">
        <v>0</v>
      </c>
      <c r="V1830" s="77">
        <v>70</v>
      </c>
      <c r="W1830" s="82" t="s">
        <v>5774</v>
      </c>
      <c r="X1830" s="80" t="str">
        <f>HYPERLINK("https://javiermliron.blogspot.com/2023/08/sociedades-mercantiles-en-castilla-y.html")</f>
        <v>https://javiermliron.blogspot.com/2023/08/sociedades-mercantiles-en-castilla-y.html</v>
      </c>
      <c r="Y1830" s="77" t="s">
        <v>6532</v>
      </c>
      <c r="Z1830" s="77"/>
      <c r="AA1830" s="77"/>
      <c r="AB1830" s="77"/>
      <c r="AC1830" s="82" t="s">
        <v>7750</v>
      </c>
      <c r="AD1830" s="77" t="s">
        <v>7790</v>
      </c>
      <c r="AE1830" s="80" t="str">
        <f>HYPERLINK("https://twitter.com/jmendezliron/status/1692227173942243654")</f>
        <v>https://twitter.com/jmendezliron/status/1692227173942243654</v>
      </c>
      <c r="AF1830" s="79">
        <v>45155.728842592594</v>
      </c>
      <c r="AG1830" s="85">
        <v>45155</v>
      </c>
      <c r="AH1830" s="82" t="s">
        <v>9336</v>
      </c>
      <c r="AI1830" s="77" t="b">
        <v>0</v>
      </c>
      <c r="AJ1830" s="77"/>
      <c r="AK1830" s="77"/>
      <c r="AL1830" s="77"/>
      <c r="AM1830" s="77"/>
      <c r="AN1830" s="77"/>
      <c r="AO1830" s="77"/>
      <c r="AP1830" s="77"/>
      <c r="AQ1830" s="77"/>
      <c r="AR1830" s="77"/>
      <c r="AS1830" s="77"/>
      <c r="AT1830" s="77"/>
      <c r="AU1830" s="77"/>
      <c r="AV1830" s="80" t="str">
        <f>HYPERLINK("https://pbs.twimg.com/profile_images/612292231358246912/gMKxM5xX_normal.jpg")</f>
        <v>https://pbs.twimg.com/profile_images/612292231358246912/gMKxM5xX_normal.jpg</v>
      </c>
      <c r="AW1830" s="82" t="s">
        <v>13426</v>
      </c>
      <c r="AX1830" s="82" t="s">
        <v>15886</v>
      </c>
      <c r="AY1830" s="82" t="s">
        <v>15975</v>
      </c>
      <c r="AZ1830" s="82" t="s">
        <v>15886</v>
      </c>
      <c r="BA1830" s="82" t="s">
        <v>15984</v>
      </c>
      <c r="BB1830" s="82" t="s">
        <v>15984</v>
      </c>
      <c r="BC1830" s="82" t="s">
        <v>15886</v>
      </c>
      <c r="BD1830" s="77">
        <v>748960584</v>
      </c>
      <c r="BE1830" s="77"/>
      <c r="BF1830" s="77"/>
      <c r="BG1830" s="77"/>
      <c r="BH1830" s="77"/>
      <c r="BI1830" s="77"/>
    </row>
    <row r="1831" spans="1:61" x14ac:dyDescent="0.25">
      <c r="A1831" s="62" t="s">
        <v>697</v>
      </c>
      <c r="B1831" s="62" t="s">
        <v>697</v>
      </c>
      <c r="C1831" s="63"/>
      <c r="D1831" s="64"/>
      <c r="E1831" s="65"/>
      <c r="F1831" s="66"/>
      <c r="G1831" s="63"/>
      <c r="H1831" s="67"/>
      <c r="I1831" s="68"/>
      <c r="J1831" s="68"/>
      <c r="K1831" s="32"/>
      <c r="L1831" s="75">
        <v>1831</v>
      </c>
      <c r="M1831" s="75"/>
      <c r="N1831" s="70"/>
      <c r="O1831" s="77" t="s">
        <v>179</v>
      </c>
      <c r="P1831" s="79">
        <v>45125.749050925922</v>
      </c>
      <c r="Q1831" s="77" t="s">
        <v>2513</v>
      </c>
      <c r="R1831" s="77">
        <v>2</v>
      </c>
      <c r="S1831" s="77">
        <v>1</v>
      </c>
      <c r="T1831" s="77">
        <v>0</v>
      </c>
      <c r="U1831" s="77">
        <v>0</v>
      </c>
      <c r="V1831" s="77">
        <v>138</v>
      </c>
      <c r="W1831" s="82" t="s">
        <v>5775</v>
      </c>
      <c r="X1831" s="80" t="str">
        <f>HYPERLINK("https://javiermliron.blogspot.com/2023/07/contratos-registrados-45-en-espana.html")</f>
        <v>https://javiermliron.blogspot.com/2023/07/contratos-registrados-45-en-espana.html</v>
      </c>
      <c r="Y1831" s="77" t="s">
        <v>6532</v>
      </c>
      <c r="Z1831" s="77"/>
      <c r="AA1831" s="77" t="s">
        <v>7492</v>
      </c>
      <c r="AB1831" s="77" t="s">
        <v>7742</v>
      </c>
      <c r="AC1831" s="82" t="s">
        <v>7750</v>
      </c>
      <c r="AD1831" s="77" t="s">
        <v>7790</v>
      </c>
      <c r="AE1831" s="80" t="str">
        <f>HYPERLINK("https://twitter.com/jmendezliron/status/1681362859807178752")</f>
        <v>https://twitter.com/jmendezliron/status/1681362859807178752</v>
      </c>
      <c r="AF1831" s="79">
        <v>45125.749050925922</v>
      </c>
      <c r="AG1831" s="85">
        <v>45125</v>
      </c>
      <c r="AH1831" s="82" t="s">
        <v>9337</v>
      </c>
      <c r="AI1831" s="77" t="b">
        <v>0</v>
      </c>
      <c r="AJ1831" s="77"/>
      <c r="AK1831" s="77"/>
      <c r="AL1831" s="77"/>
      <c r="AM1831" s="77"/>
      <c r="AN1831" s="77"/>
      <c r="AO1831" s="77"/>
      <c r="AP1831" s="77"/>
      <c r="AQ1831" s="77" t="s">
        <v>11464</v>
      </c>
      <c r="AR1831" s="77"/>
      <c r="AS1831" s="77"/>
      <c r="AT1831" s="77"/>
      <c r="AU1831" s="77"/>
      <c r="AV1831" s="80" t="str">
        <f>HYPERLINK("https://pbs.twimg.com/media/F1VmkbpWcAAfUgg.png")</f>
        <v>https://pbs.twimg.com/media/F1VmkbpWcAAfUgg.png</v>
      </c>
      <c r="AW1831" s="82" t="s">
        <v>13427</v>
      </c>
      <c r="AX1831" s="82" t="s">
        <v>13427</v>
      </c>
      <c r="AY1831" s="77"/>
      <c r="AZ1831" s="82" t="s">
        <v>15984</v>
      </c>
      <c r="BA1831" s="82" t="s">
        <v>15984</v>
      </c>
      <c r="BB1831" s="82" t="s">
        <v>15984</v>
      </c>
      <c r="BC1831" s="82" t="s">
        <v>13427</v>
      </c>
      <c r="BD1831" s="77">
        <v>748960584</v>
      </c>
      <c r="BE1831" s="77"/>
      <c r="BF1831" s="77"/>
      <c r="BG1831" s="77"/>
      <c r="BH1831" s="77"/>
      <c r="BI1831" s="77"/>
    </row>
    <row r="1832" spans="1:61" x14ac:dyDescent="0.25">
      <c r="A1832" s="62" t="s">
        <v>697</v>
      </c>
      <c r="B1832" s="62" t="s">
        <v>697</v>
      </c>
      <c r="C1832" s="63"/>
      <c r="D1832" s="64"/>
      <c r="E1832" s="65"/>
      <c r="F1832" s="66"/>
      <c r="G1832" s="63"/>
      <c r="H1832" s="67"/>
      <c r="I1832" s="68"/>
      <c r="J1832" s="68"/>
      <c r="K1832" s="32"/>
      <c r="L1832" s="75">
        <v>1832</v>
      </c>
      <c r="M1832" s="75"/>
      <c r="N1832" s="70"/>
      <c r="O1832" s="77" t="s">
        <v>898</v>
      </c>
      <c r="P1832" s="79">
        <v>45125.744988425926</v>
      </c>
      <c r="Q1832" s="77" t="s">
        <v>2514</v>
      </c>
      <c r="R1832" s="77">
        <v>1</v>
      </c>
      <c r="S1832" s="77">
        <v>1</v>
      </c>
      <c r="T1832" s="77">
        <v>0</v>
      </c>
      <c r="U1832" s="77">
        <v>0</v>
      </c>
      <c r="V1832" s="77">
        <v>86</v>
      </c>
      <c r="W1832" s="82" t="s">
        <v>5776</v>
      </c>
      <c r="X1832" s="80" t="str">
        <f>HYPERLINK("https://javiermliron.blogspot.com/2023/07/ipc-andalucia-junio-2023.html")</f>
        <v>https://javiermliron.blogspot.com/2023/07/ipc-andalucia-junio-2023.html</v>
      </c>
      <c r="Y1832" s="77" t="s">
        <v>6532</v>
      </c>
      <c r="Z1832" s="77"/>
      <c r="AA1832" s="77"/>
      <c r="AB1832" s="77"/>
      <c r="AC1832" s="82" t="s">
        <v>7750</v>
      </c>
      <c r="AD1832" s="77" t="s">
        <v>7790</v>
      </c>
      <c r="AE1832" s="80" t="str">
        <f>HYPERLINK("https://twitter.com/jmendezliron/status/1681361385408679937")</f>
        <v>https://twitter.com/jmendezliron/status/1681361385408679937</v>
      </c>
      <c r="AF1832" s="79">
        <v>45125.744988425926</v>
      </c>
      <c r="AG1832" s="85">
        <v>45125</v>
      </c>
      <c r="AH1832" s="82" t="s">
        <v>9338</v>
      </c>
      <c r="AI1832" s="77" t="b">
        <v>0</v>
      </c>
      <c r="AJ1832" s="77"/>
      <c r="AK1832" s="77"/>
      <c r="AL1832" s="77"/>
      <c r="AM1832" s="77"/>
      <c r="AN1832" s="77"/>
      <c r="AO1832" s="77"/>
      <c r="AP1832" s="77"/>
      <c r="AQ1832" s="77"/>
      <c r="AR1832" s="77"/>
      <c r="AS1832" s="77"/>
      <c r="AT1832" s="77"/>
      <c r="AU1832" s="77"/>
      <c r="AV1832" s="80" t="str">
        <f>HYPERLINK("https://pbs.twimg.com/profile_images/612292231358246912/gMKxM5xX_normal.jpg")</f>
        <v>https://pbs.twimg.com/profile_images/612292231358246912/gMKxM5xX_normal.jpg</v>
      </c>
      <c r="AW1832" s="82" t="s">
        <v>13428</v>
      </c>
      <c r="AX1832" s="82" t="s">
        <v>13429</v>
      </c>
      <c r="AY1832" s="82" t="s">
        <v>15975</v>
      </c>
      <c r="AZ1832" s="82" t="s">
        <v>13429</v>
      </c>
      <c r="BA1832" s="82" t="s">
        <v>15984</v>
      </c>
      <c r="BB1832" s="82" t="s">
        <v>15984</v>
      </c>
      <c r="BC1832" s="82" t="s">
        <v>13429</v>
      </c>
      <c r="BD1832" s="77">
        <v>748960584</v>
      </c>
      <c r="BE1832" s="77"/>
      <c r="BF1832" s="77"/>
      <c r="BG1832" s="77"/>
      <c r="BH1832" s="77"/>
      <c r="BI1832" s="77"/>
    </row>
    <row r="1833" spans="1:61" x14ac:dyDescent="0.25">
      <c r="A1833" s="62" t="s">
        <v>697</v>
      </c>
      <c r="B1833" s="62" t="s">
        <v>697</v>
      </c>
      <c r="C1833" s="63"/>
      <c r="D1833" s="64"/>
      <c r="E1833" s="65"/>
      <c r="F1833" s="66"/>
      <c r="G1833" s="63"/>
      <c r="H1833" s="67"/>
      <c r="I1833" s="68"/>
      <c r="J1833" s="68"/>
      <c r="K1833" s="32"/>
      <c r="L1833" s="75">
        <v>1833</v>
      </c>
      <c r="M1833" s="75"/>
      <c r="N1833" s="70"/>
      <c r="O1833" s="77" t="s">
        <v>179</v>
      </c>
      <c r="P1833" s="79">
        <v>45125.744976851849</v>
      </c>
      <c r="Q1833" s="77" t="s">
        <v>2515</v>
      </c>
      <c r="R1833" s="77">
        <v>1</v>
      </c>
      <c r="S1833" s="77">
        <v>1</v>
      </c>
      <c r="T1833" s="77">
        <v>1</v>
      </c>
      <c r="U1833" s="77">
        <v>0</v>
      </c>
      <c r="V1833" s="77">
        <v>115</v>
      </c>
      <c r="W1833" s="82" t="s">
        <v>5777</v>
      </c>
      <c r="X1833" s="80" t="str">
        <f>HYPERLINK("https://javiermliron.blogspot.com/2023/07/ipc-andalucia-junio-2023.html")</f>
        <v>https://javiermliron.blogspot.com/2023/07/ipc-andalucia-junio-2023.html</v>
      </c>
      <c r="Y1833" s="77" t="s">
        <v>6532</v>
      </c>
      <c r="Z1833" s="77"/>
      <c r="AA1833" s="77" t="s">
        <v>7493</v>
      </c>
      <c r="AB1833" s="77" t="s">
        <v>7742</v>
      </c>
      <c r="AC1833" s="82" t="s">
        <v>7750</v>
      </c>
      <c r="AD1833" s="77" t="s">
        <v>7790</v>
      </c>
      <c r="AE1833" s="80" t="str">
        <f>HYPERLINK("https://twitter.com/jmendezliron/status/1681361383072333830")</f>
        <v>https://twitter.com/jmendezliron/status/1681361383072333830</v>
      </c>
      <c r="AF1833" s="79">
        <v>45125.744976851849</v>
      </c>
      <c r="AG1833" s="85">
        <v>45125</v>
      </c>
      <c r="AH1833" s="82" t="s">
        <v>9339</v>
      </c>
      <c r="AI1833" s="77" t="b">
        <v>0</v>
      </c>
      <c r="AJ1833" s="77"/>
      <c r="AK1833" s="77"/>
      <c r="AL1833" s="77"/>
      <c r="AM1833" s="77"/>
      <c r="AN1833" s="77"/>
      <c r="AO1833" s="77"/>
      <c r="AP1833" s="77"/>
      <c r="AQ1833" s="77" t="s">
        <v>11465</v>
      </c>
      <c r="AR1833" s="77"/>
      <c r="AS1833" s="77"/>
      <c r="AT1833" s="77"/>
      <c r="AU1833" s="77"/>
      <c r="AV1833" s="80" t="str">
        <f>HYPERLINK("https://pbs.twimg.com/media/F1VlQpsXgAEC4Pq.png")</f>
        <v>https://pbs.twimg.com/media/F1VlQpsXgAEC4Pq.png</v>
      </c>
      <c r="AW1833" s="82" t="s">
        <v>13429</v>
      </c>
      <c r="AX1833" s="82" t="s">
        <v>13429</v>
      </c>
      <c r="AY1833" s="77"/>
      <c r="AZ1833" s="82" t="s">
        <v>15984</v>
      </c>
      <c r="BA1833" s="82" t="s">
        <v>15984</v>
      </c>
      <c r="BB1833" s="82" t="s">
        <v>15984</v>
      </c>
      <c r="BC1833" s="82" t="s">
        <v>13429</v>
      </c>
      <c r="BD1833" s="77">
        <v>748960584</v>
      </c>
      <c r="BE1833" s="77"/>
      <c r="BF1833" s="77"/>
      <c r="BG1833" s="77"/>
      <c r="BH1833" s="77"/>
      <c r="BI1833" s="77"/>
    </row>
    <row r="1834" spans="1:61" x14ac:dyDescent="0.25">
      <c r="A1834" s="62" t="s">
        <v>697</v>
      </c>
      <c r="B1834" s="62" t="s">
        <v>697</v>
      </c>
      <c r="C1834" s="63"/>
      <c r="D1834" s="64"/>
      <c r="E1834" s="65"/>
      <c r="F1834" s="66"/>
      <c r="G1834" s="63"/>
      <c r="H1834" s="67"/>
      <c r="I1834" s="68"/>
      <c r="J1834" s="68"/>
      <c r="K1834" s="32"/>
      <c r="L1834" s="75">
        <v>1834</v>
      </c>
      <c r="M1834" s="75"/>
      <c r="N1834" s="70"/>
      <c r="O1834" s="77" t="s">
        <v>179</v>
      </c>
      <c r="P1834" s="79">
        <v>45117.745092592595</v>
      </c>
      <c r="Q1834" s="77" t="s">
        <v>2516</v>
      </c>
      <c r="R1834" s="77">
        <v>1</v>
      </c>
      <c r="S1834" s="77">
        <v>1</v>
      </c>
      <c r="T1834" s="77">
        <v>0</v>
      </c>
      <c r="U1834" s="77">
        <v>0</v>
      </c>
      <c r="V1834" s="77">
        <v>87</v>
      </c>
      <c r="W1834" s="82" t="s">
        <v>5766</v>
      </c>
      <c r="X1834" s="80" t="str">
        <f>HYPERLINK("https://javiermliron.blogspot.com/2023/07/sociedades-mercantiles-en-espana-mayo.html")</f>
        <v>https://javiermliron.blogspot.com/2023/07/sociedades-mercantiles-en-espana-mayo.html</v>
      </c>
      <c r="Y1834" s="77" t="s">
        <v>6532</v>
      </c>
      <c r="Z1834" s="77"/>
      <c r="AA1834" s="77" t="s">
        <v>7494</v>
      </c>
      <c r="AB1834" s="77" t="s">
        <v>7742</v>
      </c>
      <c r="AC1834" s="82" t="s">
        <v>7750</v>
      </c>
      <c r="AD1834" s="77" t="s">
        <v>7790</v>
      </c>
      <c r="AE1834" s="80" t="str">
        <f>HYPERLINK("https://twitter.com/jmendezliron/status/1678462323894231042")</f>
        <v>https://twitter.com/jmendezliron/status/1678462323894231042</v>
      </c>
      <c r="AF1834" s="79">
        <v>45117.745092592595</v>
      </c>
      <c r="AG1834" s="85">
        <v>45117</v>
      </c>
      <c r="AH1834" s="82" t="s">
        <v>9340</v>
      </c>
      <c r="AI1834" s="77" t="b">
        <v>0</v>
      </c>
      <c r="AJ1834" s="77"/>
      <c r="AK1834" s="77"/>
      <c r="AL1834" s="77"/>
      <c r="AM1834" s="77"/>
      <c r="AN1834" s="77"/>
      <c r="AO1834" s="77"/>
      <c r="AP1834" s="77"/>
      <c r="AQ1834" s="77" t="s">
        <v>11466</v>
      </c>
      <c r="AR1834" s="77"/>
      <c r="AS1834" s="77"/>
      <c r="AT1834" s="77"/>
      <c r="AU1834" s="77"/>
      <c r="AV1834" s="80" t="str">
        <f>HYPERLINK("https://pbs.twimg.com/media/F0sYizXWIAUyGrm.png")</f>
        <v>https://pbs.twimg.com/media/F0sYizXWIAUyGrm.png</v>
      </c>
      <c r="AW1834" s="82" t="s">
        <v>13430</v>
      </c>
      <c r="AX1834" s="82" t="s">
        <v>13430</v>
      </c>
      <c r="AY1834" s="77"/>
      <c r="AZ1834" s="82" t="s">
        <v>15984</v>
      </c>
      <c r="BA1834" s="82" t="s">
        <v>15984</v>
      </c>
      <c r="BB1834" s="82" t="s">
        <v>15984</v>
      </c>
      <c r="BC1834" s="82" t="s">
        <v>13430</v>
      </c>
      <c r="BD1834" s="77">
        <v>748960584</v>
      </c>
      <c r="BE1834" s="77"/>
      <c r="BF1834" s="77"/>
      <c r="BG1834" s="77"/>
      <c r="BH1834" s="77"/>
      <c r="BI1834" s="77"/>
    </row>
    <row r="1835" spans="1:61" x14ac:dyDescent="0.25">
      <c r="A1835" s="62" t="s">
        <v>697</v>
      </c>
      <c r="B1835" s="62" t="s">
        <v>697</v>
      </c>
      <c r="C1835" s="63"/>
      <c r="D1835" s="64"/>
      <c r="E1835" s="65"/>
      <c r="F1835" s="66"/>
      <c r="G1835" s="63"/>
      <c r="H1835" s="67"/>
      <c r="I1835" s="68"/>
      <c r="J1835" s="68"/>
      <c r="K1835" s="32"/>
      <c r="L1835" s="75">
        <v>1835</v>
      </c>
      <c r="M1835" s="75"/>
      <c r="N1835" s="70"/>
      <c r="O1835" s="77" t="s">
        <v>898</v>
      </c>
      <c r="P1835" s="79">
        <v>45162.706180555557</v>
      </c>
      <c r="Q1835" s="77" t="s">
        <v>2517</v>
      </c>
      <c r="R1835" s="77">
        <v>2</v>
      </c>
      <c r="S1835" s="77">
        <v>1</v>
      </c>
      <c r="T1835" s="77">
        <v>0</v>
      </c>
      <c r="U1835" s="77">
        <v>0</v>
      </c>
      <c r="V1835" s="77">
        <v>89</v>
      </c>
      <c r="W1835" s="82" t="s">
        <v>5778</v>
      </c>
      <c r="X1835" s="80" t="str">
        <f>HYPERLINK("https://javiermliron.blogspot.com/2023/08/exportaciones-de-castilla-y-leon-de.html")</f>
        <v>https://javiermliron.blogspot.com/2023/08/exportaciones-de-castilla-y-leon-de.html</v>
      </c>
      <c r="Y1835" s="77" t="s">
        <v>6532</v>
      </c>
      <c r="Z1835" s="77"/>
      <c r="AA1835" s="77"/>
      <c r="AB1835" s="77"/>
      <c r="AC1835" s="82" t="s">
        <v>7750</v>
      </c>
      <c r="AD1835" s="77" t="s">
        <v>7790</v>
      </c>
      <c r="AE1835" s="80" t="str">
        <f>HYPERLINK("https://twitter.com/jmendezliron/status/1694755674251542800")</f>
        <v>https://twitter.com/jmendezliron/status/1694755674251542800</v>
      </c>
      <c r="AF1835" s="79">
        <v>45162.706180555557</v>
      </c>
      <c r="AG1835" s="85">
        <v>45162</v>
      </c>
      <c r="AH1835" s="82" t="s">
        <v>9341</v>
      </c>
      <c r="AI1835" s="77" t="b">
        <v>0</v>
      </c>
      <c r="AJ1835" s="77"/>
      <c r="AK1835" s="77"/>
      <c r="AL1835" s="77"/>
      <c r="AM1835" s="77"/>
      <c r="AN1835" s="77"/>
      <c r="AO1835" s="77"/>
      <c r="AP1835" s="77"/>
      <c r="AQ1835" s="77"/>
      <c r="AR1835" s="77"/>
      <c r="AS1835" s="77"/>
      <c r="AT1835" s="77"/>
      <c r="AU1835" s="77"/>
      <c r="AV1835" s="80" t="str">
        <f>HYPERLINK("https://pbs.twimg.com/profile_images/612292231358246912/gMKxM5xX_normal.jpg")</f>
        <v>https://pbs.twimg.com/profile_images/612292231358246912/gMKxM5xX_normal.jpg</v>
      </c>
      <c r="AW1835" s="82" t="s">
        <v>13431</v>
      </c>
      <c r="AX1835" s="82" t="s">
        <v>15887</v>
      </c>
      <c r="AY1835" s="82" t="s">
        <v>15975</v>
      </c>
      <c r="AZ1835" s="82" t="s">
        <v>15887</v>
      </c>
      <c r="BA1835" s="82" t="s">
        <v>15984</v>
      </c>
      <c r="BB1835" s="82" t="s">
        <v>15984</v>
      </c>
      <c r="BC1835" s="82" t="s">
        <v>15887</v>
      </c>
      <c r="BD1835" s="77">
        <v>748960584</v>
      </c>
      <c r="BE1835" s="77"/>
      <c r="BF1835" s="77"/>
      <c r="BG1835" s="77"/>
      <c r="BH1835" s="77"/>
      <c r="BI1835" s="77"/>
    </row>
    <row r="1836" spans="1:61" x14ac:dyDescent="0.25">
      <c r="A1836" s="62" t="s">
        <v>697</v>
      </c>
      <c r="B1836" s="62" t="s">
        <v>697</v>
      </c>
      <c r="C1836" s="63"/>
      <c r="D1836" s="64"/>
      <c r="E1836" s="65"/>
      <c r="F1836" s="66"/>
      <c r="G1836" s="63"/>
      <c r="H1836" s="67"/>
      <c r="I1836" s="68"/>
      <c r="J1836" s="68"/>
      <c r="K1836" s="32"/>
      <c r="L1836" s="75">
        <v>1836</v>
      </c>
      <c r="M1836" s="75"/>
      <c r="N1836" s="70"/>
      <c r="O1836" s="77" t="s">
        <v>898</v>
      </c>
      <c r="P1836" s="79">
        <v>45156.748877314814</v>
      </c>
      <c r="Q1836" s="77" t="s">
        <v>2518</v>
      </c>
      <c r="R1836" s="77">
        <v>1</v>
      </c>
      <c r="S1836" s="77">
        <v>1</v>
      </c>
      <c r="T1836" s="77">
        <v>0</v>
      </c>
      <c r="U1836" s="77">
        <v>0</v>
      </c>
      <c r="V1836" s="77">
        <v>78</v>
      </c>
      <c r="W1836" s="82" t="s">
        <v>5779</v>
      </c>
      <c r="X1836" s="80" t="str">
        <f>HYPERLINK("https://javiermliron.blogspot.com/2023/08/ipc-andalucia-julio-2023.html")</f>
        <v>https://javiermliron.blogspot.com/2023/08/ipc-andalucia-julio-2023.html</v>
      </c>
      <c r="Y1836" s="77" t="s">
        <v>6532</v>
      </c>
      <c r="Z1836" s="77"/>
      <c r="AA1836" s="77"/>
      <c r="AB1836" s="77"/>
      <c r="AC1836" s="82" t="s">
        <v>7750</v>
      </c>
      <c r="AD1836" s="77" t="s">
        <v>7790</v>
      </c>
      <c r="AE1836" s="80" t="str">
        <f>HYPERLINK("https://twitter.com/jmendezliron/status/1692596822122860738")</f>
        <v>https://twitter.com/jmendezliron/status/1692596822122860738</v>
      </c>
      <c r="AF1836" s="79">
        <v>45156.748877314814</v>
      </c>
      <c r="AG1836" s="85">
        <v>45156</v>
      </c>
      <c r="AH1836" s="82" t="s">
        <v>9342</v>
      </c>
      <c r="AI1836" s="77" t="b">
        <v>0</v>
      </c>
      <c r="AJ1836" s="77"/>
      <c r="AK1836" s="77"/>
      <c r="AL1836" s="77"/>
      <c r="AM1836" s="77"/>
      <c r="AN1836" s="77"/>
      <c r="AO1836" s="77"/>
      <c r="AP1836" s="77"/>
      <c r="AQ1836" s="77"/>
      <c r="AR1836" s="77"/>
      <c r="AS1836" s="77"/>
      <c r="AT1836" s="77"/>
      <c r="AU1836" s="77"/>
      <c r="AV1836" s="80" t="str">
        <f>HYPERLINK("https://pbs.twimg.com/profile_images/612292231358246912/gMKxM5xX_normal.jpg")</f>
        <v>https://pbs.twimg.com/profile_images/612292231358246912/gMKxM5xX_normal.jpg</v>
      </c>
      <c r="AW1836" s="82" t="s">
        <v>13432</v>
      </c>
      <c r="AX1836" s="82" t="s">
        <v>13433</v>
      </c>
      <c r="AY1836" s="82" t="s">
        <v>15975</v>
      </c>
      <c r="AZ1836" s="82" t="s">
        <v>13433</v>
      </c>
      <c r="BA1836" s="82" t="s">
        <v>15984</v>
      </c>
      <c r="BB1836" s="82" t="s">
        <v>15984</v>
      </c>
      <c r="BC1836" s="82" t="s">
        <v>13433</v>
      </c>
      <c r="BD1836" s="77">
        <v>748960584</v>
      </c>
      <c r="BE1836" s="77"/>
      <c r="BF1836" s="77"/>
      <c r="BG1836" s="77"/>
      <c r="BH1836" s="77"/>
      <c r="BI1836" s="77"/>
    </row>
    <row r="1837" spans="1:61" x14ac:dyDescent="0.25">
      <c r="A1837" s="62" t="s">
        <v>697</v>
      </c>
      <c r="B1837" s="62" t="s">
        <v>697</v>
      </c>
      <c r="C1837" s="63"/>
      <c r="D1837" s="64"/>
      <c r="E1837" s="65"/>
      <c r="F1837" s="66"/>
      <c r="G1837" s="63"/>
      <c r="H1837" s="67"/>
      <c r="I1837" s="68"/>
      <c r="J1837" s="68"/>
      <c r="K1837" s="32"/>
      <c r="L1837" s="75">
        <v>1837</v>
      </c>
      <c r="M1837" s="75"/>
      <c r="N1837" s="70"/>
      <c r="O1837" s="77" t="s">
        <v>179</v>
      </c>
      <c r="P1837" s="79">
        <v>45156.748877314814</v>
      </c>
      <c r="Q1837" s="77" t="s">
        <v>2519</v>
      </c>
      <c r="R1837" s="77">
        <v>1</v>
      </c>
      <c r="S1837" s="77">
        <v>1</v>
      </c>
      <c r="T1837" s="77">
        <v>1</v>
      </c>
      <c r="U1837" s="77">
        <v>0</v>
      </c>
      <c r="V1837" s="77">
        <v>85</v>
      </c>
      <c r="W1837" s="82" t="s">
        <v>5780</v>
      </c>
      <c r="X1837" s="80" t="str">
        <f>HYPERLINK("https://javiermliron.blogspot.com/2023/08/ipc-andalucia-julio-2023.html")</f>
        <v>https://javiermliron.blogspot.com/2023/08/ipc-andalucia-julio-2023.html</v>
      </c>
      <c r="Y1837" s="77" t="s">
        <v>6532</v>
      </c>
      <c r="Z1837" s="77"/>
      <c r="AA1837" s="77" t="s">
        <v>7495</v>
      </c>
      <c r="AB1837" s="77" t="s">
        <v>7742</v>
      </c>
      <c r="AC1837" s="82" t="s">
        <v>7750</v>
      </c>
      <c r="AD1837" s="77" t="s">
        <v>7790</v>
      </c>
      <c r="AE1837" s="80" t="str">
        <f>HYPERLINK("https://twitter.com/jmendezliron/status/1692596820063519089")</f>
        <v>https://twitter.com/jmendezliron/status/1692596820063519089</v>
      </c>
      <c r="AF1837" s="79">
        <v>45156.748877314814</v>
      </c>
      <c r="AG1837" s="85">
        <v>45156</v>
      </c>
      <c r="AH1837" s="82" t="s">
        <v>9342</v>
      </c>
      <c r="AI1837" s="77" t="b">
        <v>0</v>
      </c>
      <c r="AJ1837" s="77"/>
      <c r="AK1837" s="77"/>
      <c r="AL1837" s="77"/>
      <c r="AM1837" s="77"/>
      <c r="AN1837" s="77"/>
      <c r="AO1837" s="77"/>
      <c r="AP1837" s="77"/>
      <c r="AQ1837" s="77" t="s">
        <v>11467</v>
      </c>
      <c r="AR1837" s="77"/>
      <c r="AS1837" s="77"/>
      <c r="AT1837" s="77"/>
      <c r="AU1837" s="77"/>
      <c r="AV1837" s="80" t="str">
        <f>HYPERLINK("https://pbs.twimg.com/media/F31P1ITXMAAP2tI.png")</f>
        <v>https://pbs.twimg.com/media/F31P1ITXMAAP2tI.png</v>
      </c>
      <c r="AW1837" s="82" t="s">
        <v>13433</v>
      </c>
      <c r="AX1837" s="82" t="s">
        <v>13433</v>
      </c>
      <c r="AY1837" s="77"/>
      <c r="AZ1837" s="82" t="s">
        <v>15984</v>
      </c>
      <c r="BA1837" s="82" t="s">
        <v>15984</v>
      </c>
      <c r="BB1837" s="82" t="s">
        <v>15984</v>
      </c>
      <c r="BC1837" s="82" t="s">
        <v>13433</v>
      </c>
      <c r="BD1837" s="77">
        <v>748960584</v>
      </c>
      <c r="BE1837" s="77"/>
      <c r="BF1837" s="77"/>
      <c r="BG1837" s="77"/>
      <c r="BH1837" s="77"/>
      <c r="BI1837" s="77"/>
    </row>
    <row r="1838" spans="1:61" x14ac:dyDescent="0.25">
      <c r="A1838" s="62" t="s">
        <v>697</v>
      </c>
      <c r="B1838" s="62" t="s">
        <v>697</v>
      </c>
      <c r="C1838" s="63"/>
      <c r="D1838" s="64"/>
      <c r="E1838" s="65"/>
      <c r="F1838" s="66"/>
      <c r="G1838" s="63"/>
      <c r="H1838" s="67"/>
      <c r="I1838" s="68"/>
      <c r="J1838" s="68"/>
      <c r="K1838" s="32"/>
      <c r="L1838" s="75">
        <v>1838</v>
      </c>
      <c r="M1838" s="75"/>
      <c r="N1838" s="70"/>
      <c r="O1838" s="77" t="s">
        <v>898</v>
      </c>
      <c r="P1838" s="79">
        <v>45156.742905092593</v>
      </c>
      <c r="Q1838" s="77" t="s">
        <v>2520</v>
      </c>
      <c r="R1838" s="77">
        <v>1</v>
      </c>
      <c r="S1838" s="77">
        <v>1</v>
      </c>
      <c r="T1838" s="77">
        <v>0</v>
      </c>
      <c r="U1838" s="77">
        <v>0</v>
      </c>
      <c r="V1838" s="77">
        <v>72</v>
      </c>
      <c r="W1838" s="82" t="s">
        <v>5781</v>
      </c>
      <c r="X1838" s="80" t="str">
        <f>HYPERLINK("https://javiermliron.blogspot.com/2023/08/sociedades-mercantiles-en-andalucia.html")</f>
        <v>https://javiermliron.blogspot.com/2023/08/sociedades-mercantiles-en-andalucia.html</v>
      </c>
      <c r="Y1838" s="77" t="s">
        <v>6532</v>
      </c>
      <c r="Z1838" s="77"/>
      <c r="AA1838" s="77"/>
      <c r="AB1838" s="77"/>
      <c r="AC1838" s="82" t="s">
        <v>7750</v>
      </c>
      <c r="AD1838" s="77" t="s">
        <v>7790</v>
      </c>
      <c r="AE1838" s="80" t="str">
        <f>HYPERLINK("https://twitter.com/jmendezliron/status/1692594657803239845")</f>
        <v>https://twitter.com/jmendezliron/status/1692594657803239845</v>
      </c>
      <c r="AF1838" s="79">
        <v>45156.742905092593</v>
      </c>
      <c r="AG1838" s="85">
        <v>45156</v>
      </c>
      <c r="AH1838" s="82" t="s">
        <v>9343</v>
      </c>
      <c r="AI1838" s="77" t="b">
        <v>0</v>
      </c>
      <c r="AJ1838" s="77"/>
      <c r="AK1838" s="77"/>
      <c r="AL1838" s="77"/>
      <c r="AM1838" s="77"/>
      <c r="AN1838" s="77"/>
      <c r="AO1838" s="77"/>
      <c r="AP1838" s="77"/>
      <c r="AQ1838" s="77"/>
      <c r="AR1838" s="77"/>
      <c r="AS1838" s="77"/>
      <c r="AT1838" s="77"/>
      <c r="AU1838" s="77"/>
      <c r="AV1838" s="80" t="str">
        <f>HYPERLINK("https://pbs.twimg.com/profile_images/612292231358246912/gMKxM5xX_normal.jpg")</f>
        <v>https://pbs.twimg.com/profile_images/612292231358246912/gMKxM5xX_normal.jpg</v>
      </c>
      <c r="AW1838" s="82" t="s">
        <v>13434</v>
      </c>
      <c r="AX1838" s="82" t="s">
        <v>13435</v>
      </c>
      <c r="AY1838" s="82" t="s">
        <v>15975</v>
      </c>
      <c r="AZ1838" s="82" t="s">
        <v>13435</v>
      </c>
      <c r="BA1838" s="82" t="s">
        <v>15984</v>
      </c>
      <c r="BB1838" s="82" t="s">
        <v>15984</v>
      </c>
      <c r="BC1838" s="82" t="s">
        <v>13435</v>
      </c>
      <c r="BD1838" s="77">
        <v>748960584</v>
      </c>
      <c r="BE1838" s="77"/>
      <c r="BF1838" s="77"/>
      <c r="BG1838" s="77"/>
      <c r="BH1838" s="77"/>
      <c r="BI1838" s="77"/>
    </row>
    <row r="1839" spans="1:61" x14ac:dyDescent="0.25">
      <c r="A1839" s="62" t="s">
        <v>697</v>
      </c>
      <c r="B1839" s="62" t="s">
        <v>697</v>
      </c>
      <c r="C1839" s="63"/>
      <c r="D1839" s="64"/>
      <c r="E1839" s="65"/>
      <c r="F1839" s="66"/>
      <c r="G1839" s="63"/>
      <c r="H1839" s="67"/>
      <c r="I1839" s="68"/>
      <c r="J1839" s="68"/>
      <c r="K1839" s="32"/>
      <c r="L1839" s="75">
        <v>1839</v>
      </c>
      <c r="M1839" s="75"/>
      <c r="N1839" s="70"/>
      <c r="O1839" s="77" t="s">
        <v>179</v>
      </c>
      <c r="P1839" s="79">
        <v>45156.742905092593</v>
      </c>
      <c r="Q1839" s="77" t="s">
        <v>2521</v>
      </c>
      <c r="R1839" s="77">
        <v>1</v>
      </c>
      <c r="S1839" s="77">
        <v>1</v>
      </c>
      <c r="T1839" s="77">
        <v>1</v>
      </c>
      <c r="U1839" s="77">
        <v>0</v>
      </c>
      <c r="V1839" s="77">
        <v>82</v>
      </c>
      <c r="W1839" s="82" t="s">
        <v>5782</v>
      </c>
      <c r="X1839" s="80" t="str">
        <f>HYPERLINK("https://javiermliron.blogspot.com/2023/08/sociedades-mercantiles-en-andalucia.html")</f>
        <v>https://javiermliron.blogspot.com/2023/08/sociedades-mercantiles-en-andalucia.html</v>
      </c>
      <c r="Y1839" s="77" t="s">
        <v>6532</v>
      </c>
      <c r="Z1839" s="77"/>
      <c r="AA1839" s="77" t="s">
        <v>7496</v>
      </c>
      <c r="AB1839" s="77" t="s">
        <v>7742</v>
      </c>
      <c r="AC1839" s="82" t="s">
        <v>7750</v>
      </c>
      <c r="AD1839" s="77" t="s">
        <v>7790</v>
      </c>
      <c r="AE1839" s="80" t="str">
        <f>HYPERLINK("https://twitter.com/jmendezliron/status/1692594655542571363")</f>
        <v>https://twitter.com/jmendezliron/status/1692594655542571363</v>
      </c>
      <c r="AF1839" s="79">
        <v>45156.742905092593</v>
      </c>
      <c r="AG1839" s="85">
        <v>45156</v>
      </c>
      <c r="AH1839" s="82" t="s">
        <v>9343</v>
      </c>
      <c r="AI1839" s="77" t="b">
        <v>0</v>
      </c>
      <c r="AJ1839" s="77"/>
      <c r="AK1839" s="77"/>
      <c r="AL1839" s="77"/>
      <c r="AM1839" s="77"/>
      <c r="AN1839" s="77"/>
      <c r="AO1839" s="77"/>
      <c r="AP1839" s="77"/>
      <c r="AQ1839" s="77" t="s">
        <v>11468</v>
      </c>
      <c r="AR1839" s="77"/>
      <c r="AS1839" s="77"/>
      <c r="AT1839" s="77"/>
      <c r="AU1839" s="77"/>
      <c r="AV1839" s="80" t="str">
        <f>HYPERLINK("https://pbs.twimg.com/media/F31N2_2XYAE_T34.png")</f>
        <v>https://pbs.twimg.com/media/F31N2_2XYAE_T34.png</v>
      </c>
      <c r="AW1839" s="82" t="s">
        <v>13435</v>
      </c>
      <c r="AX1839" s="82" t="s">
        <v>13435</v>
      </c>
      <c r="AY1839" s="77"/>
      <c r="AZ1839" s="82" t="s">
        <v>15984</v>
      </c>
      <c r="BA1839" s="82" t="s">
        <v>15984</v>
      </c>
      <c r="BB1839" s="82" t="s">
        <v>15984</v>
      </c>
      <c r="BC1839" s="82" t="s">
        <v>13435</v>
      </c>
      <c r="BD1839" s="77">
        <v>748960584</v>
      </c>
      <c r="BE1839" s="77"/>
      <c r="BF1839" s="77"/>
      <c r="BG1839" s="77"/>
      <c r="BH1839" s="77"/>
      <c r="BI1839" s="77"/>
    </row>
    <row r="1840" spans="1:61" x14ac:dyDescent="0.25">
      <c r="A1840" s="62" t="s">
        <v>697</v>
      </c>
      <c r="B1840" s="62" t="s">
        <v>697</v>
      </c>
      <c r="C1840" s="63"/>
      <c r="D1840" s="64"/>
      <c r="E1840" s="65"/>
      <c r="F1840" s="66"/>
      <c r="G1840" s="63"/>
      <c r="H1840" s="67"/>
      <c r="I1840" s="68"/>
      <c r="J1840" s="68"/>
      <c r="K1840" s="32"/>
      <c r="L1840" s="75">
        <v>1840</v>
      </c>
      <c r="M1840" s="75"/>
      <c r="N1840" s="70"/>
      <c r="O1840" s="77" t="s">
        <v>179</v>
      </c>
      <c r="P1840" s="79">
        <v>45147.740590277775</v>
      </c>
      <c r="Q1840" s="77" t="s">
        <v>2522</v>
      </c>
      <c r="R1840" s="77">
        <v>1</v>
      </c>
      <c r="S1840" s="77">
        <v>1</v>
      </c>
      <c r="T1840" s="77">
        <v>0</v>
      </c>
      <c r="U1840" s="77">
        <v>0</v>
      </c>
      <c r="V1840" s="77">
        <v>90</v>
      </c>
      <c r="W1840" s="82" t="s">
        <v>5783</v>
      </c>
      <c r="X1840" s="80" t="str">
        <f>HYPERLINK("https://javiermliron.blogspot.com/2023/08/contratos-registrados-en-espana-julio.html")</f>
        <v>https://javiermliron.blogspot.com/2023/08/contratos-registrados-en-espana-julio.html</v>
      </c>
      <c r="Y1840" s="77" t="s">
        <v>6532</v>
      </c>
      <c r="Z1840" s="77"/>
      <c r="AA1840" s="77" t="s">
        <v>7497</v>
      </c>
      <c r="AB1840" s="77" t="s">
        <v>7742</v>
      </c>
      <c r="AC1840" s="82" t="s">
        <v>7750</v>
      </c>
      <c r="AD1840" s="77" t="s">
        <v>7790</v>
      </c>
      <c r="AE1840" s="80" t="str">
        <f>HYPERLINK("https://twitter.com/jmendezliron/status/1689332327531388928")</f>
        <v>https://twitter.com/jmendezliron/status/1689332327531388928</v>
      </c>
      <c r="AF1840" s="79">
        <v>45147.740590277775</v>
      </c>
      <c r="AG1840" s="85">
        <v>45147</v>
      </c>
      <c r="AH1840" s="82" t="s">
        <v>9344</v>
      </c>
      <c r="AI1840" s="77" t="b">
        <v>0</v>
      </c>
      <c r="AJ1840" s="77"/>
      <c r="AK1840" s="77"/>
      <c r="AL1840" s="77"/>
      <c r="AM1840" s="77"/>
      <c r="AN1840" s="77"/>
      <c r="AO1840" s="77"/>
      <c r="AP1840" s="77"/>
      <c r="AQ1840" s="77" t="s">
        <v>11469</v>
      </c>
      <c r="AR1840" s="77"/>
      <c r="AS1840" s="77"/>
      <c r="AT1840" s="77"/>
      <c r="AU1840" s="77"/>
      <c r="AV1840" s="80" t="str">
        <f>HYPERLINK("https://pbs.twimg.com/media/F3G2ysHXoAAeB1Z.png")</f>
        <v>https://pbs.twimg.com/media/F3G2ysHXoAAeB1Z.png</v>
      </c>
      <c r="AW1840" s="82" t="s">
        <v>13436</v>
      </c>
      <c r="AX1840" s="82" t="s">
        <v>13436</v>
      </c>
      <c r="AY1840" s="77"/>
      <c r="AZ1840" s="82" t="s">
        <v>15984</v>
      </c>
      <c r="BA1840" s="82" t="s">
        <v>15984</v>
      </c>
      <c r="BB1840" s="82" t="s">
        <v>15984</v>
      </c>
      <c r="BC1840" s="82" t="s">
        <v>13436</v>
      </c>
      <c r="BD1840" s="77">
        <v>748960584</v>
      </c>
      <c r="BE1840" s="77"/>
      <c r="BF1840" s="77"/>
      <c r="BG1840" s="77"/>
      <c r="BH1840" s="77"/>
      <c r="BI1840" s="77"/>
    </row>
    <row r="1841" spans="1:61" x14ac:dyDescent="0.25">
      <c r="A1841" s="62" t="s">
        <v>697</v>
      </c>
      <c r="B1841" s="62" t="s">
        <v>697</v>
      </c>
      <c r="C1841" s="63"/>
      <c r="D1841" s="64"/>
      <c r="E1841" s="65"/>
      <c r="F1841" s="66"/>
      <c r="G1841" s="63"/>
      <c r="H1841" s="67"/>
      <c r="I1841" s="68"/>
      <c r="J1841" s="68"/>
      <c r="K1841" s="32"/>
      <c r="L1841" s="75">
        <v>1841</v>
      </c>
      <c r="M1841" s="75"/>
      <c r="N1841" s="70"/>
      <c r="O1841" s="77" t="s">
        <v>179</v>
      </c>
      <c r="P1841" s="79">
        <v>45119.235196759262</v>
      </c>
      <c r="Q1841" s="77" t="s">
        <v>2523</v>
      </c>
      <c r="R1841" s="77">
        <v>1</v>
      </c>
      <c r="S1841" s="77">
        <v>1</v>
      </c>
      <c r="T1841" s="77">
        <v>0</v>
      </c>
      <c r="U1841" s="77">
        <v>0</v>
      </c>
      <c r="V1841" s="77">
        <v>113</v>
      </c>
      <c r="W1841" s="82" t="s">
        <v>5768</v>
      </c>
      <c r="X1841" s="80" t="str">
        <f>HYPERLINK("https://javiermliron.blogspot.com/2023/07/sociedades-mercantiles-en-andalucia.html")</f>
        <v>https://javiermliron.blogspot.com/2023/07/sociedades-mercantiles-en-andalucia.html</v>
      </c>
      <c r="Y1841" s="77" t="s">
        <v>6532</v>
      </c>
      <c r="Z1841" s="77"/>
      <c r="AA1841" s="77" t="s">
        <v>7498</v>
      </c>
      <c r="AB1841" s="77" t="s">
        <v>7742</v>
      </c>
      <c r="AC1841" s="82" t="s">
        <v>7750</v>
      </c>
      <c r="AD1841" s="77" t="s">
        <v>7790</v>
      </c>
      <c r="AE1841" s="80" t="str">
        <f>HYPERLINK("https://twitter.com/jmendezliron/status/1679002317381677057")</f>
        <v>https://twitter.com/jmendezliron/status/1679002317381677057</v>
      </c>
      <c r="AF1841" s="79">
        <v>45119.235196759262</v>
      </c>
      <c r="AG1841" s="85">
        <v>45119</v>
      </c>
      <c r="AH1841" s="82" t="s">
        <v>9345</v>
      </c>
      <c r="AI1841" s="77" t="b">
        <v>0</v>
      </c>
      <c r="AJ1841" s="77"/>
      <c r="AK1841" s="77"/>
      <c r="AL1841" s="77"/>
      <c r="AM1841" s="77"/>
      <c r="AN1841" s="77"/>
      <c r="AO1841" s="77"/>
      <c r="AP1841" s="77"/>
      <c r="AQ1841" s="77" t="s">
        <v>11470</v>
      </c>
      <c r="AR1841" s="77"/>
      <c r="AS1841" s="77"/>
      <c r="AT1841" s="77"/>
      <c r="AU1841" s="77"/>
      <c r="AV1841" s="80" t="str">
        <f>HYPERLINK("https://pbs.twimg.com/media/F00Ds9dXoAAicdV.jpg")</f>
        <v>https://pbs.twimg.com/media/F00Ds9dXoAAicdV.jpg</v>
      </c>
      <c r="AW1841" s="82" t="s">
        <v>13437</v>
      </c>
      <c r="AX1841" s="82" t="s">
        <v>13437</v>
      </c>
      <c r="AY1841" s="77"/>
      <c r="AZ1841" s="82" t="s">
        <v>15984</v>
      </c>
      <c r="BA1841" s="82" t="s">
        <v>15984</v>
      </c>
      <c r="BB1841" s="82" t="s">
        <v>15984</v>
      </c>
      <c r="BC1841" s="82" t="s">
        <v>13437</v>
      </c>
      <c r="BD1841" s="77">
        <v>748960584</v>
      </c>
      <c r="BE1841" s="77"/>
      <c r="BF1841" s="77"/>
      <c r="BG1841" s="77"/>
      <c r="BH1841" s="77"/>
      <c r="BI1841" s="77"/>
    </row>
    <row r="1842" spans="1:61" x14ac:dyDescent="0.25">
      <c r="A1842" s="62" t="s">
        <v>697</v>
      </c>
      <c r="B1842" s="62" t="s">
        <v>697</v>
      </c>
      <c r="C1842" s="63"/>
      <c r="D1842" s="64"/>
      <c r="E1842" s="65"/>
      <c r="F1842" s="66"/>
      <c r="G1842" s="63"/>
      <c r="H1842" s="67"/>
      <c r="I1842" s="68"/>
      <c r="J1842" s="68"/>
      <c r="K1842" s="32"/>
      <c r="L1842" s="75">
        <v>1842</v>
      </c>
      <c r="M1842" s="75"/>
      <c r="N1842" s="70"/>
      <c r="O1842" s="77" t="s">
        <v>179</v>
      </c>
      <c r="P1842" s="79">
        <v>45119.230462962965</v>
      </c>
      <c r="Q1842" s="77" t="s">
        <v>2524</v>
      </c>
      <c r="R1842" s="77">
        <v>1</v>
      </c>
      <c r="S1842" s="77">
        <v>1</v>
      </c>
      <c r="T1842" s="77">
        <v>0</v>
      </c>
      <c r="U1842" s="77">
        <v>0</v>
      </c>
      <c r="V1842" s="77">
        <v>91</v>
      </c>
      <c r="W1842" s="82" t="s">
        <v>5770</v>
      </c>
      <c r="X1842" s="80" t="str">
        <f>HYPERLINK("https://javiermliron.blogspot.com/2023/07/indice-de-produccion-industrial_01611919822.html")</f>
        <v>https://javiermliron.blogspot.com/2023/07/indice-de-produccion-industrial_01611919822.html</v>
      </c>
      <c r="Y1842" s="77" t="s">
        <v>6532</v>
      </c>
      <c r="Z1842" s="77"/>
      <c r="AA1842" s="77" t="s">
        <v>7499</v>
      </c>
      <c r="AB1842" s="77" t="s">
        <v>7742</v>
      </c>
      <c r="AC1842" s="82" t="s">
        <v>7750</v>
      </c>
      <c r="AD1842" s="77" t="s">
        <v>7790</v>
      </c>
      <c r="AE1842" s="80" t="str">
        <f>HYPERLINK("https://twitter.com/jmendezliron/status/1679000601080786944")</f>
        <v>https://twitter.com/jmendezliron/status/1679000601080786944</v>
      </c>
      <c r="AF1842" s="79">
        <v>45119.230462962965</v>
      </c>
      <c r="AG1842" s="85">
        <v>45119</v>
      </c>
      <c r="AH1842" s="82" t="s">
        <v>9346</v>
      </c>
      <c r="AI1842" s="77" t="b">
        <v>0</v>
      </c>
      <c r="AJ1842" s="77"/>
      <c r="AK1842" s="77"/>
      <c r="AL1842" s="77"/>
      <c r="AM1842" s="77"/>
      <c r="AN1842" s="77"/>
      <c r="AO1842" s="77"/>
      <c r="AP1842" s="77"/>
      <c r="AQ1842" s="77" t="s">
        <v>11471</v>
      </c>
      <c r="AR1842" s="77"/>
      <c r="AS1842" s="77"/>
      <c r="AT1842" s="77"/>
      <c r="AU1842" s="77"/>
      <c r="AV1842" s="80" t="str">
        <f>HYPERLINK("https://pbs.twimg.com/media/F00CJHjXgAAYOlQ.png")</f>
        <v>https://pbs.twimg.com/media/F00CJHjXgAAYOlQ.png</v>
      </c>
      <c r="AW1842" s="82" t="s">
        <v>13438</v>
      </c>
      <c r="AX1842" s="82" t="s">
        <v>13438</v>
      </c>
      <c r="AY1842" s="77"/>
      <c r="AZ1842" s="82" t="s">
        <v>15984</v>
      </c>
      <c r="BA1842" s="82" t="s">
        <v>15984</v>
      </c>
      <c r="BB1842" s="82" t="s">
        <v>15984</v>
      </c>
      <c r="BC1842" s="82" t="s">
        <v>13438</v>
      </c>
      <c r="BD1842" s="77">
        <v>748960584</v>
      </c>
      <c r="BE1842" s="77"/>
      <c r="BF1842" s="77"/>
      <c r="BG1842" s="77"/>
      <c r="BH1842" s="77"/>
      <c r="BI1842" s="77"/>
    </row>
    <row r="1843" spans="1:61" x14ac:dyDescent="0.25">
      <c r="A1843" s="62" t="s">
        <v>697</v>
      </c>
      <c r="B1843" s="62" t="s">
        <v>697</v>
      </c>
      <c r="C1843" s="63"/>
      <c r="D1843" s="64"/>
      <c r="E1843" s="65"/>
      <c r="F1843" s="66"/>
      <c r="G1843" s="63"/>
      <c r="H1843" s="67"/>
      <c r="I1843" s="68"/>
      <c r="J1843" s="68"/>
      <c r="K1843" s="32"/>
      <c r="L1843" s="75">
        <v>1843</v>
      </c>
      <c r="M1843" s="75"/>
      <c r="N1843" s="70"/>
      <c r="O1843" s="77" t="s">
        <v>898</v>
      </c>
      <c r="P1843" s="79">
        <v>45163.761435185188</v>
      </c>
      <c r="Q1843" s="77" t="s">
        <v>2525</v>
      </c>
      <c r="R1843" s="77">
        <v>1</v>
      </c>
      <c r="S1843" s="77">
        <v>1</v>
      </c>
      <c r="T1843" s="77">
        <v>0</v>
      </c>
      <c r="U1843" s="77">
        <v>0</v>
      </c>
      <c r="V1843" s="77">
        <v>120</v>
      </c>
      <c r="W1843" s="82" t="s">
        <v>5784</v>
      </c>
      <c r="X1843" s="80" t="str">
        <f>HYPERLINK("https://javiermliron.blogspot.com/2023/08/exportaciones-de-andalucia-de-junio-2023.html")</f>
        <v>https://javiermliron.blogspot.com/2023/08/exportaciones-de-andalucia-de-junio-2023.html</v>
      </c>
      <c r="Y1843" s="77" t="s">
        <v>6532</v>
      </c>
      <c r="Z1843" s="77"/>
      <c r="AA1843" s="77"/>
      <c r="AB1843" s="77"/>
      <c r="AC1843" s="82" t="s">
        <v>7750</v>
      </c>
      <c r="AD1843" s="77" t="s">
        <v>7790</v>
      </c>
      <c r="AE1843" s="80" t="str">
        <f>HYPERLINK("https://twitter.com/jmendezliron/status/1695138084344434772")</f>
        <v>https://twitter.com/jmendezliron/status/1695138084344434772</v>
      </c>
      <c r="AF1843" s="79">
        <v>45163.761435185188</v>
      </c>
      <c r="AG1843" s="85">
        <v>45163</v>
      </c>
      <c r="AH1843" s="82" t="s">
        <v>9347</v>
      </c>
      <c r="AI1843" s="77" t="b">
        <v>0</v>
      </c>
      <c r="AJ1843" s="77"/>
      <c r="AK1843" s="77"/>
      <c r="AL1843" s="77"/>
      <c r="AM1843" s="77"/>
      <c r="AN1843" s="77"/>
      <c r="AO1843" s="77"/>
      <c r="AP1843" s="77"/>
      <c r="AQ1843" s="77"/>
      <c r="AR1843" s="77"/>
      <c r="AS1843" s="77"/>
      <c r="AT1843" s="77"/>
      <c r="AU1843" s="77"/>
      <c r="AV1843" s="80" t="str">
        <f>HYPERLINK("https://pbs.twimg.com/profile_images/612292231358246912/gMKxM5xX_normal.jpg")</f>
        <v>https://pbs.twimg.com/profile_images/612292231358246912/gMKxM5xX_normal.jpg</v>
      </c>
      <c r="AW1843" s="82" t="s">
        <v>13439</v>
      </c>
      <c r="AX1843" s="82" t="s">
        <v>15888</v>
      </c>
      <c r="AY1843" s="82" t="s">
        <v>15975</v>
      </c>
      <c r="AZ1843" s="82" t="s">
        <v>15888</v>
      </c>
      <c r="BA1843" s="82" t="s">
        <v>15984</v>
      </c>
      <c r="BB1843" s="82" t="s">
        <v>15984</v>
      </c>
      <c r="BC1843" s="82" t="s">
        <v>15888</v>
      </c>
      <c r="BD1843" s="77">
        <v>748960584</v>
      </c>
      <c r="BE1843" s="77"/>
      <c r="BF1843" s="77"/>
      <c r="BG1843" s="77"/>
      <c r="BH1843" s="77"/>
      <c r="BI1843" s="77"/>
    </row>
    <row r="1844" spans="1:61" x14ac:dyDescent="0.25">
      <c r="A1844" s="62" t="s">
        <v>697</v>
      </c>
      <c r="B1844" s="62" t="s">
        <v>697</v>
      </c>
      <c r="C1844" s="63"/>
      <c r="D1844" s="64"/>
      <c r="E1844" s="65"/>
      <c r="F1844" s="66"/>
      <c r="G1844" s="63"/>
      <c r="H1844" s="67"/>
      <c r="I1844" s="68"/>
      <c r="J1844" s="68"/>
      <c r="K1844" s="32"/>
      <c r="L1844" s="75">
        <v>1844</v>
      </c>
      <c r="M1844" s="75"/>
      <c r="N1844" s="70"/>
      <c r="O1844" s="77" t="s">
        <v>179</v>
      </c>
      <c r="P1844" s="79">
        <v>45132.465069444443</v>
      </c>
      <c r="Q1844" s="77" t="s">
        <v>2526</v>
      </c>
      <c r="R1844" s="77">
        <v>1</v>
      </c>
      <c r="S1844" s="77">
        <v>1</v>
      </c>
      <c r="T1844" s="77">
        <v>0</v>
      </c>
      <c r="U1844" s="77">
        <v>0</v>
      </c>
      <c r="V1844" s="77">
        <v>158</v>
      </c>
      <c r="W1844" s="82" t="s">
        <v>5785</v>
      </c>
      <c r="X1844" s="80" t="str">
        <f>HYPERLINK("https://javiermliron.blogspot.com/2023/07/exportaciones-de-andalucia-de-mayo-2023.html")</f>
        <v>https://javiermliron.blogspot.com/2023/07/exportaciones-de-andalucia-de-mayo-2023.html</v>
      </c>
      <c r="Y1844" s="77" t="s">
        <v>6532</v>
      </c>
      <c r="Z1844" s="77"/>
      <c r="AA1844" s="77" t="s">
        <v>7500</v>
      </c>
      <c r="AB1844" s="77" t="s">
        <v>7742</v>
      </c>
      <c r="AC1844" s="82" t="s">
        <v>7750</v>
      </c>
      <c r="AD1844" s="77" t="s">
        <v>7790</v>
      </c>
      <c r="AE1844" s="80" t="str">
        <f>HYPERLINK("https://twitter.com/jmendezliron/status/1683796663243100160")</f>
        <v>https://twitter.com/jmendezliron/status/1683796663243100160</v>
      </c>
      <c r="AF1844" s="79">
        <v>45132.465069444443</v>
      </c>
      <c r="AG1844" s="85">
        <v>45132</v>
      </c>
      <c r="AH1844" s="82" t="s">
        <v>8441</v>
      </c>
      <c r="AI1844" s="77" t="b">
        <v>0</v>
      </c>
      <c r="AJ1844" s="77"/>
      <c r="AK1844" s="77"/>
      <c r="AL1844" s="77"/>
      <c r="AM1844" s="77"/>
      <c r="AN1844" s="77"/>
      <c r="AO1844" s="77"/>
      <c r="AP1844" s="77"/>
      <c r="AQ1844" s="77" t="s">
        <v>11472</v>
      </c>
      <c r="AR1844" s="77"/>
      <c r="AS1844" s="77"/>
      <c r="AT1844" s="77"/>
      <c r="AU1844" s="77"/>
      <c r="AV1844" s="80" t="str">
        <f>HYPERLINK("https://pbs.twimg.com/media/F14MIPUWYAAFxoQ.jpg")</f>
        <v>https://pbs.twimg.com/media/F14MIPUWYAAFxoQ.jpg</v>
      </c>
      <c r="AW1844" s="82" t="s">
        <v>13440</v>
      </c>
      <c r="AX1844" s="82" t="s">
        <v>13440</v>
      </c>
      <c r="AY1844" s="77"/>
      <c r="AZ1844" s="82" t="s">
        <v>15984</v>
      </c>
      <c r="BA1844" s="82" t="s">
        <v>15984</v>
      </c>
      <c r="BB1844" s="82" t="s">
        <v>15984</v>
      </c>
      <c r="BC1844" s="82" t="s">
        <v>13440</v>
      </c>
      <c r="BD1844" s="77">
        <v>748960584</v>
      </c>
      <c r="BE1844" s="77"/>
      <c r="BF1844" s="77"/>
      <c r="BG1844" s="77"/>
      <c r="BH1844" s="77"/>
      <c r="BI1844" s="77"/>
    </row>
    <row r="1845" spans="1:61" x14ac:dyDescent="0.25">
      <c r="A1845" s="62" t="s">
        <v>697</v>
      </c>
      <c r="B1845" s="62" t="s">
        <v>697</v>
      </c>
      <c r="C1845" s="63"/>
      <c r="D1845" s="64"/>
      <c r="E1845" s="65"/>
      <c r="F1845" s="66"/>
      <c r="G1845" s="63"/>
      <c r="H1845" s="67"/>
      <c r="I1845" s="68"/>
      <c r="J1845" s="68"/>
      <c r="K1845" s="32"/>
      <c r="L1845" s="75">
        <v>1845</v>
      </c>
      <c r="M1845" s="75"/>
      <c r="N1845" s="70"/>
      <c r="O1845" s="77" t="s">
        <v>179</v>
      </c>
      <c r="P1845" s="79">
        <v>45125.242291666669</v>
      </c>
      <c r="Q1845" s="77" t="s">
        <v>2527</v>
      </c>
      <c r="R1845" s="77">
        <v>1</v>
      </c>
      <c r="S1845" s="77">
        <v>1</v>
      </c>
      <c r="T1845" s="77">
        <v>0</v>
      </c>
      <c r="U1845" s="77">
        <v>0</v>
      </c>
      <c r="V1845" s="77">
        <v>99</v>
      </c>
      <c r="W1845" s="82" t="s">
        <v>5769</v>
      </c>
      <c r="X1845" s="80" t="str">
        <f>HYPERLINK("https://javiermliron.blogspot.com/2023/07/contratos-registrados-45-en-espana.html")</f>
        <v>https://javiermliron.blogspot.com/2023/07/contratos-registrados-45-en-espana.html</v>
      </c>
      <c r="Y1845" s="77" t="s">
        <v>6532</v>
      </c>
      <c r="Z1845" s="77"/>
      <c r="AA1845" s="77" t="s">
        <v>7501</v>
      </c>
      <c r="AB1845" s="77" t="s">
        <v>7742</v>
      </c>
      <c r="AC1845" s="82" t="s">
        <v>7750</v>
      </c>
      <c r="AD1845" s="77" t="s">
        <v>7790</v>
      </c>
      <c r="AE1845" s="80" t="str">
        <f>HYPERLINK("https://twitter.com/jmendezliron/status/1681179213758451713")</f>
        <v>https://twitter.com/jmendezliron/status/1681179213758451713</v>
      </c>
      <c r="AF1845" s="79">
        <v>45125.242291666669</v>
      </c>
      <c r="AG1845" s="85">
        <v>45125</v>
      </c>
      <c r="AH1845" s="82" t="s">
        <v>9348</v>
      </c>
      <c r="AI1845" s="77" t="b">
        <v>0</v>
      </c>
      <c r="AJ1845" s="77"/>
      <c r="AK1845" s="77"/>
      <c r="AL1845" s="77"/>
      <c r="AM1845" s="77"/>
      <c r="AN1845" s="77"/>
      <c r="AO1845" s="77"/>
      <c r="AP1845" s="77"/>
      <c r="AQ1845" s="77" t="s">
        <v>11473</v>
      </c>
      <c r="AR1845" s="77"/>
      <c r="AS1845" s="77"/>
      <c r="AT1845" s="77"/>
      <c r="AU1845" s="77"/>
      <c r="AV1845" s="80" t="str">
        <f>HYPERLINK("https://pbs.twimg.com/media/F1S_lTXWIAEetzt.png")</f>
        <v>https://pbs.twimg.com/media/F1S_lTXWIAEetzt.png</v>
      </c>
      <c r="AW1845" s="82" t="s">
        <v>13441</v>
      </c>
      <c r="AX1845" s="82" t="s">
        <v>13441</v>
      </c>
      <c r="AY1845" s="77"/>
      <c r="AZ1845" s="82" t="s">
        <v>15984</v>
      </c>
      <c r="BA1845" s="82" t="s">
        <v>15984</v>
      </c>
      <c r="BB1845" s="82" t="s">
        <v>15984</v>
      </c>
      <c r="BC1845" s="82" t="s">
        <v>13441</v>
      </c>
      <c r="BD1845" s="77">
        <v>748960584</v>
      </c>
      <c r="BE1845" s="77"/>
      <c r="BF1845" s="77"/>
      <c r="BG1845" s="77"/>
      <c r="BH1845" s="77"/>
      <c r="BI1845" s="77"/>
    </row>
    <row r="1846" spans="1:61" x14ac:dyDescent="0.25">
      <c r="A1846" s="62" t="s">
        <v>697</v>
      </c>
      <c r="B1846" s="62" t="s">
        <v>697</v>
      </c>
      <c r="C1846" s="63"/>
      <c r="D1846" s="64"/>
      <c r="E1846" s="65"/>
      <c r="F1846" s="66"/>
      <c r="G1846" s="63"/>
      <c r="H1846" s="67"/>
      <c r="I1846" s="68"/>
      <c r="J1846" s="68"/>
      <c r="K1846" s="32"/>
      <c r="L1846" s="75">
        <v>1846</v>
      </c>
      <c r="M1846" s="75"/>
      <c r="N1846" s="70"/>
      <c r="O1846" s="77" t="s">
        <v>179</v>
      </c>
      <c r="P1846" s="79">
        <v>45125.238043981481</v>
      </c>
      <c r="Q1846" s="77" t="s">
        <v>2528</v>
      </c>
      <c r="R1846" s="77">
        <v>1</v>
      </c>
      <c r="S1846" s="77">
        <v>1</v>
      </c>
      <c r="T1846" s="77">
        <v>0</v>
      </c>
      <c r="U1846" s="77">
        <v>0</v>
      </c>
      <c r="V1846" s="77">
        <v>83</v>
      </c>
      <c r="W1846" s="82" t="s">
        <v>5786</v>
      </c>
      <c r="X1846" s="80" t="str">
        <f>HYPERLINK("https://javiermliron.blogspot.com/2023/07/ipc-andalucia-junio-2023.html")</f>
        <v>https://javiermliron.blogspot.com/2023/07/ipc-andalucia-junio-2023.html</v>
      </c>
      <c r="Y1846" s="77" t="s">
        <v>6532</v>
      </c>
      <c r="Z1846" s="77"/>
      <c r="AA1846" s="77" t="s">
        <v>7502</v>
      </c>
      <c r="AB1846" s="77" t="s">
        <v>7742</v>
      </c>
      <c r="AC1846" s="82" t="s">
        <v>7750</v>
      </c>
      <c r="AD1846" s="77" t="s">
        <v>7790</v>
      </c>
      <c r="AE1846" s="80" t="str">
        <f>HYPERLINK("https://twitter.com/jmendezliron/status/1681177676738883586")</f>
        <v>https://twitter.com/jmendezliron/status/1681177676738883586</v>
      </c>
      <c r="AF1846" s="79">
        <v>45125.238043981481</v>
      </c>
      <c r="AG1846" s="85">
        <v>45125</v>
      </c>
      <c r="AH1846" s="82" t="s">
        <v>9349</v>
      </c>
      <c r="AI1846" s="77" t="b">
        <v>0</v>
      </c>
      <c r="AJ1846" s="77"/>
      <c r="AK1846" s="77"/>
      <c r="AL1846" s="77"/>
      <c r="AM1846" s="77"/>
      <c r="AN1846" s="77"/>
      <c r="AO1846" s="77"/>
      <c r="AP1846" s="77"/>
      <c r="AQ1846" s="77" t="s">
        <v>11474</v>
      </c>
      <c r="AR1846" s="77"/>
      <c r="AS1846" s="77"/>
      <c r="AT1846" s="77"/>
      <c r="AU1846" s="77"/>
      <c r="AV1846" s="80" t="str">
        <f>HYPERLINK("https://pbs.twimg.com/media/F1S-EDnWYAEb2iu.png")</f>
        <v>https://pbs.twimg.com/media/F1S-EDnWYAEb2iu.png</v>
      </c>
      <c r="AW1846" s="82" t="s">
        <v>13442</v>
      </c>
      <c r="AX1846" s="82" t="s">
        <v>13442</v>
      </c>
      <c r="AY1846" s="77"/>
      <c r="AZ1846" s="82" t="s">
        <v>15984</v>
      </c>
      <c r="BA1846" s="82" t="s">
        <v>15984</v>
      </c>
      <c r="BB1846" s="82" t="s">
        <v>15984</v>
      </c>
      <c r="BC1846" s="82" t="s">
        <v>13442</v>
      </c>
      <c r="BD1846" s="77">
        <v>748960584</v>
      </c>
      <c r="BE1846" s="77"/>
      <c r="BF1846" s="77"/>
      <c r="BG1846" s="77"/>
      <c r="BH1846" s="77"/>
      <c r="BI1846" s="77"/>
    </row>
    <row r="1847" spans="1:61" x14ac:dyDescent="0.25">
      <c r="A1847" s="62" t="s">
        <v>697</v>
      </c>
      <c r="B1847" s="62" t="s">
        <v>697</v>
      </c>
      <c r="C1847" s="63"/>
      <c r="D1847" s="64"/>
      <c r="E1847" s="65"/>
      <c r="F1847" s="66"/>
      <c r="G1847" s="63"/>
      <c r="H1847" s="67"/>
      <c r="I1847" s="68"/>
      <c r="J1847" s="68"/>
      <c r="K1847" s="32"/>
      <c r="L1847" s="75">
        <v>1847</v>
      </c>
      <c r="M1847" s="75"/>
      <c r="N1847" s="70"/>
      <c r="O1847" s="77" t="s">
        <v>179</v>
      </c>
      <c r="P1847" s="79">
        <v>45169.732638888891</v>
      </c>
      <c r="Q1847" s="77" t="s">
        <v>2529</v>
      </c>
      <c r="R1847" s="77">
        <v>1</v>
      </c>
      <c r="S1847" s="77">
        <v>1</v>
      </c>
      <c r="T1847" s="77">
        <v>0</v>
      </c>
      <c r="U1847" s="77">
        <v>0</v>
      </c>
      <c r="V1847" s="77">
        <v>76</v>
      </c>
      <c r="W1847" s="82" t="s">
        <v>5787</v>
      </c>
      <c r="X1847" s="80" t="str">
        <f>HYPERLINK("https://javiermliron.blogspot.com/2023/08/indice-de-precios-industriales-madrid.html")</f>
        <v>https://javiermliron.blogspot.com/2023/08/indice-de-precios-industriales-madrid.html</v>
      </c>
      <c r="Y1847" s="77" t="s">
        <v>6532</v>
      </c>
      <c r="Z1847" s="77"/>
      <c r="AA1847" s="77" t="s">
        <v>7503</v>
      </c>
      <c r="AB1847" s="77" t="s">
        <v>7742</v>
      </c>
      <c r="AC1847" s="82" t="s">
        <v>7750</v>
      </c>
      <c r="AD1847" s="77" t="s">
        <v>7790</v>
      </c>
      <c r="AE1847" s="80" t="str">
        <f>HYPERLINK("https://twitter.com/jmendezliron/status/1697301978802520080")</f>
        <v>https://twitter.com/jmendezliron/status/1697301978802520080</v>
      </c>
      <c r="AF1847" s="79">
        <v>45169.732638888891</v>
      </c>
      <c r="AG1847" s="85">
        <v>45169</v>
      </c>
      <c r="AH1847" s="82" t="s">
        <v>9350</v>
      </c>
      <c r="AI1847" s="77" t="b">
        <v>0</v>
      </c>
      <c r="AJ1847" s="77"/>
      <c r="AK1847" s="77"/>
      <c r="AL1847" s="77"/>
      <c r="AM1847" s="77"/>
      <c r="AN1847" s="77"/>
      <c r="AO1847" s="77"/>
      <c r="AP1847" s="77"/>
      <c r="AQ1847" s="77" t="s">
        <v>11475</v>
      </c>
      <c r="AR1847" s="77"/>
      <c r="AS1847" s="77"/>
      <c r="AT1847" s="77"/>
      <c r="AU1847" s="77"/>
      <c r="AV1847" s="80" t="str">
        <f>HYPERLINK("https://pbs.twimg.com/media/F44HJtOWoAASj62.png")</f>
        <v>https://pbs.twimg.com/media/F44HJtOWoAASj62.png</v>
      </c>
      <c r="AW1847" s="82" t="s">
        <v>13443</v>
      </c>
      <c r="AX1847" s="82" t="s">
        <v>13443</v>
      </c>
      <c r="AY1847" s="77"/>
      <c r="AZ1847" s="82" t="s">
        <v>15984</v>
      </c>
      <c r="BA1847" s="82" t="s">
        <v>15984</v>
      </c>
      <c r="BB1847" s="82" t="s">
        <v>15984</v>
      </c>
      <c r="BC1847" s="82" t="s">
        <v>13443</v>
      </c>
      <c r="BD1847" s="77">
        <v>748960584</v>
      </c>
      <c r="BE1847" s="77"/>
      <c r="BF1847" s="77"/>
      <c r="BG1847" s="77"/>
      <c r="BH1847" s="77"/>
      <c r="BI1847" s="77"/>
    </row>
    <row r="1848" spans="1:61" x14ac:dyDescent="0.25">
      <c r="A1848" s="62" t="s">
        <v>697</v>
      </c>
      <c r="B1848" s="62" t="s">
        <v>697</v>
      </c>
      <c r="C1848" s="63"/>
      <c r="D1848" s="64"/>
      <c r="E1848" s="65"/>
      <c r="F1848" s="66"/>
      <c r="G1848" s="63"/>
      <c r="H1848" s="67"/>
      <c r="I1848" s="68"/>
      <c r="J1848" s="68"/>
      <c r="K1848" s="32"/>
      <c r="L1848" s="75">
        <v>1848</v>
      </c>
      <c r="M1848" s="75"/>
      <c r="N1848" s="70"/>
      <c r="O1848" s="77" t="s">
        <v>179</v>
      </c>
      <c r="P1848" s="79">
        <v>45132.225497685184</v>
      </c>
      <c r="Q1848" s="77" t="s">
        <v>2530</v>
      </c>
      <c r="R1848" s="77">
        <v>1</v>
      </c>
      <c r="S1848" s="77">
        <v>1</v>
      </c>
      <c r="T1848" s="77">
        <v>0</v>
      </c>
      <c r="U1848" s="77">
        <v>0</v>
      </c>
      <c r="V1848" s="77">
        <v>88</v>
      </c>
      <c r="W1848" s="82" t="s">
        <v>5788</v>
      </c>
      <c r="X1848" s="80" t="str">
        <f>HYPERLINK("https://javiermliron.blogspot.com/2023/07/indice-de-precios-industriales-espana.html")</f>
        <v>https://javiermliron.blogspot.com/2023/07/indice-de-precios-industriales-espana.html</v>
      </c>
      <c r="Y1848" s="77" t="s">
        <v>6532</v>
      </c>
      <c r="Z1848" s="77"/>
      <c r="AA1848" s="77" t="s">
        <v>7504</v>
      </c>
      <c r="AB1848" s="77" t="s">
        <v>7742</v>
      </c>
      <c r="AC1848" s="82" t="s">
        <v>7750</v>
      </c>
      <c r="AD1848" s="77" t="s">
        <v>7790</v>
      </c>
      <c r="AE1848" s="80" t="str">
        <f>HYPERLINK("https://twitter.com/jmendezliron/status/1683709843801100290")</f>
        <v>https://twitter.com/jmendezliron/status/1683709843801100290</v>
      </c>
      <c r="AF1848" s="79">
        <v>45132.225497685184</v>
      </c>
      <c r="AG1848" s="85">
        <v>45132</v>
      </c>
      <c r="AH1848" s="82" t="s">
        <v>9351</v>
      </c>
      <c r="AI1848" s="77" t="b">
        <v>0</v>
      </c>
      <c r="AJ1848" s="77"/>
      <c r="AK1848" s="77"/>
      <c r="AL1848" s="77"/>
      <c r="AM1848" s="77"/>
      <c r="AN1848" s="77"/>
      <c r="AO1848" s="77"/>
      <c r="AP1848" s="77"/>
      <c r="AQ1848" s="77" t="s">
        <v>11476</v>
      </c>
      <c r="AR1848" s="77"/>
      <c r="AS1848" s="77"/>
      <c r="AT1848" s="77"/>
      <c r="AU1848" s="77"/>
      <c r="AV1848" s="80" t="str">
        <f>HYPERLINK("https://pbs.twimg.com/media/F129K_AWYAAHl0S.png")</f>
        <v>https://pbs.twimg.com/media/F129K_AWYAAHl0S.png</v>
      </c>
      <c r="AW1848" s="82" t="s">
        <v>13444</v>
      </c>
      <c r="AX1848" s="82" t="s">
        <v>13444</v>
      </c>
      <c r="AY1848" s="77"/>
      <c r="AZ1848" s="82" t="s">
        <v>15984</v>
      </c>
      <c r="BA1848" s="82" t="s">
        <v>15984</v>
      </c>
      <c r="BB1848" s="82" t="s">
        <v>15984</v>
      </c>
      <c r="BC1848" s="82" t="s">
        <v>13444</v>
      </c>
      <c r="BD1848" s="77">
        <v>748960584</v>
      </c>
      <c r="BE1848" s="77"/>
      <c r="BF1848" s="77"/>
      <c r="BG1848" s="77"/>
      <c r="BH1848" s="77"/>
      <c r="BI1848" s="77"/>
    </row>
    <row r="1849" spans="1:61" x14ac:dyDescent="0.25">
      <c r="A1849" s="62" t="s">
        <v>697</v>
      </c>
      <c r="B1849" s="62" t="s">
        <v>697</v>
      </c>
      <c r="C1849" s="63"/>
      <c r="D1849" s="64"/>
      <c r="E1849" s="65"/>
      <c r="F1849" s="66"/>
      <c r="G1849" s="63"/>
      <c r="H1849" s="67"/>
      <c r="I1849" s="68"/>
      <c r="J1849" s="68"/>
      <c r="K1849" s="32"/>
      <c r="L1849" s="75">
        <v>1849</v>
      </c>
      <c r="M1849" s="75"/>
      <c r="N1849" s="70"/>
      <c r="O1849" s="77" t="s">
        <v>179</v>
      </c>
      <c r="P1849" s="79">
        <v>45175.264525462961</v>
      </c>
      <c r="Q1849" s="77" t="s">
        <v>2531</v>
      </c>
      <c r="R1849" s="77">
        <v>1</v>
      </c>
      <c r="S1849" s="77">
        <v>1</v>
      </c>
      <c r="T1849" s="77">
        <v>0</v>
      </c>
      <c r="U1849" s="77">
        <v>0</v>
      </c>
      <c r="V1849" s="77">
        <v>59</v>
      </c>
      <c r="W1849" s="82" t="s">
        <v>5789</v>
      </c>
      <c r="X1849" s="80" t="str">
        <f>HYPERLINK("https://javiermliron.blogspot.com/2023/09/paro-registrado-en-castilla-y-leon-por.html")</f>
        <v>https://javiermliron.blogspot.com/2023/09/paro-registrado-en-castilla-y-leon-por.html</v>
      </c>
      <c r="Y1849" s="77" t="s">
        <v>6532</v>
      </c>
      <c r="Z1849" s="77"/>
      <c r="AA1849" s="77" t="s">
        <v>7505</v>
      </c>
      <c r="AB1849" s="77" t="s">
        <v>7742</v>
      </c>
      <c r="AC1849" s="82" t="s">
        <v>7750</v>
      </c>
      <c r="AD1849" s="77" t="s">
        <v>7790</v>
      </c>
      <c r="AE1849" s="80" t="str">
        <f>HYPERLINK("https://twitter.com/jmendezliron/status/1699306666183790882")</f>
        <v>https://twitter.com/jmendezliron/status/1699306666183790882</v>
      </c>
      <c r="AF1849" s="79">
        <v>45175.264525462961</v>
      </c>
      <c r="AG1849" s="85">
        <v>45175</v>
      </c>
      <c r="AH1849" s="82" t="s">
        <v>9352</v>
      </c>
      <c r="AI1849" s="77" t="b">
        <v>0</v>
      </c>
      <c r="AJ1849" s="77"/>
      <c r="AK1849" s="77"/>
      <c r="AL1849" s="77"/>
      <c r="AM1849" s="77"/>
      <c r="AN1849" s="77"/>
      <c r="AO1849" s="77"/>
      <c r="AP1849" s="77"/>
      <c r="AQ1849" s="77" t="s">
        <v>11477</v>
      </c>
      <c r="AR1849" s="77"/>
      <c r="AS1849" s="77"/>
      <c r="AT1849" s="77"/>
      <c r="AU1849" s="77"/>
      <c r="AV1849" s="80" t="str">
        <f>HYPERLINK("https://pbs.twimg.com/media/F5UmZXnXoAAe-7Y.png")</f>
        <v>https://pbs.twimg.com/media/F5UmZXnXoAAe-7Y.png</v>
      </c>
      <c r="AW1849" s="82" t="s">
        <v>13445</v>
      </c>
      <c r="AX1849" s="82" t="s">
        <v>13445</v>
      </c>
      <c r="AY1849" s="77"/>
      <c r="AZ1849" s="82" t="s">
        <v>15984</v>
      </c>
      <c r="BA1849" s="82" t="s">
        <v>15984</v>
      </c>
      <c r="BB1849" s="82" t="s">
        <v>15984</v>
      </c>
      <c r="BC1849" s="82" t="s">
        <v>13445</v>
      </c>
      <c r="BD1849" s="77">
        <v>748960584</v>
      </c>
      <c r="BE1849" s="77"/>
      <c r="BF1849" s="77"/>
      <c r="BG1849" s="77"/>
      <c r="BH1849" s="77"/>
      <c r="BI1849" s="77"/>
    </row>
    <row r="1850" spans="1:61" x14ac:dyDescent="0.25">
      <c r="A1850" s="62" t="s">
        <v>697</v>
      </c>
      <c r="B1850" s="62" t="s">
        <v>697</v>
      </c>
      <c r="C1850" s="63"/>
      <c r="D1850" s="64"/>
      <c r="E1850" s="65"/>
      <c r="F1850" s="66"/>
      <c r="G1850" s="63"/>
      <c r="H1850" s="67"/>
      <c r="I1850" s="68"/>
      <c r="J1850" s="68"/>
      <c r="K1850" s="32"/>
      <c r="L1850" s="75">
        <v>1850</v>
      </c>
      <c r="M1850" s="75"/>
      <c r="N1850" s="70"/>
      <c r="O1850" s="77" t="s">
        <v>179</v>
      </c>
      <c r="P1850" s="79">
        <v>45175.258506944447</v>
      </c>
      <c r="Q1850" s="77" t="s">
        <v>2532</v>
      </c>
      <c r="R1850" s="77">
        <v>1</v>
      </c>
      <c r="S1850" s="77">
        <v>1</v>
      </c>
      <c r="T1850" s="77">
        <v>0</v>
      </c>
      <c r="U1850" s="77">
        <v>0</v>
      </c>
      <c r="V1850" s="77">
        <v>56</v>
      </c>
      <c r="W1850" s="82" t="s">
        <v>5790</v>
      </c>
      <c r="X1850" s="80" t="str">
        <f>HYPERLINK("https://javiermliron.blogspot.com/2023/09/hipotecas-en-andalucia-junio-2023.html")</f>
        <v>https://javiermliron.blogspot.com/2023/09/hipotecas-en-andalucia-junio-2023.html</v>
      </c>
      <c r="Y1850" s="77" t="s">
        <v>6532</v>
      </c>
      <c r="Z1850" s="77"/>
      <c r="AA1850" s="77" t="s">
        <v>7506</v>
      </c>
      <c r="AB1850" s="77" t="s">
        <v>7742</v>
      </c>
      <c r="AC1850" s="82" t="s">
        <v>7750</v>
      </c>
      <c r="AD1850" s="77" t="s">
        <v>7790</v>
      </c>
      <c r="AE1850" s="80" t="str">
        <f>HYPERLINK("https://twitter.com/jmendezliron/status/1699304486219432326")</f>
        <v>https://twitter.com/jmendezliron/status/1699304486219432326</v>
      </c>
      <c r="AF1850" s="79">
        <v>45175.258506944447</v>
      </c>
      <c r="AG1850" s="85">
        <v>45175</v>
      </c>
      <c r="AH1850" s="82" t="s">
        <v>9353</v>
      </c>
      <c r="AI1850" s="77" t="b">
        <v>0</v>
      </c>
      <c r="AJ1850" s="77"/>
      <c r="AK1850" s="77"/>
      <c r="AL1850" s="77"/>
      <c r="AM1850" s="77"/>
      <c r="AN1850" s="77"/>
      <c r="AO1850" s="77"/>
      <c r="AP1850" s="77"/>
      <c r="AQ1850" s="77" t="s">
        <v>11478</v>
      </c>
      <c r="AR1850" s="77"/>
      <c r="AS1850" s="77"/>
      <c r="AT1850" s="77"/>
      <c r="AU1850" s="77"/>
      <c r="AV1850" s="80" t="str">
        <f>HYPERLINK("https://pbs.twimg.com/media/F5UkaVSXkAErkvg.jpg")</f>
        <v>https://pbs.twimg.com/media/F5UkaVSXkAErkvg.jpg</v>
      </c>
      <c r="AW1850" s="82" t="s">
        <v>13446</v>
      </c>
      <c r="AX1850" s="82" t="s">
        <v>13446</v>
      </c>
      <c r="AY1850" s="77"/>
      <c r="AZ1850" s="82" t="s">
        <v>15984</v>
      </c>
      <c r="BA1850" s="82" t="s">
        <v>15984</v>
      </c>
      <c r="BB1850" s="82" t="s">
        <v>15984</v>
      </c>
      <c r="BC1850" s="82" t="s">
        <v>13446</v>
      </c>
      <c r="BD1850" s="77">
        <v>748960584</v>
      </c>
      <c r="BE1850" s="77"/>
      <c r="BF1850" s="77"/>
      <c r="BG1850" s="77"/>
      <c r="BH1850" s="77"/>
      <c r="BI1850" s="77"/>
    </row>
    <row r="1851" spans="1:61" x14ac:dyDescent="0.25">
      <c r="A1851" s="62" t="s">
        <v>697</v>
      </c>
      <c r="B1851" s="62" t="s">
        <v>697</v>
      </c>
      <c r="C1851" s="63"/>
      <c r="D1851" s="64"/>
      <c r="E1851" s="65"/>
      <c r="F1851" s="66"/>
      <c r="G1851" s="63"/>
      <c r="H1851" s="67"/>
      <c r="I1851" s="68"/>
      <c r="J1851" s="68"/>
      <c r="K1851" s="32"/>
      <c r="L1851" s="75">
        <v>1851</v>
      </c>
      <c r="M1851" s="75"/>
      <c r="N1851" s="70"/>
      <c r="O1851" s="77" t="s">
        <v>179</v>
      </c>
      <c r="P1851" s="79">
        <v>45134.734363425923</v>
      </c>
      <c r="Q1851" s="77" t="s">
        <v>2533</v>
      </c>
      <c r="R1851" s="77">
        <v>1</v>
      </c>
      <c r="S1851" s="77">
        <v>1</v>
      </c>
      <c r="T1851" s="77">
        <v>0</v>
      </c>
      <c r="U1851" s="77">
        <v>0</v>
      </c>
      <c r="V1851" s="77">
        <v>85</v>
      </c>
      <c r="W1851" s="82" t="s">
        <v>5791</v>
      </c>
      <c r="X1851" s="80" t="str">
        <f>HYPERLINK("https://javiermliron.blogspot.com/2023/07/indice-de-precios-industriales.html")</f>
        <v>https://javiermliron.blogspot.com/2023/07/indice-de-precios-industriales.html</v>
      </c>
      <c r="Y1851" s="77" t="s">
        <v>6532</v>
      </c>
      <c r="Z1851" s="77"/>
      <c r="AA1851" s="77" t="s">
        <v>7507</v>
      </c>
      <c r="AB1851" s="77" t="s">
        <v>7742</v>
      </c>
      <c r="AC1851" s="82" t="s">
        <v>7750</v>
      </c>
      <c r="AD1851" s="77" t="s">
        <v>7790</v>
      </c>
      <c r="AE1851" s="80" t="str">
        <f>HYPERLINK("https://twitter.com/jmendezliron/status/1684619028382269440")</f>
        <v>https://twitter.com/jmendezliron/status/1684619028382269440</v>
      </c>
      <c r="AF1851" s="79">
        <v>45134.734363425923</v>
      </c>
      <c r="AG1851" s="85">
        <v>45134</v>
      </c>
      <c r="AH1851" s="82" t="s">
        <v>9354</v>
      </c>
      <c r="AI1851" s="77" t="b">
        <v>0</v>
      </c>
      <c r="AJ1851" s="77"/>
      <c r="AK1851" s="77"/>
      <c r="AL1851" s="77"/>
      <c r="AM1851" s="77"/>
      <c r="AN1851" s="77"/>
      <c r="AO1851" s="77"/>
      <c r="AP1851" s="77"/>
      <c r="AQ1851" s="77" t="s">
        <v>11479</v>
      </c>
      <c r="AR1851" s="77"/>
      <c r="AS1851" s="77"/>
      <c r="AT1851" s="77"/>
      <c r="AU1851" s="77"/>
      <c r="AV1851" s="80" t="str">
        <f>HYPERLINK("https://pbs.twimg.com/media/F2D4Er1XoAAWwW2.png")</f>
        <v>https://pbs.twimg.com/media/F2D4Er1XoAAWwW2.png</v>
      </c>
      <c r="AW1851" s="82" t="s">
        <v>13447</v>
      </c>
      <c r="AX1851" s="82" t="s">
        <v>13447</v>
      </c>
      <c r="AY1851" s="77"/>
      <c r="AZ1851" s="82" t="s">
        <v>15984</v>
      </c>
      <c r="BA1851" s="82" t="s">
        <v>15984</v>
      </c>
      <c r="BB1851" s="82" t="s">
        <v>15984</v>
      </c>
      <c r="BC1851" s="82" t="s">
        <v>13447</v>
      </c>
      <c r="BD1851" s="77">
        <v>748960584</v>
      </c>
      <c r="BE1851" s="77"/>
      <c r="BF1851" s="77"/>
      <c r="BG1851" s="77"/>
      <c r="BH1851" s="77"/>
      <c r="BI1851" s="77"/>
    </row>
    <row r="1852" spans="1:61" x14ac:dyDescent="0.25">
      <c r="A1852" s="62" t="s">
        <v>697</v>
      </c>
      <c r="B1852" s="62" t="s">
        <v>697</v>
      </c>
      <c r="C1852" s="63"/>
      <c r="D1852" s="64"/>
      <c r="E1852" s="65"/>
      <c r="F1852" s="66"/>
      <c r="G1852" s="63"/>
      <c r="H1852" s="67"/>
      <c r="I1852" s="68"/>
      <c r="J1852" s="68"/>
      <c r="K1852" s="32"/>
      <c r="L1852" s="75">
        <v>1852</v>
      </c>
      <c r="M1852" s="75"/>
      <c r="N1852" s="70"/>
      <c r="O1852" s="77" t="s">
        <v>898</v>
      </c>
      <c r="P1852" s="79">
        <v>45127.249224537038</v>
      </c>
      <c r="Q1852" s="77" t="s">
        <v>2534</v>
      </c>
      <c r="R1852" s="77">
        <v>1</v>
      </c>
      <c r="S1852" s="77">
        <v>1</v>
      </c>
      <c r="T1852" s="77">
        <v>0</v>
      </c>
      <c r="U1852" s="77">
        <v>0</v>
      </c>
      <c r="V1852" s="77">
        <v>94</v>
      </c>
      <c r="W1852" s="82" t="s">
        <v>5792</v>
      </c>
      <c r="X1852" s="80" t="str">
        <f>HYPERLINK("https://javiermliron.blogspot.com/2023/07/paro-registrado-en-las-capitales-de.html")</f>
        <v>https://javiermliron.blogspot.com/2023/07/paro-registrado-en-las-capitales-de.html</v>
      </c>
      <c r="Y1852" s="77" t="s">
        <v>6532</v>
      </c>
      <c r="Z1852" s="77"/>
      <c r="AA1852" s="77"/>
      <c r="AB1852" s="77"/>
      <c r="AC1852" s="82" t="s">
        <v>7750</v>
      </c>
      <c r="AD1852" s="77" t="s">
        <v>7790</v>
      </c>
      <c r="AE1852" s="80" t="str">
        <f>HYPERLINK("https://twitter.com/jmendezliron/status/1681906502372675584")</f>
        <v>https://twitter.com/jmendezliron/status/1681906502372675584</v>
      </c>
      <c r="AF1852" s="79">
        <v>45127.249224537038</v>
      </c>
      <c r="AG1852" s="85">
        <v>45127</v>
      </c>
      <c r="AH1852" s="82" t="s">
        <v>9355</v>
      </c>
      <c r="AI1852" s="77" t="b">
        <v>0</v>
      </c>
      <c r="AJ1852" s="77"/>
      <c r="AK1852" s="77"/>
      <c r="AL1852" s="77"/>
      <c r="AM1852" s="77"/>
      <c r="AN1852" s="77"/>
      <c r="AO1852" s="77"/>
      <c r="AP1852" s="77"/>
      <c r="AQ1852" s="77"/>
      <c r="AR1852" s="77"/>
      <c r="AS1852" s="77"/>
      <c r="AT1852" s="77"/>
      <c r="AU1852" s="77"/>
      <c r="AV1852" s="80" t="str">
        <f>HYPERLINK("https://pbs.twimg.com/profile_images/612292231358246912/gMKxM5xX_normal.jpg")</f>
        <v>https://pbs.twimg.com/profile_images/612292231358246912/gMKxM5xX_normal.jpg</v>
      </c>
      <c r="AW1852" s="82" t="s">
        <v>13448</v>
      </c>
      <c r="AX1852" s="82" t="s">
        <v>15889</v>
      </c>
      <c r="AY1852" s="82" t="s">
        <v>15975</v>
      </c>
      <c r="AZ1852" s="82" t="s">
        <v>15889</v>
      </c>
      <c r="BA1852" s="82" t="s">
        <v>15984</v>
      </c>
      <c r="BB1852" s="82" t="s">
        <v>15984</v>
      </c>
      <c r="BC1852" s="82" t="s">
        <v>15889</v>
      </c>
      <c r="BD1852" s="77">
        <v>748960584</v>
      </c>
      <c r="BE1852" s="77"/>
      <c r="BF1852" s="77"/>
      <c r="BG1852" s="77"/>
      <c r="BH1852" s="77"/>
      <c r="BI1852" s="77"/>
    </row>
    <row r="1853" spans="1:61" x14ac:dyDescent="0.25">
      <c r="A1853" s="62" t="s">
        <v>697</v>
      </c>
      <c r="B1853" s="62" t="s">
        <v>697</v>
      </c>
      <c r="C1853" s="63"/>
      <c r="D1853" s="64"/>
      <c r="E1853" s="65"/>
      <c r="F1853" s="66"/>
      <c r="G1853" s="63"/>
      <c r="H1853" s="67"/>
      <c r="I1853" s="68"/>
      <c r="J1853" s="68"/>
      <c r="K1853" s="32"/>
      <c r="L1853" s="75">
        <v>1853</v>
      </c>
      <c r="M1853" s="75"/>
      <c r="N1853" s="70"/>
      <c r="O1853" s="77" t="s">
        <v>898</v>
      </c>
      <c r="P1853" s="79">
        <v>45174.74554398148</v>
      </c>
      <c r="Q1853" s="77" t="s">
        <v>2535</v>
      </c>
      <c r="R1853" s="77">
        <v>1</v>
      </c>
      <c r="S1853" s="77">
        <v>1</v>
      </c>
      <c r="T1853" s="77">
        <v>0</v>
      </c>
      <c r="U1853" s="77">
        <v>0</v>
      </c>
      <c r="V1853" s="77">
        <v>56</v>
      </c>
      <c r="W1853" s="82" t="s">
        <v>5793</v>
      </c>
      <c r="X1853" s="80" t="str">
        <f>HYPERLINK("https://javiermliron.blogspot.com/2023/09/hipotecas-en-castilla-y-leon-junio-2023.html")</f>
        <v>https://javiermliron.blogspot.com/2023/09/hipotecas-en-castilla-y-leon-junio-2023.html</v>
      </c>
      <c r="Y1853" s="77" t="s">
        <v>6532</v>
      </c>
      <c r="Z1853" s="77"/>
      <c r="AA1853" s="77"/>
      <c r="AB1853" s="77"/>
      <c r="AC1853" s="82" t="s">
        <v>7750</v>
      </c>
      <c r="AD1853" s="77" t="s">
        <v>7790</v>
      </c>
      <c r="AE1853" s="80" t="str">
        <f>HYPERLINK("https://twitter.com/jmendezliron/status/1699118593122918433")</f>
        <v>https://twitter.com/jmendezliron/status/1699118593122918433</v>
      </c>
      <c r="AF1853" s="79">
        <v>45174.74554398148</v>
      </c>
      <c r="AG1853" s="85">
        <v>45174</v>
      </c>
      <c r="AH1853" s="82" t="s">
        <v>9356</v>
      </c>
      <c r="AI1853" s="77" t="b">
        <v>0</v>
      </c>
      <c r="AJ1853" s="77"/>
      <c r="AK1853" s="77"/>
      <c r="AL1853" s="77"/>
      <c r="AM1853" s="77"/>
      <c r="AN1853" s="77"/>
      <c r="AO1853" s="77"/>
      <c r="AP1853" s="77"/>
      <c r="AQ1853" s="77"/>
      <c r="AR1853" s="77"/>
      <c r="AS1853" s="77"/>
      <c r="AT1853" s="77"/>
      <c r="AU1853" s="77"/>
      <c r="AV1853" s="80" t="str">
        <f>HYPERLINK("https://pbs.twimg.com/profile_images/612292231358246912/gMKxM5xX_normal.jpg")</f>
        <v>https://pbs.twimg.com/profile_images/612292231358246912/gMKxM5xX_normal.jpg</v>
      </c>
      <c r="AW1853" s="82" t="s">
        <v>13449</v>
      </c>
      <c r="AX1853" s="82" t="s">
        <v>15890</v>
      </c>
      <c r="AY1853" s="82" t="s">
        <v>15975</v>
      </c>
      <c r="AZ1853" s="82" t="s">
        <v>15890</v>
      </c>
      <c r="BA1853" s="82" t="s">
        <v>15984</v>
      </c>
      <c r="BB1853" s="82" t="s">
        <v>15984</v>
      </c>
      <c r="BC1853" s="82" t="s">
        <v>15890</v>
      </c>
      <c r="BD1853" s="77">
        <v>748960584</v>
      </c>
      <c r="BE1853" s="77"/>
      <c r="BF1853" s="77"/>
      <c r="BG1853" s="77"/>
      <c r="BH1853" s="77"/>
      <c r="BI1853" s="77"/>
    </row>
    <row r="1854" spans="1:61" x14ac:dyDescent="0.25">
      <c r="A1854" s="62" t="s">
        <v>697</v>
      </c>
      <c r="B1854" s="62" t="s">
        <v>697</v>
      </c>
      <c r="C1854" s="63"/>
      <c r="D1854" s="64"/>
      <c r="E1854" s="65"/>
      <c r="F1854" s="66"/>
      <c r="G1854" s="63"/>
      <c r="H1854" s="67"/>
      <c r="I1854" s="68"/>
      <c r="J1854" s="68"/>
      <c r="K1854" s="32"/>
      <c r="L1854" s="75">
        <v>1854</v>
      </c>
      <c r="M1854" s="75"/>
      <c r="N1854" s="70"/>
      <c r="O1854" s="77" t="s">
        <v>179</v>
      </c>
      <c r="P1854" s="79">
        <v>45173.24386574074</v>
      </c>
      <c r="Q1854" s="77" t="s">
        <v>2536</v>
      </c>
      <c r="R1854" s="77">
        <v>1</v>
      </c>
      <c r="S1854" s="77">
        <v>1</v>
      </c>
      <c r="T1854" s="77">
        <v>0</v>
      </c>
      <c r="U1854" s="77">
        <v>0</v>
      </c>
      <c r="V1854" s="77">
        <v>70</v>
      </c>
      <c r="W1854" s="82" t="s">
        <v>5794</v>
      </c>
      <c r="X1854" s="80" t="str">
        <f>HYPERLINK("https://javiermliron.blogspot.com/2023/09/hipotecas-en-espana-junio-2023.html")</f>
        <v>https://javiermliron.blogspot.com/2023/09/hipotecas-en-espana-junio-2023.html</v>
      </c>
      <c r="Y1854" s="77" t="s">
        <v>6532</v>
      </c>
      <c r="Z1854" s="77"/>
      <c r="AA1854" s="77" t="s">
        <v>7508</v>
      </c>
      <c r="AB1854" s="77" t="s">
        <v>7742</v>
      </c>
      <c r="AC1854" s="82" t="s">
        <v>7750</v>
      </c>
      <c r="AD1854" s="77" t="s">
        <v>7790</v>
      </c>
      <c r="AE1854" s="80" t="str">
        <f>HYPERLINK("https://twitter.com/jmendezliron/status/1698574403724787965")</f>
        <v>https://twitter.com/jmendezliron/status/1698574403724787965</v>
      </c>
      <c r="AF1854" s="79">
        <v>45173.24386574074</v>
      </c>
      <c r="AG1854" s="85">
        <v>45173</v>
      </c>
      <c r="AH1854" s="82" t="s">
        <v>9357</v>
      </c>
      <c r="AI1854" s="77" t="b">
        <v>0</v>
      </c>
      <c r="AJ1854" s="77"/>
      <c r="AK1854" s="77"/>
      <c r="AL1854" s="77"/>
      <c r="AM1854" s="77"/>
      <c r="AN1854" s="77"/>
      <c r="AO1854" s="77"/>
      <c r="AP1854" s="77"/>
      <c r="AQ1854" s="77" t="s">
        <v>11480</v>
      </c>
      <c r="AR1854" s="77"/>
      <c r="AS1854" s="77"/>
      <c r="AT1854" s="77"/>
      <c r="AU1854" s="77"/>
      <c r="AV1854" s="80" t="str">
        <f>HYPERLINK("https://pbs.twimg.com/media/F5KMaOPXoAAjK0e.jpg")</f>
        <v>https://pbs.twimg.com/media/F5KMaOPXoAAjK0e.jpg</v>
      </c>
      <c r="AW1854" s="82" t="s">
        <v>13450</v>
      </c>
      <c r="AX1854" s="82" t="s">
        <v>13450</v>
      </c>
      <c r="AY1854" s="77"/>
      <c r="AZ1854" s="82" t="s">
        <v>15984</v>
      </c>
      <c r="BA1854" s="82" t="s">
        <v>15984</v>
      </c>
      <c r="BB1854" s="82" t="s">
        <v>15984</v>
      </c>
      <c r="BC1854" s="82" t="s">
        <v>13450</v>
      </c>
      <c r="BD1854" s="77">
        <v>748960584</v>
      </c>
      <c r="BE1854" s="77"/>
      <c r="BF1854" s="77"/>
      <c r="BG1854" s="77"/>
      <c r="BH1854" s="77"/>
      <c r="BI1854" s="77"/>
    </row>
    <row r="1855" spans="1:61" x14ac:dyDescent="0.25">
      <c r="A1855" s="62" t="s">
        <v>697</v>
      </c>
      <c r="B1855" s="62" t="s">
        <v>697</v>
      </c>
      <c r="C1855" s="63"/>
      <c r="D1855" s="64"/>
      <c r="E1855" s="65"/>
      <c r="F1855" s="66"/>
      <c r="G1855" s="63"/>
      <c r="H1855" s="67"/>
      <c r="I1855" s="68"/>
      <c r="J1855" s="68"/>
      <c r="K1855" s="32"/>
      <c r="L1855" s="75">
        <v>1855</v>
      </c>
      <c r="M1855" s="75"/>
      <c r="N1855" s="70"/>
      <c r="O1855" s="77" t="s">
        <v>179</v>
      </c>
      <c r="P1855" s="79">
        <v>45166.20140046296</v>
      </c>
      <c r="Q1855" s="77" t="s">
        <v>2537</v>
      </c>
      <c r="R1855" s="77">
        <v>1</v>
      </c>
      <c r="S1855" s="77">
        <v>1</v>
      </c>
      <c r="T1855" s="77">
        <v>0</v>
      </c>
      <c r="U1855" s="77">
        <v>0</v>
      </c>
      <c r="V1855" s="77">
        <v>79</v>
      </c>
      <c r="W1855" s="82" t="s">
        <v>5788</v>
      </c>
      <c r="X1855" s="80" t="str">
        <f>HYPERLINK("https://javiermliron.blogspot.com/2023/08/indice-de-precios-industriales-espana.html")</f>
        <v>https://javiermliron.blogspot.com/2023/08/indice-de-precios-industriales-espana.html</v>
      </c>
      <c r="Y1855" s="77" t="s">
        <v>6532</v>
      </c>
      <c r="Z1855" s="77"/>
      <c r="AA1855" s="77" t="s">
        <v>7509</v>
      </c>
      <c r="AB1855" s="77" t="s">
        <v>7742</v>
      </c>
      <c r="AC1855" s="82" t="s">
        <v>7750</v>
      </c>
      <c r="AD1855" s="77" t="s">
        <v>7790</v>
      </c>
      <c r="AE1855" s="80" t="str">
        <f>HYPERLINK("https://twitter.com/jmendezliron/status/1696022300322058670")</f>
        <v>https://twitter.com/jmendezliron/status/1696022300322058670</v>
      </c>
      <c r="AF1855" s="79">
        <v>45166.20140046296</v>
      </c>
      <c r="AG1855" s="85">
        <v>45166</v>
      </c>
      <c r="AH1855" s="82" t="s">
        <v>9358</v>
      </c>
      <c r="AI1855" s="77" t="b">
        <v>0</v>
      </c>
      <c r="AJ1855" s="77"/>
      <c r="AK1855" s="77"/>
      <c r="AL1855" s="77"/>
      <c r="AM1855" s="77"/>
      <c r="AN1855" s="77"/>
      <c r="AO1855" s="77"/>
      <c r="AP1855" s="77"/>
      <c r="AQ1855" s="77" t="s">
        <v>11481</v>
      </c>
      <c r="AR1855" s="77"/>
      <c r="AS1855" s="77"/>
      <c r="AT1855" s="77"/>
      <c r="AU1855" s="77"/>
      <c r="AV1855" s="80" t="str">
        <f>HYPERLINK("https://pbs.twimg.com/media/F4l7QhBW4AECekG.png")</f>
        <v>https://pbs.twimg.com/media/F4l7QhBW4AECekG.png</v>
      </c>
      <c r="AW1855" s="82" t="s">
        <v>13451</v>
      </c>
      <c r="AX1855" s="82" t="s">
        <v>13451</v>
      </c>
      <c r="AY1855" s="77"/>
      <c r="AZ1855" s="82" t="s">
        <v>15984</v>
      </c>
      <c r="BA1855" s="82" t="s">
        <v>15984</v>
      </c>
      <c r="BB1855" s="82" t="s">
        <v>15984</v>
      </c>
      <c r="BC1855" s="82" t="s">
        <v>13451</v>
      </c>
      <c r="BD1855" s="77">
        <v>748960584</v>
      </c>
      <c r="BE1855" s="77"/>
      <c r="BF1855" s="77"/>
      <c r="BG1855" s="77"/>
      <c r="BH1855" s="77"/>
      <c r="BI1855" s="77"/>
    </row>
    <row r="1856" spans="1:61" x14ac:dyDescent="0.25">
      <c r="A1856" s="62" t="s">
        <v>697</v>
      </c>
      <c r="B1856" s="62" t="s">
        <v>697</v>
      </c>
      <c r="C1856" s="63"/>
      <c r="D1856" s="64"/>
      <c r="E1856" s="65"/>
      <c r="F1856" s="66"/>
      <c r="G1856" s="63"/>
      <c r="H1856" s="67"/>
      <c r="I1856" s="68"/>
      <c r="J1856" s="68"/>
      <c r="K1856" s="32"/>
      <c r="L1856" s="75">
        <v>1856</v>
      </c>
      <c r="M1856" s="75"/>
      <c r="N1856" s="70"/>
      <c r="O1856" s="77" t="s">
        <v>179</v>
      </c>
      <c r="P1856" s="79">
        <v>45148.740682870368</v>
      </c>
      <c r="Q1856" s="77" t="s">
        <v>2538</v>
      </c>
      <c r="R1856" s="77">
        <v>1</v>
      </c>
      <c r="S1856" s="77">
        <v>1</v>
      </c>
      <c r="T1856" s="77">
        <v>1</v>
      </c>
      <c r="U1856" s="77">
        <v>0</v>
      </c>
      <c r="V1856" s="77">
        <v>79</v>
      </c>
      <c r="W1856" s="82" t="s">
        <v>5775</v>
      </c>
      <c r="X1856" s="80" t="str">
        <f>HYPERLINK("https://javiermliron.blogspot.com/2023/08/contratos-registrados-45-en-espana.html")</f>
        <v>https://javiermliron.blogspot.com/2023/08/contratos-registrados-45-en-espana.html</v>
      </c>
      <c r="Y1856" s="77" t="s">
        <v>6532</v>
      </c>
      <c r="Z1856" s="77"/>
      <c r="AA1856" s="77" t="s">
        <v>7510</v>
      </c>
      <c r="AB1856" s="77" t="s">
        <v>7742</v>
      </c>
      <c r="AC1856" s="82" t="s">
        <v>7750</v>
      </c>
      <c r="AD1856" s="77" t="s">
        <v>7790</v>
      </c>
      <c r="AE1856" s="80" t="str">
        <f>HYPERLINK("https://twitter.com/jmendezliron/status/1689694747282280448")</f>
        <v>https://twitter.com/jmendezliron/status/1689694747282280448</v>
      </c>
      <c r="AF1856" s="79">
        <v>45148.740682870368</v>
      </c>
      <c r="AG1856" s="85">
        <v>45148</v>
      </c>
      <c r="AH1856" s="82" t="s">
        <v>9359</v>
      </c>
      <c r="AI1856" s="77" t="b">
        <v>0</v>
      </c>
      <c r="AJ1856" s="77"/>
      <c r="AK1856" s="77"/>
      <c r="AL1856" s="77"/>
      <c r="AM1856" s="77"/>
      <c r="AN1856" s="77"/>
      <c r="AO1856" s="77"/>
      <c r="AP1856" s="77"/>
      <c r="AQ1856" s="77" t="s">
        <v>11482</v>
      </c>
      <c r="AR1856" s="77"/>
      <c r="AS1856" s="77"/>
      <c r="AT1856" s="77"/>
      <c r="AU1856" s="77"/>
      <c r="AV1856" s="80" t="str">
        <f>HYPERLINK("https://pbs.twimg.com/media/F3MAaZnW0AE-SU4.png")</f>
        <v>https://pbs.twimg.com/media/F3MAaZnW0AE-SU4.png</v>
      </c>
      <c r="AW1856" s="82" t="s">
        <v>13452</v>
      </c>
      <c r="AX1856" s="82" t="s">
        <v>13452</v>
      </c>
      <c r="AY1856" s="77"/>
      <c r="AZ1856" s="82" t="s">
        <v>15984</v>
      </c>
      <c r="BA1856" s="82" t="s">
        <v>15984</v>
      </c>
      <c r="BB1856" s="82" t="s">
        <v>15984</v>
      </c>
      <c r="BC1856" s="82" t="s">
        <v>13452</v>
      </c>
      <c r="BD1856" s="77">
        <v>748960584</v>
      </c>
      <c r="BE1856" s="77"/>
      <c r="BF1856" s="77"/>
      <c r="BG1856" s="77"/>
      <c r="BH1856" s="77"/>
      <c r="BI1856" s="77"/>
    </row>
    <row r="1857" spans="1:61" x14ac:dyDescent="0.25">
      <c r="A1857" s="62" t="s">
        <v>697</v>
      </c>
      <c r="B1857" s="62" t="s">
        <v>697</v>
      </c>
      <c r="C1857" s="63"/>
      <c r="D1857" s="64"/>
      <c r="E1857" s="65"/>
      <c r="F1857" s="66"/>
      <c r="G1857" s="63"/>
      <c r="H1857" s="67"/>
      <c r="I1857" s="68"/>
      <c r="J1857" s="68"/>
      <c r="K1857" s="32"/>
      <c r="L1857" s="75">
        <v>1857</v>
      </c>
      <c r="M1857" s="75"/>
      <c r="N1857" s="70"/>
      <c r="O1857" s="77" t="s">
        <v>898</v>
      </c>
      <c r="P1857" s="79">
        <v>45131.769467592596</v>
      </c>
      <c r="Q1857" s="77" t="s">
        <v>2539</v>
      </c>
      <c r="R1857" s="77">
        <v>1</v>
      </c>
      <c r="S1857" s="77">
        <v>1</v>
      </c>
      <c r="T1857" s="77">
        <v>0</v>
      </c>
      <c r="U1857" s="77">
        <v>0</v>
      </c>
      <c r="V1857" s="77">
        <v>87</v>
      </c>
      <c r="W1857" s="82" t="s">
        <v>5778</v>
      </c>
      <c r="X1857" s="80" t="str">
        <f>HYPERLINK("https://javiermliron.blogspot.com/2023/07/exportaciones-de-castilla-y-leon-de.html")</f>
        <v>https://javiermliron.blogspot.com/2023/07/exportaciones-de-castilla-y-leon-de.html</v>
      </c>
      <c r="Y1857" s="77" t="s">
        <v>6532</v>
      </c>
      <c r="Z1857" s="77"/>
      <c r="AA1857" s="77"/>
      <c r="AB1857" s="77"/>
      <c r="AC1857" s="82" t="s">
        <v>7750</v>
      </c>
      <c r="AD1857" s="77" t="s">
        <v>7790</v>
      </c>
      <c r="AE1857" s="80" t="str">
        <f>HYPERLINK("https://twitter.com/jmendezliron/status/1683544583186046976")</f>
        <v>https://twitter.com/jmendezliron/status/1683544583186046976</v>
      </c>
      <c r="AF1857" s="79">
        <v>45131.769467592596</v>
      </c>
      <c r="AG1857" s="85">
        <v>45131</v>
      </c>
      <c r="AH1857" s="82" t="s">
        <v>9360</v>
      </c>
      <c r="AI1857" s="77" t="b">
        <v>0</v>
      </c>
      <c r="AJ1857" s="77"/>
      <c r="AK1857" s="77"/>
      <c r="AL1857" s="77"/>
      <c r="AM1857" s="77"/>
      <c r="AN1857" s="77"/>
      <c r="AO1857" s="77"/>
      <c r="AP1857" s="77"/>
      <c r="AQ1857" s="77"/>
      <c r="AR1857" s="77"/>
      <c r="AS1857" s="77"/>
      <c r="AT1857" s="77"/>
      <c r="AU1857" s="77"/>
      <c r="AV1857" s="80" t="str">
        <f>HYPERLINK("https://pbs.twimg.com/profile_images/612292231358246912/gMKxM5xX_normal.jpg")</f>
        <v>https://pbs.twimg.com/profile_images/612292231358246912/gMKxM5xX_normal.jpg</v>
      </c>
      <c r="AW1857" s="82" t="s">
        <v>13453</v>
      </c>
      <c r="AX1857" s="82" t="s">
        <v>15891</v>
      </c>
      <c r="AY1857" s="82" t="s">
        <v>15975</v>
      </c>
      <c r="AZ1857" s="82" t="s">
        <v>15891</v>
      </c>
      <c r="BA1857" s="82" t="s">
        <v>15984</v>
      </c>
      <c r="BB1857" s="82" t="s">
        <v>15984</v>
      </c>
      <c r="BC1857" s="82" t="s">
        <v>15891</v>
      </c>
      <c r="BD1857" s="77">
        <v>748960584</v>
      </c>
      <c r="BE1857" s="77"/>
      <c r="BF1857" s="77"/>
      <c r="BG1857" s="77"/>
      <c r="BH1857" s="77"/>
      <c r="BI1857" s="77"/>
    </row>
    <row r="1858" spans="1:61" x14ac:dyDescent="0.25">
      <c r="A1858" s="62" t="s">
        <v>697</v>
      </c>
      <c r="B1858" s="62" t="s">
        <v>697</v>
      </c>
      <c r="C1858" s="63"/>
      <c r="D1858" s="64"/>
      <c r="E1858" s="65"/>
      <c r="F1858" s="66"/>
      <c r="G1858" s="63"/>
      <c r="H1858" s="67"/>
      <c r="I1858" s="68"/>
      <c r="J1858" s="68"/>
      <c r="K1858" s="32"/>
      <c r="L1858" s="75">
        <v>1858</v>
      </c>
      <c r="M1858" s="75"/>
      <c r="N1858" s="70"/>
      <c r="O1858" s="77" t="s">
        <v>179</v>
      </c>
      <c r="P1858" s="79">
        <v>45176.190775462965</v>
      </c>
      <c r="Q1858" s="77" t="s">
        <v>2540</v>
      </c>
      <c r="R1858" s="77">
        <v>1</v>
      </c>
      <c r="S1858" s="77">
        <v>2</v>
      </c>
      <c r="T1858" s="77">
        <v>0</v>
      </c>
      <c r="U1858" s="77">
        <v>0</v>
      </c>
      <c r="V1858" s="77">
        <v>64</v>
      </c>
      <c r="W1858" s="82" t="s">
        <v>5795</v>
      </c>
      <c r="X1858" s="80" t="str">
        <f>HYPERLINK("https://javiermliron.blogspot.com/2023/09/hipotecas-en-madrid-junio-2023.html")</f>
        <v>https://javiermliron.blogspot.com/2023/09/hipotecas-en-madrid-junio-2023.html</v>
      </c>
      <c r="Y1858" s="77" t="s">
        <v>6532</v>
      </c>
      <c r="Z1858" s="77"/>
      <c r="AA1858" s="77" t="s">
        <v>7511</v>
      </c>
      <c r="AB1858" s="77" t="s">
        <v>7742</v>
      </c>
      <c r="AC1858" s="82" t="s">
        <v>7750</v>
      </c>
      <c r="AD1858" s="77" t="s">
        <v>7790</v>
      </c>
      <c r="AE1858" s="80" t="str">
        <f>HYPERLINK("https://twitter.com/jmendezliron/status/1699642329844346912")</f>
        <v>https://twitter.com/jmendezliron/status/1699642329844346912</v>
      </c>
      <c r="AF1858" s="79">
        <v>45176.190775462965</v>
      </c>
      <c r="AG1858" s="85">
        <v>45176</v>
      </c>
      <c r="AH1858" s="82" t="s">
        <v>9361</v>
      </c>
      <c r="AI1858" s="77" t="b">
        <v>0</v>
      </c>
      <c r="AJ1858" s="77"/>
      <c r="AK1858" s="77"/>
      <c r="AL1858" s="77"/>
      <c r="AM1858" s="77"/>
      <c r="AN1858" s="77"/>
      <c r="AO1858" s="77"/>
      <c r="AP1858" s="77"/>
      <c r="AQ1858" s="77" t="s">
        <v>11483</v>
      </c>
      <c r="AR1858" s="77"/>
      <c r="AS1858" s="77"/>
      <c r="AT1858" s="77"/>
      <c r="AU1858" s="77"/>
      <c r="AV1858" s="80" t="str">
        <f>HYPERLINK("https://pbs.twimg.com/media/F5ZXsI2XYAAjo3X.jpg")</f>
        <v>https://pbs.twimg.com/media/F5ZXsI2XYAAjo3X.jpg</v>
      </c>
      <c r="AW1858" s="82" t="s">
        <v>13454</v>
      </c>
      <c r="AX1858" s="82" t="s">
        <v>13454</v>
      </c>
      <c r="AY1858" s="77"/>
      <c r="AZ1858" s="82" t="s">
        <v>15984</v>
      </c>
      <c r="BA1858" s="82" t="s">
        <v>15984</v>
      </c>
      <c r="BB1858" s="82" t="s">
        <v>15984</v>
      </c>
      <c r="BC1858" s="82" t="s">
        <v>13454</v>
      </c>
      <c r="BD1858" s="77">
        <v>748960584</v>
      </c>
      <c r="BE1858" s="77"/>
      <c r="BF1858" s="77"/>
      <c r="BG1858" s="77"/>
      <c r="BH1858" s="77"/>
      <c r="BI1858" s="77"/>
    </row>
    <row r="1859" spans="1:61" x14ac:dyDescent="0.25">
      <c r="A1859" s="62" t="s">
        <v>697</v>
      </c>
      <c r="B1859" s="62" t="s">
        <v>697</v>
      </c>
      <c r="C1859" s="63"/>
      <c r="D1859" s="64"/>
      <c r="E1859" s="65"/>
      <c r="F1859" s="66"/>
      <c r="G1859" s="63"/>
      <c r="H1859" s="67"/>
      <c r="I1859" s="68"/>
      <c r="J1859" s="68"/>
      <c r="K1859" s="32"/>
      <c r="L1859" s="75">
        <v>1859</v>
      </c>
      <c r="M1859" s="75"/>
      <c r="N1859" s="70"/>
      <c r="O1859" s="77" t="s">
        <v>179</v>
      </c>
      <c r="P1859" s="79">
        <v>45145.73541666667</v>
      </c>
      <c r="Q1859" s="77" t="s">
        <v>2541</v>
      </c>
      <c r="R1859" s="77">
        <v>1</v>
      </c>
      <c r="S1859" s="77">
        <v>1</v>
      </c>
      <c r="T1859" s="77">
        <v>0</v>
      </c>
      <c r="U1859" s="77">
        <v>0</v>
      </c>
      <c r="V1859" s="77">
        <v>74</v>
      </c>
      <c r="W1859" s="82" t="s">
        <v>5796</v>
      </c>
      <c r="X1859" s="80" t="str">
        <f>HYPERLINK("https://javiermliron.blogspot.com/2023/08/gasto-turistico-en-castilla-y-leon.html")</f>
        <v>https://javiermliron.blogspot.com/2023/08/gasto-turistico-en-castilla-y-leon.html</v>
      </c>
      <c r="Y1859" s="77" t="s">
        <v>6532</v>
      </c>
      <c r="Z1859" s="77"/>
      <c r="AA1859" s="77" t="s">
        <v>7512</v>
      </c>
      <c r="AB1859" s="77" t="s">
        <v>7742</v>
      </c>
      <c r="AC1859" s="82" t="s">
        <v>7750</v>
      </c>
      <c r="AD1859" s="77" t="s">
        <v>7790</v>
      </c>
      <c r="AE1859" s="80" t="str">
        <f>HYPERLINK("https://twitter.com/jmendezliron/status/1688605676619083776")</f>
        <v>https://twitter.com/jmendezliron/status/1688605676619083776</v>
      </c>
      <c r="AF1859" s="79">
        <v>45145.73541666667</v>
      </c>
      <c r="AG1859" s="85">
        <v>45145</v>
      </c>
      <c r="AH1859" s="82" t="s">
        <v>9362</v>
      </c>
      <c r="AI1859" s="77" t="b">
        <v>0</v>
      </c>
      <c r="AJ1859" s="77"/>
      <c r="AK1859" s="77"/>
      <c r="AL1859" s="77"/>
      <c r="AM1859" s="77"/>
      <c r="AN1859" s="77"/>
      <c r="AO1859" s="77"/>
      <c r="AP1859" s="77"/>
      <c r="AQ1859" s="77" t="s">
        <v>11484</v>
      </c>
      <c r="AR1859" s="77"/>
      <c r="AS1859" s="77"/>
      <c r="AT1859" s="77"/>
      <c r="AU1859" s="77"/>
      <c r="AV1859" s="80" t="str">
        <f>HYPERLINK("https://pbs.twimg.com/media/F28h1mtW8AAAgsN.png")</f>
        <v>https://pbs.twimg.com/media/F28h1mtW8AAAgsN.png</v>
      </c>
      <c r="AW1859" s="82" t="s">
        <v>13455</v>
      </c>
      <c r="AX1859" s="82" t="s">
        <v>13455</v>
      </c>
      <c r="AY1859" s="77"/>
      <c r="AZ1859" s="82" t="s">
        <v>15984</v>
      </c>
      <c r="BA1859" s="82" t="s">
        <v>15984</v>
      </c>
      <c r="BB1859" s="82" t="s">
        <v>15984</v>
      </c>
      <c r="BC1859" s="82" t="s">
        <v>13455</v>
      </c>
      <c r="BD1859" s="77">
        <v>748960584</v>
      </c>
      <c r="BE1859" s="77"/>
      <c r="BF1859" s="77"/>
      <c r="BG1859" s="77"/>
      <c r="BH1859" s="77"/>
      <c r="BI1859" s="77"/>
    </row>
    <row r="1860" spans="1:61" x14ac:dyDescent="0.25">
      <c r="A1860" s="62" t="s">
        <v>697</v>
      </c>
      <c r="B1860" s="62" t="s">
        <v>697</v>
      </c>
      <c r="C1860" s="63"/>
      <c r="D1860" s="64"/>
      <c r="E1860" s="65"/>
      <c r="F1860" s="66"/>
      <c r="G1860" s="63"/>
      <c r="H1860" s="67"/>
      <c r="I1860" s="68"/>
      <c r="J1860" s="68"/>
      <c r="K1860" s="32"/>
      <c r="L1860" s="75">
        <v>1860</v>
      </c>
      <c r="M1860" s="75"/>
      <c r="N1860" s="70"/>
      <c r="O1860" s="77" t="s">
        <v>179</v>
      </c>
      <c r="P1860" s="79">
        <v>45126.743356481478</v>
      </c>
      <c r="Q1860" s="77" t="s">
        <v>2542</v>
      </c>
      <c r="R1860" s="77">
        <v>1</v>
      </c>
      <c r="S1860" s="77">
        <v>1</v>
      </c>
      <c r="T1860" s="77">
        <v>0</v>
      </c>
      <c r="U1860" s="77">
        <v>0</v>
      </c>
      <c r="V1860" s="77">
        <v>102</v>
      </c>
      <c r="W1860" s="82" t="s">
        <v>5797</v>
      </c>
      <c r="X1860" s="80" t="str">
        <f>HYPERLINK("https://javiermliron.blogspot.com/2023/07/contratos-registrados-en-castilla-y.html")</f>
        <v>https://javiermliron.blogspot.com/2023/07/contratos-registrados-en-castilla-y.html</v>
      </c>
      <c r="Y1860" s="77" t="s">
        <v>6532</v>
      </c>
      <c r="Z1860" s="77"/>
      <c r="AA1860" s="77" t="s">
        <v>7513</v>
      </c>
      <c r="AB1860" s="77" t="s">
        <v>7742</v>
      </c>
      <c r="AC1860" s="82" t="s">
        <v>7750</v>
      </c>
      <c r="AD1860" s="77" t="s">
        <v>7790</v>
      </c>
      <c r="AE1860" s="80" t="str">
        <f>HYPERLINK("https://twitter.com/jmendezliron/status/1681723181554384905")</f>
        <v>https://twitter.com/jmendezliron/status/1681723181554384905</v>
      </c>
      <c r="AF1860" s="79">
        <v>45126.743356481478</v>
      </c>
      <c r="AG1860" s="85">
        <v>45126</v>
      </c>
      <c r="AH1860" s="82" t="s">
        <v>9363</v>
      </c>
      <c r="AI1860" s="77" t="b">
        <v>0</v>
      </c>
      <c r="AJ1860" s="77"/>
      <c r="AK1860" s="77"/>
      <c r="AL1860" s="77"/>
      <c r="AM1860" s="77"/>
      <c r="AN1860" s="77"/>
      <c r="AO1860" s="77"/>
      <c r="AP1860" s="77"/>
      <c r="AQ1860" s="77" t="s">
        <v>11485</v>
      </c>
      <c r="AR1860" s="77"/>
      <c r="AS1860" s="77"/>
      <c r="AT1860" s="77"/>
      <c r="AU1860" s="77"/>
      <c r="AV1860" s="80" t="str">
        <f>HYPERLINK("https://pbs.twimg.com/media/F1auUWUWwBMfib6.png")</f>
        <v>https://pbs.twimg.com/media/F1auUWUWwBMfib6.png</v>
      </c>
      <c r="AW1860" s="82" t="s">
        <v>13456</v>
      </c>
      <c r="AX1860" s="82" t="s">
        <v>13456</v>
      </c>
      <c r="AY1860" s="77"/>
      <c r="AZ1860" s="82" t="s">
        <v>15984</v>
      </c>
      <c r="BA1860" s="82" t="s">
        <v>15984</v>
      </c>
      <c r="BB1860" s="82" t="s">
        <v>15984</v>
      </c>
      <c r="BC1860" s="82" t="s">
        <v>13456</v>
      </c>
      <c r="BD1860" s="77">
        <v>748960584</v>
      </c>
      <c r="BE1860" s="77"/>
      <c r="BF1860" s="77"/>
      <c r="BG1860" s="77"/>
      <c r="BH1860" s="77"/>
      <c r="BI1860" s="77"/>
    </row>
    <row r="1861" spans="1:61" x14ac:dyDescent="0.25">
      <c r="A1861" s="62" t="s">
        <v>697</v>
      </c>
      <c r="B1861" s="62" t="s">
        <v>697</v>
      </c>
      <c r="C1861" s="63"/>
      <c r="D1861" s="64"/>
      <c r="E1861" s="65"/>
      <c r="F1861" s="66"/>
      <c r="G1861" s="63"/>
      <c r="H1861" s="67"/>
      <c r="I1861" s="68"/>
      <c r="J1861" s="68"/>
      <c r="K1861" s="32"/>
      <c r="L1861" s="75">
        <v>1861</v>
      </c>
      <c r="M1861" s="75"/>
      <c r="N1861" s="70"/>
      <c r="O1861" s="77" t="s">
        <v>179</v>
      </c>
      <c r="P1861" s="79">
        <v>45126.73159722222</v>
      </c>
      <c r="Q1861" s="77" t="s">
        <v>2543</v>
      </c>
      <c r="R1861" s="77">
        <v>1</v>
      </c>
      <c r="S1861" s="77">
        <v>1</v>
      </c>
      <c r="T1861" s="77">
        <v>0</v>
      </c>
      <c r="U1861" s="77">
        <v>0</v>
      </c>
      <c r="V1861" s="77">
        <v>88</v>
      </c>
      <c r="W1861" s="82" t="s">
        <v>5798</v>
      </c>
      <c r="X1861" s="80" t="str">
        <f>HYPERLINK("https://javiermliron.blogspot.com/2023/07/ipc-madrid-junio-2023.html")</f>
        <v>https://javiermliron.blogspot.com/2023/07/ipc-madrid-junio-2023.html</v>
      </c>
      <c r="Y1861" s="77" t="s">
        <v>6532</v>
      </c>
      <c r="Z1861" s="77"/>
      <c r="AA1861" s="77" t="s">
        <v>7514</v>
      </c>
      <c r="AB1861" s="77" t="s">
        <v>7742</v>
      </c>
      <c r="AC1861" s="82" t="s">
        <v>7750</v>
      </c>
      <c r="AD1861" s="77" t="s">
        <v>7790</v>
      </c>
      <c r="AE1861" s="80" t="str">
        <f>HYPERLINK("https://twitter.com/jmendezliron/status/1681718920414150658")</f>
        <v>https://twitter.com/jmendezliron/status/1681718920414150658</v>
      </c>
      <c r="AF1861" s="79">
        <v>45126.73159722222</v>
      </c>
      <c r="AG1861" s="85">
        <v>45126</v>
      </c>
      <c r="AH1861" s="82" t="s">
        <v>9364</v>
      </c>
      <c r="AI1861" s="77" t="b">
        <v>0</v>
      </c>
      <c r="AJ1861" s="77"/>
      <c r="AK1861" s="77"/>
      <c r="AL1861" s="77"/>
      <c r="AM1861" s="77"/>
      <c r="AN1861" s="77"/>
      <c r="AO1861" s="77"/>
      <c r="AP1861" s="77"/>
      <c r="AQ1861" s="77" t="s">
        <v>11486</v>
      </c>
      <c r="AR1861" s="77"/>
      <c r="AS1861" s="77"/>
      <c r="AT1861" s="77"/>
      <c r="AU1861" s="77"/>
      <c r="AV1861" s="80" t="str">
        <f>HYPERLINK("https://pbs.twimg.com/media/F1aqalZWwA05pGL.png")</f>
        <v>https://pbs.twimg.com/media/F1aqalZWwA05pGL.png</v>
      </c>
      <c r="AW1861" s="82" t="s">
        <v>13457</v>
      </c>
      <c r="AX1861" s="82" t="s">
        <v>13457</v>
      </c>
      <c r="AY1861" s="77"/>
      <c r="AZ1861" s="82" t="s">
        <v>15984</v>
      </c>
      <c r="BA1861" s="82" t="s">
        <v>15984</v>
      </c>
      <c r="BB1861" s="82" t="s">
        <v>15984</v>
      </c>
      <c r="BC1861" s="82" t="s">
        <v>13457</v>
      </c>
      <c r="BD1861" s="77">
        <v>748960584</v>
      </c>
      <c r="BE1861" s="77"/>
      <c r="BF1861" s="77"/>
      <c r="BG1861" s="77"/>
      <c r="BH1861" s="77"/>
      <c r="BI1861" s="77"/>
    </row>
    <row r="1862" spans="1:61" x14ac:dyDescent="0.25">
      <c r="A1862" s="62" t="s">
        <v>697</v>
      </c>
      <c r="B1862" s="62" t="s">
        <v>697</v>
      </c>
      <c r="C1862" s="63"/>
      <c r="D1862" s="64"/>
      <c r="E1862" s="65"/>
      <c r="F1862" s="66"/>
      <c r="G1862" s="63"/>
      <c r="H1862" s="67"/>
      <c r="I1862" s="68"/>
      <c r="J1862" s="68"/>
      <c r="K1862" s="32"/>
      <c r="L1862" s="75">
        <v>1862</v>
      </c>
      <c r="M1862" s="75"/>
      <c r="N1862" s="70"/>
      <c r="O1862" s="77" t="s">
        <v>179</v>
      </c>
      <c r="P1862" s="79">
        <v>45177.258645833332</v>
      </c>
      <c r="Q1862" s="77" t="s">
        <v>2544</v>
      </c>
      <c r="R1862" s="77">
        <v>1</v>
      </c>
      <c r="S1862" s="77">
        <v>1</v>
      </c>
      <c r="T1862" s="77">
        <v>0</v>
      </c>
      <c r="U1862" s="77">
        <v>0</v>
      </c>
      <c r="V1862" s="77">
        <v>49</v>
      </c>
      <c r="W1862" s="82" t="s">
        <v>5759</v>
      </c>
      <c r="X1862" s="80" t="str">
        <f>HYPERLINK("https://javiermliron.blogspot.com/2023/09/gasto-turistico-en-castilla-y-leon.html")</f>
        <v>https://javiermliron.blogspot.com/2023/09/gasto-turistico-en-castilla-y-leon.html</v>
      </c>
      <c r="Y1862" s="77" t="s">
        <v>6532</v>
      </c>
      <c r="Z1862" s="77"/>
      <c r="AA1862" s="77" t="s">
        <v>7515</v>
      </c>
      <c r="AB1862" s="77" t="s">
        <v>7742</v>
      </c>
      <c r="AC1862" s="82" t="s">
        <v>7750</v>
      </c>
      <c r="AD1862" s="77" t="s">
        <v>7790</v>
      </c>
      <c r="AE1862" s="80" t="str">
        <f>HYPERLINK("https://twitter.com/jmendezliron/status/1700029309434413522")</f>
        <v>https://twitter.com/jmendezliron/status/1700029309434413522</v>
      </c>
      <c r="AF1862" s="79">
        <v>45177.258645833332</v>
      </c>
      <c r="AG1862" s="85">
        <v>45177</v>
      </c>
      <c r="AH1862" s="82" t="s">
        <v>9365</v>
      </c>
      <c r="AI1862" s="77" t="b">
        <v>0</v>
      </c>
      <c r="AJ1862" s="77"/>
      <c r="AK1862" s="77"/>
      <c r="AL1862" s="77"/>
      <c r="AM1862" s="77"/>
      <c r="AN1862" s="77"/>
      <c r="AO1862" s="77"/>
      <c r="AP1862" s="77"/>
      <c r="AQ1862" s="77" t="s">
        <v>11487</v>
      </c>
      <c r="AR1862" s="77"/>
      <c r="AS1862" s="77"/>
      <c r="AT1862" s="77"/>
      <c r="AU1862" s="77"/>
      <c r="AV1862" s="80" t="str">
        <f>HYPERLINK("https://pbs.twimg.com/media/F5e3onAXwAAEHAo.png")</f>
        <v>https://pbs.twimg.com/media/F5e3onAXwAAEHAo.png</v>
      </c>
      <c r="AW1862" s="82" t="s">
        <v>13458</v>
      </c>
      <c r="AX1862" s="82" t="s">
        <v>13458</v>
      </c>
      <c r="AY1862" s="77"/>
      <c r="AZ1862" s="82" t="s">
        <v>15984</v>
      </c>
      <c r="BA1862" s="82" t="s">
        <v>15984</v>
      </c>
      <c r="BB1862" s="82" t="s">
        <v>15984</v>
      </c>
      <c r="BC1862" s="82" t="s">
        <v>13458</v>
      </c>
      <c r="BD1862" s="77">
        <v>748960584</v>
      </c>
      <c r="BE1862" s="77"/>
      <c r="BF1862" s="77"/>
      <c r="BG1862" s="77"/>
      <c r="BH1862" s="77"/>
      <c r="BI1862" s="77"/>
    </row>
    <row r="1863" spans="1:61" x14ac:dyDescent="0.25">
      <c r="A1863" s="62" t="s">
        <v>697</v>
      </c>
      <c r="B1863" s="62" t="s">
        <v>697</v>
      </c>
      <c r="C1863" s="63"/>
      <c r="D1863" s="64"/>
      <c r="E1863" s="65"/>
      <c r="F1863" s="66"/>
      <c r="G1863" s="63"/>
      <c r="H1863" s="67"/>
      <c r="I1863" s="68"/>
      <c r="J1863" s="68"/>
      <c r="K1863" s="32"/>
      <c r="L1863" s="75">
        <v>1863</v>
      </c>
      <c r="M1863" s="75"/>
      <c r="N1863" s="70"/>
      <c r="O1863" s="77" t="s">
        <v>898</v>
      </c>
      <c r="P1863" s="79">
        <v>45166.733761574076</v>
      </c>
      <c r="Q1863" s="77" t="s">
        <v>2545</v>
      </c>
      <c r="R1863" s="77">
        <v>1</v>
      </c>
      <c r="S1863" s="77">
        <v>1</v>
      </c>
      <c r="T1863" s="77">
        <v>0</v>
      </c>
      <c r="U1863" s="77">
        <v>0</v>
      </c>
      <c r="V1863" s="77">
        <v>74</v>
      </c>
      <c r="W1863" s="82" t="s">
        <v>5799</v>
      </c>
      <c r="X1863" s="80" t="str">
        <f>HYPERLINK("https://javiermliron.blogspot.com/2023/08/indice-de-precios-industriales-espana.html")</f>
        <v>https://javiermliron.blogspot.com/2023/08/indice-de-precios-industriales-espana.html</v>
      </c>
      <c r="Y1863" s="77" t="s">
        <v>6532</v>
      </c>
      <c r="Z1863" s="77"/>
      <c r="AA1863" s="77"/>
      <c r="AB1863" s="77"/>
      <c r="AC1863" s="82" t="s">
        <v>7750</v>
      </c>
      <c r="AD1863" s="77" t="s">
        <v>7790</v>
      </c>
      <c r="AE1863" s="80" t="str">
        <f>HYPERLINK("https://twitter.com/jmendezliron/status/1696215219150708990")</f>
        <v>https://twitter.com/jmendezliron/status/1696215219150708990</v>
      </c>
      <c r="AF1863" s="79">
        <v>45166.733761574076</v>
      </c>
      <c r="AG1863" s="85">
        <v>45166</v>
      </c>
      <c r="AH1863" s="82" t="s">
        <v>9366</v>
      </c>
      <c r="AI1863" s="77" t="b">
        <v>0</v>
      </c>
      <c r="AJ1863" s="77"/>
      <c r="AK1863" s="77"/>
      <c r="AL1863" s="77"/>
      <c r="AM1863" s="77"/>
      <c r="AN1863" s="77"/>
      <c r="AO1863" s="77"/>
      <c r="AP1863" s="77"/>
      <c r="AQ1863" s="77"/>
      <c r="AR1863" s="77"/>
      <c r="AS1863" s="77"/>
      <c r="AT1863" s="77"/>
      <c r="AU1863" s="77"/>
      <c r="AV1863" s="80" t="str">
        <f>HYPERLINK("https://pbs.twimg.com/profile_images/612292231358246912/gMKxM5xX_normal.jpg")</f>
        <v>https://pbs.twimg.com/profile_images/612292231358246912/gMKxM5xX_normal.jpg</v>
      </c>
      <c r="AW1863" s="82" t="s">
        <v>13459</v>
      </c>
      <c r="AX1863" s="82" t="s">
        <v>13460</v>
      </c>
      <c r="AY1863" s="82" t="s">
        <v>15975</v>
      </c>
      <c r="AZ1863" s="82" t="s">
        <v>13460</v>
      </c>
      <c r="BA1863" s="82" t="s">
        <v>15984</v>
      </c>
      <c r="BB1863" s="82" t="s">
        <v>15984</v>
      </c>
      <c r="BC1863" s="82" t="s">
        <v>13460</v>
      </c>
      <c r="BD1863" s="77">
        <v>748960584</v>
      </c>
      <c r="BE1863" s="77"/>
      <c r="BF1863" s="77"/>
      <c r="BG1863" s="77"/>
      <c r="BH1863" s="77"/>
      <c r="BI1863" s="77"/>
    </row>
    <row r="1864" spans="1:61" x14ac:dyDescent="0.25">
      <c r="A1864" s="62" t="s">
        <v>697</v>
      </c>
      <c r="B1864" s="62" t="s">
        <v>697</v>
      </c>
      <c r="C1864" s="63"/>
      <c r="D1864" s="64"/>
      <c r="E1864" s="65"/>
      <c r="F1864" s="66"/>
      <c r="G1864" s="63"/>
      <c r="H1864" s="67"/>
      <c r="I1864" s="68"/>
      <c r="J1864" s="68"/>
      <c r="K1864" s="32"/>
      <c r="L1864" s="75">
        <v>1864</v>
      </c>
      <c r="M1864" s="75"/>
      <c r="N1864" s="70"/>
      <c r="O1864" s="77" t="s">
        <v>179</v>
      </c>
      <c r="P1864" s="79">
        <v>45166.733749999999</v>
      </c>
      <c r="Q1864" s="77" t="s">
        <v>2546</v>
      </c>
      <c r="R1864" s="77">
        <v>1</v>
      </c>
      <c r="S1864" s="77">
        <v>1</v>
      </c>
      <c r="T1864" s="77">
        <v>1</v>
      </c>
      <c r="U1864" s="77">
        <v>0</v>
      </c>
      <c r="V1864" s="77">
        <v>82</v>
      </c>
      <c r="W1864" s="82" t="s">
        <v>5800</v>
      </c>
      <c r="X1864" s="80" t="str">
        <f>HYPERLINK("https://javiermliron.blogspot.com/2023/08/indice-de-precios-industriales-espana.html")</f>
        <v>https://javiermliron.blogspot.com/2023/08/indice-de-precios-industriales-espana.html</v>
      </c>
      <c r="Y1864" s="77" t="s">
        <v>6532</v>
      </c>
      <c r="Z1864" s="77"/>
      <c r="AA1864" s="77" t="s">
        <v>7516</v>
      </c>
      <c r="AB1864" s="77" t="s">
        <v>7742</v>
      </c>
      <c r="AC1864" s="82" t="s">
        <v>7750</v>
      </c>
      <c r="AD1864" s="77" t="s">
        <v>7790</v>
      </c>
      <c r="AE1864" s="80" t="str">
        <f>HYPERLINK("https://twitter.com/jmendezliron/status/1696215216843841593")</f>
        <v>https://twitter.com/jmendezliron/status/1696215216843841593</v>
      </c>
      <c r="AF1864" s="79">
        <v>45166.733749999999</v>
      </c>
      <c r="AG1864" s="85">
        <v>45166</v>
      </c>
      <c r="AH1864" s="82" t="s">
        <v>9367</v>
      </c>
      <c r="AI1864" s="77" t="b">
        <v>0</v>
      </c>
      <c r="AJ1864" s="77"/>
      <c r="AK1864" s="77"/>
      <c r="AL1864" s="77"/>
      <c r="AM1864" s="77"/>
      <c r="AN1864" s="77"/>
      <c r="AO1864" s="77"/>
      <c r="AP1864" s="77"/>
      <c r="AQ1864" s="77" t="s">
        <v>11488</v>
      </c>
      <c r="AR1864" s="77"/>
      <c r="AS1864" s="77"/>
      <c r="AT1864" s="77"/>
      <c r="AU1864" s="77"/>
      <c r="AV1864" s="80" t="str">
        <f>HYPERLINK("https://pbs.twimg.com/media/F4oqvoKWIAANPUI.png")</f>
        <v>https://pbs.twimg.com/media/F4oqvoKWIAANPUI.png</v>
      </c>
      <c r="AW1864" s="82" t="s">
        <v>13460</v>
      </c>
      <c r="AX1864" s="82" t="s">
        <v>13460</v>
      </c>
      <c r="AY1864" s="77"/>
      <c r="AZ1864" s="82" t="s">
        <v>15984</v>
      </c>
      <c r="BA1864" s="82" t="s">
        <v>15984</v>
      </c>
      <c r="BB1864" s="82" t="s">
        <v>15984</v>
      </c>
      <c r="BC1864" s="82" t="s">
        <v>13460</v>
      </c>
      <c r="BD1864" s="77">
        <v>748960584</v>
      </c>
      <c r="BE1864" s="77"/>
      <c r="BF1864" s="77"/>
      <c r="BG1864" s="77"/>
      <c r="BH1864" s="77"/>
      <c r="BI1864" s="77"/>
    </row>
    <row r="1865" spans="1:61" x14ac:dyDescent="0.25">
      <c r="A1865" s="62" t="s">
        <v>697</v>
      </c>
      <c r="B1865" s="62" t="s">
        <v>697</v>
      </c>
      <c r="C1865" s="63"/>
      <c r="D1865" s="64"/>
      <c r="E1865" s="65"/>
      <c r="F1865" s="66"/>
      <c r="G1865" s="63"/>
      <c r="H1865" s="67"/>
      <c r="I1865" s="68"/>
      <c r="J1865" s="68"/>
      <c r="K1865" s="32"/>
      <c r="L1865" s="75">
        <v>1865</v>
      </c>
      <c r="M1865" s="75"/>
      <c r="N1865" s="70"/>
      <c r="O1865" s="77" t="s">
        <v>898</v>
      </c>
      <c r="P1865" s="79">
        <v>45160.278622685182</v>
      </c>
      <c r="Q1865" s="77" t="s">
        <v>2547</v>
      </c>
      <c r="R1865" s="77">
        <v>1</v>
      </c>
      <c r="S1865" s="77">
        <v>1</v>
      </c>
      <c r="T1865" s="77">
        <v>0</v>
      </c>
      <c r="U1865" s="77">
        <v>0</v>
      </c>
      <c r="V1865" s="77">
        <v>96</v>
      </c>
      <c r="W1865" s="82" t="s">
        <v>5792</v>
      </c>
      <c r="X1865" s="80" t="str">
        <f>HYPERLINK("https://javiermliron.blogspot.com/2023/08/paro-registrado-en-las-capitales-de.html")</f>
        <v>https://javiermliron.blogspot.com/2023/08/paro-registrado-en-las-capitales-de.html</v>
      </c>
      <c r="Y1865" s="77" t="s">
        <v>6532</v>
      </c>
      <c r="Z1865" s="77"/>
      <c r="AA1865" s="77"/>
      <c r="AB1865" s="77"/>
      <c r="AC1865" s="82" t="s">
        <v>7750</v>
      </c>
      <c r="AD1865" s="77" t="s">
        <v>7790</v>
      </c>
      <c r="AE1865" s="80" t="str">
        <f>HYPERLINK("https://twitter.com/jmendezliron/status/1693875957356998981")</f>
        <v>https://twitter.com/jmendezliron/status/1693875957356998981</v>
      </c>
      <c r="AF1865" s="79">
        <v>45160.278622685182</v>
      </c>
      <c r="AG1865" s="85">
        <v>45160</v>
      </c>
      <c r="AH1865" s="82" t="s">
        <v>9368</v>
      </c>
      <c r="AI1865" s="77" t="b">
        <v>0</v>
      </c>
      <c r="AJ1865" s="77"/>
      <c r="AK1865" s="77"/>
      <c r="AL1865" s="77"/>
      <c r="AM1865" s="77"/>
      <c r="AN1865" s="77"/>
      <c r="AO1865" s="77"/>
      <c r="AP1865" s="77"/>
      <c r="AQ1865" s="77"/>
      <c r="AR1865" s="77"/>
      <c r="AS1865" s="77"/>
      <c r="AT1865" s="77"/>
      <c r="AU1865" s="77"/>
      <c r="AV1865" s="80" t="str">
        <f>HYPERLINK("https://pbs.twimg.com/profile_images/612292231358246912/gMKxM5xX_normal.jpg")</f>
        <v>https://pbs.twimg.com/profile_images/612292231358246912/gMKxM5xX_normal.jpg</v>
      </c>
      <c r="AW1865" s="82" t="s">
        <v>13461</v>
      </c>
      <c r="AX1865" s="82" t="s">
        <v>15892</v>
      </c>
      <c r="AY1865" s="82" t="s">
        <v>15975</v>
      </c>
      <c r="AZ1865" s="82" t="s">
        <v>15892</v>
      </c>
      <c r="BA1865" s="82" t="s">
        <v>15984</v>
      </c>
      <c r="BB1865" s="82" t="s">
        <v>15984</v>
      </c>
      <c r="BC1865" s="82" t="s">
        <v>15892</v>
      </c>
      <c r="BD1865" s="77">
        <v>748960584</v>
      </c>
      <c r="BE1865" s="77"/>
      <c r="BF1865" s="77"/>
      <c r="BG1865" s="77"/>
      <c r="BH1865" s="77"/>
      <c r="BI1865" s="77"/>
    </row>
    <row r="1866" spans="1:61" x14ac:dyDescent="0.25">
      <c r="A1866" s="62" t="s">
        <v>697</v>
      </c>
      <c r="B1866" s="62" t="s">
        <v>697</v>
      </c>
      <c r="C1866" s="63"/>
      <c r="D1866" s="64"/>
      <c r="E1866" s="65"/>
      <c r="F1866" s="66"/>
      <c r="G1866" s="63"/>
      <c r="H1866" s="67"/>
      <c r="I1866" s="68"/>
      <c r="J1866" s="68"/>
      <c r="K1866" s="32"/>
      <c r="L1866" s="75">
        <v>1866</v>
      </c>
      <c r="M1866" s="75"/>
      <c r="N1866" s="70"/>
      <c r="O1866" s="77" t="s">
        <v>179</v>
      </c>
      <c r="P1866" s="79">
        <v>45154.271631944444</v>
      </c>
      <c r="Q1866" s="77" t="s">
        <v>2548</v>
      </c>
      <c r="R1866" s="77">
        <v>1</v>
      </c>
      <c r="S1866" s="77">
        <v>1</v>
      </c>
      <c r="T1866" s="77">
        <v>0</v>
      </c>
      <c r="U1866" s="77">
        <v>0</v>
      </c>
      <c r="V1866" s="77">
        <v>80</v>
      </c>
      <c r="W1866" s="82" t="s">
        <v>5801</v>
      </c>
      <c r="X1866" s="80" t="str">
        <f>HYPERLINK("https://javiermliron.blogspot.com/2023/08/ipc-espana-julio-2023.html")</f>
        <v>https://javiermliron.blogspot.com/2023/08/ipc-espana-julio-2023.html</v>
      </c>
      <c r="Y1866" s="77" t="s">
        <v>6532</v>
      </c>
      <c r="Z1866" s="77"/>
      <c r="AA1866" s="77" t="s">
        <v>7517</v>
      </c>
      <c r="AB1866" s="77" t="s">
        <v>7742</v>
      </c>
      <c r="AC1866" s="82" t="s">
        <v>7750</v>
      </c>
      <c r="AD1866" s="77" t="s">
        <v>7790</v>
      </c>
      <c r="AE1866" s="80" t="str">
        <f>HYPERLINK("https://twitter.com/jmendezliron/status/1691699094694101207")</f>
        <v>https://twitter.com/jmendezliron/status/1691699094694101207</v>
      </c>
      <c r="AF1866" s="79">
        <v>45154.271631944444</v>
      </c>
      <c r="AG1866" s="85">
        <v>45154</v>
      </c>
      <c r="AH1866" s="82" t="s">
        <v>9369</v>
      </c>
      <c r="AI1866" s="77" t="b">
        <v>0</v>
      </c>
      <c r="AJ1866" s="77"/>
      <c r="AK1866" s="77"/>
      <c r="AL1866" s="77"/>
      <c r="AM1866" s="77"/>
      <c r="AN1866" s="77"/>
      <c r="AO1866" s="77"/>
      <c r="AP1866" s="77"/>
      <c r="AQ1866" s="77" t="s">
        <v>11489</v>
      </c>
      <c r="AR1866" s="77"/>
      <c r="AS1866" s="77"/>
      <c r="AT1866" s="77"/>
      <c r="AU1866" s="77"/>
      <c r="AV1866" s="80" t="str">
        <f>HYPERLINK("https://pbs.twimg.com/media/F3ofWQ6XIAAp8Rh.png")</f>
        <v>https://pbs.twimg.com/media/F3ofWQ6XIAAp8Rh.png</v>
      </c>
      <c r="AW1866" s="82" t="s">
        <v>13462</v>
      </c>
      <c r="AX1866" s="82" t="s">
        <v>13462</v>
      </c>
      <c r="AY1866" s="77"/>
      <c r="AZ1866" s="82" t="s">
        <v>15984</v>
      </c>
      <c r="BA1866" s="82" t="s">
        <v>15984</v>
      </c>
      <c r="BB1866" s="82" t="s">
        <v>15984</v>
      </c>
      <c r="BC1866" s="82" t="s">
        <v>13462</v>
      </c>
      <c r="BD1866" s="77">
        <v>748960584</v>
      </c>
      <c r="BE1866" s="77"/>
      <c r="BF1866" s="77"/>
      <c r="BG1866" s="77"/>
      <c r="BH1866" s="77"/>
      <c r="BI1866" s="77"/>
    </row>
    <row r="1867" spans="1:61" x14ac:dyDescent="0.25">
      <c r="A1867" s="62" t="s">
        <v>697</v>
      </c>
      <c r="B1867" s="62" t="s">
        <v>697</v>
      </c>
      <c r="C1867" s="63"/>
      <c r="D1867" s="64"/>
      <c r="E1867" s="65"/>
      <c r="F1867" s="66"/>
      <c r="G1867" s="63"/>
      <c r="H1867" s="67"/>
      <c r="I1867" s="68"/>
      <c r="J1867" s="68"/>
      <c r="K1867" s="32"/>
      <c r="L1867" s="75">
        <v>1867</v>
      </c>
      <c r="M1867" s="75"/>
      <c r="N1867" s="70"/>
      <c r="O1867" s="77" t="s">
        <v>179</v>
      </c>
      <c r="P1867" s="79">
        <v>45147.272604166668</v>
      </c>
      <c r="Q1867" s="77" t="s">
        <v>2549</v>
      </c>
      <c r="R1867" s="77">
        <v>1</v>
      </c>
      <c r="S1867" s="77">
        <v>1</v>
      </c>
      <c r="T1867" s="77">
        <v>0</v>
      </c>
      <c r="U1867" s="77">
        <v>0</v>
      </c>
      <c r="V1867" s="77">
        <v>95</v>
      </c>
      <c r="W1867" s="82" t="s">
        <v>5802</v>
      </c>
      <c r="X1867" s="80" t="str">
        <f>HYPERLINK("https://javiermliron.blogspot.com/2023/08/contratos-registrados-en-espana-julio.html")</f>
        <v>https://javiermliron.blogspot.com/2023/08/contratos-registrados-en-espana-julio.html</v>
      </c>
      <c r="Y1867" s="77" t="s">
        <v>6532</v>
      </c>
      <c r="Z1867" s="77"/>
      <c r="AA1867" s="77" t="s">
        <v>7518</v>
      </c>
      <c r="AB1867" s="77" t="s">
        <v>7742</v>
      </c>
      <c r="AC1867" s="82" t="s">
        <v>7750</v>
      </c>
      <c r="AD1867" s="77" t="s">
        <v>7790</v>
      </c>
      <c r="AE1867" s="80" t="str">
        <f>HYPERLINK("https://twitter.com/jmendezliron/status/1689162732950495232")</f>
        <v>https://twitter.com/jmendezliron/status/1689162732950495232</v>
      </c>
      <c r="AF1867" s="79">
        <v>45147.272604166668</v>
      </c>
      <c r="AG1867" s="85">
        <v>45147</v>
      </c>
      <c r="AH1867" s="82" t="s">
        <v>9370</v>
      </c>
      <c r="AI1867" s="77" t="b">
        <v>0</v>
      </c>
      <c r="AJ1867" s="77"/>
      <c r="AK1867" s="77"/>
      <c r="AL1867" s="77"/>
      <c r="AM1867" s="77"/>
      <c r="AN1867" s="77"/>
      <c r="AO1867" s="77"/>
      <c r="AP1867" s="77"/>
      <c r="AQ1867" s="77" t="s">
        <v>11490</v>
      </c>
      <c r="AR1867" s="77"/>
      <c r="AS1867" s="77"/>
      <c r="AT1867" s="77"/>
      <c r="AU1867" s="77"/>
      <c r="AV1867" s="80" t="str">
        <f>HYPERLINK("https://pbs.twimg.com/media/F3Eci_1XMAAPw6P.png")</f>
        <v>https://pbs.twimg.com/media/F3Eci_1XMAAPw6P.png</v>
      </c>
      <c r="AW1867" s="82" t="s">
        <v>13463</v>
      </c>
      <c r="AX1867" s="82" t="s">
        <v>13463</v>
      </c>
      <c r="AY1867" s="77"/>
      <c r="AZ1867" s="82" t="s">
        <v>15984</v>
      </c>
      <c r="BA1867" s="82" t="s">
        <v>15984</v>
      </c>
      <c r="BB1867" s="82" t="s">
        <v>15984</v>
      </c>
      <c r="BC1867" s="82" t="s">
        <v>13463</v>
      </c>
      <c r="BD1867" s="77">
        <v>748960584</v>
      </c>
      <c r="BE1867" s="77"/>
      <c r="BF1867" s="77"/>
      <c r="BG1867" s="77"/>
      <c r="BH1867" s="77"/>
      <c r="BI1867" s="77"/>
    </row>
    <row r="1868" spans="1:61" x14ac:dyDescent="0.25">
      <c r="A1868" s="62" t="s">
        <v>697</v>
      </c>
      <c r="B1868" s="62" t="s">
        <v>697</v>
      </c>
      <c r="C1868" s="63"/>
      <c r="D1868" s="64"/>
      <c r="E1868" s="65"/>
      <c r="F1868" s="66"/>
      <c r="G1868" s="63"/>
      <c r="H1868" s="67"/>
      <c r="I1868" s="68"/>
      <c r="J1868" s="68"/>
      <c r="K1868" s="32"/>
      <c r="L1868" s="75">
        <v>1868</v>
      </c>
      <c r="M1868" s="75"/>
      <c r="N1868" s="70"/>
      <c r="O1868" s="77" t="s">
        <v>179</v>
      </c>
      <c r="P1868" s="79">
        <v>45147.268958333334</v>
      </c>
      <c r="Q1868" s="77" t="s">
        <v>2550</v>
      </c>
      <c r="R1868" s="77">
        <v>1</v>
      </c>
      <c r="S1868" s="77">
        <v>1</v>
      </c>
      <c r="T1868" s="77">
        <v>0</v>
      </c>
      <c r="U1868" s="77">
        <v>0</v>
      </c>
      <c r="V1868" s="77">
        <v>78</v>
      </c>
      <c r="W1868" s="82" t="s">
        <v>5803</v>
      </c>
      <c r="X1868" s="80" t="str">
        <f>HYPERLINK("https://javiermliron.blogspot.com/2023/08/indice-de-produccion-industrial.html")</f>
        <v>https://javiermliron.blogspot.com/2023/08/indice-de-produccion-industrial.html</v>
      </c>
      <c r="Y1868" s="77" t="s">
        <v>6532</v>
      </c>
      <c r="Z1868" s="77"/>
      <c r="AA1868" s="77" t="s">
        <v>7519</v>
      </c>
      <c r="AB1868" s="77" t="s">
        <v>7742</v>
      </c>
      <c r="AC1868" s="82" t="s">
        <v>7750</v>
      </c>
      <c r="AD1868" s="77" t="s">
        <v>7790</v>
      </c>
      <c r="AE1868" s="80" t="str">
        <f>HYPERLINK("https://twitter.com/jmendezliron/status/1689161411396505600")</f>
        <v>https://twitter.com/jmendezliron/status/1689161411396505600</v>
      </c>
      <c r="AF1868" s="79">
        <v>45147.268958333334</v>
      </c>
      <c r="AG1868" s="85">
        <v>45147</v>
      </c>
      <c r="AH1868" s="82" t="s">
        <v>9371</v>
      </c>
      <c r="AI1868" s="77" t="b">
        <v>0</v>
      </c>
      <c r="AJ1868" s="77"/>
      <c r="AK1868" s="77"/>
      <c r="AL1868" s="77"/>
      <c r="AM1868" s="77"/>
      <c r="AN1868" s="77"/>
      <c r="AO1868" s="77"/>
      <c r="AP1868" s="77"/>
      <c r="AQ1868" s="77" t="s">
        <v>11491</v>
      </c>
      <c r="AR1868" s="77"/>
      <c r="AS1868" s="77"/>
      <c r="AT1868" s="77"/>
      <c r="AU1868" s="77"/>
      <c r="AV1868" s="80" t="str">
        <f>HYPERLINK("https://pbs.twimg.com/media/F3EbWMkWIAAzuU7.png")</f>
        <v>https://pbs.twimg.com/media/F3EbWMkWIAAzuU7.png</v>
      </c>
      <c r="AW1868" s="82" t="s">
        <v>13464</v>
      </c>
      <c r="AX1868" s="82" t="s">
        <v>13464</v>
      </c>
      <c r="AY1868" s="77"/>
      <c r="AZ1868" s="82" t="s">
        <v>15984</v>
      </c>
      <c r="BA1868" s="82" t="s">
        <v>15984</v>
      </c>
      <c r="BB1868" s="82" t="s">
        <v>15984</v>
      </c>
      <c r="BC1868" s="82" t="s">
        <v>13464</v>
      </c>
      <c r="BD1868" s="77">
        <v>748960584</v>
      </c>
      <c r="BE1868" s="77"/>
      <c r="BF1868" s="77"/>
      <c r="BG1868" s="77"/>
      <c r="BH1868" s="77"/>
      <c r="BI1868" s="77"/>
    </row>
    <row r="1869" spans="1:61" x14ac:dyDescent="0.25">
      <c r="A1869" s="62" t="s">
        <v>697</v>
      </c>
      <c r="B1869" s="62" t="s">
        <v>697</v>
      </c>
      <c r="C1869" s="63"/>
      <c r="D1869" s="64"/>
      <c r="E1869" s="65"/>
      <c r="F1869" s="66"/>
      <c r="G1869" s="63"/>
      <c r="H1869" s="67"/>
      <c r="I1869" s="68"/>
      <c r="J1869" s="68"/>
      <c r="K1869" s="32"/>
      <c r="L1869" s="75">
        <v>1869</v>
      </c>
      <c r="M1869" s="75"/>
      <c r="N1869" s="70"/>
      <c r="O1869" s="77" t="s">
        <v>179</v>
      </c>
      <c r="P1869" s="79">
        <v>45181.744317129633</v>
      </c>
      <c r="Q1869" s="77" t="s">
        <v>2551</v>
      </c>
      <c r="R1869" s="77">
        <v>1</v>
      </c>
      <c r="S1869" s="77">
        <v>1</v>
      </c>
      <c r="T1869" s="77">
        <v>0</v>
      </c>
      <c r="U1869" s="77">
        <v>0</v>
      </c>
      <c r="V1869" s="77">
        <v>62</v>
      </c>
      <c r="W1869" s="82" t="s">
        <v>5783</v>
      </c>
      <c r="X1869" s="80" t="str">
        <f>HYPERLINK("https://javiermliron.blogspot.com/2023/09/contratos-registrados-en-espana-agosto.html")</f>
        <v>https://javiermliron.blogspot.com/2023/09/contratos-registrados-en-espana-agosto.html</v>
      </c>
      <c r="Y1869" s="77" t="s">
        <v>6532</v>
      </c>
      <c r="Z1869" s="77"/>
      <c r="AA1869" s="77" t="s">
        <v>7520</v>
      </c>
      <c r="AB1869" s="77" t="s">
        <v>7742</v>
      </c>
      <c r="AC1869" s="82" t="s">
        <v>7750</v>
      </c>
      <c r="AD1869" s="77" t="s">
        <v>7790</v>
      </c>
      <c r="AE1869" s="80" t="str">
        <f>HYPERLINK("https://twitter.com/jmendezliron/status/1701654864458096759")</f>
        <v>https://twitter.com/jmendezliron/status/1701654864458096759</v>
      </c>
      <c r="AF1869" s="79">
        <v>45181.744317129633</v>
      </c>
      <c r="AG1869" s="85">
        <v>45181</v>
      </c>
      <c r="AH1869" s="82" t="s">
        <v>9372</v>
      </c>
      <c r="AI1869" s="77" t="b">
        <v>0</v>
      </c>
      <c r="AJ1869" s="77"/>
      <c r="AK1869" s="77"/>
      <c r="AL1869" s="77"/>
      <c r="AM1869" s="77"/>
      <c r="AN1869" s="77"/>
      <c r="AO1869" s="77"/>
      <c r="AP1869" s="77"/>
      <c r="AQ1869" s="77" t="s">
        <v>11492</v>
      </c>
      <c r="AR1869" s="77"/>
      <c r="AS1869" s="77"/>
      <c r="AT1869" s="77"/>
      <c r="AU1869" s="77"/>
      <c r="AV1869" s="80" t="str">
        <f>HYPERLINK("https://pbs.twimg.com/media/F51-EOzWoAApqb_.png")</f>
        <v>https://pbs.twimg.com/media/F51-EOzWoAApqb_.png</v>
      </c>
      <c r="AW1869" s="82" t="s">
        <v>13465</v>
      </c>
      <c r="AX1869" s="82" t="s">
        <v>13465</v>
      </c>
      <c r="AY1869" s="77"/>
      <c r="AZ1869" s="82" t="s">
        <v>15984</v>
      </c>
      <c r="BA1869" s="82" t="s">
        <v>15984</v>
      </c>
      <c r="BB1869" s="82" t="s">
        <v>15984</v>
      </c>
      <c r="BC1869" s="82" t="s">
        <v>13465</v>
      </c>
      <c r="BD1869" s="77">
        <v>748960584</v>
      </c>
      <c r="BE1869" s="77"/>
      <c r="BF1869" s="77"/>
      <c r="BG1869" s="77"/>
      <c r="BH1869" s="77"/>
      <c r="BI1869" s="77"/>
    </row>
    <row r="1870" spans="1:61" x14ac:dyDescent="0.25">
      <c r="A1870" s="62" t="s">
        <v>697</v>
      </c>
      <c r="B1870" s="62" t="s">
        <v>697</v>
      </c>
      <c r="C1870" s="63"/>
      <c r="D1870" s="64"/>
      <c r="E1870" s="65"/>
      <c r="F1870" s="66"/>
      <c r="G1870" s="63"/>
      <c r="H1870" s="67"/>
      <c r="I1870" s="68"/>
      <c r="J1870" s="68"/>
      <c r="K1870" s="32"/>
      <c r="L1870" s="75">
        <v>1870</v>
      </c>
      <c r="M1870" s="75"/>
      <c r="N1870" s="70"/>
      <c r="O1870" s="77" t="s">
        <v>179</v>
      </c>
      <c r="P1870" s="79">
        <v>45177.736516203702</v>
      </c>
      <c r="Q1870" s="77" t="s">
        <v>2552</v>
      </c>
      <c r="R1870" s="77">
        <v>1</v>
      </c>
      <c r="S1870" s="77">
        <v>2</v>
      </c>
      <c r="T1870" s="77">
        <v>0</v>
      </c>
      <c r="U1870" s="77">
        <v>0</v>
      </c>
      <c r="V1870" s="77">
        <v>56</v>
      </c>
      <c r="W1870" s="82" t="s">
        <v>5796</v>
      </c>
      <c r="X1870" s="80" t="str">
        <f>HYPERLINK("https://javiermliron.blogspot.com/2023/09/gasto-turistico-en-castilla-y-leon.html")</f>
        <v>https://javiermliron.blogspot.com/2023/09/gasto-turistico-en-castilla-y-leon.html</v>
      </c>
      <c r="Y1870" s="77" t="s">
        <v>6532</v>
      </c>
      <c r="Z1870" s="77"/>
      <c r="AA1870" s="77" t="s">
        <v>7521</v>
      </c>
      <c r="AB1870" s="77" t="s">
        <v>7742</v>
      </c>
      <c r="AC1870" s="82" t="s">
        <v>7750</v>
      </c>
      <c r="AD1870" s="77" t="s">
        <v>7790</v>
      </c>
      <c r="AE1870" s="80" t="str">
        <f>HYPERLINK("https://twitter.com/jmendezliron/status/1700202484830982389")</f>
        <v>https://twitter.com/jmendezliron/status/1700202484830982389</v>
      </c>
      <c r="AF1870" s="79">
        <v>45177.736516203702</v>
      </c>
      <c r="AG1870" s="85">
        <v>45177</v>
      </c>
      <c r="AH1870" s="82" t="s">
        <v>9373</v>
      </c>
      <c r="AI1870" s="77" t="b">
        <v>0</v>
      </c>
      <c r="AJ1870" s="77"/>
      <c r="AK1870" s="77"/>
      <c r="AL1870" s="77"/>
      <c r="AM1870" s="77"/>
      <c r="AN1870" s="77"/>
      <c r="AO1870" s="77"/>
      <c r="AP1870" s="77"/>
      <c r="AQ1870" s="77" t="s">
        <v>11493</v>
      </c>
      <c r="AR1870" s="77"/>
      <c r="AS1870" s="77"/>
      <c r="AT1870" s="77"/>
      <c r="AU1870" s="77"/>
      <c r="AV1870" s="80" t="str">
        <f>HYPERLINK("https://pbs.twimg.com/media/F5hVJEgXAAACnkR.png")</f>
        <v>https://pbs.twimg.com/media/F5hVJEgXAAACnkR.png</v>
      </c>
      <c r="AW1870" s="82" t="s">
        <v>13466</v>
      </c>
      <c r="AX1870" s="82" t="s">
        <v>13466</v>
      </c>
      <c r="AY1870" s="77"/>
      <c r="AZ1870" s="82" t="s">
        <v>15984</v>
      </c>
      <c r="BA1870" s="82" t="s">
        <v>15984</v>
      </c>
      <c r="BB1870" s="82" t="s">
        <v>15984</v>
      </c>
      <c r="BC1870" s="82" t="s">
        <v>13466</v>
      </c>
      <c r="BD1870" s="77">
        <v>748960584</v>
      </c>
      <c r="BE1870" s="77"/>
      <c r="BF1870" s="77"/>
      <c r="BG1870" s="77"/>
      <c r="BH1870" s="77"/>
      <c r="BI1870" s="77"/>
    </row>
    <row r="1871" spans="1:61" x14ac:dyDescent="0.25">
      <c r="A1871" s="62" t="s">
        <v>697</v>
      </c>
      <c r="B1871" s="62" t="s">
        <v>697</v>
      </c>
      <c r="C1871" s="63"/>
      <c r="D1871" s="64"/>
      <c r="E1871" s="65"/>
      <c r="F1871" s="66"/>
      <c r="G1871" s="63"/>
      <c r="H1871" s="67"/>
      <c r="I1871" s="68"/>
      <c r="J1871" s="68"/>
      <c r="K1871" s="32"/>
      <c r="L1871" s="75">
        <v>1871</v>
      </c>
      <c r="M1871" s="75"/>
      <c r="N1871" s="70"/>
      <c r="O1871" s="77" t="s">
        <v>898</v>
      </c>
      <c r="P1871" s="79">
        <v>45168.734166666669</v>
      </c>
      <c r="Q1871" s="77" t="s">
        <v>2553</v>
      </c>
      <c r="R1871" s="77">
        <v>1</v>
      </c>
      <c r="S1871" s="77">
        <v>1</v>
      </c>
      <c r="T1871" s="77">
        <v>0</v>
      </c>
      <c r="U1871" s="77">
        <v>0</v>
      </c>
      <c r="V1871" s="77">
        <v>107</v>
      </c>
      <c r="W1871" s="82" t="s">
        <v>5754</v>
      </c>
      <c r="X1871" s="80" t="str">
        <f>HYPERLINK("https://javiermliron.blogspot.com/2023/08/exportaciones-sector-agroalimentario-de.html")</f>
        <v>https://javiermliron.blogspot.com/2023/08/exportaciones-sector-agroalimentario-de.html</v>
      </c>
      <c r="Y1871" s="77" t="s">
        <v>6532</v>
      </c>
      <c r="Z1871" s="77"/>
      <c r="AA1871" s="77"/>
      <c r="AB1871" s="77"/>
      <c r="AC1871" s="82" t="s">
        <v>7750</v>
      </c>
      <c r="AD1871" s="77" t="s">
        <v>7790</v>
      </c>
      <c r="AE1871" s="80" t="str">
        <f>HYPERLINK("https://twitter.com/jmendezliron/status/1696940142127198566")</f>
        <v>https://twitter.com/jmendezliron/status/1696940142127198566</v>
      </c>
      <c r="AF1871" s="79">
        <v>45168.734166666669</v>
      </c>
      <c r="AG1871" s="85">
        <v>45168</v>
      </c>
      <c r="AH1871" s="82" t="s">
        <v>9374</v>
      </c>
      <c r="AI1871" s="77" t="b">
        <v>0</v>
      </c>
      <c r="AJ1871" s="77"/>
      <c r="AK1871" s="77"/>
      <c r="AL1871" s="77"/>
      <c r="AM1871" s="77"/>
      <c r="AN1871" s="77"/>
      <c r="AO1871" s="77"/>
      <c r="AP1871" s="77"/>
      <c r="AQ1871" s="77"/>
      <c r="AR1871" s="77"/>
      <c r="AS1871" s="77"/>
      <c r="AT1871" s="77"/>
      <c r="AU1871" s="77"/>
      <c r="AV1871" s="80" t="str">
        <f>HYPERLINK("https://pbs.twimg.com/profile_images/612292231358246912/gMKxM5xX_normal.jpg")</f>
        <v>https://pbs.twimg.com/profile_images/612292231358246912/gMKxM5xX_normal.jpg</v>
      </c>
      <c r="AW1871" s="82" t="s">
        <v>13467</v>
      </c>
      <c r="AX1871" s="82" t="s">
        <v>13468</v>
      </c>
      <c r="AY1871" s="82" t="s">
        <v>15975</v>
      </c>
      <c r="AZ1871" s="82" t="s">
        <v>13468</v>
      </c>
      <c r="BA1871" s="82" t="s">
        <v>15984</v>
      </c>
      <c r="BB1871" s="82" t="s">
        <v>15984</v>
      </c>
      <c r="BC1871" s="82" t="s">
        <v>13468</v>
      </c>
      <c r="BD1871" s="77">
        <v>748960584</v>
      </c>
      <c r="BE1871" s="77"/>
      <c r="BF1871" s="77"/>
      <c r="BG1871" s="77"/>
      <c r="BH1871" s="77"/>
      <c r="BI1871" s="77"/>
    </row>
    <row r="1872" spans="1:61" x14ac:dyDescent="0.25">
      <c r="A1872" s="62" t="s">
        <v>697</v>
      </c>
      <c r="B1872" s="62" t="s">
        <v>697</v>
      </c>
      <c r="C1872" s="63"/>
      <c r="D1872" s="64"/>
      <c r="E1872" s="65"/>
      <c r="F1872" s="66"/>
      <c r="G1872" s="63"/>
      <c r="H1872" s="67"/>
      <c r="I1872" s="68"/>
      <c r="J1872" s="68"/>
      <c r="K1872" s="32"/>
      <c r="L1872" s="75">
        <v>1872</v>
      </c>
      <c r="M1872" s="75"/>
      <c r="N1872" s="70"/>
      <c r="O1872" s="77" t="s">
        <v>179</v>
      </c>
      <c r="P1872" s="79">
        <v>45168.734155092592</v>
      </c>
      <c r="Q1872" s="77" t="s">
        <v>2554</v>
      </c>
      <c r="R1872" s="77">
        <v>1</v>
      </c>
      <c r="S1872" s="77">
        <v>1</v>
      </c>
      <c r="T1872" s="77">
        <v>1</v>
      </c>
      <c r="U1872" s="77">
        <v>0</v>
      </c>
      <c r="V1872" s="77">
        <v>112</v>
      </c>
      <c r="W1872" s="82" t="s">
        <v>5755</v>
      </c>
      <c r="X1872" s="80" t="str">
        <f>HYPERLINK("https://javiermliron.blogspot.com/2023/08/exportaciones-sector-agroalimentario-de.html")</f>
        <v>https://javiermliron.blogspot.com/2023/08/exportaciones-sector-agroalimentario-de.html</v>
      </c>
      <c r="Y1872" s="77" t="s">
        <v>6532</v>
      </c>
      <c r="Z1872" s="77"/>
      <c r="AA1872" s="77" t="s">
        <v>7522</v>
      </c>
      <c r="AB1872" s="77" t="s">
        <v>7742</v>
      </c>
      <c r="AC1872" s="82" t="s">
        <v>7750</v>
      </c>
      <c r="AD1872" s="77" t="s">
        <v>7790</v>
      </c>
      <c r="AE1872" s="80" t="str">
        <f>HYPERLINK("https://twitter.com/jmendezliron/status/1696940139568652517")</f>
        <v>https://twitter.com/jmendezliron/status/1696940139568652517</v>
      </c>
      <c r="AF1872" s="79">
        <v>45168.734155092592</v>
      </c>
      <c r="AG1872" s="85">
        <v>45168</v>
      </c>
      <c r="AH1872" s="82" t="s">
        <v>9375</v>
      </c>
      <c r="AI1872" s="77" t="b">
        <v>0</v>
      </c>
      <c r="AJ1872" s="77"/>
      <c r="AK1872" s="77"/>
      <c r="AL1872" s="77"/>
      <c r="AM1872" s="77"/>
      <c r="AN1872" s="77"/>
      <c r="AO1872" s="77"/>
      <c r="AP1872" s="77"/>
      <c r="AQ1872" s="77" t="s">
        <v>11494</v>
      </c>
      <c r="AR1872" s="77"/>
      <c r="AS1872" s="77"/>
      <c r="AT1872" s="77"/>
      <c r="AU1872" s="77"/>
      <c r="AV1872" s="80" t="str">
        <f>HYPERLINK("https://pbs.twimg.com/media/F4y-DrrWoAAatTR.jpg")</f>
        <v>https://pbs.twimg.com/media/F4y-DrrWoAAatTR.jpg</v>
      </c>
      <c r="AW1872" s="82" t="s">
        <v>13468</v>
      </c>
      <c r="AX1872" s="82" t="s">
        <v>13468</v>
      </c>
      <c r="AY1872" s="77"/>
      <c r="AZ1872" s="82" t="s">
        <v>15984</v>
      </c>
      <c r="BA1872" s="82" t="s">
        <v>15984</v>
      </c>
      <c r="BB1872" s="82" t="s">
        <v>15984</v>
      </c>
      <c r="BC1872" s="82" t="s">
        <v>13468</v>
      </c>
      <c r="BD1872" s="77">
        <v>748960584</v>
      </c>
      <c r="BE1872" s="77"/>
      <c r="BF1872" s="77"/>
      <c r="BG1872" s="77"/>
      <c r="BH1872" s="77"/>
      <c r="BI1872" s="77"/>
    </row>
    <row r="1873" spans="1:61" x14ac:dyDescent="0.25">
      <c r="A1873" s="62" t="s">
        <v>697</v>
      </c>
      <c r="B1873" s="62" t="s">
        <v>697</v>
      </c>
      <c r="C1873" s="63"/>
      <c r="D1873" s="64"/>
      <c r="E1873" s="65"/>
      <c r="F1873" s="66"/>
      <c r="G1873" s="63"/>
      <c r="H1873" s="67"/>
      <c r="I1873" s="68"/>
      <c r="J1873" s="68"/>
      <c r="K1873" s="32"/>
      <c r="L1873" s="75">
        <v>1873</v>
      </c>
      <c r="M1873" s="75"/>
      <c r="N1873" s="70"/>
      <c r="O1873" s="77" t="s">
        <v>179</v>
      </c>
      <c r="P1873" s="79">
        <v>45168.728738425925</v>
      </c>
      <c r="Q1873" s="77" t="s">
        <v>2555</v>
      </c>
      <c r="R1873" s="77">
        <v>1</v>
      </c>
      <c r="S1873" s="77">
        <v>1</v>
      </c>
      <c r="T1873" s="77">
        <v>0</v>
      </c>
      <c r="U1873" s="77">
        <v>0</v>
      </c>
      <c r="V1873" s="77">
        <v>75</v>
      </c>
      <c r="W1873" s="82" t="s">
        <v>5804</v>
      </c>
      <c r="X1873" s="80" t="str">
        <f>HYPERLINK("https://javiermliron.blogspot.com/2023/08/indice-de-precios-industriales.html")</f>
        <v>https://javiermliron.blogspot.com/2023/08/indice-de-precios-industriales.html</v>
      </c>
      <c r="Y1873" s="77" t="s">
        <v>6532</v>
      </c>
      <c r="Z1873" s="77"/>
      <c r="AA1873" s="77" t="s">
        <v>7523</v>
      </c>
      <c r="AB1873" s="77" t="s">
        <v>7742</v>
      </c>
      <c r="AC1873" s="82" t="s">
        <v>7750</v>
      </c>
      <c r="AD1873" s="77" t="s">
        <v>7790</v>
      </c>
      <c r="AE1873" s="80" t="str">
        <f>HYPERLINK("https://twitter.com/jmendezliron/status/1696938176391110967")</f>
        <v>https://twitter.com/jmendezliron/status/1696938176391110967</v>
      </c>
      <c r="AF1873" s="79">
        <v>45168.728738425925</v>
      </c>
      <c r="AG1873" s="85">
        <v>45168</v>
      </c>
      <c r="AH1873" s="82" t="s">
        <v>9376</v>
      </c>
      <c r="AI1873" s="77" t="b">
        <v>0</v>
      </c>
      <c r="AJ1873" s="77"/>
      <c r="AK1873" s="77"/>
      <c r="AL1873" s="77"/>
      <c r="AM1873" s="77"/>
      <c r="AN1873" s="77"/>
      <c r="AO1873" s="77"/>
      <c r="AP1873" s="77"/>
      <c r="AQ1873" s="77" t="s">
        <v>11495</v>
      </c>
      <c r="AR1873" s="77"/>
      <c r="AS1873" s="77"/>
      <c r="AT1873" s="77"/>
      <c r="AU1873" s="77"/>
      <c r="AV1873" s="80" t="str">
        <f>HYPERLINK("https://pbs.twimg.com/media/F4y8RdWXEAAB75h.png")</f>
        <v>https://pbs.twimg.com/media/F4y8RdWXEAAB75h.png</v>
      </c>
      <c r="AW1873" s="82" t="s">
        <v>13469</v>
      </c>
      <c r="AX1873" s="82" t="s">
        <v>13469</v>
      </c>
      <c r="AY1873" s="77"/>
      <c r="AZ1873" s="82" t="s">
        <v>15984</v>
      </c>
      <c r="BA1873" s="82" t="s">
        <v>15984</v>
      </c>
      <c r="BB1873" s="82" t="s">
        <v>15984</v>
      </c>
      <c r="BC1873" s="82" t="s">
        <v>13469</v>
      </c>
      <c r="BD1873" s="77">
        <v>748960584</v>
      </c>
      <c r="BE1873" s="77"/>
      <c r="BF1873" s="77"/>
      <c r="BG1873" s="77"/>
      <c r="BH1873" s="77"/>
      <c r="BI1873" s="77"/>
    </row>
    <row r="1874" spans="1:61" x14ac:dyDescent="0.25">
      <c r="A1874" s="62" t="s">
        <v>697</v>
      </c>
      <c r="B1874" s="62" t="s">
        <v>697</v>
      </c>
      <c r="C1874" s="63"/>
      <c r="D1874" s="64"/>
      <c r="E1874" s="65"/>
      <c r="F1874" s="66"/>
      <c r="G1874" s="63"/>
      <c r="H1874" s="67"/>
      <c r="I1874" s="68"/>
      <c r="J1874" s="68"/>
      <c r="K1874" s="32"/>
      <c r="L1874" s="75">
        <v>1874</v>
      </c>
      <c r="M1874" s="75"/>
      <c r="N1874" s="70"/>
      <c r="O1874" s="77" t="s">
        <v>179</v>
      </c>
      <c r="P1874" s="79">
        <v>45148.729687500003</v>
      </c>
      <c r="Q1874" s="77" t="s">
        <v>2556</v>
      </c>
      <c r="R1874" s="77">
        <v>1</v>
      </c>
      <c r="S1874" s="77">
        <v>1</v>
      </c>
      <c r="T1874" s="77">
        <v>0</v>
      </c>
      <c r="U1874" s="77">
        <v>0</v>
      </c>
      <c r="V1874" s="77">
        <v>78</v>
      </c>
      <c r="W1874" s="82" t="s">
        <v>5805</v>
      </c>
      <c r="X1874" s="80" t="str">
        <f>HYPERLINK("https://javiermliron.blogspot.com/2023/08/indice-de-produccion-industrial_01593380712.html")</f>
        <v>https://javiermliron.blogspot.com/2023/08/indice-de-produccion-industrial_01593380712.html</v>
      </c>
      <c r="Y1874" s="77" t="s">
        <v>6532</v>
      </c>
      <c r="Z1874" s="77"/>
      <c r="AA1874" s="77" t="s">
        <v>7524</v>
      </c>
      <c r="AB1874" s="77" t="s">
        <v>7742</v>
      </c>
      <c r="AC1874" s="82" t="s">
        <v>7750</v>
      </c>
      <c r="AD1874" s="77" t="s">
        <v>7790</v>
      </c>
      <c r="AE1874" s="80" t="str">
        <f>HYPERLINK("https://twitter.com/jmendezliron/status/1689690761380712448")</f>
        <v>https://twitter.com/jmendezliron/status/1689690761380712448</v>
      </c>
      <c r="AF1874" s="79">
        <v>45148.729687500003</v>
      </c>
      <c r="AG1874" s="85">
        <v>45148</v>
      </c>
      <c r="AH1874" s="82" t="s">
        <v>9377</v>
      </c>
      <c r="AI1874" s="77" t="b">
        <v>0</v>
      </c>
      <c r="AJ1874" s="77"/>
      <c r="AK1874" s="77"/>
      <c r="AL1874" s="77"/>
      <c r="AM1874" s="77"/>
      <c r="AN1874" s="77"/>
      <c r="AO1874" s="77"/>
      <c r="AP1874" s="77"/>
      <c r="AQ1874" s="77" t="s">
        <v>11496</v>
      </c>
      <c r="AR1874" s="77"/>
      <c r="AS1874" s="77"/>
      <c r="AT1874" s="77"/>
      <c r="AU1874" s="77"/>
      <c r="AV1874" s="80" t="str">
        <f>HYPERLINK("https://pbs.twimg.com/media/F3L8ynWXMAEYPVO.png")</f>
        <v>https://pbs.twimg.com/media/F3L8ynWXMAEYPVO.png</v>
      </c>
      <c r="AW1874" s="82" t="s">
        <v>13470</v>
      </c>
      <c r="AX1874" s="82" t="s">
        <v>13470</v>
      </c>
      <c r="AY1874" s="77"/>
      <c r="AZ1874" s="82" t="s">
        <v>15984</v>
      </c>
      <c r="BA1874" s="82" t="s">
        <v>15984</v>
      </c>
      <c r="BB1874" s="82" t="s">
        <v>15984</v>
      </c>
      <c r="BC1874" s="82" t="s">
        <v>13470</v>
      </c>
      <c r="BD1874" s="77">
        <v>748960584</v>
      </c>
      <c r="BE1874" s="77"/>
      <c r="BF1874" s="77"/>
      <c r="BG1874" s="77"/>
      <c r="BH1874" s="77"/>
      <c r="BI1874" s="77"/>
    </row>
    <row r="1875" spans="1:61" x14ac:dyDescent="0.25">
      <c r="A1875" s="62" t="s">
        <v>697</v>
      </c>
      <c r="B1875" s="62" t="s">
        <v>697</v>
      </c>
      <c r="C1875" s="63"/>
      <c r="D1875" s="64"/>
      <c r="E1875" s="65"/>
      <c r="F1875" s="66"/>
      <c r="G1875" s="63"/>
      <c r="H1875" s="67"/>
      <c r="I1875" s="68"/>
      <c r="J1875" s="68"/>
      <c r="K1875" s="32"/>
      <c r="L1875" s="75">
        <v>1875</v>
      </c>
      <c r="M1875" s="75"/>
      <c r="N1875" s="70"/>
      <c r="O1875" s="77" t="s">
        <v>179</v>
      </c>
      <c r="P1875" s="79">
        <v>45120.228032407409</v>
      </c>
      <c r="Q1875" s="77" t="s">
        <v>2557</v>
      </c>
      <c r="R1875" s="77">
        <v>1</v>
      </c>
      <c r="S1875" s="77">
        <v>1</v>
      </c>
      <c r="T1875" s="77">
        <v>0</v>
      </c>
      <c r="U1875" s="77">
        <v>0</v>
      </c>
      <c r="V1875" s="77">
        <v>92</v>
      </c>
      <c r="W1875" s="82" t="s">
        <v>5772</v>
      </c>
      <c r="X1875" s="80" t="str">
        <f>HYPERLINK("https://javiermliron.blogspot.com/2023/07/indice-de-produccion-industrial-madrid.html")</f>
        <v>https://javiermliron.blogspot.com/2023/07/indice-de-produccion-industrial-madrid.html</v>
      </c>
      <c r="Y1875" s="77" t="s">
        <v>6532</v>
      </c>
      <c r="Z1875" s="77"/>
      <c r="AA1875" s="77" t="s">
        <v>7525</v>
      </c>
      <c r="AB1875" s="77" t="s">
        <v>7742</v>
      </c>
      <c r="AC1875" s="82" t="s">
        <v>7750</v>
      </c>
      <c r="AD1875" s="77" t="s">
        <v>7790</v>
      </c>
      <c r="AE1875" s="80" t="str">
        <f>HYPERLINK("https://twitter.com/jmendezliron/status/1679362108578754560")</f>
        <v>https://twitter.com/jmendezliron/status/1679362108578754560</v>
      </c>
      <c r="AF1875" s="79">
        <v>45120.228032407409</v>
      </c>
      <c r="AG1875" s="85">
        <v>45120</v>
      </c>
      <c r="AH1875" s="82" t="s">
        <v>9378</v>
      </c>
      <c r="AI1875" s="77" t="b">
        <v>0</v>
      </c>
      <c r="AJ1875" s="77"/>
      <c r="AK1875" s="77"/>
      <c r="AL1875" s="77"/>
      <c r="AM1875" s="77"/>
      <c r="AN1875" s="77"/>
      <c r="AO1875" s="77"/>
      <c r="AP1875" s="77"/>
      <c r="AQ1875" s="77" t="s">
        <v>11497</v>
      </c>
      <c r="AR1875" s="77"/>
      <c r="AS1875" s="77"/>
      <c r="AT1875" s="77"/>
      <c r="AU1875" s="77"/>
      <c r="AV1875" s="80" t="str">
        <f>HYPERLINK("https://pbs.twimg.com/media/F05K68mXgAE7F1X.png")</f>
        <v>https://pbs.twimg.com/media/F05K68mXgAE7F1X.png</v>
      </c>
      <c r="AW1875" s="82" t="s">
        <v>13471</v>
      </c>
      <c r="AX1875" s="82" t="s">
        <v>13471</v>
      </c>
      <c r="AY1875" s="77"/>
      <c r="AZ1875" s="82" t="s">
        <v>15984</v>
      </c>
      <c r="BA1875" s="82" t="s">
        <v>15984</v>
      </c>
      <c r="BB1875" s="82" t="s">
        <v>15984</v>
      </c>
      <c r="BC1875" s="82" t="s">
        <v>13471</v>
      </c>
      <c r="BD1875" s="77">
        <v>748960584</v>
      </c>
      <c r="BE1875" s="77"/>
      <c r="BF1875" s="77"/>
      <c r="BG1875" s="77"/>
      <c r="BH1875" s="77"/>
      <c r="BI1875" s="77"/>
    </row>
    <row r="1876" spans="1:61" x14ac:dyDescent="0.25">
      <c r="A1876" s="62" t="s">
        <v>697</v>
      </c>
      <c r="B1876" s="62" t="s">
        <v>697</v>
      </c>
      <c r="C1876" s="63"/>
      <c r="D1876" s="64"/>
      <c r="E1876" s="65"/>
      <c r="F1876" s="66"/>
      <c r="G1876" s="63"/>
      <c r="H1876" s="67"/>
      <c r="I1876" s="68"/>
      <c r="J1876" s="68"/>
      <c r="K1876" s="32"/>
      <c r="L1876" s="75">
        <v>1876</v>
      </c>
      <c r="M1876" s="75"/>
      <c r="N1876" s="70"/>
      <c r="O1876" s="77" t="s">
        <v>179</v>
      </c>
      <c r="P1876" s="79">
        <v>45182.265196759261</v>
      </c>
      <c r="Q1876" s="77" t="s">
        <v>2558</v>
      </c>
      <c r="R1876" s="77">
        <v>1</v>
      </c>
      <c r="S1876" s="77">
        <v>1</v>
      </c>
      <c r="T1876" s="77">
        <v>0</v>
      </c>
      <c r="U1876" s="77">
        <v>0</v>
      </c>
      <c r="V1876" s="77">
        <v>60</v>
      </c>
      <c r="W1876" s="82" t="s">
        <v>5769</v>
      </c>
      <c r="X1876" s="80" t="str">
        <f>HYPERLINK("https://javiermliron.blogspot.com/2023/09/contratos-registrados-45-en-espana.html")</f>
        <v>https://javiermliron.blogspot.com/2023/09/contratos-registrados-45-en-espana.html</v>
      </c>
      <c r="Y1876" s="77" t="s">
        <v>6532</v>
      </c>
      <c r="Z1876" s="77"/>
      <c r="AA1876" s="77" t="s">
        <v>7526</v>
      </c>
      <c r="AB1876" s="77" t="s">
        <v>7742</v>
      </c>
      <c r="AC1876" s="82" t="s">
        <v>7750</v>
      </c>
      <c r="AD1876" s="77" t="s">
        <v>7790</v>
      </c>
      <c r="AE1876" s="80" t="str">
        <f>HYPERLINK("https://twitter.com/jmendezliron/status/1701843624105853261")</f>
        <v>https://twitter.com/jmendezliron/status/1701843624105853261</v>
      </c>
      <c r="AF1876" s="79">
        <v>45182.265196759261</v>
      </c>
      <c r="AG1876" s="85">
        <v>45182</v>
      </c>
      <c r="AH1876" s="82" t="s">
        <v>9379</v>
      </c>
      <c r="AI1876" s="77" t="b">
        <v>0</v>
      </c>
      <c r="AJ1876" s="77"/>
      <c r="AK1876" s="77"/>
      <c r="AL1876" s="77"/>
      <c r="AM1876" s="77"/>
      <c r="AN1876" s="77"/>
      <c r="AO1876" s="77"/>
      <c r="AP1876" s="77"/>
      <c r="AQ1876" s="77" t="s">
        <v>11498</v>
      </c>
      <c r="AR1876" s="77"/>
      <c r="AS1876" s="77"/>
      <c r="AT1876" s="77"/>
      <c r="AU1876" s="77"/>
      <c r="AV1876" s="80" t="str">
        <f>HYPERLINK("https://pbs.twimg.com/media/F54pv7sWoAA-zpy.png")</f>
        <v>https://pbs.twimg.com/media/F54pv7sWoAA-zpy.png</v>
      </c>
      <c r="AW1876" s="82" t="s">
        <v>13472</v>
      </c>
      <c r="AX1876" s="82" t="s">
        <v>13472</v>
      </c>
      <c r="AY1876" s="77"/>
      <c r="AZ1876" s="82" t="s">
        <v>15984</v>
      </c>
      <c r="BA1876" s="82" t="s">
        <v>15984</v>
      </c>
      <c r="BB1876" s="82" t="s">
        <v>15984</v>
      </c>
      <c r="BC1876" s="82" t="s">
        <v>13472</v>
      </c>
      <c r="BD1876" s="77">
        <v>748960584</v>
      </c>
      <c r="BE1876" s="77"/>
      <c r="BF1876" s="77"/>
      <c r="BG1876" s="77"/>
      <c r="BH1876" s="77"/>
      <c r="BI1876" s="77"/>
    </row>
    <row r="1877" spans="1:61" x14ac:dyDescent="0.25">
      <c r="A1877" s="62" t="s">
        <v>697</v>
      </c>
      <c r="B1877" s="62" t="s">
        <v>697</v>
      </c>
      <c r="C1877" s="63"/>
      <c r="D1877" s="64"/>
      <c r="E1877" s="65"/>
      <c r="F1877" s="66"/>
      <c r="G1877" s="63"/>
      <c r="H1877" s="67"/>
      <c r="I1877" s="68"/>
      <c r="J1877" s="68"/>
      <c r="K1877" s="32"/>
      <c r="L1877" s="75">
        <v>1877</v>
      </c>
      <c r="M1877" s="75"/>
      <c r="N1877" s="70"/>
      <c r="O1877" s="77" t="s">
        <v>179</v>
      </c>
      <c r="P1877" s="79">
        <v>45182.261354166665</v>
      </c>
      <c r="Q1877" s="77" t="s">
        <v>2559</v>
      </c>
      <c r="R1877" s="77">
        <v>1</v>
      </c>
      <c r="S1877" s="77">
        <v>1</v>
      </c>
      <c r="T1877" s="77">
        <v>0</v>
      </c>
      <c r="U1877" s="77">
        <v>0</v>
      </c>
      <c r="V1877" s="77">
        <v>39</v>
      </c>
      <c r="W1877" s="82" t="s">
        <v>5770</v>
      </c>
      <c r="X1877" s="80" t="str">
        <f>HYPERLINK("https://javiermliron.blogspot.com/2023/09/indice-de-produccion-industrial_0496170682.html")</f>
        <v>https://javiermliron.blogspot.com/2023/09/indice-de-produccion-industrial_0496170682.html</v>
      </c>
      <c r="Y1877" s="77" t="s">
        <v>6532</v>
      </c>
      <c r="Z1877" s="77"/>
      <c r="AA1877" s="77" t="s">
        <v>7527</v>
      </c>
      <c r="AB1877" s="77" t="s">
        <v>7742</v>
      </c>
      <c r="AC1877" s="82" t="s">
        <v>7750</v>
      </c>
      <c r="AD1877" s="77" t="s">
        <v>7790</v>
      </c>
      <c r="AE1877" s="80" t="str">
        <f>HYPERLINK("https://twitter.com/jmendezliron/status/1701842231412264992")</f>
        <v>https://twitter.com/jmendezliron/status/1701842231412264992</v>
      </c>
      <c r="AF1877" s="79">
        <v>45182.261354166665</v>
      </c>
      <c r="AG1877" s="85">
        <v>45182</v>
      </c>
      <c r="AH1877" s="82" t="s">
        <v>9380</v>
      </c>
      <c r="AI1877" s="77" t="b">
        <v>0</v>
      </c>
      <c r="AJ1877" s="77"/>
      <c r="AK1877" s="77"/>
      <c r="AL1877" s="77"/>
      <c r="AM1877" s="77"/>
      <c r="AN1877" s="77"/>
      <c r="AO1877" s="77"/>
      <c r="AP1877" s="77"/>
      <c r="AQ1877" s="77" t="s">
        <v>11499</v>
      </c>
      <c r="AR1877" s="77"/>
      <c r="AS1877" s="77"/>
      <c r="AT1877" s="77"/>
      <c r="AU1877" s="77"/>
      <c r="AV1877" s="80" t="str">
        <f>HYPERLINK("https://pbs.twimg.com/media/F54ofO0XgAAwDUR.png")</f>
        <v>https://pbs.twimg.com/media/F54ofO0XgAAwDUR.png</v>
      </c>
      <c r="AW1877" s="82" t="s">
        <v>13473</v>
      </c>
      <c r="AX1877" s="82" t="s">
        <v>13473</v>
      </c>
      <c r="AY1877" s="77"/>
      <c r="AZ1877" s="82" t="s">
        <v>15984</v>
      </c>
      <c r="BA1877" s="82" t="s">
        <v>15984</v>
      </c>
      <c r="BB1877" s="82" t="s">
        <v>15984</v>
      </c>
      <c r="BC1877" s="82" t="s">
        <v>13473</v>
      </c>
      <c r="BD1877" s="77">
        <v>748960584</v>
      </c>
      <c r="BE1877" s="77"/>
      <c r="BF1877" s="77"/>
      <c r="BG1877" s="77"/>
      <c r="BH1877" s="77"/>
      <c r="BI1877" s="77"/>
    </row>
    <row r="1878" spans="1:61" x14ac:dyDescent="0.25">
      <c r="A1878" s="62" t="s">
        <v>697</v>
      </c>
      <c r="B1878" s="62" t="s">
        <v>697</v>
      </c>
      <c r="C1878" s="63"/>
      <c r="D1878" s="64"/>
      <c r="E1878" s="65"/>
      <c r="F1878" s="66"/>
      <c r="G1878" s="63"/>
      <c r="H1878" s="67"/>
      <c r="I1878" s="68"/>
      <c r="J1878" s="68"/>
      <c r="K1878" s="32"/>
      <c r="L1878" s="75">
        <v>1878</v>
      </c>
      <c r="M1878" s="75"/>
      <c r="N1878" s="70"/>
      <c r="O1878" s="77" t="s">
        <v>898</v>
      </c>
      <c r="P1878" s="79">
        <v>45175.720277777778</v>
      </c>
      <c r="Q1878" s="77" t="s">
        <v>2560</v>
      </c>
      <c r="R1878" s="77">
        <v>1</v>
      </c>
      <c r="S1878" s="77">
        <v>1</v>
      </c>
      <c r="T1878" s="77">
        <v>0</v>
      </c>
      <c r="U1878" s="77">
        <v>0</v>
      </c>
      <c r="V1878" s="77">
        <v>60</v>
      </c>
      <c r="W1878" s="82" t="s">
        <v>5806</v>
      </c>
      <c r="X1878" s="80" t="str">
        <f>HYPERLINK("https://javiermliron.blogspot.com/2023/09/hipotecas-en-andalucia-junio-2023.html")</f>
        <v>https://javiermliron.blogspot.com/2023/09/hipotecas-en-andalucia-junio-2023.html</v>
      </c>
      <c r="Y1878" s="77" t="s">
        <v>6532</v>
      </c>
      <c r="Z1878" s="77"/>
      <c r="AA1878" s="77"/>
      <c r="AB1878" s="77"/>
      <c r="AC1878" s="82" t="s">
        <v>7750</v>
      </c>
      <c r="AD1878" s="77" t="s">
        <v>7790</v>
      </c>
      <c r="AE1878" s="80" t="str">
        <f>HYPERLINK("https://twitter.com/jmendezliron/status/1699471826991088120")</f>
        <v>https://twitter.com/jmendezliron/status/1699471826991088120</v>
      </c>
      <c r="AF1878" s="79">
        <v>45175.720277777778</v>
      </c>
      <c r="AG1878" s="85">
        <v>45175</v>
      </c>
      <c r="AH1878" s="82" t="s">
        <v>9381</v>
      </c>
      <c r="AI1878" s="77" t="b">
        <v>0</v>
      </c>
      <c r="AJ1878" s="77"/>
      <c r="AK1878" s="77"/>
      <c r="AL1878" s="77"/>
      <c r="AM1878" s="77"/>
      <c r="AN1878" s="77"/>
      <c r="AO1878" s="77"/>
      <c r="AP1878" s="77"/>
      <c r="AQ1878" s="77"/>
      <c r="AR1878" s="77"/>
      <c r="AS1878" s="77"/>
      <c r="AT1878" s="77"/>
      <c r="AU1878" s="77"/>
      <c r="AV1878" s="80" t="str">
        <f>HYPERLINK("https://pbs.twimg.com/profile_images/612292231358246912/gMKxM5xX_normal.jpg")</f>
        <v>https://pbs.twimg.com/profile_images/612292231358246912/gMKxM5xX_normal.jpg</v>
      </c>
      <c r="AW1878" s="82" t="s">
        <v>13474</v>
      </c>
      <c r="AX1878" s="82" t="s">
        <v>13475</v>
      </c>
      <c r="AY1878" s="82" t="s">
        <v>15975</v>
      </c>
      <c r="AZ1878" s="82" t="s">
        <v>13475</v>
      </c>
      <c r="BA1878" s="82" t="s">
        <v>15984</v>
      </c>
      <c r="BB1878" s="82" t="s">
        <v>15984</v>
      </c>
      <c r="BC1878" s="82" t="s">
        <v>13475</v>
      </c>
      <c r="BD1878" s="77">
        <v>748960584</v>
      </c>
      <c r="BE1878" s="77"/>
      <c r="BF1878" s="77"/>
      <c r="BG1878" s="77"/>
      <c r="BH1878" s="77"/>
      <c r="BI1878" s="77"/>
    </row>
    <row r="1879" spans="1:61" x14ac:dyDescent="0.25">
      <c r="A1879" s="62" t="s">
        <v>697</v>
      </c>
      <c r="B1879" s="62" t="s">
        <v>697</v>
      </c>
      <c r="C1879" s="63"/>
      <c r="D1879" s="64"/>
      <c r="E1879" s="65"/>
      <c r="F1879" s="66"/>
      <c r="G1879" s="63"/>
      <c r="H1879" s="67"/>
      <c r="I1879" s="68"/>
      <c r="J1879" s="68"/>
      <c r="K1879" s="32"/>
      <c r="L1879" s="75">
        <v>1879</v>
      </c>
      <c r="M1879" s="75"/>
      <c r="N1879" s="70"/>
      <c r="O1879" s="77" t="s">
        <v>179</v>
      </c>
      <c r="P1879" s="79">
        <v>45175.720266203702</v>
      </c>
      <c r="Q1879" s="77" t="s">
        <v>2561</v>
      </c>
      <c r="R1879" s="77">
        <v>1</v>
      </c>
      <c r="S1879" s="77">
        <v>1</v>
      </c>
      <c r="T1879" s="77">
        <v>1</v>
      </c>
      <c r="U1879" s="77">
        <v>0</v>
      </c>
      <c r="V1879" s="77">
        <v>63</v>
      </c>
      <c r="W1879" s="82" t="s">
        <v>5807</v>
      </c>
      <c r="X1879" s="80" t="str">
        <f>HYPERLINK("https://javiermliron.blogspot.com/2023/09/hipotecas-en-andalucia-junio-2023.html")</f>
        <v>https://javiermliron.blogspot.com/2023/09/hipotecas-en-andalucia-junio-2023.html</v>
      </c>
      <c r="Y1879" s="77" t="s">
        <v>6532</v>
      </c>
      <c r="Z1879" s="77"/>
      <c r="AA1879" s="77" t="s">
        <v>7528</v>
      </c>
      <c r="AB1879" s="77" t="s">
        <v>7742</v>
      </c>
      <c r="AC1879" s="82" t="s">
        <v>7750</v>
      </c>
      <c r="AD1879" s="77" t="s">
        <v>7790</v>
      </c>
      <c r="AE1879" s="80" t="str">
        <f>HYPERLINK("https://twitter.com/jmendezliron/status/1699471822301839815")</f>
        <v>https://twitter.com/jmendezliron/status/1699471822301839815</v>
      </c>
      <c r="AF1879" s="79">
        <v>45175.720266203702</v>
      </c>
      <c r="AG1879" s="85">
        <v>45175</v>
      </c>
      <c r="AH1879" s="82" t="s">
        <v>9382</v>
      </c>
      <c r="AI1879" s="77" t="b">
        <v>0</v>
      </c>
      <c r="AJ1879" s="77"/>
      <c r="AK1879" s="77"/>
      <c r="AL1879" s="77"/>
      <c r="AM1879" s="77"/>
      <c r="AN1879" s="77"/>
      <c r="AO1879" s="77"/>
      <c r="AP1879" s="77"/>
      <c r="AQ1879" s="77" t="s">
        <v>11500</v>
      </c>
      <c r="AR1879" s="77"/>
      <c r="AS1879" s="77"/>
      <c r="AT1879" s="77"/>
      <c r="AU1879" s="77"/>
      <c r="AV1879" s="80" t="str">
        <f>HYPERLINK("https://pbs.twimg.com/media/F5W8nObXgAAARQD.png")</f>
        <v>https://pbs.twimg.com/media/F5W8nObXgAAARQD.png</v>
      </c>
      <c r="AW1879" s="82" t="s">
        <v>13475</v>
      </c>
      <c r="AX1879" s="82" t="s">
        <v>13475</v>
      </c>
      <c r="AY1879" s="77"/>
      <c r="AZ1879" s="82" t="s">
        <v>15984</v>
      </c>
      <c r="BA1879" s="82" t="s">
        <v>15984</v>
      </c>
      <c r="BB1879" s="82" t="s">
        <v>15984</v>
      </c>
      <c r="BC1879" s="82" t="s">
        <v>13475</v>
      </c>
      <c r="BD1879" s="77">
        <v>748960584</v>
      </c>
      <c r="BE1879" s="77"/>
      <c r="BF1879" s="77"/>
      <c r="BG1879" s="77"/>
      <c r="BH1879" s="77"/>
      <c r="BI1879" s="77"/>
    </row>
    <row r="1880" spans="1:61" x14ac:dyDescent="0.25">
      <c r="A1880" s="62" t="s">
        <v>697</v>
      </c>
      <c r="B1880" s="62" t="s">
        <v>697</v>
      </c>
      <c r="C1880" s="63"/>
      <c r="D1880" s="64"/>
      <c r="E1880" s="65"/>
      <c r="F1880" s="66"/>
      <c r="G1880" s="63"/>
      <c r="H1880" s="67"/>
      <c r="I1880" s="68"/>
      <c r="J1880" s="68"/>
      <c r="K1880" s="32"/>
      <c r="L1880" s="75">
        <v>1880</v>
      </c>
      <c r="M1880" s="75"/>
      <c r="N1880" s="70"/>
      <c r="O1880" s="77" t="s">
        <v>179</v>
      </c>
      <c r="P1880" s="79">
        <v>45166.207048611112</v>
      </c>
      <c r="Q1880" s="77" t="s">
        <v>2562</v>
      </c>
      <c r="R1880" s="77">
        <v>1</v>
      </c>
      <c r="S1880" s="77">
        <v>1</v>
      </c>
      <c r="T1880" s="77">
        <v>0</v>
      </c>
      <c r="U1880" s="77">
        <v>0</v>
      </c>
      <c r="V1880" s="77">
        <v>108</v>
      </c>
      <c r="W1880" s="82" t="s">
        <v>5808</v>
      </c>
      <c r="X1880" s="80" t="str">
        <f>HYPERLINK("https://javiermliron.blogspot.com/2023/08/exportaciones-de-vino-de-castilla-y.html")</f>
        <v>https://javiermliron.blogspot.com/2023/08/exportaciones-de-vino-de-castilla-y.html</v>
      </c>
      <c r="Y1880" s="77" t="s">
        <v>6532</v>
      </c>
      <c r="Z1880" s="77"/>
      <c r="AA1880" s="77" t="s">
        <v>7529</v>
      </c>
      <c r="AB1880" s="77" t="s">
        <v>7742</v>
      </c>
      <c r="AC1880" s="82" t="s">
        <v>7750</v>
      </c>
      <c r="AD1880" s="77" t="s">
        <v>7790</v>
      </c>
      <c r="AE1880" s="80" t="str">
        <f>HYPERLINK("https://twitter.com/jmendezliron/status/1696024346924314904")</f>
        <v>https://twitter.com/jmendezliron/status/1696024346924314904</v>
      </c>
      <c r="AF1880" s="79">
        <v>45166.207048611112</v>
      </c>
      <c r="AG1880" s="85">
        <v>45166</v>
      </c>
      <c r="AH1880" s="82" t="s">
        <v>9383</v>
      </c>
      <c r="AI1880" s="77" t="b">
        <v>0</v>
      </c>
      <c r="AJ1880" s="77"/>
      <c r="AK1880" s="77"/>
      <c r="AL1880" s="77"/>
      <c r="AM1880" s="77"/>
      <c r="AN1880" s="77"/>
      <c r="AO1880" s="77"/>
      <c r="AP1880" s="77"/>
      <c r="AQ1880" s="77" t="s">
        <v>11501</v>
      </c>
      <c r="AR1880" s="77"/>
      <c r="AS1880" s="77"/>
      <c r="AT1880" s="77"/>
      <c r="AU1880" s="77"/>
      <c r="AV1880" s="80" t="str">
        <f>HYPERLINK("https://pbs.twimg.com/media/F4l9JdOWkAA8Vu_.jpg")</f>
        <v>https://pbs.twimg.com/media/F4l9JdOWkAA8Vu_.jpg</v>
      </c>
      <c r="AW1880" s="82" t="s">
        <v>13476</v>
      </c>
      <c r="AX1880" s="82" t="s">
        <v>13476</v>
      </c>
      <c r="AY1880" s="77"/>
      <c r="AZ1880" s="82" t="s">
        <v>15984</v>
      </c>
      <c r="BA1880" s="82" t="s">
        <v>15984</v>
      </c>
      <c r="BB1880" s="82" t="s">
        <v>15984</v>
      </c>
      <c r="BC1880" s="82" t="s">
        <v>13476</v>
      </c>
      <c r="BD1880" s="77">
        <v>748960584</v>
      </c>
      <c r="BE1880" s="77"/>
      <c r="BF1880" s="77"/>
      <c r="BG1880" s="77"/>
      <c r="BH1880" s="77"/>
      <c r="BI1880" s="77"/>
    </row>
    <row r="1881" spans="1:61" x14ac:dyDescent="0.25">
      <c r="A1881" s="62" t="s">
        <v>697</v>
      </c>
      <c r="B1881" s="62" t="s">
        <v>697</v>
      </c>
      <c r="C1881" s="63"/>
      <c r="D1881" s="64"/>
      <c r="E1881" s="65"/>
      <c r="F1881" s="66"/>
      <c r="G1881" s="63"/>
      <c r="H1881" s="67"/>
      <c r="I1881" s="68"/>
      <c r="J1881" s="68"/>
      <c r="K1881" s="32"/>
      <c r="L1881" s="75">
        <v>1881</v>
      </c>
      <c r="M1881" s="75"/>
      <c r="N1881" s="70"/>
      <c r="O1881" s="77" t="s">
        <v>179</v>
      </c>
      <c r="P1881" s="79">
        <v>45152.735601851855</v>
      </c>
      <c r="Q1881" s="77" t="s">
        <v>2563</v>
      </c>
      <c r="R1881" s="77">
        <v>1</v>
      </c>
      <c r="S1881" s="77">
        <v>1</v>
      </c>
      <c r="T1881" s="77">
        <v>0</v>
      </c>
      <c r="U1881" s="77">
        <v>0</v>
      </c>
      <c r="V1881" s="77">
        <v>101</v>
      </c>
      <c r="W1881" s="82" t="s">
        <v>5797</v>
      </c>
      <c r="X1881" s="80" t="str">
        <f>HYPERLINK("https://javiermliron.blogspot.com/2023/08/contratos-registrados-en-castilla-y.html")</f>
        <v>https://javiermliron.blogspot.com/2023/08/contratos-registrados-en-castilla-y.html</v>
      </c>
      <c r="Y1881" s="77" t="s">
        <v>6532</v>
      </c>
      <c r="Z1881" s="77"/>
      <c r="AA1881" s="77" t="s">
        <v>7530</v>
      </c>
      <c r="AB1881" s="77" t="s">
        <v>7742</v>
      </c>
      <c r="AC1881" s="82" t="s">
        <v>7750</v>
      </c>
      <c r="AD1881" s="77" t="s">
        <v>7790</v>
      </c>
      <c r="AE1881" s="80" t="str">
        <f>HYPERLINK("https://twitter.com/jmendezliron/status/1691142459747610629")</f>
        <v>https://twitter.com/jmendezliron/status/1691142459747610629</v>
      </c>
      <c r="AF1881" s="79">
        <v>45152.735601851855</v>
      </c>
      <c r="AG1881" s="85">
        <v>45152</v>
      </c>
      <c r="AH1881" s="82" t="s">
        <v>9384</v>
      </c>
      <c r="AI1881" s="77" t="b">
        <v>0</v>
      </c>
      <c r="AJ1881" s="77"/>
      <c r="AK1881" s="77"/>
      <c r="AL1881" s="77"/>
      <c r="AM1881" s="77"/>
      <c r="AN1881" s="77"/>
      <c r="AO1881" s="77"/>
      <c r="AP1881" s="77"/>
      <c r="AQ1881" s="77" t="s">
        <v>11502</v>
      </c>
      <c r="AR1881" s="77"/>
      <c r="AS1881" s="77"/>
      <c r="AT1881" s="77"/>
      <c r="AU1881" s="77"/>
      <c r="AV1881" s="80" t="str">
        <f>HYPERLINK("https://pbs.twimg.com/media/F3glGLqXoAAnrgF.png")</f>
        <v>https://pbs.twimg.com/media/F3glGLqXoAAnrgF.png</v>
      </c>
      <c r="AW1881" s="82" t="s">
        <v>13477</v>
      </c>
      <c r="AX1881" s="82" t="s">
        <v>13477</v>
      </c>
      <c r="AY1881" s="77"/>
      <c r="AZ1881" s="82" t="s">
        <v>15984</v>
      </c>
      <c r="BA1881" s="82" t="s">
        <v>15984</v>
      </c>
      <c r="BB1881" s="82" t="s">
        <v>15984</v>
      </c>
      <c r="BC1881" s="82" t="s">
        <v>13477</v>
      </c>
      <c r="BD1881" s="77">
        <v>748960584</v>
      </c>
      <c r="BE1881" s="77"/>
      <c r="BF1881" s="77"/>
      <c r="BG1881" s="77"/>
      <c r="BH1881" s="77"/>
      <c r="BI1881" s="77"/>
    </row>
    <row r="1882" spans="1:61" x14ac:dyDescent="0.25">
      <c r="A1882" s="62" t="s">
        <v>697</v>
      </c>
      <c r="B1882" s="62" t="s">
        <v>697</v>
      </c>
      <c r="C1882" s="63"/>
      <c r="D1882" s="64"/>
      <c r="E1882" s="65"/>
      <c r="F1882" s="66"/>
      <c r="G1882" s="63"/>
      <c r="H1882" s="67"/>
      <c r="I1882" s="68"/>
      <c r="J1882" s="68"/>
      <c r="K1882" s="32"/>
      <c r="L1882" s="75">
        <v>1882</v>
      </c>
      <c r="M1882" s="75"/>
      <c r="N1882" s="70"/>
      <c r="O1882" s="77" t="s">
        <v>898</v>
      </c>
      <c r="P1882" s="79">
        <v>45132.756643518522</v>
      </c>
      <c r="Q1882" s="77" t="s">
        <v>2564</v>
      </c>
      <c r="R1882" s="77">
        <v>1</v>
      </c>
      <c r="S1882" s="77">
        <v>1</v>
      </c>
      <c r="T1882" s="77">
        <v>0</v>
      </c>
      <c r="U1882" s="77">
        <v>0</v>
      </c>
      <c r="V1882" s="77">
        <v>156</v>
      </c>
      <c r="W1882" s="82" t="s">
        <v>5809</v>
      </c>
      <c r="X1882" s="80" t="str">
        <f>HYPERLINK("https://javiermliron.blogspot.com/2023/07/exportaciones-de-andalucia-de-mayo-2023.html")</f>
        <v>https://javiermliron.blogspot.com/2023/07/exportaciones-de-andalucia-de-mayo-2023.html</v>
      </c>
      <c r="Y1882" s="77" t="s">
        <v>6532</v>
      </c>
      <c r="Z1882" s="77"/>
      <c r="AA1882" s="77"/>
      <c r="AB1882" s="77"/>
      <c r="AC1882" s="82" t="s">
        <v>7750</v>
      </c>
      <c r="AD1882" s="77" t="s">
        <v>7790</v>
      </c>
      <c r="AE1882" s="80" t="str">
        <f>HYPERLINK("https://twitter.com/jmendezliron/status/1683902325637644302")</f>
        <v>https://twitter.com/jmendezliron/status/1683902325637644302</v>
      </c>
      <c r="AF1882" s="79">
        <v>45132.756643518522</v>
      </c>
      <c r="AG1882" s="85">
        <v>45132</v>
      </c>
      <c r="AH1882" s="82" t="s">
        <v>9385</v>
      </c>
      <c r="AI1882" s="77" t="b">
        <v>0</v>
      </c>
      <c r="AJ1882" s="77"/>
      <c r="AK1882" s="77"/>
      <c r="AL1882" s="77"/>
      <c r="AM1882" s="77"/>
      <c r="AN1882" s="77"/>
      <c r="AO1882" s="77"/>
      <c r="AP1882" s="77"/>
      <c r="AQ1882" s="77"/>
      <c r="AR1882" s="77"/>
      <c r="AS1882" s="77"/>
      <c r="AT1882" s="77"/>
      <c r="AU1882" s="77"/>
      <c r="AV1882" s="80" t="str">
        <f>HYPERLINK("https://pbs.twimg.com/profile_images/612292231358246912/gMKxM5xX_normal.jpg")</f>
        <v>https://pbs.twimg.com/profile_images/612292231358246912/gMKxM5xX_normal.jpg</v>
      </c>
      <c r="AW1882" s="82" t="s">
        <v>13478</v>
      </c>
      <c r="AX1882" s="82" t="s">
        <v>15893</v>
      </c>
      <c r="AY1882" s="82" t="s">
        <v>15975</v>
      </c>
      <c r="AZ1882" s="82" t="s">
        <v>15893</v>
      </c>
      <c r="BA1882" s="82" t="s">
        <v>15984</v>
      </c>
      <c r="BB1882" s="82" t="s">
        <v>15984</v>
      </c>
      <c r="BC1882" s="82" t="s">
        <v>15893</v>
      </c>
      <c r="BD1882" s="77">
        <v>748960584</v>
      </c>
      <c r="BE1882" s="77"/>
      <c r="BF1882" s="77"/>
      <c r="BG1882" s="77"/>
      <c r="BH1882" s="77"/>
      <c r="BI1882" s="77"/>
    </row>
    <row r="1883" spans="1:61" x14ac:dyDescent="0.25">
      <c r="A1883" s="62" t="s">
        <v>697</v>
      </c>
      <c r="B1883" s="62" t="s">
        <v>697</v>
      </c>
      <c r="C1883" s="63"/>
      <c r="D1883" s="64"/>
      <c r="E1883" s="65"/>
      <c r="F1883" s="66"/>
      <c r="G1883" s="63"/>
      <c r="H1883" s="67"/>
      <c r="I1883" s="68"/>
      <c r="J1883" s="68"/>
      <c r="K1883" s="32"/>
      <c r="L1883" s="75">
        <v>1883</v>
      </c>
      <c r="M1883" s="75"/>
      <c r="N1883" s="70"/>
      <c r="O1883" s="77" t="s">
        <v>898</v>
      </c>
      <c r="P1883" s="79">
        <v>45132.749652777777</v>
      </c>
      <c r="Q1883" s="77" t="s">
        <v>2565</v>
      </c>
      <c r="R1883" s="77">
        <v>1</v>
      </c>
      <c r="S1883" s="77">
        <v>1</v>
      </c>
      <c r="T1883" s="77">
        <v>0</v>
      </c>
      <c r="U1883" s="77">
        <v>0</v>
      </c>
      <c r="V1883" s="77">
        <v>83</v>
      </c>
      <c r="W1883" s="82" t="s">
        <v>5810</v>
      </c>
      <c r="X1883" s="80" t="str">
        <f>HYPERLINK("https://javiermliron.blogspot.com/2023/07/indice-de-precios-industriales-espana.html")</f>
        <v>https://javiermliron.blogspot.com/2023/07/indice-de-precios-industriales-espana.html</v>
      </c>
      <c r="Y1883" s="77" t="s">
        <v>6532</v>
      </c>
      <c r="Z1883" s="77"/>
      <c r="AA1883" s="77"/>
      <c r="AB1883" s="77"/>
      <c r="AC1883" s="82" t="s">
        <v>7750</v>
      </c>
      <c r="AD1883" s="77" t="s">
        <v>7790</v>
      </c>
      <c r="AE1883" s="80" t="str">
        <f>HYPERLINK("https://twitter.com/jmendezliron/status/1683899793439850501")</f>
        <v>https://twitter.com/jmendezliron/status/1683899793439850501</v>
      </c>
      <c r="AF1883" s="79">
        <v>45132.749652777777</v>
      </c>
      <c r="AG1883" s="85">
        <v>45132</v>
      </c>
      <c r="AH1883" s="82" t="s">
        <v>9386</v>
      </c>
      <c r="AI1883" s="77" t="b">
        <v>0</v>
      </c>
      <c r="AJ1883" s="77"/>
      <c r="AK1883" s="77"/>
      <c r="AL1883" s="77"/>
      <c r="AM1883" s="77"/>
      <c r="AN1883" s="77"/>
      <c r="AO1883" s="77"/>
      <c r="AP1883" s="77"/>
      <c r="AQ1883" s="77"/>
      <c r="AR1883" s="77"/>
      <c r="AS1883" s="77"/>
      <c r="AT1883" s="77"/>
      <c r="AU1883" s="77"/>
      <c r="AV1883" s="80" t="str">
        <f>HYPERLINK("https://pbs.twimg.com/profile_images/612292231358246912/gMKxM5xX_normal.jpg")</f>
        <v>https://pbs.twimg.com/profile_images/612292231358246912/gMKxM5xX_normal.jpg</v>
      </c>
      <c r="AW1883" s="82" t="s">
        <v>13479</v>
      </c>
      <c r="AX1883" s="82" t="s">
        <v>13480</v>
      </c>
      <c r="AY1883" s="82" t="s">
        <v>15975</v>
      </c>
      <c r="AZ1883" s="82" t="s">
        <v>13480</v>
      </c>
      <c r="BA1883" s="82" t="s">
        <v>15984</v>
      </c>
      <c r="BB1883" s="82" t="s">
        <v>15984</v>
      </c>
      <c r="BC1883" s="82" t="s">
        <v>13480</v>
      </c>
      <c r="BD1883" s="77">
        <v>748960584</v>
      </c>
      <c r="BE1883" s="77"/>
      <c r="BF1883" s="77"/>
      <c r="BG1883" s="77"/>
      <c r="BH1883" s="77"/>
      <c r="BI1883" s="77"/>
    </row>
    <row r="1884" spans="1:61" x14ac:dyDescent="0.25">
      <c r="A1884" s="62" t="s">
        <v>697</v>
      </c>
      <c r="B1884" s="62" t="s">
        <v>697</v>
      </c>
      <c r="C1884" s="63"/>
      <c r="D1884" s="64"/>
      <c r="E1884" s="65"/>
      <c r="F1884" s="66"/>
      <c r="G1884" s="63"/>
      <c r="H1884" s="67"/>
      <c r="I1884" s="68"/>
      <c r="J1884" s="68"/>
      <c r="K1884" s="32"/>
      <c r="L1884" s="75">
        <v>1884</v>
      </c>
      <c r="M1884" s="75"/>
      <c r="N1884" s="70"/>
      <c r="O1884" s="77" t="s">
        <v>179</v>
      </c>
      <c r="P1884" s="79">
        <v>45132.749652777777</v>
      </c>
      <c r="Q1884" s="77" t="s">
        <v>2566</v>
      </c>
      <c r="R1884" s="77">
        <v>1</v>
      </c>
      <c r="S1884" s="77">
        <v>1</v>
      </c>
      <c r="T1884" s="77">
        <v>1</v>
      </c>
      <c r="U1884" s="77">
        <v>0</v>
      </c>
      <c r="V1884" s="77">
        <v>89</v>
      </c>
      <c r="W1884" s="82" t="s">
        <v>5811</v>
      </c>
      <c r="X1884" s="80" t="str">
        <f>HYPERLINK("https://javiermliron.blogspot.com/2023/07/indice-de-precios-industriales-espana.html")</f>
        <v>https://javiermliron.blogspot.com/2023/07/indice-de-precios-industriales-espana.html</v>
      </c>
      <c r="Y1884" s="77" t="s">
        <v>6532</v>
      </c>
      <c r="Z1884" s="77"/>
      <c r="AA1884" s="77" t="s">
        <v>7531</v>
      </c>
      <c r="AB1884" s="77" t="s">
        <v>7742</v>
      </c>
      <c r="AC1884" s="82" t="s">
        <v>7750</v>
      </c>
      <c r="AD1884" s="77" t="s">
        <v>7790</v>
      </c>
      <c r="AE1884" s="80" t="str">
        <f>HYPERLINK("https://twitter.com/jmendezliron/status/1683899791124594695")</f>
        <v>https://twitter.com/jmendezliron/status/1683899791124594695</v>
      </c>
      <c r="AF1884" s="79">
        <v>45132.749652777777</v>
      </c>
      <c r="AG1884" s="85">
        <v>45132</v>
      </c>
      <c r="AH1884" s="82" t="s">
        <v>9386</v>
      </c>
      <c r="AI1884" s="77" t="b">
        <v>0</v>
      </c>
      <c r="AJ1884" s="77"/>
      <c r="AK1884" s="77"/>
      <c r="AL1884" s="77"/>
      <c r="AM1884" s="77"/>
      <c r="AN1884" s="77"/>
      <c r="AO1884" s="77"/>
      <c r="AP1884" s="77"/>
      <c r="AQ1884" s="77" t="s">
        <v>11503</v>
      </c>
      <c r="AR1884" s="77"/>
      <c r="AS1884" s="77"/>
      <c r="AT1884" s="77"/>
      <c r="AU1884" s="77"/>
      <c r="AV1884" s="80" t="str">
        <f>HYPERLINK("https://pbs.twimg.com/media/F15p5xCWYAAsDBF.png")</f>
        <v>https://pbs.twimg.com/media/F15p5xCWYAAsDBF.png</v>
      </c>
      <c r="AW1884" s="82" t="s">
        <v>13480</v>
      </c>
      <c r="AX1884" s="82" t="s">
        <v>13480</v>
      </c>
      <c r="AY1884" s="77"/>
      <c r="AZ1884" s="82" t="s">
        <v>15984</v>
      </c>
      <c r="BA1884" s="82" t="s">
        <v>15984</v>
      </c>
      <c r="BB1884" s="82" t="s">
        <v>15984</v>
      </c>
      <c r="BC1884" s="82" t="s">
        <v>13480</v>
      </c>
      <c r="BD1884" s="77">
        <v>748960584</v>
      </c>
      <c r="BE1884" s="77"/>
      <c r="BF1884" s="77"/>
      <c r="BG1884" s="77"/>
      <c r="BH1884" s="77"/>
      <c r="BI1884" s="77"/>
    </row>
    <row r="1885" spans="1:61" x14ac:dyDescent="0.25">
      <c r="A1885" s="62" t="s">
        <v>697</v>
      </c>
      <c r="B1885" s="62" t="s">
        <v>697</v>
      </c>
      <c r="C1885" s="63"/>
      <c r="D1885" s="64"/>
      <c r="E1885" s="65"/>
      <c r="F1885" s="66"/>
      <c r="G1885" s="63"/>
      <c r="H1885" s="67"/>
      <c r="I1885" s="68"/>
      <c r="J1885" s="68"/>
      <c r="K1885" s="32"/>
      <c r="L1885" s="75">
        <v>1885</v>
      </c>
      <c r="M1885" s="75"/>
      <c r="N1885" s="70"/>
      <c r="O1885" s="77" t="s">
        <v>179</v>
      </c>
      <c r="P1885" s="79">
        <v>45183.265162037038</v>
      </c>
      <c r="Q1885" s="77" t="s">
        <v>2567</v>
      </c>
      <c r="R1885" s="77">
        <v>1</v>
      </c>
      <c r="S1885" s="77">
        <v>1</v>
      </c>
      <c r="T1885" s="77">
        <v>0</v>
      </c>
      <c r="U1885" s="77">
        <v>0</v>
      </c>
      <c r="V1885" s="77">
        <v>67</v>
      </c>
      <c r="W1885" s="82" t="s">
        <v>5812</v>
      </c>
      <c r="X1885" s="80" t="str">
        <f>HYPERLINK("https://javiermliron.blogspot.com/2023/09/contratos-registrados-en-castilla-y.html")</f>
        <v>https://javiermliron.blogspot.com/2023/09/contratos-registrados-en-castilla-y.html</v>
      </c>
      <c r="Y1885" s="77" t="s">
        <v>6532</v>
      </c>
      <c r="Z1885" s="77"/>
      <c r="AA1885" s="77" t="s">
        <v>7532</v>
      </c>
      <c r="AB1885" s="77" t="s">
        <v>7746</v>
      </c>
      <c r="AC1885" s="82" t="s">
        <v>7750</v>
      </c>
      <c r="AD1885" s="77" t="s">
        <v>7790</v>
      </c>
      <c r="AE1885" s="80" t="str">
        <f>HYPERLINK("https://twitter.com/jmendezliron/status/1702205998042062905")</f>
        <v>https://twitter.com/jmendezliron/status/1702205998042062905</v>
      </c>
      <c r="AF1885" s="79">
        <v>45183.265162037038</v>
      </c>
      <c r="AG1885" s="85">
        <v>45183</v>
      </c>
      <c r="AH1885" s="82" t="s">
        <v>9387</v>
      </c>
      <c r="AI1885" s="77" t="b">
        <v>0</v>
      </c>
      <c r="AJ1885" s="77"/>
      <c r="AK1885" s="77"/>
      <c r="AL1885" s="77"/>
      <c r="AM1885" s="77"/>
      <c r="AN1885" s="77"/>
      <c r="AO1885" s="77"/>
      <c r="AP1885" s="77"/>
      <c r="AQ1885" s="77" t="s">
        <v>11504</v>
      </c>
      <c r="AR1885" s="77"/>
      <c r="AS1885" s="77"/>
      <c r="AT1885" s="77"/>
      <c r="AU1885" s="77"/>
      <c r="AV1885" s="80" t="str">
        <f>HYPERLINK("https://pbs.twimg.com/tweet_video_thumb/F59zU-GXkAAuD19.jpg")</f>
        <v>https://pbs.twimg.com/tweet_video_thumb/F59zU-GXkAAuD19.jpg</v>
      </c>
      <c r="AW1885" s="82" t="s">
        <v>13481</v>
      </c>
      <c r="AX1885" s="82" t="s">
        <v>13481</v>
      </c>
      <c r="AY1885" s="77"/>
      <c r="AZ1885" s="82" t="s">
        <v>15984</v>
      </c>
      <c r="BA1885" s="82" t="s">
        <v>15984</v>
      </c>
      <c r="BB1885" s="82" t="s">
        <v>15984</v>
      </c>
      <c r="BC1885" s="82" t="s">
        <v>13481</v>
      </c>
      <c r="BD1885" s="77">
        <v>748960584</v>
      </c>
      <c r="BE1885" s="77"/>
      <c r="BF1885" s="77"/>
      <c r="BG1885" s="77"/>
      <c r="BH1885" s="77"/>
      <c r="BI1885" s="77"/>
    </row>
    <row r="1886" spans="1:61" x14ac:dyDescent="0.25">
      <c r="A1886" s="62" t="s">
        <v>697</v>
      </c>
      <c r="B1886" s="62" t="s">
        <v>697</v>
      </c>
      <c r="C1886" s="63"/>
      <c r="D1886" s="64"/>
      <c r="E1886" s="65"/>
      <c r="F1886" s="66"/>
      <c r="G1886" s="63"/>
      <c r="H1886" s="67"/>
      <c r="I1886" s="68"/>
      <c r="J1886" s="68"/>
      <c r="K1886" s="32"/>
      <c r="L1886" s="75">
        <v>1886</v>
      </c>
      <c r="M1886" s="75"/>
      <c r="N1886" s="70"/>
      <c r="O1886" s="77" t="s">
        <v>179</v>
      </c>
      <c r="P1886" s="79">
        <v>45183.261030092595</v>
      </c>
      <c r="Q1886" s="77" t="s">
        <v>2568</v>
      </c>
      <c r="R1886" s="77">
        <v>1</v>
      </c>
      <c r="S1886" s="77">
        <v>1</v>
      </c>
      <c r="T1886" s="77">
        <v>0</v>
      </c>
      <c r="U1886" s="77">
        <v>0</v>
      </c>
      <c r="V1886" s="77">
        <v>54</v>
      </c>
      <c r="W1886" s="82" t="s">
        <v>5813</v>
      </c>
      <c r="X1886" s="80" t="str">
        <f>HYPERLINK("https://javiermliron.blogspot.com/2023/09/indice-de-produccion-industrial-madrid.html")</f>
        <v>https://javiermliron.blogspot.com/2023/09/indice-de-produccion-industrial-madrid.html</v>
      </c>
      <c r="Y1886" s="77" t="s">
        <v>6532</v>
      </c>
      <c r="Z1886" s="77"/>
      <c r="AA1886" s="77" t="s">
        <v>7533</v>
      </c>
      <c r="AB1886" s="77" t="s">
        <v>7742</v>
      </c>
      <c r="AC1886" s="82" t="s">
        <v>7750</v>
      </c>
      <c r="AD1886" s="77" t="s">
        <v>7790</v>
      </c>
      <c r="AE1886" s="80" t="str">
        <f>HYPERLINK("https://twitter.com/jmendezliron/status/1702204500939767880")</f>
        <v>https://twitter.com/jmendezliron/status/1702204500939767880</v>
      </c>
      <c r="AF1886" s="79">
        <v>45183.261030092595</v>
      </c>
      <c r="AG1886" s="85">
        <v>45183</v>
      </c>
      <c r="AH1886" s="82" t="s">
        <v>9388</v>
      </c>
      <c r="AI1886" s="77" t="b">
        <v>0</v>
      </c>
      <c r="AJ1886" s="77"/>
      <c r="AK1886" s="77"/>
      <c r="AL1886" s="77"/>
      <c r="AM1886" s="77"/>
      <c r="AN1886" s="77"/>
      <c r="AO1886" s="77"/>
      <c r="AP1886" s="77"/>
      <c r="AQ1886" s="77" t="s">
        <v>11505</v>
      </c>
      <c r="AR1886" s="77"/>
      <c r="AS1886" s="77"/>
      <c r="AT1886" s="77"/>
      <c r="AU1886" s="77"/>
      <c r="AV1886" s="80" t="str">
        <f>HYPERLINK("https://pbs.twimg.com/media/F59x91CW0AAGJAW.png")</f>
        <v>https://pbs.twimg.com/media/F59x91CW0AAGJAW.png</v>
      </c>
      <c r="AW1886" s="82" t="s">
        <v>13482</v>
      </c>
      <c r="AX1886" s="82" t="s">
        <v>13482</v>
      </c>
      <c r="AY1886" s="77"/>
      <c r="AZ1886" s="82" t="s">
        <v>15984</v>
      </c>
      <c r="BA1886" s="82" t="s">
        <v>15984</v>
      </c>
      <c r="BB1886" s="82" t="s">
        <v>15984</v>
      </c>
      <c r="BC1886" s="82" t="s">
        <v>13482</v>
      </c>
      <c r="BD1886" s="77">
        <v>748960584</v>
      </c>
      <c r="BE1886" s="77"/>
      <c r="BF1886" s="77"/>
      <c r="BG1886" s="77"/>
      <c r="BH1886" s="77"/>
      <c r="BI1886" s="77"/>
    </row>
    <row r="1887" spans="1:61" x14ac:dyDescent="0.25">
      <c r="A1887" s="62" t="s">
        <v>697</v>
      </c>
      <c r="B1887" s="62" t="s">
        <v>697</v>
      </c>
      <c r="C1887" s="63"/>
      <c r="D1887" s="64"/>
      <c r="E1887" s="65"/>
      <c r="F1887" s="66"/>
      <c r="G1887" s="63"/>
      <c r="H1887" s="67"/>
      <c r="I1887" s="68"/>
      <c r="J1887" s="68"/>
      <c r="K1887" s="32"/>
      <c r="L1887" s="75">
        <v>1887</v>
      </c>
      <c r="M1887" s="75"/>
      <c r="N1887" s="70"/>
      <c r="O1887" s="77" t="s">
        <v>179</v>
      </c>
      <c r="P1887" s="79">
        <v>45184.478622685187</v>
      </c>
      <c r="Q1887" s="77" t="s">
        <v>2569</v>
      </c>
      <c r="R1887" s="77">
        <v>1</v>
      </c>
      <c r="S1887" s="77">
        <v>1</v>
      </c>
      <c r="T1887" s="77">
        <v>0</v>
      </c>
      <c r="U1887" s="77">
        <v>0</v>
      </c>
      <c r="V1887" s="77">
        <v>40</v>
      </c>
      <c r="W1887" s="82" t="s">
        <v>5801</v>
      </c>
      <c r="X1887" s="80" t="str">
        <f>HYPERLINK("https://javiermliron.blogspot.com/2023/09/ipc-espana-agosto-2023.html")</f>
        <v>https://javiermliron.blogspot.com/2023/09/ipc-espana-agosto-2023.html</v>
      </c>
      <c r="Y1887" s="77" t="s">
        <v>6532</v>
      </c>
      <c r="Z1887" s="77"/>
      <c r="AA1887" s="77" t="s">
        <v>7534</v>
      </c>
      <c r="AB1887" s="77" t="s">
        <v>7742</v>
      </c>
      <c r="AC1887" s="82" t="s">
        <v>7750</v>
      </c>
      <c r="AD1887" s="77" t="s">
        <v>7790</v>
      </c>
      <c r="AE1887" s="80" t="str">
        <f>HYPERLINK("https://twitter.com/jmendezliron/status/1702645742039347433")</f>
        <v>https://twitter.com/jmendezliron/status/1702645742039347433</v>
      </c>
      <c r="AF1887" s="79">
        <v>45184.478622685187</v>
      </c>
      <c r="AG1887" s="85">
        <v>45184</v>
      </c>
      <c r="AH1887" s="82" t="s">
        <v>9389</v>
      </c>
      <c r="AI1887" s="77" t="b">
        <v>0</v>
      </c>
      <c r="AJ1887" s="77"/>
      <c r="AK1887" s="77"/>
      <c r="AL1887" s="77"/>
      <c r="AM1887" s="77"/>
      <c r="AN1887" s="77"/>
      <c r="AO1887" s="77"/>
      <c r="AP1887" s="77"/>
      <c r="AQ1887" s="77" t="s">
        <v>11506</v>
      </c>
      <c r="AR1887" s="77"/>
      <c r="AS1887" s="77"/>
      <c r="AT1887" s="77"/>
      <c r="AU1887" s="77"/>
      <c r="AV1887" s="80" t="str">
        <f>HYPERLINK("https://pbs.twimg.com/media/F6EDRpVW4AAw3jG.png")</f>
        <v>https://pbs.twimg.com/media/F6EDRpVW4AAw3jG.png</v>
      </c>
      <c r="AW1887" s="82" t="s">
        <v>13483</v>
      </c>
      <c r="AX1887" s="82" t="s">
        <v>13483</v>
      </c>
      <c r="AY1887" s="77"/>
      <c r="AZ1887" s="82" t="s">
        <v>15984</v>
      </c>
      <c r="BA1887" s="82" t="s">
        <v>15984</v>
      </c>
      <c r="BB1887" s="82" t="s">
        <v>15984</v>
      </c>
      <c r="BC1887" s="82" t="s">
        <v>13483</v>
      </c>
      <c r="BD1887" s="77">
        <v>748960584</v>
      </c>
      <c r="BE1887" s="77"/>
      <c r="BF1887" s="77"/>
      <c r="BG1887" s="77"/>
      <c r="BH1887" s="77"/>
      <c r="BI1887" s="77"/>
    </row>
    <row r="1888" spans="1:61" x14ac:dyDescent="0.25">
      <c r="A1888" s="62" t="s">
        <v>697</v>
      </c>
      <c r="B1888" s="62" t="s">
        <v>697</v>
      </c>
      <c r="C1888" s="63"/>
      <c r="D1888" s="64"/>
      <c r="E1888" s="65"/>
      <c r="F1888" s="66"/>
      <c r="G1888" s="63"/>
      <c r="H1888" s="67"/>
      <c r="I1888" s="68"/>
      <c r="J1888" s="68"/>
      <c r="K1888" s="32"/>
      <c r="L1888" s="75">
        <v>1888</v>
      </c>
      <c r="M1888" s="75"/>
      <c r="N1888" s="70"/>
      <c r="O1888" s="77" t="s">
        <v>179</v>
      </c>
      <c r="P1888" s="79">
        <v>45170.211469907408</v>
      </c>
      <c r="Q1888" s="77" t="s">
        <v>2570</v>
      </c>
      <c r="R1888" s="77">
        <v>1</v>
      </c>
      <c r="S1888" s="77">
        <v>1</v>
      </c>
      <c r="T1888" s="77">
        <v>0</v>
      </c>
      <c r="U1888" s="77">
        <v>0</v>
      </c>
      <c r="V1888" s="77">
        <v>84</v>
      </c>
      <c r="W1888" s="82" t="s">
        <v>5763</v>
      </c>
      <c r="X1888" s="80" t="str">
        <f>HYPERLINK("https://javiermliron.blogspot.com/2023/09/indicadores-de-hipotecas-en-espana.html")</f>
        <v>https://javiermliron.blogspot.com/2023/09/indicadores-de-hipotecas-en-espana.html</v>
      </c>
      <c r="Y1888" s="77" t="s">
        <v>6532</v>
      </c>
      <c r="Z1888" s="77"/>
      <c r="AA1888" s="77" t="s">
        <v>7535</v>
      </c>
      <c r="AB1888" s="77" t="s">
        <v>7742</v>
      </c>
      <c r="AC1888" s="82" t="s">
        <v>7750</v>
      </c>
      <c r="AD1888" s="77" t="s">
        <v>7790</v>
      </c>
      <c r="AE1888" s="80" t="str">
        <f>HYPERLINK("https://twitter.com/jmendezliron/status/1697475499700719884")</f>
        <v>https://twitter.com/jmendezliron/status/1697475499700719884</v>
      </c>
      <c r="AF1888" s="79">
        <v>45170.211469907408</v>
      </c>
      <c r="AG1888" s="85">
        <v>45170</v>
      </c>
      <c r="AH1888" s="82" t="s">
        <v>9390</v>
      </c>
      <c r="AI1888" s="77" t="b">
        <v>0</v>
      </c>
      <c r="AJ1888" s="77"/>
      <c r="AK1888" s="77"/>
      <c r="AL1888" s="77"/>
      <c r="AM1888" s="77"/>
      <c r="AN1888" s="77"/>
      <c r="AO1888" s="77"/>
      <c r="AP1888" s="77"/>
      <c r="AQ1888" s="77" t="s">
        <v>11507</v>
      </c>
      <c r="AR1888" s="77"/>
      <c r="AS1888" s="77"/>
      <c r="AT1888" s="77"/>
      <c r="AU1888" s="77"/>
      <c r="AV1888" s="80" t="str">
        <f>HYPERLINK("https://pbs.twimg.com/media/F46k80PWYAA142f.png")</f>
        <v>https://pbs.twimg.com/media/F46k80PWYAA142f.png</v>
      </c>
      <c r="AW1888" s="82" t="s">
        <v>13484</v>
      </c>
      <c r="AX1888" s="82" t="s">
        <v>13484</v>
      </c>
      <c r="AY1888" s="77"/>
      <c r="AZ1888" s="82" t="s">
        <v>15984</v>
      </c>
      <c r="BA1888" s="82" t="s">
        <v>15984</v>
      </c>
      <c r="BB1888" s="82" t="s">
        <v>15984</v>
      </c>
      <c r="BC1888" s="82" t="s">
        <v>13484</v>
      </c>
      <c r="BD1888" s="77">
        <v>748960584</v>
      </c>
      <c r="BE1888" s="77"/>
      <c r="BF1888" s="77"/>
      <c r="BG1888" s="77"/>
      <c r="BH1888" s="77"/>
      <c r="BI1888" s="77"/>
    </row>
    <row r="1889" spans="1:61" x14ac:dyDescent="0.25">
      <c r="A1889" s="62" t="s">
        <v>697</v>
      </c>
      <c r="B1889" s="62" t="s">
        <v>697</v>
      </c>
      <c r="C1889" s="63"/>
      <c r="D1889" s="64"/>
      <c r="E1889" s="65"/>
      <c r="F1889" s="66"/>
      <c r="G1889" s="63"/>
      <c r="H1889" s="67"/>
      <c r="I1889" s="68"/>
      <c r="J1889" s="68"/>
      <c r="K1889" s="32"/>
      <c r="L1889" s="75">
        <v>1889</v>
      </c>
      <c r="M1889" s="75"/>
      <c r="N1889" s="70"/>
      <c r="O1889" s="77" t="s">
        <v>179</v>
      </c>
      <c r="P1889" s="79">
        <v>45133.245081018518</v>
      </c>
      <c r="Q1889" s="77" t="s">
        <v>2571</v>
      </c>
      <c r="R1889" s="77">
        <v>1</v>
      </c>
      <c r="S1889" s="77">
        <v>1</v>
      </c>
      <c r="T1889" s="77">
        <v>0</v>
      </c>
      <c r="U1889" s="77">
        <v>0</v>
      </c>
      <c r="V1889" s="77">
        <v>131</v>
      </c>
      <c r="W1889" s="82" t="s">
        <v>5808</v>
      </c>
      <c r="X1889" s="80" t="str">
        <f>HYPERLINK("https://javiermliron.blogspot.com/2023/07/exportaciones-de-vino-de-castilla-y.html")</f>
        <v>https://javiermliron.blogspot.com/2023/07/exportaciones-de-vino-de-castilla-y.html</v>
      </c>
      <c r="Y1889" s="77" t="s">
        <v>6532</v>
      </c>
      <c r="Z1889" s="77"/>
      <c r="AA1889" s="77" t="s">
        <v>7536</v>
      </c>
      <c r="AB1889" s="77" t="s">
        <v>7742</v>
      </c>
      <c r="AC1889" s="82" t="s">
        <v>7750</v>
      </c>
      <c r="AD1889" s="77" t="s">
        <v>7790</v>
      </c>
      <c r="AE1889" s="80" t="str">
        <f>HYPERLINK("https://twitter.com/jmendezliron/status/1684079329645408256")</f>
        <v>https://twitter.com/jmendezliron/status/1684079329645408256</v>
      </c>
      <c r="AF1889" s="79">
        <v>45133.245081018518</v>
      </c>
      <c r="AG1889" s="85">
        <v>45133</v>
      </c>
      <c r="AH1889" s="82" t="s">
        <v>9391</v>
      </c>
      <c r="AI1889" s="77" t="b">
        <v>0</v>
      </c>
      <c r="AJ1889" s="77"/>
      <c r="AK1889" s="77"/>
      <c r="AL1889" s="77"/>
      <c r="AM1889" s="77"/>
      <c r="AN1889" s="77"/>
      <c r="AO1889" s="77"/>
      <c r="AP1889" s="77"/>
      <c r="AQ1889" s="77" t="s">
        <v>11508</v>
      </c>
      <c r="AR1889" s="77"/>
      <c r="AS1889" s="77"/>
      <c r="AT1889" s="77"/>
      <c r="AU1889" s="77"/>
      <c r="AV1889" s="80" t="str">
        <f>HYPERLINK("https://pbs.twimg.com/media/F18NNorXoAAcoNR.jpg")</f>
        <v>https://pbs.twimg.com/media/F18NNorXoAAcoNR.jpg</v>
      </c>
      <c r="AW1889" s="82" t="s">
        <v>13485</v>
      </c>
      <c r="AX1889" s="82" t="s">
        <v>13485</v>
      </c>
      <c r="AY1889" s="77"/>
      <c r="AZ1889" s="82" t="s">
        <v>15984</v>
      </c>
      <c r="BA1889" s="82" t="s">
        <v>15984</v>
      </c>
      <c r="BB1889" s="82" t="s">
        <v>15984</v>
      </c>
      <c r="BC1889" s="82" t="s">
        <v>13485</v>
      </c>
      <c r="BD1889" s="77">
        <v>748960584</v>
      </c>
      <c r="BE1889" s="77"/>
      <c r="BF1889" s="77"/>
      <c r="BG1889" s="77"/>
      <c r="BH1889" s="77"/>
      <c r="BI1889" s="77"/>
    </row>
    <row r="1890" spans="1:61" x14ac:dyDescent="0.25">
      <c r="A1890" s="62" t="s">
        <v>697</v>
      </c>
      <c r="B1890" s="62" t="s">
        <v>697</v>
      </c>
      <c r="C1890" s="63"/>
      <c r="D1890" s="64"/>
      <c r="E1890" s="65"/>
      <c r="F1890" s="66"/>
      <c r="G1890" s="63"/>
      <c r="H1890" s="67"/>
      <c r="I1890" s="68"/>
      <c r="J1890" s="68"/>
      <c r="K1890" s="32"/>
      <c r="L1890" s="75">
        <v>1890</v>
      </c>
      <c r="M1890" s="75"/>
      <c r="N1890" s="70"/>
      <c r="O1890" s="77" t="s">
        <v>898</v>
      </c>
      <c r="P1890" s="79">
        <v>45188.754050925927</v>
      </c>
      <c r="Q1890" s="77" t="s">
        <v>2572</v>
      </c>
      <c r="R1890" s="77">
        <v>1</v>
      </c>
      <c r="S1890" s="77">
        <v>1</v>
      </c>
      <c r="T1890" s="77">
        <v>0</v>
      </c>
      <c r="U1890" s="77">
        <v>0</v>
      </c>
      <c r="V1890" s="77">
        <v>37</v>
      </c>
      <c r="W1890" s="82" t="s">
        <v>5781</v>
      </c>
      <c r="X1890" s="80" t="str">
        <f>HYPERLINK("https://javiermliron.blogspot.com/2023/09/sociedades-mercantiles-en-andalucia.html")</f>
        <v>https://javiermliron.blogspot.com/2023/09/sociedades-mercantiles-en-andalucia.html</v>
      </c>
      <c r="Y1890" s="77" t="s">
        <v>6532</v>
      </c>
      <c r="Z1890" s="77"/>
      <c r="AA1890" s="77"/>
      <c r="AB1890" s="77"/>
      <c r="AC1890" s="82" t="s">
        <v>7750</v>
      </c>
      <c r="AD1890" s="77" t="s">
        <v>7790</v>
      </c>
      <c r="AE1890" s="80" t="str">
        <f>HYPERLINK("https://twitter.com/jmendezliron/status/1704195106893422720")</f>
        <v>https://twitter.com/jmendezliron/status/1704195106893422720</v>
      </c>
      <c r="AF1890" s="79">
        <v>45188.754050925927</v>
      </c>
      <c r="AG1890" s="85">
        <v>45188</v>
      </c>
      <c r="AH1890" s="82" t="s">
        <v>9392</v>
      </c>
      <c r="AI1890" s="77" t="b">
        <v>0</v>
      </c>
      <c r="AJ1890" s="77"/>
      <c r="AK1890" s="77"/>
      <c r="AL1890" s="77"/>
      <c r="AM1890" s="77"/>
      <c r="AN1890" s="77"/>
      <c r="AO1890" s="77"/>
      <c r="AP1890" s="77"/>
      <c r="AQ1890" s="77"/>
      <c r="AR1890" s="77"/>
      <c r="AS1890" s="77"/>
      <c r="AT1890" s="77"/>
      <c r="AU1890" s="77"/>
      <c r="AV1890" s="80" t="str">
        <f>HYPERLINK("https://pbs.twimg.com/profile_images/612292231358246912/gMKxM5xX_normal.jpg")</f>
        <v>https://pbs.twimg.com/profile_images/612292231358246912/gMKxM5xX_normal.jpg</v>
      </c>
      <c r="AW1890" s="82" t="s">
        <v>13486</v>
      </c>
      <c r="AX1890" s="82" t="s">
        <v>13566</v>
      </c>
      <c r="AY1890" s="82" t="s">
        <v>15975</v>
      </c>
      <c r="AZ1890" s="82" t="s">
        <v>13566</v>
      </c>
      <c r="BA1890" s="82" t="s">
        <v>15984</v>
      </c>
      <c r="BB1890" s="82" t="s">
        <v>15984</v>
      </c>
      <c r="BC1890" s="82" t="s">
        <v>13566</v>
      </c>
      <c r="BD1890" s="77">
        <v>748960584</v>
      </c>
      <c r="BE1890" s="77"/>
      <c r="BF1890" s="77"/>
      <c r="BG1890" s="77"/>
      <c r="BH1890" s="77"/>
      <c r="BI1890" s="77"/>
    </row>
    <row r="1891" spans="1:61" x14ac:dyDescent="0.25">
      <c r="A1891" s="62" t="s">
        <v>697</v>
      </c>
      <c r="B1891" s="62" t="s">
        <v>697</v>
      </c>
      <c r="C1891" s="63"/>
      <c r="D1891" s="64"/>
      <c r="E1891" s="65"/>
      <c r="F1891" s="66"/>
      <c r="G1891" s="63"/>
      <c r="H1891" s="67"/>
      <c r="I1891" s="68"/>
      <c r="J1891" s="68"/>
      <c r="K1891" s="32"/>
      <c r="L1891" s="75">
        <v>1891</v>
      </c>
      <c r="M1891" s="75"/>
      <c r="N1891" s="70"/>
      <c r="O1891" s="77" t="s">
        <v>179</v>
      </c>
      <c r="P1891" s="79">
        <v>45152.219768518517</v>
      </c>
      <c r="Q1891" s="77" t="s">
        <v>2573</v>
      </c>
      <c r="R1891" s="77">
        <v>1</v>
      </c>
      <c r="S1891" s="77">
        <v>1</v>
      </c>
      <c r="T1891" s="77">
        <v>0</v>
      </c>
      <c r="U1891" s="77">
        <v>0</v>
      </c>
      <c r="V1891" s="77">
        <v>117</v>
      </c>
      <c r="W1891" s="82" t="s">
        <v>5814</v>
      </c>
      <c r="X1891" s="80" t="str">
        <f>HYPERLINK("https://javiermliron.blogspot.com/2023/08/contratos-registrados-en-castilla-y.html")</f>
        <v>https://javiermliron.blogspot.com/2023/08/contratos-registrados-en-castilla-y.html</v>
      </c>
      <c r="Y1891" s="77" t="s">
        <v>6532</v>
      </c>
      <c r="Z1891" s="77"/>
      <c r="AA1891" s="77" t="s">
        <v>7537</v>
      </c>
      <c r="AB1891" s="77" t="s">
        <v>7746</v>
      </c>
      <c r="AC1891" s="82" t="s">
        <v>7750</v>
      </c>
      <c r="AD1891" s="77" t="s">
        <v>7790</v>
      </c>
      <c r="AE1891" s="80" t="str">
        <f>HYPERLINK("https://twitter.com/jmendezliron/status/1690955527839240192")</f>
        <v>https://twitter.com/jmendezliron/status/1690955527839240192</v>
      </c>
      <c r="AF1891" s="79">
        <v>45152.219768518517</v>
      </c>
      <c r="AG1891" s="85">
        <v>45152</v>
      </c>
      <c r="AH1891" s="82" t="s">
        <v>9393</v>
      </c>
      <c r="AI1891" s="77" t="b">
        <v>0</v>
      </c>
      <c r="AJ1891" s="77"/>
      <c r="AK1891" s="77"/>
      <c r="AL1891" s="77"/>
      <c r="AM1891" s="77"/>
      <c r="AN1891" s="77"/>
      <c r="AO1891" s="77"/>
      <c r="AP1891" s="77"/>
      <c r="AQ1891" s="77" t="s">
        <v>11509</v>
      </c>
      <c r="AR1891" s="77"/>
      <c r="AS1891" s="77"/>
      <c r="AT1891" s="77"/>
      <c r="AU1891" s="77"/>
      <c r="AV1891" s="80" t="str">
        <f>HYPERLINK("https://pbs.twimg.com/tweet_video_thumb/F3d7FJvXsAITsQO.jpg")</f>
        <v>https://pbs.twimg.com/tweet_video_thumb/F3d7FJvXsAITsQO.jpg</v>
      </c>
      <c r="AW1891" s="82" t="s">
        <v>13487</v>
      </c>
      <c r="AX1891" s="82" t="s">
        <v>13487</v>
      </c>
      <c r="AY1891" s="77"/>
      <c r="AZ1891" s="82" t="s">
        <v>15984</v>
      </c>
      <c r="BA1891" s="82" t="s">
        <v>15984</v>
      </c>
      <c r="BB1891" s="82" t="s">
        <v>15984</v>
      </c>
      <c r="BC1891" s="82" t="s">
        <v>13487</v>
      </c>
      <c r="BD1891" s="77">
        <v>748960584</v>
      </c>
      <c r="BE1891" s="77"/>
      <c r="BF1891" s="77"/>
      <c r="BG1891" s="77"/>
      <c r="BH1891" s="77"/>
      <c r="BI1891" s="77"/>
    </row>
    <row r="1892" spans="1:61" x14ac:dyDescent="0.25">
      <c r="A1892" s="62" t="s">
        <v>697</v>
      </c>
      <c r="B1892" s="62" t="s">
        <v>697</v>
      </c>
      <c r="C1892" s="63"/>
      <c r="D1892" s="64"/>
      <c r="E1892" s="65"/>
      <c r="F1892" s="66"/>
      <c r="G1892" s="63"/>
      <c r="H1892" s="67"/>
      <c r="I1892" s="68"/>
      <c r="J1892" s="68"/>
      <c r="K1892" s="32"/>
      <c r="L1892" s="75">
        <v>1892</v>
      </c>
      <c r="M1892" s="75"/>
      <c r="N1892" s="70"/>
      <c r="O1892" s="77" t="s">
        <v>179</v>
      </c>
      <c r="P1892" s="79">
        <v>45142.225277777776</v>
      </c>
      <c r="Q1892" s="77" t="s">
        <v>2574</v>
      </c>
      <c r="R1892" s="77">
        <v>1</v>
      </c>
      <c r="S1892" s="77">
        <v>1</v>
      </c>
      <c r="T1892" s="77">
        <v>0</v>
      </c>
      <c r="U1892" s="77">
        <v>0</v>
      </c>
      <c r="V1892" s="77">
        <v>84</v>
      </c>
      <c r="W1892" s="82" t="s">
        <v>5789</v>
      </c>
      <c r="X1892" s="80" t="str">
        <f>HYPERLINK("https://javiermliron.blogspot.com/2023/08/paro-registrado-en-castilla-y-leon-por.html")</f>
        <v>https://javiermliron.blogspot.com/2023/08/paro-registrado-en-castilla-y-leon-por.html</v>
      </c>
      <c r="Y1892" s="77" t="s">
        <v>6532</v>
      </c>
      <c r="Z1892" s="77"/>
      <c r="AA1892" s="77" t="s">
        <v>7538</v>
      </c>
      <c r="AB1892" s="77" t="s">
        <v>7742</v>
      </c>
      <c r="AC1892" s="82" t="s">
        <v>7750</v>
      </c>
      <c r="AD1892" s="77" t="s">
        <v>7790</v>
      </c>
      <c r="AE1892" s="80" t="str">
        <f>HYPERLINK("https://twitter.com/jmendezliron/status/1687333643461517312")</f>
        <v>https://twitter.com/jmendezliron/status/1687333643461517312</v>
      </c>
      <c r="AF1892" s="79">
        <v>45142.225277777776</v>
      </c>
      <c r="AG1892" s="85">
        <v>45142</v>
      </c>
      <c r="AH1892" s="82" t="s">
        <v>9394</v>
      </c>
      <c r="AI1892" s="77" t="b">
        <v>0</v>
      </c>
      <c r="AJ1892" s="77"/>
      <c r="AK1892" s="77"/>
      <c r="AL1892" s="77"/>
      <c r="AM1892" s="77"/>
      <c r="AN1892" s="77"/>
      <c r="AO1892" s="77"/>
      <c r="AP1892" s="77"/>
      <c r="AQ1892" s="77" t="s">
        <v>11510</v>
      </c>
      <c r="AR1892" s="77"/>
      <c r="AS1892" s="77"/>
      <c r="AT1892" s="77"/>
      <c r="AU1892" s="77"/>
      <c r="AV1892" s="80" t="str">
        <f>HYPERLINK("https://pbs.twimg.com/media/F2qdAOCXwAAPQcQ.png")</f>
        <v>https://pbs.twimg.com/media/F2qdAOCXwAAPQcQ.png</v>
      </c>
      <c r="AW1892" s="82" t="s">
        <v>13488</v>
      </c>
      <c r="AX1892" s="82" t="s">
        <v>13488</v>
      </c>
      <c r="AY1892" s="77"/>
      <c r="AZ1892" s="82" t="s">
        <v>15984</v>
      </c>
      <c r="BA1892" s="82" t="s">
        <v>15984</v>
      </c>
      <c r="BB1892" s="82" t="s">
        <v>15984</v>
      </c>
      <c r="BC1892" s="82" t="s">
        <v>13488</v>
      </c>
      <c r="BD1892" s="77">
        <v>748960584</v>
      </c>
      <c r="BE1892" s="77"/>
      <c r="BF1892" s="77"/>
      <c r="BG1892" s="77"/>
      <c r="BH1892" s="77"/>
      <c r="BI1892" s="77"/>
    </row>
    <row r="1893" spans="1:61" x14ac:dyDescent="0.25">
      <c r="A1893" s="62" t="s">
        <v>697</v>
      </c>
      <c r="B1893" s="62" t="s">
        <v>697</v>
      </c>
      <c r="C1893" s="63"/>
      <c r="D1893" s="64"/>
      <c r="E1893" s="65"/>
      <c r="F1893" s="66"/>
      <c r="G1893" s="63"/>
      <c r="H1893" s="67"/>
      <c r="I1893" s="68"/>
      <c r="J1893" s="68"/>
      <c r="K1893" s="32"/>
      <c r="L1893" s="75">
        <v>1893</v>
      </c>
      <c r="M1893" s="75"/>
      <c r="N1893" s="70"/>
      <c r="O1893" s="77" t="s">
        <v>179</v>
      </c>
      <c r="P1893" s="79">
        <v>45142.21802083333</v>
      </c>
      <c r="Q1893" s="77" t="s">
        <v>2575</v>
      </c>
      <c r="R1893" s="77">
        <v>1</v>
      </c>
      <c r="S1893" s="77">
        <v>1</v>
      </c>
      <c r="T1893" s="77">
        <v>0</v>
      </c>
      <c r="U1893" s="77">
        <v>0</v>
      </c>
      <c r="V1893" s="77">
        <v>81</v>
      </c>
      <c r="W1893" s="82" t="s">
        <v>5795</v>
      </c>
      <c r="X1893" s="80" t="str">
        <f>HYPERLINK("https://javiermliron.blogspot.com/2023/08/hipotecas-en-madrid-mayo-2023.html")</f>
        <v>https://javiermliron.blogspot.com/2023/08/hipotecas-en-madrid-mayo-2023.html</v>
      </c>
      <c r="Y1893" s="77" t="s">
        <v>6532</v>
      </c>
      <c r="Z1893" s="77"/>
      <c r="AA1893" s="77" t="s">
        <v>7539</v>
      </c>
      <c r="AB1893" s="77" t="s">
        <v>7742</v>
      </c>
      <c r="AC1893" s="82" t="s">
        <v>7750</v>
      </c>
      <c r="AD1893" s="77" t="s">
        <v>7790</v>
      </c>
      <c r="AE1893" s="80" t="str">
        <f>HYPERLINK("https://twitter.com/jmendezliron/status/1687331012244598785")</f>
        <v>https://twitter.com/jmendezliron/status/1687331012244598785</v>
      </c>
      <c r="AF1893" s="79">
        <v>45142.21802083333</v>
      </c>
      <c r="AG1893" s="85">
        <v>45142</v>
      </c>
      <c r="AH1893" s="82" t="s">
        <v>9395</v>
      </c>
      <c r="AI1893" s="77" t="b">
        <v>0</v>
      </c>
      <c r="AJ1893" s="77"/>
      <c r="AK1893" s="77"/>
      <c r="AL1893" s="77"/>
      <c r="AM1893" s="77"/>
      <c r="AN1893" s="77"/>
      <c r="AO1893" s="77"/>
      <c r="AP1893" s="77"/>
      <c r="AQ1893" s="77" t="s">
        <v>11511</v>
      </c>
      <c r="AR1893" s="77"/>
      <c r="AS1893" s="77"/>
      <c r="AT1893" s="77"/>
      <c r="AU1893" s="77"/>
      <c r="AV1893" s="80" t="str">
        <f>HYPERLINK("https://pbs.twimg.com/media/F2qabZjX0AAa1vW.jpg")</f>
        <v>https://pbs.twimg.com/media/F2qabZjX0AAa1vW.jpg</v>
      </c>
      <c r="AW1893" s="82" t="s">
        <v>13489</v>
      </c>
      <c r="AX1893" s="82" t="s">
        <v>13489</v>
      </c>
      <c r="AY1893" s="77"/>
      <c r="AZ1893" s="82" t="s">
        <v>15984</v>
      </c>
      <c r="BA1893" s="82" t="s">
        <v>15984</v>
      </c>
      <c r="BB1893" s="82" t="s">
        <v>15984</v>
      </c>
      <c r="BC1893" s="82" t="s">
        <v>13489</v>
      </c>
      <c r="BD1893" s="77">
        <v>748960584</v>
      </c>
      <c r="BE1893" s="77"/>
      <c r="BF1893" s="77"/>
      <c r="BG1893" s="77"/>
      <c r="BH1893" s="77"/>
      <c r="BI1893" s="77"/>
    </row>
    <row r="1894" spans="1:61" x14ac:dyDescent="0.25">
      <c r="A1894" s="62" t="s">
        <v>697</v>
      </c>
      <c r="B1894" s="62" t="s">
        <v>697</v>
      </c>
      <c r="C1894" s="63"/>
      <c r="D1894" s="64"/>
      <c r="E1894" s="65"/>
      <c r="F1894" s="66"/>
      <c r="G1894" s="63"/>
      <c r="H1894" s="67"/>
      <c r="I1894" s="68"/>
      <c r="J1894" s="68"/>
      <c r="K1894" s="32"/>
      <c r="L1894" s="75">
        <v>1894</v>
      </c>
      <c r="M1894" s="75"/>
      <c r="N1894" s="70"/>
      <c r="O1894" s="77" t="s">
        <v>179</v>
      </c>
      <c r="P1894" s="79">
        <v>45124.749305555553</v>
      </c>
      <c r="Q1894" s="77" t="s">
        <v>2576</v>
      </c>
      <c r="R1894" s="77">
        <v>1</v>
      </c>
      <c r="S1894" s="77">
        <v>1</v>
      </c>
      <c r="T1894" s="77">
        <v>0</v>
      </c>
      <c r="U1894" s="77">
        <v>0</v>
      </c>
      <c r="V1894" s="77">
        <v>102</v>
      </c>
      <c r="W1894" s="82" t="s">
        <v>5783</v>
      </c>
      <c r="X1894" s="80" t="str">
        <f>HYPERLINK("https://javiermliron.blogspot.com/2023/07/contratos-registrados-en-espana-junio.html")</f>
        <v>https://javiermliron.blogspot.com/2023/07/contratos-registrados-en-espana-junio.html</v>
      </c>
      <c r="Y1894" s="77" t="s">
        <v>6532</v>
      </c>
      <c r="Z1894" s="77"/>
      <c r="AA1894" s="77" t="s">
        <v>7540</v>
      </c>
      <c r="AB1894" s="77" t="s">
        <v>7742</v>
      </c>
      <c r="AC1894" s="82" t="s">
        <v>7750</v>
      </c>
      <c r="AD1894" s="77" t="s">
        <v>7790</v>
      </c>
      <c r="AE1894" s="80" t="str">
        <f>HYPERLINK("https://twitter.com/jmendezliron/status/1681000563280957440")</f>
        <v>https://twitter.com/jmendezliron/status/1681000563280957440</v>
      </c>
      <c r="AF1894" s="79">
        <v>45124.749305555553</v>
      </c>
      <c r="AG1894" s="85">
        <v>45124</v>
      </c>
      <c r="AH1894" s="82" t="s">
        <v>9396</v>
      </c>
      <c r="AI1894" s="77" t="b">
        <v>0</v>
      </c>
      <c r="AJ1894" s="77"/>
      <c r="AK1894" s="77"/>
      <c r="AL1894" s="77"/>
      <c r="AM1894" s="77"/>
      <c r="AN1894" s="77"/>
      <c r="AO1894" s="77"/>
      <c r="AP1894" s="77"/>
      <c r="AQ1894" s="77" t="s">
        <v>11512</v>
      </c>
      <c r="AR1894" s="77"/>
      <c r="AS1894" s="77"/>
      <c r="AT1894" s="77"/>
      <c r="AU1894" s="77"/>
      <c r="AV1894" s="80" t="str">
        <f>HYPERLINK("https://pbs.twimg.com/media/F1QdGNIXgAAi0b_.png")</f>
        <v>https://pbs.twimg.com/media/F1QdGNIXgAAi0b_.png</v>
      </c>
      <c r="AW1894" s="82" t="s">
        <v>13490</v>
      </c>
      <c r="AX1894" s="82" t="s">
        <v>13490</v>
      </c>
      <c r="AY1894" s="77"/>
      <c r="AZ1894" s="82" t="s">
        <v>15984</v>
      </c>
      <c r="BA1894" s="82" t="s">
        <v>15984</v>
      </c>
      <c r="BB1894" s="82" t="s">
        <v>15984</v>
      </c>
      <c r="BC1894" s="82" t="s">
        <v>13490</v>
      </c>
      <c r="BD1894" s="77">
        <v>748960584</v>
      </c>
      <c r="BE1894" s="77"/>
      <c r="BF1894" s="77"/>
      <c r="BG1894" s="77"/>
      <c r="BH1894" s="77"/>
      <c r="BI1894" s="77"/>
    </row>
    <row r="1895" spans="1:61" x14ac:dyDescent="0.25">
      <c r="A1895" s="62" t="s">
        <v>697</v>
      </c>
      <c r="B1895" s="62" t="s">
        <v>697</v>
      </c>
      <c r="C1895" s="63"/>
      <c r="D1895" s="64"/>
      <c r="E1895" s="65"/>
      <c r="F1895" s="66"/>
      <c r="G1895" s="63"/>
      <c r="H1895" s="67"/>
      <c r="I1895" s="68"/>
      <c r="J1895" s="68"/>
      <c r="K1895" s="32"/>
      <c r="L1895" s="75">
        <v>1895</v>
      </c>
      <c r="M1895" s="75"/>
      <c r="N1895" s="70"/>
      <c r="O1895" s="77" t="s">
        <v>898</v>
      </c>
      <c r="P1895" s="79">
        <v>45124.741180555553</v>
      </c>
      <c r="Q1895" s="77" t="s">
        <v>2577</v>
      </c>
      <c r="R1895" s="77">
        <v>1</v>
      </c>
      <c r="S1895" s="77">
        <v>1</v>
      </c>
      <c r="T1895" s="77">
        <v>0</v>
      </c>
      <c r="U1895" s="77">
        <v>0</v>
      </c>
      <c r="V1895" s="77">
        <v>92</v>
      </c>
      <c r="W1895" s="82" t="s">
        <v>5815</v>
      </c>
      <c r="X1895" s="80" t="str">
        <f>HYPERLINK("https://javiermliron.blogspot.com/2023/07/ipc-castilla-y-leon-junio-2023.html")</f>
        <v>https://javiermliron.blogspot.com/2023/07/ipc-castilla-y-leon-junio-2023.html</v>
      </c>
      <c r="Y1895" s="77" t="s">
        <v>6532</v>
      </c>
      <c r="Z1895" s="77"/>
      <c r="AA1895" s="77"/>
      <c r="AB1895" s="77"/>
      <c r="AC1895" s="82" t="s">
        <v>7750</v>
      </c>
      <c r="AD1895" s="77" t="s">
        <v>7790</v>
      </c>
      <c r="AE1895" s="80" t="str">
        <f>HYPERLINK("https://twitter.com/jmendezliron/status/1680997619370213377")</f>
        <v>https://twitter.com/jmendezliron/status/1680997619370213377</v>
      </c>
      <c r="AF1895" s="79">
        <v>45124.741180555553</v>
      </c>
      <c r="AG1895" s="85">
        <v>45124</v>
      </c>
      <c r="AH1895" s="82" t="s">
        <v>9397</v>
      </c>
      <c r="AI1895" s="77" t="b">
        <v>0</v>
      </c>
      <c r="AJ1895" s="77"/>
      <c r="AK1895" s="77"/>
      <c r="AL1895" s="77"/>
      <c r="AM1895" s="77"/>
      <c r="AN1895" s="77"/>
      <c r="AO1895" s="77"/>
      <c r="AP1895" s="77"/>
      <c r="AQ1895" s="77"/>
      <c r="AR1895" s="77"/>
      <c r="AS1895" s="77"/>
      <c r="AT1895" s="77"/>
      <c r="AU1895" s="77"/>
      <c r="AV1895" s="80" t="str">
        <f>HYPERLINK("https://pbs.twimg.com/profile_images/612292231358246912/gMKxM5xX_normal.jpg")</f>
        <v>https://pbs.twimg.com/profile_images/612292231358246912/gMKxM5xX_normal.jpg</v>
      </c>
      <c r="AW1895" s="82" t="s">
        <v>13491</v>
      </c>
      <c r="AX1895" s="82" t="s">
        <v>13492</v>
      </c>
      <c r="AY1895" s="82" t="s">
        <v>15975</v>
      </c>
      <c r="AZ1895" s="82" t="s">
        <v>13492</v>
      </c>
      <c r="BA1895" s="82" t="s">
        <v>15984</v>
      </c>
      <c r="BB1895" s="82" t="s">
        <v>15984</v>
      </c>
      <c r="BC1895" s="82" t="s">
        <v>13492</v>
      </c>
      <c r="BD1895" s="77">
        <v>748960584</v>
      </c>
      <c r="BE1895" s="77"/>
      <c r="BF1895" s="77"/>
      <c r="BG1895" s="77"/>
      <c r="BH1895" s="77"/>
      <c r="BI1895" s="77"/>
    </row>
    <row r="1896" spans="1:61" x14ac:dyDescent="0.25">
      <c r="A1896" s="62" t="s">
        <v>697</v>
      </c>
      <c r="B1896" s="62" t="s">
        <v>697</v>
      </c>
      <c r="C1896" s="63"/>
      <c r="D1896" s="64"/>
      <c r="E1896" s="65"/>
      <c r="F1896" s="66"/>
      <c r="G1896" s="63"/>
      <c r="H1896" s="67"/>
      <c r="I1896" s="68"/>
      <c r="J1896" s="68"/>
      <c r="K1896" s="32"/>
      <c r="L1896" s="75">
        <v>1896</v>
      </c>
      <c r="M1896" s="75"/>
      <c r="N1896" s="70"/>
      <c r="O1896" s="77" t="s">
        <v>179</v>
      </c>
      <c r="P1896" s="79">
        <v>45124.741180555553</v>
      </c>
      <c r="Q1896" s="77" t="s">
        <v>2578</v>
      </c>
      <c r="R1896" s="77">
        <v>1</v>
      </c>
      <c r="S1896" s="77">
        <v>1</v>
      </c>
      <c r="T1896" s="77">
        <v>1</v>
      </c>
      <c r="U1896" s="77">
        <v>0</v>
      </c>
      <c r="V1896" s="77">
        <v>108</v>
      </c>
      <c r="W1896" s="82" t="s">
        <v>5816</v>
      </c>
      <c r="X1896" s="80" t="str">
        <f>HYPERLINK("https://javiermliron.blogspot.com/2023/07/ipc-castilla-y-leon-junio-2023.html")</f>
        <v>https://javiermliron.blogspot.com/2023/07/ipc-castilla-y-leon-junio-2023.html</v>
      </c>
      <c r="Y1896" s="77" t="s">
        <v>6532</v>
      </c>
      <c r="Z1896" s="77"/>
      <c r="AA1896" s="77" t="s">
        <v>7541</v>
      </c>
      <c r="AB1896" s="77" t="s">
        <v>7742</v>
      </c>
      <c r="AC1896" s="82" t="s">
        <v>7750</v>
      </c>
      <c r="AD1896" s="77" t="s">
        <v>7790</v>
      </c>
      <c r="AE1896" s="80" t="str">
        <f>HYPERLINK("https://twitter.com/jmendezliron/status/1680997617117933568")</f>
        <v>https://twitter.com/jmendezliron/status/1680997617117933568</v>
      </c>
      <c r="AF1896" s="79">
        <v>45124.741180555553</v>
      </c>
      <c r="AG1896" s="85">
        <v>45124</v>
      </c>
      <c r="AH1896" s="82" t="s">
        <v>9397</v>
      </c>
      <c r="AI1896" s="77" t="b">
        <v>0</v>
      </c>
      <c r="AJ1896" s="77"/>
      <c r="AK1896" s="77"/>
      <c r="AL1896" s="77"/>
      <c r="AM1896" s="77"/>
      <c r="AN1896" s="77"/>
      <c r="AO1896" s="77"/>
      <c r="AP1896" s="77"/>
      <c r="AQ1896" s="77" t="s">
        <v>11513</v>
      </c>
      <c r="AR1896" s="77"/>
      <c r="AS1896" s="77"/>
      <c r="AT1896" s="77"/>
      <c r="AU1896" s="77"/>
      <c r="AV1896" s="80" t="str">
        <f>HYPERLINK("https://pbs.twimg.com/media/F1Qaau4XsAEi6nw.png")</f>
        <v>https://pbs.twimg.com/media/F1Qaau4XsAEi6nw.png</v>
      </c>
      <c r="AW1896" s="82" t="s">
        <v>13492</v>
      </c>
      <c r="AX1896" s="82" t="s">
        <v>13492</v>
      </c>
      <c r="AY1896" s="77"/>
      <c r="AZ1896" s="82" t="s">
        <v>15984</v>
      </c>
      <c r="BA1896" s="82" t="s">
        <v>15984</v>
      </c>
      <c r="BB1896" s="82" t="s">
        <v>15984</v>
      </c>
      <c r="BC1896" s="82" t="s">
        <v>13492</v>
      </c>
      <c r="BD1896" s="77">
        <v>748960584</v>
      </c>
      <c r="BE1896" s="77"/>
      <c r="BF1896" s="77"/>
      <c r="BG1896" s="77"/>
      <c r="BH1896" s="77"/>
      <c r="BI1896" s="77"/>
    </row>
    <row r="1897" spans="1:61" x14ac:dyDescent="0.25">
      <c r="A1897" s="62" t="s">
        <v>697</v>
      </c>
      <c r="B1897" s="62" t="s">
        <v>697</v>
      </c>
      <c r="C1897" s="63"/>
      <c r="D1897" s="64"/>
      <c r="E1897" s="65"/>
      <c r="F1897" s="66"/>
      <c r="G1897" s="63"/>
      <c r="H1897" s="67"/>
      <c r="I1897" s="68"/>
      <c r="J1897" s="68"/>
      <c r="K1897" s="32"/>
      <c r="L1897" s="75">
        <v>1897</v>
      </c>
      <c r="M1897" s="75"/>
      <c r="N1897" s="70"/>
      <c r="O1897" s="77" t="s">
        <v>179</v>
      </c>
      <c r="P1897" s="79">
        <v>45189.265694444446</v>
      </c>
      <c r="Q1897" s="77" t="s">
        <v>2579</v>
      </c>
      <c r="R1897" s="77">
        <v>1</v>
      </c>
      <c r="S1897" s="77">
        <v>1</v>
      </c>
      <c r="T1897" s="77">
        <v>0</v>
      </c>
      <c r="U1897" s="77">
        <v>0</v>
      </c>
      <c r="V1897" s="77">
        <v>28</v>
      </c>
      <c r="W1897" s="82" t="s">
        <v>5817</v>
      </c>
      <c r="X1897" s="80" t="str">
        <f>HYPERLINK("https://javiermliron.blogspot.com/2023/09/ipc-madrid-agosto-2023.html")</f>
        <v>https://javiermliron.blogspot.com/2023/09/ipc-madrid-agosto-2023.html</v>
      </c>
      <c r="Y1897" s="77" t="s">
        <v>6532</v>
      </c>
      <c r="Z1897" s="77"/>
      <c r="AA1897" s="77" t="s">
        <v>7542</v>
      </c>
      <c r="AB1897" s="77" t="s">
        <v>7742</v>
      </c>
      <c r="AC1897" s="82" t="s">
        <v>7750</v>
      </c>
      <c r="AD1897" s="77" t="s">
        <v>7790</v>
      </c>
      <c r="AE1897" s="80" t="str">
        <f>HYPERLINK("https://twitter.com/jmendezliron/status/1704380518853165148")</f>
        <v>https://twitter.com/jmendezliron/status/1704380518853165148</v>
      </c>
      <c r="AF1897" s="79">
        <v>45189.265694444446</v>
      </c>
      <c r="AG1897" s="85">
        <v>45189</v>
      </c>
      <c r="AH1897" s="82" t="s">
        <v>9398</v>
      </c>
      <c r="AI1897" s="77" t="b">
        <v>0</v>
      </c>
      <c r="AJ1897" s="77"/>
      <c r="AK1897" s="77"/>
      <c r="AL1897" s="77"/>
      <c r="AM1897" s="77"/>
      <c r="AN1897" s="77"/>
      <c r="AO1897" s="77"/>
      <c r="AP1897" s="77"/>
      <c r="AQ1897" s="77" t="s">
        <v>11514</v>
      </c>
      <c r="AR1897" s="77"/>
      <c r="AS1897" s="77"/>
      <c r="AT1897" s="77"/>
      <c r="AU1897" s="77"/>
      <c r="AV1897" s="80" t="str">
        <f>HYPERLINK("https://pbs.twimg.com/media/F6ctCvbWkAAUfZh.png")</f>
        <v>https://pbs.twimg.com/media/F6ctCvbWkAAUfZh.png</v>
      </c>
      <c r="AW1897" s="82" t="s">
        <v>13493</v>
      </c>
      <c r="AX1897" s="82" t="s">
        <v>13493</v>
      </c>
      <c r="AY1897" s="77"/>
      <c r="AZ1897" s="82" t="s">
        <v>15984</v>
      </c>
      <c r="BA1897" s="82" t="s">
        <v>15984</v>
      </c>
      <c r="BB1897" s="82" t="s">
        <v>15984</v>
      </c>
      <c r="BC1897" s="82" t="s">
        <v>13493</v>
      </c>
      <c r="BD1897" s="77">
        <v>748960584</v>
      </c>
      <c r="BE1897" s="77"/>
      <c r="BF1897" s="77"/>
      <c r="BG1897" s="77"/>
      <c r="BH1897" s="77"/>
      <c r="BI1897" s="77"/>
    </row>
    <row r="1898" spans="1:61" x14ac:dyDescent="0.25">
      <c r="A1898" s="62" t="s">
        <v>697</v>
      </c>
      <c r="B1898" s="62" t="s">
        <v>697</v>
      </c>
      <c r="C1898" s="63"/>
      <c r="D1898" s="64"/>
      <c r="E1898" s="65"/>
      <c r="F1898" s="66"/>
      <c r="G1898" s="63"/>
      <c r="H1898" s="67"/>
      <c r="I1898" s="68"/>
      <c r="J1898" s="68"/>
      <c r="K1898" s="32"/>
      <c r="L1898" s="75">
        <v>1898</v>
      </c>
      <c r="M1898" s="75"/>
      <c r="N1898" s="70"/>
      <c r="O1898" s="77" t="s">
        <v>897</v>
      </c>
      <c r="P1898" s="79">
        <v>45189.466863425929</v>
      </c>
      <c r="Q1898" s="77" t="s">
        <v>2580</v>
      </c>
      <c r="R1898" s="77">
        <v>1</v>
      </c>
      <c r="S1898" s="77">
        <v>0</v>
      </c>
      <c r="T1898" s="77">
        <v>0</v>
      </c>
      <c r="U1898" s="77">
        <v>0</v>
      </c>
      <c r="V1898" s="77"/>
      <c r="W1898" s="82" t="s">
        <v>5818</v>
      </c>
      <c r="X1898" s="77"/>
      <c r="Y1898" s="77"/>
      <c r="Z1898" s="77" t="s">
        <v>697</v>
      </c>
      <c r="AA1898" s="77"/>
      <c r="AB1898" s="77"/>
      <c r="AC1898" s="82" t="s">
        <v>7750</v>
      </c>
      <c r="AD1898" s="77" t="s">
        <v>7790</v>
      </c>
      <c r="AE1898" s="80" t="str">
        <f>HYPERLINK("https://twitter.com/jmendezliron/status/1704453419925205355")</f>
        <v>https://twitter.com/jmendezliron/status/1704453419925205355</v>
      </c>
      <c r="AF1898" s="79">
        <v>45189.466863425929</v>
      </c>
      <c r="AG1898" s="85">
        <v>45189</v>
      </c>
      <c r="AH1898" s="82" t="s">
        <v>9399</v>
      </c>
      <c r="AI1898" s="77"/>
      <c r="AJ1898" s="77"/>
      <c r="AK1898" s="77"/>
      <c r="AL1898" s="77"/>
      <c r="AM1898" s="77"/>
      <c r="AN1898" s="77"/>
      <c r="AO1898" s="77"/>
      <c r="AP1898" s="77"/>
      <c r="AQ1898" s="77"/>
      <c r="AR1898" s="77"/>
      <c r="AS1898" s="77"/>
      <c r="AT1898" s="77"/>
      <c r="AU1898" s="77"/>
      <c r="AV1898" s="80" t="str">
        <f>HYPERLINK("https://pbs.twimg.com/profile_images/612292231358246912/gMKxM5xX_normal.jpg")</f>
        <v>https://pbs.twimg.com/profile_images/612292231358246912/gMKxM5xX_normal.jpg</v>
      </c>
      <c r="AW1898" s="82" t="s">
        <v>13494</v>
      </c>
      <c r="AX1898" s="82" t="s">
        <v>13494</v>
      </c>
      <c r="AY1898" s="77"/>
      <c r="AZ1898" s="82" t="s">
        <v>15984</v>
      </c>
      <c r="BA1898" s="82" t="s">
        <v>15984</v>
      </c>
      <c r="BB1898" s="82" t="s">
        <v>13493</v>
      </c>
      <c r="BC1898" s="82" t="s">
        <v>13493</v>
      </c>
      <c r="BD1898" s="77">
        <v>748960584</v>
      </c>
      <c r="BE1898" s="77"/>
      <c r="BF1898" s="77"/>
      <c r="BG1898" s="77"/>
      <c r="BH1898" s="77"/>
      <c r="BI1898" s="77"/>
    </row>
    <row r="1899" spans="1:61" x14ac:dyDescent="0.25">
      <c r="A1899" s="62" t="s">
        <v>697</v>
      </c>
      <c r="B1899" s="62" t="s">
        <v>697</v>
      </c>
      <c r="C1899" s="63"/>
      <c r="D1899" s="64"/>
      <c r="E1899" s="65"/>
      <c r="F1899" s="66"/>
      <c r="G1899" s="63"/>
      <c r="H1899" s="67"/>
      <c r="I1899" s="68"/>
      <c r="J1899" s="68"/>
      <c r="K1899" s="32"/>
      <c r="L1899" s="75">
        <v>1899</v>
      </c>
      <c r="M1899" s="75"/>
      <c r="N1899" s="70"/>
      <c r="O1899" s="77" t="s">
        <v>898</v>
      </c>
      <c r="P1899" s="79">
        <v>45184.743587962963</v>
      </c>
      <c r="Q1899" s="77" t="s">
        <v>2581</v>
      </c>
      <c r="R1899" s="77">
        <v>1</v>
      </c>
      <c r="S1899" s="77">
        <v>1</v>
      </c>
      <c r="T1899" s="77">
        <v>0</v>
      </c>
      <c r="U1899" s="77">
        <v>0</v>
      </c>
      <c r="V1899" s="77">
        <v>56</v>
      </c>
      <c r="W1899" s="82" t="s">
        <v>5819</v>
      </c>
      <c r="X1899" s="80" t="str">
        <f>HYPERLINK("https://javiermliron.blogspot.com/2023/09/ipc-espana-agosto-2023.html")</f>
        <v>https://javiermliron.blogspot.com/2023/09/ipc-espana-agosto-2023.html</v>
      </c>
      <c r="Y1899" s="77" t="s">
        <v>6532</v>
      </c>
      <c r="Z1899" s="77"/>
      <c r="AA1899" s="77"/>
      <c r="AB1899" s="77"/>
      <c r="AC1899" s="82" t="s">
        <v>7750</v>
      </c>
      <c r="AD1899" s="77" t="s">
        <v>7790</v>
      </c>
      <c r="AE1899" s="80" t="str">
        <f>HYPERLINK("https://twitter.com/jmendezliron/status/1702741762303803453")</f>
        <v>https://twitter.com/jmendezliron/status/1702741762303803453</v>
      </c>
      <c r="AF1899" s="79">
        <v>45184.743587962963</v>
      </c>
      <c r="AG1899" s="85">
        <v>45184</v>
      </c>
      <c r="AH1899" s="82" t="s">
        <v>9400</v>
      </c>
      <c r="AI1899" s="77" t="b">
        <v>0</v>
      </c>
      <c r="AJ1899" s="77"/>
      <c r="AK1899" s="77"/>
      <c r="AL1899" s="77"/>
      <c r="AM1899" s="77"/>
      <c r="AN1899" s="77"/>
      <c r="AO1899" s="77"/>
      <c r="AP1899" s="77"/>
      <c r="AQ1899" s="77"/>
      <c r="AR1899" s="77"/>
      <c r="AS1899" s="77"/>
      <c r="AT1899" s="77"/>
      <c r="AU1899" s="77"/>
      <c r="AV1899" s="80" t="str">
        <f>HYPERLINK("https://pbs.twimg.com/profile_images/612292231358246912/gMKxM5xX_normal.jpg")</f>
        <v>https://pbs.twimg.com/profile_images/612292231358246912/gMKxM5xX_normal.jpg</v>
      </c>
      <c r="AW1899" s="82" t="s">
        <v>13495</v>
      </c>
      <c r="AX1899" s="82" t="s">
        <v>13496</v>
      </c>
      <c r="AY1899" s="82" t="s">
        <v>15975</v>
      </c>
      <c r="AZ1899" s="82" t="s">
        <v>13496</v>
      </c>
      <c r="BA1899" s="82" t="s">
        <v>15984</v>
      </c>
      <c r="BB1899" s="82" t="s">
        <v>15984</v>
      </c>
      <c r="BC1899" s="82" t="s">
        <v>13496</v>
      </c>
      <c r="BD1899" s="77">
        <v>748960584</v>
      </c>
      <c r="BE1899" s="77"/>
      <c r="BF1899" s="77"/>
      <c r="BG1899" s="77"/>
      <c r="BH1899" s="77"/>
      <c r="BI1899" s="77"/>
    </row>
    <row r="1900" spans="1:61" x14ac:dyDescent="0.25">
      <c r="A1900" s="62" t="s">
        <v>697</v>
      </c>
      <c r="B1900" s="62" t="s">
        <v>697</v>
      </c>
      <c r="C1900" s="63"/>
      <c r="D1900" s="64"/>
      <c r="E1900" s="65"/>
      <c r="F1900" s="66"/>
      <c r="G1900" s="63"/>
      <c r="H1900" s="67"/>
      <c r="I1900" s="68"/>
      <c r="J1900" s="68"/>
      <c r="K1900" s="32"/>
      <c r="L1900" s="75">
        <v>1900</v>
      </c>
      <c r="M1900" s="75"/>
      <c r="N1900" s="70"/>
      <c r="O1900" s="77" t="s">
        <v>179</v>
      </c>
      <c r="P1900" s="79">
        <v>45184.743576388886</v>
      </c>
      <c r="Q1900" s="77" t="s">
        <v>2582</v>
      </c>
      <c r="R1900" s="77">
        <v>1</v>
      </c>
      <c r="S1900" s="77">
        <v>1</v>
      </c>
      <c r="T1900" s="77">
        <v>1</v>
      </c>
      <c r="U1900" s="77">
        <v>0</v>
      </c>
      <c r="V1900" s="77">
        <v>43</v>
      </c>
      <c r="W1900" s="82" t="s">
        <v>5820</v>
      </c>
      <c r="X1900" s="80" t="str">
        <f>HYPERLINK("https://javiermliron.blogspot.com/2023/09/ipc-espana-agosto-2023.html")</f>
        <v>https://javiermliron.blogspot.com/2023/09/ipc-espana-agosto-2023.html</v>
      </c>
      <c r="Y1900" s="77" t="s">
        <v>6532</v>
      </c>
      <c r="Z1900" s="77"/>
      <c r="AA1900" s="77" t="s">
        <v>7543</v>
      </c>
      <c r="AB1900" s="77" t="s">
        <v>7742</v>
      </c>
      <c r="AC1900" s="82" t="s">
        <v>7750</v>
      </c>
      <c r="AD1900" s="77" t="s">
        <v>7790</v>
      </c>
      <c r="AE1900" s="80" t="str">
        <f>HYPERLINK("https://twitter.com/jmendezliron/status/1702741760114299385")</f>
        <v>https://twitter.com/jmendezliron/status/1702741760114299385</v>
      </c>
      <c r="AF1900" s="79">
        <v>45184.743576388886</v>
      </c>
      <c r="AG1900" s="85">
        <v>45184</v>
      </c>
      <c r="AH1900" s="82" t="s">
        <v>9401</v>
      </c>
      <c r="AI1900" s="77" t="b">
        <v>0</v>
      </c>
      <c r="AJ1900" s="77"/>
      <c r="AK1900" s="77"/>
      <c r="AL1900" s="77"/>
      <c r="AM1900" s="77"/>
      <c r="AN1900" s="77"/>
      <c r="AO1900" s="77"/>
      <c r="AP1900" s="77"/>
      <c r="AQ1900" s="77" t="s">
        <v>11515</v>
      </c>
      <c r="AR1900" s="77"/>
      <c r="AS1900" s="77"/>
      <c r="AT1900" s="77"/>
      <c r="AU1900" s="77"/>
      <c r="AV1900" s="80" t="str">
        <f>HYPERLINK("https://pbs.twimg.com/media/F6FamAEW4AAzeiv.png")</f>
        <v>https://pbs.twimg.com/media/F6FamAEW4AAzeiv.png</v>
      </c>
      <c r="AW1900" s="82" t="s">
        <v>13496</v>
      </c>
      <c r="AX1900" s="82" t="s">
        <v>13496</v>
      </c>
      <c r="AY1900" s="77"/>
      <c r="AZ1900" s="82" t="s">
        <v>15984</v>
      </c>
      <c r="BA1900" s="82" t="s">
        <v>15984</v>
      </c>
      <c r="BB1900" s="82" t="s">
        <v>15984</v>
      </c>
      <c r="BC1900" s="82" t="s">
        <v>13496</v>
      </c>
      <c r="BD1900" s="77">
        <v>748960584</v>
      </c>
      <c r="BE1900" s="77"/>
      <c r="BF1900" s="77"/>
      <c r="BG1900" s="77"/>
      <c r="BH1900" s="77"/>
      <c r="BI1900" s="77"/>
    </row>
    <row r="1901" spans="1:61" x14ac:dyDescent="0.25">
      <c r="A1901" s="62" t="s">
        <v>697</v>
      </c>
      <c r="B1901" s="62" t="s">
        <v>697</v>
      </c>
      <c r="C1901" s="63"/>
      <c r="D1901" s="64"/>
      <c r="E1901" s="65"/>
      <c r="F1901" s="66"/>
      <c r="G1901" s="63"/>
      <c r="H1901" s="67"/>
      <c r="I1901" s="68"/>
      <c r="J1901" s="68"/>
      <c r="K1901" s="32"/>
      <c r="L1901" s="75">
        <v>1901</v>
      </c>
      <c r="M1901" s="75"/>
      <c r="N1901" s="70"/>
      <c r="O1901" s="77" t="s">
        <v>179</v>
      </c>
      <c r="P1901" s="79">
        <v>45184.738553240742</v>
      </c>
      <c r="Q1901" s="77" t="s">
        <v>2583</v>
      </c>
      <c r="R1901" s="77">
        <v>1</v>
      </c>
      <c r="S1901" s="77">
        <v>1</v>
      </c>
      <c r="T1901" s="77">
        <v>0</v>
      </c>
      <c r="U1901" s="77">
        <v>0</v>
      </c>
      <c r="V1901" s="77">
        <v>57</v>
      </c>
      <c r="W1901" s="82" t="s">
        <v>5766</v>
      </c>
      <c r="X1901" s="80" t="str">
        <f>HYPERLINK("https://javiermliron.blogspot.com/2023/09/sociedades-mercantiles-en-espana-julio.html")</f>
        <v>https://javiermliron.blogspot.com/2023/09/sociedades-mercantiles-en-espana-julio.html</v>
      </c>
      <c r="Y1901" s="77" t="s">
        <v>6532</v>
      </c>
      <c r="Z1901" s="77"/>
      <c r="AA1901" s="77" t="s">
        <v>7544</v>
      </c>
      <c r="AB1901" s="77" t="s">
        <v>7742</v>
      </c>
      <c r="AC1901" s="82" t="s">
        <v>7750</v>
      </c>
      <c r="AD1901" s="77" t="s">
        <v>7790</v>
      </c>
      <c r="AE1901" s="80" t="str">
        <f>HYPERLINK("https://twitter.com/jmendezliron/status/1702739938544910534")</f>
        <v>https://twitter.com/jmendezliron/status/1702739938544910534</v>
      </c>
      <c r="AF1901" s="79">
        <v>45184.738553240742</v>
      </c>
      <c r="AG1901" s="85">
        <v>45184</v>
      </c>
      <c r="AH1901" s="82" t="s">
        <v>9402</v>
      </c>
      <c r="AI1901" s="77" t="b">
        <v>0</v>
      </c>
      <c r="AJ1901" s="77"/>
      <c r="AK1901" s="77"/>
      <c r="AL1901" s="77"/>
      <c r="AM1901" s="77"/>
      <c r="AN1901" s="77"/>
      <c r="AO1901" s="77"/>
      <c r="AP1901" s="77"/>
      <c r="AQ1901" s="77" t="s">
        <v>11516</v>
      </c>
      <c r="AR1901" s="77"/>
      <c r="AS1901" s="77"/>
      <c r="AT1901" s="77"/>
      <c r="AU1901" s="77"/>
      <c r="AV1901" s="80" t="str">
        <f>HYPERLINK("https://pbs.twimg.com/media/F6FY7jsXMAAl4ga.png")</f>
        <v>https://pbs.twimg.com/media/F6FY7jsXMAAl4ga.png</v>
      </c>
      <c r="AW1901" s="82" t="s">
        <v>13497</v>
      </c>
      <c r="AX1901" s="82" t="s">
        <v>13497</v>
      </c>
      <c r="AY1901" s="77"/>
      <c r="AZ1901" s="82" t="s">
        <v>15984</v>
      </c>
      <c r="BA1901" s="82" t="s">
        <v>15984</v>
      </c>
      <c r="BB1901" s="82" t="s">
        <v>15984</v>
      </c>
      <c r="BC1901" s="82" t="s">
        <v>13497</v>
      </c>
      <c r="BD1901" s="77">
        <v>748960584</v>
      </c>
      <c r="BE1901" s="77"/>
      <c r="BF1901" s="77"/>
      <c r="BG1901" s="77"/>
      <c r="BH1901" s="77"/>
      <c r="BI1901" s="77"/>
    </row>
    <row r="1902" spans="1:61" x14ac:dyDescent="0.25">
      <c r="A1902" s="62" t="s">
        <v>697</v>
      </c>
      <c r="B1902" s="62" t="s">
        <v>697</v>
      </c>
      <c r="C1902" s="63"/>
      <c r="D1902" s="64"/>
      <c r="E1902" s="65"/>
      <c r="F1902" s="66"/>
      <c r="G1902" s="63"/>
      <c r="H1902" s="67"/>
      <c r="I1902" s="68"/>
      <c r="J1902" s="68"/>
      <c r="K1902" s="32"/>
      <c r="L1902" s="75">
        <v>1902</v>
      </c>
      <c r="M1902" s="75"/>
      <c r="N1902" s="70"/>
      <c r="O1902" s="77" t="s">
        <v>898</v>
      </c>
      <c r="P1902" s="79">
        <v>45155.734664351854</v>
      </c>
      <c r="Q1902" s="77" t="s">
        <v>2584</v>
      </c>
      <c r="R1902" s="77">
        <v>1</v>
      </c>
      <c r="S1902" s="77">
        <v>1</v>
      </c>
      <c r="T1902" s="77">
        <v>0</v>
      </c>
      <c r="U1902" s="77">
        <v>0</v>
      </c>
      <c r="V1902" s="77">
        <v>71</v>
      </c>
      <c r="W1902" s="82" t="s">
        <v>5821</v>
      </c>
      <c r="X1902" s="80" t="str">
        <f>HYPERLINK("https://javiermliron.blogspot.com/2023/08/ipc-castilla-y-leon-julio-2023.html")</f>
        <v>https://javiermliron.blogspot.com/2023/08/ipc-castilla-y-leon-julio-2023.html</v>
      </c>
      <c r="Y1902" s="77" t="s">
        <v>6532</v>
      </c>
      <c r="Z1902" s="77"/>
      <c r="AA1902" s="77"/>
      <c r="AB1902" s="77"/>
      <c r="AC1902" s="82" t="s">
        <v>7750</v>
      </c>
      <c r="AD1902" s="77" t="s">
        <v>7790</v>
      </c>
      <c r="AE1902" s="80" t="str">
        <f>HYPERLINK("https://twitter.com/jmendezliron/status/1692229280724328490")</f>
        <v>https://twitter.com/jmendezliron/status/1692229280724328490</v>
      </c>
      <c r="AF1902" s="79">
        <v>45155.734664351854</v>
      </c>
      <c r="AG1902" s="85">
        <v>45155</v>
      </c>
      <c r="AH1902" s="82" t="s">
        <v>9403</v>
      </c>
      <c r="AI1902" s="77" t="b">
        <v>0</v>
      </c>
      <c r="AJ1902" s="77"/>
      <c r="AK1902" s="77"/>
      <c r="AL1902" s="77"/>
      <c r="AM1902" s="77"/>
      <c r="AN1902" s="77"/>
      <c r="AO1902" s="77"/>
      <c r="AP1902" s="77"/>
      <c r="AQ1902" s="77"/>
      <c r="AR1902" s="77"/>
      <c r="AS1902" s="77"/>
      <c r="AT1902" s="77"/>
      <c r="AU1902" s="77"/>
      <c r="AV1902" s="80" t="str">
        <f>HYPERLINK("https://pbs.twimg.com/profile_images/612292231358246912/gMKxM5xX_normal.jpg")</f>
        <v>https://pbs.twimg.com/profile_images/612292231358246912/gMKxM5xX_normal.jpg</v>
      </c>
      <c r="AW1902" s="82" t="s">
        <v>13498</v>
      </c>
      <c r="AX1902" s="82" t="s">
        <v>13425</v>
      </c>
      <c r="AY1902" s="82" t="s">
        <v>15975</v>
      </c>
      <c r="AZ1902" s="82" t="s">
        <v>13425</v>
      </c>
      <c r="BA1902" s="82" t="s">
        <v>15984</v>
      </c>
      <c r="BB1902" s="82" t="s">
        <v>15984</v>
      </c>
      <c r="BC1902" s="82" t="s">
        <v>13425</v>
      </c>
      <c r="BD1902" s="77">
        <v>748960584</v>
      </c>
      <c r="BE1902" s="77"/>
      <c r="BF1902" s="77"/>
      <c r="BG1902" s="77"/>
      <c r="BH1902" s="77"/>
      <c r="BI1902" s="77"/>
    </row>
    <row r="1903" spans="1:61" x14ac:dyDescent="0.25">
      <c r="A1903" s="62" t="s">
        <v>697</v>
      </c>
      <c r="B1903" s="62" t="s">
        <v>697</v>
      </c>
      <c r="C1903" s="63"/>
      <c r="D1903" s="64"/>
      <c r="E1903" s="65"/>
      <c r="F1903" s="66"/>
      <c r="G1903" s="63"/>
      <c r="H1903" s="67"/>
      <c r="I1903" s="68"/>
      <c r="J1903" s="68"/>
      <c r="K1903" s="32"/>
      <c r="L1903" s="75">
        <v>1903</v>
      </c>
      <c r="M1903" s="75"/>
      <c r="N1903" s="70"/>
      <c r="O1903" s="77" t="s">
        <v>179</v>
      </c>
      <c r="P1903" s="79">
        <v>45135.73777777778</v>
      </c>
      <c r="Q1903" s="77" t="s">
        <v>2585</v>
      </c>
      <c r="R1903" s="77">
        <v>1</v>
      </c>
      <c r="S1903" s="77">
        <v>1</v>
      </c>
      <c r="T1903" s="77">
        <v>0</v>
      </c>
      <c r="U1903" s="77">
        <v>0</v>
      </c>
      <c r="V1903" s="77">
        <v>79</v>
      </c>
      <c r="W1903" s="82" t="s">
        <v>5787</v>
      </c>
      <c r="X1903" s="80" t="str">
        <f>HYPERLINK("https://javiermliron.blogspot.com/2023/07/indice-de-precios-industriales-madrid.html")</f>
        <v>https://javiermliron.blogspot.com/2023/07/indice-de-precios-industriales-madrid.html</v>
      </c>
      <c r="Y1903" s="77" t="s">
        <v>6532</v>
      </c>
      <c r="Z1903" s="77"/>
      <c r="AA1903" s="77" t="s">
        <v>7545</v>
      </c>
      <c r="AB1903" s="77" t="s">
        <v>7742</v>
      </c>
      <c r="AC1903" s="82" t="s">
        <v>7750</v>
      </c>
      <c r="AD1903" s="77" t="s">
        <v>7790</v>
      </c>
      <c r="AE1903" s="80" t="str">
        <f>HYPERLINK("https://twitter.com/jmendezliron/status/1684982651596275712")</f>
        <v>https://twitter.com/jmendezliron/status/1684982651596275712</v>
      </c>
      <c r="AF1903" s="79">
        <v>45135.73777777778</v>
      </c>
      <c r="AG1903" s="85">
        <v>45135</v>
      </c>
      <c r="AH1903" s="82" t="s">
        <v>9404</v>
      </c>
      <c r="AI1903" s="77" t="b">
        <v>0</v>
      </c>
      <c r="AJ1903" s="77"/>
      <c r="AK1903" s="77"/>
      <c r="AL1903" s="77"/>
      <c r="AM1903" s="77"/>
      <c r="AN1903" s="77"/>
      <c r="AO1903" s="77"/>
      <c r="AP1903" s="77"/>
      <c r="AQ1903" s="77" t="s">
        <v>11517</v>
      </c>
      <c r="AR1903" s="77"/>
      <c r="AS1903" s="77"/>
      <c r="AT1903" s="77"/>
      <c r="AU1903" s="77"/>
      <c r="AV1903" s="80" t="str">
        <f>HYPERLINK("https://pbs.twimg.com/media/F2JCyhmWsAoGZ79.png")</f>
        <v>https://pbs.twimg.com/media/F2JCyhmWsAoGZ79.png</v>
      </c>
      <c r="AW1903" s="82" t="s">
        <v>13499</v>
      </c>
      <c r="AX1903" s="82" t="s">
        <v>13499</v>
      </c>
      <c r="AY1903" s="77"/>
      <c r="AZ1903" s="82" t="s">
        <v>15984</v>
      </c>
      <c r="BA1903" s="82" t="s">
        <v>15984</v>
      </c>
      <c r="BB1903" s="82" t="s">
        <v>15984</v>
      </c>
      <c r="BC1903" s="82" t="s">
        <v>13499</v>
      </c>
      <c r="BD1903" s="77">
        <v>748960584</v>
      </c>
      <c r="BE1903" s="77"/>
      <c r="BF1903" s="77"/>
      <c r="BG1903" s="77"/>
      <c r="BH1903" s="77"/>
      <c r="BI1903" s="77"/>
    </row>
    <row r="1904" spans="1:61" x14ac:dyDescent="0.25">
      <c r="A1904" s="62" t="s">
        <v>697</v>
      </c>
      <c r="B1904" s="62" t="s">
        <v>697</v>
      </c>
      <c r="C1904" s="63"/>
      <c r="D1904" s="64"/>
      <c r="E1904" s="65"/>
      <c r="F1904" s="66"/>
      <c r="G1904" s="63"/>
      <c r="H1904" s="67"/>
      <c r="I1904" s="68"/>
      <c r="J1904" s="68"/>
      <c r="K1904" s="32"/>
      <c r="L1904" s="75">
        <v>1904</v>
      </c>
      <c r="M1904" s="75"/>
      <c r="N1904" s="70"/>
      <c r="O1904" s="77" t="s">
        <v>179</v>
      </c>
      <c r="P1904" s="79">
        <v>45118.225856481484</v>
      </c>
      <c r="Q1904" s="77" t="s">
        <v>2586</v>
      </c>
      <c r="R1904" s="77">
        <v>1</v>
      </c>
      <c r="S1904" s="77">
        <v>1</v>
      </c>
      <c r="T1904" s="77">
        <v>0</v>
      </c>
      <c r="U1904" s="77">
        <v>0</v>
      </c>
      <c r="V1904" s="77">
        <v>81</v>
      </c>
      <c r="W1904" s="82" t="s">
        <v>5803</v>
      </c>
      <c r="X1904" s="80" t="str">
        <f>HYPERLINK("https://javiermliron.blogspot.com/2023/07/indice-de-produccion-industrial.html")</f>
        <v>https://javiermliron.blogspot.com/2023/07/indice-de-produccion-industrial.html</v>
      </c>
      <c r="Y1904" s="77" t="s">
        <v>6532</v>
      </c>
      <c r="Z1904" s="77"/>
      <c r="AA1904" s="77" t="s">
        <v>7546</v>
      </c>
      <c r="AB1904" s="77" t="s">
        <v>7742</v>
      </c>
      <c r="AC1904" s="82" t="s">
        <v>7750</v>
      </c>
      <c r="AD1904" s="77" t="s">
        <v>7790</v>
      </c>
      <c r="AE1904" s="80" t="str">
        <f>HYPERLINK("https://twitter.com/jmendezliron/status/1678636546495242240")</f>
        <v>https://twitter.com/jmendezliron/status/1678636546495242240</v>
      </c>
      <c r="AF1904" s="79">
        <v>45118.225856481484</v>
      </c>
      <c r="AG1904" s="85">
        <v>45118</v>
      </c>
      <c r="AH1904" s="82" t="s">
        <v>9405</v>
      </c>
      <c r="AI1904" s="77" t="b">
        <v>0</v>
      </c>
      <c r="AJ1904" s="77"/>
      <c r="AK1904" s="77"/>
      <c r="AL1904" s="77"/>
      <c r="AM1904" s="77"/>
      <c r="AN1904" s="77"/>
      <c r="AO1904" s="77"/>
      <c r="AP1904" s="77"/>
      <c r="AQ1904" s="77" t="s">
        <v>11518</v>
      </c>
      <c r="AR1904" s="77"/>
      <c r="AS1904" s="77"/>
      <c r="AT1904" s="77"/>
      <c r="AU1904" s="77"/>
      <c r="AV1904" s="80" t="str">
        <f>HYPERLINK("https://pbs.twimg.com/media/F0u3CfXWAAESbWM.png")</f>
        <v>https://pbs.twimg.com/media/F0u3CfXWAAESbWM.png</v>
      </c>
      <c r="AW1904" s="82" t="s">
        <v>13500</v>
      </c>
      <c r="AX1904" s="82" t="s">
        <v>13500</v>
      </c>
      <c r="AY1904" s="77"/>
      <c r="AZ1904" s="82" t="s">
        <v>15984</v>
      </c>
      <c r="BA1904" s="82" t="s">
        <v>15984</v>
      </c>
      <c r="BB1904" s="82" t="s">
        <v>15984</v>
      </c>
      <c r="BC1904" s="82" t="s">
        <v>13500</v>
      </c>
      <c r="BD1904" s="77">
        <v>748960584</v>
      </c>
      <c r="BE1904" s="77"/>
      <c r="BF1904" s="77"/>
      <c r="BG1904" s="77"/>
      <c r="BH1904" s="77"/>
      <c r="BI1904" s="77"/>
    </row>
    <row r="1905" spans="1:61" x14ac:dyDescent="0.25">
      <c r="A1905" s="62" t="s">
        <v>697</v>
      </c>
      <c r="B1905" s="62" t="s">
        <v>697</v>
      </c>
      <c r="C1905" s="63"/>
      <c r="D1905" s="64"/>
      <c r="E1905" s="65"/>
      <c r="F1905" s="66"/>
      <c r="G1905" s="63"/>
      <c r="H1905" s="67"/>
      <c r="I1905" s="68"/>
      <c r="J1905" s="68"/>
      <c r="K1905" s="32"/>
      <c r="L1905" s="75">
        <v>1905</v>
      </c>
      <c r="M1905" s="75"/>
      <c r="N1905" s="70"/>
      <c r="O1905" s="77" t="s">
        <v>898</v>
      </c>
      <c r="P1905" s="79">
        <v>45190.252986111111</v>
      </c>
      <c r="Q1905" s="77" t="s">
        <v>2587</v>
      </c>
      <c r="R1905" s="77">
        <v>1</v>
      </c>
      <c r="S1905" s="77">
        <v>1</v>
      </c>
      <c r="T1905" s="77">
        <v>0</v>
      </c>
      <c r="U1905" s="77">
        <v>0</v>
      </c>
      <c r="V1905" s="77">
        <v>30</v>
      </c>
      <c r="W1905" s="82" t="s">
        <v>5792</v>
      </c>
      <c r="X1905" s="80" t="str">
        <f>HYPERLINK("https://javiermliron.blogspot.com/2023/09/paro-registrado-en-las-capitales-de.html")</f>
        <v>https://javiermliron.blogspot.com/2023/09/paro-registrado-en-las-capitales-de.html</v>
      </c>
      <c r="Y1905" s="77" t="s">
        <v>6532</v>
      </c>
      <c r="Z1905" s="77"/>
      <c r="AA1905" s="77"/>
      <c r="AB1905" s="77"/>
      <c r="AC1905" s="82" t="s">
        <v>7750</v>
      </c>
      <c r="AD1905" s="77" t="s">
        <v>7790</v>
      </c>
      <c r="AE1905" s="80" t="str">
        <f>HYPERLINK("https://twitter.com/jmendezliron/status/1704738300630573088")</f>
        <v>https://twitter.com/jmendezliron/status/1704738300630573088</v>
      </c>
      <c r="AF1905" s="79">
        <v>45190.252986111111</v>
      </c>
      <c r="AG1905" s="85">
        <v>45190</v>
      </c>
      <c r="AH1905" s="82" t="s">
        <v>9406</v>
      </c>
      <c r="AI1905" s="77" t="b">
        <v>0</v>
      </c>
      <c r="AJ1905" s="77"/>
      <c r="AK1905" s="77"/>
      <c r="AL1905" s="77"/>
      <c r="AM1905" s="77"/>
      <c r="AN1905" s="77"/>
      <c r="AO1905" s="77"/>
      <c r="AP1905" s="77"/>
      <c r="AQ1905" s="77"/>
      <c r="AR1905" s="77"/>
      <c r="AS1905" s="77"/>
      <c r="AT1905" s="77"/>
      <c r="AU1905" s="77"/>
      <c r="AV1905" s="80" t="str">
        <f>HYPERLINK("https://pbs.twimg.com/profile_images/612292231358246912/gMKxM5xX_normal.jpg")</f>
        <v>https://pbs.twimg.com/profile_images/612292231358246912/gMKxM5xX_normal.jpg</v>
      </c>
      <c r="AW1905" s="82" t="s">
        <v>13501</v>
      </c>
      <c r="AX1905" s="82" t="s">
        <v>15894</v>
      </c>
      <c r="AY1905" s="82" t="s">
        <v>15975</v>
      </c>
      <c r="AZ1905" s="82" t="s">
        <v>15894</v>
      </c>
      <c r="BA1905" s="82" t="s">
        <v>15984</v>
      </c>
      <c r="BB1905" s="82" t="s">
        <v>15984</v>
      </c>
      <c r="BC1905" s="82" t="s">
        <v>15894</v>
      </c>
      <c r="BD1905" s="77">
        <v>748960584</v>
      </c>
      <c r="BE1905" s="77"/>
      <c r="BF1905" s="77"/>
      <c r="BG1905" s="77"/>
      <c r="BH1905" s="77"/>
      <c r="BI1905" s="77"/>
    </row>
    <row r="1906" spans="1:61" x14ac:dyDescent="0.25">
      <c r="A1906" s="62" t="s">
        <v>697</v>
      </c>
      <c r="B1906" s="62" t="s">
        <v>697</v>
      </c>
      <c r="C1906" s="63"/>
      <c r="D1906" s="64"/>
      <c r="E1906" s="65"/>
      <c r="F1906" s="66"/>
      <c r="G1906" s="63"/>
      <c r="H1906" s="67"/>
      <c r="I1906" s="68"/>
      <c r="J1906" s="68"/>
      <c r="K1906" s="32"/>
      <c r="L1906" s="75">
        <v>1906</v>
      </c>
      <c r="M1906" s="75"/>
      <c r="N1906" s="70"/>
      <c r="O1906" s="77" t="s">
        <v>897</v>
      </c>
      <c r="P1906" s="79">
        <v>45190.434386574074</v>
      </c>
      <c r="Q1906" s="77" t="s">
        <v>2588</v>
      </c>
      <c r="R1906" s="77">
        <v>1</v>
      </c>
      <c r="S1906" s="77">
        <v>0</v>
      </c>
      <c r="T1906" s="77">
        <v>0</v>
      </c>
      <c r="U1906" s="77">
        <v>0</v>
      </c>
      <c r="V1906" s="77"/>
      <c r="W1906" s="82" t="s">
        <v>5822</v>
      </c>
      <c r="X1906" s="80" t="str">
        <f>HYPERLINK("https://javiermliron.blogspot.com/2023/09/paro-registrado-en-las-capitales-de.html")</f>
        <v>https://javiermliron.blogspot.com/2023/09/paro-registrado-en-las-capitales-de.html</v>
      </c>
      <c r="Y1906" s="77" t="s">
        <v>6532</v>
      </c>
      <c r="Z1906" s="77" t="s">
        <v>697</v>
      </c>
      <c r="AA1906" s="77"/>
      <c r="AB1906" s="77"/>
      <c r="AC1906" s="82" t="s">
        <v>7750</v>
      </c>
      <c r="AD1906" s="77" t="s">
        <v>7790</v>
      </c>
      <c r="AE1906" s="80" t="str">
        <f>HYPERLINK("https://twitter.com/jmendezliron/status/1704804039408435293")</f>
        <v>https://twitter.com/jmendezliron/status/1704804039408435293</v>
      </c>
      <c r="AF1906" s="79">
        <v>45190.434386574074</v>
      </c>
      <c r="AG1906" s="85">
        <v>45190</v>
      </c>
      <c r="AH1906" s="82" t="s">
        <v>9407</v>
      </c>
      <c r="AI1906" s="77" t="b">
        <v>0</v>
      </c>
      <c r="AJ1906" s="77"/>
      <c r="AK1906" s="77"/>
      <c r="AL1906" s="77"/>
      <c r="AM1906" s="77"/>
      <c r="AN1906" s="77"/>
      <c r="AO1906" s="77"/>
      <c r="AP1906" s="77"/>
      <c r="AQ1906" s="77"/>
      <c r="AR1906" s="77"/>
      <c r="AS1906" s="77"/>
      <c r="AT1906" s="77"/>
      <c r="AU1906" s="77"/>
      <c r="AV1906" s="80" t="str">
        <f>HYPERLINK("https://pbs.twimg.com/profile_images/612292231358246912/gMKxM5xX_normal.jpg")</f>
        <v>https://pbs.twimg.com/profile_images/612292231358246912/gMKxM5xX_normal.jpg</v>
      </c>
      <c r="AW1906" s="82" t="s">
        <v>13502</v>
      </c>
      <c r="AX1906" s="82" t="s">
        <v>13502</v>
      </c>
      <c r="AY1906" s="77"/>
      <c r="AZ1906" s="82" t="s">
        <v>15984</v>
      </c>
      <c r="BA1906" s="82" t="s">
        <v>15984</v>
      </c>
      <c r="BB1906" s="82" t="s">
        <v>13501</v>
      </c>
      <c r="BC1906" s="82" t="s">
        <v>13501</v>
      </c>
      <c r="BD1906" s="77">
        <v>748960584</v>
      </c>
      <c r="BE1906" s="77"/>
      <c r="BF1906" s="77"/>
      <c r="BG1906" s="77"/>
      <c r="BH1906" s="77"/>
      <c r="BI1906" s="77"/>
    </row>
    <row r="1907" spans="1:61" x14ac:dyDescent="0.25">
      <c r="A1907" s="62" t="s">
        <v>697</v>
      </c>
      <c r="B1907" s="62" t="s">
        <v>697</v>
      </c>
      <c r="C1907" s="63"/>
      <c r="D1907" s="64"/>
      <c r="E1907" s="65"/>
      <c r="F1907" s="66"/>
      <c r="G1907" s="63"/>
      <c r="H1907" s="67"/>
      <c r="I1907" s="68"/>
      <c r="J1907" s="68"/>
      <c r="K1907" s="32"/>
      <c r="L1907" s="75">
        <v>1907</v>
      </c>
      <c r="M1907" s="75"/>
      <c r="N1907" s="70"/>
      <c r="O1907" s="77" t="s">
        <v>179</v>
      </c>
      <c r="P1907" s="79">
        <v>45189.755219907405</v>
      </c>
      <c r="Q1907" s="77" t="s">
        <v>2589</v>
      </c>
      <c r="R1907" s="77">
        <v>1</v>
      </c>
      <c r="S1907" s="77">
        <v>1</v>
      </c>
      <c r="T1907" s="77">
        <v>0</v>
      </c>
      <c r="U1907" s="77">
        <v>0</v>
      </c>
      <c r="V1907" s="77">
        <v>43</v>
      </c>
      <c r="W1907" s="82" t="s">
        <v>5798</v>
      </c>
      <c r="X1907" s="80" t="str">
        <f>HYPERLINK("https://javiermliron.blogspot.com/2023/09/ipc-madrid-agosto-2023.html")</f>
        <v>https://javiermliron.blogspot.com/2023/09/ipc-madrid-agosto-2023.html</v>
      </c>
      <c r="Y1907" s="77" t="s">
        <v>6532</v>
      </c>
      <c r="Z1907" s="77"/>
      <c r="AA1907" s="77" t="s">
        <v>7547</v>
      </c>
      <c r="AB1907" s="77" t="s">
        <v>7742</v>
      </c>
      <c r="AC1907" s="82" t="s">
        <v>7750</v>
      </c>
      <c r="AD1907" s="77" t="s">
        <v>7790</v>
      </c>
      <c r="AE1907" s="80" t="str">
        <f>HYPERLINK("https://twitter.com/jmendezliron/status/1704557918459183426")</f>
        <v>https://twitter.com/jmendezliron/status/1704557918459183426</v>
      </c>
      <c r="AF1907" s="79">
        <v>45189.755219907405</v>
      </c>
      <c r="AG1907" s="85">
        <v>45189</v>
      </c>
      <c r="AH1907" s="82" t="s">
        <v>9408</v>
      </c>
      <c r="AI1907" s="77" t="b">
        <v>0</v>
      </c>
      <c r="AJ1907" s="77"/>
      <c r="AK1907" s="77"/>
      <c r="AL1907" s="77"/>
      <c r="AM1907" s="77"/>
      <c r="AN1907" s="77"/>
      <c r="AO1907" s="77"/>
      <c r="AP1907" s="77"/>
      <c r="AQ1907" s="77" t="s">
        <v>11519</v>
      </c>
      <c r="AR1907" s="77"/>
      <c r="AS1907" s="77"/>
      <c r="AT1907" s="77"/>
      <c r="AU1907" s="77"/>
      <c r="AV1907" s="80" t="str">
        <f>HYPERLINK("https://pbs.twimg.com/media/F6fOYe_WQAAwN2S.png")</f>
        <v>https://pbs.twimg.com/media/F6fOYe_WQAAwN2S.png</v>
      </c>
      <c r="AW1907" s="82" t="s">
        <v>13503</v>
      </c>
      <c r="AX1907" s="82" t="s">
        <v>13503</v>
      </c>
      <c r="AY1907" s="77"/>
      <c r="AZ1907" s="82" t="s">
        <v>15984</v>
      </c>
      <c r="BA1907" s="82" t="s">
        <v>15984</v>
      </c>
      <c r="BB1907" s="82" t="s">
        <v>15984</v>
      </c>
      <c r="BC1907" s="82" t="s">
        <v>13503</v>
      </c>
      <c r="BD1907" s="77">
        <v>748960584</v>
      </c>
      <c r="BE1907" s="77"/>
      <c r="BF1907" s="77"/>
      <c r="BG1907" s="77"/>
      <c r="BH1907" s="77"/>
      <c r="BI1907" s="77"/>
    </row>
    <row r="1908" spans="1:61" x14ac:dyDescent="0.25">
      <c r="A1908" s="62" t="s">
        <v>697</v>
      </c>
      <c r="B1908" s="62" t="s">
        <v>697</v>
      </c>
      <c r="C1908" s="63"/>
      <c r="D1908" s="64"/>
      <c r="E1908" s="65"/>
      <c r="F1908" s="66"/>
      <c r="G1908" s="63"/>
      <c r="H1908" s="67"/>
      <c r="I1908" s="68"/>
      <c r="J1908" s="68"/>
      <c r="K1908" s="32"/>
      <c r="L1908" s="75">
        <v>1908</v>
      </c>
      <c r="M1908" s="75"/>
      <c r="N1908" s="70"/>
      <c r="O1908" s="77" t="s">
        <v>897</v>
      </c>
      <c r="P1908" s="79">
        <v>45190.241226851853</v>
      </c>
      <c r="Q1908" s="77" t="s">
        <v>2590</v>
      </c>
      <c r="R1908" s="77">
        <v>1</v>
      </c>
      <c r="S1908" s="77">
        <v>0</v>
      </c>
      <c r="T1908" s="77">
        <v>0</v>
      </c>
      <c r="U1908" s="77">
        <v>0</v>
      </c>
      <c r="V1908" s="77"/>
      <c r="W1908" s="82" t="s">
        <v>5823</v>
      </c>
      <c r="X1908" s="77"/>
      <c r="Y1908" s="77"/>
      <c r="Z1908" s="77" t="s">
        <v>697</v>
      </c>
      <c r="AA1908" s="77"/>
      <c r="AB1908" s="77"/>
      <c r="AC1908" s="82" t="s">
        <v>7750</v>
      </c>
      <c r="AD1908" s="77" t="s">
        <v>7790</v>
      </c>
      <c r="AE1908" s="80" t="str">
        <f>HYPERLINK("https://twitter.com/jmendezliron/status/1704734040123740450")</f>
        <v>https://twitter.com/jmendezliron/status/1704734040123740450</v>
      </c>
      <c r="AF1908" s="79">
        <v>45190.241226851853</v>
      </c>
      <c r="AG1908" s="85">
        <v>45190</v>
      </c>
      <c r="AH1908" s="82" t="s">
        <v>9409</v>
      </c>
      <c r="AI1908" s="77"/>
      <c r="AJ1908" s="77"/>
      <c r="AK1908" s="77"/>
      <c r="AL1908" s="77"/>
      <c r="AM1908" s="77"/>
      <c r="AN1908" s="77"/>
      <c r="AO1908" s="77"/>
      <c r="AP1908" s="77"/>
      <c r="AQ1908" s="77"/>
      <c r="AR1908" s="77"/>
      <c r="AS1908" s="77"/>
      <c r="AT1908" s="77"/>
      <c r="AU1908" s="77"/>
      <c r="AV1908" s="80" t="str">
        <f>HYPERLINK("https://pbs.twimg.com/profile_images/612292231358246912/gMKxM5xX_normal.jpg")</f>
        <v>https://pbs.twimg.com/profile_images/612292231358246912/gMKxM5xX_normal.jpg</v>
      </c>
      <c r="AW1908" s="82" t="s">
        <v>13504</v>
      </c>
      <c r="AX1908" s="82" t="s">
        <v>13504</v>
      </c>
      <c r="AY1908" s="77"/>
      <c r="AZ1908" s="82" t="s">
        <v>15984</v>
      </c>
      <c r="BA1908" s="82" t="s">
        <v>15984</v>
      </c>
      <c r="BB1908" s="82" t="s">
        <v>13503</v>
      </c>
      <c r="BC1908" s="82" t="s">
        <v>13503</v>
      </c>
      <c r="BD1908" s="77">
        <v>748960584</v>
      </c>
      <c r="BE1908" s="77"/>
      <c r="BF1908" s="77"/>
      <c r="BG1908" s="77"/>
      <c r="BH1908" s="77"/>
      <c r="BI1908" s="77"/>
    </row>
    <row r="1909" spans="1:61" x14ac:dyDescent="0.25">
      <c r="A1909" s="62" t="s">
        <v>697</v>
      </c>
      <c r="B1909" s="62" t="s">
        <v>697</v>
      </c>
      <c r="C1909" s="63"/>
      <c r="D1909" s="64"/>
      <c r="E1909" s="65"/>
      <c r="F1909" s="66"/>
      <c r="G1909" s="63"/>
      <c r="H1909" s="67"/>
      <c r="I1909" s="68"/>
      <c r="J1909" s="68"/>
      <c r="K1909" s="32"/>
      <c r="L1909" s="75">
        <v>1909</v>
      </c>
      <c r="M1909" s="75"/>
      <c r="N1909" s="70"/>
      <c r="O1909" s="77" t="s">
        <v>179</v>
      </c>
      <c r="P1909" s="79">
        <v>45188.254618055558</v>
      </c>
      <c r="Q1909" s="77" t="s">
        <v>2591</v>
      </c>
      <c r="R1909" s="77">
        <v>1</v>
      </c>
      <c r="S1909" s="77">
        <v>1</v>
      </c>
      <c r="T1909" s="77">
        <v>0</v>
      </c>
      <c r="U1909" s="77">
        <v>0</v>
      </c>
      <c r="V1909" s="77">
        <v>36</v>
      </c>
      <c r="W1909" s="82" t="s">
        <v>5824</v>
      </c>
      <c r="X1909" s="80" t="str">
        <f>HYPERLINK("https://javiermliron.blogspot.com/2023/09/ipc-andalucia-agosto-2023.html")</f>
        <v>https://javiermliron.blogspot.com/2023/09/ipc-andalucia-agosto-2023.html</v>
      </c>
      <c r="Y1909" s="77" t="s">
        <v>6532</v>
      </c>
      <c r="Z1909" s="77"/>
      <c r="AA1909" s="77" t="s">
        <v>7548</v>
      </c>
      <c r="AB1909" s="77" t="s">
        <v>7742</v>
      </c>
      <c r="AC1909" s="82" t="s">
        <v>7750</v>
      </c>
      <c r="AD1909" s="77" t="s">
        <v>7790</v>
      </c>
      <c r="AE1909" s="80" t="str">
        <f>HYPERLINK("https://twitter.com/jmendezliron/status/1704014118812807439")</f>
        <v>https://twitter.com/jmendezliron/status/1704014118812807439</v>
      </c>
      <c r="AF1909" s="79">
        <v>45188.254618055558</v>
      </c>
      <c r="AG1909" s="85">
        <v>45188</v>
      </c>
      <c r="AH1909" s="82" t="s">
        <v>9410</v>
      </c>
      <c r="AI1909" s="77" t="b">
        <v>0</v>
      </c>
      <c r="AJ1909" s="77"/>
      <c r="AK1909" s="77"/>
      <c r="AL1909" s="77"/>
      <c r="AM1909" s="77"/>
      <c r="AN1909" s="77"/>
      <c r="AO1909" s="77"/>
      <c r="AP1909" s="77"/>
      <c r="AQ1909" s="77" t="s">
        <v>11520</v>
      </c>
      <c r="AR1909" s="77"/>
      <c r="AS1909" s="77"/>
      <c r="AT1909" s="77"/>
      <c r="AU1909" s="77"/>
      <c r="AV1909" s="80" t="str">
        <f>HYPERLINK("https://pbs.twimg.com/media/F6Xfzs-WQAE9Jz9.png")</f>
        <v>https://pbs.twimg.com/media/F6Xfzs-WQAE9Jz9.png</v>
      </c>
      <c r="AW1909" s="82" t="s">
        <v>13505</v>
      </c>
      <c r="AX1909" s="82" t="s">
        <v>13505</v>
      </c>
      <c r="AY1909" s="77"/>
      <c r="AZ1909" s="82" t="s">
        <v>15984</v>
      </c>
      <c r="BA1909" s="82" t="s">
        <v>15984</v>
      </c>
      <c r="BB1909" s="82" t="s">
        <v>15984</v>
      </c>
      <c r="BC1909" s="82" t="s">
        <v>13505</v>
      </c>
      <c r="BD1909" s="77">
        <v>748960584</v>
      </c>
      <c r="BE1909" s="77"/>
      <c r="BF1909" s="77"/>
      <c r="BG1909" s="77"/>
      <c r="BH1909" s="77"/>
      <c r="BI1909" s="77"/>
    </row>
    <row r="1910" spans="1:61" x14ac:dyDescent="0.25">
      <c r="A1910" s="62" t="s">
        <v>697</v>
      </c>
      <c r="B1910" s="62" t="s">
        <v>697</v>
      </c>
      <c r="C1910" s="63"/>
      <c r="D1910" s="64"/>
      <c r="E1910" s="65"/>
      <c r="F1910" s="66"/>
      <c r="G1910" s="63"/>
      <c r="H1910" s="67"/>
      <c r="I1910" s="68"/>
      <c r="J1910" s="68"/>
      <c r="K1910" s="32"/>
      <c r="L1910" s="75">
        <v>1910</v>
      </c>
      <c r="M1910" s="75"/>
      <c r="N1910" s="70"/>
      <c r="O1910" s="77" t="s">
        <v>897</v>
      </c>
      <c r="P1910" s="79">
        <v>45188.476481481484</v>
      </c>
      <c r="Q1910" s="77" t="s">
        <v>2592</v>
      </c>
      <c r="R1910" s="77">
        <v>1</v>
      </c>
      <c r="S1910" s="77">
        <v>0</v>
      </c>
      <c r="T1910" s="77">
        <v>0</v>
      </c>
      <c r="U1910" s="77">
        <v>0</v>
      </c>
      <c r="V1910" s="77"/>
      <c r="W1910" s="82" t="s">
        <v>5825</v>
      </c>
      <c r="X1910" s="77"/>
      <c r="Y1910" s="77"/>
      <c r="Z1910" s="77" t="s">
        <v>697</v>
      </c>
      <c r="AA1910" s="77"/>
      <c r="AB1910" s="77"/>
      <c r="AC1910" s="82" t="s">
        <v>7750</v>
      </c>
      <c r="AD1910" s="77" t="s">
        <v>7790</v>
      </c>
      <c r="AE1910" s="80" t="str">
        <f>HYPERLINK("https://twitter.com/jmendezliron/status/1704094518620889380")</f>
        <v>https://twitter.com/jmendezliron/status/1704094518620889380</v>
      </c>
      <c r="AF1910" s="79">
        <v>45188.476481481484</v>
      </c>
      <c r="AG1910" s="85">
        <v>45188</v>
      </c>
      <c r="AH1910" s="82" t="s">
        <v>9411</v>
      </c>
      <c r="AI1910" s="77"/>
      <c r="AJ1910" s="77"/>
      <c r="AK1910" s="77"/>
      <c r="AL1910" s="77"/>
      <c r="AM1910" s="77"/>
      <c r="AN1910" s="77"/>
      <c r="AO1910" s="77"/>
      <c r="AP1910" s="77"/>
      <c r="AQ1910" s="77"/>
      <c r="AR1910" s="77"/>
      <c r="AS1910" s="77"/>
      <c r="AT1910" s="77"/>
      <c r="AU1910" s="77"/>
      <c r="AV1910" s="80" t="str">
        <f>HYPERLINK("https://pbs.twimg.com/profile_images/612292231358246912/gMKxM5xX_normal.jpg")</f>
        <v>https://pbs.twimg.com/profile_images/612292231358246912/gMKxM5xX_normal.jpg</v>
      </c>
      <c r="AW1910" s="82" t="s">
        <v>13506</v>
      </c>
      <c r="AX1910" s="82" t="s">
        <v>13506</v>
      </c>
      <c r="AY1910" s="77"/>
      <c r="AZ1910" s="82" t="s">
        <v>15984</v>
      </c>
      <c r="BA1910" s="82" t="s">
        <v>15984</v>
      </c>
      <c r="BB1910" s="82" t="s">
        <v>13505</v>
      </c>
      <c r="BC1910" s="82" t="s">
        <v>13505</v>
      </c>
      <c r="BD1910" s="77">
        <v>748960584</v>
      </c>
      <c r="BE1910" s="77"/>
      <c r="BF1910" s="77"/>
      <c r="BG1910" s="77"/>
      <c r="BH1910" s="77"/>
      <c r="BI1910" s="77"/>
    </row>
    <row r="1911" spans="1:61" x14ac:dyDescent="0.25">
      <c r="A1911" s="62" t="s">
        <v>697</v>
      </c>
      <c r="B1911" s="62" t="s">
        <v>697</v>
      </c>
      <c r="C1911" s="63"/>
      <c r="D1911" s="64"/>
      <c r="E1911" s="65"/>
      <c r="F1911" s="66"/>
      <c r="G1911" s="63"/>
      <c r="H1911" s="67"/>
      <c r="I1911" s="68"/>
      <c r="J1911" s="68"/>
      <c r="K1911" s="32"/>
      <c r="L1911" s="75">
        <v>1911</v>
      </c>
      <c r="M1911" s="75"/>
      <c r="N1911" s="70"/>
      <c r="O1911" s="77" t="s">
        <v>179</v>
      </c>
      <c r="P1911" s="79">
        <v>45188.249988425923</v>
      </c>
      <c r="Q1911" s="77" t="s">
        <v>2593</v>
      </c>
      <c r="R1911" s="77">
        <v>1</v>
      </c>
      <c r="S1911" s="77">
        <v>1</v>
      </c>
      <c r="T1911" s="77">
        <v>0</v>
      </c>
      <c r="U1911" s="77">
        <v>0</v>
      </c>
      <c r="V1911" s="77">
        <v>48</v>
      </c>
      <c r="W1911" s="82" t="s">
        <v>5768</v>
      </c>
      <c r="X1911" s="80" t="str">
        <f>HYPERLINK("https://javiermliron.blogspot.com/2023/09/sociedades-mercantiles-en-andalucia.html")</f>
        <v>https://javiermliron.blogspot.com/2023/09/sociedades-mercantiles-en-andalucia.html</v>
      </c>
      <c r="Y1911" s="77" t="s">
        <v>6532</v>
      </c>
      <c r="Z1911" s="77"/>
      <c r="AA1911" s="77" t="s">
        <v>7549</v>
      </c>
      <c r="AB1911" s="77" t="s">
        <v>7742</v>
      </c>
      <c r="AC1911" s="82" t="s">
        <v>7750</v>
      </c>
      <c r="AD1911" s="77" t="s">
        <v>7790</v>
      </c>
      <c r="AE1911" s="80" t="str">
        <f>HYPERLINK("https://twitter.com/jmendezliron/status/1704012439363129662")</f>
        <v>https://twitter.com/jmendezliron/status/1704012439363129662</v>
      </c>
      <c r="AF1911" s="79">
        <v>45188.249988425923</v>
      </c>
      <c r="AG1911" s="85">
        <v>45188</v>
      </c>
      <c r="AH1911" s="82" t="s">
        <v>9412</v>
      </c>
      <c r="AI1911" s="77" t="b">
        <v>0</v>
      </c>
      <c r="AJ1911" s="77"/>
      <c r="AK1911" s="77"/>
      <c r="AL1911" s="77"/>
      <c r="AM1911" s="77"/>
      <c r="AN1911" s="77"/>
      <c r="AO1911" s="77"/>
      <c r="AP1911" s="77"/>
      <c r="AQ1911" s="77" t="s">
        <v>11521</v>
      </c>
      <c r="AR1911" s="77"/>
      <c r="AS1911" s="77"/>
      <c r="AT1911" s="77"/>
      <c r="AU1911" s="77"/>
      <c r="AV1911" s="80" t="str">
        <f>HYPERLINK("https://pbs.twimg.com/media/F6XeR43WoAAeWDq.jpg")</f>
        <v>https://pbs.twimg.com/media/F6XeR43WoAAeWDq.jpg</v>
      </c>
      <c r="AW1911" s="82" t="s">
        <v>13507</v>
      </c>
      <c r="AX1911" s="82" t="s">
        <v>13507</v>
      </c>
      <c r="AY1911" s="77"/>
      <c r="AZ1911" s="82" t="s">
        <v>15984</v>
      </c>
      <c r="BA1911" s="82" t="s">
        <v>15984</v>
      </c>
      <c r="BB1911" s="82" t="s">
        <v>15984</v>
      </c>
      <c r="BC1911" s="82" t="s">
        <v>13507</v>
      </c>
      <c r="BD1911" s="77">
        <v>748960584</v>
      </c>
      <c r="BE1911" s="77"/>
      <c r="BF1911" s="77"/>
      <c r="BG1911" s="77"/>
      <c r="BH1911" s="77"/>
      <c r="BI1911" s="77"/>
    </row>
    <row r="1912" spans="1:61" x14ac:dyDescent="0.25">
      <c r="A1912" s="62" t="s">
        <v>697</v>
      </c>
      <c r="B1912" s="62" t="s">
        <v>697</v>
      </c>
      <c r="C1912" s="63"/>
      <c r="D1912" s="64"/>
      <c r="E1912" s="65"/>
      <c r="F1912" s="66"/>
      <c r="G1912" s="63"/>
      <c r="H1912" s="67"/>
      <c r="I1912" s="68"/>
      <c r="J1912" s="68"/>
      <c r="K1912" s="32"/>
      <c r="L1912" s="75">
        <v>1912</v>
      </c>
      <c r="M1912" s="75"/>
      <c r="N1912" s="70"/>
      <c r="O1912" s="77" t="s">
        <v>897</v>
      </c>
      <c r="P1912" s="79">
        <v>45188.476423611108</v>
      </c>
      <c r="Q1912" s="77" t="s">
        <v>2594</v>
      </c>
      <c r="R1912" s="77">
        <v>1</v>
      </c>
      <c r="S1912" s="77">
        <v>0</v>
      </c>
      <c r="T1912" s="77">
        <v>0</v>
      </c>
      <c r="U1912" s="77">
        <v>0</v>
      </c>
      <c r="V1912" s="77"/>
      <c r="W1912" s="82" t="s">
        <v>5826</v>
      </c>
      <c r="X1912" s="77"/>
      <c r="Y1912" s="77"/>
      <c r="Z1912" s="77" t="s">
        <v>697</v>
      </c>
      <c r="AA1912" s="77"/>
      <c r="AB1912" s="77"/>
      <c r="AC1912" s="82" t="s">
        <v>7750</v>
      </c>
      <c r="AD1912" s="77" t="s">
        <v>7790</v>
      </c>
      <c r="AE1912" s="80" t="str">
        <f>HYPERLINK("https://twitter.com/jmendezliron/status/1704094495854182523")</f>
        <v>https://twitter.com/jmendezliron/status/1704094495854182523</v>
      </c>
      <c r="AF1912" s="79">
        <v>45188.476423611108</v>
      </c>
      <c r="AG1912" s="85">
        <v>45188</v>
      </c>
      <c r="AH1912" s="82" t="s">
        <v>9413</v>
      </c>
      <c r="AI1912" s="77"/>
      <c r="AJ1912" s="77"/>
      <c r="AK1912" s="77"/>
      <c r="AL1912" s="77"/>
      <c r="AM1912" s="77"/>
      <c r="AN1912" s="77"/>
      <c r="AO1912" s="77"/>
      <c r="AP1912" s="77"/>
      <c r="AQ1912" s="77"/>
      <c r="AR1912" s="77"/>
      <c r="AS1912" s="77"/>
      <c r="AT1912" s="77"/>
      <c r="AU1912" s="77"/>
      <c r="AV1912" s="80" t="str">
        <f>HYPERLINK("https://pbs.twimg.com/profile_images/612292231358246912/gMKxM5xX_normal.jpg")</f>
        <v>https://pbs.twimg.com/profile_images/612292231358246912/gMKxM5xX_normal.jpg</v>
      </c>
      <c r="AW1912" s="82" t="s">
        <v>13508</v>
      </c>
      <c r="AX1912" s="82" t="s">
        <v>13508</v>
      </c>
      <c r="AY1912" s="77"/>
      <c r="AZ1912" s="82" t="s">
        <v>15984</v>
      </c>
      <c r="BA1912" s="82" t="s">
        <v>15984</v>
      </c>
      <c r="BB1912" s="82" t="s">
        <v>13507</v>
      </c>
      <c r="BC1912" s="82" t="s">
        <v>13507</v>
      </c>
      <c r="BD1912" s="77">
        <v>748960584</v>
      </c>
      <c r="BE1912" s="77"/>
      <c r="BF1912" s="77"/>
      <c r="BG1912" s="77"/>
      <c r="BH1912" s="77"/>
      <c r="BI1912" s="77"/>
    </row>
    <row r="1913" spans="1:61" x14ac:dyDescent="0.25">
      <c r="A1913" s="62" t="s">
        <v>697</v>
      </c>
      <c r="B1913" s="62" t="s">
        <v>697</v>
      </c>
      <c r="C1913" s="63"/>
      <c r="D1913" s="64"/>
      <c r="E1913" s="65"/>
      <c r="F1913" s="66"/>
      <c r="G1913" s="63"/>
      <c r="H1913" s="67"/>
      <c r="I1913" s="68"/>
      <c r="J1913" s="68"/>
      <c r="K1913" s="32"/>
      <c r="L1913" s="75">
        <v>1913</v>
      </c>
      <c r="M1913" s="75"/>
      <c r="N1913" s="70"/>
      <c r="O1913" s="77" t="s">
        <v>179</v>
      </c>
      <c r="P1913" s="79">
        <v>45187.748599537037</v>
      </c>
      <c r="Q1913" s="77" t="s">
        <v>2595</v>
      </c>
      <c r="R1913" s="77">
        <v>1</v>
      </c>
      <c r="S1913" s="77">
        <v>1</v>
      </c>
      <c r="T1913" s="77">
        <v>1</v>
      </c>
      <c r="U1913" s="77">
        <v>0</v>
      </c>
      <c r="V1913" s="77">
        <v>45</v>
      </c>
      <c r="W1913" s="82" t="s">
        <v>5827</v>
      </c>
      <c r="X1913" s="80" t="str">
        <f>HYPERLINK("https://javiermliron.blogspot.com/2023/09/ipc-castilla-y-leon-agosto-2023.html")</f>
        <v>https://javiermliron.blogspot.com/2023/09/ipc-castilla-y-leon-agosto-2023.html</v>
      </c>
      <c r="Y1913" s="77" t="s">
        <v>6532</v>
      </c>
      <c r="Z1913" s="77"/>
      <c r="AA1913" s="77" t="s">
        <v>7550</v>
      </c>
      <c r="AB1913" s="77" t="s">
        <v>7742</v>
      </c>
      <c r="AC1913" s="82" t="s">
        <v>7750</v>
      </c>
      <c r="AD1913" s="77" t="s">
        <v>7790</v>
      </c>
      <c r="AE1913" s="80" t="str">
        <f>HYPERLINK("https://twitter.com/jmendezliron/status/1703830742151663794")</f>
        <v>https://twitter.com/jmendezliron/status/1703830742151663794</v>
      </c>
      <c r="AF1913" s="79">
        <v>45187.748599537037</v>
      </c>
      <c r="AG1913" s="85">
        <v>45187</v>
      </c>
      <c r="AH1913" s="82" t="s">
        <v>9414</v>
      </c>
      <c r="AI1913" s="77" t="b">
        <v>0</v>
      </c>
      <c r="AJ1913" s="77"/>
      <c r="AK1913" s="77"/>
      <c r="AL1913" s="77"/>
      <c r="AM1913" s="77"/>
      <c r="AN1913" s="77"/>
      <c r="AO1913" s="77"/>
      <c r="AP1913" s="77"/>
      <c r="AQ1913" s="77" t="s">
        <v>11522</v>
      </c>
      <c r="AR1913" s="77"/>
      <c r="AS1913" s="77"/>
      <c r="AT1913" s="77"/>
      <c r="AU1913" s="77"/>
      <c r="AV1913" s="80" t="str">
        <f>HYPERLINK("https://pbs.twimg.com/media/F6U5ByvWIAABYuz.png")</f>
        <v>https://pbs.twimg.com/media/F6U5ByvWIAABYuz.png</v>
      </c>
      <c r="AW1913" s="82" t="s">
        <v>13509</v>
      </c>
      <c r="AX1913" s="82" t="s">
        <v>13509</v>
      </c>
      <c r="AY1913" s="77"/>
      <c r="AZ1913" s="82" t="s">
        <v>15984</v>
      </c>
      <c r="BA1913" s="82" t="s">
        <v>15984</v>
      </c>
      <c r="BB1913" s="82" t="s">
        <v>15984</v>
      </c>
      <c r="BC1913" s="82" t="s">
        <v>13509</v>
      </c>
      <c r="BD1913" s="77">
        <v>748960584</v>
      </c>
      <c r="BE1913" s="77"/>
      <c r="BF1913" s="77"/>
      <c r="BG1913" s="77"/>
      <c r="BH1913" s="77"/>
      <c r="BI1913" s="77"/>
    </row>
    <row r="1914" spans="1:61" x14ac:dyDescent="0.25">
      <c r="A1914" s="62" t="s">
        <v>697</v>
      </c>
      <c r="B1914" s="62" t="s">
        <v>697</v>
      </c>
      <c r="C1914" s="63"/>
      <c r="D1914" s="64"/>
      <c r="E1914" s="65"/>
      <c r="F1914" s="66"/>
      <c r="G1914" s="63"/>
      <c r="H1914" s="67"/>
      <c r="I1914" s="68"/>
      <c r="J1914" s="68"/>
      <c r="K1914" s="32"/>
      <c r="L1914" s="75">
        <v>1914</v>
      </c>
      <c r="M1914" s="75"/>
      <c r="N1914" s="70"/>
      <c r="O1914" s="77" t="s">
        <v>897</v>
      </c>
      <c r="P1914" s="79">
        <v>45188.244155092594</v>
      </c>
      <c r="Q1914" s="77" t="s">
        <v>2596</v>
      </c>
      <c r="R1914" s="77">
        <v>1</v>
      </c>
      <c r="S1914" s="77">
        <v>0</v>
      </c>
      <c r="T1914" s="77">
        <v>0</v>
      </c>
      <c r="U1914" s="77">
        <v>0</v>
      </c>
      <c r="V1914" s="77"/>
      <c r="W1914" s="82" t="s">
        <v>5828</v>
      </c>
      <c r="X1914" s="77"/>
      <c r="Y1914" s="77"/>
      <c r="Z1914" s="77" t="s">
        <v>697</v>
      </c>
      <c r="AA1914" s="77"/>
      <c r="AB1914" s="77"/>
      <c r="AC1914" s="82" t="s">
        <v>7750</v>
      </c>
      <c r="AD1914" s="77" t="s">
        <v>7790</v>
      </c>
      <c r="AE1914" s="80" t="str">
        <f>HYPERLINK("https://twitter.com/jmendezliron/status/1704010328676163824")</f>
        <v>https://twitter.com/jmendezliron/status/1704010328676163824</v>
      </c>
      <c r="AF1914" s="79">
        <v>45188.244155092594</v>
      </c>
      <c r="AG1914" s="85">
        <v>45188</v>
      </c>
      <c r="AH1914" s="82" t="s">
        <v>9415</v>
      </c>
      <c r="AI1914" s="77"/>
      <c r="AJ1914" s="77"/>
      <c r="AK1914" s="77"/>
      <c r="AL1914" s="77"/>
      <c r="AM1914" s="77"/>
      <c r="AN1914" s="77"/>
      <c r="AO1914" s="77"/>
      <c r="AP1914" s="77"/>
      <c r="AQ1914" s="77"/>
      <c r="AR1914" s="77"/>
      <c r="AS1914" s="77"/>
      <c r="AT1914" s="77"/>
      <c r="AU1914" s="77"/>
      <c r="AV1914" s="80" t="str">
        <f>HYPERLINK("https://pbs.twimg.com/profile_images/612292231358246912/gMKxM5xX_normal.jpg")</f>
        <v>https://pbs.twimg.com/profile_images/612292231358246912/gMKxM5xX_normal.jpg</v>
      </c>
      <c r="AW1914" s="82" t="s">
        <v>13510</v>
      </c>
      <c r="AX1914" s="82" t="s">
        <v>13510</v>
      </c>
      <c r="AY1914" s="77"/>
      <c r="AZ1914" s="82" t="s">
        <v>15984</v>
      </c>
      <c r="BA1914" s="82" t="s">
        <v>15984</v>
      </c>
      <c r="BB1914" s="82" t="s">
        <v>13509</v>
      </c>
      <c r="BC1914" s="82" t="s">
        <v>13509</v>
      </c>
      <c r="BD1914" s="77">
        <v>748960584</v>
      </c>
      <c r="BE1914" s="77"/>
      <c r="BF1914" s="77"/>
      <c r="BG1914" s="77"/>
      <c r="BH1914" s="77"/>
      <c r="BI1914" s="77"/>
    </row>
    <row r="1915" spans="1:61" x14ac:dyDescent="0.25">
      <c r="A1915" s="62" t="s">
        <v>697</v>
      </c>
      <c r="B1915" s="62" t="s">
        <v>697</v>
      </c>
      <c r="C1915" s="63"/>
      <c r="D1915" s="64"/>
      <c r="E1915" s="65"/>
      <c r="F1915" s="66"/>
      <c r="G1915" s="63"/>
      <c r="H1915" s="67"/>
      <c r="I1915" s="68"/>
      <c r="J1915" s="68"/>
      <c r="K1915" s="32"/>
      <c r="L1915" s="75">
        <v>1915</v>
      </c>
      <c r="M1915" s="75"/>
      <c r="N1915" s="70"/>
      <c r="O1915" s="77" t="s">
        <v>898</v>
      </c>
      <c r="P1915" s="79">
        <v>45187.748599537037</v>
      </c>
      <c r="Q1915" s="77" t="s">
        <v>2597</v>
      </c>
      <c r="R1915" s="77">
        <v>1</v>
      </c>
      <c r="S1915" s="77">
        <v>1</v>
      </c>
      <c r="T1915" s="77">
        <v>0</v>
      </c>
      <c r="U1915" s="77">
        <v>0</v>
      </c>
      <c r="V1915" s="77">
        <v>41</v>
      </c>
      <c r="W1915" s="82" t="s">
        <v>5829</v>
      </c>
      <c r="X1915" s="80" t="str">
        <f>HYPERLINK("https://javiermliron.blogspot.com/2023/09/ipc-castilla-y-leon-agosto-2023.html")</f>
        <v>https://javiermliron.blogspot.com/2023/09/ipc-castilla-y-leon-agosto-2023.html</v>
      </c>
      <c r="Y1915" s="77" t="s">
        <v>6532</v>
      </c>
      <c r="Z1915" s="77"/>
      <c r="AA1915" s="77"/>
      <c r="AB1915" s="77"/>
      <c r="AC1915" s="82" t="s">
        <v>7750</v>
      </c>
      <c r="AD1915" s="77" t="s">
        <v>7790</v>
      </c>
      <c r="AE1915" s="80" t="str">
        <f>HYPERLINK("https://twitter.com/jmendezliron/status/1703830744294948957")</f>
        <v>https://twitter.com/jmendezliron/status/1703830744294948957</v>
      </c>
      <c r="AF1915" s="79">
        <v>45187.748599537037</v>
      </c>
      <c r="AG1915" s="85">
        <v>45187</v>
      </c>
      <c r="AH1915" s="82" t="s">
        <v>9414</v>
      </c>
      <c r="AI1915" s="77" t="b">
        <v>0</v>
      </c>
      <c r="AJ1915" s="77"/>
      <c r="AK1915" s="77"/>
      <c r="AL1915" s="77"/>
      <c r="AM1915" s="77"/>
      <c r="AN1915" s="77"/>
      <c r="AO1915" s="77"/>
      <c r="AP1915" s="77"/>
      <c r="AQ1915" s="77"/>
      <c r="AR1915" s="77"/>
      <c r="AS1915" s="77"/>
      <c r="AT1915" s="77"/>
      <c r="AU1915" s="77"/>
      <c r="AV1915" s="80" t="str">
        <f>HYPERLINK("https://pbs.twimg.com/profile_images/612292231358246912/gMKxM5xX_normal.jpg")</f>
        <v>https://pbs.twimg.com/profile_images/612292231358246912/gMKxM5xX_normal.jpg</v>
      </c>
      <c r="AW1915" s="82" t="s">
        <v>13511</v>
      </c>
      <c r="AX1915" s="82" t="s">
        <v>13509</v>
      </c>
      <c r="AY1915" s="82" t="s">
        <v>15975</v>
      </c>
      <c r="AZ1915" s="82" t="s">
        <v>13509</v>
      </c>
      <c r="BA1915" s="82" t="s">
        <v>15984</v>
      </c>
      <c r="BB1915" s="82" t="s">
        <v>15984</v>
      </c>
      <c r="BC1915" s="82" t="s">
        <v>13509</v>
      </c>
      <c r="BD1915" s="77">
        <v>748960584</v>
      </c>
      <c r="BE1915" s="77"/>
      <c r="BF1915" s="77"/>
      <c r="BG1915" s="77"/>
      <c r="BH1915" s="77"/>
      <c r="BI1915" s="77"/>
    </row>
    <row r="1916" spans="1:61" x14ac:dyDescent="0.25">
      <c r="A1916" s="62" t="s">
        <v>697</v>
      </c>
      <c r="B1916" s="62" t="s">
        <v>697</v>
      </c>
      <c r="C1916" s="63"/>
      <c r="D1916" s="64"/>
      <c r="E1916" s="65"/>
      <c r="F1916" s="66"/>
      <c r="G1916" s="63"/>
      <c r="H1916" s="67"/>
      <c r="I1916" s="68"/>
      <c r="J1916" s="68"/>
      <c r="K1916" s="32"/>
      <c r="L1916" s="75">
        <v>1916</v>
      </c>
      <c r="M1916" s="75"/>
      <c r="N1916" s="70"/>
      <c r="O1916" s="77" t="s">
        <v>897</v>
      </c>
      <c r="P1916" s="79">
        <v>45188.244120370371</v>
      </c>
      <c r="Q1916" s="77" t="s">
        <v>2598</v>
      </c>
      <c r="R1916" s="77">
        <v>1</v>
      </c>
      <c r="S1916" s="77">
        <v>0</v>
      </c>
      <c r="T1916" s="77">
        <v>0</v>
      </c>
      <c r="U1916" s="77">
        <v>0</v>
      </c>
      <c r="V1916" s="77"/>
      <c r="W1916" s="82" t="s">
        <v>5830</v>
      </c>
      <c r="X1916" s="77"/>
      <c r="Y1916" s="77"/>
      <c r="Z1916" s="77" t="s">
        <v>697</v>
      </c>
      <c r="AA1916" s="77"/>
      <c r="AB1916" s="77"/>
      <c r="AC1916" s="82" t="s">
        <v>7750</v>
      </c>
      <c r="AD1916" s="77" t="s">
        <v>7790</v>
      </c>
      <c r="AE1916" s="80" t="str">
        <f>HYPERLINK("https://twitter.com/jmendezliron/status/1704010314021220392")</f>
        <v>https://twitter.com/jmendezliron/status/1704010314021220392</v>
      </c>
      <c r="AF1916" s="79">
        <v>45188.244120370371</v>
      </c>
      <c r="AG1916" s="85">
        <v>45188</v>
      </c>
      <c r="AH1916" s="82" t="s">
        <v>9416</v>
      </c>
      <c r="AI1916" s="77"/>
      <c r="AJ1916" s="77"/>
      <c r="AK1916" s="77"/>
      <c r="AL1916" s="77"/>
      <c r="AM1916" s="77"/>
      <c r="AN1916" s="77"/>
      <c r="AO1916" s="77"/>
      <c r="AP1916" s="77"/>
      <c r="AQ1916" s="77"/>
      <c r="AR1916" s="77"/>
      <c r="AS1916" s="77"/>
      <c r="AT1916" s="77"/>
      <c r="AU1916" s="77"/>
      <c r="AV1916" s="80" t="str">
        <f>HYPERLINK("https://pbs.twimg.com/profile_images/612292231358246912/gMKxM5xX_normal.jpg")</f>
        <v>https://pbs.twimg.com/profile_images/612292231358246912/gMKxM5xX_normal.jpg</v>
      </c>
      <c r="AW1916" s="82" t="s">
        <v>13512</v>
      </c>
      <c r="AX1916" s="82" t="s">
        <v>13512</v>
      </c>
      <c r="AY1916" s="77"/>
      <c r="AZ1916" s="82" t="s">
        <v>15984</v>
      </c>
      <c r="BA1916" s="82" t="s">
        <v>15984</v>
      </c>
      <c r="BB1916" s="82" t="s">
        <v>13511</v>
      </c>
      <c r="BC1916" s="82" t="s">
        <v>13511</v>
      </c>
      <c r="BD1916" s="77">
        <v>748960584</v>
      </c>
      <c r="BE1916" s="77"/>
      <c r="BF1916" s="77"/>
      <c r="BG1916" s="77"/>
      <c r="BH1916" s="77"/>
      <c r="BI1916" s="77"/>
    </row>
    <row r="1917" spans="1:61" x14ac:dyDescent="0.25">
      <c r="A1917" s="62" t="s">
        <v>697</v>
      </c>
      <c r="B1917" s="62" t="s">
        <v>697</v>
      </c>
      <c r="C1917" s="63"/>
      <c r="D1917" s="64"/>
      <c r="E1917" s="65"/>
      <c r="F1917" s="66"/>
      <c r="G1917" s="63"/>
      <c r="H1917" s="67"/>
      <c r="I1917" s="68"/>
      <c r="J1917" s="68"/>
      <c r="K1917" s="32"/>
      <c r="L1917" s="75">
        <v>1917</v>
      </c>
      <c r="M1917" s="75"/>
      <c r="N1917" s="70"/>
      <c r="O1917" s="77" t="s">
        <v>179</v>
      </c>
      <c r="P1917" s="79">
        <v>45187.74324074074</v>
      </c>
      <c r="Q1917" s="77" t="s">
        <v>2599</v>
      </c>
      <c r="R1917" s="77">
        <v>1</v>
      </c>
      <c r="S1917" s="77">
        <v>1</v>
      </c>
      <c r="T1917" s="77">
        <v>1</v>
      </c>
      <c r="U1917" s="77">
        <v>0</v>
      </c>
      <c r="V1917" s="77">
        <v>40</v>
      </c>
      <c r="W1917" s="82" t="s">
        <v>5831</v>
      </c>
      <c r="X1917" s="80" t="str">
        <f>HYPERLINK("https://javiermliron.blogspot.com/2023/09/sociedades-mercantiles-en-castilla-y.html")</f>
        <v>https://javiermliron.blogspot.com/2023/09/sociedades-mercantiles-en-castilla-y.html</v>
      </c>
      <c r="Y1917" s="77" t="s">
        <v>6532</v>
      </c>
      <c r="Z1917" s="77"/>
      <c r="AA1917" s="77" t="s">
        <v>7551</v>
      </c>
      <c r="AB1917" s="77" t="s">
        <v>7742</v>
      </c>
      <c r="AC1917" s="82" t="s">
        <v>7750</v>
      </c>
      <c r="AD1917" s="77" t="s">
        <v>7790</v>
      </c>
      <c r="AE1917" s="80" t="str">
        <f>HYPERLINK("https://twitter.com/jmendezliron/status/1703828799735971978")</f>
        <v>https://twitter.com/jmendezliron/status/1703828799735971978</v>
      </c>
      <c r="AF1917" s="79">
        <v>45187.74324074074</v>
      </c>
      <c r="AG1917" s="85">
        <v>45187</v>
      </c>
      <c r="AH1917" s="82" t="s">
        <v>9417</v>
      </c>
      <c r="AI1917" s="77" t="b">
        <v>0</v>
      </c>
      <c r="AJ1917" s="77"/>
      <c r="AK1917" s="77"/>
      <c r="AL1917" s="77"/>
      <c r="AM1917" s="77"/>
      <c r="AN1917" s="77"/>
      <c r="AO1917" s="77"/>
      <c r="AP1917" s="77"/>
      <c r="AQ1917" s="77" t="s">
        <v>11523</v>
      </c>
      <c r="AR1917" s="77"/>
      <c r="AS1917" s="77"/>
      <c r="AT1917" s="77"/>
      <c r="AU1917" s="77"/>
      <c r="AV1917" s="80" t="str">
        <f>HYPERLINK("https://pbs.twimg.com/media/F6U3QImXMAA0EAr.png")</f>
        <v>https://pbs.twimg.com/media/F6U3QImXMAA0EAr.png</v>
      </c>
      <c r="AW1917" s="82" t="s">
        <v>13513</v>
      </c>
      <c r="AX1917" s="82" t="s">
        <v>13513</v>
      </c>
      <c r="AY1917" s="77"/>
      <c r="AZ1917" s="82" t="s">
        <v>15984</v>
      </c>
      <c r="BA1917" s="82" t="s">
        <v>15984</v>
      </c>
      <c r="BB1917" s="82" t="s">
        <v>15984</v>
      </c>
      <c r="BC1917" s="82" t="s">
        <v>13513</v>
      </c>
      <c r="BD1917" s="77">
        <v>748960584</v>
      </c>
      <c r="BE1917" s="77"/>
      <c r="BF1917" s="77"/>
      <c r="BG1917" s="77"/>
      <c r="BH1917" s="77"/>
      <c r="BI1917" s="77"/>
    </row>
    <row r="1918" spans="1:61" x14ac:dyDescent="0.25">
      <c r="A1918" s="62" t="s">
        <v>697</v>
      </c>
      <c r="B1918" s="62" t="s">
        <v>697</v>
      </c>
      <c r="C1918" s="63"/>
      <c r="D1918" s="64"/>
      <c r="E1918" s="65"/>
      <c r="F1918" s="66"/>
      <c r="G1918" s="63"/>
      <c r="H1918" s="67"/>
      <c r="I1918" s="68"/>
      <c r="J1918" s="68"/>
      <c r="K1918" s="32"/>
      <c r="L1918" s="75">
        <v>1918</v>
      </c>
      <c r="M1918" s="75"/>
      <c r="N1918" s="70"/>
      <c r="O1918" s="77" t="s">
        <v>897</v>
      </c>
      <c r="P1918" s="79">
        <v>45188.244074074071</v>
      </c>
      <c r="Q1918" s="77" t="s">
        <v>2600</v>
      </c>
      <c r="R1918" s="77">
        <v>1</v>
      </c>
      <c r="S1918" s="77">
        <v>0</v>
      </c>
      <c r="T1918" s="77">
        <v>0</v>
      </c>
      <c r="U1918" s="77">
        <v>0</v>
      </c>
      <c r="V1918" s="77"/>
      <c r="W1918" s="82" t="s">
        <v>5832</v>
      </c>
      <c r="X1918" s="77"/>
      <c r="Y1918" s="77"/>
      <c r="Z1918" s="77" t="s">
        <v>697</v>
      </c>
      <c r="AA1918" s="77"/>
      <c r="AB1918" s="77"/>
      <c r="AC1918" s="82" t="s">
        <v>7750</v>
      </c>
      <c r="AD1918" s="77" t="s">
        <v>7790</v>
      </c>
      <c r="AE1918" s="80" t="str">
        <f>HYPERLINK("https://twitter.com/jmendezliron/status/1704010296530964839")</f>
        <v>https://twitter.com/jmendezliron/status/1704010296530964839</v>
      </c>
      <c r="AF1918" s="79">
        <v>45188.244074074071</v>
      </c>
      <c r="AG1918" s="85">
        <v>45188</v>
      </c>
      <c r="AH1918" s="82" t="s">
        <v>9418</v>
      </c>
      <c r="AI1918" s="77"/>
      <c r="AJ1918" s="77"/>
      <c r="AK1918" s="77"/>
      <c r="AL1918" s="77"/>
      <c r="AM1918" s="77"/>
      <c r="AN1918" s="77"/>
      <c r="AO1918" s="77"/>
      <c r="AP1918" s="77"/>
      <c r="AQ1918" s="77"/>
      <c r="AR1918" s="77"/>
      <c r="AS1918" s="77"/>
      <c r="AT1918" s="77"/>
      <c r="AU1918" s="77"/>
      <c r="AV1918" s="80" t="str">
        <f>HYPERLINK("https://pbs.twimg.com/profile_images/612292231358246912/gMKxM5xX_normal.jpg")</f>
        <v>https://pbs.twimg.com/profile_images/612292231358246912/gMKxM5xX_normal.jpg</v>
      </c>
      <c r="AW1918" s="82" t="s">
        <v>13514</v>
      </c>
      <c r="AX1918" s="82" t="s">
        <v>13514</v>
      </c>
      <c r="AY1918" s="77"/>
      <c r="AZ1918" s="82" t="s">
        <v>15984</v>
      </c>
      <c r="BA1918" s="82" t="s">
        <v>15984</v>
      </c>
      <c r="BB1918" s="82" t="s">
        <v>13513</v>
      </c>
      <c r="BC1918" s="82" t="s">
        <v>13513</v>
      </c>
      <c r="BD1918" s="77">
        <v>748960584</v>
      </c>
      <c r="BE1918" s="77"/>
      <c r="BF1918" s="77"/>
      <c r="BG1918" s="77"/>
      <c r="BH1918" s="77"/>
      <c r="BI1918" s="77"/>
    </row>
    <row r="1919" spans="1:61" x14ac:dyDescent="0.25">
      <c r="A1919" s="62" t="s">
        <v>697</v>
      </c>
      <c r="B1919" s="62" t="s">
        <v>697</v>
      </c>
      <c r="C1919" s="63"/>
      <c r="D1919" s="64"/>
      <c r="E1919" s="65"/>
      <c r="F1919" s="66"/>
      <c r="G1919" s="63"/>
      <c r="H1919" s="67"/>
      <c r="I1919" s="68"/>
      <c r="J1919" s="68"/>
      <c r="K1919" s="32"/>
      <c r="L1919" s="75">
        <v>1919</v>
      </c>
      <c r="M1919" s="75"/>
      <c r="N1919" s="70"/>
      <c r="O1919" s="77" t="s">
        <v>898</v>
      </c>
      <c r="P1919" s="79">
        <v>45187.74324074074</v>
      </c>
      <c r="Q1919" s="77" t="s">
        <v>2601</v>
      </c>
      <c r="R1919" s="77">
        <v>1</v>
      </c>
      <c r="S1919" s="77">
        <v>1</v>
      </c>
      <c r="T1919" s="77">
        <v>0</v>
      </c>
      <c r="U1919" s="77">
        <v>0</v>
      </c>
      <c r="V1919" s="77">
        <v>37</v>
      </c>
      <c r="W1919" s="82" t="s">
        <v>5833</v>
      </c>
      <c r="X1919" s="80" t="str">
        <f>HYPERLINK("https://javiermliron.blogspot.com/2023/09/sociedades-mercantiles-en-castilla-y.html")</f>
        <v>https://javiermliron.blogspot.com/2023/09/sociedades-mercantiles-en-castilla-y.html</v>
      </c>
      <c r="Y1919" s="77" t="s">
        <v>6532</v>
      </c>
      <c r="Z1919" s="77"/>
      <c r="AA1919" s="77"/>
      <c r="AB1919" s="77"/>
      <c r="AC1919" s="82" t="s">
        <v>7750</v>
      </c>
      <c r="AD1919" s="77" t="s">
        <v>7790</v>
      </c>
      <c r="AE1919" s="80" t="str">
        <f>HYPERLINK("https://twitter.com/jmendezliron/status/1703828801908543511")</f>
        <v>https://twitter.com/jmendezliron/status/1703828801908543511</v>
      </c>
      <c r="AF1919" s="79">
        <v>45187.74324074074</v>
      </c>
      <c r="AG1919" s="85">
        <v>45187</v>
      </c>
      <c r="AH1919" s="82" t="s">
        <v>9417</v>
      </c>
      <c r="AI1919" s="77" t="b">
        <v>0</v>
      </c>
      <c r="AJ1919" s="77"/>
      <c r="AK1919" s="77"/>
      <c r="AL1919" s="77"/>
      <c r="AM1919" s="77"/>
      <c r="AN1919" s="77"/>
      <c r="AO1919" s="77"/>
      <c r="AP1919" s="77"/>
      <c r="AQ1919" s="77"/>
      <c r="AR1919" s="77"/>
      <c r="AS1919" s="77"/>
      <c r="AT1919" s="77"/>
      <c r="AU1919" s="77"/>
      <c r="AV1919" s="80" t="str">
        <f>HYPERLINK("https://pbs.twimg.com/profile_images/612292231358246912/gMKxM5xX_normal.jpg")</f>
        <v>https://pbs.twimg.com/profile_images/612292231358246912/gMKxM5xX_normal.jpg</v>
      </c>
      <c r="AW1919" s="82" t="s">
        <v>13515</v>
      </c>
      <c r="AX1919" s="82" t="s">
        <v>13513</v>
      </c>
      <c r="AY1919" s="82" t="s">
        <v>15975</v>
      </c>
      <c r="AZ1919" s="82" t="s">
        <v>13513</v>
      </c>
      <c r="BA1919" s="82" t="s">
        <v>15984</v>
      </c>
      <c r="BB1919" s="82" t="s">
        <v>15984</v>
      </c>
      <c r="BC1919" s="82" t="s">
        <v>13513</v>
      </c>
      <c r="BD1919" s="77">
        <v>748960584</v>
      </c>
      <c r="BE1919" s="77"/>
      <c r="BF1919" s="77"/>
      <c r="BG1919" s="77"/>
      <c r="BH1919" s="77"/>
      <c r="BI1919" s="77"/>
    </row>
    <row r="1920" spans="1:61" x14ac:dyDescent="0.25">
      <c r="A1920" s="62" t="s">
        <v>697</v>
      </c>
      <c r="B1920" s="62" t="s">
        <v>697</v>
      </c>
      <c r="C1920" s="63"/>
      <c r="D1920" s="64"/>
      <c r="E1920" s="65"/>
      <c r="F1920" s="66"/>
      <c r="G1920" s="63"/>
      <c r="H1920" s="67"/>
      <c r="I1920" s="68"/>
      <c r="J1920" s="68"/>
      <c r="K1920" s="32"/>
      <c r="L1920" s="75">
        <v>1920</v>
      </c>
      <c r="M1920" s="75"/>
      <c r="N1920" s="70"/>
      <c r="O1920" s="77" t="s">
        <v>897</v>
      </c>
      <c r="P1920" s="79">
        <v>45188.244027777779</v>
      </c>
      <c r="Q1920" s="77" t="s">
        <v>2602</v>
      </c>
      <c r="R1920" s="77">
        <v>1</v>
      </c>
      <c r="S1920" s="77">
        <v>0</v>
      </c>
      <c r="T1920" s="77">
        <v>0</v>
      </c>
      <c r="U1920" s="77">
        <v>0</v>
      </c>
      <c r="V1920" s="77"/>
      <c r="W1920" s="82" t="s">
        <v>5822</v>
      </c>
      <c r="X1920" s="80" t="str">
        <f>HYPERLINK("https://javiermliron.blogspot.com/2023/09/sociedades-mercantiles-en-castilla-y.html")</f>
        <v>https://javiermliron.blogspot.com/2023/09/sociedades-mercantiles-en-castilla-y.html</v>
      </c>
      <c r="Y1920" s="77" t="s">
        <v>6532</v>
      </c>
      <c r="Z1920" s="77" t="s">
        <v>697</v>
      </c>
      <c r="AA1920" s="77"/>
      <c r="AB1920" s="77"/>
      <c r="AC1920" s="82" t="s">
        <v>7750</v>
      </c>
      <c r="AD1920" s="77" t="s">
        <v>7790</v>
      </c>
      <c r="AE1920" s="80" t="str">
        <f>HYPERLINK("https://twitter.com/jmendezliron/status/1704010280034869499")</f>
        <v>https://twitter.com/jmendezliron/status/1704010280034869499</v>
      </c>
      <c r="AF1920" s="79">
        <v>45188.244027777779</v>
      </c>
      <c r="AG1920" s="85">
        <v>45188</v>
      </c>
      <c r="AH1920" s="82" t="s">
        <v>9419</v>
      </c>
      <c r="AI1920" s="77" t="b">
        <v>0</v>
      </c>
      <c r="AJ1920" s="77"/>
      <c r="AK1920" s="77"/>
      <c r="AL1920" s="77"/>
      <c r="AM1920" s="77"/>
      <c r="AN1920" s="77"/>
      <c r="AO1920" s="77"/>
      <c r="AP1920" s="77"/>
      <c r="AQ1920" s="77"/>
      <c r="AR1920" s="77"/>
      <c r="AS1920" s="77"/>
      <c r="AT1920" s="77"/>
      <c r="AU1920" s="77"/>
      <c r="AV1920" s="80" t="str">
        <f>HYPERLINK("https://pbs.twimg.com/profile_images/612292231358246912/gMKxM5xX_normal.jpg")</f>
        <v>https://pbs.twimg.com/profile_images/612292231358246912/gMKxM5xX_normal.jpg</v>
      </c>
      <c r="AW1920" s="82" t="s">
        <v>13516</v>
      </c>
      <c r="AX1920" s="82" t="s">
        <v>13516</v>
      </c>
      <c r="AY1920" s="77"/>
      <c r="AZ1920" s="82" t="s">
        <v>15984</v>
      </c>
      <c r="BA1920" s="82" t="s">
        <v>15984</v>
      </c>
      <c r="BB1920" s="82" t="s">
        <v>13515</v>
      </c>
      <c r="BC1920" s="82" t="s">
        <v>13515</v>
      </c>
      <c r="BD1920" s="77">
        <v>748960584</v>
      </c>
      <c r="BE1920" s="77"/>
      <c r="BF1920" s="77"/>
      <c r="BG1920" s="77"/>
      <c r="BH1920" s="77"/>
      <c r="BI1920" s="77"/>
    </row>
    <row r="1921" spans="1:61" x14ac:dyDescent="0.25">
      <c r="A1921" s="62" t="s">
        <v>697</v>
      </c>
      <c r="B1921" s="62" t="s">
        <v>697</v>
      </c>
      <c r="C1921" s="63"/>
      <c r="D1921" s="64"/>
      <c r="E1921" s="65"/>
      <c r="F1921" s="66"/>
      <c r="G1921" s="63"/>
      <c r="H1921" s="67"/>
      <c r="I1921" s="68"/>
      <c r="J1921" s="68"/>
      <c r="K1921" s="32"/>
      <c r="L1921" s="75">
        <v>1921</v>
      </c>
      <c r="M1921" s="75"/>
      <c r="N1921" s="70"/>
      <c r="O1921" s="77" t="s">
        <v>179</v>
      </c>
      <c r="P1921" s="79">
        <v>45139.748749999999</v>
      </c>
      <c r="Q1921" s="77" t="s">
        <v>2603</v>
      </c>
      <c r="R1921" s="77">
        <v>1</v>
      </c>
      <c r="S1921" s="77">
        <v>1</v>
      </c>
      <c r="T1921" s="77">
        <v>0</v>
      </c>
      <c r="U1921" s="77">
        <v>0</v>
      </c>
      <c r="V1921" s="77">
        <v>89</v>
      </c>
      <c r="W1921" s="82" t="s">
        <v>5834</v>
      </c>
      <c r="X1921" s="80" t="str">
        <f>HYPERLINK("https://javiermliron.blogspot.com/2023/08/epa-tasa-de-paro-segundo-trimestre-2023.html")</f>
        <v>https://javiermliron.blogspot.com/2023/08/epa-tasa-de-paro-segundo-trimestre-2023.html</v>
      </c>
      <c r="Y1921" s="77" t="s">
        <v>6532</v>
      </c>
      <c r="Z1921" s="77"/>
      <c r="AA1921" s="77" t="s">
        <v>7552</v>
      </c>
      <c r="AB1921" s="77" t="s">
        <v>7742</v>
      </c>
      <c r="AC1921" s="82" t="s">
        <v>7750</v>
      </c>
      <c r="AD1921" s="77" t="s">
        <v>7790</v>
      </c>
      <c r="AE1921" s="80" t="str">
        <f>HYPERLINK("https://twitter.com/jmendezliron/status/1686436180722667526")</f>
        <v>https://twitter.com/jmendezliron/status/1686436180722667526</v>
      </c>
      <c r="AF1921" s="79">
        <v>45139.748749999999</v>
      </c>
      <c r="AG1921" s="85">
        <v>45139</v>
      </c>
      <c r="AH1921" s="82" t="s">
        <v>9420</v>
      </c>
      <c r="AI1921" s="77" t="b">
        <v>0</v>
      </c>
      <c r="AJ1921" s="77"/>
      <c r="AK1921" s="77"/>
      <c r="AL1921" s="77"/>
      <c r="AM1921" s="77"/>
      <c r="AN1921" s="77"/>
      <c r="AO1921" s="77"/>
      <c r="AP1921" s="77"/>
      <c r="AQ1921" s="77" t="s">
        <v>11524</v>
      </c>
      <c r="AR1921" s="77"/>
      <c r="AS1921" s="77"/>
      <c r="AT1921" s="77"/>
      <c r="AU1921" s="77"/>
      <c r="AV1921" s="80" t="str">
        <f>HYPERLINK("https://pbs.twimg.com/media/F2dswsIXUAEKRAH.png")</f>
        <v>https://pbs.twimg.com/media/F2dswsIXUAEKRAH.png</v>
      </c>
      <c r="AW1921" s="82" t="s">
        <v>13517</v>
      </c>
      <c r="AX1921" s="82" t="s">
        <v>13517</v>
      </c>
      <c r="AY1921" s="77"/>
      <c r="AZ1921" s="82" t="s">
        <v>15984</v>
      </c>
      <c r="BA1921" s="82" t="s">
        <v>15984</v>
      </c>
      <c r="BB1921" s="82" t="s">
        <v>15984</v>
      </c>
      <c r="BC1921" s="82" t="s">
        <v>13517</v>
      </c>
      <c r="BD1921" s="77">
        <v>748960584</v>
      </c>
      <c r="BE1921" s="77"/>
      <c r="BF1921" s="77"/>
      <c r="BG1921" s="77"/>
      <c r="BH1921" s="77"/>
      <c r="BI1921" s="77"/>
    </row>
    <row r="1922" spans="1:61" x14ac:dyDescent="0.25">
      <c r="A1922" s="62" t="s">
        <v>697</v>
      </c>
      <c r="B1922" s="62" t="s">
        <v>697</v>
      </c>
      <c r="C1922" s="63"/>
      <c r="D1922" s="64"/>
      <c r="E1922" s="65"/>
      <c r="F1922" s="66"/>
      <c r="G1922" s="63"/>
      <c r="H1922" s="67"/>
      <c r="I1922" s="68"/>
      <c r="J1922" s="68"/>
      <c r="K1922" s="32"/>
      <c r="L1922" s="75">
        <v>1922</v>
      </c>
      <c r="M1922" s="75"/>
      <c r="N1922" s="70"/>
      <c r="O1922" s="77" t="s">
        <v>179</v>
      </c>
      <c r="P1922" s="79">
        <v>45139.263912037037</v>
      </c>
      <c r="Q1922" s="77" t="s">
        <v>2604</v>
      </c>
      <c r="R1922" s="77">
        <v>1</v>
      </c>
      <c r="S1922" s="77">
        <v>1</v>
      </c>
      <c r="T1922" s="77">
        <v>0</v>
      </c>
      <c r="U1922" s="77">
        <v>0</v>
      </c>
      <c r="V1922" s="77">
        <v>87</v>
      </c>
      <c r="W1922" s="82" t="s">
        <v>5835</v>
      </c>
      <c r="X1922" s="80" t="str">
        <f>HYPERLINK("https://javiermliron.blogspot.com/2023/08/epa-tasa-de-paro-segundo-trimestre-2023.html")</f>
        <v>https://javiermliron.blogspot.com/2023/08/epa-tasa-de-paro-segundo-trimestre-2023.html</v>
      </c>
      <c r="Y1922" s="77" t="s">
        <v>6532</v>
      </c>
      <c r="Z1922" s="77"/>
      <c r="AA1922" s="77" t="s">
        <v>7553</v>
      </c>
      <c r="AB1922" s="77" t="s">
        <v>7742</v>
      </c>
      <c r="AC1922" s="82" t="s">
        <v>7750</v>
      </c>
      <c r="AD1922" s="77" t="s">
        <v>7790</v>
      </c>
      <c r="AE1922" s="80" t="str">
        <f>HYPERLINK("https://twitter.com/jmendezliron/status/1686260481646813184")</f>
        <v>https://twitter.com/jmendezliron/status/1686260481646813184</v>
      </c>
      <c r="AF1922" s="79">
        <v>45139.263912037037</v>
      </c>
      <c r="AG1922" s="85">
        <v>45139</v>
      </c>
      <c r="AH1922" s="82" t="s">
        <v>9421</v>
      </c>
      <c r="AI1922" s="77" t="b">
        <v>0</v>
      </c>
      <c r="AJ1922" s="77"/>
      <c r="AK1922" s="77"/>
      <c r="AL1922" s="77"/>
      <c r="AM1922" s="77"/>
      <c r="AN1922" s="77"/>
      <c r="AO1922" s="77"/>
      <c r="AP1922" s="77"/>
      <c r="AQ1922" s="77" t="s">
        <v>11525</v>
      </c>
      <c r="AR1922" s="77"/>
      <c r="AS1922" s="77"/>
      <c r="AT1922" s="77"/>
      <c r="AU1922" s="77"/>
      <c r="AV1922" s="80" t="str">
        <f>HYPERLINK("https://pbs.twimg.com/media/F2bM998WUAElSmS.png")</f>
        <v>https://pbs.twimg.com/media/F2bM998WUAElSmS.png</v>
      </c>
      <c r="AW1922" s="82" t="s">
        <v>13518</v>
      </c>
      <c r="AX1922" s="82" t="s">
        <v>13518</v>
      </c>
      <c r="AY1922" s="77"/>
      <c r="AZ1922" s="82" t="s">
        <v>15984</v>
      </c>
      <c r="BA1922" s="82" t="s">
        <v>15984</v>
      </c>
      <c r="BB1922" s="82" t="s">
        <v>15984</v>
      </c>
      <c r="BC1922" s="82" t="s">
        <v>13518</v>
      </c>
      <c r="BD1922" s="77">
        <v>748960584</v>
      </c>
      <c r="BE1922" s="77"/>
      <c r="BF1922" s="77"/>
      <c r="BG1922" s="77"/>
      <c r="BH1922" s="77"/>
      <c r="BI1922" s="77"/>
    </row>
    <row r="1923" spans="1:61" x14ac:dyDescent="0.25">
      <c r="A1923" s="62" t="s">
        <v>697</v>
      </c>
      <c r="B1923" s="62" t="s">
        <v>697</v>
      </c>
      <c r="C1923" s="63"/>
      <c r="D1923" s="64"/>
      <c r="E1923" s="65"/>
      <c r="F1923" s="66"/>
      <c r="G1923" s="63"/>
      <c r="H1923" s="67"/>
      <c r="I1923" s="68"/>
      <c r="J1923" s="68"/>
      <c r="K1923" s="32"/>
      <c r="L1923" s="75">
        <v>1923</v>
      </c>
      <c r="M1923" s="75"/>
      <c r="N1923" s="70"/>
      <c r="O1923" s="77" t="s">
        <v>179</v>
      </c>
      <c r="P1923" s="79">
        <v>45139.261261574073</v>
      </c>
      <c r="Q1923" s="77" t="s">
        <v>2605</v>
      </c>
      <c r="R1923" s="77">
        <v>1</v>
      </c>
      <c r="S1923" s="77">
        <v>1</v>
      </c>
      <c r="T1923" s="77">
        <v>0</v>
      </c>
      <c r="U1923" s="77">
        <v>0</v>
      </c>
      <c r="V1923" s="77">
        <v>80</v>
      </c>
      <c r="W1923" s="82" t="s">
        <v>5794</v>
      </c>
      <c r="X1923" s="80" t="str">
        <f>HYPERLINK("https://javiermliron.blogspot.com/2023/07/hipotecas-en-espana-mayo-2023.html")</f>
        <v>https://javiermliron.blogspot.com/2023/07/hipotecas-en-espana-mayo-2023.html</v>
      </c>
      <c r="Y1923" s="77" t="s">
        <v>6532</v>
      </c>
      <c r="Z1923" s="77"/>
      <c r="AA1923" s="77" t="s">
        <v>7554</v>
      </c>
      <c r="AB1923" s="77" t="s">
        <v>7742</v>
      </c>
      <c r="AC1923" s="82" t="s">
        <v>7750</v>
      </c>
      <c r="AD1923" s="77" t="s">
        <v>7790</v>
      </c>
      <c r="AE1923" s="80" t="str">
        <f>HYPERLINK("https://twitter.com/jmendezliron/status/1686259519821643776")</f>
        <v>https://twitter.com/jmendezliron/status/1686259519821643776</v>
      </c>
      <c r="AF1923" s="79">
        <v>45139.261261574073</v>
      </c>
      <c r="AG1923" s="85">
        <v>45139</v>
      </c>
      <c r="AH1923" s="82" t="s">
        <v>9422</v>
      </c>
      <c r="AI1923" s="77" t="b">
        <v>0</v>
      </c>
      <c r="AJ1923" s="77"/>
      <c r="AK1923" s="77"/>
      <c r="AL1923" s="77"/>
      <c r="AM1923" s="77"/>
      <c r="AN1923" s="77"/>
      <c r="AO1923" s="77"/>
      <c r="AP1923" s="77"/>
      <c r="AQ1923" s="77" t="s">
        <v>11526</v>
      </c>
      <c r="AR1923" s="77"/>
      <c r="AS1923" s="77"/>
      <c r="AT1923" s="77"/>
      <c r="AU1923" s="77"/>
      <c r="AV1923" s="80" t="str">
        <f>HYPERLINK("https://pbs.twimg.com/media/F2bMGC7WUAIo49R.jpg")</f>
        <v>https://pbs.twimg.com/media/F2bMGC7WUAIo49R.jpg</v>
      </c>
      <c r="AW1923" s="82" t="s">
        <v>13519</v>
      </c>
      <c r="AX1923" s="82" t="s">
        <v>13519</v>
      </c>
      <c r="AY1923" s="77"/>
      <c r="AZ1923" s="82" t="s">
        <v>15984</v>
      </c>
      <c r="BA1923" s="82" t="s">
        <v>15984</v>
      </c>
      <c r="BB1923" s="82" t="s">
        <v>15984</v>
      </c>
      <c r="BC1923" s="82" t="s">
        <v>13519</v>
      </c>
      <c r="BD1923" s="77">
        <v>748960584</v>
      </c>
      <c r="BE1923" s="77"/>
      <c r="BF1923" s="77"/>
      <c r="BG1923" s="77"/>
      <c r="BH1923" s="77"/>
      <c r="BI1923" s="77"/>
    </row>
    <row r="1924" spans="1:61" x14ac:dyDescent="0.25">
      <c r="A1924" s="62" t="s">
        <v>697</v>
      </c>
      <c r="B1924" s="62" t="s">
        <v>697</v>
      </c>
      <c r="C1924" s="63"/>
      <c r="D1924" s="64"/>
      <c r="E1924" s="65"/>
      <c r="F1924" s="66"/>
      <c r="G1924" s="63"/>
      <c r="H1924" s="67"/>
      <c r="I1924" s="68"/>
      <c r="J1924" s="68"/>
      <c r="K1924" s="32"/>
      <c r="L1924" s="75">
        <v>1924</v>
      </c>
      <c r="M1924" s="75"/>
      <c r="N1924" s="70"/>
      <c r="O1924" s="77" t="s">
        <v>897</v>
      </c>
      <c r="P1924" s="79">
        <v>45195.684490740743</v>
      </c>
      <c r="Q1924" s="77" t="s">
        <v>2606</v>
      </c>
      <c r="R1924" s="77">
        <v>1</v>
      </c>
      <c r="S1924" s="77">
        <v>0</v>
      </c>
      <c r="T1924" s="77">
        <v>0</v>
      </c>
      <c r="U1924" s="77">
        <v>0</v>
      </c>
      <c r="V1924" s="77"/>
      <c r="W1924" s="82" t="s">
        <v>5836</v>
      </c>
      <c r="X1924" s="77"/>
      <c r="Y1924" s="77"/>
      <c r="Z1924" s="77" t="s">
        <v>697</v>
      </c>
      <c r="AA1924" s="77"/>
      <c r="AB1924" s="77"/>
      <c r="AC1924" s="82" t="s">
        <v>7750</v>
      </c>
      <c r="AD1924" s="77" t="s">
        <v>7790</v>
      </c>
      <c r="AE1924" s="80" t="str">
        <f>HYPERLINK("https://twitter.com/jmendezliron/status/1706706613808013530")</f>
        <v>https://twitter.com/jmendezliron/status/1706706613808013530</v>
      </c>
      <c r="AF1924" s="79">
        <v>45195.684490740743</v>
      </c>
      <c r="AG1924" s="85">
        <v>45195</v>
      </c>
      <c r="AH1924" s="82" t="s">
        <v>9423</v>
      </c>
      <c r="AI1924" s="77"/>
      <c r="AJ1924" s="77"/>
      <c r="AK1924" s="77"/>
      <c r="AL1924" s="77"/>
      <c r="AM1924" s="77"/>
      <c r="AN1924" s="77"/>
      <c r="AO1924" s="77"/>
      <c r="AP1924" s="77"/>
      <c r="AQ1924" s="77"/>
      <c r="AR1924" s="77"/>
      <c r="AS1924" s="77"/>
      <c r="AT1924" s="77"/>
      <c r="AU1924" s="77"/>
      <c r="AV1924" s="80" t="str">
        <f>HYPERLINK("https://pbs.twimg.com/profile_images/612292231358246912/gMKxM5xX_normal.jpg")</f>
        <v>https://pbs.twimg.com/profile_images/612292231358246912/gMKxM5xX_normal.jpg</v>
      </c>
      <c r="AW1924" s="82" t="s">
        <v>13520</v>
      </c>
      <c r="AX1924" s="82" t="s">
        <v>13520</v>
      </c>
      <c r="AY1924" s="77"/>
      <c r="AZ1924" s="82" t="s">
        <v>15984</v>
      </c>
      <c r="BA1924" s="82" t="s">
        <v>15984</v>
      </c>
      <c r="BB1924" s="82" t="s">
        <v>13540</v>
      </c>
      <c r="BC1924" s="82" t="s">
        <v>13540</v>
      </c>
      <c r="BD1924" s="77">
        <v>748960584</v>
      </c>
      <c r="BE1924" s="77"/>
      <c r="BF1924" s="77"/>
      <c r="BG1924" s="77"/>
      <c r="BH1924" s="77"/>
      <c r="BI1924" s="77"/>
    </row>
    <row r="1925" spans="1:61" x14ac:dyDescent="0.25">
      <c r="A1925" s="62" t="s">
        <v>697</v>
      </c>
      <c r="B1925" s="62" t="s">
        <v>697</v>
      </c>
      <c r="C1925" s="63"/>
      <c r="D1925" s="64"/>
      <c r="E1925" s="65"/>
      <c r="F1925" s="66"/>
      <c r="G1925" s="63"/>
      <c r="H1925" s="67"/>
      <c r="I1925" s="68"/>
      <c r="J1925" s="68"/>
      <c r="K1925" s="32"/>
      <c r="L1925" s="75">
        <v>1925</v>
      </c>
      <c r="M1925" s="75"/>
      <c r="N1925" s="70"/>
      <c r="O1925" s="77" t="s">
        <v>179</v>
      </c>
      <c r="P1925" s="79">
        <v>45174.269803240742</v>
      </c>
      <c r="Q1925" s="77" t="s">
        <v>2607</v>
      </c>
      <c r="R1925" s="77">
        <v>1</v>
      </c>
      <c r="S1925" s="77">
        <v>1</v>
      </c>
      <c r="T1925" s="77">
        <v>0</v>
      </c>
      <c r="U1925" s="77">
        <v>0</v>
      </c>
      <c r="V1925" s="77">
        <v>64</v>
      </c>
      <c r="W1925" s="82" t="s">
        <v>5837</v>
      </c>
      <c r="X1925" s="80" t="str">
        <f>HYPERLINK("https://javiermliron.blogspot.com/2023/09/paro-registrado-en-espana-agosto-2023.html")</f>
        <v>https://javiermliron.blogspot.com/2023/09/paro-registrado-en-espana-agosto-2023.html</v>
      </c>
      <c r="Y1925" s="77" t="s">
        <v>6532</v>
      </c>
      <c r="Z1925" s="77"/>
      <c r="AA1925" s="77" t="s">
        <v>7555</v>
      </c>
      <c r="AB1925" s="77" t="s">
        <v>7742</v>
      </c>
      <c r="AC1925" s="82" t="s">
        <v>7750</v>
      </c>
      <c r="AD1925" s="77" t="s">
        <v>7790</v>
      </c>
      <c r="AE1925" s="80" t="str">
        <f>HYPERLINK("https://twitter.com/jmendezliron/status/1698946190082011300")</f>
        <v>https://twitter.com/jmendezliron/status/1698946190082011300</v>
      </c>
      <c r="AF1925" s="79">
        <v>45174.269803240742</v>
      </c>
      <c r="AG1925" s="85">
        <v>45174</v>
      </c>
      <c r="AH1925" s="82" t="s">
        <v>9424</v>
      </c>
      <c r="AI1925" s="77" t="b">
        <v>0</v>
      </c>
      <c r="AJ1925" s="77"/>
      <c r="AK1925" s="77"/>
      <c r="AL1925" s="77"/>
      <c r="AM1925" s="77"/>
      <c r="AN1925" s="77"/>
      <c r="AO1925" s="77"/>
      <c r="AP1925" s="77"/>
      <c r="AQ1925" s="77" t="s">
        <v>11527</v>
      </c>
      <c r="AR1925" s="77"/>
      <c r="AS1925" s="77"/>
      <c r="AT1925" s="77"/>
      <c r="AU1925" s="77"/>
      <c r="AV1925" s="80" t="str">
        <f>HYPERLINK("https://pbs.twimg.com/media/F5PejUBWUAAZMDt.png")</f>
        <v>https://pbs.twimg.com/media/F5PejUBWUAAZMDt.png</v>
      </c>
      <c r="AW1925" s="82" t="s">
        <v>13521</v>
      </c>
      <c r="AX1925" s="82" t="s">
        <v>13521</v>
      </c>
      <c r="AY1925" s="77"/>
      <c r="AZ1925" s="82" t="s">
        <v>15984</v>
      </c>
      <c r="BA1925" s="82" t="s">
        <v>15984</v>
      </c>
      <c r="BB1925" s="82" t="s">
        <v>15984</v>
      </c>
      <c r="BC1925" s="82" t="s">
        <v>13521</v>
      </c>
      <c r="BD1925" s="77">
        <v>748960584</v>
      </c>
      <c r="BE1925" s="77"/>
      <c r="BF1925" s="77"/>
      <c r="BG1925" s="77"/>
      <c r="BH1925" s="77"/>
      <c r="BI1925" s="77"/>
    </row>
    <row r="1926" spans="1:61" x14ac:dyDescent="0.25">
      <c r="A1926" s="62" t="s">
        <v>697</v>
      </c>
      <c r="B1926" s="62" t="s">
        <v>697</v>
      </c>
      <c r="C1926" s="63"/>
      <c r="D1926" s="64"/>
      <c r="E1926" s="65"/>
      <c r="F1926" s="66"/>
      <c r="G1926" s="63"/>
      <c r="H1926" s="67"/>
      <c r="I1926" s="68"/>
      <c r="J1926" s="68"/>
      <c r="K1926" s="32"/>
      <c r="L1926" s="75">
        <v>1926</v>
      </c>
      <c r="M1926" s="75"/>
      <c r="N1926" s="70"/>
      <c r="O1926" s="77" t="s">
        <v>179</v>
      </c>
      <c r="P1926" s="79">
        <v>45163.485925925925</v>
      </c>
      <c r="Q1926" s="77" t="s">
        <v>2608</v>
      </c>
      <c r="R1926" s="77">
        <v>1</v>
      </c>
      <c r="S1926" s="77">
        <v>1</v>
      </c>
      <c r="T1926" s="77">
        <v>0</v>
      </c>
      <c r="U1926" s="77">
        <v>0</v>
      </c>
      <c r="V1926" s="77">
        <v>130</v>
      </c>
      <c r="W1926" s="82" t="s">
        <v>5785</v>
      </c>
      <c r="X1926" s="80" t="str">
        <f>HYPERLINK("https://javiermliron.blogspot.com/2023/08/exportaciones-de-andalucia-de-junio-2023.html")</f>
        <v>https://javiermliron.blogspot.com/2023/08/exportaciones-de-andalucia-de-junio-2023.html</v>
      </c>
      <c r="Y1926" s="77" t="s">
        <v>6532</v>
      </c>
      <c r="Z1926" s="77"/>
      <c r="AA1926" s="77" t="s">
        <v>7556</v>
      </c>
      <c r="AB1926" s="77" t="s">
        <v>7742</v>
      </c>
      <c r="AC1926" s="82" t="s">
        <v>7750</v>
      </c>
      <c r="AD1926" s="77" t="s">
        <v>7790</v>
      </c>
      <c r="AE1926" s="80" t="str">
        <f>HYPERLINK("https://twitter.com/jmendezliron/status/1695038245866791116")</f>
        <v>https://twitter.com/jmendezliron/status/1695038245866791116</v>
      </c>
      <c r="AF1926" s="79">
        <v>45163.485925925925</v>
      </c>
      <c r="AG1926" s="85">
        <v>45163</v>
      </c>
      <c r="AH1926" s="82" t="s">
        <v>9425</v>
      </c>
      <c r="AI1926" s="77" t="b">
        <v>0</v>
      </c>
      <c r="AJ1926" s="77"/>
      <c r="AK1926" s="77"/>
      <c r="AL1926" s="77"/>
      <c r="AM1926" s="77"/>
      <c r="AN1926" s="77"/>
      <c r="AO1926" s="77"/>
      <c r="AP1926" s="77"/>
      <c r="AQ1926" s="77" t="s">
        <v>11528</v>
      </c>
      <c r="AR1926" s="77"/>
      <c r="AS1926" s="77"/>
      <c r="AT1926" s="77"/>
      <c r="AU1926" s="77"/>
      <c r="AV1926" s="80" t="str">
        <f>HYPERLINK("https://pbs.twimg.com/media/F4X8TF9WMAAbLhU.jpg")</f>
        <v>https://pbs.twimg.com/media/F4X8TF9WMAAbLhU.jpg</v>
      </c>
      <c r="AW1926" s="82" t="s">
        <v>13522</v>
      </c>
      <c r="AX1926" s="82" t="s">
        <v>13522</v>
      </c>
      <c r="AY1926" s="77"/>
      <c r="AZ1926" s="82" t="s">
        <v>15984</v>
      </c>
      <c r="BA1926" s="82" t="s">
        <v>15984</v>
      </c>
      <c r="BB1926" s="82" t="s">
        <v>15984</v>
      </c>
      <c r="BC1926" s="82" t="s">
        <v>13522</v>
      </c>
      <c r="BD1926" s="77">
        <v>748960584</v>
      </c>
      <c r="BE1926" s="77"/>
      <c r="BF1926" s="77"/>
      <c r="BG1926" s="77"/>
      <c r="BH1926" s="77"/>
      <c r="BI1926" s="77"/>
    </row>
    <row r="1927" spans="1:61" x14ac:dyDescent="0.25">
      <c r="A1927" s="62" t="s">
        <v>697</v>
      </c>
      <c r="B1927" s="62" t="s">
        <v>697</v>
      </c>
      <c r="C1927" s="63"/>
      <c r="D1927" s="64"/>
      <c r="E1927" s="65"/>
      <c r="F1927" s="66"/>
      <c r="G1927" s="63"/>
      <c r="H1927" s="67"/>
      <c r="I1927" s="68"/>
      <c r="J1927" s="68"/>
      <c r="K1927" s="32"/>
      <c r="L1927" s="75">
        <v>1927</v>
      </c>
      <c r="M1927" s="75"/>
      <c r="N1927" s="70"/>
      <c r="O1927" s="77" t="s">
        <v>898</v>
      </c>
      <c r="P1927" s="79">
        <v>45118.742361111108</v>
      </c>
      <c r="Q1927" s="77" t="s">
        <v>2609</v>
      </c>
      <c r="R1927" s="77">
        <v>1</v>
      </c>
      <c r="S1927" s="77">
        <v>1</v>
      </c>
      <c r="T1927" s="77">
        <v>0</v>
      </c>
      <c r="U1927" s="77">
        <v>0</v>
      </c>
      <c r="V1927" s="77">
        <v>103</v>
      </c>
      <c r="W1927" s="82" t="s">
        <v>5838</v>
      </c>
      <c r="X1927" s="80" t="str">
        <f>HYPERLINK("https://javiermliron.blogspot.com/2023/07/sociedades-mercantiles-en-castilla-y.html")</f>
        <v>https://javiermliron.blogspot.com/2023/07/sociedades-mercantiles-en-castilla-y.html</v>
      </c>
      <c r="Y1927" s="77" t="s">
        <v>6532</v>
      </c>
      <c r="Z1927" s="77"/>
      <c r="AA1927" s="77"/>
      <c r="AB1927" s="77"/>
      <c r="AC1927" s="82" t="s">
        <v>7750</v>
      </c>
      <c r="AD1927" s="77" t="s">
        <v>7790</v>
      </c>
      <c r="AE1927" s="80" t="str">
        <f>HYPERLINK("https://twitter.com/jmendezliron/status/1678823721488769024")</f>
        <v>https://twitter.com/jmendezliron/status/1678823721488769024</v>
      </c>
      <c r="AF1927" s="79">
        <v>45118.742361111108</v>
      </c>
      <c r="AG1927" s="85">
        <v>45118</v>
      </c>
      <c r="AH1927" s="82" t="s">
        <v>8798</v>
      </c>
      <c r="AI1927" s="77" t="b">
        <v>0</v>
      </c>
      <c r="AJ1927" s="77"/>
      <c r="AK1927" s="77"/>
      <c r="AL1927" s="77"/>
      <c r="AM1927" s="77"/>
      <c r="AN1927" s="77"/>
      <c r="AO1927" s="77"/>
      <c r="AP1927" s="77"/>
      <c r="AQ1927" s="77"/>
      <c r="AR1927" s="77"/>
      <c r="AS1927" s="77"/>
      <c r="AT1927" s="77"/>
      <c r="AU1927" s="77"/>
      <c r="AV1927" s="80" t="str">
        <f>HYPERLINK("https://pbs.twimg.com/profile_images/612292231358246912/gMKxM5xX_normal.jpg")</f>
        <v>https://pbs.twimg.com/profile_images/612292231358246912/gMKxM5xX_normal.jpg</v>
      </c>
      <c r="AW1927" s="82" t="s">
        <v>13523</v>
      </c>
      <c r="AX1927" s="82" t="s">
        <v>13524</v>
      </c>
      <c r="AY1927" s="82" t="s">
        <v>15975</v>
      </c>
      <c r="AZ1927" s="82" t="s">
        <v>13524</v>
      </c>
      <c r="BA1927" s="82" t="s">
        <v>15984</v>
      </c>
      <c r="BB1927" s="82" t="s">
        <v>15984</v>
      </c>
      <c r="BC1927" s="82" t="s">
        <v>13524</v>
      </c>
      <c r="BD1927" s="77">
        <v>748960584</v>
      </c>
      <c r="BE1927" s="77"/>
      <c r="BF1927" s="77"/>
      <c r="BG1927" s="77"/>
      <c r="BH1927" s="77"/>
      <c r="BI1927" s="77"/>
    </row>
    <row r="1928" spans="1:61" x14ac:dyDescent="0.25">
      <c r="A1928" s="62" t="s">
        <v>697</v>
      </c>
      <c r="B1928" s="62" t="s">
        <v>697</v>
      </c>
      <c r="C1928" s="63"/>
      <c r="D1928" s="64"/>
      <c r="E1928" s="65"/>
      <c r="F1928" s="66"/>
      <c r="G1928" s="63"/>
      <c r="H1928" s="67"/>
      <c r="I1928" s="68"/>
      <c r="J1928" s="68"/>
      <c r="K1928" s="32"/>
      <c r="L1928" s="75">
        <v>1928</v>
      </c>
      <c r="M1928" s="75"/>
      <c r="N1928" s="70"/>
      <c r="O1928" s="77" t="s">
        <v>179</v>
      </c>
      <c r="P1928" s="79">
        <v>45118.742361111108</v>
      </c>
      <c r="Q1928" s="77" t="s">
        <v>2610</v>
      </c>
      <c r="R1928" s="77">
        <v>1</v>
      </c>
      <c r="S1928" s="77">
        <v>1</v>
      </c>
      <c r="T1928" s="77">
        <v>1</v>
      </c>
      <c r="U1928" s="77">
        <v>0</v>
      </c>
      <c r="V1928" s="77">
        <v>95</v>
      </c>
      <c r="W1928" s="82" t="s">
        <v>5839</v>
      </c>
      <c r="X1928" s="80" t="str">
        <f>HYPERLINK("https://javiermliron.blogspot.com/2023/07/sociedades-mercantiles-en-castilla-y.html")</f>
        <v>https://javiermliron.blogspot.com/2023/07/sociedades-mercantiles-en-castilla-y.html</v>
      </c>
      <c r="Y1928" s="77" t="s">
        <v>6532</v>
      </c>
      <c r="Z1928" s="77"/>
      <c r="AA1928" s="77" t="s">
        <v>7557</v>
      </c>
      <c r="AB1928" s="77" t="s">
        <v>7742</v>
      </c>
      <c r="AC1928" s="82" t="s">
        <v>7750</v>
      </c>
      <c r="AD1928" s="77" t="s">
        <v>7790</v>
      </c>
      <c r="AE1928" s="80" t="str">
        <f>HYPERLINK("https://twitter.com/jmendezliron/status/1678823719039299592")</f>
        <v>https://twitter.com/jmendezliron/status/1678823719039299592</v>
      </c>
      <c r="AF1928" s="79">
        <v>45118.742361111108</v>
      </c>
      <c r="AG1928" s="85">
        <v>45118</v>
      </c>
      <c r="AH1928" s="82" t="s">
        <v>8798</v>
      </c>
      <c r="AI1928" s="77" t="b">
        <v>0</v>
      </c>
      <c r="AJ1928" s="77"/>
      <c r="AK1928" s="77"/>
      <c r="AL1928" s="77"/>
      <c r="AM1928" s="77"/>
      <c r="AN1928" s="77"/>
      <c r="AO1928" s="77"/>
      <c r="AP1928" s="77"/>
      <c r="AQ1928" s="77" t="s">
        <v>11529</v>
      </c>
      <c r="AR1928" s="77"/>
      <c r="AS1928" s="77"/>
      <c r="AT1928" s="77"/>
      <c r="AU1928" s="77"/>
      <c r="AV1928" s="80" t="str">
        <f>HYPERLINK("https://pbs.twimg.com/media/F0xhPzdWcBUrlJL.png")</f>
        <v>https://pbs.twimg.com/media/F0xhPzdWcBUrlJL.png</v>
      </c>
      <c r="AW1928" s="82" t="s">
        <v>13524</v>
      </c>
      <c r="AX1928" s="82" t="s">
        <v>13524</v>
      </c>
      <c r="AY1928" s="77"/>
      <c r="AZ1928" s="82" t="s">
        <v>15984</v>
      </c>
      <c r="BA1928" s="82" t="s">
        <v>15984</v>
      </c>
      <c r="BB1928" s="82" t="s">
        <v>15984</v>
      </c>
      <c r="BC1928" s="82" t="s">
        <v>13524</v>
      </c>
      <c r="BD1928" s="77">
        <v>748960584</v>
      </c>
      <c r="BE1928" s="77"/>
      <c r="BF1928" s="77"/>
      <c r="BG1928" s="77"/>
      <c r="BH1928" s="77"/>
      <c r="BI1928" s="77"/>
    </row>
    <row r="1929" spans="1:61" x14ac:dyDescent="0.25">
      <c r="A1929" s="62" t="s">
        <v>697</v>
      </c>
      <c r="B1929" s="62" t="s">
        <v>697</v>
      </c>
      <c r="C1929" s="63"/>
      <c r="D1929" s="64"/>
      <c r="E1929" s="65"/>
      <c r="F1929" s="66"/>
      <c r="G1929" s="63"/>
      <c r="H1929" s="67"/>
      <c r="I1929" s="68"/>
      <c r="J1929" s="68"/>
      <c r="K1929" s="32"/>
      <c r="L1929" s="75">
        <v>1929</v>
      </c>
      <c r="M1929" s="75"/>
      <c r="N1929" s="70"/>
      <c r="O1929" s="77" t="s">
        <v>179</v>
      </c>
      <c r="P1929" s="79">
        <v>45196.254942129628</v>
      </c>
      <c r="Q1929" s="77" t="s">
        <v>2611</v>
      </c>
      <c r="R1929" s="77">
        <v>1</v>
      </c>
      <c r="S1929" s="77">
        <v>1</v>
      </c>
      <c r="T1929" s="77">
        <v>0</v>
      </c>
      <c r="U1929" s="77">
        <v>0</v>
      </c>
      <c r="V1929" s="77">
        <v>30</v>
      </c>
      <c r="W1929" s="82" t="s">
        <v>5808</v>
      </c>
      <c r="X1929" s="80" t="str">
        <f>HYPERLINK("https://javiermliron.blogspot.com/2023/09/exportaciones-de-vino-de-castilla-y.html")</f>
        <v>https://javiermliron.blogspot.com/2023/09/exportaciones-de-vino-de-castilla-y.html</v>
      </c>
      <c r="Y1929" s="77" t="s">
        <v>6532</v>
      </c>
      <c r="Z1929" s="77"/>
      <c r="AA1929" s="77" t="s">
        <v>7558</v>
      </c>
      <c r="AB1929" s="77" t="s">
        <v>7742</v>
      </c>
      <c r="AC1929" s="82" t="s">
        <v>7750</v>
      </c>
      <c r="AD1929" s="77" t="s">
        <v>7790</v>
      </c>
      <c r="AE1929" s="80" t="str">
        <f>HYPERLINK("https://twitter.com/jmendezliron/status/1706913337135575438")</f>
        <v>https://twitter.com/jmendezliron/status/1706913337135575438</v>
      </c>
      <c r="AF1929" s="79">
        <v>45196.254942129628</v>
      </c>
      <c r="AG1929" s="85">
        <v>45196</v>
      </c>
      <c r="AH1929" s="82" t="s">
        <v>9426</v>
      </c>
      <c r="AI1929" s="77" t="b">
        <v>0</v>
      </c>
      <c r="AJ1929" s="77"/>
      <c r="AK1929" s="77"/>
      <c r="AL1929" s="77"/>
      <c r="AM1929" s="77"/>
      <c r="AN1929" s="77"/>
      <c r="AO1929" s="77"/>
      <c r="AP1929" s="77"/>
      <c r="AQ1929" s="77" t="s">
        <v>11530</v>
      </c>
      <c r="AR1929" s="77"/>
      <c r="AS1929" s="77"/>
      <c r="AT1929" s="77"/>
      <c r="AU1929" s="77"/>
      <c r="AV1929" s="80" t="str">
        <f>HYPERLINK("https://pbs.twimg.com/media/F7AsnqAWQAAD6Je.jpg")</f>
        <v>https://pbs.twimg.com/media/F7AsnqAWQAAD6Je.jpg</v>
      </c>
      <c r="AW1929" s="82" t="s">
        <v>13525</v>
      </c>
      <c r="AX1929" s="82" t="s">
        <v>13525</v>
      </c>
      <c r="AY1929" s="77"/>
      <c r="AZ1929" s="82" t="s">
        <v>15984</v>
      </c>
      <c r="BA1929" s="82" t="s">
        <v>15984</v>
      </c>
      <c r="BB1929" s="82" t="s">
        <v>15984</v>
      </c>
      <c r="BC1929" s="82" t="s">
        <v>13525</v>
      </c>
      <c r="BD1929" s="77">
        <v>748960584</v>
      </c>
      <c r="BE1929" s="77"/>
      <c r="BF1929" s="77"/>
      <c r="BG1929" s="77"/>
      <c r="BH1929" s="77"/>
      <c r="BI1929" s="77"/>
    </row>
    <row r="1930" spans="1:61" x14ac:dyDescent="0.25">
      <c r="A1930" s="62" t="s">
        <v>697</v>
      </c>
      <c r="B1930" s="62" t="s">
        <v>697</v>
      </c>
      <c r="C1930" s="63"/>
      <c r="D1930" s="64"/>
      <c r="E1930" s="65"/>
      <c r="F1930" s="66"/>
      <c r="G1930" s="63"/>
      <c r="H1930" s="67"/>
      <c r="I1930" s="68"/>
      <c r="J1930" s="68"/>
      <c r="K1930" s="32"/>
      <c r="L1930" s="75">
        <v>1930</v>
      </c>
      <c r="M1930" s="75"/>
      <c r="N1930" s="70"/>
      <c r="O1930" s="77" t="s">
        <v>897</v>
      </c>
      <c r="P1930" s="79">
        <v>45189.257361111115</v>
      </c>
      <c r="Q1930" s="77" t="s">
        <v>2612</v>
      </c>
      <c r="R1930" s="77">
        <v>1</v>
      </c>
      <c r="S1930" s="77">
        <v>0</v>
      </c>
      <c r="T1930" s="77">
        <v>0</v>
      </c>
      <c r="U1930" s="77">
        <v>0</v>
      </c>
      <c r="V1930" s="77"/>
      <c r="W1930" s="82" t="s">
        <v>5840</v>
      </c>
      <c r="X1930" s="80" t="str">
        <f>HYPERLINK("https://javiermliron.blogspot.com/2023/09/sociedades-mercantiles-en-andalucia.html")</f>
        <v>https://javiermliron.blogspot.com/2023/09/sociedades-mercantiles-en-andalucia.html</v>
      </c>
      <c r="Y1930" s="77" t="s">
        <v>6532</v>
      </c>
      <c r="Z1930" s="77" t="s">
        <v>697</v>
      </c>
      <c r="AA1930" s="77"/>
      <c r="AB1930" s="77"/>
      <c r="AC1930" s="82" t="s">
        <v>7750</v>
      </c>
      <c r="AD1930" s="77" t="s">
        <v>7790</v>
      </c>
      <c r="AE1930" s="80" t="str">
        <f>HYPERLINK("https://twitter.com/jmendezliron/status/1704377500300677328")</f>
        <v>https://twitter.com/jmendezliron/status/1704377500300677328</v>
      </c>
      <c r="AF1930" s="79">
        <v>45189.257361111115</v>
      </c>
      <c r="AG1930" s="85">
        <v>45189</v>
      </c>
      <c r="AH1930" s="82" t="s">
        <v>9427</v>
      </c>
      <c r="AI1930" s="77" t="b">
        <v>0</v>
      </c>
      <c r="AJ1930" s="77"/>
      <c r="AK1930" s="77"/>
      <c r="AL1930" s="77"/>
      <c r="AM1930" s="77"/>
      <c r="AN1930" s="77"/>
      <c r="AO1930" s="77"/>
      <c r="AP1930" s="77"/>
      <c r="AQ1930" s="77"/>
      <c r="AR1930" s="77"/>
      <c r="AS1930" s="77"/>
      <c r="AT1930" s="77"/>
      <c r="AU1930" s="77"/>
      <c r="AV1930" s="80" t="str">
        <f>HYPERLINK("https://pbs.twimg.com/profile_images/612292231358246912/gMKxM5xX_normal.jpg")</f>
        <v>https://pbs.twimg.com/profile_images/612292231358246912/gMKxM5xX_normal.jpg</v>
      </c>
      <c r="AW1930" s="82" t="s">
        <v>13526</v>
      </c>
      <c r="AX1930" s="82" t="s">
        <v>13526</v>
      </c>
      <c r="AY1930" s="77"/>
      <c r="AZ1930" s="82" t="s">
        <v>15984</v>
      </c>
      <c r="BA1930" s="82" t="s">
        <v>15984</v>
      </c>
      <c r="BB1930" s="82" t="s">
        <v>13486</v>
      </c>
      <c r="BC1930" s="82" t="s">
        <v>13486</v>
      </c>
      <c r="BD1930" s="77">
        <v>748960584</v>
      </c>
      <c r="BE1930" s="77"/>
      <c r="BF1930" s="77"/>
      <c r="BG1930" s="77"/>
      <c r="BH1930" s="77"/>
      <c r="BI1930" s="77"/>
    </row>
    <row r="1931" spans="1:61" x14ac:dyDescent="0.25">
      <c r="A1931" s="62" t="s">
        <v>697</v>
      </c>
      <c r="B1931" s="62" t="s">
        <v>697</v>
      </c>
      <c r="C1931" s="63"/>
      <c r="D1931" s="64"/>
      <c r="E1931" s="65"/>
      <c r="F1931" s="66"/>
      <c r="G1931" s="63"/>
      <c r="H1931" s="67"/>
      <c r="I1931" s="68"/>
      <c r="J1931" s="68"/>
      <c r="K1931" s="32"/>
      <c r="L1931" s="75">
        <v>1931</v>
      </c>
      <c r="M1931" s="75"/>
      <c r="N1931" s="70"/>
      <c r="O1931" s="77" t="s">
        <v>179</v>
      </c>
      <c r="P1931" s="79">
        <v>45182.730902777781</v>
      </c>
      <c r="Q1931" s="77" t="s">
        <v>2613</v>
      </c>
      <c r="R1931" s="77">
        <v>1</v>
      </c>
      <c r="S1931" s="77">
        <v>1</v>
      </c>
      <c r="T1931" s="77">
        <v>0</v>
      </c>
      <c r="U1931" s="77">
        <v>0</v>
      </c>
      <c r="V1931" s="77">
        <v>48</v>
      </c>
      <c r="W1931" s="82" t="s">
        <v>5775</v>
      </c>
      <c r="X1931" s="80" t="str">
        <f>HYPERLINK("https://javiermliron.blogspot.com/2023/09/contratos-registrados-45-en-espana.html")</f>
        <v>https://javiermliron.blogspot.com/2023/09/contratos-registrados-45-en-espana.html</v>
      </c>
      <c r="Y1931" s="77" t="s">
        <v>6532</v>
      </c>
      <c r="Z1931" s="77"/>
      <c r="AA1931" s="77" t="s">
        <v>7559</v>
      </c>
      <c r="AB1931" s="77" t="s">
        <v>7742</v>
      </c>
      <c r="AC1931" s="82" t="s">
        <v>7750</v>
      </c>
      <c r="AD1931" s="77" t="s">
        <v>7790</v>
      </c>
      <c r="AE1931" s="80" t="str">
        <f>HYPERLINK("https://twitter.com/jmendezliron/status/1702012390236160412")</f>
        <v>https://twitter.com/jmendezliron/status/1702012390236160412</v>
      </c>
      <c r="AF1931" s="79">
        <v>45182.730902777781</v>
      </c>
      <c r="AG1931" s="85">
        <v>45182</v>
      </c>
      <c r="AH1931" s="82" t="s">
        <v>9428</v>
      </c>
      <c r="AI1931" s="77" t="b">
        <v>0</v>
      </c>
      <c r="AJ1931" s="77"/>
      <c r="AK1931" s="77"/>
      <c r="AL1931" s="77"/>
      <c r="AM1931" s="77"/>
      <c r="AN1931" s="77"/>
      <c r="AO1931" s="77"/>
      <c r="AP1931" s="77"/>
      <c r="AQ1931" s="77" t="s">
        <v>11531</v>
      </c>
      <c r="AR1931" s="77"/>
      <c r="AS1931" s="77"/>
      <c r="AT1931" s="77"/>
      <c r="AU1931" s="77"/>
      <c r="AV1931" s="80" t="str">
        <f>HYPERLINK("https://pbs.twimg.com/media/F57DOv4XoAAw57a.png")</f>
        <v>https://pbs.twimg.com/media/F57DOv4XoAAw57a.png</v>
      </c>
      <c r="AW1931" s="82" t="s">
        <v>13527</v>
      </c>
      <c r="AX1931" s="82" t="s">
        <v>13527</v>
      </c>
      <c r="AY1931" s="77"/>
      <c r="AZ1931" s="82" t="s">
        <v>15984</v>
      </c>
      <c r="BA1931" s="82" t="s">
        <v>15984</v>
      </c>
      <c r="BB1931" s="82" t="s">
        <v>15984</v>
      </c>
      <c r="BC1931" s="82" t="s">
        <v>13527</v>
      </c>
      <c r="BD1931" s="77">
        <v>748960584</v>
      </c>
      <c r="BE1931" s="77"/>
      <c r="BF1931" s="77"/>
      <c r="BG1931" s="77"/>
      <c r="BH1931" s="77"/>
      <c r="BI1931" s="77"/>
    </row>
    <row r="1932" spans="1:61" x14ac:dyDescent="0.25">
      <c r="A1932" s="62" t="s">
        <v>697</v>
      </c>
      <c r="B1932" s="62" t="s">
        <v>697</v>
      </c>
      <c r="C1932" s="63"/>
      <c r="D1932" s="64"/>
      <c r="E1932" s="65"/>
      <c r="F1932" s="66"/>
      <c r="G1932" s="63"/>
      <c r="H1932" s="67"/>
      <c r="I1932" s="68"/>
      <c r="J1932" s="68"/>
      <c r="K1932" s="32"/>
      <c r="L1932" s="75">
        <v>1932</v>
      </c>
      <c r="M1932" s="75"/>
      <c r="N1932" s="70"/>
      <c r="O1932" s="77" t="s">
        <v>179</v>
      </c>
      <c r="P1932" s="79">
        <v>45182.727881944447</v>
      </c>
      <c r="Q1932" s="77" t="s">
        <v>2614</v>
      </c>
      <c r="R1932" s="77">
        <v>1</v>
      </c>
      <c r="S1932" s="77">
        <v>1</v>
      </c>
      <c r="T1932" s="77">
        <v>0</v>
      </c>
      <c r="U1932" s="77">
        <v>0</v>
      </c>
      <c r="V1932" s="77">
        <v>45</v>
      </c>
      <c r="W1932" s="82" t="s">
        <v>5758</v>
      </c>
      <c r="X1932" s="80" t="str">
        <f>HYPERLINK("https://javiermliron.blogspot.com/2023/09/indice-de-produccion-industrial_0496170682.html")</f>
        <v>https://javiermliron.blogspot.com/2023/09/indice-de-produccion-industrial_0496170682.html</v>
      </c>
      <c r="Y1932" s="77" t="s">
        <v>6532</v>
      </c>
      <c r="Z1932" s="77"/>
      <c r="AA1932" s="77" t="s">
        <v>7560</v>
      </c>
      <c r="AB1932" s="77" t="s">
        <v>7742</v>
      </c>
      <c r="AC1932" s="82" t="s">
        <v>7750</v>
      </c>
      <c r="AD1932" s="77" t="s">
        <v>7790</v>
      </c>
      <c r="AE1932" s="80" t="str">
        <f>HYPERLINK("https://twitter.com/jmendezliron/status/1702011297137611026")</f>
        <v>https://twitter.com/jmendezliron/status/1702011297137611026</v>
      </c>
      <c r="AF1932" s="79">
        <v>45182.727881944447</v>
      </c>
      <c r="AG1932" s="85">
        <v>45182</v>
      </c>
      <c r="AH1932" s="82" t="s">
        <v>9429</v>
      </c>
      <c r="AI1932" s="77" t="b">
        <v>0</v>
      </c>
      <c r="AJ1932" s="77"/>
      <c r="AK1932" s="77"/>
      <c r="AL1932" s="77"/>
      <c r="AM1932" s="77"/>
      <c r="AN1932" s="77"/>
      <c r="AO1932" s="77"/>
      <c r="AP1932" s="77"/>
      <c r="AQ1932" s="77" t="s">
        <v>11532</v>
      </c>
      <c r="AR1932" s="77"/>
      <c r="AS1932" s="77"/>
      <c r="AT1932" s="77"/>
      <c r="AU1932" s="77"/>
      <c r="AV1932" s="80" t="str">
        <f>HYPERLINK("https://pbs.twimg.com/media/F57CQKRWgAAm7Mx.png")</f>
        <v>https://pbs.twimg.com/media/F57CQKRWgAAm7Mx.png</v>
      </c>
      <c r="AW1932" s="82" t="s">
        <v>13528</v>
      </c>
      <c r="AX1932" s="82" t="s">
        <v>13528</v>
      </c>
      <c r="AY1932" s="77"/>
      <c r="AZ1932" s="82" t="s">
        <v>15984</v>
      </c>
      <c r="BA1932" s="82" t="s">
        <v>15984</v>
      </c>
      <c r="BB1932" s="82" t="s">
        <v>15984</v>
      </c>
      <c r="BC1932" s="82" t="s">
        <v>13528</v>
      </c>
      <c r="BD1932" s="77">
        <v>748960584</v>
      </c>
      <c r="BE1932" s="77"/>
      <c r="BF1932" s="77"/>
      <c r="BG1932" s="77"/>
      <c r="BH1932" s="77"/>
      <c r="BI1932" s="77"/>
    </row>
    <row r="1933" spans="1:61" x14ac:dyDescent="0.25">
      <c r="A1933" s="62" t="s">
        <v>697</v>
      </c>
      <c r="B1933" s="62" t="s">
        <v>697</v>
      </c>
      <c r="C1933" s="63"/>
      <c r="D1933" s="64"/>
      <c r="E1933" s="65"/>
      <c r="F1933" s="66"/>
      <c r="G1933" s="63"/>
      <c r="H1933" s="67"/>
      <c r="I1933" s="68"/>
      <c r="J1933" s="68"/>
      <c r="K1933" s="32"/>
      <c r="L1933" s="75">
        <v>1933</v>
      </c>
      <c r="M1933" s="75"/>
      <c r="N1933" s="70"/>
      <c r="O1933" s="77" t="s">
        <v>179</v>
      </c>
      <c r="P1933" s="79">
        <v>45159.248842592591</v>
      </c>
      <c r="Q1933" s="77" t="s">
        <v>2615</v>
      </c>
      <c r="R1933" s="77">
        <v>1</v>
      </c>
      <c r="S1933" s="77">
        <v>1</v>
      </c>
      <c r="T1933" s="77">
        <v>0</v>
      </c>
      <c r="U1933" s="77">
        <v>0</v>
      </c>
      <c r="V1933" s="77">
        <v>77</v>
      </c>
      <c r="W1933" s="82" t="s">
        <v>5841</v>
      </c>
      <c r="X1933" s="80" t="str">
        <f>HYPERLINK("https://javiermliron.blogspot.com/2023/08/ipc-madrid-julio-2023.html")</f>
        <v>https://javiermliron.blogspot.com/2023/08/ipc-madrid-julio-2023.html</v>
      </c>
      <c r="Y1933" s="77" t="s">
        <v>6532</v>
      </c>
      <c r="Z1933" s="77"/>
      <c r="AA1933" s="77" t="s">
        <v>7561</v>
      </c>
      <c r="AB1933" s="77" t="s">
        <v>7742</v>
      </c>
      <c r="AC1933" s="82" t="s">
        <v>7750</v>
      </c>
      <c r="AD1933" s="77" t="s">
        <v>7790</v>
      </c>
      <c r="AE1933" s="80" t="str">
        <f>HYPERLINK("https://twitter.com/jmendezliron/status/1693502776397947386")</f>
        <v>https://twitter.com/jmendezliron/status/1693502776397947386</v>
      </c>
      <c r="AF1933" s="79">
        <v>45159.248842592591</v>
      </c>
      <c r="AG1933" s="85">
        <v>45159</v>
      </c>
      <c r="AH1933" s="82" t="s">
        <v>9430</v>
      </c>
      <c r="AI1933" s="77" t="b">
        <v>0</v>
      </c>
      <c r="AJ1933" s="77"/>
      <c r="AK1933" s="77"/>
      <c r="AL1933" s="77"/>
      <c r="AM1933" s="77"/>
      <c r="AN1933" s="77"/>
      <c r="AO1933" s="77"/>
      <c r="AP1933" s="77"/>
      <c r="AQ1933" s="77" t="s">
        <v>11533</v>
      </c>
      <c r="AR1933" s="77"/>
      <c r="AS1933" s="77"/>
      <c r="AT1933" s="77"/>
      <c r="AU1933" s="77"/>
      <c r="AV1933" s="80" t="str">
        <f>HYPERLINK("https://pbs.twimg.com/media/F4CHzFMXwAEANIQ.png")</f>
        <v>https://pbs.twimg.com/media/F4CHzFMXwAEANIQ.png</v>
      </c>
      <c r="AW1933" s="82" t="s">
        <v>13529</v>
      </c>
      <c r="AX1933" s="82" t="s">
        <v>13529</v>
      </c>
      <c r="AY1933" s="77"/>
      <c r="AZ1933" s="82" t="s">
        <v>15984</v>
      </c>
      <c r="BA1933" s="82" t="s">
        <v>15984</v>
      </c>
      <c r="BB1933" s="82" t="s">
        <v>15984</v>
      </c>
      <c r="BC1933" s="82" t="s">
        <v>13529</v>
      </c>
      <c r="BD1933" s="77">
        <v>748960584</v>
      </c>
      <c r="BE1933" s="77"/>
      <c r="BF1933" s="77"/>
      <c r="BG1933" s="77"/>
      <c r="BH1933" s="77"/>
      <c r="BI1933" s="77"/>
    </row>
    <row r="1934" spans="1:61" x14ac:dyDescent="0.25">
      <c r="A1934" s="62" t="s">
        <v>697</v>
      </c>
      <c r="B1934" s="62" t="s">
        <v>697</v>
      </c>
      <c r="C1934" s="63"/>
      <c r="D1934" s="64"/>
      <c r="E1934" s="65"/>
      <c r="F1934" s="66"/>
      <c r="G1934" s="63"/>
      <c r="H1934" s="67"/>
      <c r="I1934" s="68"/>
      <c r="J1934" s="68"/>
      <c r="K1934" s="32"/>
      <c r="L1934" s="75">
        <v>1934</v>
      </c>
      <c r="M1934" s="75"/>
      <c r="N1934" s="70"/>
      <c r="O1934" s="77" t="s">
        <v>179</v>
      </c>
      <c r="P1934" s="79">
        <v>45141.186712962961</v>
      </c>
      <c r="Q1934" s="77" t="s">
        <v>2616</v>
      </c>
      <c r="R1934" s="77">
        <v>1</v>
      </c>
      <c r="S1934" s="77">
        <v>1</v>
      </c>
      <c r="T1934" s="77">
        <v>0</v>
      </c>
      <c r="U1934" s="77">
        <v>0</v>
      </c>
      <c r="V1934" s="77">
        <v>87</v>
      </c>
      <c r="W1934" s="82" t="s">
        <v>5837</v>
      </c>
      <c r="X1934" s="80" t="str">
        <f>HYPERLINK("https://javiermliron.blogspot.com/2023/08/paro-registrado-en-espana-julio-2023.html")</f>
        <v>https://javiermliron.blogspot.com/2023/08/paro-registrado-en-espana-julio-2023.html</v>
      </c>
      <c r="Y1934" s="77" t="s">
        <v>6532</v>
      </c>
      <c r="Z1934" s="77"/>
      <c r="AA1934" s="77" t="s">
        <v>7562</v>
      </c>
      <c r="AB1934" s="77" t="s">
        <v>7742</v>
      </c>
      <c r="AC1934" s="82" t="s">
        <v>7750</v>
      </c>
      <c r="AD1934" s="77" t="s">
        <v>7790</v>
      </c>
      <c r="AE1934" s="80" t="str">
        <f>HYPERLINK("https://twitter.com/jmendezliron/status/1686957280950960128")</f>
        <v>https://twitter.com/jmendezliron/status/1686957280950960128</v>
      </c>
      <c r="AF1934" s="79">
        <v>45141.186712962961</v>
      </c>
      <c r="AG1934" s="85">
        <v>45141</v>
      </c>
      <c r="AH1934" s="82" t="s">
        <v>9431</v>
      </c>
      <c r="AI1934" s="77" t="b">
        <v>0</v>
      </c>
      <c r="AJ1934" s="77"/>
      <c r="AK1934" s="77"/>
      <c r="AL1934" s="77"/>
      <c r="AM1934" s="77"/>
      <c r="AN1934" s="77"/>
      <c r="AO1934" s="77"/>
      <c r="AP1934" s="77"/>
      <c r="AQ1934" s="77" t="s">
        <v>11534</v>
      </c>
      <c r="AR1934" s="77"/>
      <c r="AS1934" s="77"/>
      <c r="AT1934" s="77"/>
      <c r="AU1934" s="77"/>
      <c r="AV1934" s="80" t="str">
        <f>HYPERLINK("https://pbs.twimg.com/media/F2lGs3TXAAA1p2w.png")</f>
        <v>https://pbs.twimg.com/media/F2lGs3TXAAA1p2w.png</v>
      </c>
      <c r="AW1934" s="82" t="s">
        <v>13530</v>
      </c>
      <c r="AX1934" s="82" t="s">
        <v>13530</v>
      </c>
      <c r="AY1934" s="77"/>
      <c r="AZ1934" s="82" t="s">
        <v>15984</v>
      </c>
      <c r="BA1934" s="82" t="s">
        <v>15984</v>
      </c>
      <c r="BB1934" s="82" t="s">
        <v>15984</v>
      </c>
      <c r="BC1934" s="82" t="s">
        <v>13530</v>
      </c>
      <c r="BD1934" s="77">
        <v>748960584</v>
      </c>
      <c r="BE1934" s="77"/>
      <c r="BF1934" s="77"/>
      <c r="BG1934" s="77"/>
      <c r="BH1934" s="77"/>
      <c r="BI1934" s="77"/>
    </row>
    <row r="1935" spans="1:61" x14ac:dyDescent="0.25">
      <c r="A1935" s="62" t="s">
        <v>697</v>
      </c>
      <c r="B1935" s="62" t="s">
        <v>697</v>
      </c>
      <c r="C1935" s="63"/>
      <c r="D1935" s="64"/>
      <c r="E1935" s="65"/>
      <c r="F1935" s="66"/>
      <c r="G1935" s="63"/>
      <c r="H1935" s="67"/>
      <c r="I1935" s="68"/>
      <c r="J1935" s="68"/>
      <c r="K1935" s="32"/>
      <c r="L1935" s="75">
        <v>1935</v>
      </c>
      <c r="M1935" s="75"/>
      <c r="N1935" s="70"/>
      <c r="O1935" s="77" t="s">
        <v>179</v>
      </c>
      <c r="P1935" s="79">
        <v>45141.183379629627</v>
      </c>
      <c r="Q1935" s="77" t="s">
        <v>2617</v>
      </c>
      <c r="R1935" s="77">
        <v>1</v>
      </c>
      <c r="S1935" s="77">
        <v>1</v>
      </c>
      <c r="T1935" s="77">
        <v>0</v>
      </c>
      <c r="U1935" s="77">
        <v>0</v>
      </c>
      <c r="V1935" s="77">
        <v>82</v>
      </c>
      <c r="W1935" s="82" t="s">
        <v>5790</v>
      </c>
      <c r="X1935" s="80" t="str">
        <f>HYPERLINK("https://javiermliron.blogspot.com/2023/08/hipotecas-en-andalucia-mayo-2023.html")</f>
        <v>https://javiermliron.blogspot.com/2023/08/hipotecas-en-andalucia-mayo-2023.html</v>
      </c>
      <c r="Y1935" s="77" t="s">
        <v>6532</v>
      </c>
      <c r="Z1935" s="77"/>
      <c r="AA1935" s="77" t="s">
        <v>7563</v>
      </c>
      <c r="AB1935" s="77" t="s">
        <v>7742</v>
      </c>
      <c r="AC1935" s="82" t="s">
        <v>7750</v>
      </c>
      <c r="AD1935" s="77" t="s">
        <v>7790</v>
      </c>
      <c r="AE1935" s="80" t="str">
        <f>HYPERLINK("https://twitter.com/jmendezliron/status/1686956073037545472")</f>
        <v>https://twitter.com/jmendezliron/status/1686956073037545472</v>
      </c>
      <c r="AF1935" s="79">
        <v>45141.183379629627</v>
      </c>
      <c r="AG1935" s="85">
        <v>45141</v>
      </c>
      <c r="AH1935" s="82" t="s">
        <v>9432</v>
      </c>
      <c r="AI1935" s="77" t="b">
        <v>0</v>
      </c>
      <c r="AJ1935" s="77"/>
      <c r="AK1935" s="77"/>
      <c r="AL1935" s="77"/>
      <c r="AM1935" s="77"/>
      <c r="AN1935" s="77"/>
      <c r="AO1935" s="77"/>
      <c r="AP1935" s="77"/>
      <c r="AQ1935" s="77" t="s">
        <v>11535</v>
      </c>
      <c r="AR1935" s="77"/>
      <c r="AS1935" s="77"/>
      <c r="AT1935" s="77"/>
      <c r="AU1935" s="77"/>
      <c r="AV1935" s="80" t="str">
        <f>HYPERLINK("https://pbs.twimg.com/media/F2lFmxYWkAAtmkA.jpg")</f>
        <v>https://pbs.twimg.com/media/F2lFmxYWkAAtmkA.jpg</v>
      </c>
      <c r="AW1935" s="82" t="s">
        <v>13531</v>
      </c>
      <c r="AX1935" s="82" t="s">
        <v>13531</v>
      </c>
      <c r="AY1935" s="77"/>
      <c r="AZ1935" s="82" t="s">
        <v>15984</v>
      </c>
      <c r="BA1935" s="82" t="s">
        <v>15984</v>
      </c>
      <c r="BB1935" s="82" t="s">
        <v>15984</v>
      </c>
      <c r="BC1935" s="82" t="s">
        <v>13531</v>
      </c>
      <c r="BD1935" s="77">
        <v>748960584</v>
      </c>
      <c r="BE1935" s="77"/>
      <c r="BF1935" s="77"/>
      <c r="BG1935" s="77"/>
      <c r="BH1935" s="77"/>
      <c r="BI1935" s="77"/>
    </row>
    <row r="1936" spans="1:61" x14ac:dyDescent="0.25">
      <c r="A1936" s="62" t="s">
        <v>697</v>
      </c>
      <c r="B1936" s="62" t="s">
        <v>697</v>
      </c>
      <c r="C1936" s="63"/>
      <c r="D1936" s="64"/>
      <c r="E1936" s="65"/>
      <c r="F1936" s="66"/>
      <c r="G1936" s="63"/>
      <c r="H1936" s="67"/>
      <c r="I1936" s="68"/>
      <c r="J1936" s="68"/>
      <c r="K1936" s="32"/>
      <c r="L1936" s="75">
        <v>1936</v>
      </c>
      <c r="M1936" s="75"/>
      <c r="N1936" s="70"/>
      <c r="O1936" s="77" t="s">
        <v>898</v>
      </c>
      <c r="P1936" s="79">
        <v>45121.731770833336</v>
      </c>
      <c r="Q1936" s="77" t="s">
        <v>2618</v>
      </c>
      <c r="R1936" s="77">
        <v>1</v>
      </c>
      <c r="S1936" s="77">
        <v>1</v>
      </c>
      <c r="T1936" s="77">
        <v>0</v>
      </c>
      <c r="U1936" s="77">
        <v>0</v>
      </c>
      <c r="V1936" s="77">
        <v>100</v>
      </c>
      <c r="W1936" s="82" t="s">
        <v>5842</v>
      </c>
      <c r="X1936" s="80" t="str">
        <f>HYPERLINK("https://javiermliron.blogspot.com/2023/07/ipc-espana-junio-2023.html")</f>
        <v>https://javiermliron.blogspot.com/2023/07/ipc-espana-junio-2023.html</v>
      </c>
      <c r="Y1936" s="77" t="s">
        <v>6532</v>
      </c>
      <c r="Z1936" s="77"/>
      <c r="AA1936" s="77"/>
      <c r="AB1936" s="77"/>
      <c r="AC1936" s="82" t="s">
        <v>7750</v>
      </c>
      <c r="AD1936" s="77" t="s">
        <v>7790</v>
      </c>
      <c r="AE1936" s="80" t="str">
        <f>HYPERLINK("https://twitter.com/jmendezliron/status/1679907047553237002")</f>
        <v>https://twitter.com/jmendezliron/status/1679907047553237002</v>
      </c>
      <c r="AF1936" s="79">
        <v>45121.731770833336</v>
      </c>
      <c r="AG1936" s="85">
        <v>45121</v>
      </c>
      <c r="AH1936" s="82" t="s">
        <v>9433</v>
      </c>
      <c r="AI1936" s="77" t="b">
        <v>0</v>
      </c>
      <c r="AJ1936" s="77"/>
      <c r="AK1936" s="77"/>
      <c r="AL1936" s="77"/>
      <c r="AM1936" s="77"/>
      <c r="AN1936" s="77"/>
      <c r="AO1936" s="77"/>
      <c r="AP1936" s="77"/>
      <c r="AQ1936" s="77"/>
      <c r="AR1936" s="77"/>
      <c r="AS1936" s="77"/>
      <c r="AT1936" s="77"/>
      <c r="AU1936" s="77"/>
      <c r="AV1936" s="80" t="str">
        <f>HYPERLINK("https://pbs.twimg.com/profile_images/612292231358246912/gMKxM5xX_normal.jpg")</f>
        <v>https://pbs.twimg.com/profile_images/612292231358246912/gMKxM5xX_normal.jpg</v>
      </c>
      <c r="AW1936" s="82" t="s">
        <v>13532</v>
      </c>
      <c r="AX1936" s="82" t="s">
        <v>13533</v>
      </c>
      <c r="AY1936" s="82" t="s">
        <v>15975</v>
      </c>
      <c r="AZ1936" s="82" t="s">
        <v>13533</v>
      </c>
      <c r="BA1936" s="82" t="s">
        <v>15984</v>
      </c>
      <c r="BB1936" s="82" t="s">
        <v>15984</v>
      </c>
      <c r="BC1936" s="82" t="s">
        <v>13533</v>
      </c>
      <c r="BD1936" s="77">
        <v>748960584</v>
      </c>
      <c r="BE1936" s="77"/>
      <c r="BF1936" s="77"/>
      <c r="BG1936" s="77"/>
      <c r="BH1936" s="77"/>
      <c r="BI1936" s="77"/>
    </row>
    <row r="1937" spans="1:61" x14ac:dyDescent="0.25">
      <c r="A1937" s="62" t="s">
        <v>697</v>
      </c>
      <c r="B1937" s="62" t="s">
        <v>697</v>
      </c>
      <c r="C1937" s="63"/>
      <c r="D1937" s="64"/>
      <c r="E1937" s="65"/>
      <c r="F1937" s="66"/>
      <c r="G1937" s="63"/>
      <c r="H1937" s="67"/>
      <c r="I1937" s="68"/>
      <c r="J1937" s="68"/>
      <c r="K1937" s="32"/>
      <c r="L1937" s="75">
        <v>1937</v>
      </c>
      <c r="M1937" s="75"/>
      <c r="N1937" s="70"/>
      <c r="O1937" s="77" t="s">
        <v>179</v>
      </c>
      <c r="P1937" s="79">
        <v>45121.731770833336</v>
      </c>
      <c r="Q1937" s="77" t="s">
        <v>2619</v>
      </c>
      <c r="R1937" s="77">
        <v>1</v>
      </c>
      <c r="S1937" s="77">
        <v>1</v>
      </c>
      <c r="T1937" s="77">
        <v>1</v>
      </c>
      <c r="U1937" s="77">
        <v>0</v>
      </c>
      <c r="V1937" s="77">
        <v>102</v>
      </c>
      <c r="W1937" s="82" t="s">
        <v>5820</v>
      </c>
      <c r="X1937" s="80" t="str">
        <f>HYPERLINK("https://javiermliron.blogspot.com/2023/07/ipc-espana-junio-2023.html")</f>
        <v>https://javiermliron.blogspot.com/2023/07/ipc-espana-junio-2023.html</v>
      </c>
      <c r="Y1937" s="77" t="s">
        <v>6532</v>
      </c>
      <c r="Z1937" s="77"/>
      <c r="AA1937" s="77" t="s">
        <v>7564</v>
      </c>
      <c r="AB1937" s="77" t="s">
        <v>7742</v>
      </c>
      <c r="AC1937" s="82" t="s">
        <v>7750</v>
      </c>
      <c r="AD1937" s="77" t="s">
        <v>7790</v>
      </c>
      <c r="AE1937" s="80" t="str">
        <f>HYPERLINK("https://twitter.com/jmendezliron/status/1679907045447696390")</f>
        <v>https://twitter.com/jmendezliron/status/1679907045447696390</v>
      </c>
      <c r="AF1937" s="79">
        <v>45121.731770833336</v>
      </c>
      <c r="AG1937" s="85">
        <v>45121</v>
      </c>
      <c r="AH1937" s="82" t="s">
        <v>9433</v>
      </c>
      <c r="AI1937" s="77" t="b">
        <v>0</v>
      </c>
      <c r="AJ1937" s="77"/>
      <c r="AK1937" s="77"/>
      <c r="AL1937" s="77"/>
      <c r="AM1937" s="77"/>
      <c r="AN1937" s="77"/>
      <c r="AO1937" s="77"/>
      <c r="AP1937" s="77"/>
      <c r="AQ1937" s="77" t="s">
        <v>11536</v>
      </c>
      <c r="AR1937" s="77"/>
      <c r="AS1937" s="77"/>
      <c r="AT1937" s="77"/>
      <c r="AU1937" s="77"/>
      <c r="AV1937" s="80" t="str">
        <f>HYPERLINK("https://pbs.twimg.com/media/F1A6jHoWAAM-AyB.png")</f>
        <v>https://pbs.twimg.com/media/F1A6jHoWAAM-AyB.png</v>
      </c>
      <c r="AW1937" s="82" t="s">
        <v>13533</v>
      </c>
      <c r="AX1937" s="82" t="s">
        <v>13533</v>
      </c>
      <c r="AY1937" s="77"/>
      <c r="AZ1937" s="82" t="s">
        <v>15984</v>
      </c>
      <c r="BA1937" s="82" t="s">
        <v>15984</v>
      </c>
      <c r="BB1937" s="82" t="s">
        <v>15984</v>
      </c>
      <c r="BC1937" s="82" t="s">
        <v>13533</v>
      </c>
      <c r="BD1937" s="77">
        <v>748960584</v>
      </c>
      <c r="BE1937" s="77"/>
      <c r="BF1937" s="77"/>
      <c r="BG1937" s="77"/>
      <c r="BH1937" s="77"/>
      <c r="BI1937" s="77"/>
    </row>
    <row r="1938" spans="1:61" x14ac:dyDescent="0.25">
      <c r="A1938" s="62" t="s">
        <v>697</v>
      </c>
      <c r="B1938" s="62" t="s">
        <v>697</v>
      </c>
      <c r="C1938" s="63"/>
      <c r="D1938" s="64"/>
      <c r="E1938" s="65"/>
      <c r="F1938" s="66"/>
      <c r="G1938" s="63"/>
      <c r="H1938" s="67"/>
      <c r="I1938" s="68"/>
      <c r="J1938" s="68"/>
      <c r="K1938" s="32"/>
      <c r="L1938" s="75">
        <v>1938</v>
      </c>
      <c r="M1938" s="75"/>
      <c r="N1938" s="70"/>
      <c r="O1938" s="77" t="s">
        <v>179</v>
      </c>
      <c r="P1938" s="79">
        <v>45121.234988425924</v>
      </c>
      <c r="Q1938" s="77" t="s">
        <v>2620</v>
      </c>
      <c r="R1938" s="77">
        <v>1</v>
      </c>
      <c r="S1938" s="77">
        <v>1</v>
      </c>
      <c r="T1938" s="77">
        <v>0</v>
      </c>
      <c r="U1938" s="77">
        <v>0</v>
      </c>
      <c r="V1938" s="77">
        <v>95</v>
      </c>
      <c r="W1938" s="82" t="s">
        <v>5801</v>
      </c>
      <c r="X1938" s="80" t="str">
        <f>HYPERLINK("https://javiermliron.blogspot.com/2023/07/ipc-espana-junio-2023.html")</f>
        <v>https://javiermliron.blogspot.com/2023/07/ipc-espana-junio-2023.html</v>
      </c>
      <c r="Y1938" s="77" t="s">
        <v>6532</v>
      </c>
      <c r="Z1938" s="77"/>
      <c r="AA1938" s="77" t="s">
        <v>7565</v>
      </c>
      <c r="AB1938" s="77" t="s">
        <v>7742</v>
      </c>
      <c r="AC1938" s="82" t="s">
        <v>7750</v>
      </c>
      <c r="AD1938" s="77" t="s">
        <v>7790</v>
      </c>
      <c r="AE1938" s="80" t="str">
        <f>HYPERLINK("https://twitter.com/jmendezliron/status/1679727015908261888")</f>
        <v>https://twitter.com/jmendezliron/status/1679727015908261888</v>
      </c>
      <c r="AF1938" s="79">
        <v>45121.234988425924</v>
      </c>
      <c r="AG1938" s="85">
        <v>45121</v>
      </c>
      <c r="AH1938" s="82" t="s">
        <v>9434</v>
      </c>
      <c r="AI1938" s="77" t="b">
        <v>0</v>
      </c>
      <c r="AJ1938" s="77"/>
      <c r="AK1938" s="77"/>
      <c r="AL1938" s="77"/>
      <c r="AM1938" s="77"/>
      <c r="AN1938" s="77"/>
      <c r="AO1938" s="77"/>
      <c r="AP1938" s="77"/>
      <c r="AQ1938" s="77" t="s">
        <v>11537</v>
      </c>
      <c r="AR1938" s="77"/>
      <c r="AS1938" s="77"/>
      <c r="AT1938" s="77"/>
      <c r="AU1938" s="77"/>
      <c r="AV1938" s="80" t="str">
        <f>HYPERLINK("https://pbs.twimg.com/media/F0-W0DcXwAA_7ca.png")</f>
        <v>https://pbs.twimg.com/media/F0-W0DcXwAA_7ca.png</v>
      </c>
      <c r="AW1938" s="82" t="s">
        <v>13534</v>
      </c>
      <c r="AX1938" s="82" t="s">
        <v>13534</v>
      </c>
      <c r="AY1938" s="77"/>
      <c r="AZ1938" s="82" t="s">
        <v>15984</v>
      </c>
      <c r="BA1938" s="82" t="s">
        <v>15984</v>
      </c>
      <c r="BB1938" s="82" t="s">
        <v>15984</v>
      </c>
      <c r="BC1938" s="82" t="s">
        <v>13534</v>
      </c>
      <c r="BD1938" s="77">
        <v>748960584</v>
      </c>
      <c r="BE1938" s="77"/>
      <c r="BF1938" s="77"/>
      <c r="BG1938" s="77"/>
      <c r="BH1938" s="77"/>
      <c r="BI1938" s="77"/>
    </row>
    <row r="1939" spans="1:61" x14ac:dyDescent="0.25">
      <c r="A1939" s="62" t="s">
        <v>697</v>
      </c>
      <c r="B1939" s="62" t="s">
        <v>697</v>
      </c>
      <c r="C1939" s="63"/>
      <c r="D1939" s="64"/>
      <c r="E1939" s="65"/>
      <c r="F1939" s="66"/>
      <c r="G1939" s="63"/>
      <c r="H1939" s="67"/>
      <c r="I1939" s="68"/>
      <c r="J1939" s="68"/>
      <c r="K1939" s="32"/>
      <c r="L1939" s="75">
        <v>1939</v>
      </c>
      <c r="M1939" s="75"/>
      <c r="N1939" s="70"/>
      <c r="O1939" s="77" t="s">
        <v>897</v>
      </c>
      <c r="P1939" s="79">
        <v>45196.245312500003</v>
      </c>
      <c r="Q1939" s="77" t="s">
        <v>2621</v>
      </c>
      <c r="R1939" s="77">
        <v>1</v>
      </c>
      <c r="S1939" s="77">
        <v>0</v>
      </c>
      <c r="T1939" s="77">
        <v>0</v>
      </c>
      <c r="U1939" s="77">
        <v>0</v>
      </c>
      <c r="V1939" s="77"/>
      <c r="W1939" s="82" t="s">
        <v>5843</v>
      </c>
      <c r="X1939" s="80" t="str">
        <f>HYPERLINK("https://javiermliron.blogspot.com/2023/09/indice-de-precios-industriales-espana.html")</f>
        <v>https://javiermliron.blogspot.com/2023/09/indice-de-precios-industriales-espana.html</v>
      </c>
      <c r="Y1939" s="77" t="s">
        <v>6532</v>
      </c>
      <c r="Z1939" s="77" t="s">
        <v>697</v>
      </c>
      <c r="AA1939" s="77"/>
      <c r="AB1939" s="77"/>
      <c r="AC1939" s="82" t="s">
        <v>7750</v>
      </c>
      <c r="AD1939" s="77" t="s">
        <v>7790</v>
      </c>
      <c r="AE1939" s="80" t="str">
        <f>HYPERLINK("https://twitter.com/jmendezliron/status/1706909850746188231")</f>
        <v>https://twitter.com/jmendezliron/status/1706909850746188231</v>
      </c>
      <c r="AF1939" s="79">
        <v>45196.245312500003</v>
      </c>
      <c r="AG1939" s="85">
        <v>45196</v>
      </c>
      <c r="AH1939" s="82" t="s">
        <v>9435</v>
      </c>
      <c r="AI1939" s="77" t="b">
        <v>0</v>
      </c>
      <c r="AJ1939" s="77"/>
      <c r="AK1939" s="77"/>
      <c r="AL1939" s="77"/>
      <c r="AM1939" s="77"/>
      <c r="AN1939" s="77"/>
      <c r="AO1939" s="77"/>
      <c r="AP1939" s="77"/>
      <c r="AQ1939" s="77"/>
      <c r="AR1939" s="77"/>
      <c r="AS1939" s="77"/>
      <c r="AT1939" s="77"/>
      <c r="AU1939" s="77"/>
      <c r="AV1939" s="80" t="str">
        <f>HYPERLINK("https://pbs.twimg.com/profile_images/612292231358246912/gMKxM5xX_normal.jpg")</f>
        <v>https://pbs.twimg.com/profile_images/612292231358246912/gMKxM5xX_normal.jpg</v>
      </c>
      <c r="AW1939" s="82" t="s">
        <v>13535</v>
      </c>
      <c r="AX1939" s="82" t="s">
        <v>13535</v>
      </c>
      <c r="AY1939" s="77"/>
      <c r="AZ1939" s="82" t="s">
        <v>15984</v>
      </c>
      <c r="BA1939" s="82" t="s">
        <v>15984</v>
      </c>
      <c r="BB1939" s="82" t="s">
        <v>13539</v>
      </c>
      <c r="BC1939" s="82" t="s">
        <v>13539</v>
      </c>
      <c r="BD1939" s="77">
        <v>748960584</v>
      </c>
      <c r="BE1939" s="77"/>
      <c r="BF1939" s="77"/>
      <c r="BG1939" s="77"/>
      <c r="BH1939" s="77"/>
      <c r="BI1939" s="77"/>
    </row>
    <row r="1940" spans="1:61" x14ac:dyDescent="0.25">
      <c r="A1940" s="62" t="s">
        <v>697</v>
      </c>
      <c r="B1940" s="62" t="s">
        <v>697</v>
      </c>
      <c r="C1940" s="63"/>
      <c r="D1940" s="64"/>
      <c r="E1940" s="65"/>
      <c r="F1940" s="66"/>
      <c r="G1940" s="63"/>
      <c r="H1940" s="67"/>
      <c r="I1940" s="68"/>
      <c r="J1940" s="68"/>
      <c r="K1940" s="32"/>
      <c r="L1940" s="75">
        <v>1940</v>
      </c>
      <c r="M1940" s="75"/>
      <c r="N1940" s="70"/>
      <c r="O1940" s="77" t="s">
        <v>179</v>
      </c>
      <c r="P1940" s="79">
        <v>45180.263159722221</v>
      </c>
      <c r="Q1940" s="77" t="s">
        <v>2622</v>
      </c>
      <c r="R1940" s="77">
        <v>1</v>
      </c>
      <c r="S1940" s="77">
        <v>1</v>
      </c>
      <c r="T1940" s="77">
        <v>0</v>
      </c>
      <c r="U1940" s="77">
        <v>0</v>
      </c>
      <c r="V1940" s="77">
        <v>48</v>
      </c>
      <c r="W1940" s="82" t="s">
        <v>5753</v>
      </c>
      <c r="X1940" s="80" t="str">
        <f>HYPERLINK("https://javiermliron.blogspot.com/2023/09/indice-de-produccion-industrial-espana.html")</f>
        <v>https://javiermliron.blogspot.com/2023/09/indice-de-produccion-industrial-espana.html</v>
      </c>
      <c r="Y1940" s="77" t="s">
        <v>6532</v>
      </c>
      <c r="Z1940" s="77"/>
      <c r="AA1940" s="77" t="s">
        <v>7566</v>
      </c>
      <c r="AB1940" s="77" t="s">
        <v>7742</v>
      </c>
      <c r="AC1940" s="82" t="s">
        <v>7750</v>
      </c>
      <c r="AD1940" s="77" t="s">
        <v>7790</v>
      </c>
      <c r="AE1940" s="80" t="str">
        <f>HYPERLINK("https://twitter.com/jmendezliron/status/1701118108692300035")</f>
        <v>https://twitter.com/jmendezliron/status/1701118108692300035</v>
      </c>
      <c r="AF1940" s="79">
        <v>45180.263159722221</v>
      </c>
      <c r="AG1940" s="85">
        <v>45180</v>
      </c>
      <c r="AH1940" s="82" t="s">
        <v>9436</v>
      </c>
      <c r="AI1940" s="77" t="b">
        <v>0</v>
      </c>
      <c r="AJ1940" s="77"/>
      <c r="AK1940" s="77"/>
      <c r="AL1940" s="77"/>
      <c r="AM1940" s="77"/>
      <c r="AN1940" s="77"/>
      <c r="AO1940" s="77"/>
      <c r="AP1940" s="77"/>
      <c r="AQ1940" s="77" t="s">
        <v>11538</v>
      </c>
      <c r="AR1940" s="77"/>
      <c r="AS1940" s="77"/>
      <c r="AT1940" s="77"/>
      <c r="AU1940" s="77"/>
      <c r="AV1940" s="80" t="str">
        <f>HYPERLINK("https://pbs.twimg.com/media/F5uV4hbXkAAR031.png")</f>
        <v>https://pbs.twimg.com/media/F5uV4hbXkAAR031.png</v>
      </c>
      <c r="AW1940" s="82" t="s">
        <v>13536</v>
      </c>
      <c r="AX1940" s="82" t="s">
        <v>13536</v>
      </c>
      <c r="AY1940" s="77"/>
      <c r="AZ1940" s="82" t="s">
        <v>15984</v>
      </c>
      <c r="BA1940" s="82" t="s">
        <v>15984</v>
      </c>
      <c r="BB1940" s="82" t="s">
        <v>15984</v>
      </c>
      <c r="BC1940" s="82" t="s">
        <v>13536</v>
      </c>
      <c r="BD1940" s="77">
        <v>748960584</v>
      </c>
      <c r="BE1940" s="77"/>
      <c r="BF1940" s="77"/>
      <c r="BG1940" s="77"/>
      <c r="BH1940" s="77"/>
      <c r="BI1940" s="77"/>
    </row>
    <row r="1941" spans="1:61" x14ac:dyDescent="0.25">
      <c r="A1941" s="62" t="s">
        <v>697</v>
      </c>
      <c r="B1941" s="62" t="s">
        <v>697</v>
      </c>
      <c r="C1941" s="63"/>
      <c r="D1941" s="64"/>
      <c r="E1941" s="65"/>
      <c r="F1941" s="66"/>
      <c r="G1941" s="63"/>
      <c r="H1941" s="67"/>
      <c r="I1941" s="68"/>
      <c r="J1941" s="68"/>
      <c r="K1941" s="32"/>
      <c r="L1941" s="75">
        <v>1941</v>
      </c>
      <c r="M1941" s="75"/>
      <c r="N1941" s="70"/>
      <c r="O1941" s="77" t="s">
        <v>179</v>
      </c>
      <c r="P1941" s="79">
        <v>45159.741168981483</v>
      </c>
      <c r="Q1941" s="77" t="s">
        <v>2623</v>
      </c>
      <c r="R1941" s="77">
        <v>1</v>
      </c>
      <c r="S1941" s="77">
        <v>1</v>
      </c>
      <c r="T1941" s="77">
        <v>0</v>
      </c>
      <c r="U1941" s="77">
        <v>0</v>
      </c>
      <c r="V1941" s="77">
        <v>84</v>
      </c>
      <c r="W1941" s="82" t="s">
        <v>5798</v>
      </c>
      <c r="X1941" s="80" t="str">
        <f>HYPERLINK("https://javiermliron.blogspot.com/2023/08/ipc-madrid-julio-2023.html")</f>
        <v>https://javiermliron.blogspot.com/2023/08/ipc-madrid-julio-2023.html</v>
      </c>
      <c r="Y1941" s="77" t="s">
        <v>6532</v>
      </c>
      <c r="Z1941" s="77"/>
      <c r="AA1941" s="77" t="s">
        <v>7567</v>
      </c>
      <c r="AB1941" s="77" t="s">
        <v>7742</v>
      </c>
      <c r="AC1941" s="82" t="s">
        <v>7750</v>
      </c>
      <c r="AD1941" s="77" t="s">
        <v>7790</v>
      </c>
      <c r="AE1941" s="80" t="str">
        <f>HYPERLINK("https://twitter.com/jmendezliron/status/1693681191600136472")</f>
        <v>https://twitter.com/jmendezliron/status/1693681191600136472</v>
      </c>
      <c r="AF1941" s="79">
        <v>45159.741168981483</v>
      </c>
      <c r="AG1941" s="85">
        <v>45159</v>
      </c>
      <c r="AH1941" s="82" t="s">
        <v>9437</v>
      </c>
      <c r="AI1941" s="77" t="b">
        <v>0</v>
      </c>
      <c r="AJ1941" s="77"/>
      <c r="AK1941" s="77"/>
      <c r="AL1941" s="77"/>
      <c r="AM1941" s="77"/>
      <c r="AN1941" s="77"/>
      <c r="AO1941" s="77"/>
      <c r="AP1941" s="77"/>
      <c r="AQ1941" s="77" t="s">
        <v>11539</v>
      </c>
      <c r="AR1941" s="77"/>
      <c r="AS1941" s="77"/>
      <c r="AT1941" s="77"/>
      <c r="AU1941" s="77"/>
      <c r="AV1941" s="80" t="str">
        <f>HYPERLINK("https://pbs.twimg.com/media/F4EqEMFXAAAwobr.png")</f>
        <v>https://pbs.twimg.com/media/F4EqEMFXAAAwobr.png</v>
      </c>
      <c r="AW1941" s="82" t="s">
        <v>13537</v>
      </c>
      <c r="AX1941" s="82" t="s">
        <v>13537</v>
      </c>
      <c r="AY1941" s="77"/>
      <c r="AZ1941" s="82" t="s">
        <v>15984</v>
      </c>
      <c r="BA1941" s="82" t="s">
        <v>15984</v>
      </c>
      <c r="BB1941" s="82" t="s">
        <v>15984</v>
      </c>
      <c r="BC1941" s="82" t="s">
        <v>13537</v>
      </c>
      <c r="BD1941" s="77">
        <v>748960584</v>
      </c>
      <c r="BE1941" s="77"/>
      <c r="BF1941" s="77"/>
      <c r="BG1941" s="77"/>
      <c r="BH1941" s="77"/>
      <c r="BI1941" s="77"/>
    </row>
    <row r="1942" spans="1:61" x14ac:dyDescent="0.25">
      <c r="A1942" s="62" t="s">
        <v>697</v>
      </c>
      <c r="B1942" s="62" t="s">
        <v>697</v>
      </c>
      <c r="C1942" s="63"/>
      <c r="D1942" s="64"/>
      <c r="E1942" s="65"/>
      <c r="F1942" s="66"/>
      <c r="G1942" s="63"/>
      <c r="H1942" s="67"/>
      <c r="I1942" s="68"/>
      <c r="J1942" s="68"/>
      <c r="K1942" s="32"/>
      <c r="L1942" s="75">
        <v>1942</v>
      </c>
      <c r="M1942" s="75"/>
      <c r="N1942" s="70"/>
      <c r="O1942" s="77" t="s">
        <v>898</v>
      </c>
      <c r="P1942" s="79">
        <v>45140.724710648145</v>
      </c>
      <c r="Q1942" s="77" t="s">
        <v>2624</v>
      </c>
      <c r="R1942" s="77">
        <v>1</v>
      </c>
      <c r="S1942" s="77">
        <v>1</v>
      </c>
      <c r="T1942" s="77">
        <v>0</v>
      </c>
      <c r="U1942" s="77">
        <v>0</v>
      </c>
      <c r="V1942" s="77">
        <v>78</v>
      </c>
      <c r="W1942" s="82" t="s">
        <v>5844</v>
      </c>
      <c r="X1942" s="80" t="str">
        <f>HYPERLINK("https://javiermliron.blogspot.com/2023/08/hipotecas-en-castilla-y-leon-mayo-2023.html")</f>
        <v>https://javiermliron.blogspot.com/2023/08/hipotecas-en-castilla-y-leon-mayo-2023.html</v>
      </c>
      <c r="Y1942" s="77" t="s">
        <v>6532</v>
      </c>
      <c r="Z1942" s="77"/>
      <c r="AA1942" s="77"/>
      <c r="AB1942" s="77"/>
      <c r="AC1942" s="82" t="s">
        <v>7750</v>
      </c>
      <c r="AD1942" s="77" t="s">
        <v>7790</v>
      </c>
      <c r="AE1942" s="80" t="str">
        <f>HYPERLINK("https://twitter.com/jmendezliron/status/1686789856804958210")</f>
        <v>https://twitter.com/jmendezliron/status/1686789856804958210</v>
      </c>
      <c r="AF1942" s="79">
        <v>45140.724710648145</v>
      </c>
      <c r="AG1942" s="85">
        <v>45140</v>
      </c>
      <c r="AH1942" s="82" t="s">
        <v>9438</v>
      </c>
      <c r="AI1942" s="77" t="b">
        <v>0</v>
      </c>
      <c r="AJ1942" s="77"/>
      <c r="AK1942" s="77"/>
      <c r="AL1942" s="77"/>
      <c r="AM1942" s="77"/>
      <c r="AN1942" s="77"/>
      <c r="AO1942" s="77"/>
      <c r="AP1942" s="77"/>
      <c r="AQ1942" s="77"/>
      <c r="AR1942" s="77"/>
      <c r="AS1942" s="77"/>
      <c r="AT1942" s="77"/>
      <c r="AU1942" s="77"/>
      <c r="AV1942" s="80" t="str">
        <f>HYPERLINK("https://pbs.twimg.com/profile_images/612292231358246912/gMKxM5xX_normal.jpg")</f>
        <v>https://pbs.twimg.com/profile_images/612292231358246912/gMKxM5xX_normal.jpg</v>
      </c>
      <c r="AW1942" s="82" t="s">
        <v>13538</v>
      </c>
      <c r="AX1942" s="82" t="s">
        <v>15895</v>
      </c>
      <c r="AY1942" s="82" t="s">
        <v>15975</v>
      </c>
      <c r="AZ1942" s="82" t="s">
        <v>15895</v>
      </c>
      <c r="BA1942" s="82" t="s">
        <v>15984</v>
      </c>
      <c r="BB1942" s="82" t="s">
        <v>15984</v>
      </c>
      <c r="BC1942" s="82" t="s">
        <v>15895</v>
      </c>
      <c r="BD1942" s="77">
        <v>748960584</v>
      </c>
      <c r="BE1942" s="77"/>
      <c r="BF1942" s="77"/>
      <c r="BG1942" s="77"/>
      <c r="BH1942" s="77"/>
      <c r="BI1942" s="77"/>
    </row>
    <row r="1943" spans="1:61" x14ac:dyDescent="0.25">
      <c r="A1943" s="62" t="s">
        <v>697</v>
      </c>
      <c r="B1943" s="62" t="s">
        <v>697</v>
      </c>
      <c r="C1943" s="63"/>
      <c r="D1943" s="64"/>
      <c r="E1943" s="65"/>
      <c r="F1943" s="66"/>
      <c r="G1943" s="63"/>
      <c r="H1943" s="67"/>
      <c r="I1943" s="68"/>
      <c r="J1943" s="68"/>
      <c r="K1943" s="32"/>
      <c r="L1943" s="75">
        <v>1943</v>
      </c>
      <c r="M1943" s="75"/>
      <c r="N1943" s="70"/>
      <c r="O1943" s="77" t="s">
        <v>898</v>
      </c>
      <c r="P1943" s="79">
        <v>45195.73400462963</v>
      </c>
      <c r="Q1943" s="77" t="s">
        <v>2625</v>
      </c>
      <c r="R1943" s="77">
        <v>1</v>
      </c>
      <c r="S1943" s="77">
        <v>1</v>
      </c>
      <c r="T1943" s="77">
        <v>0</v>
      </c>
      <c r="U1943" s="77">
        <v>0</v>
      </c>
      <c r="V1943" s="77">
        <v>24</v>
      </c>
      <c r="W1943" s="82" t="s">
        <v>5799</v>
      </c>
      <c r="X1943" s="80" t="str">
        <f>HYPERLINK("https://javiermliron.blogspot.com/2023/09/indice-de-precios-industriales-espana.html")</f>
        <v>https://javiermliron.blogspot.com/2023/09/indice-de-precios-industriales-espana.html</v>
      </c>
      <c r="Y1943" s="77" t="s">
        <v>6532</v>
      </c>
      <c r="Z1943" s="77"/>
      <c r="AA1943" s="77"/>
      <c r="AB1943" s="77"/>
      <c r="AC1943" s="82" t="s">
        <v>7750</v>
      </c>
      <c r="AD1943" s="77" t="s">
        <v>7790</v>
      </c>
      <c r="AE1943" s="80" t="str">
        <f>HYPERLINK("https://twitter.com/jmendezliron/status/1706724557477101724")</f>
        <v>https://twitter.com/jmendezliron/status/1706724557477101724</v>
      </c>
      <c r="AF1943" s="79">
        <v>45195.73400462963</v>
      </c>
      <c r="AG1943" s="85">
        <v>45195</v>
      </c>
      <c r="AH1943" s="82" t="s">
        <v>9439</v>
      </c>
      <c r="AI1943" s="77" t="b">
        <v>0</v>
      </c>
      <c r="AJ1943" s="77"/>
      <c r="AK1943" s="77"/>
      <c r="AL1943" s="77"/>
      <c r="AM1943" s="77"/>
      <c r="AN1943" s="77"/>
      <c r="AO1943" s="77"/>
      <c r="AP1943" s="77"/>
      <c r="AQ1943" s="77"/>
      <c r="AR1943" s="77"/>
      <c r="AS1943" s="77"/>
      <c r="AT1943" s="77"/>
      <c r="AU1943" s="77"/>
      <c r="AV1943" s="80" t="str">
        <f>HYPERLINK("https://pbs.twimg.com/profile_images/612292231358246912/gMKxM5xX_normal.jpg")</f>
        <v>https://pbs.twimg.com/profile_images/612292231358246912/gMKxM5xX_normal.jpg</v>
      </c>
      <c r="AW1943" s="82" t="s">
        <v>13539</v>
      </c>
      <c r="AX1943" s="82" t="s">
        <v>13548</v>
      </c>
      <c r="AY1943" s="82" t="s">
        <v>15975</v>
      </c>
      <c r="AZ1943" s="82" t="s">
        <v>13548</v>
      </c>
      <c r="BA1943" s="82" t="s">
        <v>15984</v>
      </c>
      <c r="BB1943" s="82" t="s">
        <v>15984</v>
      </c>
      <c r="BC1943" s="82" t="s">
        <v>13548</v>
      </c>
      <c r="BD1943" s="77">
        <v>748960584</v>
      </c>
      <c r="BE1943" s="77"/>
      <c r="BF1943" s="77"/>
      <c r="BG1943" s="77"/>
      <c r="BH1943" s="77"/>
      <c r="BI1943" s="77"/>
    </row>
    <row r="1944" spans="1:61" x14ac:dyDescent="0.25">
      <c r="A1944" s="62" t="s">
        <v>697</v>
      </c>
      <c r="B1944" s="62" t="s">
        <v>697</v>
      </c>
      <c r="C1944" s="63"/>
      <c r="D1944" s="64"/>
      <c r="E1944" s="65"/>
      <c r="F1944" s="66"/>
      <c r="G1944" s="63"/>
      <c r="H1944" s="67"/>
      <c r="I1944" s="68"/>
      <c r="J1944" s="68"/>
      <c r="K1944" s="32"/>
      <c r="L1944" s="75">
        <v>1944</v>
      </c>
      <c r="M1944" s="75"/>
      <c r="N1944" s="70"/>
      <c r="O1944" s="77" t="s">
        <v>179</v>
      </c>
      <c r="P1944" s="79">
        <v>45195.462847222225</v>
      </c>
      <c r="Q1944" s="77" t="s">
        <v>2626</v>
      </c>
      <c r="R1944" s="77">
        <v>1</v>
      </c>
      <c r="S1944" s="77">
        <v>2</v>
      </c>
      <c r="T1944" s="77">
        <v>0</v>
      </c>
      <c r="U1944" s="77">
        <v>0</v>
      </c>
      <c r="V1944" s="77">
        <v>92</v>
      </c>
      <c r="W1944" s="82" t="s">
        <v>5785</v>
      </c>
      <c r="X1944" s="80" t="str">
        <f>HYPERLINK("https://javiermliron.blogspot.com/2023/09/exportaciones-de-andalucia-de-julio-2023.html")</f>
        <v>https://javiermliron.blogspot.com/2023/09/exportaciones-de-andalucia-de-julio-2023.html</v>
      </c>
      <c r="Y1944" s="77" t="s">
        <v>6532</v>
      </c>
      <c r="Z1944" s="77"/>
      <c r="AA1944" s="77" t="s">
        <v>7568</v>
      </c>
      <c r="AB1944" s="77" t="s">
        <v>7742</v>
      </c>
      <c r="AC1944" s="82" t="s">
        <v>7750</v>
      </c>
      <c r="AD1944" s="77" t="s">
        <v>7790</v>
      </c>
      <c r="AE1944" s="80" t="str">
        <f>HYPERLINK("https://twitter.com/jmendezliron/status/1706626294836810207")</f>
        <v>https://twitter.com/jmendezliron/status/1706626294836810207</v>
      </c>
      <c r="AF1944" s="79">
        <v>45195.462847222225</v>
      </c>
      <c r="AG1944" s="85">
        <v>45195</v>
      </c>
      <c r="AH1944" s="82" t="s">
        <v>9440</v>
      </c>
      <c r="AI1944" s="77" t="b">
        <v>0</v>
      </c>
      <c r="AJ1944" s="77"/>
      <c r="AK1944" s="77"/>
      <c r="AL1944" s="77"/>
      <c r="AM1944" s="77"/>
      <c r="AN1944" s="77"/>
      <c r="AO1944" s="77"/>
      <c r="AP1944" s="77"/>
      <c r="AQ1944" s="77" t="s">
        <v>11540</v>
      </c>
      <c r="AR1944" s="77"/>
      <c r="AS1944" s="77"/>
      <c r="AT1944" s="77"/>
      <c r="AU1944" s="77"/>
      <c r="AV1944" s="80" t="str">
        <f>HYPERLINK("https://pbs.twimg.com/media/F68nkIuXAAA0juU.jpg")</f>
        <v>https://pbs.twimg.com/media/F68nkIuXAAA0juU.jpg</v>
      </c>
      <c r="AW1944" s="82" t="s">
        <v>13540</v>
      </c>
      <c r="AX1944" s="82" t="s">
        <v>13540</v>
      </c>
      <c r="AY1944" s="77"/>
      <c r="AZ1944" s="82" t="s">
        <v>15984</v>
      </c>
      <c r="BA1944" s="82" t="s">
        <v>15984</v>
      </c>
      <c r="BB1944" s="82" t="s">
        <v>15984</v>
      </c>
      <c r="BC1944" s="82" t="s">
        <v>13540</v>
      </c>
      <c r="BD1944" s="77">
        <v>748960584</v>
      </c>
      <c r="BE1944" s="77"/>
      <c r="BF1944" s="77"/>
      <c r="BG1944" s="77"/>
      <c r="BH1944" s="77"/>
      <c r="BI1944" s="77"/>
    </row>
    <row r="1945" spans="1:61" x14ac:dyDescent="0.25">
      <c r="A1945" s="62" t="s">
        <v>697</v>
      </c>
      <c r="B1945" s="62" t="s">
        <v>697</v>
      </c>
      <c r="C1945" s="63"/>
      <c r="D1945" s="64"/>
      <c r="E1945" s="65"/>
      <c r="F1945" s="66"/>
      <c r="G1945" s="63"/>
      <c r="H1945" s="67"/>
      <c r="I1945" s="68"/>
      <c r="J1945" s="68"/>
      <c r="K1945" s="32"/>
      <c r="L1945" s="75">
        <v>1945</v>
      </c>
      <c r="M1945" s="75"/>
      <c r="N1945" s="70"/>
      <c r="O1945" s="77" t="s">
        <v>179</v>
      </c>
      <c r="P1945" s="79">
        <v>45162.460972222223</v>
      </c>
      <c r="Q1945" s="77" t="s">
        <v>2627</v>
      </c>
      <c r="R1945" s="77">
        <v>1</v>
      </c>
      <c r="S1945" s="77">
        <v>1</v>
      </c>
      <c r="T1945" s="77">
        <v>0</v>
      </c>
      <c r="U1945" s="77">
        <v>0</v>
      </c>
      <c r="V1945" s="77">
        <v>74</v>
      </c>
      <c r="W1945" s="82" t="s">
        <v>5771</v>
      </c>
      <c r="X1945" s="80" t="str">
        <f>HYPERLINK("https://javiermliron.blogspot.com/2023/08/exportaciones-de-castilla-y-leon-de.html")</f>
        <v>https://javiermliron.blogspot.com/2023/08/exportaciones-de-castilla-y-leon-de.html</v>
      </c>
      <c r="Y1945" s="77" t="s">
        <v>6532</v>
      </c>
      <c r="Z1945" s="77"/>
      <c r="AA1945" s="77" t="s">
        <v>7569</v>
      </c>
      <c r="AB1945" s="77" t="s">
        <v>7742</v>
      </c>
      <c r="AC1945" s="82" t="s">
        <v>7750</v>
      </c>
      <c r="AD1945" s="77" t="s">
        <v>7790</v>
      </c>
      <c r="AE1945" s="80" t="str">
        <f>HYPERLINK("https://twitter.com/jmendezliron/status/1694666814444462272")</f>
        <v>https://twitter.com/jmendezliron/status/1694666814444462272</v>
      </c>
      <c r="AF1945" s="79">
        <v>45162.460972222223</v>
      </c>
      <c r="AG1945" s="85">
        <v>45162</v>
      </c>
      <c r="AH1945" s="82" t="s">
        <v>9441</v>
      </c>
      <c r="AI1945" s="77" t="b">
        <v>0</v>
      </c>
      <c r="AJ1945" s="77"/>
      <c r="AK1945" s="77"/>
      <c r="AL1945" s="77"/>
      <c r="AM1945" s="77"/>
      <c r="AN1945" s="77"/>
      <c r="AO1945" s="77"/>
      <c r="AP1945" s="77"/>
      <c r="AQ1945" s="77" t="s">
        <v>11541</v>
      </c>
      <c r="AR1945" s="77"/>
      <c r="AS1945" s="77"/>
      <c r="AT1945" s="77"/>
      <c r="AU1945" s="77"/>
      <c r="AV1945" s="80" t="str">
        <f>HYPERLINK("https://pbs.twimg.com/media/F4SqenHW8AAG_nn.jpg")</f>
        <v>https://pbs.twimg.com/media/F4SqenHW8AAG_nn.jpg</v>
      </c>
      <c r="AW1945" s="82" t="s">
        <v>13541</v>
      </c>
      <c r="AX1945" s="82" t="s">
        <v>13541</v>
      </c>
      <c r="AY1945" s="77"/>
      <c r="AZ1945" s="82" t="s">
        <v>15984</v>
      </c>
      <c r="BA1945" s="82" t="s">
        <v>15984</v>
      </c>
      <c r="BB1945" s="82" t="s">
        <v>15984</v>
      </c>
      <c r="BC1945" s="82" t="s">
        <v>13541</v>
      </c>
      <c r="BD1945" s="77">
        <v>748960584</v>
      </c>
      <c r="BE1945" s="77"/>
      <c r="BF1945" s="77"/>
      <c r="BG1945" s="77"/>
      <c r="BH1945" s="77"/>
      <c r="BI1945" s="77"/>
    </row>
    <row r="1946" spans="1:61" x14ac:dyDescent="0.25">
      <c r="A1946" s="62" t="s">
        <v>697</v>
      </c>
      <c r="B1946" s="62" t="s">
        <v>697</v>
      </c>
      <c r="C1946" s="63"/>
      <c r="D1946" s="64"/>
      <c r="E1946" s="65"/>
      <c r="F1946" s="66"/>
      <c r="G1946" s="63"/>
      <c r="H1946" s="67"/>
      <c r="I1946" s="68"/>
      <c r="J1946" s="68"/>
      <c r="K1946" s="32"/>
      <c r="L1946" s="75">
        <v>1946</v>
      </c>
      <c r="M1946" s="75"/>
      <c r="N1946" s="70"/>
      <c r="O1946" s="77" t="s">
        <v>898</v>
      </c>
      <c r="P1946" s="79">
        <v>45141.744050925925</v>
      </c>
      <c r="Q1946" s="77" t="s">
        <v>2628</v>
      </c>
      <c r="R1946" s="77">
        <v>1</v>
      </c>
      <c r="S1946" s="77">
        <v>1</v>
      </c>
      <c r="T1946" s="77">
        <v>0</v>
      </c>
      <c r="U1946" s="77">
        <v>0</v>
      </c>
      <c r="V1946" s="77">
        <v>81</v>
      </c>
      <c r="W1946" s="82" t="s">
        <v>5845</v>
      </c>
      <c r="X1946" s="80" t="str">
        <f>HYPERLINK("https://javiermliron.blogspot.com/2023/08/hipotecas-en-andalucia-mayo-2023.html")</f>
        <v>https://javiermliron.blogspot.com/2023/08/hipotecas-en-andalucia-mayo-2023.html</v>
      </c>
      <c r="Y1946" s="77" t="s">
        <v>6532</v>
      </c>
      <c r="Z1946" s="77"/>
      <c r="AA1946" s="77"/>
      <c r="AB1946" s="77"/>
      <c r="AC1946" s="82" t="s">
        <v>7750</v>
      </c>
      <c r="AD1946" s="77" t="s">
        <v>7790</v>
      </c>
      <c r="AE1946" s="80" t="str">
        <f>HYPERLINK("https://twitter.com/jmendezliron/status/1687159254568878086")</f>
        <v>https://twitter.com/jmendezliron/status/1687159254568878086</v>
      </c>
      <c r="AF1946" s="79">
        <v>45141.744050925925</v>
      </c>
      <c r="AG1946" s="85">
        <v>45141</v>
      </c>
      <c r="AH1946" s="82" t="s">
        <v>9442</v>
      </c>
      <c r="AI1946" s="77" t="b">
        <v>0</v>
      </c>
      <c r="AJ1946" s="77"/>
      <c r="AK1946" s="77"/>
      <c r="AL1946" s="77"/>
      <c r="AM1946" s="77"/>
      <c r="AN1946" s="77"/>
      <c r="AO1946" s="77"/>
      <c r="AP1946" s="77"/>
      <c r="AQ1946" s="77"/>
      <c r="AR1946" s="77"/>
      <c r="AS1946" s="77"/>
      <c r="AT1946" s="77"/>
      <c r="AU1946" s="77"/>
      <c r="AV1946" s="80" t="str">
        <f>HYPERLINK("https://pbs.twimg.com/profile_images/612292231358246912/gMKxM5xX_normal.jpg")</f>
        <v>https://pbs.twimg.com/profile_images/612292231358246912/gMKxM5xX_normal.jpg</v>
      </c>
      <c r="AW1946" s="82" t="s">
        <v>13542</v>
      </c>
      <c r="AX1946" s="82" t="s">
        <v>13543</v>
      </c>
      <c r="AY1946" s="82" t="s">
        <v>15975</v>
      </c>
      <c r="AZ1946" s="82" t="s">
        <v>13543</v>
      </c>
      <c r="BA1946" s="82" t="s">
        <v>15984</v>
      </c>
      <c r="BB1946" s="82" t="s">
        <v>15984</v>
      </c>
      <c r="BC1946" s="82" t="s">
        <v>13543</v>
      </c>
      <c r="BD1946" s="77">
        <v>748960584</v>
      </c>
      <c r="BE1946" s="77"/>
      <c r="BF1946" s="77"/>
      <c r="BG1946" s="77"/>
      <c r="BH1946" s="77"/>
      <c r="BI1946" s="77"/>
    </row>
    <row r="1947" spans="1:61" x14ac:dyDescent="0.25">
      <c r="A1947" s="62" t="s">
        <v>697</v>
      </c>
      <c r="B1947" s="62" t="s">
        <v>697</v>
      </c>
      <c r="C1947" s="63"/>
      <c r="D1947" s="64"/>
      <c r="E1947" s="65"/>
      <c r="F1947" s="66"/>
      <c r="G1947" s="63"/>
      <c r="H1947" s="67"/>
      <c r="I1947" s="68"/>
      <c r="J1947" s="68"/>
      <c r="K1947" s="32"/>
      <c r="L1947" s="75">
        <v>1947</v>
      </c>
      <c r="M1947" s="75"/>
      <c r="N1947" s="70"/>
      <c r="O1947" s="77" t="s">
        <v>179</v>
      </c>
      <c r="P1947" s="79">
        <v>45141.744050925925</v>
      </c>
      <c r="Q1947" s="77" t="s">
        <v>2629</v>
      </c>
      <c r="R1947" s="77">
        <v>1</v>
      </c>
      <c r="S1947" s="77">
        <v>1</v>
      </c>
      <c r="T1947" s="77">
        <v>1</v>
      </c>
      <c r="U1947" s="77">
        <v>0</v>
      </c>
      <c r="V1947" s="77">
        <v>107</v>
      </c>
      <c r="W1947" s="82" t="s">
        <v>5846</v>
      </c>
      <c r="X1947" s="80" t="str">
        <f>HYPERLINK("https://javiermliron.blogspot.com/2023/08/hipotecas-en-andalucia-mayo-2023.html")</f>
        <v>https://javiermliron.blogspot.com/2023/08/hipotecas-en-andalucia-mayo-2023.html</v>
      </c>
      <c r="Y1947" s="77" t="s">
        <v>6532</v>
      </c>
      <c r="Z1947" s="77"/>
      <c r="AA1947" s="77" t="s">
        <v>7570</v>
      </c>
      <c r="AB1947" s="77" t="s">
        <v>7742</v>
      </c>
      <c r="AC1947" s="82" t="s">
        <v>7750</v>
      </c>
      <c r="AD1947" s="77" t="s">
        <v>7790</v>
      </c>
      <c r="AE1947" s="80" t="str">
        <f>HYPERLINK("https://twitter.com/jmendezliron/status/1687159252224262146")</f>
        <v>https://twitter.com/jmendezliron/status/1687159252224262146</v>
      </c>
      <c r="AF1947" s="79">
        <v>45141.744050925925</v>
      </c>
      <c r="AG1947" s="85">
        <v>45141</v>
      </c>
      <c r="AH1947" s="82" t="s">
        <v>9442</v>
      </c>
      <c r="AI1947" s="77" t="b">
        <v>0</v>
      </c>
      <c r="AJ1947" s="77"/>
      <c r="AK1947" s="77"/>
      <c r="AL1947" s="77"/>
      <c r="AM1947" s="77"/>
      <c r="AN1947" s="77"/>
      <c r="AO1947" s="77"/>
      <c r="AP1947" s="77"/>
      <c r="AQ1947" s="77" t="s">
        <v>11542</v>
      </c>
      <c r="AR1947" s="77"/>
      <c r="AS1947" s="77"/>
      <c r="AT1947" s="77"/>
      <c r="AU1947" s="77"/>
      <c r="AV1947" s="80" t="str">
        <f>HYPERLINK("https://pbs.twimg.com/media/F2n-ZXJXQAU-qEA.png")</f>
        <v>https://pbs.twimg.com/media/F2n-ZXJXQAU-qEA.png</v>
      </c>
      <c r="AW1947" s="82" t="s">
        <v>13543</v>
      </c>
      <c r="AX1947" s="82" t="s">
        <v>13543</v>
      </c>
      <c r="AY1947" s="77"/>
      <c r="AZ1947" s="82" t="s">
        <v>15984</v>
      </c>
      <c r="BA1947" s="82" t="s">
        <v>15984</v>
      </c>
      <c r="BB1947" s="82" t="s">
        <v>15984</v>
      </c>
      <c r="BC1947" s="82" t="s">
        <v>13543</v>
      </c>
      <c r="BD1947" s="77">
        <v>748960584</v>
      </c>
      <c r="BE1947" s="77"/>
      <c r="BF1947" s="77"/>
      <c r="BG1947" s="77"/>
      <c r="BH1947" s="77"/>
      <c r="BI1947" s="77"/>
    </row>
    <row r="1948" spans="1:61" x14ac:dyDescent="0.25">
      <c r="A1948" s="62" t="s">
        <v>697</v>
      </c>
      <c r="B1948" s="62" t="s">
        <v>697</v>
      </c>
      <c r="C1948" s="63"/>
      <c r="D1948" s="64"/>
      <c r="E1948" s="65"/>
      <c r="F1948" s="66"/>
      <c r="G1948" s="63"/>
      <c r="H1948" s="67"/>
      <c r="I1948" s="68"/>
      <c r="J1948" s="68"/>
      <c r="K1948" s="32"/>
      <c r="L1948" s="75">
        <v>1948</v>
      </c>
      <c r="M1948" s="75"/>
      <c r="N1948" s="70"/>
      <c r="O1948" s="77" t="s">
        <v>179</v>
      </c>
      <c r="P1948" s="79">
        <v>45124.234953703701</v>
      </c>
      <c r="Q1948" s="77" t="s">
        <v>2630</v>
      </c>
      <c r="R1948" s="77">
        <v>1</v>
      </c>
      <c r="S1948" s="77">
        <v>1</v>
      </c>
      <c r="T1948" s="77">
        <v>0</v>
      </c>
      <c r="U1948" s="77">
        <v>0</v>
      </c>
      <c r="V1948" s="77">
        <v>94</v>
      </c>
      <c r="W1948" s="82" t="s">
        <v>5802</v>
      </c>
      <c r="X1948" s="80" t="str">
        <f>HYPERLINK("https://javiermliron.blogspot.com/2023/07/contratos-registrados-en-espana-junio.html")</f>
        <v>https://javiermliron.blogspot.com/2023/07/contratos-registrados-en-espana-junio.html</v>
      </c>
      <c r="Y1948" s="77" t="s">
        <v>6532</v>
      </c>
      <c r="Z1948" s="77"/>
      <c r="AA1948" s="77" t="s">
        <v>7571</v>
      </c>
      <c r="AB1948" s="77" t="s">
        <v>7742</v>
      </c>
      <c r="AC1948" s="82" t="s">
        <v>7750</v>
      </c>
      <c r="AD1948" s="77" t="s">
        <v>7790</v>
      </c>
      <c r="AE1948" s="80" t="str">
        <f>HYPERLINK("https://twitter.com/jmendezliron/status/1680814170441129985")</f>
        <v>https://twitter.com/jmendezliron/status/1680814170441129985</v>
      </c>
      <c r="AF1948" s="79">
        <v>45124.234953703701</v>
      </c>
      <c r="AG1948" s="85">
        <v>45124</v>
      </c>
      <c r="AH1948" s="82" t="s">
        <v>9443</v>
      </c>
      <c r="AI1948" s="77" t="b">
        <v>0</v>
      </c>
      <c r="AJ1948" s="77"/>
      <c r="AK1948" s="77"/>
      <c r="AL1948" s="77"/>
      <c r="AM1948" s="77"/>
      <c r="AN1948" s="77"/>
      <c r="AO1948" s="77"/>
      <c r="AP1948" s="77"/>
      <c r="AQ1948" s="77" t="s">
        <v>11543</v>
      </c>
      <c r="AR1948" s="77"/>
      <c r="AS1948" s="77"/>
      <c r="AT1948" s="77"/>
      <c r="AU1948" s="77"/>
      <c r="AV1948" s="80" t="str">
        <f>HYPERLINK("https://pbs.twimg.com/media/F1NzkxkWYAIADJ3.png")</f>
        <v>https://pbs.twimg.com/media/F1NzkxkWYAIADJ3.png</v>
      </c>
      <c r="AW1948" s="82" t="s">
        <v>13544</v>
      </c>
      <c r="AX1948" s="82" t="s">
        <v>13544</v>
      </c>
      <c r="AY1948" s="77"/>
      <c r="AZ1948" s="82" t="s">
        <v>15984</v>
      </c>
      <c r="BA1948" s="82" t="s">
        <v>15984</v>
      </c>
      <c r="BB1948" s="82" t="s">
        <v>15984</v>
      </c>
      <c r="BC1948" s="82" t="s">
        <v>13544</v>
      </c>
      <c r="BD1948" s="77">
        <v>748960584</v>
      </c>
      <c r="BE1948" s="77"/>
      <c r="BF1948" s="77"/>
      <c r="BG1948" s="77"/>
      <c r="BH1948" s="77"/>
      <c r="BI1948" s="77"/>
    </row>
    <row r="1949" spans="1:61" x14ac:dyDescent="0.25">
      <c r="A1949" s="62" t="s">
        <v>697</v>
      </c>
      <c r="B1949" s="62" t="s">
        <v>697</v>
      </c>
      <c r="C1949" s="63"/>
      <c r="D1949" s="64"/>
      <c r="E1949" s="65"/>
      <c r="F1949" s="66"/>
      <c r="G1949" s="63"/>
      <c r="H1949" s="67"/>
      <c r="I1949" s="68"/>
      <c r="J1949" s="68"/>
      <c r="K1949" s="32"/>
      <c r="L1949" s="75">
        <v>1949</v>
      </c>
      <c r="M1949" s="75"/>
      <c r="N1949" s="70"/>
      <c r="O1949" s="77" t="s">
        <v>179</v>
      </c>
      <c r="P1949" s="79">
        <v>45124.230509259258</v>
      </c>
      <c r="Q1949" s="77" t="s">
        <v>2631</v>
      </c>
      <c r="R1949" s="77">
        <v>1</v>
      </c>
      <c r="S1949" s="77">
        <v>1</v>
      </c>
      <c r="T1949" s="77">
        <v>0</v>
      </c>
      <c r="U1949" s="77">
        <v>0</v>
      </c>
      <c r="V1949" s="77">
        <v>80</v>
      </c>
      <c r="W1949" s="82" t="s">
        <v>5847</v>
      </c>
      <c r="X1949" s="80" t="str">
        <f>HYPERLINK("https://javiermliron.blogspot.com/2023/07/ipc-castilla-y-leon-junio-2023.html")</f>
        <v>https://javiermliron.blogspot.com/2023/07/ipc-castilla-y-leon-junio-2023.html</v>
      </c>
      <c r="Y1949" s="77" t="s">
        <v>6532</v>
      </c>
      <c r="Z1949" s="77"/>
      <c r="AA1949" s="77" t="s">
        <v>7572</v>
      </c>
      <c r="AB1949" s="77" t="s">
        <v>7742</v>
      </c>
      <c r="AC1949" s="82" t="s">
        <v>7750</v>
      </c>
      <c r="AD1949" s="77" t="s">
        <v>7790</v>
      </c>
      <c r="AE1949" s="80" t="str">
        <f>HYPERLINK("https://twitter.com/jmendezliron/status/1680812557869674496")</f>
        <v>https://twitter.com/jmendezliron/status/1680812557869674496</v>
      </c>
      <c r="AF1949" s="79">
        <v>45124.230509259258</v>
      </c>
      <c r="AG1949" s="85">
        <v>45124</v>
      </c>
      <c r="AH1949" s="82" t="s">
        <v>9444</v>
      </c>
      <c r="AI1949" s="77" t="b">
        <v>0</v>
      </c>
      <c r="AJ1949" s="77"/>
      <c r="AK1949" s="77"/>
      <c r="AL1949" s="77"/>
      <c r="AM1949" s="77"/>
      <c r="AN1949" s="77"/>
      <c r="AO1949" s="77"/>
      <c r="AP1949" s="77"/>
      <c r="AQ1949" s="77" t="s">
        <v>11544</v>
      </c>
      <c r="AR1949" s="77"/>
      <c r="AS1949" s="77"/>
      <c r="AT1949" s="77"/>
      <c r="AU1949" s="77"/>
      <c r="AV1949" s="80" t="str">
        <f>HYPERLINK("https://pbs.twimg.com/media/F1NyHMlX0AUCFZ7.png")</f>
        <v>https://pbs.twimg.com/media/F1NyHMlX0AUCFZ7.png</v>
      </c>
      <c r="AW1949" s="82" t="s">
        <v>13545</v>
      </c>
      <c r="AX1949" s="82" t="s">
        <v>13545</v>
      </c>
      <c r="AY1949" s="77"/>
      <c r="AZ1949" s="82" t="s">
        <v>15984</v>
      </c>
      <c r="BA1949" s="82" t="s">
        <v>15984</v>
      </c>
      <c r="BB1949" s="82" t="s">
        <v>15984</v>
      </c>
      <c r="BC1949" s="82" t="s">
        <v>13545</v>
      </c>
      <c r="BD1949" s="77">
        <v>748960584</v>
      </c>
      <c r="BE1949" s="77"/>
      <c r="BF1949" s="77"/>
      <c r="BG1949" s="77"/>
      <c r="BH1949" s="77"/>
      <c r="BI1949" s="77"/>
    </row>
    <row r="1950" spans="1:61" x14ac:dyDescent="0.25">
      <c r="A1950" s="62" t="s">
        <v>697</v>
      </c>
      <c r="B1950" s="62" t="s">
        <v>697</v>
      </c>
      <c r="C1950" s="63"/>
      <c r="D1950" s="64"/>
      <c r="E1950" s="65"/>
      <c r="F1950" s="66"/>
      <c r="G1950" s="63"/>
      <c r="H1950" s="67"/>
      <c r="I1950" s="68"/>
      <c r="J1950" s="68"/>
      <c r="K1950" s="32"/>
      <c r="L1950" s="75">
        <v>1950</v>
      </c>
      <c r="M1950" s="75"/>
      <c r="N1950" s="70"/>
      <c r="O1950" s="77" t="s">
        <v>898</v>
      </c>
      <c r="P1950" s="79">
        <v>45195.741967592592</v>
      </c>
      <c r="Q1950" s="77" t="s">
        <v>2632</v>
      </c>
      <c r="R1950" s="77">
        <v>1</v>
      </c>
      <c r="S1950" s="77">
        <v>1</v>
      </c>
      <c r="T1950" s="77">
        <v>0</v>
      </c>
      <c r="U1950" s="77">
        <v>0</v>
      </c>
      <c r="V1950" s="77">
        <v>50</v>
      </c>
      <c r="W1950" s="82" t="s">
        <v>5784</v>
      </c>
      <c r="X1950" s="80" t="str">
        <f>HYPERLINK("https://javiermliron.blogspot.com/2023/09/exportaciones-de-andalucia-de-julio-2023.html")</f>
        <v>https://javiermliron.blogspot.com/2023/09/exportaciones-de-andalucia-de-julio-2023.html</v>
      </c>
      <c r="Y1950" s="77" t="s">
        <v>6532</v>
      </c>
      <c r="Z1950" s="77"/>
      <c r="AA1950" s="77"/>
      <c r="AB1950" s="77"/>
      <c r="AC1950" s="82" t="s">
        <v>7750</v>
      </c>
      <c r="AD1950" s="77" t="s">
        <v>7790</v>
      </c>
      <c r="AE1950" s="80" t="str">
        <f>HYPERLINK("https://twitter.com/jmendezliron/status/1706727443678347770")</f>
        <v>https://twitter.com/jmendezliron/status/1706727443678347770</v>
      </c>
      <c r="AF1950" s="79">
        <v>45195.741967592592</v>
      </c>
      <c r="AG1950" s="85">
        <v>45195</v>
      </c>
      <c r="AH1950" s="82" t="s">
        <v>9445</v>
      </c>
      <c r="AI1950" s="77" t="b">
        <v>0</v>
      </c>
      <c r="AJ1950" s="77"/>
      <c r="AK1950" s="77"/>
      <c r="AL1950" s="77"/>
      <c r="AM1950" s="77"/>
      <c r="AN1950" s="77"/>
      <c r="AO1950" s="77"/>
      <c r="AP1950" s="77"/>
      <c r="AQ1950" s="77"/>
      <c r="AR1950" s="77"/>
      <c r="AS1950" s="77"/>
      <c r="AT1950" s="77"/>
      <c r="AU1950" s="77"/>
      <c r="AV1950" s="80" t="str">
        <f>HYPERLINK("https://pbs.twimg.com/profile_images/612292231358246912/gMKxM5xX_normal.jpg")</f>
        <v>https://pbs.twimg.com/profile_images/612292231358246912/gMKxM5xX_normal.jpg</v>
      </c>
      <c r="AW1950" s="82" t="s">
        <v>13546</v>
      </c>
      <c r="AX1950" s="82" t="s">
        <v>15896</v>
      </c>
      <c r="AY1950" s="82" t="s">
        <v>15975</v>
      </c>
      <c r="AZ1950" s="82" t="s">
        <v>15896</v>
      </c>
      <c r="BA1950" s="82" t="s">
        <v>15984</v>
      </c>
      <c r="BB1950" s="82" t="s">
        <v>15984</v>
      </c>
      <c r="BC1950" s="82" t="s">
        <v>15896</v>
      </c>
      <c r="BD1950" s="77">
        <v>748960584</v>
      </c>
      <c r="BE1950" s="77"/>
      <c r="BF1950" s="77"/>
      <c r="BG1950" s="77"/>
      <c r="BH1950" s="77"/>
      <c r="BI1950" s="77"/>
    </row>
    <row r="1951" spans="1:61" x14ac:dyDescent="0.25">
      <c r="A1951" s="62" t="s">
        <v>697</v>
      </c>
      <c r="B1951" s="62" t="s">
        <v>697</v>
      </c>
      <c r="C1951" s="63"/>
      <c r="D1951" s="64"/>
      <c r="E1951" s="65"/>
      <c r="F1951" s="66"/>
      <c r="G1951" s="63"/>
      <c r="H1951" s="67"/>
      <c r="I1951" s="68"/>
      <c r="J1951" s="68"/>
      <c r="K1951" s="32"/>
      <c r="L1951" s="75">
        <v>1951</v>
      </c>
      <c r="M1951" s="75"/>
      <c r="N1951" s="70"/>
      <c r="O1951" s="77" t="s">
        <v>897</v>
      </c>
      <c r="P1951" s="79">
        <v>45196.245405092595</v>
      </c>
      <c r="Q1951" s="77" t="s">
        <v>2633</v>
      </c>
      <c r="R1951" s="77">
        <v>1</v>
      </c>
      <c r="S1951" s="77">
        <v>0</v>
      </c>
      <c r="T1951" s="77">
        <v>0</v>
      </c>
      <c r="U1951" s="77">
        <v>0</v>
      </c>
      <c r="V1951" s="77"/>
      <c r="W1951" s="82" t="s">
        <v>5840</v>
      </c>
      <c r="X1951" s="80" t="str">
        <f>HYPERLINK("https://javiermliron.blogspot.com/2023/09/exportaciones-de-andalucia-de-julio-2023.html")</f>
        <v>https://javiermliron.blogspot.com/2023/09/exportaciones-de-andalucia-de-julio-2023.html</v>
      </c>
      <c r="Y1951" s="77" t="s">
        <v>6532</v>
      </c>
      <c r="Z1951" s="77" t="s">
        <v>697</v>
      </c>
      <c r="AA1951" s="77"/>
      <c r="AB1951" s="77"/>
      <c r="AC1951" s="82" t="s">
        <v>7750</v>
      </c>
      <c r="AD1951" s="77" t="s">
        <v>7790</v>
      </c>
      <c r="AE1951" s="80" t="str">
        <f>HYPERLINK("https://twitter.com/jmendezliron/status/1706909882035691625")</f>
        <v>https://twitter.com/jmendezliron/status/1706909882035691625</v>
      </c>
      <c r="AF1951" s="79">
        <v>45196.245405092595</v>
      </c>
      <c r="AG1951" s="85">
        <v>45196</v>
      </c>
      <c r="AH1951" s="82" t="s">
        <v>9446</v>
      </c>
      <c r="AI1951" s="77" t="b">
        <v>0</v>
      </c>
      <c r="AJ1951" s="77"/>
      <c r="AK1951" s="77"/>
      <c r="AL1951" s="77"/>
      <c r="AM1951" s="77"/>
      <c r="AN1951" s="77"/>
      <c r="AO1951" s="77"/>
      <c r="AP1951" s="77"/>
      <c r="AQ1951" s="77"/>
      <c r="AR1951" s="77"/>
      <c r="AS1951" s="77"/>
      <c r="AT1951" s="77"/>
      <c r="AU1951" s="77"/>
      <c r="AV1951" s="80" t="str">
        <f>HYPERLINK("https://pbs.twimg.com/profile_images/612292231358246912/gMKxM5xX_normal.jpg")</f>
        <v>https://pbs.twimg.com/profile_images/612292231358246912/gMKxM5xX_normal.jpg</v>
      </c>
      <c r="AW1951" s="82" t="s">
        <v>13547</v>
      </c>
      <c r="AX1951" s="82" t="s">
        <v>13547</v>
      </c>
      <c r="AY1951" s="77"/>
      <c r="AZ1951" s="82" t="s">
        <v>15984</v>
      </c>
      <c r="BA1951" s="82" t="s">
        <v>15984</v>
      </c>
      <c r="BB1951" s="82" t="s">
        <v>13546</v>
      </c>
      <c r="BC1951" s="82" t="s">
        <v>13546</v>
      </c>
      <c r="BD1951" s="77">
        <v>748960584</v>
      </c>
      <c r="BE1951" s="77"/>
      <c r="BF1951" s="77"/>
      <c r="BG1951" s="77"/>
      <c r="BH1951" s="77"/>
      <c r="BI1951" s="77"/>
    </row>
    <row r="1952" spans="1:61" x14ac:dyDescent="0.25">
      <c r="A1952" s="62" t="s">
        <v>697</v>
      </c>
      <c r="B1952" s="62" t="s">
        <v>697</v>
      </c>
      <c r="C1952" s="63"/>
      <c r="D1952" s="64"/>
      <c r="E1952" s="65"/>
      <c r="F1952" s="66"/>
      <c r="G1952" s="63"/>
      <c r="H1952" s="67"/>
      <c r="I1952" s="68"/>
      <c r="J1952" s="68"/>
      <c r="K1952" s="32"/>
      <c r="L1952" s="75">
        <v>1952</v>
      </c>
      <c r="M1952" s="75"/>
      <c r="N1952" s="70"/>
      <c r="O1952" s="77" t="s">
        <v>179</v>
      </c>
      <c r="P1952" s="79">
        <v>45195.733993055554</v>
      </c>
      <c r="Q1952" s="77" t="s">
        <v>2634</v>
      </c>
      <c r="R1952" s="77">
        <v>1</v>
      </c>
      <c r="S1952" s="77">
        <v>1</v>
      </c>
      <c r="T1952" s="77">
        <v>1</v>
      </c>
      <c r="U1952" s="77">
        <v>0</v>
      </c>
      <c r="V1952" s="77">
        <v>20</v>
      </c>
      <c r="W1952" s="82" t="s">
        <v>5848</v>
      </c>
      <c r="X1952" s="80" t="str">
        <f>HYPERLINK("https://javiermliron.blogspot.com/2023/09/indice-de-precios-industriales-espana.html")</f>
        <v>https://javiermliron.blogspot.com/2023/09/indice-de-precios-industriales-espana.html</v>
      </c>
      <c r="Y1952" s="77" t="s">
        <v>6532</v>
      </c>
      <c r="Z1952" s="77"/>
      <c r="AA1952" s="77" t="s">
        <v>7573</v>
      </c>
      <c r="AB1952" s="77" t="s">
        <v>7742</v>
      </c>
      <c r="AC1952" s="82" t="s">
        <v>7750</v>
      </c>
      <c r="AD1952" s="77" t="s">
        <v>7790</v>
      </c>
      <c r="AE1952" s="80" t="str">
        <f>HYPERLINK("https://twitter.com/jmendezliron/status/1706724554574643446")</f>
        <v>https://twitter.com/jmendezliron/status/1706724554574643446</v>
      </c>
      <c r="AF1952" s="79">
        <v>45195.733993055554</v>
      </c>
      <c r="AG1952" s="85">
        <v>45195</v>
      </c>
      <c r="AH1952" s="82" t="s">
        <v>9447</v>
      </c>
      <c r="AI1952" s="77" t="b">
        <v>0</v>
      </c>
      <c r="AJ1952" s="77"/>
      <c r="AK1952" s="77"/>
      <c r="AL1952" s="77"/>
      <c r="AM1952" s="77"/>
      <c r="AN1952" s="77"/>
      <c r="AO1952" s="77"/>
      <c r="AP1952" s="77"/>
      <c r="AQ1952" s="77" t="s">
        <v>11545</v>
      </c>
      <c r="AR1952" s="77"/>
      <c r="AS1952" s="77"/>
      <c r="AT1952" s="77"/>
      <c r="AU1952" s="77"/>
      <c r="AV1952" s="80" t="str">
        <f>HYPERLINK("https://pbs.twimg.com/media/F6-A7vwW8AAg3rm.png")</f>
        <v>https://pbs.twimg.com/media/F6-A7vwW8AAg3rm.png</v>
      </c>
      <c r="AW1952" s="82" t="s">
        <v>13548</v>
      </c>
      <c r="AX1952" s="82" t="s">
        <v>13548</v>
      </c>
      <c r="AY1952" s="77"/>
      <c r="AZ1952" s="82" t="s">
        <v>15984</v>
      </c>
      <c r="BA1952" s="82" t="s">
        <v>15984</v>
      </c>
      <c r="BB1952" s="82" t="s">
        <v>15984</v>
      </c>
      <c r="BC1952" s="82" t="s">
        <v>13548</v>
      </c>
      <c r="BD1952" s="77">
        <v>748960584</v>
      </c>
      <c r="BE1952" s="77"/>
      <c r="BF1952" s="77"/>
      <c r="BG1952" s="77"/>
      <c r="BH1952" s="77"/>
      <c r="BI1952" s="77"/>
    </row>
    <row r="1953" spans="1:61" x14ac:dyDescent="0.25">
      <c r="A1953" s="62" t="s">
        <v>697</v>
      </c>
      <c r="B1953" s="62" t="s">
        <v>697</v>
      </c>
      <c r="C1953" s="63"/>
      <c r="D1953" s="64"/>
      <c r="E1953" s="65"/>
      <c r="F1953" s="66"/>
      <c r="G1953" s="63"/>
      <c r="H1953" s="67"/>
      <c r="I1953" s="68"/>
      <c r="J1953" s="68"/>
      <c r="K1953" s="32"/>
      <c r="L1953" s="75">
        <v>1953</v>
      </c>
      <c r="M1953" s="75"/>
      <c r="N1953" s="70"/>
      <c r="O1953" s="77" t="s">
        <v>897</v>
      </c>
      <c r="P1953" s="79">
        <v>45196.245347222219</v>
      </c>
      <c r="Q1953" s="77" t="s">
        <v>2635</v>
      </c>
      <c r="R1953" s="77">
        <v>1</v>
      </c>
      <c r="S1953" s="77">
        <v>0</v>
      </c>
      <c r="T1953" s="77">
        <v>0</v>
      </c>
      <c r="U1953" s="77">
        <v>0</v>
      </c>
      <c r="V1953" s="77"/>
      <c r="W1953" s="82" t="s">
        <v>5849</v>
      </c>
      <c r="X1953" s="77"/>
      <c r="Y1953" s="77"/>
      <c r="Z1953" s="77" t="s">
        <v>697</v>
      </c>
      <c r="AA1953" s="77"/>
      <c r="AB1953" s="77"/>
      <c r="AC1953" s="82" t="s">
        <v>7750</v>
      </c>
      <c r="AD1953" s="77" t="s">
        <v>7790</v>
      </c>
      <c r="AE1953" s="80" t="str">
        <f>HYPERLINK("https://twitter.com/jmendezliron/status/1706909860560863619")</f>
        <v>https://twitter.com/jmendezliron/status/1706909860560863619</v>
      </c>
      <c r="AF1953" s="79">
        <v>45196.245347222219</v>
      </c>
      <c r="AG1953" s="85">
        <v>45196</v>
      </c>
      <c r="AH1953" s="82" t="s">
        <v>9448</v>
      </c>
      <c r="AI1953" s="77"/>
      <c r="AJ1953" s="77"/>
      <c r="AK1953" s="77"/>
      <c r="AL1953" s="77"/>
      <c r="AM1953" s="77"/>
      <c r="AN1953" s="77"/>
      <c r="AO1953" s="77"/>
      <c r="AP1953" s="77"/>
      <c r="AQ1953" s="77"/>
      <c r="AR1953" s="77"/>
      <c r="AS1953" s="77"/>
      <c r="AT1953" s="77"/>
      <c r="AU1953" s="77"/>
      <c r="AV1953" s="80" t="str">
        <f>HYPERLINK("https://pbs.twimg.com/profile_images/612292231358246912/gMKxM5xX_normal.jpg")</f>
        <v>https://pbs.twimg.com/profile_images/612292231358246912/gMKxM5xX_normal.jpg</v>
      </c>
      <c r="AW1953" s="82" t="s">
        <v>13549</v>
      </c>
      <c r="AX1953" s="82" t="s">
        <v>13549</v>
      </c>
      <c r="AY1953" s="77"/>
      <c r="AZ1953" s="82" t="s">
        <v>15984</v>
      </c>
      <c r="BA1953" s="82" t="s">
        <v>15984</v>
      </c>
      <c r="BB1953" s="82" t="s">
        <v>13548</v>
      </c>
      <c r="BC1953" s="82" t="s">
        <v>13548</v>
      </c>
      <c r="BD1953" s="77">
        <v>748960584</v>
      </c>
      <c r="BE1953" s="77"/>
      <c r="BF1953" s="77"/>
      <c r="BG1953" s="77"/>
      <c r="BH1953" s="77"/>
      <c r="BI1953" s="77"/>
    </row>
    <row r="1954" spans="1:61" x14ac:dyDescent="0.25">
      <c r="A1954" s="62" t="s">
        <v>697</v>
      </c>
      <c r="B1954" s="62" t="s">
        <v>697</v>
      </c>
      <c r="C1954" s="63"/>
      <c r="D1954" s="64"/>
      <c r="E1954" s="65"/>
      <c r="F1954" s="66"/>
      <c r="G1954" s="63"/>
      <c r="H1954" s="67"/>
      <c r="I1954" s="68"/>
      <c r="J1954" s="68"/>
      <c r="K1954" s="32"/>
      <c r="L1954" s="75">
        <v>1954</v>
      </c>
      <c r="M1954" s="75"/>
      <c r="N1954" s="70"/>
      <c r="O1954" s="77" t="s">
        <v>898</v>
      </c>
      <c r="P1954" s="79">
        <v>45194.74019675926</v>
      </c>
      <c r="Q1954" s="77" t="s">
        <v>2636</v>
      </c>
      <c r="R1954" s="77">
        <v>1</v>
      </c>
      <c r="S1954" s="77">
        <v>1</v>
      </c>
      <c r="T1954" s="77">
        <v>0</v>
      </c>
      <c r="U1954" s="77">
        <v>0</v>
      </c>
      <c r="V1954" s="77">
        <v>20</v>
      </c>
      <c r="W1954" s="82" t="s">
        <v>5778</v>
      </c>
      <c r="X1954" s="80" t="str">
        <f>HYPERLINK("https://javiermliron.blogspot.com/2023/09/exportaciones-de-castilla-y-leon-de.html")</f>
        <v>https://javiermliron.blogspot.com/2023/09/exportaciones-de-castilla-y-leon-de.html</v>
      </c>
      <c r="Y1954" s="77" t="s">
        <v>6532</v>
      </c>
      <c r="Z1954" s="77"/>
      <c r="AA1954" s="77"/>
      <c r="AB1954" s="77"/>
      <c r="AC1954" s="82" t="s">
        <v>7750</v>
      </c>
      <c r="AD1954" s="77" t="s">
        <v>7790</v>
      </c>
      <c r="AE1954" s="80" t="str">
        <f>HYPERLINK("https://twitter.com/jmendezliron/status/1706364414037746174")</f>
        <v>https://twitter.com/jmendezliron/status/1706364414037746174</v>
      </c>
      <c r="AF1954" s="79">
        <v>45194.74019675926</v>
      </c>
      <c r="AG1954" s="85">
        <v>45194</v>
      </c>
      <c r="AH1954" s="82" t="s">
        <v>9449</v>
      </c>
      <c r="AI1954" s="77" t="b">
        <v>0</v>
      </c>
      <c r="AJ1954" s="77"/>
      <c r="AK1954" s="77"/>
      <c r="AL1954" s="77"/>
      <c r="AM1954" s="77"/>
      <c r="AN1954" s="77"/>
      <c r="AO1954" s="77"/>
      <c r="AP1954" s="77"/>
      <c r="AQ1954" s="77"/>
      <c r="AR1954" s="77"/>
      <c r="AS1954" s="77"/>
      <c r="AT1954" s="77"/>
      <c r="AU1954" s="77"/>
      <c r="AV1954" s="80" t="str">
        <f>HYPERLINK("https://pbs.twimg.com/profile_images/612292231358246912/gMKxM5xX_normal.jpg")</f>
        <v>https://pbs.twimg.com/profile_images/612292231358246912/gMKxM5xX_normal.jpg</v>
      </c>
      <c r="AW1954" s="82" t="s">
        <v>13550</v>
      </c>
      <c r="AX1954" s="82" t="s">
        <v>15897</v>
      </c>
      <c r="AY1954" s="82" t="s">
        <v>15975</v>
      </c>
      <c r="AZ1954" s="82" t="s">
        <v>15897</v>
      </c>
      <c r="BA1954" s="82" t="s">
        <v>15984</v>
      </c>
      <c r="BB1954" s="82" t="s">
        <v>15984</v>
      </c>
      <c r="BC1954" s="82" t="s">
        <v>15897</v>
      </c>
      <c r="BD1954" s="77">
        <v>748960584</v>
      </c>
      <c r="BE1954" s="77"/>
      <c r="BF1954" s="77"/>
      <c r="BG1954" s="77"/>
      <c r="BH1954" s="77"/>
      <c r="BI1954" s="77"/>
    </row>
    <row r="1955" spans="1:61" x14ac:dyDescent="0.25">
      <c r="A1955" s="62" t="s">
        <v>697</v>
      </c>
      <c r="B1955" s="62" t="s">
        <v>697</v>
      </c>
      <c r="C1955" s="63"/>
      <c r="D1955" s="64"/>
      <c r="E1955" s="65"/>
      <c r="F1955" s="66"/>
      <c r="G1955" s="63"/>
      <c r="H1955" s="67"/>
      <c r="I1955" s="68"/>
      <c r="J1955" s="68"/>
      <c r="K1955" s="32"/>
      <c r="L1955" s="75">
        <v>1955</v>
      </c>
      <c r="M1955" s="75"/>
      <c r="N1955" s="70"/>
      <c r="O1955" s="77" t="s">
        <v>897</v>
      </c>
      <c r="P1955" s="79">
        <v>45195.254236111112</v>
      </c>
      <c r="Q1955" s="77" t="s">
        <v>2637</v>
      </c>
      <c r="R1955" s="77">
        <v>1</v>
      </c>
      <c r="S1955" s="77">
        <v>0</v>
      </c>
      <c r="T1955" s="77">
        <v>0</v>
      </c>
      <c r="U1955" s="77">
        <v>0</v>
      </c>
      <c r="V1955" s="77"/>
      <c r="W1955" s="82" t="s">
        <v>5850</v>
      </c>
      <c r="X1955" s="80" t="str">
        <f>HYPERLINK("https://javiermliron.blogspot.com/2023/09/exportaciones-de-castilla-y-leon-de.html")</f>
        <v>https://javiermliron.blogspot.com/2023/09/exportaciones-de-castilla-y-leon-de.html</v>
      </c>
      <c r="Y1955" s="77" t="s">
        <v>6532</v>
      </c>
      <c r="Z1955" s="77" t="s">
        <v>697</v>
      </c>
      <c r="AA1955" s="77"/>
      <c r="AB1955" s="77"/>
      <c r="AC1955" s="82" t="s">
        <v>7750</v>
      </c>
      <c r="AD1955" s="77" t="s">
        <v>7790</v>
      </c>
      <c r="AE1955" s="80" t="str">
        <f>HYPERLINK("https://twitter.com/jmendezliron/status/1706550695283802508")</f>
        <v>https://twitter.com/jmendezliron/status/1706550695283802508</v>
      </c>
      <c r="AF1955" s="79">
        <v>45195.254236111112</v>
      </c>
      <c r="AG1955" s="85">
        <v>45195</v>
      </c>
      <c r="AH1955" s="82" t="s">
        <v>9450</v>
      </c>
      <c r="AI1955" s="77" t="b">
        <v>0</v>
      </c>
      <c r="AJ1955" s="77"/>
      <c r="AK1955" s="77"/>
      <c r="AL1955" s="77"/>
      <c r="AM1955" s="77"/>
      <c r="AN1955" s="77"/>
      <c r="AO1955" s="77"/>
      <c r="AP1955" s="77"/>
      <c r="AQ1955" s="77"/>
      <c r="AR1955" s="77"/>
      <c r="AS1955" s="77"/>
      <c r="AT1955" s="77"/>
      <c r="AU1955" s="77"/>
      <c r="AV1955" s="80" t="str">
        <f>HYPERLINK("https://pbs.twimg.com/profile_images/612292231358246912/gMKxM5xX_normal.jpg")</f>
        <v>https://pbs.twimg.com/profile_images/612292231358246912/gMKxM5xX_normal.jpg</v>
      </c>
      <c r="AW1955" s="82" t="s">
        <v>13551</v>
      </c>
      <c r="AX1955" s="82" t="s">
        <v>13551</v>
      </c>
      <c r="AY1955" s="77"/>
      <c r="AZ1955" s="82" t="s">
        <v>15984</v>
      </c>
      <c r="BA1955" s="82" t="s">
        <v>15984</v>
      </c>
      <c r="BB1955" s="82" t="s">
        <v>13550</v>
      </c>
      <c r="BC1955" s="82" t="s">
        <v>13550</v>
      </c>
      <c r="BD1955" s="77">
        <v>748960584</v>
      </c>
      <c r="BE1955" s="77"/>
      <c r="BF1955" s="77"/>
      <c r="BG1955" s="77"/>
      <c r="BH1955" s="77"/>
      <c r="BI1955" s="77"/>
    </row>
    <row r="1956" spans="1:61" x14ac:dyDescent="0.25">
      <c r="A1956" s="62" t="s">
        <v>697</v>
      </c>
      <c r="B1956" s="62" t="s">
        <v>697</v>
      </c>
      <c r="C1956" s="63"/>
      <c r="D1956" s="64"/>
      <c r="E1956" s="65"/>
      <c r="F1956" s="66"/>
      <c r="G1956" s="63"/>
      <c r="H1956" s="67"/>
      <c r="I1956" s="68"/>
      <c r="J1956" s="68"/>
      <c r="K1956" s="32"/>
      <c r="L1956" s="75">
        <v>1956</v>
      </c>
      <c r="M1956" s="75"/>
      <c r="N1956" s="70"/>
      <c r="O1956" s="77" t="s">
        <v>179</v>
      </c>
      <c r="P1956" s="79">
        <v>45194.470567129632</v>
      </c>
      <c r="Q1956" s="77" t="s">
        <v>2638</v>
      </c>
      <c r="R1956" s="77">
        <v>1</v>
      </c>
      <c r="S1956" s="77">
        <v>1</v>
      </c>
      <c r="T1956" s="77">
        <v>0</v>
      </c>
      <c r="U1956" s="77">
        <v>0</v>
      </c>
      <c r="V1956" s="77">
        <v>16</v>
      </c>
      <c r="W1956" s="82" t="s">
        <v>5771</v>
      </c>
      <c r="X1956" s="80" t="str">
        <f>HYPERLINK("https://javiermliron.blogspot.com/2023/09/exportaciones-de-castilla-y-leon-de.html")</f>
        <v>https://javiermliron.blogspot.com/2023/09/exportaciones-de-castilla-y-leon-de.html</v>
      </c>
      <c r="Y1956" s="77" t="s">
        <v>6532</v>
      </c>
      <c r="Z1956" s="77"/>
      <c r="AA1956" s="77" t="s">
        <v>7574</v>
      </c>
      <c r="AB1956" s="77" t="s">
        <v>7742</v>
      </c>
      <c r="AC1956" s="82" t="s">
        <v>7750</v>
      </c>
      <c r="AD1956" s="77" t="s">
        <v>7790</v>
      </c>
      <c r="AE1956" s="80" t="str">
        <f>HYPERLINK("https://twitter.com/jmendezliron/status/1706266704068612502")</f>
        <v>https://twitter.com/jmendezliron/status/1706266704068612502</v>
      </c>
      <c r="AF1956" s="79">
        <v>45194.470567129632</v>
      </c>
      <c r="AG1956" s="85">
        <v>45194</v>
      </c>
      <c r="AH1956" s="82" t="s">
        <v>9451</v>
      </c>
      <c r="AI1956" s="77" t="b">
        <v>0</v>
      </c>
      <c r="AJ1956" s="77"/>
      <c r="AK1956" s="77"/>
      <c r="AL1956" s="77"/>
      <c r="AM1956" s="77"/>
      <c r="AN1956" s="77"/>
      <c r="AO1956" s="77"/>
      <c r="AP1956" s="77"/>
      <c r="AQ1956" s="77" t="s">
        <v>11546</v>
      </c>
      <c r="AR1956" s="77"/>
      <c r="AS1956" s="77"/>
      <c r="AT1956" s="77"/>
      <c r="AU1956" s="77"/>
      <c r="AV1956" s="80" t="str">
        <f>HYPERLINK("https://pbs.twimg.com/media/F63ghL5WwAA4iDA.jpg")</f>
        <v>https://pbs.twimg.com/media/F63ghL5WwAA4iDA.jpg</v>
      </c>
      <c r="AW1956" s="82" t="s">
        <v>13552</v>
      </c>
      <c r="AX1956" s="82" t="s">
        <v>13552</v>
      </c>
      <c r="AY1956" s="77"/>
      <c r="AZ1956" s="82" t="s">
        <v>15984</v>
      </c>
      <c r="BA1956" s="82" t="s">
        <v>15984</v>
      </c>
      <c r="BB1956" s="82" t="s">
        <v>15984</v>
      </c>
      <c r="BC1956" s="82" t="s">
        <v>13552</v>
      </c>
      <c r="BD1956" s="77">
        <v>748960584</v>
      </c>
      <c r="BE1956" s="77"/>
      <c r="BF1956" s="77"/>
      <c r="BG1956" s="77"/>
      <c r="BH1956" s="77"/>
      <c r="BI1956" s="77"/>
    </row>
    <row r="1957" spans="1:61" x14ac:dyDescent="0.25">
      <c r="A1957" s="62" t="s">
        <v>697</v>
      </c>
      <c r="B1957" s="62" t="s">
        <v>697</v>
      </c>
      <c r="C1957" s="63"/>
      <c r="D1957" s="64"/>
      <c r="E1957" s="65"/>
      <c r="F1957" s="66"/>
      <c r="G1957" s="63"/>
      <c r="H1957" s="67"/>
      <c r="I1957" s="68"/>
      <c r="J1957" s="68"/>
      <c r="K1957" s="32"/>
      <c r="L1957" s="75">
        <v>1957</v>
      </c>
      <c r="M1957" s="75"/>
      <c r="N1957" s="70"/>
      <c r="O1957" s="77" t="s">
        <v>897</v>
      </c>
      <c r="P1957" s="79">
        <v>45194.67260416667</v>
      </c>
      <c r="Q1957" s="77" t="s">
        <v>2639</v>
      </c>
      <c r="R1957" s="77">
        <v>1</v>
      </c>
      <c r="S1957" s="77">
        <v>0</v>
      </c>
      <c r="T1957" s="77">
        <v>0</v>
      </c>
      <c r="U1957" s="77">
        <v>0</v>
      </c>
      <c r="V1957" s="77"/>
      <c r="W1957" s="82" t="s">
        <v>5851</v>
      </c>
      <c r="X1957" s="77"/>
      <c r="Y1957" s="77"/>
      <c r="Z1957" s="77" t="s">
        <v>697</v>
      </c>
      <c r="AA1957" s="77"/>
      <c r="AB1957" s="77"/>
      <c r="AC1957" s="82" t="s">
        <v>7750</v>
      </c>
      <c r="AD1957" s="77" t="s">
        <v>7790</v>
      </c>
      <c r="AE1957" s="80" t="str">
        <f>HYPERLINK("https://twitter.com/jmendezliron/status/1706339918975304078")</f>
        <v>https://twitter.com/jmendezliron/status/1706339918975304078</v>
      </c>
      <c r="AF1957" s="79">
        <v>45194.67260416667</v>
      </c>
      <c r="AG1957" s="85">
        <v>45194</v>
      </c>
      <c r="AH1957" s="82" t="s">
        <v>9452</v>
      </c>
      <c r="AI1957" s="77"/>
      <c r="AJ1957" s="77"/>
      <c r="AK1957" s="77"/>
      <c r="AL1957" s="77"/>
      <c r="AM1957" s="77"/>
      <c r="AN1957" s="77"/>
      <c r="AO1957" s="77"/>
      <c r="AP1957" s="77"/>
      <c r="AQ1957" s="77"/>
      <c r="AR1957" s="77"/>
      <c r="AS1957" s="77"/>
      <c r="AT1957" s="77"/>
      <c r="AU1957" s="77"/>
      <c r="AV1957" s="80" t="str">
        <f>HYPERLINK("https://pbs.twimg.com/profile_images/612292231358246912/gMKxM5xX_normal.jpg")</f>
        <v>https://pbs.twimg.com/profile_images/612292231358246912/gMKxM5xX_normal.jpg</v>
      </c>
      <c r="AW1957" s="82" t="s">
        <v>13553</v>
      </c>
      <c r="AX1957" s="82" t="s">
        <v>13553</v>
      </c>
      <c r="AY1957" s="77"/>
      <c r="AZ1957" s="82" t="s">
        <v>15984</v>
      </c>
      <c r="BA1957" s="82" t="s">
        <v>15984</v>
      </c>
      <c r="BB1957" s="82" t="s">
        <v>13552</v>
      </c>
      <c r="BC1957" s="82" t="s">
        <v>13552</v>
      </c>
      <c r="BD1957" s="77">
        <v>748960584</v>
      </c>
      <c r="BE1957" s="77"/>
      <c r="BF1957" s="77"/>
      <c r="BG1957" s="77"/>
      <c r="BH1957" s="77"/>
      <c r="BI1957" s="77"/>
    </row>
    <row r="1958" spans="1:61" x14ac:dyDescent="0.25">
      <c r="A1958" s="62" t="s">
        <v>697</v>
      </c>
      <c r="B1958" s="62" t="s">
        <v>697</v>
      </c>
      <c r="C1958" s="63"/>
      <c r="D1958" s="64"/>
      <c r="E1958" s="65"/>
      <c r="F1958" s="66"/>
      <c r="G1958" s="63"/>
      <c r="H1958" s="67"/>
      <c r="I1958" s="68"/>
      <c r="J1958" s="68"/>
      <c r="K1958" s="32"/>
      <c r="L1958" s="75">
        <v>1958</v>
      </c>
      <c r="M1958" s="75"/>
      <c r="N1958" s="70"/>
      <c r="O1958" s="77" t="s">
        <v>179</v>
      </c>
      <c r="P1958" s="79">
        <v>45187.244780092595</v>
      </c>
      <c r="Q1958" s="77" t="s">
        <v>2640</v>
      </c>
      <c r="R1958" s="77">
        <v>1</v>
      </c>
      <c r="S1958" s="77">
        <v>1</v>
      </c>
      <c r="T1958" s="77">
        <v>0</v>
      </c>
      <c r="U1958" s="77">
        <v>0</v>
      </c>
      <c r="V1958" s="77">
        <v>32</v>
      </c>
      <c r="W1958" s="82" t="s">
        <v>5852</v>
      </c>
      <c r="X1958" s="80" t="str">
        <f>HYPERLINK("https://javiermliron.blogspot.com/2023/09/ipc-castilla-y-leon-agosto-2023.html")</f>
        <v>https://javiermliron.blogspot.com/2023/09/ipc-castilla-y-leon-agosto-2023.html</v>
      </c>
      <c r="Y1958" s="77" t="s">
        <v>6532</v>
      </c>
      <c r="Z1958" s="77"/>
      <c r="AA1958" s="77" t="s">
        <v>7575</v>
      </c>
      <c r="AB1958" s="77" t="s">
        <v>7742</v>
      </c>
      <c r="AC1958" s="82" t="s">
        <v>7750</v>
      </c>
      <c r="AD1958" s="77" t="s">
        <v>7790</v>
      </c>
      <c r="AE1958" s="80" t="str">
        <f>HYPERLINK("https://twitter.com/jmendezliron/status/1703648166380237267")</f>
        <v>https://twitter.com/jmendezliron/status/1703648166380237267</v>
      </c>
      <c r="AF1958" s="79">
        <v>45187.244780092595</v>
      </c>
      <c r="AG1958" s="85">
        <v>45187</v>
      </c>
      <c r="AH1958" s="82" t="s">
        <v>9453</v>
      </c>
      <c r="AI1958" s="77" t="b">
        <v>0</v>
      </c>
      <c r="AJ1958" s="77"/>
      <c r="AK1958" s="77"/>
      <c r="AL1958" s="77"/>
      <c r="AM1958" s="77"/>
      <c r="AN1958" s="77"/>
      <c r="AO1958" s="77"/>
      <c r="AP1958" s="77"/>
      <c r="AQ1958" s="77" t="s">
        <v>11547</v>
      </c>
      <c r="AR1958" s="77"/>
      <c r="AS1958" s="77"/>
      <c r="AT1958" s="77"/>
      <c r="AU1958" s="77"/>
      <c r="AV1958" s="80" t="str">
        <f>HYPERLINK("https://pbs.twimg.com/media/F6SS9eBWIAAf68-.png")</f>
        <v>https://pbs.twimg.com/media/F6SS9eBWIAAf68-.png</v>
      </c>
      <c r="AW1958" s="82" t="s">
        <v>13554</v>
      </c>
      <c r="AX1958" s="82" t="s">
        <v>13554</v>
      </c>
      <c r="AY1958" s="77"/>
      <c r="AZ1958" s="82" t="s">
        <v>15984</v>
      </c>
      <c r="BA1958" s="82" t="s">
        <v>15984</v>
      </c>
      <c r="BB1958" s="82" t="s">
        <v>15984</v>
      </c>
      <c r="BC1958" s="82" t="s">
        <v>13554</v>
      </c>
      <c r="BD1958" s="77">
        <v>748960584</v>
      </c>
      <c r="BE1958" s="77"/>
      <c r="BF1958" s="77"/>
      <c r="BG1958" s="77"/>
      <c r="BH1958" s="77"/>
      <c r="BI1958" s="77"/>
    </row>
    <row r="1959" spans="1:61" x14ac:dyDescent="0.25">
      <c r="A1959" s="62" t="s">
        <v>697</v>
      </c>
      <c r="B1959" s="62" t="s">
        <v>697</v>
      </c>
      <c r="C1959" s="63"/>
      <c r="D1959" s="64"/>
      <c r="E1959" s="65"/>
      <c r="F1959" s="66"/>
      <c r="G1959" s="63"/>
      <c r="H1959" s="67"/>
      <c r="I1959" s="68"/>
      <c r="J1959" s="68"/>
      <c r="K1959" s="32"/>
      <c r="L1959" s="75">
        <v>1959</v>
      </c>
      <c r="M1959" s="75"/>
      <c r="N1959" s="70"/>
      <c r="O1959" s="77" t="s">
        <v>179</v>
      </c>
      <c r="P1959" s="79">
        <v>45181.283483796295</v>
      </c>
      <c r="Q1959" s="77" t="s">
        <v>2641</v>
      </c>
      <c r="R1959" s="77">
        <v>1</v>
      </c>
      <c r="S1959" s="77">
        <v>1</v>
      </c>
      <c r="T1959" s="77">
        <v>0</v>
      </c>
      <c r="U1959" s="77">
        <v>0</v>
      </c>
      <c r="V1959" s="77">
        <v>58</v>
      </c>
      <c r="W1959" s="82" t="s">
        <v>5802</v>
      </c>
      <c r="X1959" s="80" t="str">
        <f>HYPERLINK("https://javiermliron.blogspot.com/2023/09/contratos-registrados-en-espana-agosto.html")</f>
        <v>https://javiermliron.blogspot.com/2023/09/contratos-registrados-en-espana-agosto.html</v>
      </c>
      <c r="Y1959" s="77" t="s">
        <v>6532</v>
      </c>
      <c r="Z1959" s="77"/>
      <c r="AA1959" s="77" t="s">
        <v>7576</v>
      </c>
      <c r="AB1959" s="77" t="s">
        <v>7742</v>
      </c>
      <c r="AC1959" s="82" t="s">
        <v>7750</v>
      </c>
      <c r="AD1959" s="77" t="s">
        <v>7790</v>
      </c>
      <c r="AE1959" s="80" t="str">
        <f>HYPERLINK("https://twitter.com/jmendezliron/status/1701487861927645363")</f>
        <v>https://twitter.com/jmendezliron/status/1701487861927645363</v>
      </c>
      <c r="AF1959" s="79">
        <v>45181.283483796295</v>
      </c>
      <c r="AG1959" s="85">
        <v>45181</v>
      </c>
      <c r="AH1959" s="82" t="s">
        <v>9454</v>
      </c>
      <c r="AI1959" s="77" t="b">
        <v>0</v>
      </c>
      <c r="AJ1959" s="77"/>
      <c r="AK1959" s="77"/>
      <c r="AL1959" s="77"/>
      <c r="AM1959" s="77"/>
      <c r="AN1959" s="77"/>
      <c r="AO1959" s="77"/>
      <c r="AP1959" s="77"/>
      <c r="AQ1959" s="77" t="s">
        <v>11548</v>
      </c>
      <c r="AR1959" s="77"/>
      <c r="AS1959" s="77"/>
      <c r="AT1959" s="77"/>
      <c r="AU1959" s="77"/>
      <c r="AV1959" s="80" t="str">
        <f>HYPERLINK("https://pbs.twimg.com/media/F5zmMMUWwAA4PvJ.png")</f>
        <v>https://pbs.twimg.com/media/F5zmMMUWwAA4PvJ.png</v>
      </c>
      <c r="AW1959" s="82" t="s">
        <v>13555</v>
      </c>
      <c r="AX1959" s="82" t="s">
        <v>13555</v>
      </c>
      <c r="AY1959" s="77"/>
      <c r="AZ1959" s="82" t="s">
        <v>15984</v>
      </c>
      <c r="BA1959" s="82" t="s">
        <v>15984</v>
      </c>
      <c r="BB1959" s="82" t="s">
        <v>15984</v>
      </c>
      <c r="BC1959" s="82" t="s">
        <v>13555</v>
      </c>
      <c r="BD1959" s="77">
        <v>748960584</v>
      </c>
      <c r="BE1959" s="77"/>
      <c r="BF1959" s="77"/>
      <c r="BG1959" s="77"/>
      <c r="BH1959" s="77"/>
      <c r="BI1959" s="77"/>
    </row>
    <row r="1960" spans="1:61" x14ac:dyDescent="0.25">
      <c r="A1960" s="62" t="s">
        <v>697</v>
      </c>
      <c r="B1960" s="62" t="s">
        <v>697</v>
      </c>
      <c r="C1960" s="63"/>
      <c r="D1960" s="64"/>
      <c r="E1960" s="65"/>
      <c r="F1960" s="66"/>
      <c r="G1960" s="63"/>
      <c r="H1960" s="67"/>
      <c r="I1960" s="68"/>
      <c r="J1960" s="68"/>
      <c r="K1960" s="32"/>
      <c r="L1960" s="75">
        <v>1960</v>
      </c>
      <c r="M1960" s="75"/>
      <c r="N1960" s="70"/>
      <c r="O1960" s="77" t="s">
        <v>179</v>
      </c>
      <c r="P1960" s="79">
        <v>45181.280787037038</v>
      </c>
      <c r="Q1960" s="77" t="s">
        <v>2642</v>
      </c>
      <c r="R1960" s="77">
        <v>1</v>
      </c>
      <c r="S1960" s="77">
        <v>1</v>
      </c>
      <c r="T1960" s="77">
        <v>0</v>
      </c>
      <c r="U1960" s="77">
        <v>0</v>
      </c>
      <c r="V1960" s="77">
        <v>48</v>
      </c>
      <c r="W1960" s="82" t="s">
        <v>5803</v>
      </c>
      <c r="X1960" s="80" t="str">
        <f>HYPERLINK("https://javiermliron.blogspot.com/2023/09/indice-de-produccion-industrial.html")</f>
        <v>https://javiermliron.blogspot.com/2023/09/indice-de-produccion-industrial.html</v>
      </c>
      <c r="Y1960" s="77" t="s">
        <v>6532</v>
      </c>
      <c r="Z1960" s="77"/>
      <c r="AA1960" s="77" t="s">
        <v>7577</v>
      </c>
      <c r="AB1960" s="77" t="s">
        <v>7742</v>
      </c>
      <c r="AC1960" s="82" t="s">
        <v>7750</v>
      </c>
      <c r="AD1960" s="77" t="s">
        <v>7790</v>
      </c>
      <c r="AE1960" s="80" t="str">
        <f>HYPERLINK("https://twitter.com/jmendezliron/status/1701486885565071841")</f>
        <v>https://twitter.com/jmendezliron/status/1701486885565071841</v>
      </c>
      <c r="AF1960" s="79">
        <v>45181.280787037038</v>
      </c>
      <c r="AG1960" s="85">
        <v>45181</v>
      </c>
      <c r="AH1960" s="82" t="s">
        <v>9455</v>
      </c>
      <c r="AI1960" s="77" t="b">
        <v>0</v>
      </c>
      <c r="AJ1960" s="77"/>
      <c r="AK1960" s="77"/>
      <c r="AL1960" s="77"/>
      <c r="AM1960" s="77"/>
      <c r="AN1960" s="77"/>
      <c r="AO1960" s="77"/>
      <c r="AP1960" s="77"/>
      <c r="AQ1960" s="77" t="s">
        <v>11549</v>
      </c>
      <c r="AR1960" s="77"/>
      <c r="AS1960" s="77"/>
      <c r="AT1960" s="77"/>
      <c r="AU1960" s="77"/>
      <c r="AV1960" s="80" t="str">
        <f>HYPERLINK("https://pbs.twimg.com/media/F5zlTDLWkAAOXn9.png")</f>
        <v>https://pbs.twimg.com/media/F5zlTDLWkAAOXn9.png</v>
      </c>
      <c r="AW1960" s="82" t="s">
        <v>13556</v>
      </c>
      <c r="AX1960" s="82" t="s">
        <v>13556</v>
      </c>
      <c r="AY1960" s="77"/>
      <c r="AZ1960" s="82" t="s">
        <v>15984</v>
      </c>
      <c r="BA1960" s="82" t="s">
        <v>15984</v>
      </c>
      <c r="BB1960" s="82" t="s">
        <v>15984</v>
      </c>
      <c r="BC1960" s="82" t="s">
        <v>13556</v>
      </c>
      <c r="BD1960" s="77">
        <v>748960584</v>
      </c>
      <c r="BE1960" s="77"/>
      <c r="BF1960" s="77"/>
      <c r="BG1960" s="77"/>
      <c r="BH1960" s="77"/>
      <c r="BI1960" s="77"/>
    </row>
    <row r="1961" spans="1:61" x14ac:dyDescent="0.25">
      <c r="A1961" s="62" t="s">
        <v>697</v>
      </c>
      <c r="B1961" s="62" t="s">
        <v>697</v>
      </c>
      <c r="C1961" s="63"/>
      <c r="D1961" s="64"/>
      <c r="E1961" s="65"/>
      <c r="F1961" s="66"/>
      <c r="G1961" s="63"/>
      <c r="H1961" s="67"/>
      <c r="I1961" s="68"/>
      <c r="J1961" s="68"/>
      <c r="K1961" s="32"/>
      <c r="L1961" s="75">
        <v>1961</v>
      </c>
      <c r="M1961" s="75"/>
      <c r="N1961" s="70"/>
      <c r="O1961" s="77" t="s">
        <v>179</v>
      </c>
      <c r="P1961" s="79">
        <v>45155.258958333332</v>
      </c>
      <c r="Q1961" s="77" t="s">
        <v>2643</v>
      </c>
      <c r="R1961" s="77">
        <v>1</v>
      </c>
      <c r="S1961" s="77">
        <v>1</v>
      </c>
      <c r="T1961" s="77">
        <v>0</v>
      </c>
      <c r="U1961" s="77">
        <v>0</v>
      </c>
      <c r="V1961" s="77">
        <v>73</v>
      </c>
      <c r="W1961" s="82" t="s">
        <v>5853</v>
      </c>
      <c r="X1961" s="80" t="str">
        <f>HYPERLINK("https://javiermliron.blogspot.com/2023/08/ipc-castilla-y-leon-julio-2023.html")</f>
        <v>https://javiermliron.blogspot.com/2023/08/ipc-castilla-y-leon-julio-2023.html</v>
      </c>
      <c r="Y1961" s="77" t="s">
        <v>6532</v>
      </c>
      <c r="Z1961" s="77"/>
      <c r="AA1961" s="77" t="s">
        <v>7578</v>
      </c>
      <c r="AB1961" s="77" t="s">
        <v>7742</v>
      </c>
      <c r="AC1961" s="82" t="s">
        <v>7750</v>
      </c>
      <c r="AD1961" s="77" t="s">
        <v>7790</v>
      </c>
      <c r="AE1961" s="80" t="str">
        <f>HYPERLINK("https://twitter.com/jmendezliron/status/1692056889499287568")</f>
        <v>https://twitter.com/jmendezliron/status/1692056889499287568</v>
      </c>
      <c r="AF1961" s="79">
        <v>45155.258958333332</v>
      </c>
      <c r="AG1961" s="85">
        <v>45155</v>
      </c>
      <c r="AH1961" s="82" t="s">
        <v>9456</v>
      </c>
      <c r="AI1961" s="77" t="b">
        <v>0</v>
      </c>
      <c r="AJ1961" s="77"/>
      <c r="AK1961" s="77"/>
      <c r="AL1961" s="77"/>
      <c r="AM1961" s="77"/>
      <c r="AN1961" s="77"/>
      <c r="AO1961" s="77"/>
      <c r="AP1961" s="77"/>
      <c r="AQ1961" s="77" t="s">
        <v>11550</v>
      </c>
      <c r="AR1961" s="77"/>
      <c r="AS1961" s="77"/>
      <c r="AT1961" s="77"/>
      <c r="AU1961" s="77"/>
      <c r="AV1961" s="80" t="str">
        <f>HYPERLINK("https://pbs.twimg.com/media/F3tkvL3WEAAi3yU.png")</f>
        <v>https://pbs.twimg.com/media/F3tkvL3WEAAi3yU.png</v>
      </c>
      <c r="AW1961" s="82" t="s">
        <v>13557</v>
      </c>
      <c r="AX1961" s="82" t="s">
        <v>13557</v>
      </c>
      <c r="AY1961" s="77"/>
      <c r="AZ1961" s="82" t="s">
        <v>15984</v>
      </c>
      <c r="BA1961" s="82" t="s">
        <v>15984</v>
      </c>
      <c r="BB1961" s="82" t="s">
        <v>15984</v>
      </c>
      <c r="BC1961" s="82" t="s">
        <v>13557</v>
      </c>
      <c r="BD1961" s="77">
        <v>748960584</v>
      </c>
      <c r="BE1961" s="77"/>
      <c r="BF1961" s="77"/>
      <c r="BG1961" s="77"/>
      <c r="BH1961" s="77"/>
      <c r="BI1961" s="77"/>
    </row>
    <row r="1962" spans="1:61" x14ac:dyDescent="0.25">
      <c r="A1962" s="62" t="s">
        <v>697</v>
      </c>
      <c r="B1962" s="62" t="s">
        <v>697</v>
      </c>
      <c r="C1962" s="63"/>
      <c r="D1962" s="64"/>
      <c r="E1962" s="65"/>
      <c r="F1962" s="66"/>
      <c r="G1962" s="63"/>
      <c r="H1962" s="67"/>
      <c r="I1962" s="68"/>
      <c r="J1962" s="68"/>
      <c r="K1962" s="32"/>
      <c r="L1962" s="75">
        <v>1962</v>
      </c>
      <c r="M1962" s="75"/>
      <c r="N1962" s="70"/>
      <c r="O1962" s="77" t="s">
        <v>179</v>
      </c>
      <c r="P1962" s="79">
        <v>45133.740439814814</v>
      </c>
      <c r="Q1962" s="77" t="s">
        <v>2644</v>
      </c>
      <c r="R1962" s="77">
        <v>1</v>
      </c>
      <c r="S1962" s="77">
        <v>1</v>
      </c>
      <c r="T1962" s="77">
        <v>0</v>
      </c>
      <c r="U1962" s="77">
        <v>0</v>
      </c>
      <c r="V1962" s="77">
        <v>85</v>
      </c>
      <c r="W1962" s="82" t="s">
        <v>5854</v>
      </c>
      <c r="X1962" s="80" t="str">
        <f>HYPERLINK("https://javiermliron.blogspot.com/2023/07/indice-de-precios-industriales-castilla.html")</f>
        <v>https://javiermliron.blogspot.com/2023/07/indice-de-precios-industriales-castilla.html</v>
      </c>
      <c r="Y1962" s="77" t="s">
        <v>6532</v>
      </c>
      <c r="Z1962" s="77"/>
      <c r="AA1962" s="77" t="s">
        <v>7579</v>
      </c>
      <c r="AB1962" s="77" t="s">
        <v>7742</v>
      </c>
      <c r="AC1962" s="82" t="s">
        <v>7750</v>
      </c>
      <c r="AD1962" s="77" t="s">
        <v>7790</v>
      </c>
      <c r="AE1962" s="80" t="str">
        <f>HYPERLINK("https://twitter.com/jmendezliron/status/1684258843495215104")</f>
        <v>https://twitter.com/jmendezliron/status/1684258843495215104</v>
      </c>
      <c r="AF1962" s="79">
        <v>45133.740439814814</v>
      </c>
      <c r="AG1962" s="85">
        <v>45133</v>
      </c>
      <c r="AH1962" s="82" t="s">
        <v>9457</v>
      </c>
      <c r="AI1962" s="77" t="b">
        <v>0</v>
      </c>
      <c r="AJ1962" s="77"/>
      <c r="AK1962" s="77"/>
      <c r="AL1962" s="77"/>
      <c r="AM1962" s="77"/>
      <c r="AN1962" s="77"/>
      <c r="AO1962" s="77"/>
      <c r="AP1962" s="77"/>
      <c r="AQ1962" s="77" t="s">
        <v>11551</v>
      </c>
      <c r="AR1962" s="77"/>
      <c r="AS1962" s="77"/>
      <c r="AT1962" s="77"/>
      <c r="AU1962" s="77"/>
      <c r="AV1962" s="80" t="str">
        <f>HYPERLINK("https://pbs.twimg.com/media/F1-wfWWXwAEgjVM.png")</f>
        <v>https://pbs.twimg.com/media/F1-wfWWXwAEgjVM.png</v>
      </c>
      <c r="AW1962" s="82" t="s">
        <v>13558</v>
      </c>
      <c r="AX1962" s="82" t="s">
        <v>13558</v>
      </c>
      <c r="AY1962" s="77"/>
      <c r="AZ1962" s="82" t="s">
        <v>15984</v>
      </c>
      <c r="BA1962" s="82" t="s">
        <v>15984</v>
      </c>
      <c r="BB1962" s="82" t="s">
        <v>15984</v>
      </c>
      <c r="BC1962" s="82" t="s">
        <v>13558</v>
      </c>
      <c r="BD1962" s="77">
        <v>748960584</v>
      </c>
      <c r="BE1962" s="77"/>
      <c r="BF1962" s="77"/>
      <c r="BG1962" s="77"/>
      <c r="BH1962" s="77"/>
      <c r="BI1962" s="77"/>
    </row>
    <row r="1963" spans="1:61" x14ac:dyDescent="0.25">
      <c r="A1963" s="62" t="s">
        <v>697</v>
      </c>
      <c r="B1963" s="62" t="s">
        <v>697</v>
      </c>
      <c r="C1963" s="63"/>
      <c r="D1963" s="64"/>
      <c r="E1963" s="65"/>
      <c r="F1963" s="66"/>
      <c r="G1963" s="63"/>
      <c r="H1963" s="67"/>
      <c r="I1963" s="68"/>
      <c r="J1963" s="68"/>
      <c r="K1963" s="32"/>
      <c r="L1963" s="75">
        <v>1963</v>
      </c>
      <c r="M1963" s="75"/>
      <c r="N1963" s="70"/>
      <c r="O1963" s="77" t="s">
        <v>897</v>
      </c>
      <c r="P1963" s="79">
        <v>45196.469560185185</v>
      </c>
      <c r="Q1963" s="77" t="s">
        <v>2645</v>
      </c>
      <c r="R1963" s="77">
        <v>1</v>
      </c>
      <c r="S1963" s="77">
        <v>0</v>
      </c>
      <c r="T1963" s="77">
        <v>0</v>
      </c>
      <c r="U1963" s="77">
        <v>0</v>
      </c>
      <c r="V1963" s="77"/>
      <c r="W1963" s="82" t="s">
        <v>5855</v>
      </c>
      <c r="X1963" s="77"/>
      <c r="Y1963" s="77"/>
      <c r="Z1963" s="77" t="s">
        <v>697</v>
      </c>
      <c r="AA1963" s="77"/>
      <c r="AB1963" s="77"/>
      <c r="AC1963" s="82" t="s">
        <v>7750</v>
      </c>
      <c r="AD1963" s="77" t="s">
        <v>7790</v>
      </c>
      <c r="AE1963" s="80" t="str">
        <f>HYPERLINK("https://twitter.com/jmendezliron/status/1706991111548342575")</f>
        <v>https://twitter.com/jmendezliron/status/1706991111548342575</v>
      </c>
      <c r="AF1963" s="79">
        <v>45196.469560185185</v>
      </c>
      <c r="AG1963" s="85">
        <v>45196</v>
      </c>
      <c r="AH1963" s="82" t="s">
        <v>9458</v>
      </c>
      <c r="AI1963" s="77"/>
      <c r="AJ1963" s="77"/>
      <c r="AK1963" s="77"/>
      <c r="AL1963" s="77"/>
      <c r="AM1963" s="77"/>
      <c r="AN1963" s="77"/>
      <c r="AO1963" s="77"/>
      <c r="AP1963" s="77"/>
      <c r="AQ1963" s="77"/>
      <c r="AR1963" s="77"/>
      <c r="AS1963" s="77"/>
      <c r="AT1963" s="77"/>
      <c r="AU1963" s="77"/>
      <c r="AV1963" s="80" t="str">
        <f>HYPERLINK("https://pbs.twimg.com/profile_images/612292231358246912/gMKxM5xX_normal.jpg")</f>
        <v>https://pbs.twimg.com/profile_images/612292231358246912/gMKxM5xX_normal.jpg</v>
      </c>
      <c r="AW1963" s="82" t="s">
        <v>13559</v>
      </c>
      <c r="AX1963" s="82" t="s">
        <v>13559</v>
      </c>
      <c r="AY1963" s="77"/>
      <c r="AZ1963" s="82" t="s">
        <v>15984</v>
      </c>
      <c r="BA1963" s="82" t="s">
        <v>15984</v>
      </c>
      <c r="BB1963" s="82" t="s">
        <v>13525</v>
      </c>
      <c r="BC1963" s="82" t="s">
        <v>13525</v>
      </c>
      <c r="BD1963" s="77">
        <v>748960584</v>
      </c>
      <c r="BE1963" s="77"/>
      <c r="BF1963" s="77"/>
      <c r="BG1963" s="77"/>
      <c r="BH1963" s="77"/>
      <c r="BI1963" s="77"/>
    </row>
    <row r="1964" spans="1:61" x14ac:dyDescent="0.25">
      <c r="A1964" s="62" t="s">
        <v>697</v>
      </c>
      <c r="B1964" s="62" t="s">
        <v>697</v>
      </c>
      <c r="C1964" s="63"/>
      <c r="D1964" s="64"/>
      <c r="E1964" s="65"/>
      <c r="F1964" s="66"/>
      <c r="G1964" s="63"/>
      <c r="H1964" s="67"/>
      <c r="I1964" s="68"/>
      <c r="J1964" s="68"/>
      <c r="K1964" s="32"/>
      <c r="L1964" s="75">
        <v>1964</v>
      </c>
      <c r="M1964" s="75"/>
      <c r="N1964" s="70"/>
      <c r="O1964" s="77" t="s">
        <v>179</v>
      </c>
      <c r="P1964" s="79">
        <v>45195.259293981479</v>
      </c>
      <c r="Q1964" s="77" t="s">
        <v>2646</v>
      </c>
      <c r="R1964" s="77">
        <v>1</v>
      </c>
      <c r="S1964" s="77">
        <v>1</v>
      </c>
      <c r="T1964" s="77">
        <v>0</v>
      </c>
      <c r="U1964" s="77">
        <v>0</v>
      </c>
      <c r="V1964" s="77">
        <v>13</v>
      </c>
      <c r="W1964" s="82" t="s">
        <v>5788</v>
      </c>
      <c r="X1964" s="80" t="str">
        <f>HYPERLINK("https://javiermliron.blogspot.com/2023/09/indice-de-precios-industriales-espana.html")</f>
        <v>https://javiermliron.blogspot.com/2023/09/indice-de-precios-industriales-espana.html</v>
      </c>
      <c r="Y1964" s="77" t="s">
        <v>6532</v>
      </c>
      <c r="Z1964" s="77"/>
      <c r="AA1964" s="77" t="s">
        <v>7580</v>
      </c>
      <c r="AB1964" s="77" t="s">
        <v>7742</v>
      </c>
      <c r="AC1964" s="82" t="s">
        <v>7750</v>
      </c>
      <c r="AD1964" s="77" t="s">
        <v>7790</v>
      </c>
      <c r="AE1964" s="80" t="str">
        <f>HYPERLINK("https://twitter.com/jmendezliron/status/1706552526089130130")</f>
        <v>https://twitter.com/jmendezliron/status/1706552526089130130</v>
      </c>
      <c r="AF1964" s="79">
        <v>45195.259293981479</v>
      </c>
      <c r="AG1964" s="85">
        <v>45195</v>
      </c>
      <c r="AH1964" s="82" t="s">
        <v>9459</v>
      </c>
      <c r="AI1964" s="77" t="b">
        <v>0</v>
      </c>
      <c r="AJ1964" s="77"/>
      <c r="AK1964" s="77"/>
      <c r="AL1964" s="77"/>
      <c r="AM1964" s="77"/>
      <c r="AN1964" s="77"/>
      <c r="AO1964" s="77"/>
      <c r="AP1964" s="77"/>
      <c r="AQ1964" s="77" t="s">
        <v>11552</v>
      </c>
      <c r="AR1964" s="77"/>
      <c r="AS1964" s="77"/>
      <c r="AT1964" s="77"/>
      <c r="AU1964" s="77"/>
      <c r="AV1964" s="80" t="str">
        <f>HYPERLINK("https://pbs.twimg.com/media/F67keCNXYAAk1n9.png")</f>
        <v>https://pbs.twimg.com/media/F67keCNXYAAk1n9.png</v>
      </c>
      <c r="AW1964" s="82" t="s">
        <v>13560</v>
      </c>
      <c r="AX1964" s="82" t="s">
        <v>13560</v>
      </c>
      <c r="AY1964" s="77"/>
      <c r="AZ1964" s="82" t="s">
        <v>15984</v>
      </c>
      <c r="BA1964" s="82" t="s">
        <v>15984</v>
      </c>
      <c r="BB1964" s="82" t="s">
        <v>15984</v>
      </c>
      <c r="BC1964" s="82" t="s">
        <v>13560</v>
      </c>
      <c r="BD1964" s="77">
        <v>748960584</v>
      </c>
      <c r="BE1964" s="77"/>
      <c r="BF1964" s="77"/>
      <c r="BG1964" s="77"/>
      <c r="BH1964" s="77"/>
      <c r="BI1964" s="77"/>
    </row>
    <row r="1965" spans="1:61" x14ac:dyDescent="0.25">
      <c r="A1965" s="62" t="s">
        <v>697</v>
      </c>
      <c r="B1965" s="62" t="s">
        <v>697</v>
      </c>
      <c r="C1965" s="63"/>
      <c r="D1965" s="64"/>
      <c r="E1965" s="65"/>
      <c r="F1965" s="66"/>
      <c r="G1965" s="63"/>
      <c r="H1965" s="67"/>
      <c r="I1965" s="68"/>
      <c r="J1965" s="68"/>
      <c r="K1965" s="32"/>
      <c r="L1965" s="75">
        <v>1965</v>
      </c>
      <c r="M1965" s="75"/>
      <c r="N1965" s="70"/>
      <c r="O1965" s="77" t="s">
        <v>897</v>
      </c>
      <c r="P1965" s="79">
        <v>45195.46497685185</v>
      </c>
      <c r="Q1965" s="77" t="s">
        <v>2647</v>
      </c>
      <c r="R1965" s="77">
        <v>1</v>
      </c>
      <c r="S1965" s="77">
        <v>0</v>
      </c>
      <c r="T1965" s="77">
        <v>0</v>
      </c>
      <c r="U1965" s="77">
        <v>0</v>
      </c>
      <c r="V1965" s="77"/>
      <c r="W1965" s="82" t="s">
        <v>5856</v>
      </c>
      <c r="X1965" s="77"/>
      <c r="Y1965" s="77"/>
      <c r="Z1965" s="77" t="s">
        <v>697</v>
      </c>
      <c r="AA1965" s="77"/>
      <c r="AB1965" s="77"/>
      <c r="AC1965" s="82" t="s">
        <v>7750</v>
      </c>
      <c r="AD1965" s="77" t="s">
        <v>7790</v>
      </c>
      <c r="AE1965" s="80" t="str">
        <f>HYPERLINK("https://twitter.com/jmendezliron/status/1706627063245860995")</f>
        <v>https://twitter.com/jmendezliron/status/1706627063245860995</v>
      </c>
      <c r="AF1965" s="79">
        <v>45195.46497685185</v>
      </c>
      <c r="AG1965" s="85">
        <v>45195</v>
      </c>
      <c r="AH1965" s="82" t="s">
        <v>9460</v>
      </c>
      <c r="AI1965" s="77"/>
      <c r="AJ1965" s="77"/>
      <c r="AK1965" s="77"/>
      <c r="AL1965" s="77"/>
      <c r="AM1965" s="77"/>
      <c r="AN1965" s="77"/>
      <c r="AO1965" s="77"/>
      <c r="AP1965" s="77"/>
      <c r="AQ1965" s="77"/>
      <c r="AR1965" s="77"/>
      <c r="AS1965" s="77"/>
      <c r="AT1965" s="77"/>
      <c r="AU1965" s="77"/>
      <c r="AV1965" s="80" t="str">
        <f>HYPERLINK("https://pbs.twimg.com/profile_images/612292231358246912/gMKxM5xX_normal.jpg")</f>
        <v>https://pbs.twimg.com/profile_images/612292231358246912/gMKxM5xX_normal.jpg</v>
      </c>
      <c r="AW1965" s="82" t="s">
        <v>13561</v>
      </c>
      <c r="AX1965" s="82" t="s">
        <v>13561</v>
      </c>
      <c r="AY1965" s="77"/>
      <c r="AZ1965" s="82" t="s">
        <v>15984</v>
      </c>
      <c r="BA1965" s="82" t="s">
        <v>15984</v>
      </c>
      <c r="BB1965" s="82" t="s">
        <v>13560</v>
      </c>
      <c r="BC1965" s="82" t="s">
        <v>13560</v>
      </c>
      <c r="BD1965" s="77">
        <v>748960584</v>
      </c>
      <c r="BE1965" s="77"/>
      <c r="BF1965" s="77"/>
      <c r="BG1965" s="77"/>
      <c r="BH1965" s="77"/>
      <c r="BI1965" s="77"/>
    </row>
    <row r="1966" spans="1:61" x14ac:dyDescent="0.25">
      <c r="A1966" s="62" t="s">
        <v>697</v>
      </c>
      <c r="B1966" s="62" t="s">
        <v>697</v>
      </c>
      <c r="C1966" s="63"/>
      <c r="D1966" s="64"/>
      <c r="E1966" s="65"/>
      <c r="F1966" s="66"/>
      <c r="G1966" s="63"/>
      <c r="H1966" s="67"/>
      <c r="I1966" s="68"/>
      <c r="J1966" s="68"/>
      <c r="K1966" s="32"/>
      <c r="L1966" s="75">
        <v>1966</v>
      </c>
      <c r="M1966" s="75"/>
      <c r="N1966" s="70"/>
      <c r="O1966" s="77" t="s">
        <v>179</v>
      </c>
      <c r="P1966" s="79">
        <v>45188.759467592594</v>
      </c>
      <c r="Q1966" s="77" t="s">
        <v>2648</v>
      </c>
      <c r="R1966" s="77">
        <v>1</v>
      </c>
      <c r="S1966" s="77">
        <v>1</v>
      </c>
      <c r="T1966" s="77">
        <v>1</v>
      </c>
      <c r="U1966" s="77">
        <v>0</v>
      </c>
      <c r="V1966" s="77">
        <v>36</v>
      </c>
      <c r="W1966" s="82" t="s">
        <v>5857</v>
      </c>
      <c r="X1966" s="80" t="str">
        <f>HYPERLINK("https://javiermliron.blogspot.com/2023/09/ipc-andalucia-agosto-2023.html")</f>
        <v>https://javiermliron.blogspot.com/2023/09/ipc-andalucia-agosto-2023.html</v>
      </c>
      <c r="Y1966" s="77" t="s">
        <v>6532</v>
      </c>
      <c r="Z1966" s="77"/>
      <c r="AA1966" s="77" t="s">
        <v>7581</v>
      </c>
      <c r="AB1966" s="77" t="s">
        <v>7742</v>
      </c>
      <c r="AC1966" s="82" t="s">
        <v>7750</v>
      </c>
      <c r="AD1966" s="77" t="s">
        <v>7790</v>
      </c>
      <c r="AE1966" s="80" t="str">
        <f>HYPERLINK("https://twitter.com/jmendezliron/status/1704197068913267020")</f>
        <v>https://twitter.com/jmendezliron/status/1704197068913267020</v>
      </c>
      <c r="AF1966" s="79">
        <v>45188.759467592594</v>
      </c>
      <c r="AG1966" s="85">
        <v>45188</v>
      </c>
      <c r="AH1966" s="82" t="s">
        <v>9461</v>
      </c>
      <c r="AI1966" s="77" t="b">
        <v>0</v>
      </c>
      <c r="AJ1966" s="77"/>
      <c r="AK1966" s="77"/>
      <c r="AL1966" s="77"/>
      <c r="AM1966" s="77"/>
      <c r="AN1966" s="77"/>
      <c r="AO1966" s="77"/>
      <c r="AP1966" s="77"/>
      <c r="AQ1966" s="77" t="s">
        <v>11553</v>
      </c>
      <c r="AR1966" s="77"/>
      <c r="AS1966" s="77"/>
      <c r="AT1966" s="77"/>
      <c r="AU1966" s="77"/>
      <c r="AV1966" s="80" t="str">
        <f>HYPERLINK("https://pbs.twimg.com/media/F6aGMViXcAA-ax5.png")</f>
        <v>https://pbs.twimg.com/media/F6aGMViXcAA-ax5.png</v>
      </c>
      <c r="AW1966" s="82" t="s">
        <v>13562</v>
      </c>
      <c r="AX1966" s="82" t="s">
        <v>13562</v>
      </c>
      <c r="AY1966" s="77"/>
      <c r="AZ1966" s="82" t="s">
        <v>15984</v>
      </c>
      <c r="BA1966" s="82" t="s">
        <v>15984</v>
      </c>
      <c r="BB1966" s="82" t="s">
        <v>15984</v>
      </c>
      <c r="BC1966" s="82" t="s">
        <v>13562</v>
      </c>
      <c r="BD1966" s="77">
        <v>748960584</v>
      </c>
      <c r="BE1966" s="77"/>
      <c r="BF1966" s="77"/>
      <c r="BG1966" s="77"/>
      <c r="BH1966" s="77"/>
      <c r="BI1966" s="77"/>
    </row>
    <row r="1967" spans="1:61" x14ac:dyDescent="0.25">
      <c r="A1967" s="62" t="s">
        <v>697</v>
      </c>
      <c r="B1967" s="62" t="s">
        <v>697</v>
      </c>
      <c r="C1967" s="63"/>
      <c r="D1967" s="64"/>
      <c r="E1967" s="65"/>
      <c r="F1967" s="66"/>
      <c r="G1967" s="63"/>
      <c r="H1967" s="67"/>
      <c r="I1967" s="68"/>
      <c r="J1967" s="68"/>
      <c r="K1967" s="32"/>
      <c r="L1967" s="75">
        <v>1967</v>
      </c>
      <c r="M1967" s="75"/>
      <c r="N1967" s="70"/>
      <c r="O1967" s="77" t="s">
        <v>897</v>
      </c>
      <c r="P1967" s="79">
        <v>45189.2575</v>
      </c>
      <c r="Q1967" s="77" t="s">
        <v>2649</v>
      </c>
      <c r="R1967" s="77">
        <v>1</v>
      </c>
      <c r="S1967" s="77">
        <v>0</v>
      </c>
      <c r="T1967" s="77">
        <v>0</v>
      </c>
      <c r="U1967" s="77">
        <v>0</v>
      </c>
      <c r="V1967" s="77"/>
      <c r="W1967" s="82" t="s">
        <v>5858</v>
      </c>
      <c r="X1967" s="77"/>
      <c r="Y1967" s="77"/>
      <c r="Z1967" s="77" t="s">
        <v>697</v>
      </c>
      <c r="AA1967" s="77"/>
      <c r="AB1967" s="77"/>
      <c r="AC1967" s="82" t="s">
        <v>7750</v>
      </c>
      <c r="AD1967" s="77" t="s">
        <v>7790</v>
      </c>
      <c r="AE1967" s="80" t="str">
        <f>HYPERLINK("https://twitter.com/jmendezliron/status/1704377551320150522")</f>
        <v>https://twitter.com/jmendezliron/status/1704377551320150522</v>
      </c>
      <c r="AF1967" s="79">
        <v>45189.2575</v>
      </c>
      <c r="AG1967" s="85">
        <v>45189</v>
      </c>
      <c r="AH1967" s="82" t="s">
        <v>9462</v>
      </c>
      <c r="AI1967" s="77"/>
      <c r="AJ1967" s="77"/>
      <c r="AK1967" s="77"/>
      <c r="AL1967" s="77"/>
      <c r="AM1967" s="77"/>
      <c r="AN1967" s="77"/>
      <c r="AO1967" s="77"/>
      <c r="AP1967" s="77"/>
      <c r="AQ1967" s="77"/>
      <c r="AR1967" s="77"/>
      <c r="AS1967" s="77"/>
      <c r="AT1967" s="77"/>
      <c r="AU1967" s="77"/>
      <c r="AV1967" s="80" t="str">
        <f>HYPERLINK("https://pbs.twimg.com/profile_images/612292231358246912/gMKxM5xX_normal.jpg")</f>
        <v>https://pbs.twimg.com/profile_images/612292231358246912/gMKxM5xX_normal.jpg</v>
      </c>
      <c r="AW1967" s="82" t="s">
        <v>13563</v>
      </c>
      <c r="AX1967" s="82" t="s">
        <v>13563</v>
      </c>
      <c r="AY1967" s="77"/>
      <c r="AZ1967" s="82" t="s">
        <v>15984</v>
      </c>
      <c r="BA1967" s="82" t="s">
        <v>15984</v>
      </c>
      <c r="BB1967" s="82" t="s">
        <v>13562</v>
      </c>
      <c r="BC1967" s="82" t="s">
        <v>13562</v>
      </c>
      <c r="BD1967" s="77">
        <v>748960584</v>
      </c>
      <c r="BE1967" s="77"/>
      <c r="BF1967" s="77"/>
      <c r="BG1967" s="77"/>
      <c r="BH1967" s="77"/>
      <c r="BI1967" s="77"/>
    </row>
    <row r="1968" spans="1:61" x14ac:dyDescent="0.25">
      <c r="A1968" s="62" t="s">
        <v>697</v>
      </c>
      <c r="B1968" s="62" t="s">
        <v>697</v>
      </c>
      <c r="C1968" s="63"/>
      <c r="D1968" s="64"/>
      <c r="E1968" s="65"/>
      <c r="F1968" s="66"/>
      <c r="G1968" s="63"/>
      <c r="H1968" s="67"/>
      <c r="I1968" s="68"/>
      <c r="J1968" s="68"/>
      <c r="K1968" s="32"/>
      <c r="L1968" s="75">
        <v>1968</v>
      </c>
      <c r="M1968" s="75"/>
      <c r="N1968" s="70"/>
      <c r="O1968" s="77" t="s">
        <v>898</v>
      </c>
      <c r="P1968" s="79">
        <v>45188.759467592594</v>
      </c>
      <c r="Q1968" s="77" t="s">
        <v>2650</v>
      </c>
      <c r="R1968" s="77">
        <v>1</v>
      </c>
      <c r="S1968" s="77">
        <v>1</v>
      </c>
      <c r="T1968" s="77">
        <v>0</v>
      </c>
      <c r="U1968" s="77">
        <v>0</v>
      </c>
      <c r="V1968" s="77">
        <v>39</v>
      </c>
      <c r="W1968" s="82" t="s">
        <v>5859</v>
      </c>
      <c r="X1968" s="80" t="str">
        <f>HYPERLINK("https://javiermliron.blogspot.com/2023/09/ipc-andalucia-agosto-2023.html")</f>
        <v>https://javiermliron.blogspot.com/2023/09/ipc-andalucia-agosto-2023.html</v>
      </c>
      <c r="Y1968" s="77" t="s">
        <v>6532</v>
      </c>
      <c r="Z1968" s="77"/>
      <c r="AA1968" s="77"/>
      <c r="AB1968" s="77"/>
      <c r="AC1968" s="82" t="s">
        <v>7750</v>
      </c>
      <c r="AD1968" s="77" t="s">
        <v>7790</v>
      </c>
      <c r="AE1968" s="80" t="str">
        <f>HYPERLINK("https://twitter.com/jmendezliron/status/1704197070939169070")</f>
        <v>https://twitter.com/jmendezliron/status/1704197070939169070</v>
      </c>
      <c r="AF1968" s="79">
        <v>45188.759467592594</v>
      </c>
      <c r="AG1968" s="85">
        <v>45188</v>
      </c>
      <c r="AH1968" s="82" t="s">
        <v>9461</v>
      </c>
      <c r="AI1968" s="77" t="b">
        <v>0</v>
      </c>
      <c r="AJ1968" s="77"/>
      <c r="AK1968" s="77"/>
      <c r="AL1968" s="77"/>
      <c r="AM1968" s="77"/>
      <c r="AN1968" s="77"/>
      <c r="AO1968" s="77"/>
      <c r="AP1968" s="77"/>
      <c r="AQ1968" s="77"/>
      <c r="AR1968" s="77"/>
      <c r="AS1968" s="77"/>
      <c r="AT1968" s="77"/>
      <c r="AU1968" s="77"/>
      <c r="AV1968" s="80" t="str">
        <f>HYPERLINK("https://pbs.twimg.com/profile_images/612292231358246912/gMKxM5xX_normal.jpg")</f>
        <v>https://pbs.twimg.com/profile_images/612292231358246912/gMKxM5xX_normal.jpg</v>
      </c>
      <c r="AW1968" s="82" t="s">
        <v>13564</v>
      </c>
      <c r="AX1968" s="82" t="s">
        <v>13562</v>
      </c>
      <c r="AY1968" s="82" t="s">
        <v>15975</v>
      </c>
      <c r="AZ1968" s="82" t="s">
        <v>13562</v>
      </c>
      <c r="BA1968" s="82" t="s">
        <v>15984</v>
      </c>
      <c r="BB1968" s="82" t="s">
        <v>15984</v>
      </c>
      <c r="BC1968" s="82" t="s">
        <v>13562</v>
      </c>
      <c r="BD1968" s="77">
        <v>748960584</v>
      </c>
      <c r="BE1968" s="77"/>
      <c r="BF1968" s="77"/>
      <c r="BG1968" s="77"/>
      <c r="BH1968" s="77"/>
      <c r="BI1968" s="77"/>
    </row>
    <row r="1969" spans="1:61" x14ac:dyDescent="0.25">
      <c r="A1969" s="62" t="s">
        <v>697</v>
      </c>
      <c r="B1969" s="62" t="s">
        <v>697</v>
      </c>
      <c r="C1969" s="63"/>
      <c r="D1969" s="64"/>
      <c r="E1969" s="65"/>
      <c r="F1969" s="66"/>
      <c r="G1969" s="63"/>
      <c r="H1969" s="67"/>
      <c r="I1969" s="68"/>
      <c r="J1969" s="68"/>
      <c r="K1969" s="32"/>
      <c r="L1969" s="75">
        <v>1969</v>
      </c>
      <c r="M1969" s="75"/>
      <c r="N1969" s="70"/>
      <c r="O1969" s="77" t="s">
        <v>897</v>
      </c>
      <c r="P1969" s="79">
        <v>45189.257453703707</v>
      </c>
      <c r="Q1969" s="77" t="s">
        <v>2651</v>
      </c>
      <c r="R1969" s="77">
        <v>1</v>
      </c>
      <c r="S1969" s="77">
        <v>0</v>
      </c>
      <c r="T1969" s="77">
        <v>0</v>
      </c>
      <c r="U1969" s="77">
        <v>0</v>
      </c>
      <c r="V1969" s="77"/>
      <c r="W1969" s="82" t="s">
        <v>5860</v>
      </c>
      <c r="X1969" s="80" t="str">
        <f>HYPERLINK("https://javiermliron.blogspot.com/2023/09/ipc-andalucia-agosto-2023.html")</f>
        <v>https://javiermliron.blogspot.com/2023/09/ipc-andalucia-agosto-2023.html</v>
      </c>
      <c r="Y1969" s="77" t="s">
        <v>6532</v>
      </c>
      <c r="Z1969" s="77" t="s">
        <v>697</v>
      </c>
      <c r="AA1969" s="77"/>
      <c r="AB1969" s="77"/>
      <c r="AC1969" s="82" t="s">
        <v>7750</v>
      </c>
      <c r="AD1969" s="77" t="s">
        <v>7790</v>
      </c>
      <c r="AE1969" s="80" t="str">
        <f>HYPERLINK("https://twitter.com/jmendezliron/status/1704377535482474741")</f>
        <v>https://twitter.com/jmendezliron/status/1704377535482474741</v>
      </c>
      <c r="AF1969" s="79">
        <v>45189.257453703707</v>
      </c>
      <c r="AG1969" s="85">
        <v>45189</v>
      </c>
      <c r="AH1969" s="82" t="s">
        <v>9463</v>
      </c>
      <c r="AI1969" s="77" t="b">
        <v>0</v>
      </c>
      <c r="AJ1969" s="77"/>
      <c r="AK1969" s="77"/>
      <c r="AL1969" s="77"/>
      <c r="AM1969" s="77"/>
      <c r="AN1969" s="77"/>
      <c r="AO1969" s="77"/>
      <c r="AP1969" s="77"/>
      <c r="AQ1969" s="77"/>
      <c r="AR1969" s="77"/>
      <c r="AS1969" s="77"/>
      <c r="AT1969" s="77"/>
      <c r="AU1969" s="77"/>
      <c r="AV1969" s="80" t="str">
        <f>HYPERLINK("https://pbs.twimg.com/profile_images/612292231358246912/gMKxM5xX_normal.jpg")</f>
        <v>https://pbs.twimg.com/profile_images/612292231358246912/gMKxM5xX_normal.jpg</v>
      </c>
      <c r="AW1969" s="82" t="s">
        <v>13565</v>
      </c>
      <c r="AX1969" s="82" t="s">
        <v>13565</v>
      </c>
      <c r="AY1969" s="77"/>
      <c r="AZ1969" s="82" t="s">
        <v>15984</v>
      </c>
      <c r="BA1969" s="82" t="s">
        <v>15984</v>
      </c>
      <c r="BB1969" s="82" t="s">
        <v>13564</v>
      </c>
      <c r="BC1969" s="82" t="s">
        <v>13564</v>
      </c>
      <c r="BD1969" s="77">
        <v>748960584</v>
      </c>
      <c r="BE1969" s="77"/>
      <c r="BF1969" s="77"/>
      <c r="BG1969" s="77"/>
      <c r="BH1969" s="77"/>
      <c r="BI1969" s="77"/>
    </row>
    <row r="1970" spans="1:61" x14ac:dyDescent="0.25">
      <c r="A1970" s="62" t="s">
        <v>697</v>
      </c>
      <c r="B1970" s="62" t="s">
        <v>697</v>
      </c>
      <c r="C1970" s="63"/>
      <c r="D1970" s="64"/>
      <c r="E1970" s="65"/>
      <c r="F1970" s="66"/>
      <c r="G1970" s="63"/>
      <c r="H1970" s="67"/>
      <c r="I1970" s="68"/>
      <c r="J1970" s="68"/>
      <c r="K1970" s="32"/>
      <c r="L1970" s="75">
        <v>1970</v>
      </c>
      <c r="M1970" s="75"/>
      <c r="N1970" s="70"/>
      <c r="O1970" s="77" t="s">
        <v>179</v>
      </c>
      <c r="P1970" s="79">
        <v>45188.754050925927</v>
      </c>
      <c r="Q1970" s="77" t="s">
        <v>2652</v>
      </c>
      <c r="R1970" s="77">
        <v>1</v>
      </c>
      <c r="S1970" s="77">
        <v>1</v>
      </c>
      <c r="T1970" s="77">
        <v>1</v>
      </c>
      <c r="U1970" s="77">
        <v>0</v>
      </c>
      <c r="V1970" s="77">
        <v>34</v>
      </c>
      <c r="W1970" s="82" t="s">
        <v>5861</v>
      </c>
      <c r="X1970" s="80" t="str">
        <f>HYPERLINK("https://javiermliron.blogspot.com/2023/09/sociedades-mercantiles-en-andalucia.html")</f>
        <v>https://javiermliron.blogspot.com/2023/09/sociedades-mercantiles-en-andalucia.html</v>
      </c>
      <c r="Y1970" s="77" t="s">
        <v>6532</v>
      </c>
      <c r="Z1970" s="77"/>
      <c r="AA1970" s="77" t="s">
        <v>7582</v>
      </c>
      <c r="AB1970" s="77" t="s">
        <v>7742</v>
      </c>
      <c r="AC1970" s="82" t="s">
        <v>7750</v>
      </c>
      <c r="AD1970" s="77" t="s">
        <v>7790</v>
      </c>
      <c r="AE1970" s="80" t="str">
        <f>HYPERLINK("https://twitter.com/jmendezliron/status/1704195104716570963")</f>
        <v>https://twitter.com/jmendezliron/status/1704195104716570963</v>
      </c>
      <c r="AF1970" s="79">
        <v>45188.754050925927</v>
      </c>
      <c r="AG1970" s="85">
        <v>45188</v>
      </c>
      <c r="AH1970" s="82" t="s">
        <v>9392</v>
      </c>
      <c r="AI1970" s="77" t="b">
        <v>0</v>
      </c>
      <c r="AJ1970" s="77"/>
      <c r="AK1970" s="77"/>
      <c r="AL1970" s="77"/>
      <c r="AM1970" s="77"/>
      <c r="AN1970" s="77"/>
      <c r="AO1970" s="77"/>
      <c r="AP1970" s="77"/>
      <c r="AQ1970" s="77" t="s">
        <v>11554</v>
      </c>
      <c r="AR1970" s="77"/>
      <c r="AS1970" s="77"/>
      <c r="AT1970" s="77"/>
      <c r="AU1970" s="77"/>
      <c r="AV1970" s="80" t="str">
        <f>HYPERLINK("https://pbs.twimg.com/media/F6aEaheXgAAaBoc.png")</f>
        <v>https://pbs.twimg.com/media/F6aEaheXgAAaBoc.png</v>
      </c>
      <c r="AW1970" s="82" t="s">
        <v>13566</v>
      </c>
      <c r="AX1970" s="82" t="s">
        <v>13566</v>
      </c>
      <c r="AY1970" s="77"/>
      <c r="AZ1970" s="82" t="s">
        <v>15984</v>
      </c>
      <c r="BA1970" s="82" t="s">
        <v>15984</v>
      </c>
      <c r="BB1970" s="82" t="s">
        <v>15984</v>
      </c>
      <c r="BC1970" s="82" t="s">
        <v>13566</v>
      </c>
      <c r="BD1970" s="77">
        <v>748960584</v>
      </c>
      <c r="BE1970" s="77"/>
      <c r="BF1970" s="77"/>
      <c r="BG1970" s="77"/>
      <c r="BH1970" s="77"/>
      <c r="BI1970" s="77"/>
    </row>
    <row r="1971" spans="1:61" x14ac:dyDescent="0.25">
      <c r="A1971" s="62" t="s">
        <v>697</v>
      </c>
      <c r="B1971" s="62" t="s">
        <v>697</v>
      </c>
      <c r="C1971" s="63"/>
      <c r="D1971" s="64"/>
      <c r="E1971" s="65"/>
      <c r="F1971" s="66"/>
      <c r="G1971" s="63"/>
      <c r="H1971" s="67"/>
      <c r="I1971" s="68"/>
      <c r="J1971" s="68"/>
      <c r="K1971" s="32"/>
      <c r="L1971" s="75">
        <v>1971</v>
      </c>
      <c r="M1971" s="75"/>
      <c r="N1971" s="70"/>
      <c r="O1971" s="77" t="s">
        <v>897</v>
      </c>
      <c r="P1971" s="79">
        <v>45189.257407407407</v>
      </c>
      <c r="Q1971" s="77" t="s">
        <v>2653</v>
      </c>
      <c r="R1971" s="77">
        <v>1</v>
      </c>
      <c r="S1971" s="77">
        <v>0</v>
      </c>
      <c r="T1971" s="77">
        <v>0</v>
      </c>
      <c r="U1971" s="77">
        <v>0</v>
      </c>
      <c r="V1971" s="77"/>
      <c r="W1971" s="82" t="s">
        <v>5826</v>
      </c>
      <c r="X1971" s="77"/>
      <c r="Y1971" s="77"/>
      <c r="Z1971" s="77" t="s">
        <v>697</v>
      </c>
      <c r="AA1971" s="77"/>
      <c r="AB1971" s="77"/>
      <c r="AC1971" s="82" t="s">
        <v>7750</v>
      </c>
      <c r="AD1971" s="77" t="s">
        <v>7790</v>
      </c>
      <c r="AE1971" s="80" t="str">
        <f>HYPERLINK("https://twitter.com/jmendezliron/status/1704377517174305167")</f>
        <v>https://twitter.com/jmendezliron/status/1704377517174305167</v>
      </c>
      <c r="AF1971" s="79">
        <v>45189.257407407407</v>
      </c>
      <c r="AG1971" s="85">
        <v>45189</v>
      </c>
      <c r="AH1971" s="82" t="s">
        <v>9464</v>
      </c>
      <c r="AI1971" s="77"/>
      <c r="AJ1971" s="77"/>
      <c r="AK1971" s="77"/>
      <c r="AL1971" s="77"/>
      <c r="AM1971" s="77"/>
      <c r="AN1971" s="77"/>
      <c r="AO1971" s="77"/>
      <c r="AP1971" s="77"/>
      <c r="AQ1971" s="77"/>
      <c r="AR1971" s="77"/>
      <c r="AS1971" s="77"/>
      <c r="AT1971" s="77"/>
      <c r="AU1971" s="77"/>
      <c r="AV1971" s="80" t="str">
        <f>HYPERLINK("https://pbs.twimg.com/profile_images/612292231358246912/gMKxM5xX_normal.jpg")</f>
        <v>https://pbs.twimg.com/profile_images/612292231358246912/gMKxM5xX_normal.jpg</v>
      </c>
      <c r="AW1971" s="82" t="s">
        <v>13567</v>
      </c>
      <c r="AX1971" s="82" t="s">
        <v>13567</v>
      </c>
      <c r="AY1971" s="77"/>
      <c r="AZ1971" s="82" t="s">
        <v>15984</v>
      </c>
      <c r="BA1971" s="82" t="s">
        <v>15984</v>
      </c>
      <c r="BB1971" s="82" t="s">
        <v>13566</v>
      </c>
      <c r="BC1971" s="82" t="s">
        <v>13566</v>
      </c>
      <c r="BD1971" s="77">
        <v>748960584</v>
      </c>
      <c r="BE1971" s="77"/>
      <c r="BF1971" s="77"/>
      <c r="BG1971" s="77"/>
      <c r="BH1971" s="77"/>
      <c r="BI1971" s="77"/>
    </row>
    <row r="1972" spans="1:61" x14ac:dyDescent="0.25">
      <c r="A1972" s="62" t="s">
        <v>697</v>
      </c>
      <c r="B1972" s="62" t="s">
        <v>697</v>
      </c>
      <c r="C1972" s="63"/>
      <c r="D1972" s="64"/>
      <c r="E1972" s="65"/>
      <c r="F1972" s="66"/>
      <c r="G1972" s="63"/>
      <c r="H1972" s="67"/>
      <c r="I1972" s="68"/>
      <c r="J1972" s="68"/>
      <c r="K1972" s="32"/>
      <c r="L1972" s="75">
        <v>1972</v>
      </c>
      <c r="M1972" s="75"/>
      <c r="N1972" s="70"/>
      <c r="O1972" s="77" t="s">
        <v>179</v>
      </c>
      <c r="P1972" s="79">
        <v>45183.743298611109</v>
      </c>
      <c r="Q1972" s="77" t="s">
        <v>2654</v>
      </c>
      <c r="R1972" s="77">
        <v>1</v>
      </c>
      <c r="S1972" s="77">
        <v>1</v>
      </c>
      <c r="T1972" s="77">
        <v>0</v>
      </c>
      <c r="U1972" s="77">
        <v>0</v>
      </c>
      <c r="V1972" s="77">
        <v>60</v>
      </c>
      <c r="W1972" s="82" t="s">
        <v>5797</v>
      </c>
      <c r="X1972" s="80" t="str">
        <f>HYPERLINK("https://javiermliron.blogspot.com/2023/09/contratos-registrados-en-castilla-y.html")</f>
        <v>https://javiermliron.blogspot.com/2023/09/contratos-registrados-en-castilla-y.html</v>
      </c>
      <c r="Y1972" s="77" t="s">
        <v>6532</v>
      </c>
      <c r="Z1972" s="77"/>
      <c r="AA1972" s="77" t="s">
        <v>7583</v>
      </c>
      <c r="AB1972" s="77" t="s">
        <v>7742</v>
      </c>
      <c r="AC1972" s="82" t="s">
        <v>7750</v>
      </c>
      <c r="AD1972" s="77" t="s">
        <v>7790</v>
      </c>
      <c r="AE1972" s="80" t="str">
        <f>HYPERLINK("https://twitter.com/jmendezliron/status/1702379272147488962")</f>
        <v>https://twitter.com/jmendezliron/status/1702379272147488962</v>
      </c>
      <c r="AF1972" s="79">
        <v>45183.743298611109</v>
      </c>
      <c r="AG1972" s="85">
        <v>45183</v>
      </c>
      <c r="AH1972" s="82" t="s">
        <v>9465</v>
      </c>
      <c r="AI1972" s="77" t="b">
        <v>0</v>
      </c>
      <c r="AJ1972" s="77"/>
      <c r="AK1972" s="77"/>
      <c r="AL1972" s="77"/>
      <c r="AM1972" s="77"/>
      <c r="AN1972" s="77"/>
      <c r="AO1972" s="77"/>
      <c r="AP1972" s="77"/>
      <c r="AQ1972" s="77" t="s">
        <v>11555</v>
      </c>
      <c r="AR1972" s="77"/>
      <c r="AS1972" s="77"/>
      <c r="AT1972" s="77"/>
      <c r="AU1972" s="77"/>
      <c r="AV1972" s="80" t="str">
        <f>HYPERLINK("https://pbs.twimg.com/media/F6AQ63FWkAAoUhj.png")</f>
        <v>https://pbs.twimg.com/media/F6AQ63FWkAAoUhj.png</v>
      </c>
      <c r="AW1972" s="82" t="s">
        <v>13568</v>
      </c>
      <c r="AX1972" s="82" t="s">
        <v>13568</v>
      </c>
      <c r="AY1972" s="77"/>
      <c r="AZ1972" s="82" t="s">
        <v>15984</v>
      </c>
      <c r="BA1972" s="82" t="s">
        <v>15984</v>
      </c>
      <c r="BB1972" s="82" t="s">
        <v>15984</v>
      </c>
      <c r="BC1972" s="82" t="s">
        <v>13568</v>
      </c>
      <c r="BD1972" s="77">
        <v>748960584</v>
      </c>
      <c r="BE1972" s="77"/>
      <c r="BF1972" s="77"/>
      <c r="BG1972" s="77"/>
      <c r="BH1972" s="77"/>
      <c r="BI1972" s="77"/>
    </row>
    <row r="1973" spans="1:61" x14ac:dyDescent="0.25">
      <c r="A1973" s="62" t="s">
        <v>697</v>
      </c>
      <c r="B1973" s="62" t="s">
        <v>697</v>
      </c>
      <c r="C1973" s="63"/>
      <c r="D1973" s="64"/>
      <c r="E1973" s="65"/>
      <c r="F1973" s="66"/>
      <c r="G1973" s="63"/>
      <c r="H1973" s="67"/>
      <c r="I1973" s="68"/>
      <c r="J1973" s="68"/>
      <c r="K1973" s="32"/>
      <c r="L1973" s="75">
        <v>1973</v>
      </c>
      <c r="M1973" s="75"/>
      <c r="N1973" s="70"/>
      <c r="O1973" s="77" t="s">
        <v>179</v>
      </c>
      <c r="P1973" s="79">
        <v>45183.733958333331</v>
      </c>
      <c r="Q1973" s="77" t="s">
        <v>2655</v>
      </c>
      <c r="R1973" s="77">
        <v>1</v>
      </c>
      <c r="S1973" s="77">
        <v>1</v>
      </c>
      <c r="T1973" s="77">
        <v>0</v>
      </c>
      <c r="U1973" s="77">
        <v>0</v>
      </c>
      <c r="V1973" s="77">
        <v>42</v>
      </c>
      <c r="W1973" s="82" t="s">
        <v>5772</v>
      </c>
      <c r="X1973" s="80" t="str">
        <f>HYPERLINK("https://javiermliron.blogspot.com/2023/09/indice-de-produccion-industrial-madrid.html")</f>
        <v>https://javiermliron.blogspot.com/2023/09/indice-de-produccion-industrial-madrid.html</v>
      </c>
      <c r="Y1973" s="77" t="s">
        <v>6532</v>
      </c>
      <c r="Z1973" s="77"/>
      <c r="AA1973" s="77" t="s">
        <v>7584</v>
      </c>
      <c r="AB1973" s="77" t="s">
        <v>7742</v>
      </c>
      <c r="AC1973" s="82" t="s">
        <v>7750</v>
      </c>
      <c r="AD1973" s="77" t="s">
        <v>7790</v>
      </c>
      <c r="AE1973" s="80" t="str">
        <f>HYPERLINK("https://twitter.com/jmendezliron/status/1702375887902007631")</f>
        <v>https://twitter.com/jmendezliron/status/1702375887902007631</v>
      </c>
      <c r="AF1973" s="79">
        <v>45183.733958333331</v>
      </c>
      <c r="AG1973" s="85">
        <v>45183</v>
      </c>
      <c r="AH1973" s="82" t="s">
        <v>9466</v>
      </c>
      <c r="AI1973" s="77" t="b">
        <v>0</v>
      </c>
      <c r="AJ1973" s="77"/>
      <c r="AK1973" s="77"/>
      <c r="AL1973" s="77"/>
      <c r="AM1973" s="77"/>
      <c r="AN1973" s="77"/>
      <c r="AO1973" s="77"/>
      <c r="AP1973" s="77"/>
      <c r="AQ1973" s="77" t="s">
        <v>11556</v>
      </c>
      <c r="AR1973" s="77"/>
      <c r="AS1973" s="77"/>
      <c r="AT1973" s="77"/>
      <c r="AU1973" s="77"/>
      <c r="AV1973" s="80" t="str">
        <f>HYPERLINK("https://pbs.twimg.com/media/F6AN2AwWAAAv_01.png")</f>
        <v>https://pbs.twimg.com/media/F6AN2AwWAAAv_01.png</v>
      </c>
      <c r="AW1973" s="82" t="s">
        <v>13569</v>
      </c>
      <c r="AX1973" s="82" t="s">
        <v>13569</v>
      </c>
      <c r="AY1973" s="77"/>
      <c r="AZ1973" s="82" t="s">
        <v>15984</v>
      </c>
      <c r="BA1973" s="82" t="s">
        <v>15984</v>
      </c>
      <c r="BB1973" s="82" t="s">
        <v>15984</v>
      </c>
      <c r="BC1973" s="82" t="s">
        <v>13569</v>
      </c>
      <c r="BD1973" s="77">
        <v>748960584</v>
      </c>
      <c r="BE1973" s="77"/>
      <c r="BF1973" s="77"/>
      <c r="BG1973" s="77"/>
      <c r="BH1973" s="77"/>
      <c r="BI1973" s="77"/>
    </row>
    <row r="1974" spans="1:61" x14ac:dyDescent="0.25">
      <c r="A1974" s="62" t="s">
        <v>697</v>
      </c>
      <c r="B1974" s="62" t="s">
        <v>697</v>
      </c>
      <c r="C1974" s="63"/>
      <c r="D1974" s="64"/>
      <c r="E1974" s="65"/>
      <c r="F1974" s="66"/>
      <c r="G1974" s="63"/>
      <c r="H1974" s="67"/>
      <c r="I1974" s="68"/>
      <c r="J1974" s="68"/>
      <c r="K1974" s="32"/>
      <c r="L1974" s="75">
        <v>1974</v>
      </c>
      <c r="M1974" s="75"/>
      <c r="N1974" s="70"/>
      <c r="O1974" s="77" t="s">
        <v>179</v>
      </c>
      <c r="P1974" s="79">
        <v>45149.733043981483</v>
      </c>
      <c r="Q1974" s="77" t="s">
        <v>2656</v>
      </c>
      <c r="R1974" s="77">
        <v>1</v>
      </c>
      <c r="S1974" s="77">
        <v>1</v>
      </c>
      <c r="T1974" s="77">
        <v>0</v>
      </c>
      <c r="U1974" s="77">
        <v>0</v>
      </c>
      <c r="V1974" s="77">
        <v>82</v>
      </c>
      <c r="W1974" s="82" t="s">
        <v>5772</v>
      </c>
      <c r="X1974" s="80" t="str">
        <f>HYPERLINK("https://javiermliron.blogspot.com/2023/08/indice-de-produccion-industrial-madrid.html")</f>
        <v>https://javiermliron.blogspot.com/2023/08/indice-de-produccion-industrial-madrid.html</v>
      </c>
      <c r="Y1974" s="77" t="s">
        <v>6532</v>
      </c>
      <c r="Z1974" s="77"/>
      <c r="AA1974" s="77" t="s">
        <v>7585</v>
      </c>
      <c r="AB1974" s="77" t="s">
        <v>7742</v>
      </c>
      <c r="AC1974" s="82" t="s">
        <v>7750</v>
      </c>
      <c r="AD1974" s="77" t="s">
        <v>7790</v>
      </c>
      <c r="AE1974" s="80" t="str">
        <f>HYPERLINK("https://twitter.com/jmendezliron/status/1690054367108309000")</f>
        <v>https://twitter.com/jmendezliron/status/1690054367108309000</v>
      </c>
      <c r="AF1974" s="79">
        <v>45149.733043981483</v>
      </c>
      <c r="AG1974" s="85">
        <v>45149</v>
      </c>
      <c r="AH1974" s="82" t="s">
        <v>9467</v>
      </c>
      <c r="AI1974" s="77" t="b">
        <v>0</v>
      </c>
      <c r="AJ1974" s="77"/>
      <c r="AK1974" s="77"/>
      <c r="AL1974" s="77"/>
      <c r="AM1974" s="77"/>
      <c r="AN1974" s="77"/>
      <c r="AO1974" s="77"/>
      <c r="AP1974" s="77"/>
      <c r="AQ1974" s="77" t="s">
        <v>11557</v>
      </c>
      <c r="AR1974" s="77"/>
      <c r="AS1974" s="77"/>
      <c r="AT1974" s="77"/>
      <c r="AU1974" s="77"/>
      <c r="AV1974" s="80" t="str">
        <f>HYPERLINK("https://pbs.twimg.com/media/F3RHe7sWoAkupaD.png")</f>
        <v>https://pbs.twimg.com/media/F3RHe7sWoAkupaD.png</v>
      </c>
      <c r="AW1974" s="82" t="s">
        <v>13570</v>
      </c>
      <c r="AX1974" s="82" t="s">
        <v>13570</v>
      </c>
      <c r="AY1974" s="77"/>
      <c r="AZ1974" s="82" t="s">
        <v>15984</v>
      </c>
      <c r="BA1974" s="82" t="s">
        <v>15984</v>
      </c>
      <c r="BB1974" s="82" t="s">
        <v>15984</v>
      </c>
      <c r="BC1974" s="82" t="s">
        <v>13570</v>
      </c>
      <c r="BD1974" s="77">
        <v>748960584</v>
      </c>
      <c r="BE1974" s="77"/>
      <c r="BF1974" s="77"/>
      <c r="BG1974" s="77"/>
      <c r="BH1974" s="77"/>
      <c r="BI1974" s="77"/>
    </row>
    <row r="1975" spans="1:61" x14ac:dyDescent="0.25">
      <c r="A1975" s="62" t="s">
        <v>697</v>
      </c>
      <c r="B1975" s="62" t="s">
        <v>697</v>
      </c>
      <c r="C1975" s="63"/>
      <c r="D1975" s="64"/>
      <c r="E1975" s="65"/>
      <c r="F1975" s="66"/>
      <c r="G1975" s="63"/>
      <c r="H1975" s="67"/>
      <c r="I1975" s="68"/>
      <c r="J1975" s="68"/>
      <c r="K1975" s="32"/>
      <c r="L1975" s="75">
        <v>1975</v>
      </c>
      <c r="M1975" s="75"/>
      <c r="N1975" s="70"/>
      <c r="O1975" s="77" t="s">
        <v>179</v>
      </c>
      <c r="P1975" s="79">
        <v>45149.249409722222</v>
      </c>
      <c r="Q1975" s="77" t="s">
        <v>2657</v>
      </c>
      <c r="R1975" s="77">
        <v>1</v>
      </c>
      <c r="S1975" s="77">
        <v>1</v>
      </c>
      <c r="T1975" s="77">
        <v>0</v>
      </c>
      <c r="U1975" s="77">
        <v>0</v>
      </c>
      <c r="V1975" s="77">
        <v>79</v>
      </c>
      <c r="W1975" s="82" t="s">
        <v>5813</v>
      </c>
      <c r="X1975" s="80" t="str">
        <f>HYPERLINK("https://javiermliron.blogspot.com/2023/08/indice-de-produccion-industrial-madrid.html")</f>
        <v>https://javiermliron.blogspot.com/2023/08/indice-de-produccion-industrial-madrid.html</v>
      </c>
      <c r="Y1975" s="77" t="s">
        <v>6532</v>
      </c>
      <c r="Z1975" s="77"/>
      <c r="AA1975" s="77" t="s">
        <v>7586</v>
      </c>
      <c r="AB1975" s="77" t="s">
        <v>7742</v>
      </c>
      <c r="AC1975" s="82" t="s">
        <v>7750</v>
      </c>
      <c r="AD1975" s="77" t="s">
        <v>7790</v>
      </c>
      <c r="AE1975" s="80" t="str">
        <f>HYPERLINK("https://twitter.com/jmendezliron/status/1689879103611015168")</f>
        <v>https://twitter.com/jmendezliron/status/1689879103611015168</v>
      </c>
      <c r="AF1975" s="79">
        <v>45149.249409722222</v>
      </c>
      <c r="AG1975" s="85">
        <v>45149</v>
      </c>
      <c r="AH1975" s="82" t="s">
        <v>9468</v>
      </c>
      <c r="AI1975" s="77" t="b">
        <v>0</v>
      </c>
      <c r="AJ1975" s="77"/>
      <c r="AK1975" s="77"/>
      <c r="AL1975" s="77"/>
      <c r="AM1975" s="77"/>
      <c r="AN1975" s="77"/>
      <c r="AO1975" s="77"/>
      <c r="AP1975" s="77"/>
      <c r="AQ1975" s="77" t="s">
        <v>11558</v>
      </c>
      <c r="AR1975" s="77"/>
      <c r="AS1975" s="77"/>
      <c r="AT1975" s="77"/>
      <c r="AU1975" s="77"/>
      <c r="AV1975" s="80" t="str">
        <f>HYPERLINK("https://pbs.twimg.com/media/F3OoFjFXMAA_Cfr.png")</f>
        <v>https://pbs.twimg.com/media/F3OoFjFXMAA_Cfr.png</v>
      </c>
      <c r="AW1975" s="82" t="s">
        <v>13571</v>
      </c>
      <c r="AX1975" s="82" t="s">
        <v>13571</v>
      </c>
      <c r="AY1975" s="77"/>
      <c r="AZ1975" s="82" t="s">
        <v>15984</v>
      </c>
      <c r="BA1975" s="82" t="s">
        <v>15984</v>
      </c>
      <c r="BB1975" s="82" t="s">
        <v>15984</v>
      </c>
      <c r="BC1975" s="82" t="s">
        <v>13571</v>
      </c>
      <c r="BD1975" s="77">
        <v>748960584</v>
      </c>
      <c r="BE1975" s="77"/>
      <c r="BF1975" s="77"/>
      <c r="BG1975" s="77"/>
      <c r="BH1975" s="77"/>
      <c r="BI1975" s="77"/>
    </row>
    <row r="1976" spans="1:61" x14ac:dyDescent="0.25">
      <c r="A1976" s="62" t="s">
        <v>698</v>
      </c>
      <c r="B1976" s="62" t="s">
        <v>698</v>
      </c>
      <c r="C1976" s="63"/>
      <c r="D1976" s="64"/>
      <c r="E1976" s="65"/>
      <c r="F1976" s="66"/>
      <c r="G1976" s="63"/>
      <c r="H1976" s="67"/>
      <c r="I1976" s="68"/>
      <c r="J1976" s="68"/>
      <c r="K1976" s="32"/>
      <c r="L1976" s="75">
        <v>1976</v>
      </c>
      <c r="M1976" s="75"/>
      <c r="N1976" s="70"/>
      <c r="O1976" s="77" t="s">
        <v>179</v>
      </c>
      <c r="P1976" s="79">
        <v>45159.604166666664</v>
      </c>
      <c r="Q1976" s="77" t="s">
        <v>2658</v>
      </c>
      <c r="R1976" s="77">
        <v>0</v>
      </c>
      <c r="S1976" s="77">
        <v>1</v>
      </c>
      <c r="T1976" s="77">
        <v>0</v>
      </c>
      <c r="U1976" s="77">
        <v>0</v>
      </c>
      <c r="V1976" s="77">
        <v>61</v>
      </c>
      <c r="W1976" s="82" t="s">
        <v>5862</v>
      </c>
      <c r="X1976" s="80" t="str">
        <f>HYPERLINK("https://diariodocomercio.com.br/financas/ibovespa-registra-a-maior-sequencia-de-resultados-negativos-da-historia/")</f>
        <v>https://diariodocomercio.com.br/financas/ibovespa-registra-a-maior-sequencia-de-resultados-negativos-da-historia/</v>
      </c>
      <c r="Y1976" s="77" t="s">
        <v>6470</v>
      </c>
      <c r="Z1976" s="77"/>
      <c r="AA1976" s="77"/>
      <c r="AB1976" s="77"/>
      <c r="AC1976" s="82" t="s">
        <v>7750</v>
      </c>
      <c r="AD1976" s="77" t="s">
        <v>7788</v>
      </c>
      <c r="AE1976" s="80" t="str">
        <f>HYPERLINK("https://twitter.com/diario_comercio/status/1693631542055281005")</f>
        <v>https://twitter.com/diario_comercio/status/1693631542055281005</v>
      </c>
      <c r="AF1976" s="79">
        <v>45159.604166666664</v>
      </c>
      <c r="AG1976" s="85">
        <v>45159</v>
      </c>
      <c r="AH1976" s="82" t="s">
        <v>8093</v>
      </c>
      <c r="AI1976" s="77" t="b">
        <v>0</v>
      </c>
      <c r="AJ1976" s="77"/>
      <c r="AK1976" s="77"/>
      <c r="AL1976" s="77"/>
      <c r="AM1976" s="77"/>
      <c r="AN1976" s="77"/>
      <c r="AO1976" s="77"/>
      <c r="AP1976" s="77"/>
      <c r="AQ1976" s="77"/>
      <c r="AR1976" s="77"/>
      <c r="AS1976" s="77"/>
      <c r="AT1976" s="77"/>
      <c r="AU1976" s="77"/>
      <c r="AV1976" s="80" t="str">
        <f>HYPERLINK("https://pbs.twimg.com/profile_images/1610325557580898306/UZehEg0I_normal.jpg")</f>
        <v>https://pbs.twimg.com/profile_images/1610325557580898306/UZehEg0I_normal.jpg</v>
      </c>
      <c r="AW1976" s="82" t="s">
        <v>13572</v>
      </c>
      <c r="AX1976" s="82" t="s">
        <v>13572</v>
      </c>
      <c r="AY1976" s="77"/>
      <c r="AZ1976" s="82" t="s">
        <v>15984</v>
      </c>
      <c r="BA1976" s="82" t="s">
        <v>15984</v>
      </c>
      <c r="BB1976" s="82" t="s">
        <v>15984</v>
      </c>
      <c r="BC1976" s="82" t="s">
        <v>13572</v>
      </c>
      <c r="BD1976" s="77">
        <v>94388843</v>
      </c>
      <c r="BE1976" s="77"/>
      <c r="BF1976" s="77"/>
      <c r="BG1976" s="77"/>
      <c r="BH1976" s="77"/>
      <c r="BI1976" s="77"/>
    </row>
    <row r="1977" spans="1:61" x14ac:dyDescent="0.25">
      <c r="A1977" s="62" t="s">
        <v>698</v>
      </c>
      <c r="B1977" s="62" t="s">
        <v>698</v>
      </c>
      <c r="C1977" s="63"/>
      <c r="D1977" s="64"/>
      <c r="E1977" s="65"/>
      <c r="F1977" s="66"/>
      <c r="G1977" s="63"/>
      <c r="H1977" s="67"/>
      <c r="I1977" s="68"/>
      <c r="J1977" s="68"/>
      <c r="K1977" s="32"/>
      <c r="L1977" s="75">
        <v>1977</v>
      </c>
      <c r="M1977" s="75"/>
      <c r="N1977" s="70"/>
      <c r="O1977" s="77" t="s">
        <v>179</v>
      </c>
      <c r="P1977" s="79">
        <v>45194.541689814818</v>
      </c>
      <c r="Q1977" s="77" t="s">
        <v>2659</v>
      </c>
      <c r="R1977" s="77">
        <v>2</v>
      </c>
      <c r="S1977" s="77">
        <v>1</v>
      </c>
      <c r="T1977" s="77">
        <v>0</v>
      </c>
      <c r="U1977" s="77">
        <v>0</v>
      </c>
      <c r="V1977" s="77">
        <v>52</v>
      </c>
      <c r="W1977" s="82" t="s">
        <v>5863</v>
      </c>
      <c r="X1977" s="80" t="str">
        <f>HYPERLINK("https://diariodocomercio.com.br/economia/taxa-de-juros-selic-queda-pode-beneficiar-setor-financeiro/")</f>
        <v>https://diariodocomercio.com.br/economia/taxa-de-juros-selic-queda-pode-beneficiar-setor-financeiro/</v>
      </c>
      <c r="Y1977" s="77" t="s">
        <v>6470</v>
      </c>
      <c r="Z1977" s="77"/>
      <c r="AA1977" s="77"/>
      <c r="AB1977" s="77"/>
      <c r="AC1977" s="82" t="s">
        <v>7750</v>
      </c>
      <c r="AD1977" s="77" t="s">
        <v>7788</v>
      </c>
      <c r="AE1977" s="80" t="str">
        <f>HYPERLINK("https://twitter.com/diario_comercio/status/1706292477131387296")</f>
        <v>https://twitter.com/diario_comercio/status/1706292477131387296</v>
      </c>
      <c r="AF1977" s="79">
        <v>45194.541689814818</v>
      </c>
      <c r="AG1977" s="85">
        <v>45194</v>
      </c>
      <c r="AH1977" s="82" t="s">
        <v>8312</v>
      </c>
      <c r="AI1977" s="77" t="b">
        <v>0</v>
      </c>
      <c r="AJ1977" s="77"/>
      <c r="AK1977" s="77"/>
      <c r="AL1977" s="77"/>
      <c r="AM1977" s="77"/>
      <c r="AN1977" s="77"/>
      <c r="AO1977" s="77"/>
      <c r="AP1977" s="77"/>
      <c r="AQ1977" s="77"/>
      <c r="AR1977" s="77"/>
      <c r="AS1977" s="77"/>
      <c r="AT1977" s="77"/>
      <c r="AU1977" s="77"/>
      <c r="AV1977" s="80" t="str">
        <f>HYPERLINK("https://pbs.twimg.com/profile_images/1610325557580898306/UZehEg0I_normal.jpg")</f>
        <v>https://pbs.twimg.com/profile_images/1610325557580898306/UZehEg0I_normal.jpg</v>
      </c>
      <c r="AW1977" s="82" t="s">
        <v>13573</v>
      </c>
      <c r="AX1977" s="82" t="s">
        <v>13573</v>
      </c>
      <c r="AY1977" s="77"/>
      <c r="AZ1977" s="82" t="s">
        <v>15984</v>
      </c>
      <c r="BA1977" s="82" t="s">
        <v>15984</v>
      </c>
      <c r="BB1977" s="82" t="s">
        <v>15984</v>
      </c>
      <c r="BC1977" s="82" t="s">
        <v>13573</v>
      </c>
      <c r="BD1977" s="77">
        <v>94388843</v>
      </c>
      <c r="BE1977" s="77"/>
      <c r="BF1977" s="77"/>
      <c r="BG1977" s="77"/>
      <c r="BH1977" s="77"/>
      <c r="BI1977" s="77"/>
    </row>
    <row r="1978" spans="1:61" x14ac:dyDescent="0.25">
      <c r="A1978" s="62" t="s">
        <v>699</v>
      </c>
      <c r="B1978" s="62" t="s">
        <v>699</v>
      </c>
      <c r="C1978" s="63"/>
      <c r="D1978" s="64"/>
      <c r="E1978" s="65"/>
      <c r="F1978" s="66"/>
      <c r="G1978" s="63"/>
      <c r="H1978" s="67"/>
      <c r="I1978" s="68"/>
      <c r="J1978" s="68"/>
      <c r="K1978" s="32"/>
      <c r="L1978" s="75">
        <v>1978</v>
      </c>
      <c r="M1978" s="75"/>
      <c r="N1978" s="70"/>
      <c r="O1978" s="77" t="s">
        <v>179</v>
      </c>
      <c r="P1978" s="79">
        <v>45117.922638888886</v>
      </c>
      <c r="Q1978" s="77" t="s">
        <v>2660</v>
      </c>
      <c r="R1978" s="77">
        <v>0</v>
      </c>
      <c r="S1978" s="77">
        <v>0</v>
      </c>
      <c r="T1978" s="77">
        <v>0</v>
      </c>
      <c r="U1978" s="77">
        <v>0</v>
      </c>
      <c r="V1978" s="77">
        <v>3</v>
      </c>
      <c r="W1978" s="82" t="s">
        <v>5864</v>
      </c>
      <c r="X1978" s="80" t="str">
        <f>HYPERLINK("https://portal.rodadecuia.com.br/economia/10/07/2023/mercado-preve-inflacao-de-495-para-este-ano/")</f>
        <v>https://portal.rodadecuia.com.br/economia/10/07/2023/mercado-preve-inflacao-de-495-para-este-ano/</v>
      </c>
      <c r="Y1978" s="77" t="s">
        <v>6470</v>
      </c>
      <c r="Z1978" s="77"/>
      <c r="AA1978" s="77"/>
      <c r="AB1978" s="77"/>
      <c r="AC1978" s="82" t="s">
        <v>7782</v>
      </c>
      <c r="AD1978" s="77" t="s">
        <v>7788</v>
      </c>
      <c r="AE1978" s="80" t="str">
        <f>HYPERLINK("https://twitter.com/rodadecuia/status/1678526660839108610")</f>
        <v>https://twitter.com/rodadecuia/status/1678526660839108610</v>
      </c>
      <c r="AF1978" s="79">
        <v>45117.922638888886</v>
      </c>
      <c r="AG1978" s="85">
        <v>45117</v>
      </c>
      <c r="AH1978" s="82" t="s">
        <v>9469</v>
      </c>
      <c r="AI1978" s="77" t="b">
        <v>0</v>
      </c>
      <c r="AJ1978" s="77"/>
      <c r="AK1978" s="77"/>
      <c r="AL1978" s="77"/>
      <c r="AM1978" s="77"/>
      <c r="AN1978" s="77"/>
      <c r="AO1978" s="77"/>
      <c r="AP1978" s="77"/>
      <c r="AQ1978" s="77"/>
      <c r="AR1978" s="77"/>
      <c r="AS1978" s="77"/>
      <c r="AT1978" s="77"/>
      <c r="AU1978" s="77"/>
      <c r="AV1978" s="80" t="str">
        <f>HYPERLINK("https://pbs.twimg.com/profile_images/1577848923431002114/DdOeuC2c_normal.png")</f>
        <v>https://pbs.twimg.com/profile_images/1577848923431002114/DdOeuC2c_normal.png</v>
      </c>
      <c r="AW1978" s="82" t="s">
        <v>13574</v>
      </c>
      <c r="AX1978" s="82" t="s">
        <v>13574</v>
      </c>
      <c r="AY1978" s="77"/>
      <c r="AZ1978" s="82" t="s">
        <v>15984</v>
      </c>
      <c r="BA1978" s="82" t="s">
        <v>15984</v>
      </c>
      <c r="BB1978" s="82" t="s">
        <v>15984</v>
      </c>
      <c r="BC1978" s="82" t="s">
        <v>13574</v>
      </c>
      <c r="BD1978" s="82" t="s">
        <v>16378</v>
      </c>
      <c r="BE1978" s="77"/>
      <c r="BF1978" s="77"/>
      <c r="BG1978" s="77"/>
      <c r="BH1978" s="77"/>
      <c r="BI1978" s="77"/>
    </row>
    <row r="1979" spans="1:61" x14ac:dyDescent="0.25">
      <c r="A1979" s="62" t="s">
        <v>700</v>
      </c>
      <c r="B1979" s="62" t="s">
        <v>889</v>
      </c>
      <c r="C1979" s="63"/>
      <c r="D1979" s="64"/>
      <c r="E1979" s="65"/>
      <c r="F1979" s="66"/>
      <c r="G1979" s="63"/>
      <c r="H1979" s="67"/>
      <c r="I1979" s="68"/>
      <c r="J1979" s="68"/>
      <c r="K1979" s="32"/>
      <c r="L1979" s="75">
        <v>1979</v>
      </c>
      <c r="M1979" s="75"/>
      <c r="N1979" s="70"/>
      <c r="O1979" s="77" t="s">
        <v>895</v>
      </c>
      <c r="P1979" s="79">
        <v>45120.936145833337</v>
      </c>
      <c r="Q1979" s="77" t="s">
        <v>2661</v>
      </c>
      <c r="R1979" s="77">
        <v>0</v>
      </c>
      <c r="S1979" s="77">
        <v>2</v>
      </c>
      <c r="T1979" s="77">
        <v>0</v>
      </c>
      <c r="U1979" s="77">
        <v>0</v>
      </c>
      <c r="V1979" s="77">
        <v>197</v>
      </c>
      <c r="W1979" s="82" t="s">
        <v>5865</v>
      </c>
      <c r="X1979" s="77"/>
      <c r="Y1979" s="77"/>
      <c r="Z1979" s="77" t="s">
        <v>889</v>
      </c>
      <c r="AA1979" s="77" t="s">
        <v>7587</v>
      </c>
      <c r="AB1979" s="77" t="s">
        <v>7742</v>
      </c>
      <c r="AC1979" s="82" t="s">
        <v>7751</v>
      </c>
      <c r="AD1979" s="77" t="s">
        <v>7788</v>
      </c>
      <c r="AE1979" s="80" t="str">
        <f>HYPERLINK("https://twitter.com/brunocantao_/status/1679618722107981824")</f>
        <v>https://twitter.com/brunocantao_/status/1679618722107981824</v>
      </c>
      <c r="AF1979" s="79">
        <v>45120.936145833337</v>
      </c>
      <c r="AG1979" s="85">
        <v>45120</v>
      </c>
      <c r="AH1979" s="82" t="s">
        <v>9470</v>
      </c>
      <c r="AI1979" s="77" t="b">
        <v>0</v>
      </c>
      <c r="AJ1979" s="77" t="s">
        <v>10568</v>
      </c>
      <c r="AK1979" s="77" t="s">
        <v>10570</v>
      </c>
      <c r="AL1979" s="77" t="s">
        <v>10574</v>
      </c>
      <c r="AM1979" s="77" t="s">
        <v>10586</v>
      </c>
      <c r="AN1979" s="77" t="s">
        <v>10597</v>
      </c>
      <c r="AO1979" s="77" t="s">
        <v>10607</v>
      </c>
      <c r="AP1979" s="77" t="s">
        <v>10609</v>
      </c>
      <c r="AQ1979" s="77" t="s">
        <v>11559</v>
      </c>
      <c r="AR1979" s="77"/>
      <c r="AS1979" s="77"/>
      <c r="AT1979" s="77"/>
      <c r="AU1979" s="77"/>
      <c r="AV1979" s="80" t="str">
        <f>HYPERLINK("https://pbs.twimg.com/media/F080QcFXwAE248F.jpg")</f>
        <v>https://pbs.twimg.com/media/F080QcFXwAE248F.jpg</v>
      </c>
      <c r="AW1979" s="82" t="s">
        <v>13575</v>
      </c>
      <c r="AX1979" s="82" t="s">
        <v>13575</v>
      </c>
      <c r="AY1979" s="77"/>
      <c r="AZ1979" s="82" t="s">
        <v>15984</v>
      </c>
      <c r="BA1979" s="82" t="s">
        <v>15984</v>
      </c>
      <c r="BB1979" s="82" t="s">
        <v>15984</v>
      </c>
      <c r="BC1979" s="82" t="s">
        <v>13575</v>
      </c>
      <c r="BD1979" s="82" t="s">
        <v>16379</v>
      </c>
      <c r="BE1979" s="77"/>
      <c r="BF1979" s="77"/>
      <c r="BG1979" s="77"/>
      <c r="BH1979" s="77"/>
      <c r="BI1979" s="77"/>
    </row>
    <row r="1980" spans="1:61" x14ac:dyDescent="0.25">
      <c r="A1980" s="62" t="s">
        <v>701</v>
      </c>
      <c r="B1980" s="62" t="s">
        <v>701</v>
      </c>
      <c r="C1980" s="63"/>
      <c r="D1980" s="64"/>
      <c r="E1980" s="65"/>
      <c r="F1980" s="66"/>
      <c r="G1980" s="63"/>
      <c r="H1980" s="67"/>
      <c r="I1980" s="68"/>
      <c r="J1980" s="68"/>
      <c r="K1980" s="32"/>
      <c r="L1980" s="75">
        <v>1980</v>
      </c>
      <c r="M1980" s="75"/>
      <c r="N1980" s="70"/>
      <c r="O1980" s="77" t="s">
        <v>898</v>
      </c>
      <c r="P1980" s="79">
        <v>45188.445868055554</v>
      </c>
      <c r="Q1980" s="77" t="s">
        <v>2662</v>
      </c>
      <c r="R1980" s="77">
        <v>0</v>
      </c>
      <c r="S1980" s="77">
        <v>1</v>
      </c>
      <c r="T1980" s="77">
        <v>0</v>
      </c>
      <c r="U1980" s="77">
        <v>0</v>
      </c>
      <c r="V1980" s="77">
        <v>12</v>
      </c>
      <c r="W1980" s="82" t="s">
        <v>5866</v>
      </c>
      <c r="X1980" s="77"/>
      <c r="Y1980" s="77"/>
      <c r="Z1980" s="77"/>
      <c r="AA1980" s="77"/>
      <c r="AB1980" s="77"/>
      <c r="AC1980" s="82" t="s">
        <v>7750</v>
      </c>
      <c r="AD1980" s="77" t="s">
        <v>7788</v>
      </c>
      <c r="AE1980" s="80" t="str">
        <f>HYPERLINK("https://twitter.com/ivancri90130867/status/1704083423831142400")</f>
        <v>https://twitter.com/ivancri90130867/status/1704083423831142400</v>
      </c>
      <c r="AF1980" s="79">
        <v>45188.445868055554</v>
      </c>
      <c r="AG1980" s="85">
        <v>45188</v>
      </c>
      <c r="AH1980" s="82" t="s">
        <v>9471</v>
      </c>
      <c r="AI1980" s="77"/>
      <c r="AJ1980" s="77"/>
      <c r="AK1980" s="77"/>
      <c r="AL1980" s="77"/>
      <c r="AM1980" s="77"/>
      <c r="AN1980" s="77"/>
      <c r="AO1980" s="77"/>
      <c r="AP1980" s="77"/>
      <c r="AQ1980" s="77"/>
      <c r="AR1980" s="77"/>
      <c r="AS1980" s="77"/>
      <c r="AT1980" s="77"/>
      <c r="AU1980" s="77"/>
      <c r="AV1980" s="80" t="str">
        <f>HYPERLINK("https://pbs.twimg.com/profile_images/1692513854549311488/5fbDxHwQ_normal.jpg")</f>
        <v>https://pbs.twimg.com/profile_images/1692513854549311488/5fbDxHwQ_normal.jpg</v>
      </c>
      <c r="AW1980" s="82" t="s">
        <v>13576</v>
      </c>
      <c r="AX1980" s="82" t="s">
        <v>15898</v>
      </c>
      <c r="AY1980" s="82" t="s">
        <v>15976</v>
      </c>
      <c r="AZ1980" s="82" t="s">
        <v>15898</v>
      </c>
      <c r="BA1980" s="82" t="s">
        <v>15984</v>
      </c>
      <c r="BB1980" s="82" t="s">
        <v>15984</v>
      </c>
      <c r="BC1980" s="82" t="s">
        <v>15898</v>
      </c>
      <c r="BD1980" s="82" t="s">
        <v>15976</v>
      </c>
      <c r="BE1980" s="77"/>
      <c r="BF1980" s="77"/>
      <c r="BG1980" s="77"/>
      <c r="BH1980" s="77"/>
      <c r="BI1980" s="77"/>
    </row>
    <row r="1981" spans="1:61" x14ac:dyDescent="0.25">
      <c r="A1981" s="62" t="s">
        <v>702</v>
      </c>
      <c r="B1981" s="62" t="s">
        <v>702</v>
      </c>
      <c r="C1981" s="63"/>
      <c r="D1981" s="64"/>
      <c r="E1981" s="65"/>
      <c r="F1981" s="66"/>
      <c r="G1981" s="63"/>
      <c r="H1981" s="67"/>
      <c r="I1981" s="68"/>
      <c r="J1981" s="68"/>
      <c r="K1981" s="32"/>
      <c r="L1981" s="75">
        <v>1981</v>
      </c>
      <c r="M1981" s="75"/>
      <c r="N1981" s="70"/>
      <c r="O1981" s="77" t="s">
        <v>179</v>
      </c>
      <c r="P1981" s="79">
        <v>44958.887476851851</v>
      </c>
      <c r="Q1981" s="77" t="s">
        <v>2663</v>
      </c>
      <c r="R1981" s="77">
        <v>2</v>
      </c>
      <c r="S1981" s="77">
        <v>3</v>
      </c>
      <c r="T1981" s="77">
        <v>0</v>
      </c>
      <c r="U1981" s="77">
        <v>0</v>
      </c>
      <c r="V1981" s="77">
        <v>103</v>
      </c>
      <c r="W1981" s="82" t="s">
        <v>5867</v>
      </c>
      <c r="X1981" s="77"/>
      <c r="Y1981" s="77"/>
      <c r="Z1981" s="77"/>
      <c r="AA1981" s="77"/>
      <c r="AB1981" s="77"/>
      <c r="AC1981" s="82" t="s">
        <v>7751</v>
      </c>
      <c r="AD1981" s="77" t="s">
        <v>7788</v>
      </c>
      <c r="AE1981" s="80" t="str">
        <f>HYPERLINK("https://twitter.com/mcovesa/status/1620894248387358720")</f>
        <v>https://twitter.com/mcovesa/status/1620894248387358720</v>
      </c>
      <c r="AF1981" s="79">
        <v>44958.887476851851</v>
      </c>
      <c r="AG1981" s="85">
        <v>44958</v>
      </c>
      <c r="AH1981" s="82" t="s">
        <v>9472</v>
      </c>
      <c r="AI1981" s="77"/>
      <c r="AJ1981" s="77"/>
      <c r="AK1981" s="77"/>
      <c r="AL1981" s="77"/>
      <c r="AM1981" s="77"/>
      <c r="AN1981" s="77"/>
      <c r="AO1981" s="77"/>
      <c r="AP1981" s="77"/>
      <c r="AQ1981" s="77"/>
      <c r="AR1981" s="77"/>
      <c r="AS1981" s="77"/>
      <c r="AT1981" s="77"/>
      <c r="AU1981" s="77"/>
      <c r="AV1981" s="80" t="str">
        <f>HYPERLINK("https://pbs.twimg.com/profile_images/1281160374142803968/BSr5Ucpb_normal.jpg")</f>
        <v>https://pbs.twimg.com/profile_images/1281160374142803968/BSr5Ucpb_normal.jpg</v>
      </c>
      <c r="AW1981" s="82" t="s">
        <v>13577</v>
      </c>
      <c r="AX1981" s="82" t="s">
        <v>13577</v>
      </c>
      <c r="AY1981" s="77"/>
      <c r="AZ1981" s="82" t="s">
        <v>15984</v>
      </c>
      <c r="BA1981" s="82" t="s">
        <v>15984</v>
      </c>
      <c r="BB1981" s="82" t="s">
        <v>15984</v>
      </c>
      <c r="BC1981" s="82" t="s">
        <v>13577</v>
      </c>
      <c r="BD1981" s="77">
        <v>2911189884</v>
      </c>
      <c r="BE1981" s="77"/>
      <c r="BF1981" s="77"/>
      <c r="BG1981" s="77"/>
      <c r="BH1981" s="77"/>
      <c r="BI1981" s="77"/>
    </row>
    <row r="1982" spans="1:61" x14ac:dyDescent="0.25">
      <c r="A1982" s="62" t="s">
        <v>703</v>
      </c>
      <c r="B1982" s="62" t="s">
        <v>703</v>
      </c>
      <c r="C1982" s="63"/>
      <c r="D1982" s="64"/>
      <c r="E1982" s="65"/>
      <c r="F1982" s="66"/>
      <c r="G1982" s="63"/>
      <c r="H1982" s="67"/>
      <c r="I1982" s="68"/>
      <c r="J1982" s="68"/>
      <c r="K1982" s="32"/>
      <c r="L1982" s="75">
        <v>1982</v>
      </c>
      <c r="M1982" s="75"/>
      <c r="N1982" s="70"/>
      <c r="O1982" s="77" t="s">
        <v>179</v>
      </c>
      <c r="P1982" s="79">
        <v>45139.041666666664</v>
      </c>
      <c r="Q1982" s="77" t="s">
        <v>2664</v>
      </c>
      <c r="R1982" s="77">
        <v>0</v>
      </c>
      <c r="S1982" s="77">
        <v>0</v>
      </c>
      <c r="T1982" s="77">
        <v>0</v>
      </c>
      <c r="U1982" s="77">
        <v>0</v>
      </c>
      <c r="V1982" s="77">
        <v>6</v>
      </c>
      <c r="W1982" s="82" t="s">
        <v>5021</v>
      </c>
      <c r="X1982" s="80" t="str">
        <f>HYPERLINK("https://go.hotmart.com/G45221702E")</f>
        <v>https://go.hotmart.com/G45221702E</v>
      </c>
      <c r="Y1982" s="77" t="s">
        <v>6497</v>
      </c>
      <c r="Z1982" s="77"/>
      <c r="AA1982" s="77" t="s">
        <v>7588</v>
      </c>
      <c r="AB1982" s="77" t="s">
        <v>7742</v>
      </c>
      <c r="AC1982" s="82" t="s">
        <v>7750</v>
      </c>
      <c r="AD1982" s="77" t="s">
        <v>7788</v>
      </c>
      <c r="AE1982" s="80" t="str">
        <f>HYPERLINK("https://twitter.com/digital_profit1/status/1686179943519002624")</f>
        <v>https://twitter.com/digital_profit1/status/1686179943519002624</v>
      </c>
      <c r="AF1982" s="79">
        <v>45139.041666666664</v>
      </c>
      <c r="AG1982" s="85">
        <v>45139</v>
      </c>
      <c r="AH1982" s="82" t="s">
        <v>8283</v>
      </c>
      <c r="AI1982" s="77" t="b">
        <v>0</v>
      </c>
      <c r="AJ1982" s="77"/>
      <c r="AK1982" s="77"/>
      <c r="AL1982" s="77"/>
      <c r="AM1982" s="77"/>
      <c r="AN1982" s="77"/>
      <c r="AO1982" s="77"/>
      <c r="AP1982" s="77"/>
      <c r="AQ1982" s="77" t="s">
        <v>11560</v>
      </c>
      <c r="AR1982" s="77"/>
      <c r="AS1982" s="77"/>
      <c r="AT1982" s="77"/>
      <c r="AU1982" s="77"/>
      <c r="AV1982" s="80" t="str">
        <f>HYPERLINK("https://pbs.twimg.com/media/F2S3nX6XEAA0VaH.png")</f>
        <v>https://pbs.twimg.com/media/F2S3nX6XEAA0VaH.png</v>
      </c>
      <c r="AW1982" s="82" t="s">
        <v>13578</v>
      </c>
      <c r="AX1982" s="82" t="s">
        <v>13578</v>
      </c>
      <c r="AY1982" s="77"/>
      <c r="AZ1982" s="82" t="s">
        <v>15984</v>
      </c>
      <c r="BA1982" s="82" t="s">
        <v>15984</v>
      </c>
      <c r="BB1982" s="82" t="s">
        <v>15984</v>
      </c>
      <c r="BC1982" s="82" t="s">
        <v>13578</v>
      </c>
      <c r="BD1982" s="82" t="s">
        <v>16380</v>
      </c>
      <c r="BE1982" s="77"/>
      <c r="BF1982" s="77"/>
      <c r="BG1982" s="77"/>
      <c r="BH1982" s="77"/>
      <c r="BI1982" s="77"/>
    </row>
    <row r="1983" spans="1:61" x14ac:dyDescent="0.25">
      <c r="A1983" s="62" t="s">
        <v>704</v>
      </c>
      <c r="B1983" s="62" t="s">
        <v>704</v>
      </c>
      <c r="C1983" s="63"/>
      <c r="D1983" s="64"/>
      <c r="E1983" s="65"/>
      <c r="F1983" s="66"/>
      <c r="G1983" s="63"/>
      <c r="H1983" s="67"/>
      <c r="I1983" s="68"/>
      <c r="J1983" s="68"/>
      <c r="K1983" s="32"/>
      <c r="L1983" s="75">
        <v>1983</v>
      </c>
      <c r="M1983" s="75"/>
      <c r="N1983" s="70"/>
      <c r="O1983" s="77" t="s">
        <v>179</v>
      </c>
      <c r="P1983" s="79">
        <v>45146.857256944444</v>
      </c>
      <c r="Q1983" s="77" t="s">
        <v>2665</v>
      </c>
      <c r="R1983" s="77">
        <v>0</v>
      </c>
      <c r="S1983" s="77">
        <v>2</v>
      </c>
      <c r="T1983" s="77">
        <v>1</v>
      </c>
      <c r="U1983" s="77">
        <v>0</v>
      </c>
      <c r="V1983" s="77">
        <v>111</v>
      </c>
      <c r="W1983" s="82" t="s">
        <v>5868</v>
      </c>
      <c r="X1983" s="77"/>
      <c r="Y1983" s="77"/>
      <c r="Z1983" s="77"/>
      <c r="AA1983" s="77" t="s">
        <v>7589</v>
      </c>
      <c r="AB1983" s="77" t="s">
        <v>7742</v>
      </c>
      <c r="AC1983" s="82" t="s">
        <v>7750</v>
      </c>
      <c r="AD1983" s="77" t="s">
        <v>7788</v>
      </c>
      <c r="AE1983" s="80" t="str">
        <f>HYPERLINK("https://twitter.com/bitypreco/status/1689012216610295813")</f>
        <v>https://twitter.com/bitypreco/status/1689012216610295813</v>
      </c>
      <c r="AF1983" s="79">
        <v>45146.857256944444</v>
      </c>
      <c r="AG1983" s="85">
        <v>45146</v>
      </c>
      <c r="AH1983" s="82" t="s">
        <v>9473</v>
      </c>
      <c r="AI1983" s="77" t="b">
        <v>0</v>
      </c>
      <c r="AJ1983" s="77"/>
      <c r="AK1983" s="77"/>
      <c r="AL1983" s="77"/>
      <c r="AM1983" s="77"/>
      <c r="AN1983" s="77"/>
      <c r="AO1983" s="77"/>
      <c r="AP1983" s="77"/>
      <c r="AQ1983" s="77" t="s">
        <v>11561</v>
      </c>
      <c r="AR1983" s="77"/>
      <c r="AS1983" s="77"/>
      <c r="AT1983" s="77"/>
      <c r="AU1983" s="77"/>
      <c r="AV1983" s="80" t="str">
        <f>HYPERLINK("https://pbs.twimg.com/media/F3CTpO2W4AA5YIy.jpg")</f>
        <v>https://pbs.twimg.com/media/F3CTpO2W4AA5YIy.jpg</v>
      </c>
      <c r="AW1983" s="82" t="s">
        <v>13579</v>
      </c>
      <c r="AX1983" s="82" t="s">
        <v>13579</v>
      </c>
      <c r="AY1983" s="77"/>
      <c r="AZ1983" s="82" t="s">
        <v>15984</v>
      </c>
      <c r="BA1983" s="82" t="s">
        <v>15984</v>
      </c>
      <c r="BB1983" s="82" t="s">
        <v>15984</v>
      </c>
      <c r="BC1983" s="82" t="s">
        <v>13579</v>
      </c>
      <c r="BD1983" s="82" t="s">
        <v>16381</v>
      </c>
      <c r="BE1983" s="77"/>
      <c r="BF1983" s="77"/>
      <c r="BG1983" s="77"/>
      <c r="BH1983" s="77"/>
      <c r="BI1983" s="77"/>
    </row>
    <row r="1984" spans="1:61" x14ac:dyDescent="0.25">
      <c r="A1984" s="62" t="s">
        <v>705</v>
      </c>
      <c r="B1984" s="62" t="s">
        <v>705</v>
      </c>
      <c r="C1984" s="63"/>
      <c r="D1984" s="64"/>
      <c r="E1984" s="65"/>
      <c r="F1984" s="66"/>
      <c r="G1984" s="63"/>
      <c r="H1984" s="67"/>
      <c r="I1984" s="68"/>
      <c r="J1984" s="68"/>
      <c r="K1984" s="32"/>
      <c r="L1984" s="75">
        <v>1984</v>
      </c>
      <c r="M1984" s="75"/>
      <c r="N1984" s="70"/>
      <c r="O1984" s="77" t="s">
        <v>179</v>
      </c>
      <c r="P1984" s="79">
        <v>45177.607731481483</v>
      </c>
      <c r="Q1984" s="77" t="s">
        <v>2666</v>
      </c>
      <c r="R1984" s="77">
        <v>1</v>
      </c>
      <c r="S1984" s="77">
        <v>2</v>
      </c>
      <c r="T1984" s="77">
        <v>0</v>
      </c>
      <c r="U1984" s="77">
        <v>0</v>
      </c>
      <c r="V1984" s="77">
        <v>281</v>
      </c>
      <c r="W1984" s="82" t="s">
        <v>5869</v>
      </c>
      <c r="X1984" s="80" t="str">
        <f>HYPERLINK("https://ojs.uv.es/index.php/IREP/article/view/26975/22814")</f>
        <v>https://ojs.uv.es/index.php/IREP/article/view/26975/22814</v>
      </c>
      <c r="Y1984" s="77" t="s">
        <v>6554</v>
      </c>
      <c r="Z1984" s="77"/>
      <c r="AA1984" s="77" t="s">
        <v>7590</v>
      </c>
      <c r="AB1984" s="77" t="s">
        <v>7742</v>
      </c>
      <c r="AC1984" s="82" t="s">
        <v>7750</v>
      </c>
      <c r="AD1984" s="77" t="s">
        <v>7790</v>
      </c>
      <c r="AE1984" s="80" t="str">
        <f>HYPERLINK("https://twitter.com/investigauce/status/1700155815330472309")</f>
        <v>https://twitter.com/investigauce/status/1700155815330472309</v>
      </c>
      <c r="AF1984" s="79">
        <v>45177.607731481483</v>
      </c>
      <c r="AG1984" s="85">
        <v>45177</v>
      </c>
      <c r="AH1984" s="82" t="s">
        <v>9474</v>
      </c>
      <c r="AI1984" s="77" t="b">
        <v>0</v>
      </c>
      <c r="AJ1984" s="77"/>
      <c r="AK1984" s="77"/>
      <c r="AL1984" s="77"/>
      <c r="AM1984" s="77"/>
      <c r="AN1984" s="77"/>
      <c r="AO1984" s="77"/>
      <c r="AP1984" s="77"/>
      <c r="AQ1984" s="77" t="s">
        <v>11562</v>
      </c>
      <c r="AR1984" s="77"/>
      <c r="AS1984" s="77"/>
      <c r="AT1984" s="77"/>
      <c r="AU1984" s="77"/>
      <c r="AV1984" s="80" t="str">
        <f>HYPERLINK("https://pbs.twimg.com/media/F5gqp-wWAAAxQvI.jpg")</f>
        <v>https://pbs.twimg.com/media/F5gqp-wWAAAxQvI.jpg</v>
      </c>
      <c r="AW1984" s="82" t="s">
        <v>13580</v>
      </c>
      <c r="AX1984" s="82" t="s">
        <v>13580</v>
      </c>
      <c r="AY1984" s="77"/>
      <c r="AZ1984" s="82" t="s">
        <v>15984</v>
      </c>
      <c r="BA1984" s="82" t="s">
        <v>15984</v>
      </c>
      <c r="BB1984" s="82" t="s">
        <v>15984</v>
      </c>
      <c r="BC1984" s="82" t="s">
        <v>13580</v>
      </c>
      <c r="BD1984" s="82" t="s">
        <v>16382</v>
      </c>
      <c r="BE1984" s="77"/>
      <c r="BF1984" s="77"/>
      <c r="BG1984" s="77"/>
      <c r="BH1984" s="77"/>
      <c r="BI1984" s="77"/>
    </row>
    <row r="1985" spans="1:61" x14ac:dyDescent="0.25">
      <c r="A1985" s="62" t="s">
        <v>706</v>
      </c>
      <c r="B1985" s="62" t="s">
        <v>706</v>
      </c>
      <c r="C1985" s="63"/>
      <c r="D1985" s="64"/>
      <c r="E1985" s="65"/>
      <c r="F1985" s="66"/>
      <c r="G1985" s="63"/>
      <c r="H1985" s="67"/>
      <c r="I1985" s="68"/>
      <c r="J1985" s="68"/>
      <c r="K1985" s="32"/>
      <c r="L1985" s="75">
        <v>1985</v>
      </c>
      <c r="M1985" s="75"/>
      <c r="N1985" s="70"/>
      <c r="O1985" s="77" t="s">
        <v>179</v>
      </c>
      <c r="P1985" s="79">
        <v>45171.77034722222</v>
      </c>
      <c r="Q1985" s="77" t="s">
        <v>2667</v>
      </c>
      <c r="R1985" s="77">
        <v>0</v>
      </c>
      <c r="S1985" s="77">
        <v>1</v>
      </c>
      <c r="T1985" s="77">
        <v>0</v>
      </c>
      <c r="U1985" s="77">
        <v>0</v>
      </c>
      <c r="V1985" s="77">
        <v>39</v>
      </c>
      <c r="W1985" s="82" t="s">
        <v>5870</v>
      </c>
      <c r="X1985" s="80" t="str">
        <f>HYPERLINK("http://douglascorretordeimoveis.com")</f>
        <v>http://douglascorretordeimoveis.com</v>
      </c>
      <c r="Y1985" s="77" t="s">
        <v>6555</v>
      </c>
      <c r="Z1985" s="77"/>
      <c r="AA1985" s="77" t="s">
        <v>7591</v>
      </c>
      <c r="AB1985" s="77" t="s">
        <v>7743</v>
      </c>
      <c r="AC1985" s="82" t="s">
        <v>7751</v>
      </c>
      <c r="AD1985" s="77" t="s">
        <v>7788</v>
      </c>
      <c r="AE1985" s="80" t="str">
        <f>HYPERLINK("https://twitter.com/poolreis97/status/1698040419613843916")</f>
        <v>https://twitter.com/poolreis97/status/1698040419613843916</v>
      </c>
      <c r="AF1985" s="79">
        <v>45171.77034722222</v>
      </c>
      <c r="AG1985" s="85">
        <v>45171</v>
      </c>
      <c r="AH1985" s="82" t="s">
        <v>9475</v>
      </c>
      <c r="AI1985" s="77" t="b">
        <v>0</v>
      </c>
      <c r="AJ1985" s="77" t="s">
        <v>10569</v>
      </c>
      <c r="AK1985" s="77" t="s">
        <v>10570</v>
      </c>
      <c r="AL1985" s="77" t="s">
        <v>10574</v>
      </c>
      <c r="AM1985" s="77" t="s">
        <v>10587</v>
      </c>
      <c r="AN1985" s="77" t="s">
        <v>10598</v>
      </c>
      <c r="AO1985" s="77" t="s">
        <v>10608</v>
      </c>
      <c r="AP1985" s="77" t="s">
        <v>10612</v>
      </c>
      <c r="AQ1985" s="77" t="s">
        <v>11563</v>
      </c>
      <c r="AR1985" s="77">
        <v>44988</v>
      </c>
      <c r="AS1985" s="77"/>
      <c r="AT1985" s="77"/>
      <c r="AU1985" s="77"/>
      <c r="AV1985" s="80" t="str">
        <f>HYPERLINK("https://pbs.twimg.com/ext_tw_video_thumb/1698040292715159552/pu/img/UCB09LCDcRGTShkx.jpg")</f>
        <v>https://pbs.twimg.com/ext_tw_video_thumb/1698040292715159552/pu/img/UCB09LCDcRGTShkx.jpg</v>
      </c>
      <c r="AW1985" s="82" t="s">
        <v>13581</v>
      </c>
      <c r="AX1985" s="82" t="s">
        <v>13581</v>
      </c>
      <c r="AY1985" s="77"/>
      <c r="AZ1985" s="82" t="s">
        <v>15984</v>
      </c>
      <c r="BA1985" s="82" t="s">
        <v>15984</v>
      </c>
      <c r="BB1985" s="82" t="s">
        <v>15984</v>
      </c>
      <c r="BC1985" s="82" t="s">
        <v>13581</v>
      </c>
      <c r="BD1985" s="82" t="s">
        <v>16383</v>
      </c>
      <c r="BE1985" s="77"/>
      <c r="BF1985" s="77"/>
      <c r="BG1985" s="77"/>
      <c r="BH1985" s="77"/>
      <c r="BI1985" s="77"/>
    </row>
    <row r="1986" spans="1:61" x14ac:dyDescent="0.25">
      <c r="A1986" s="62" t="s">
        <v>707</v>
      </c>
      <c r="B1986" s="62" t="s">
        <v>707</v>
      </c>
      <c r="C1986" s="63"/>
      <c r="D1986" s="64"/>
      <c r="E1986" s="65"/>
      <c r="F1986" s="66"/>
      <c r="G1986" s="63"/>
      <c r="H1986" s="67"/>
      <c r="I1986" s="68"/>
      <c r="J1986" s="68"/>
      <c r="K1986" s="32"/>
      <c r="L1986" s="75">
        <v>1986</v>
      </c>
      <c r="M1986" s="75"/>
      <c r="N1986" s="70"/>
      <c r="O1986" s="77" t="s">
        <v>179</v>
      </c>
      <c r="P1986" s="79">
        <v>45135.799340277779</v>
      </c>
      <c r="Q1986" s="77" t="s">
        <v>2668</v>
      </c>
      <c r="R1986" s="77">
        <v>1</v>
      </c>
      <c r="S1986" s="77">
        <v>0</v>
      </c>
      <c r="T1986" s="77">
        <v>1</v>
      </c>
      <c r="U1986" s="77">
        <v>0</v>
      </c>
      <c r="V1986" s="77">
        <v>50</v>
      </c>
      <c r="W1986" s="82" t="s">
        <v>5871</v>
      </c>
      <c r="X1986" s="77"/>
      <c r="Y1986" s="77"/>
      <c r="Z1986" s="77"/>
      <c r="AA1986" s="77" t="s">
        <v>7592</v>
      </c>
      <c r="AB1986" s="77" t="s">
        <v>7742</v>
      </c>
      <c r="AC1986" s="82" t="s">
        <v>7752</v>
      </c>
      <c r="AD1986" s="77" t="s">
        <v>7788</v>
      </c>
      <c r="AE1986" s="80" t="str">
        <f>HYPERLINK("https://twitter.com/contacripto_/status/1685004961048838145")</f>
        <v>https://twitter.com/contacripto_/status/1685004961048838145</v>
      </c>
      <c r="AF1986" s="79">
        <v>45135.799340277779</v>
      </c>
      <c r="AG1986" s="85">
        <v>45135</v>
      </c>
      <c r="AH1986" s="82" t="s">
        <v>9476</v>
      </c>
      <c r="AI1986" s="77" t="b">
        <v>0</v>
      </c>
      <c r="AJ1986" s="77"/>
      <c r="AK1986" s="77"/>
      <c r="AL1986" s="77"/>
      <c r="AM1986" s="77"/>
      <c r="AN1986" s="77"/>
      <c r="AO1986" s="77"/>
      <c r="AP1986" s="77"/>
      <c r="AQ1986" s="77" t="s">
        <v>11564</v>
      </c>
      <c r="AR1986" s="77"/>
      <c r="AS1986" s="77"/>
      <c r="AT1986" s="77"/>
      <c r="AU1986" s="77"/>
      <c r="AV1986" s="80" t="str">
        <f>HYPERLINK("https://pbs.twimg.com/media/F2JXFLGXIAAotBY.jpg")</f>
        <v>https://pbs.twimg.com/media/F2JXFLGXIAAotBY.jpg</v>
      </c>
      <c r="AW1986" s="82" t="s">
        <v>13582</v>
      </c>
      <c r="AX1986" s="82" t="s">
        <v>13582</v>
      </c>
      <c r="AY1986" s="77"/>
      <c r="AZ1986" s="82" t="s">
        <v>15984</v>
      </c>
      <c r="BA1986" s="82" t="s">
        <v>15984</v>
      </c>
      <c r="BB1986" s="82" t="s">
        <v>15984</v>
      </c>
      <c r="BC1986" s="82" t="s">
        <v>13582</v>
      </c>
      <c r="BD1986" s="82" t="s">
        <v>16384</v>
      </c>
      <c r="BE1986" s="77"/>
      <c r="BF1986" s="77"/>
      <c r="BG1986" s="77"/>
      <c r="BH1986" s="77"/>
      <c r="BI1986" s="77"/>
    </row>
    <row r="1987" spans="1:61" x14ac:dyDescent="0.25">
      <c r="A1987" s="62" t="s">
        <v>708</v>
      </c>
      <c r="B1987" s="62" t="s">
        <v>890</v>
      </c>
      <c r="C1987" s="63"/>
      <c r="D1987" s="64"/>
      <c r="E1987" s="65"/>
      <c r="F1987" s="66"/>
      <c r="G1987" s="63"/>
      <c r="H1987" s="67"/>
      <c r="I1987" s="68"/>
      <c r="J1987" s="68"/>
      <c r="K1987" s="32"/>
      <c r="L1987" s="75">
        <v>1987</v>
      </c>
      <c r="M1987" s="75"/>
      <c r="N1987" s="70"/>
      <c r="O1987" s="77" t="s">
        <v>898</v>
      </c>
      <c r="P1987" s="79">
        <v>45173.90865740741</v>
      </c>
      <c r="Q1987" s="77" t="s">
        <v>2669</v>
      </c>
      <c r="R1987" s="77">
        <v>0</v>
      </c>
      <c r="S1987" s="77">
        <v>0</v>
      </c>
      <c r="T1987" s="77">
        <v>0</v>
      </c>
      <c r="U1987" s="77">
        <v>0</v>
      </c>
      <c r="V1987" s="77">
        <v>49</v>
      </c>
      <c r="W1987" s="82" t="s">
        <v>5872</v>
      </c>
      <c r="X1987" s="80" t="str">
        <f>HYPERLINK("https://www.esteri.it/it/sala_stampa/archivionotizie/comunicati/2023/09/visita-del-vice-presidente-del-consiglio-antonio-tajani-in-cina-e-kazakistan-3-5-settembre/")</f>
        <v>https://www.esteri.it/it/sala_stampa/archivionotizie/comunicati/2023/09/visita-del-vice-presidente-del-consiglio-antonio-tajani-in-cina-e-kazakistan-3-5-settembre/</v>
      </c>
      <c r="Y1987" s="77" t="s">
        <v>6556</v>
      </c>
      <c r="Z1987" s="77" t="s">
        <v>890</v>
      </c>
      <c r="AA1987" s="77"/>
      <c r="AB1987" s="77"/>
      <c r="AC1987" s="82" t="s">
        <v>7750</v>
      </c>
      <c r="AD1987" s="77" t="s">
        <v>7795</v>
      </c>
      <c r="AE1987" s="80" t="str">
        <f>HYPERLINK("https://twitter.com/italybri/status/1698815316455797004")</f>
        <v>https://twitter.com/italybri/status/1698815316455797004</v>
      </c>
      <c r="AF1987" s="79">
        <v>45173.90865740741</v>
      </c>
      <c r="AG1987" s="85">
        <v>45173</v>
      </c>
      <c r="AH1987" s="82" t="s">
        <v>9477</v>
      </c>
      <c r="AI1987" s="77" t="b">
        <v>0</v>
      </c>
      <c r="AJ1987" s="77"/>
      <c r="AK1987" s="77"/>
      <c r="AL1987" s="77"/>
      <c r="AM1987" s="77"/>
      <c r="AN1987" s="77"/>
      <c r="AO1987" s="77"/>
      <c r="AP1987" s="77"/>
      <c r="AQ1987" s="77"/>
      <c r="AR1987" s="77"/>
      <c r="AS1987" s="77"/>
      <c r="AT1987" s="77"/>
      <c r="AU1987" s="77"/>
      <c r="AV1987" s="80" t="str">
        <f>HYPERLINK("https://pbs.twimg.com/profile_images/1253056084866215938/e3icGGtQ_normal.jpg")</f>
        <v>https://pbs.twimg.com/profile_images/1253056084866215938/e3icGGtQ_normal.jpg</v>
      </c>
      <c r="AW1987" s="82" t="s">
        <v>13583</v>
      </c>
      <c r="AX1987" s="82" t="s">
        <v>15899</v>
      </c>
      <c r="AY1987" s="82" t="s">
        <v>15977</v>
      </c>
      <c r="AZ1987" s="82" t="s">
        <v>15899</v>
      </c>
      <c r="BA1987" s="82" t="s">
        <v>15984</v>
      </c>
      <c r="BB1987" s="82" t="s">
        <v>15984</v>
      </c>
      <c r="BC1987" s="82" t="s">
        <v>15899</v>
      </c>
      <c r="BD1987" s="82" t="s">
        <v>16385</v>
      </c>
      <c r="BE1987" s="77"/>
      <c r="BF1987" s="77"/>
      <c r="BG1987" s="77"/>
      <c r="BH1987" s="77"/>
      <c r="BI1987" s="77"/>
    </row>
    <row r="1988" spans="1:61" x14ac:dyDescent="0.25">
      <c r="A1988" s="62" t="s">
        <v>709</v>
      </c>
      <c r="B1988" s="62" t="s">
        <v>709</v>
      </c>
      <c r="C1988" s="63"/>
      <c r="D1988" s="64"/>
      <c r="E1988" s="65"/>
      <c r="F1988" s="66"/>
      <c r="G1988" s="63"/>
      <c r="H1988" s="67"/>
      <c r="I1988" s="68"/>
      <c r="J1988" s="68"/>
      <c r="K1988" s="32"/>
      <c r="L1988" s="75">
        <v>1988</v>
      </c>
      <c r="M1988" s="75"/>
      <c r="N1988" s="70"/>
      <c r="O1988" s="77" t="s">
        <v>179</v>
      </c>
      <c r="P1988" s="79">
        <v>45183.546284722222</v>
      </c>
      <c r="Q1988" s="77" t="s">
        <v>2670</v>
      </c>
      <c r="R1988" s="77">
        <v>0</v>
      </c>
      <c r="S1988" s="77">
        <v>8</v>
      </c>
      <c r="T1988" s="77">
        <v>0</v>
      </c>
      <c r="U1988" s="77">
        <v>0</v>
      </c>
      <c r="V1988" s="77">
        <v>945</v>
      </c>
      <c r="W1988" s="82" t="s">
        <v>5873</v>
      </c>
      <c r="X1988" s="77"/>
      <c r="Y1988" s="77"/>
      <c r="Z1988" s="77"/>
      <c r="AA1988" s="77" t="s">
        <v>7593</v>
      </c>
      <c r="AB1988" s="77" t="s">
        <v>7743</v>
      </c>
      <c r="AC1988" s="82" t="s">
        <v>7752</v>
      </c>
      <c r="AD1988" s="77" t="s">
        <v>7788</v>
      </c>
      <c r="AE1988" s="80" t="str">
        <f>HYPERLINK("https://twitter.com/perpheito/status/1702307873739411603")</f>
        <v>https://twitter.com/perpheito/status/1702307873739411603</v>
      </c>
      <c r="AF1988" s="79">
        <v>45183.546284722222</v>
      </c>
      <c r="AG1988" s="85">
        <v>45183</v>
      </c>
      <c r="AH1988" s="82" t="s">
        <v>9478</v>
      </c>
      <c r="AI1988" s="77" t="b">
        <v>0</v>
      </c>
      <c r="AJ1988" s="77"/>
      <c r="AK1988" s="77"/>
      <c r="AL1988" s="77"/>
      <c r="AM1988" s="77"/>
      <c r="AN1988" s="77"/>
      <c r="AO1988" s="77"/>
      <c r="AP1988" s="77"/>
      <c r="AQ1988" s="77" t="s">
        <v>11565</v>
      </c>
      <c r="AR1988" s="77">
        <v>54536</v>
      </c>
      <c r="AS1988" s="77"/>
      <c r="AT1988" s="77"/>
      <c r="AU1988" s="77"/>
      <c r="AV1988" s="80" t="str">
        <f>HYPERLINK("https://pbs.twimg.com/amplify_video_thumb/1702307753048395776/img/yX4sy4Df7xm56Nf0.jpg")</f>
        <v>https://pbs.twimg.com/amplify_video_thumb/1702307753048395776/img/yX4sy4Df7xm56Nf0.jpg</v>
      </c>
      <c r="AW1988" s="82" t="s">
        <v>13584</v>
      </c>
      <c r="AX1988" s="82" t="s">
        <v>13584</v>
      </c>
      <c r="AY1988" s="77"/>
      <c r="AZ1988" s="82" t="s">
        <v>15984</v>
      </c>
      <c r="BA1988" s="82" t="s">
        <v>15984</v>
      </c>
      <c r="BB1988" s="82" t="s">
        <v>15984</v>
      </c>
      <c r="BC1988" s="82" t="s">
        <v>13584</v>
      </c>
      <c r="BD1988" s="77">
        <v>42086454</v>
      </c>
      <c r="BE1988" s="77"/>
      <c r="BF1988" s="77"/>
      <c r="BG1988" s="77"/>
      <c r="BH1988" s="77"/>
      <c r="BI1988" s="77"/>
    </row>
    <row r="1989" spans="1:61" x14ac:dyDescent="0.25">
      <c r="A1989" s="62" t="s">
        <v>709</v>
      </c>
      <c r="B1989" s="62" t="s">
        <v>709</v>
      </c>
      <c r="C1989" s="63"/>
      <c r="D1989" s="64"/>
      <c r="E1989" s="65"/>
      <c r="F1989" s="66"/>
      <c r="G1989" s="63"/>
      <c r="H1989" s="67"/>
      <c r="I1989" s="68"/>
      <c r="J1989" s="68"/>
      <c r="K1989" s="32"/>
      <c r="L1989" s="75">
        <v>1989</v>
      </c>
      <c r="M1989" s="75"/>
      <c r="N1989" s="70"/>
      <c r="O1989" s="77" t="s">
        <v>179</v>
      </c>
      <c r="P1989" s="79">
        <v>45188.773182870369</v>
      </c>
      <c r="Q1989" s="77" t="s">
        <v>2671</v>
      </c>
      <c r="R1989" s="77">
        <v>1</v>
      </c>
      <c r="S1989" s="77">
        <v>34</v>
      </c>
      <c r="T1989" s="77">
        <v>0</v>
      </c>
      <c r="U1989" s="77">
        <v>0</v>
      </c>
      <c r="V1989" s="77">
        <v>2065</v>
      </c>
      <c r="W1989" s="82" t="s">
        <v>5874</v>
      </c>
      <c r="X1989" s="77"/>
      <c r="Y1989" s="77"/>
      <c r="Z1989" s="77"/>
      <c r="AA1989" s="77" t="s">
        <v>7594</v>
      </c>
      <c r="AB1989" s="77" t="s">
        <v>7743</v>
      </c>
      <c r="AC1989" s="82" t="s">
        <v>7752</v>
      </c>
      <c r="AD1989" s="77" t="s">
        <v>7788</v>
      </c>
      <c r="AE1989" s="80" t="str">
        <f>HYPERLINK("https://twitter.com/perpheito/status/1704202041524961535")</f>
        <v>https://twitter.com/perpheito/status/1704202041524961535</v>
      </c>
      <c r="AF1989" s="79">
        <v>45188.773182870369</v>
      </c>
      <c r="AG1989" s="85">
        <v>45188</v>
      </c>
      <c r="AH1989" s="82" t="s">
        <v>9479</v>
      </c>
      <c r="AI1989" s="77" t="b">
        <v>0</v>
      </c>
      <c r="AJ1989" s="77"/>
      <c r="AK1989" s="77"/>
      <c r="AL1989" s="77"/>
      <c r="AM1989" s="77"/>
      <c r="AN1989" s="77"/>
      <c r="AO1989" s="77"/>
      <c r="AP1989" s="77"/>
      <c r="AQ1989" s="77" t="s">
        <v>11566</v>
      </c>
      <c r="AR1989" s="77">
        <v>57833</v>
      </c>
      <c r="AS1989" s="77"/>
      <c r="AT1989" s="77"/>
      <c r="AU1989" s="77"/>
      <c r="AV1989" s="80" t="str">
        <f>HYPERLINK("https://pbs.twimg.com/amplify_video_thumb/1704201803531689984/img/Hk00q2ZmG5Jhmuxv.jpg")</f>
        <v>https://pbs.twimg.com/amplify_video_thumb/1704201803531689984/img/Hk00q2ZmG5Jhmuxv.jpg</v>
      </c>
      <c r="AW1989" s="82" t="s">
        <v>13585</v>
      </c>
      <c r="AX1989" s="82" t="s">
        <v>13585</v>
      </c>
      <c r="AY1989" s="77"/>
      <c r="AZ1989" s="82" t="s">
        <v>15984</v>
      </c>
      <c r="BA1989" s="82" t="s">
        <v>15984</v>
      </c>
      <c r="BB1989" s="82" t="s">
        <v>15984</v>
      </c>
      <c r="BC1989" s="82" t="s">
        <v>13585</v>
      </c>
      <c r="BD1989" s="77">
        <v>42086454</v>
      </c>
      <c r="BE1989" s="77"/>
      <c r="BF1989" s="77"/>
      <c r="BG1989" s="77"/>
      <c r="BH1989" s="77"/>
      <c r="BI1989" s="77"/>
    </row>
    <row r="1990" spans="1:61" x14ac:dyDescent="0.25">
      <c r="A1990" s="62" t="s">
        <v>709</v>
      </c>
      <c r="B1990" s="62" t="s">
        <v>709</v>
      </c>
      <c r="C1990" s="63"/>
      <c r="D1990" s="64"/>
      <c r="E1990" s="65"/>
      <c r="F1990" s="66"/>
      <c r="G1990" s="63"/>
      <c r="H1990" s="67"/>
      <c r="I1990" s="68"/>
      <c r="J1990" s="68"/>
      <c r="K1990" s="32"/>
      <c r="L1990" s="75">
        <v>1990</v>
      </c>
      <c r="M1990" s="75"/>
      <c r="N1990" s="70"/>
      <c r="O1990" s="77" t="s">
        <v>179</v>
      </c>
      <c r="P1990" s="79">
        <v>45192.808159722219</v>
      </c>
      <c r="Q1990" s="77" t="s">
        <v>2672</v>
      </c>
      <c r="R1990" s="77">
        <v>3</v>
      </c>
      <c r="S1990" s="77">
        <v>52</v>
      </c>
      <c r="T1990" s="77">
        <v>8</v>
      </c>
      <c r="U1990" s="77">
        <v>1</v>
      </c>
      <c r="V1990" s="77">
        <v>2801</v>
      </c>
      <c r="W1990" s="82" t="s">
        <v>5873</v>
      </c>
      <c r="X1990" s="77"/>
      <c r="Y1990" s="77"/>
      <c r="Z1990" s="77"/>
      <c r="AA1990" s="77" t="s">
        <v>7595</v>
      </c>
      <c r="AB1990" s="77" t="s">
        <v>7743</v>
      </c>
      <c r="AC1990" s="82" t="s">
        <v>7752</v>
      </c>
      <c r="AD1990" s="77" t="s">
        <v>7788</v>
      </c>
      <c r="AE1990" s="80" t="str">
        <f>HYPERLINK("https://twitter.com/perpheito/status/1705664267754590300")</f>
        <v>https://twitter.com/perpheito/status/1705664267754590300</v>
      </c>
      <c r="AF1990" s="79">
        <v>45192.808159722219</v>
      </c>
      <c r="AG1990" s="85">
        <v>45192</v>
      </c>
      <c r="AH1990" s="82" t="s">
        <v>9480</v>
      </c>
      <c r="AI1990" s="77" t="b">
        <v>0</v>
      </c>
      <c r="AJ1990" s="77"/>
      <c r="AK1990" s="77"/>
      <c r="AL1990" s="77"/>
      <c r="AM1990" s="77"/>
      <c r="AN1990" s="77"/>
      <c r="AO1990" s="77"/>
      <c r="AP1990" s="77"/>
      <c r="AQ1990" s="77" t="s">
        <v>11567</v>
      </c>
      <c r="AR1990" s="77">
        <v>132131</v>
      </c>
      <c r="AS1990" s="77"/>
      <c r="AT1990" s="77"/>
      <c r="AU1990" s="77"/>
      <c r="AV1990" s="80" t="str">
        <f>HYPERLINK("https://pbs.twimg.com/amplify_video_thumb/1705663777742462976/img/Hz_SsDUfIUiBLHix.jpg")</f>
        <v>https://pbs.twimg.com/amplify_video_thumb/1705663777742462976/img/Hz_SsDUfIUiBLHix.jpg</v>
      </c>
      <c r="AW1990" s="82" t="s">
        <v>13586</v>
      </c>
      <c r="AX1990" s="82" t="s">
        <v>13586</v>
      </c>
      <c r="AY1990" s="77"/>
      <c r="AZ1990" s="82" t="s">
        <v>15984</v>
      </c>
      <c r="BA1990" s="82" t="s">
        <v>15984</v>
      </c>
      <c r="BB1990" s="82" t="s">
        <v>15984</v>
      </c>
      <c r="BC1990" s="82" t="s">
        <v>13586</v>
      </c>
      <c r="BD1990" s="77">
        <v>42086454</v>
      </c>
      <c r="BE1990" s="77"/>
      <c r="BF1990" s="77"/>
      <c r="BG1990" s="77"/>
      <c r="BH1990" s="77"/>
      <c r="BI1990" s="77"/>
    </row>
    <row r="1991" spans="1:61" x14ac:dyDescent="0.25">
      <c r="A1991" s="62" t="s">
        <v>710</v>
      </c>
      <c r="B1991" s="62" t="s">
        <v>709</v>
      </c>
      <c r="C1991" s="63"/>
      <c r="D1991" s="64"/>
      <c r="E1991" s="65"/>
      <c r="F1991" s="66"/>
      <c r="G1991" s="63"/>
      <c r="H1991" s="67"/>
      <c r="I1991" s="68"/>
      <c r="J1991" s="68"/>
      <c r="K1991" s="32"/>
      <c r="L1991" s="75">
        <v>1991</v>
      </c>
      <c r="M1991" s="75"/>
      <c r="N1991" s="70"/>
      <c r="O1991" s="77" t="s">
        <v>897</v>
      </c>
      <c r="P1991" s="79">
        <v>45193.179236111115</v>
      </c>
      <c r="Q1991" s="77" t="s">
        <v>2017</v>
      </c>
      <c r="R1991" s="77">
        <v>3</v>
      </c>
      <c r="S1991" s="77">
        <v>0</v>
      </c>
      <c r="T1991" s="77">
        <v>0</v>
      </c>
      <c r="U1991" s="77">
        <v>0</v>
      </c>
      <c r="V1991" s="77"/>
      <c r="W1991" s="77"/>
      <c r="X1991" s="77"/>
      <c r="Y1991" s="77"/>
      <c r="Z1991" s="77" t="s">
        <v>709</v>
      </c>
      <c r="AA1991" s="77"/>
      <c r="AB1991" s="77"/>
      <c r="AC1991" s="82" t="s">
        <v>7751</v>
      </c>
      <c r="AD1991" s="77" t="s">
        <v>7788</v>
      </c>
      <c r="AE1991" s="80" t="str">
        <f>HYPERLINK("https://twitter.com/jlionunes11/status/1705798741691629697")</f>
        <v>https://twitter.com/jlionunes11/status/1705798741691629697</v>
      </c>
      <c r="AF1991" s="79">
        <v>45193.179236111115</v>
      </c>
      <c r="AG1991" s="85">
        <v>45193</v>
      </c>
      <c r="AH1991" s="82" t="s">
        <v>9481</v>
      </c>
      <c r="AI1991" s="77"/>
      <c r="AJ1991" s="77"/>
      <c r="AK1991" s="77"/>
      <c r="AL1991" s="77"/>
      <c r="AM1991" s="77"/>
      <c r="AN1991" s="77"/>
      <c r="AO1991" s="77"/>
      <c r="AP1991" s="77"/>
      <c r="AQ1991" s="77"/>
      <c r="AR1991" s="77"/>
      <c r="AS1991" s="77"/>
      <c r="AT1991" s="77"/>
      <c r="AU1991" s="77"/>
      <c r="AV1991" s="80" t="str">
        <f>HYPERLINK("https://pbs.twimg.com/profile_images/1560446913245286404/ere5nGIX_normal.jpg")</f>
        <v>https://pbs.twimg.com/profile_images/1560446913245286404/ere5nGIX_normal.jpg</v>
      </c>
      <c r="AW1991" s="82" t="s">
        <v>13587</v>
      </c>
      <c r="AX1991" s="82" t="s">
        <v>13587</v>
      </c>
      <c r="AY1991" s="77"/>
      <c r="AZ1991" s="82" t="s">
        <v>15984</v>
      </c>
      <c r="BA1991" s="82" t="s">
        <v>15984</v>
      </c>
      <c r="BB1991" s="82" t="s">
        <v>13586</v>
      </c>
      <c r="BC1991" s="82" t="s">
        <v>13586</v>
      </c>
      <c r="BD1991" s="82" t="s">
        <v>16386</v>
      </c>
      <c r="BE1991" s="77"/>
      <c r="BF1991" s="77"/>
      <c r="BG1991" s="77"/>
      <c r="BH1991" s="77"/>
      <c r="BI1991" s="77"/>
    </row>
    <row r="1992" spans="1:61" x14ac:dyDescent="0.25">
      <c r="A1992" s="62" t="s">
        <v>711</v>
      </c>
      <c r="B1992" s="62" t="s">
        <v>614</v>
      </c>
      <c r="C1992" s="63"/>
      <c r="D1992" s="64"/>
      <c r="E1992" s="65"/>
      <c r="F1992" s="66"/>
      <c r="G1992" s="63"/>
      <c r="H1992" s="67"/>
      <c r="I1992" s="68"/>
      <c r="J1992" s="68"/>
      <c r="K1992" s="32"/>
      <c r="L1992" s="75">
        <v>1992</v>
      </c>
      <c r="M1992" s="75"/>
      <c r="N1992" s="70"/>
      <c r="O1992" s="77" t="s">
        <v>897</v>
      </c>
      <c r="P1992" s="79">
        <v>45188.123888888891</v>
      </c>
      <c r="Q1992" s="77" t="s">
        <v>1187</v>
      </c>
      <c r="R1992" s="77">
        <v>4</v>
      </c>
      <c r="S1992" s="77">
        <v>0</v>
      </c>
      <c r="T1992" s="77">
        <v>0</v>
      </c>
      <c r="U1992" s="77">
        <v>0</v>
      </c>
      <c r="V1992" s="77"/>
      <c r="W1992" s="82" t="s">
        <v>4821</v>
      </c>
      <c r="X1992" s="77"/>
      <c r="Y1992" s="77"/>
      <c r="Z1992" s="77" t="s">
        <v>614</v>
      </c>
      <c r="AA1992" s="77"/>
      <c r="AB1992" s="77"/>
      <c r="AC1992" s="82" t="s">
        <v>7751</v>
      </c>
      <c r="AD1992" s="77" t="s">
        <v>7790</v>
      </c>
      <c r="AE1992" s="80" t="str">
        <f>HYPERLINK("https://twitter.com/alexandercio/status/1703966742710464795")</f>
        <v>https://twitter.com/alexandercio/status/1703966742710464795</v>
      </c>
      <c r="AF1992" s="79">
        <v>45188.123888888891</v>
      </c>
      <c r="AG1992" s="85">
        <v>45188</v>
      </c>
      <c r="AH1992" s="82" t="s">
        <v>9482</v>
      </c>
      <c r="AI1992" s="77"/>
      <c r="AJ1992" s="77"/>
      <c r="AK1992" s="77"/>
      <c r="AL1992" s="77"/>
      <c r="AM1992" s="77"/>
      <c r="AN1992" s="77"/>
      <c r="AO1992" s="77"/>
      <c r="AP1992" s="77"/>
      <c r="AQ1992" s="77"/>
      <c r="AR1992" s="77"/>
      <c r="AS1992" s="77"/>
      <c r="AT1992" s="77"/>
      <c r="AU1992" s="77"/>
      <c r="AV1992" s="80" t="str">
        <f>HYPERLINK("https://pbs.twimg.com/profile_images/1690924079136509952/n158NpyH_normal.jpg")</f>
        <v>https://pbs.twimg.com/profile_images/1690924079136509952/n158NpyH_normal.jpg</v>
      </c>
      <c r="AW1992" s="82" t="s">
        <v>13588</v>
      </c>
      <c r="AX1992" s="82" t="s">
        <v>13588</v>
      </c>
      <c r="AY1992" s="77"/>
      <c r="AZ1992" s="82" t="s">
        <v>15984</v>
      </c>
      <c r="BA1992" s="82" t="s">
        <v>15984</v>
      </c>
      <c r="BB1992" s="82" t="s">
        <v>15334</v>
      </c>
      <c r="BC1992" s="82" t="s">
        <v>15334</v>
      </c>
      <c r="BD1992" s="77">
        <v>526011899</v>
      </c>
      <c r="BE1992" s="77"/>
      <c r="BF1992" s="77"/>
      <c r="BG1992" s="77"/>
      <c r="BH1992" s="77"/>
      <c r="BI1992" s="77"/>
    </row>
    <row r="1993" spans="1:61" x14ac:dyDescent="0.25">
      <c r="A1993" s="62" t="s">
        <v>712</v>
      </c>
      <c r="B1993" s="62" t="s">
        <v>712</v>
      </c>
      <c r="C1993" s="63"/>
      <c r="D1993" s="64"/>
      <c r="E1993" s="65"/>
      <c r="F1993" s="66"/>
      <c r="G1993" s="63"/>
      <c r="H1993" s="67"/>
      <c r="I1993" s="68"/>
      <c r="J1993" s="68"/>
      <c r="K1993" s="32"/>
      <c r="L1993" s="75">
        <v>1993</v>
      </c>
      <c r="M1993" s="75"/>
      <c r="N1993" s="70"/>
      <c r="O1993" s="77" t="s">
        <v>179</v>
      </c>
      <c r="P1993" s="79">
        <v>45119.197048611109</v>
      </c>
      <c r="Q1993" s="77" t="s">
        <v>2673</v>
      </c>
      <c r="R1993" s="77">
        <v>1</v>
      </c>
      <c r="S1993" s="77">
        <v>1</v>
      </c>
      <c r="T1993" s="77">
        <v>0</v>
      </c>
      <c r="U1993" s="77">
        <v>0</v>
      </c>
      <c r="V1993" s="77">
        <v>78</v>
      </c>
      <c r="W1993" s="82" t="s">
        <v>5875</v>
      </c>
      <c r="X1993" s="77"/>
      <c r="Y1993" s="77"/>
      <c r="Z1993" s="77"/>
      <c r="AA1993" s="77" t="s">
        <v>7596</v>
      </c>
      <c r="AB1993" s="77" t="s">
        <v>7742</v>
      </c>
      <c r="AC1993" s="82" t="s">
        <v>7750</v>
      </c>
      <c r="AD1993" s="77" t="s">
        <v>7789</v>
      </c>
      <c r="AE1993" s="80" t="str">
        <f>HYPERLINK("https://twitter.com/holistic_invest/status/1678988491764514817")</f>
        <v>https://twitter.com/holistic_invest/status/1678988491764514817</v>
      </c>
      <c r="AF1993" s="79">
        <v>45119.197048611109</v>
      </c>
      <c r="AG1993" s="85">
        <v>45119</v>
      </c>
      <c r="AH1993" s="82" t="s">
        <v>9483</v>
      </c>
      <c r="AI1993" s="77" t="b">
        <v>0</v>
      </c>
      <c r="AJ1993" s="77"/>
      <c r="AK1993" s="77"/>
      <c r="AL1993" s="77"/>
      <c r="AM1993" s="77"/>
      <c r="AN1993" s="77"/>
      <c r="AO1993" s="77"/>
      <c r="AP1993" s="77"/>
      <c r="AQ1993" s="77" t="s">
        <v>11568</v>
      </c>
      <c r="AR1993" s="77"/>
      <c r="AS1993" s="77"/>
      <c r="AT1993" s="77"/>
      <c r="AU1993" s="77"/>
      <c r="AV1993" s="80" t="str">
        <f>HYPERLINK("https://pbs.twimg.com/media/F0z3GWlWwAEx-kT.png")</f>
        <v>https://pbs.twimg.com/media/F0z3GWlWwAEx-kT.png</v>
      </c>
      <c r="AW1993" s="82" t="s">
        <v>13589</v>
      </c>
      <c r="AX1993" s="82" t="s">
        <v>13589</v>
      </c>
      <c r="AY1993" s="77"/>
      <c r="AZ1993" s="82" t="s">
        <v>15984</v>
      </c>
      <c r="BA1993" s="82" t="s">
        <v>15984</v>
      </c>
      <c r="BB1993" s="82" t="s">
        <v>15984</v>
      </c>
      <c r="BC1993" s="82" t="s">
        <v>13589</v>
      </c>
      <c r="BD1993" s="82" t="s">
        <v>16387</v>
      </c>
      <c r="BE1993" s="77"/>
      <c r="BF1993" s="77"/>
      <c r="BG1993" s="77"/>
      <c r="BH1993" s="77"/>
      <c r="BI1993" s="77"/>
    </row>
    <row r="1994" spans="1:61" x14ac:dyDescent="0.25">
      <c r="A1994" s="62" t="s">
        <v>713</v>
      </c>
      <c r="B1994" s="62" t="s">
        <v>407</v>
      </c>
      <c r="C1994" s="63"/>
      <c r="D1994" s="64"/>
      <c r="E1994" s="65"/>
      <c r="F1994" s="66"/>
      <c r="G1994" s="63"/>
      <c r="H1994" s="67"/>
      <c r="I1994" s="68"/>
      <c r="J1994" s="68"/>
      <c r="K1994" s="32"/>
      <c r="L1994" s="75">
        <v>1994</v>
      </c>
      <c r="M1994" s="75"/>
      <c r="N1994" s="70"/>
      <c r="O1994" s="77" t="s">
        <v>896</v>
      </c>
      <c r="P1994" s="79">
        <v>45161.337442129632</v>
      </c>
      <c r="Q1994" s="77" t="s">
        <v>2674</v>
      </c>
      <c r="R1994" s="77">
        <v>1</v>
      </c>
      <c r="S1994" s="77">
        <v>1</v>
      </c>
      <c r="T1994" s="77">
        <v>0</v>
      </c>
      <c r="U1994" s="77">
        <v>0</v>
      </c>
      <c r="V1994" s="77">
        <v>205</v>
      </c>
      <c r="W1994" s="82" t="s">
        <v>5876</v>
      </c>
      <c r="X1994" s="77"/>
      <c r="Y1994" s="77"/>
      <c r="Z1994" s="77"/>
      <c r="AA1994" s="77"/>
      <c r="AB1994" s="77"/>
      <c r="AC1994" s="82" t="s">
        <v>7752</v>
      </c>
      <c r="AD1994" s="77" t="s">
        <v>7796</v>
      </c>
      <c r="AE1994" s="80" t="str">
        <f>HYPERLINK("https://twitter.com/auditorinterno/status/1694259661090820311")</f>
        <v>https://twitter.com/auditorinterno/status/1694259661090820311</v>
      </c>
      <c r="AF1994" s="79">
        <v>45161.337442129632</v>
      </c>
      <c r="AG1994" s="85">
        <v>45161</v>
      </c>
      <c r="AH1994" s="82" t="s">
        <v>9484</v>
      </c>
      <c r="AI1994" s="77"/>
      <c r="AJ1994" s="77"/>
      <c r="AK1994" s="77"/>
      <c r="AL1994" s="77"/>
      <c r="AM1994" s="77"/>
      <c r="AN1994" s="77"/>
      <c r="AO1994" s="77"/>
      <c r="AP1994" s="77"/>
      <c r="AQ1994" s="77"/>
      <c r="AR1994" s="77"/>
      <c r="AS1994" s="77"/>
      <c r="AT1994" s="77"/>
      <c r="AU1994" s="77"/>
      <c r="AV1994" s="80" t="str">
        <f>HYPERLINK("https://pbs.twimg.com/profile_images/1609841078785527808/VyY0Gh3N_normal.jpg")</f>
        <v>https://pbs.twimg.com/profile_images/1609841078785527808/VyY0Gh3N_normal.jpg</v>
      </c>
      <c r="AW1994" s="82" t="s">
        <v>13590</v>
      </c>
      <c r="AX1994" s="82" t="s">
        <v>13590</v>
      </c>
      <c r="AY1994" s="77"/>
      <c r="AZ1994" s="82" t="s">
        <v>15984</v>
      </c>
      <c r="BA1994" s="82" t="s">
        <v>12289</v>
      </c>
      <c r="BB1994" s="82" t="s">
        <v>15984</v>
      </c>
      <c r="BC1994" s="82" t="s">
        <v>12289</v>
      </c>
      <c r="BD1994" s="77">
        <v>183200672</v>
      </c>
      <c r="BE1994" s="77"/>
      <c r="BF1994" s="77"/>
      <c r="BG1994" s="77"/>
      <c r="BH1994" s="77"/>
      <c r="BI1994" s="77"/>
    </row>
    <row r="1995" spans="1:61" x14ac:dyDescent="0.25">
      <c r="A1995" s="62" t="s">
        <v>714</v>
      </c>
      <c r="B1995" s="62" t="s">
        <v>714</v>
      </c>
      <c r="C1995" s="63"/>
      <c r="D1995" s="64"/>
      <c r="E1995" s="65"/>
      <c r="F1995" s="66"/>
      <c r="G1995" s="63"/>
      <c r="H1995" s="67"/>
      <c r="I1995" s="68"/>
      <c r="J1995" s="68"/>
      <c r="K1995" s="32"/>
      <c r="L1995" s="75">
        <v>1995</v>
      </c>
      <c r="M1995" s="75"/>
      <c r="N1995" s="70"/>
      <c r="O1995" s="77" t="s">
        <v>179</v>
      </c>
      <c r="P1995" s="79">
        <v>45159.510208333333</v>
      </c>
      <c r="Q1995" s="77" t="s">
        <v>2675</v>
      </c>
      <c r="R1995" s="77">
        <v>290</v>
      </c>
      <c r="S1995" s="77">
        <v>1315</v>
      </c>
      <c r="T1995" s="77">
        <v>870</v>
      </c>
      <c r="U1995" s="77">
        <v>478</v>
      </c>
      <c r="V1995" s="77">
        <v>1683525</v>
      </c>
      <c r="W1995" s="77"/>
      <c r="X1995" s="80" t="str">
        <f>HYPERLINK("https://www.wsj.com/articles/the-fed-should-carefully-aim-for-a-higher-inflation-target-reserve-powell-greenspan-5fef5051")</f>
        <v>https://www.wsj.com/articles/the-fed-should-carefully-aim-for-a-higher-inflation-target-reserve-powell-greenspan-5fef5051</v>
      </c>
      <c r="Y1995" s="77" t="s">
        <v>6487</v>
      </c>
      <c r="Z1995" s="77"/>
      <c r="AA1995" s="77"/>
      <c r="AB1995" s="77"/>
      <c r="AC1995" s="82" t="s">
        <v>7750</v>
      </c>
      <c r="AD1995" s="77" t="s">
        <v>7789</v>
      </c>
      <c r="AE1995" s="80" t="str">
        <f>HYPERLINK("https://twitter.com/paulkrugman/status/1693597491030090195")</f>
        <v>https://twitter.com/paulkrugman/status/1693597491030090195</v>
      </c>
      <c r="AF1995" s="79">
        <v>45159.510208333333</v>
      </c>
      <c r="AG1995" s="85">
        <v>45159</v>
      </c>
      <c r="AH1995" s="82" t="s">
        <v>9485</v>
      </c>
      <c r="AI1995" s="77" t="b">
        <v>0</v>
      </c>
      <c r="AJ1995" s="77"/>
      <c r="AK1995" s="77"/>
      <c r="AL1995" s="77"/>
      <c r="AM1995" s="77"/>
      <c r="AN1995" s="77"/>
      <c r="AO1995" s="77"/>
      <c r="AP1995" s="77"/>
      <c r="AQ1995" s="77"/>
      <c r="AR1995" s="77"/>
      <c r="AS1995" s="77"/>
      <c r="AT1995" s="77"/>
      <c r="AU1995" s="77"/>
      <c r="AV1995" s="80" t="str">
        <f>HYPERLINK("https://pbs.twimg.com/profile_images/2044852218/NYT_Twitter_Krugman_normal.png")</f>
        <v>https://pbs.twimg.com/profile_images/2044852218/NYT_Twitter_Krugman_normal.png</v>
      </c>
      <c r="AW1995" s="82" t="s">
        <v>13591</v>
      </c>
      <c r="AX1995" s="82" t="s">
        <v>13591</v>
      </c>
      <c r="AY1995" s="77"/>
      <c r="AZ1995" s="82" t="s">
        <v>15984</v>
      </c>
      <c r="BA1995" s="82" t="s">
        <v>15984</v>
      </c>
      <c r="BB1995" s="82" t="s">
        <v>15984</v>
      </c>
      <c r="BC1995" s="82" t="s">
        <v>13591</v>
      </c>
      <c r="BD1995" s="77">
        <v>17006157</v>
      </c>
      <c r="BE1995" s="77"/>
      <c r="BF1995" s="77"/>
      <c r="BG1995" s="77"/>
      <c r="BH1995" s="77"/>
      <c r="BI1995" s="77"/>
    </row>
    <row r="1996" spans="1:61" x14ac:dyDescent="0.25">
      <c r="A1996" s="62" t="s">
        <v>713</v>
      </c>
      <c r="B1996" s="62" t="s">
        <v>714</v>
      </c>
      <c r="C1996" s="63"/>
      <c r="D1996" s="64"/>
      <c r="E1996" s="65"/>
      <c r="F1996" s="66"/>
      <c r="G1996" s="63"/>
      <c r="H1996" s="67"/>
      <c r="I1996" s="68"/>
      <c r="J1996" s="68"/>
      <c r="K1996" s="32"/>
      <c r="L1996" s="75">
        <v>1996</v>
      </c>
      <c r="M1996" s="75"/>
      <c r="N1996" s="70"/>
      <c r="O1996" s="77" t="s">
        <v>896</v>
      </c>
      <c r="P1996" s="79">
        <v>45160.417129629626</v>
      </c>
      <c r="Q1996" s="77" t="s">
        <v>2676</v>
      </c>
      <c r="R1996" s="77">
        <v>0</v>
      </c>
      <c r="S1996" s="77">
        <v>0</v>
      </c>
      <c r="T1996" s="77">
        <v>0</v>
      </c>
      <c r="U1996" s="77">
        <v>0</v>
      </c>
      <c r="V1996" s="77">
        <v>114</v>
      </c>
      <c r="W1996" s="82" t="s">
        <v>4821</v>
      </c>
      <c r="X1996" s="77"/>
      <c r="Y1996" s="77"/>
      <c r="Z1996" s="77"/>
      <c r="AA1996" s="77"/>
      <c r="AB1996" s="77"/>
      <c r="AC1996" s="82" t="s">
        <v>7752</v>
      </c>
      <c r="AD1996" s="77" t="s">
        <v>7796</v>
      </c>
      <c r="AE1996" s="80" t="str">
        <f>HYPERLINK("https://twitter.com/auditorinterno/status/1693926151310241900")</f>
        <v>https://twitter.com/auditorinterno/status/1693926151310241900</v>
      </c>
      <c r="AF1996" s="79">
        <v>45160.417129629626</v>
      </c>
      <c r="AG1996" s="85">
        <v>45160</v>
      </c>
      <c r="AH1996" s="82" t="s">
        <v>9486</v>
      </c>
      <c r="AI1996" s="77"/>
      <c r="AJ1996" s="77"/>
      <c r="AK1996" s="77"/>
      <c r="AL1996" s="77"/>
      <c r="AM1996" s="77"/>
      <c r="AN1996" s="77"/>
      <c r="AO1996" s="77"/>
      <c r="AP1996" s="77"/>
      <c r="AQ1996" s="77"/>
      <c r="AR1996" s="77"/>
      <c r="AS1996" s="77"/>
      <c r="AT1996" s="77"/>
      <c r="AU1996" s="77"/>
      <c r="AV1996" s="80" t="str">
        <f>HYPERLINK("https://pbs.twimg.com/profile_images/1609841078785527808/VyY0Gh3N_normal.jpg")</f>
        <v>https://pbs.twimg.com/profile_images/1609841078785527808/VyY0Gh3N_normal.jpg</v>
      </c>
      <c r="AW1996" s="82" t="s">
        <v>13592</v>
      </c>
      <c r="AX1996" s="82" t="s">
        <v>13592</v>
      </c>
      <c r="AY1996" s="77"/>
      <c r="AZ1996" s="82" t="s">
        <v>15984</v>
      </c>
      <c r="BA1996" s="82" t="s">
        <v>13591</v>
      </c>
      <c r="BB1996" s="82" t="s">
        <v>15984</v>
      </c>
      <c r="BC1996" s="82" t="s">
        <v>13591</v>
      </c>
      <c r="BD1996" s="77">
        <v>183200672</v>
      </c>
      <c r="BE1996" s="77"/>
      <c r="BF1996" s="77"/>
      <c r="BG1996" s="77"/>
      <c r="BH1996" s="77"/>
      <c r="BI1996" s="77"/>
    </row>
    <row r="1997" spans="1:61" x14ac:dyDescent="0.25">
      <c r="A1997" s="62" t="s">
        <v>715</v>
      </c>
      <c r="B1997" s="62" t="s">
        <v>715</v>
      </c>
      <c r="C1997" s="63"/>
      <c r="D1997" s="64"/>
      <c r="E1997" s="65"/>
      <c r="F1997" s="66"/>
      <c r="G1997" s="63"/>
      <c r="H1997" s="67"/>
      <c r="I1997" s="68"/>
      <c r="J1997" s="68"/>
      <c r="K1997" s="32"/>
      <c r="L1997" s="75">
        <v>1997</v>
      </c>
      <c r="M1997" s="75"/>
      <c r="N1997" s="70"/>
      <c r="O1997" s="77" t="s">
        <v>179</v>
      </c>
      <c r="P1997" s="79">
        <v>45142.350173611114</v>
      </c>
      <c r="Q1997" s="77" t="s">
        <v>2677</v>
      </c>
      <c r="R1997" s="77">
        <v>23</v>
      </c>
      <c r="S1997" s="77">
        <v>27</v>
      </c>
      <c r="T1997" s="77">
        <v>5</v>
      </c>
      <c r="U1997" s="77">
        <v>5</v>
      </c>
      <c r="V1997" s="77">
        <v>24904</v>
      </c>
      <c r="W1997" s="77"/>
      <c r="X1997" s="80" t="str">
        <f>HYPERLINK("https://on.ft.com/44RECSJ")</f>
        <v>https://on.ft.com/44RECSJ</v>
      </c>
      <c r="Y1997" s="77" t="s">
        <v>6557</v>
      </c>
      <c r="Z1997" s="77"/>
      <c r="AA1997" s="77"/>
      <c r="AB1997" s="77"/>
      <c r="AC1997" s="82" t="s">
        <v>7783</v>
      </c>
      <c r="AD1997" s="77" t="s">
        <v>7789</v>
      </c>
      <c r="AE1997" s="80" t="str">
        <f>HYPERLINK("https://twitter.com/financialtimes/status/1687378903864573952")</f>
        <v>https://twitter.com/financialtimes/status/1687378903864573952</v>
      </c>
      <c r="AF1997" s="79">
        <v>45142.350173611114</v>
      </c>
      <c r="AG1997" s="85">
        <v>45142</v>
      </c>
      <c r="AH1997" s="82" t="s">
        <v>9487</v>
      </c>
      <c r="AI1997" s="77" t="b">
        <v>0</v>
      </c>
      <c r="AJ1997" s="77"/>
      <c r="AK1997" s="77"/>
      <c r="AL1997" s="77"/>
      <c r="AM1997" s="77"/>
      <c r="AN1997" s="77"/>
      <c r="AO1997" s="77"/>
      <c r="AP1997" s="77"/>
      <c r="AQ1997" s="77"/>
      <c r="AR1997" s="77"/>
      <c r="AS1997" s="77"/>
      <c r="AT1997" s="77"/>
      <c r="AU1997" s="77"/>
      <c r="AV1997" s="80" t="str">
        <f>HYPERLINK("https://pbs.twimg.com/profile_images/931161479398686721/FI3te2Sw_normal.jpg")</f>
        <v>https://pbs.twimg.com/profile_images/931161479398686721/FI3te2Sw_normal.jpg</v>
      </c>
      <c r="AW1997" s="82" t="s">
        <v>13593</v>
      </c>
      <c r="AX1997" s="82" t="s">
        <v>13593</v>
      </c>
      <c r="AY1997" s="77"/>
      <c r="AZ1997" s="82" t="s">
        <v>15984</v>
      </c>
      <c r="BA1997" s="82" t="s">
        <v>15984</v>
      </c>
      <c r="BB1997" s="82" t="s">
        <v>15984</v>
      </c>
      <c r="BC1997" s="82" t="s">
        <v>13593</v>
      </c>
      <c r="BD1997" s="77">
        <v>4898091</v>
      </c>
      <c r="BE1997" s="77"/>
      <c r="BF1997" s="77"/>
      <c r="BG1997" s="77"/>
      <c r="BH1997" s="77"/>
      <c r="BI1997" s="77"/>
    </row>
    <row r="1998" spans="1:61" x14ac:dyDescent="0.25">
      <c r="A1998" s="62" t="s">
        <v>713</v>
      </c>
      <c r="B1998" s="62" t="s">
        <v>715</v>
      </c>
      <c r="C1998" s="63"/>
      <c r="D1998" s="64"/>
      <c r="E1998" s="65"/>
      <c r="F1998" s="66"/>
      <c r="G1998" s="63"/>
      <c r="H1998" s="67"/>
      <c r="I1998" s="68"/>
      <c r="J1998" s="68"/>
      <c r="K1998" s="32"/>
      <c r="L1998" s="75">
        <v>1998</v>
      </c>
      <c r="M1998" s="75"/>
      <c r="N1998" s="70"/>
      <c r="O1998" s="77" t="s">
        <v>896</v>
      </c>
      <c r="P1998" s="79">
        <v>45142.370520833334</v>
      </c>
      <c r="Q1998" s="77" t="s">
        <v>2676</v>
      </c>
      <c r="R1998" s="77">
        <v>0</v>
      </c>
      <c r="S1998" s="77">
        <v>1</v>
      </c>
      <c r="T1998" s="77">
        <v>0</v>
      </c>
      <c r="U1998" s="77">
        <v>0</v>
      </c>
      <c r="V1998" s="77">
        <v>67</v>
      </c>
      <c r="W1998" s="82" t="s">
        <v>4821</v>
      </c>
      <c r="X1998" s="77"/>
      <c r="Y1998" s="77"/>
      <c r="Z1998" s="77"/>
      <c r="AA1998" s="77"/>
      <c r="AB1998" s="77"/>
      <c r="AC1998" s="82" t="s">
        <v>7752</v>
      </c>
      <c r="AD1998" s="77" t="s">
        <v>7796</v>
      </c>
      <c r="AE1998" s="80" t="str">
        <f>HYPERLINK("https://twitter.com/auditorinterno/status/1687386276415053824")</f>
        <v>https://twitter.com/auditorinterno/status/1687386276415053824</v>
      </c>
      <c r="AF1998" s="79">
        <v>45142.370520833334</v>
      </c>
      <c r="AG1998" s="85">
        <v>45142</v>
      </c>
      <c r="AH1998" s="82" t="s">
        <v>9488</v>
      </c>
      <c r="AI1998" s="77"/>
      <c r="AJ1998" s="77"/>
      <c r="AK1998" s="77"/>
      <c r="AL1998" s="77"/>
      <c r="AM1998" s="77"/>
      <c r="AN1998" s="77"/>
      <c r="AO1998" s="77"/>
      <c r="AP1998" s="77"/>
      <c r="AQ1998" s="77"/>
      <c r="AR1998" s="77"/>
      <c r="AS1998" s="77"/>
      <c r="AT1998" s="77"/>
      <c r="AU1998" s="77"/>
      <c r="AV1998" s="80" t="str">
        <f>HYPERLINK("https://pbs.twimg.com/profile_images/1609841078785527808/VyY0Gh3N_normal.jpg")</f>
        <v>https://pbs.twimg.com/profile_images/1609841078785527808/VyY0Gh3N_normal.jpg</v>
      </c>
      <c r="AW1998" s="82" t="s">
        <v>13594</v>
      </c>
      <c r="AX1998" s="82" t="s">
        <v>13594</v>
      </c>
      <c r="AY1998" s="77"/>
      <c r="AZ1998" s="82" t="s">
        <v>15984</v>
      </c>
      <c r="BA1998" s="82" t="s">
        <v>13593</v>
      </c>
      <c r="BB1998" s="82" t="s">
        <v>15984</v>
      </c>
      <c r="BC1998" s="82" t="s">
        <v>13593</v>
      </c>
      <c r="BD1998" s="77">
        <v>183200672</v>
      </c>
      <c r="BE1998" s="77"/>
      <c r="BF1998" s="77"/>
      <c r="BG1998" s="77"/>
      <c r="BH1998" s="77"/>
      <c r="BI1998" s="77"/>
    </row>
    <row r="1999" spans="1:61" x14ac:dyDescent="0.25">
      <c r="A1999" s="62" t="s">
        <v>716</v>
      </c>
      <c r="B1999" s="62" t="s">
        <v>716</v>
      </c>
      <c r="C1999" s="63"/>
      <c r="D1999" s="64"/>
      <c r="E1999" s="65"/>
      <c r="F1999" s="66"/>
      <c r="G1999" s="63"/>
      <c r="H1999" s="67"/>
      <c r="I1999" s="68"/>
      <c r="J1999" s="68"/>
      <c r="K1999" s="32"/>
      <c r="L1999" s="75">
        <v>1999</v>
      </c>
      <c r="M1999" s="75"/>
      <c r="N1999" s="70"/>
      <c r="O1999" s="77" t="s">
        <v>179</v>
      </c>
      <c r="P1999" s="79">
        <v>45150.833726851852</v>
      </c>
      <c r="Q1999" s="77" t="s">
        <v>2678</v>
      </c>
      <c r="R1999" s="77">
        <v>0</v>
      </c>
      <c r="S1999" s="77">
        <v>0</v>
      </c>
      <c r="T1999" s="77">
        <v>2</v>
      </c>
      <c r="U1999" s="77">
        <v>0</v>
      </c>
      <c r="V1999" s="77">
        <v>2914</v>
      </c>
      <c r="W1999" s="82" t="s">
        <v>4821</v>
      </c>
      <c r="X1999" s="80" t="str">
        <f>HYPERLINK("https://cincodias.elpais.com/economia/2023-08-12/calvino-confirma-que-seguiria-en-un-nuevo-gobierno-hasta-enero-si-es-elegida-presidenta-del-bei.html?%3Fssm=TW_CM_CD")</f>
        <v>https://cincodias.elpais.com/economia/2023-08-12/calvino-confirma-que-seguiria-en-un-nuevo-gobierno-hasta-enero-si-es-elegida-presidenta-del-bei.html?%3Fssm=TW_CM_CD</v>
      </c>
      <c r="Y1999" s="77" t="s">
        <v>6490</v>
      </c>
      <c r="Z1999" s="77"/>
      <c r="AA1999" s="77"/>
      <c r="AB1999" s="77"/>
      <c r="AC1999" s="82" t="s">
        <v>6536</v>
      </c>
      <c r="AD1999" s="77" t="s">
        <v>7790</v>
      </c>
      <c r="AE1999" s="80" t="str">
        <f>HYPERLINK("https://twitter.com/cincodiascom/status/1690453242495553536")</f>
        <v>https://twitter.com/cincodiascom/status/1690453242495553536</v>
      </c>
      <c r="AF1999" s="79">
        <v>45150.833726851852</v>
      </c>
      <c r="AG1999" s="85">
        <v>45150</v>
      </c>
      <c r="AH1999" s="82" t="s">
        <v>9489</v>
      </c>
      <c r="AI1999" s="77" t="b">
        <v>0</v>
      </c>
      <c r="AJ1999" s="77"/>
      <c r="AK1999" s="77"/>
      <c r="AL1999" s="77"/>
      <c r="AM1999" s="77"/>
      <c r="AN1999" s="77"/>
      <c r="AO1999" s="77"/>
      <c r="AP1999" s="77"/>
      <c r="AQ1999" s="77"/>
      <c r="AR1999" s="77"/>
      <c r="AS1999" s="77"/>
      <c r="AT1999" s="77"/>
      <c r="AU1999" s="77"/>
      <c r="AV1999" s="80" t="str">
        <f>HYPERLINK("https://pbs.twimg.com/profile_images/1628692768519233536/fDsU2aHR_normal.png")</f>
        <v>https://pbs.twimg.com/profile_images/1628692768519233536/fDsU2aHR_normal.png</v>
      </c>
      <c r="AW1999" s="82" t="s">
        <v>13595</v>
      </c>
      <c r="AX1999" s="82" t="s">
        <v>13595</v>
      </c>
      <c r="AY1999" s="77"/>
      <c r="AZ1999" s="82" t="s">
        <v>15984</v>
      </c>
      <c r="BA1999" s="82" t="s">
        <v>15984</v>
      </c>
      <c r="BB1999" s="82" t="s">
        <v>15984</v>
      </c>
      <c r="BC1999" s="82" t="s">
        <v>13595</v>
      </c>
      <c r="BD1999" s="77">
        <v>36397274</v>
      </c>
      <c r="BE1999" s="77"/>
      <c r="BF1999" s="77"/>
      <c r="BG1999" s="77"/>
      <c r="BH1999" s="77"/>
      <c r="BI1999" s="77"/>
    </row>
    <row r="2000" spans="1:61" x14ac:dyDescent="0.25">
      <c r="A2000" s="62" t="s">
        <v>713</v>
      </c>
      <c r="B2000" s="62" t="s">
        <v>716</v>
      </c>
      <c r="C2000" s="63"/>
      <c r="D2000" s="64"/>
      <c r="E2000" s="65"/>
      <c r="F2000" s="66"/>
      <c r="G2000" s="63"/>
      <c r="H2000" s="67"/>
      <c r="I2000" s="68"/>
      <c r="J2000" s="68"/>
      <c r="K2000" s="32"/>
      <c r="L2000" s="75">
        <v>2000</v>
      </c>
      <c r="M2000" s="75"/>
      <c r="N2000" s="70"/>
      <c r="O2000" s="77" t="s">
        <v>895</v>
      </c>
      <c r="P2000" s="79">
        <v>45141.585451388892</v>
      </c>
      <c r="Q2000" s="77" t="s">
        <v>2679</v>
      </c>
      <c r="R2000" s="77">
        <v>0</v>
      </c>
      <c r="S2000" s="77">
        <v>1</v>
      </c>
      <c r="T2000" s="77">
        <v>0</v>
      </c>
      <c r="U2000" s="77">
        <v>0</v>
      </c>
      <c r="V2000" s="77">
        <v>67</v>
      </c>
      <c r="W2000" s="82" t="s">
        <v>4821</v>
      </c>
      <c r="X2000" s="80" t="str">
        <f>HYPERLINK("https://cincodias.elpais.com/mercados-financieros/2023-08-03/el-banco-de-inglaterra-sube-los-tipos-en-25-puntos-basicos-y-deja-la-puerta-abierta-a-mas-subidas.html?ssm=TW_CC")</f>
        <v>https://cincodias.elpais.com/mercados-financieros/2023-08-03/el-banco-de-inglaterra-sube-los-tipos-en-25-puntos-basicos-y-deja-la-puerta-abierta-a-mas-subidas.html?ssm=TW_CC</v>
      </c>
      <c r="Y2000" s="77" t="s">
        <v>6490</v>
      </c>
      <c r="Z2000" s="77" t="s">
        <v>716</v>
      </c>
      <c r="AA2000" s="77"/>
      <c r="AB2000" s="77"/>
      <c r="AC2000" s="82" t="s">
        <v>7750</v>
      </c>
      <c r="AD2000" s="77" t="s">
        <v>7790</v>
      </c>
      <c r="AE2000" s="80" t="str">
        <f>HYPERLINK("https://twitter.com/auditorinterno/status/1687101778670829569")</f>
        <v>https://twitter.com/auditorinterno/status/1687101778670829569</v>
      </c>
      <c r="AF2000" s="79">
        <v>45141.585451388892</v>
      </c>
      <c r="AG2000" s="85">
        <v>45141</v>
      </c>
      <c r="AH2000" s="82" t="s">
        <v>9490</v>
      </c>
      <c r="AI2000" s="77" t="b">
        <v>0</v>
      </c>
      <c r="AJ2000" s="77"/>
      <c r="AK2000" s="77"/>
      <c r="AL2000" s="77"/>
      <c r="AM2000" s="77"/>
      <c r="AN2000" s="77"/>
      <c r="AO2000" s="77"/>
      <c r="AP2000" s="77"/>
      <c r="AQ2000" s="77"/>
      <c r="AR2000" s="77"/>
      <c r="AS2000" s="77"/>
      <c r="AT2000" s="77"/>
      <c r="AU2000" s="77"/>
      <c r="AV2000" s="80" t="str">
        <f>HYPERLINK("https://pbs.twimg.com/profile_images/1609841078785527808/VyY0Gh3N_normal.jpg")</f>
        <v>https://pbs.twimg.com/profile_images/1609841078785527808/VyY0Gh3N_normal.jpg</v>
      </c>
      <c r="AW2000" s="82" t="s">
        <v>13596</v>
      </c>
      <c r="AX2000" s="82" t="s">
        <v>13596</v>
      </c>
      <c r="AY2000" s="77"/>
      <c r="AZ2000" s="82" t="s">
        <v>15984</v>
      </c>
      <c r="BA2000" s="82" t="s">
        <v>15984</v>
      </c>
      <c r="BB2000" s="82" t="s">
        <v>15984</v>
      </c>
      <c r="BC2000" s="82" t="s">
        <v>13596</v>
      </c>
      <c r="BD2000" s="77">
        <v>183200672</v>
      </c>
      <c r="BE2000" s="77"/>
      <c r="BF2000" s="77"/>
      <c r="BG2000" s="77"/>
      <c r="BH2000" s="77"/>
      <c r="BI2000" s="77"/>
    </row>
    <row r="2001" spans="1:61" x14ac:dyDescent="0.25">
      <c r="A2001" s="62" t="s">
        <v>713</v>
      </c>
      <c r="B2001" s="62" t="s">
        <v>716</v>
      </c>
      <c r="C2001" s="63"/>
      <c r="D2001" s="64"/>
      <c r="E2001" s="65"/>
      <c r="F2001" s="66"/>
      <c r="G2001" s="63"/>
      <c r="H2001" s="67"/>
      <c r="I2001" s="68"/>
      <c r="J2001" s="68"/>
      <c r="K2001" s="32"/>
      <c r="L2001" s="75">
        <v>2001</v>
      </c>
      <c r="M2001" s="75"/>
      <c r="N2001" s="70"/>
      <c r="O2001" s="77" t="s">
        <v>895</v>
      </c>
      <c r="P2001" s="79">
        <v>45119.623749999999</v>
      </c>
      <c r="Q2001" s="77" t="s">
        <v>2680</v>
      </c>
      <c r="R2001" s="77">
        <v>0</v>
      </c>
      <c r="S2001" s="77">
        <v>1</v>
      </c>
      <c r="T2001" s="77">
        <v>0</v>
      </c>
      <c r="U2001" s="77">
        <v>0</v>
      </c>
      <c r="V2001" s="77">
        <v>51</v>
      </c>
      <c r="W2001" s="82" t="s">
        <v>5877</v>
      </c>
      <c r="X2001" s="80" t="str">
        <f>HYPERLINK("https://cincodias.elpais.com/mercados-financieros/2023-07-11/el-tesoro-vende-letras-a-tres-meses-al-35-maximos-de-2011.html?ssm=TW_CC")</f>
        <v>https://cincodias.elpais.com/mercados-financieros/2023-07-11/el-tesoro-vende-letras-a-tres-meses-al-35-maximos-de-2011.html?ssm=TW_CC</v>
      </c>
      <c r="Y2001" s="77" t="s">
        <v>6490</v>
      </c>
      <c r="Z2001" s="77" t="s">
        <v>716</v>
      </c>
      <c r="AA2001" s="77"/>
      <c r="AB2001" s="77"/>
      <c r="AC2001" s="82" t="s">
        <v>7750</v>
      </c>
      <c r="AD2001" s="77" t="s">
        <v>7790</v>
      </c>
      <c r="AE2001" s="80" t="str">
        <f>HYPERLINK("https://twitter.com/auditorinterno/status/1679143125564923905")</f>
        <v>https://twitter.com/auditorinterno/status/1679143125564923905</v>
      </c>
      <c r="AF2001" s="79">
        <v>45119.623749999999</v>
      </c>
      <c r="AG2001" s="85">
        <v>45119</v>
      </c>
      <c r="AH2001" s="82" t="s">
        <v>9491</v>
      </c>
      <c r="AI2001" s="77" t="b">
        <v>0</v>
      </c>
      <c r="AJ2001" s="77"/>
      <c r="AK2001" s="77"/>
      <c r="AL2001" s="77"/>
      <c r="AM2001" s="77"/>
      <c r="AN2001" s="77"/>
      <c r="AO2001" s="77"/>
      <c r="AP2001" s="77"/>
      <c r="AQ2001" s="77"/>
      <c r="AR2001" s="77"/>
      <c r="AS2001" s="77"/>
      <c r="AT2001" s="77"/>
      <c r="AU2001" s="77"/>
      <c r="AV2001" s="80" t="str">
        <f>HYPERLINK("https://pbs.twimg.com/profile_images/1609841078785527808/VyY0Gh3N_normal.jpg")</f>
        <v>https://pbs.twimg.com/profile_images/1609841078785527808/VyY0Gh3N_normal.jpg</v>
      </c>
      <c r="AW2001" s="82" t="s">
        <v>13597</v>
      </c>
      <c r="AX2001" s="82" t="s">
        <v>13597</v>
      </c>
      <c r="AY2001" s="77"/>
      <c r="AZ2001" s="82" t="s">
        <v>15984</v>
      </c>
      <c r="BA2001" s="82" t="s">
        <v>15984</v>
      </c>
      <c r="BB2001" s="82" t="s">
        <v>15984</v>
      </c>
      <c r="BC2001" s="82" t="s">
        <v>13597</v>
      </c>
      <c r="BD2001" s="77">
        <v>183200672</v>
      </c>
      <c r="BE2001" s="77"/>
      <c r="BF2001" s="77"/>
      <c r="BG2001" s="77"/>
      <c r="BH2001" s="77"/>
      <c r="BI2001" s="77"/>
    </row>
    <row r="2002" spans="1:61" x14ac:dyDescent="0.25">
      <c r="A2002" s="62" t="s">
        <v>713</v>
      </c>
      <c r="B2002" s="62" t="s">
        <v>716</v>
      </c>
      <c r="C2002" s="63"/>
      <c r="D2002" s="64"/>
      <c r="E2002" s="65"/>
      <c r="F2002" s="66"/>
      <c r="G2002" s="63"/>
      <c r="H2002" s="67"/>
      <c r="I2002" s="68"/>
      <c r="J2002" s="68"/>
      <c r="K2002" s="32"/>
      <c r="L2002" s="75">
        <v>2002</v>
      </c>
      <c r="M2002" s="75"/>
      <c r="N2002" s="70"/>
      <c r="O2002" s="77" t="s">
        <v>895</v>
      </c>
      <c r="P2002" s="79">
        <v>45134.545486111114</v>
      </c>
      <c r="Q2002" s="77" t="s">
        <v>2681</v>
      </c>
      <c r="R2002" s="77">
        <v>0</v>
      </c>
      <c r="S2002" s="77">
        <v>0</v>
      </c>
      <c r="T2002" s="77">
        <v>0</v>
      </c>
      <c r="U2002" s="77">
        <v>0</v>
      </c>
      <c r="V2002" s="77">
        <v>66</v>
      </c>
      <c r="W2002" s="82" t="s">
        <v>4821</v>
      </c>
      <c r="X2002" s="80" t="str">
        <f>HYPERLINK("https://cincodias.elpais.com/mercados-financieros/2023-07-27/el-bce-vuelve-a-elevar-los-tipos-al-425-y-se-acerca-al-final-de-las-subidas.html?ssm=TW_CC")</f>
        <v>https://cincodias.elpais.com/mercados-financieros/2023-07-27/el-bce-vuelve-a-elevar-los-tipos-al-425-y-se-acerca-al-final-de-las-subidas.html?ssm=TW_CC</v>
      </c>
      <c r="Y2002" s="77" t="s">
        <v>6490</v>
      </c>
      <c r="Z2002" s="77" t="s">
        <v>716</v>
      </c>
      <c r="AA2002" s="77"/>
      <c r="AB2002" s="77"/>
      <c r="AC2002" s="82" t="s">
        <v>7752</v>
      </c>
      <c r="AD2002" s="77" t="s">
        <v>7790</v>
      </c>
      <c r="AE2002" s="80" t="str">
        <f>HYPERLINK("https://twitter.com/auditorinterno/status/1684550582504132610")</f>
        <v>https://twitter.com/auditorinterno/status/1684550582504132610</v>
      </c>
      <c r="AF2002" s="79">
        <v>45134.545486111114</v>
      </c>
      <c r="AG2002" s="85">
        <v>45134</v>
      </c>
      <c r="AH2002" s="82" t="s">
        <v>9492</v>
      </c>
      <c r="AI2002" s="77" t="b">
        <v>0</v>
      </c>
      <c r="AJ2002" s="77"/>
      <c r="AK2002" s="77"/>
      <c r="AL2002" s="77"/>
      <c r="AM2002" s="77"/>
      <c r="AN2002" s="77"/>
      <c r="AO2002" s="77"/>
      <c r="AP2002" s="77"/>
      <c r="AQ2002" s="77"/>
      <c r="AR2002" s="77"/>
      <c r="AS2002" s="77"/>
      <c r="AT2002" s="77"/>
      <c r="AU2002" s="77"/>
      <c r="AV2002" s="80" t="str">
        <f>HYPERLINK("https://pbs.twimg.com/profile_images/1609841078785527808/VyY0Gh3N_normal.jpg")</f>
        <v>https://pbs.twimg.com/profile_images/1609841078785527808/VyY0Gh3N_normal.jpg</v>
      </c>
      <c r="AW2002" s="82" t="s">
        <v>13598</v>
      </c>
      <c r="AX2002" s="82" t="s">
        <v>13598</v>
      </c>
      <c r="AY2002" s="77"/>
      <c r="AZ2002" s="82" t="s">
        <v>15984</v>
      </c>
      <c r="BA2002" s="82" t="s">
        <v>15984</v>
      </c>
      <c r="BB2002" s="82" t="s">
        <v>15984</v>
      </c>
      <c r="BC2002" s="82" t="s">
        <v>13598</v>
      </c>
      <c r="BD2002" s="77">
        <v>183200672</v>
      </c>
      <c r="BE2002" s="77"/>
      <c r="BF2002" s="77"/>
      <c r="BG2002" s="77"/>
      <c r="BH2002" s="77"/>
      <c r="BI2002" s="77"/>
    </row>
    <row r="2003" spans="1:61" x14ac:dyDescent="0.25">
      <c r="A2003" s="62" t="s">
        <v>713</v>
      </c>
      <c r="B2003" s="62" t="s">
        <v>716</v>
      </c>
      <c r="C2003" s="63"/>
      <c r="D2003" s="64"/>
      <c r="E2003" s="65"/>
      <c r="F2003" s="66"/>
      <c r="G2003" s="63"/>
      <c r="H2003" s="67"/>
      <c r="I2003" s="68"/>
      <c r="J2003" s="68"/>
      <c r="K2003" s="32"/>
      <c r="L2003" s="75">
        <v>2003</v>
      </c>
      <c r="M2003" s="75"/>
      <c r="N2003" s="70"/>
      <c r="O2003" s="77" t="s">
        <v>895</v>
      </c>
      <c r="P2003" s="79">
        <v>45182.466597222221</v>
      </c>
      <c r="Q2003" s="77" t="s">
        <v>2682</v>
      </c>
      <c r="R2003" s="77">
        <v>1</v>
      </c>
      <c r="S2003" s="77">
        <v>1</v>
      </c>
      <c r="T2003" s="77">
        <v>0</v>
      </c>
      <c r="U2003" s="77">
        <v>0</v>
      </c>
      <c r="V2003" s="77">
        <v>83</v>
      </c>
      <c r="W2003" s="82" t="s">
        <v>5878</v>
      </c>
      <c r="X2003" s="80" t="str">
        <f>HYPERLINK("https://cincodias.elpais.com/mercados-financieros/2023-09-12/el-tesoro-paga-menos-del-35-por-las-letras-a-tres-meses.html?ssm=TW_CC")</f>
        <v>https://cincodias.elpais.com/mercados-financieros/2023-09-12/el-tesoro-paga-menos-del-35-por-las-letras-a-tres-meses.html?ssm=TW_CC</v>
      </c>
      <c r="Y2003" s="77" t="s">
        <v>6490</v>
      </c>
      <c r="Z2003" s="77" t="s">
        <v>716</v>
      </c>
      <c r="AA2003" s="77"/>
      <c r="AB2003" s="77"/>
      <c r="AC2003" s="82" t="s">
        <v>7750</v>
      </c>
      <c r="AD2003" s="77" t="s">
        <v>7790</v>
      </c>
      <c r="AE2003" s="80" t="str">
        <f>HYPERLINK("https://twitter.com/auditorinterno/status/1701916610779357544")</f>
        <v>https://twitter.com/auditorinterno/status/1701916610779357544</v>
      </c>
      <c r="AF2003" s="79">
        <v>45182.466597222221</v>
      </c>
      <c r="AG2003" s="85">
        <v>45182</v>
      </c>
      <c r="AH2003" s="82" t="s">
        <v>9493</v>
      </c>
      <c r="AI2003" s="77" t="b">
        <v>0</v>
      </c>
      <c r="AJ2003" s="77"/>
      <c r="AK2003" s="77"/>
      <c r="AL2003" s="77"/>
      <c r="AM2003" s="77"/>
      <c r="AN2003" s="77"/>
      <c r="AO2003" s="77"/>
      <c r="AP2003" s="77"/>
      <c r="AQ2003" s="77"/>
      <c r="AR2003" s="77"/>
      <c r="AS2003" s="77"/>
      <c r="AT2003" s="77"/>
      <c r="AU2003" s="77"/>
      <c r="AV2003" s="80" t="str">
        <f>HYPERLINK("https://pbs.twimg.com/profile_images/1609841078785527808/VyY0Gh3N_normal.jpg")</f>
        <v>https://pbs.twimg.com/profile_images/1609841078785527808/VyY0Gh3N_normal.jpg</v>
      </c>
      <c r="AW2003" s="82" t="s">
        <v>13599</v>
      </c>
      <c r="AX2003" s="82" t="s">
        <v>13599</v>
      </c>
      <c r="AY2003" s="77"/>
      <c r="AZ2003" s="82" t="s">
        <v>15984</v>
      </c>
      <c r="BA2003" s="82" t="s">
        <v>15984</v>
      </c>
      <c r="BB2003" s="82" t="s">
        <v>15984</v>
      </c>
      <c r="BC2003" s="82" t="s">
        <v>13599</v>
      </c>
      <c r="BD2003" s="77">
        <v>183200672</v>
      </c>
      <c r="BE2003" s="77"/>
      <c r="BF2003" s="77"/>
      <c r="BG2003" s="77"/>
      <c r="BH2003" s="77"/>
      <c r="BI2003" s="77"/>
    </row>
    <row r="2004" spans="1:61" x14ac:dyDescent="0.25">
      <c r="A2004" s="62" t="s">
        <v>713</v>
      </c>
      <c r="B2004" s="62" t="s">
        <v>716</v>
      </c>
      <c r="C2004" s="63"/>
      <c r="D2004" s="64"/>
      <c r="E2004" s="65"/>
      <c r="F2004" s="66"/>
      <c r="G2004" s="63"/>
      <c r="H2004" s="67"/>
      <c r="I2004" s="68"/>
      <c r="J2004" s="68"/>
      <c r="K2004" s="32"/>
      <c r="L2004" s="75">
        <v>2004</v>
      </c>
      <c r="M2004" s="75"/>
      <c r="N2004" s="70"/>
      <c r="O2004" s="77" t="s">
        <v>895</v>
      </c>
      <c r="P2004" s="79">
        <v>45181.375277777777</v>
      </c>
      <c r="Q2004" s="77" t="s">
        <v>2683</v>
      </c>
      <c r="R2004" s="77">
        <v>0</v>
      </c>
      <c r="S2004" s="77">
        <v>0</v>
      </c>
      <c r="T2004" s="77">
        <v>0</v>
      </c>
      <c r="U2004" s="77">
        <v>0</v>
      </c>
      <c r="V2004" s="77">
        <v>30</v>
      </c>
      <c r="W2004" s="82" t="s">
        <v>5879</v>
      </c>
      <c r="X2004" s="80" t="str">
        <f>HYPERLINK("https://cincodias.elpais.com/economia/2023-09-12/el-ipc-subio-el-26-en-agosto-con-un-alza-de-los-carburantes-del-72-y-alimentos-del-105.html?ssm=TW_CC")</f>
        <v>https://cincodias.elpais.com/economia/2023-09-12/el-ipc-subio-el-26-en-agosto-con-un-alza-de-los-carburantes-del-72-y-alimentos-del-105.html?ssm=TW_CC</v>
      </c>
      <c r="Y2004" s="77" t="s">
        <v>6490</v>
      </c>
      <c r="Z2004" s="77" t="s">
        <v>716</v>
      </c>
      <c r="AA2004" s="77"/>
      <c r="AB2004" s="77"/>
      <c r="AC2004" s="82" t="s">
        <v>7750</v>
      </c>
      <c r="AD2004" s="77" t="s">
        <v>7790</v>
      </c>
      <c r="AE2004" s="80" t="str">
        <f>HYPERLINK("https://twitter.com/auditorinterno/status/1701521127669936213")</f>
        <v>https://twitter.com/auditorinterno/status/1701521127669936213</v>
      </c>
      <c r="AF2004" s="79">
        <v>45181.375277777777</v>
      </c>
      <c r="AG2004" s="85">
        <v>45181</v>
      </c>
      <c r="AH2004" s="82" t="s">
        <v>9494</v>
      </c>
      <c r="AI2004" s="77" t="b">
        <v>0</v>
      </c>
      <c r="AJ2004" s="77"/>
      <c r="AK2004" s="77"/>
      <c r="AL2004" s="77"/>
      <c r="AM2004" s="77"/>
      <c r="AN2004" s="77"/>
      <c r="AO2004" s="77"/>
      <c r="AP2004" s="77"/>
      <c r="AQ2004" s="77"/>
      <c r="AR2004" s="77"/>
      <c r="AS2004" s="77"/>
      <c r="AT2004" s="77"/>
      <c r="AU2004" s="77"/>
      <c r="AV2004" s="80" t="str">
        <f>HYPERLINK("https://pbs.twimg.com/profile_images/1609841078785527808/VyY0Gh3N_normal.jpg")</f>
        <v>https://pbs.twimg.com/profile_images/1609841078785527808/VyY0Gh3N_normal.jpg</v>
      </c>
      <c r="AW2004" s="82" t="s">
        <v>13600</v>
      </c>
      <c r="AX2004" s="82" t="s">
        <v>13600</v>
      </c>
      <c r="AY2004" s="77"/>
      <c r="AZ2004" s="82" t="s">
        <v>15984</v>
      </c>
      <c r="BA2004" s="82" t="s">
        <v>15984</v>
      </c>
      <c r="BB2004" s="82" t="s">
        <v>15984</v>
      </c>
      <c r="BC2004" s="82" t="s">
        <v>13600</v>
      </c>
      <c r="BD2004" s="77">
        <v>183200672</v>
      </c>
      <c r="BE2004" s="77"/>
      <c r="BF2004" s="77"/>
      <c r="BG2004" s="77"/>
      <c r="BH2004" s="77"/>
      <c r="BI2004" s="77"/>
    </row>
    <row r="2005" spans="1:61" x14ac:dyDescent="0.25">
      <c r="A2005" s="62" t="s">
        <v>713</v>
      </c>
      <c r="B2005" s="62" t="s">
        <v>716</v>
      </c>
      <c r="C2005" s="63"/>
      <c r="D2005" s="64"/>
      <c r="E2005" s="65"/>
      <c r="F2005" s="66"/>
      <c r="G2005" s="63"/>
      <c r="H2005" s="67"/>
      <c r="I2005" s="68"/>
      <c r="J2005" s="68"/>
      <c r="K2005" s="32"/>
      <c r="L2005" s="75">
        <v>2005</v>
      </c>
      <c r="M2005" s="75"/>
      <c r="N2005" s="70"/>
      <c r="O2005" s="77" t="s">
        <v>895</v>
      </c>
      <c r="P2005" s="79">
        <v>45183.563611111109</v>
      </c>
      <c r="Q2005" s="77" t="s">
        <v>2684</v>
      </c>
      <c r="R2005" s="77">
        <v>0</v>
      </c>
      <c r="S2005" s="77">
        <v>0</v>
      </c>
      <c r="T2005" s="77">
        <v>0</v>
      </c>
      <c r="U2005" s="77">
        <v>0</v>
      </c>
      <c r="V2005" s="77">
        <v>63</v>
      </c>
      <c r="W2005" s="82" t="s">
        <v>4821</v>
      </c>
      <c r="X2005" s="80" t="str">
        <f>HYPERLINK("https://cincodias.elpais.com/mercados-financieros/2023-09-14/el-bce-sube-tipos-por-decima-vez-pese-a-la-amenaza-de-recesion.html?ssm=TW_CC")</f>
        <v>https://cincodias.elpais.com/mercados-financieros/2023-09-14/el-bce-sube-tipos-por-decima-vez-pese-a-la-amenaza-de-recesion.html?ssm=TW_CC</v>
      </c>
      <c r="Y2005" s="77" t="s">
        <v>6490</v>
      </c>
      <c r="Z2005" s="77" t="s">
        <v>716</v>
      </c>
      <c r="AA2005" s="77"/>
      <c r="AB2005" s="77"/>
      <c r="AC2005" s="82" t="s">
        <v>7750</v>
      </c>
      <c r="AD2005" s="77" t="s">
        <v>7790</v>
      </c>
      <c r="AE2005" s="80" t="str">
        <f>HYPERLINK("https://twitter.com/auditorinterno/status/1702314153300607261")</f>
        <v>https://twitter.com/auditorinterno/status/1702314153300607261</v>
      </c>
      <c r="AF2005" s="79">
        <v>45183.563611111109</v>
      </c>
      <c r="AG2005" s="85">
        <v>45183</v>
      </c>
      <c r="AH2005" s="82" t="s">
        <v>9495</v>
      </c>
      <c r="AI2005" s="77" t="b">
        <v>0</v>
      </c>
      <c r="AJ2005" s="77"/>
      <c r="AK2005" s="77"/>
      <c r="AL2005" s="77"/>
      <c r="AM2005" s="77"/>
      <c r="AN2005" s="77"/>
      <c r="AO2005" s="77"/>
      <c r="AP2005" s="77"/>
      <c r="AQ2005" s="77"/>
      <c r="AR2005" s="77"/>
      <c r="AS2005" s="77"/>
      <c r="AT2005" s="77"/>
      <c r="AU2005" s="77"/>
      <c r="AV2005" s="80" t="str">
        <f>HYPERLINK("https://pbs.twimg.com/profile_images/1609841078785527808/VyY0Gh3N_normal.jpg")</f>
        <v>https://pbs.twimg.com/profile_images/1609841078785527808/VyY0Gh3N_normal.jpg</v>
      </c>
      <c r="AW2005" s="82" t="s">
        <v>13601</v>
      </c>
      <c r="AX2005" s="82" t="s">
        <v>13601</v>
      </c>
      <c r="AY2005" s="77"/>
      <c r="AZ2005" s="82" t="s">
        <v>15984</v>
      </c>
      <c r="BA2005" s="82" t="s">
        <v>15984</v>
      </c>
      <c r="BB2005" s="82" t="s">
        <v>15984</v>
      </c>
      <c r="BC2005" s="82" t="s">
        <v>13601</v>
      </c>
      <c r="BD2005" s="77">
        <v>183200672</v>
      </c>
      <c r="BE2005" s="77"/>
      <c r="BF2005" s="77"/>
      <c r="BG2005" s="77"/>
      <c r="BH2005" s="77"/>
      <c r="BI2005" s="77"/>
    </row>
    <row r="2006" spans="1:61" x14ac:dyDescent="0.25">
      <c r="A2006" s="62" t="s">
        <v>713</v>
      </c>
      <c r="B2006" s="62" t="s">
        <v>891</v>
      </c>
      <c r="C2006" s="63"/>
      <c r="D2006" s="64"/>
      <c r="E2006" s="65"/>
      <c r="F2006" s="66"/>
      <c r="G2006" s="63"/>
      <c r="H2006" s="67"/>
      <c r="I2006" s="68"/>
      <c r="J2006" s="68"/>
      <c r="K2006" s="32"/>
      <c r="L2006" s="75">
        <v>2006</v>
      </c>
      <c r="M2006" s="75"/>
      <c r="N2006" s="70"/>
      <c r="O2006" s="77" t="s">
        <v>895</v>
      </c>
      <c r="P2006" s="79">
        <v>45140.51457175926</v>
      </c>
      <c r="Q2006" s="77" t="s">
        <v>2685</v>
      </c>
      <c r="R2006" s="77">
        <v>0</v>
      </c>
      <c r="S2006" s="77">
        <v>1</v>
      </c>
      <c r="T2006" s="77">
        <v>0</v>
      </c>
      <c r="U2006" s="77">
        <v>0</v>
      </c>
      <c r="V2006" s="77">
        <v>55</v>
      </c>
      <c r="W2006" s="82" t="s">
        <v>4821</v>
      </c>
      <c r="X2006" s="80" t="str">
        <f>HYPERLINK("https://www.europapress.es/economia/laboral-00346/noticia-paro-cae-10968-personas-julio-267-millones-desempleados-minimos-2008-20230802090229.html")</f>
        <v>https://www.europapress.es/economia/laboral-00346/noticia-paro-cae-10968-personas-julio-267-millones-desempleados-minimos-2008-20230802090229.html</v>
      </c>
      <c r="Y2006" s="77" t="s">
        <v>6558</v>
      </c>
      <c r="Z2006" s="77" t="s">
        <v>891</v>
      </c>
      <c r="AA2006" s="77"/>
      <c r="AB2006" s="77"/>
      <c r="AC2006" s="82" t="s">
        <v>7750</v>
      </c>
      <c r="AD2006" s="77" t="s">
        <v>7790</v>
      </c>
      <c r="AE2006" s="80" t="str">
        <f>HYPERLINK("https://twitter.com/auditorinterno/status/1686713705877131264")</f>
        <v>https://twitter.com/auditorinterno/status/1686713705877131264</v>
      </c>
      <c r="AF2006" s="79">
        <v>45140.51457175926</v>
      </c>
      <c r="AG2006" s="85">
        <v>45140</v>
      </c>
      <c r="AH2006" s="82" t="s">
        <v>9496</v>
      </c>
      <c r="AI2006" s="77" t="b">
        <v>0</v>
      </c>
      <c r="AJ2006" s="77"/>
      <c r="AK2006" s="77"/>
      <c r="AL2006" s="77"/>
      <c r="AM2006" s="77"/>
      <c r="AN2006" s="77"/>
      <c r="AO2006" s="77"/>
      <c r="AP2006" s="77"/>
      <c r="AQ2006" s="77"/>
      <c r="AR2006" s="77"/>
      <c r="AS2006" s="77"/>
      <c r="AT2006" s="77"/>
      <c r="AU2006" s="77"/>
      <c r="AV2006" s="80" t="str">
        <f>HYPERLINK("https://pbs.twimg.com/profile_images/1609841078785527808/VyY0Gh3N_normal.jpg")</f>
        <v>https://pbs.twimg.com/profile_images/1609841078785527808/VyY0Gh3N_normal.jpg</v>
      </c>
      <c r="AW2006" s="82" t="s">
        <v>13602</v>
      </c>
      <c r="AX2006" s="82" t="s">
        <v>13602</v>
      </c>
      <c r="AY2006" s="77"/>
      <c r="AZ2006" s="82" t="s">
        <v>15984</v>
      </c>
      <c r="BA2006" s="82" t="s">
        <v>15984</v>
      </c>
      <c r="BB2006" s="82" t="s">
        <v>15984</v>
      </c>
      <c r="BC2006" s="82" t="s">
        <v>13602</v>
      </c>
      <c r="BD2006" s="77">
        <v>183200672</v>
      </c>
      <c r="BE2006" s="77"/>
      <c r="BF2006" s="77"/>
      <c r="BG2006" s="77"/>
      <c r="BH2006" s="77"/>
      <c r="BI2006" s="77"/>
    </row>
    <row r="2007" spans="1:61" x14ac:dyDescent="0.25">
      <c r="A2007" s="62" t="s">
        <v>713</v>
      </c>
      <c r="B2007" s="62" t="s">
        <v>891</v>
      </c>
      <c r="C2007" s="63"/>
      <c r="D2007" s="64"/>
      <c r="E2007" s="65"/>
      <c r="F2007" s="66"/>
      <c r="G2007" s="63"/>
      <c r="H2007" s="67"/>
      <c r="I2007" s="68"/>
      <c r="J2007" s="68"/>
      <c r="K2007" s="32"/>
      <c r="L2007" s="75">
        <v>2007</v>
      </c>
      <c r="M2007" s="75"/>
      <c r="N2007" s="70"/>
      <c r="O2007" s="77" t="s">
        <v>895</v>
      </c>
      <c r="P2007" s="79">
        <v>45145.54515046296</v>
      </c>
      <c r="Q2007" s="77" t="s">
        <v>2686</v>
      </c>
      <c r="R2007" s="77">
        <v>0</v>
      </c>
      <c r="S2007" s="77">
        <v>0</v>
      </c>
      <c r="T2007" s="77">
        <v>0</v>
      </c>
      <c r="U2007" s="77">
        <v>0</v>
      </c>
      <c r="V2007" s="77">
        <v>49</v>
      </c>
      <c r="W2007" s="82" t="s">
        <v>5878</v>
      </c>
      <c r="X2007" s="80" t="str">
        <f>HYPERLINK("https://www.europapress.es/economia/macroeconomia-00338/noticia-produccion-industrial-alemania-contrajo-15-junio-20230807105831.html")</f>
        <v>https://www.europapress.es/economia/macroeconomia-00338/noticia-produccion-industrial-alemania-contrajo-15-junio-20230807105831.html</v>
      </c>
      <c r="Y2007" s="77" t="s">
        <v>6558</v>
      </c>
      <c r="Z2007" s="77" t="s">
        <v>891</v>
      </c>
      <c r="AA2007" s="77"/>
      <c r="AB2007" s="77"/>
      <c r="AC2007" s="82" t="s">
        <v>7750</v>
      </c>
      <c r="AD2007" s="77" t="s">
        <v>7790</v>
      </c>
      <c r="AE2007" s="80" t="str">
        <f>HYPERLINK("https://twitter.com/auditorinterno/status/1688536727378337792")</f>
        <v>https://twitter.com/auditorinterno/status/1688536727378337792</v>
      </c>
      <c r="AF2007" s="79">
        <v>45145.54515046296</v>
      </c>
      <c r="AG2007" s="85">
        <v>45145</v>
      </c>
      <c r="AH2007" s="82" t="s">
        <v>9497</v>
      </c>
      <c r="AI2007" s="77" t="b">
        <v>0</v>
      </c>
      <c r="AJ2007" s="77"/>
      <c r="AK2007" s="77"/>
      <c r="AL2007" s="77"/>
      <c r="AM2007" s="77"/>
      <c r="AN2007" s="77"/>
      <c r="AO2007" s="77"/>
      <c r="AP2007" s="77"/>
      <c r="AQ2007" s="77"/>
      <c r="AR2007" s="77"/>
      <c r="AS2007" s="77"/>
      <c r="AT2007" s="77"/>
      <c r="AU2007" s="77"/>
      <c r="AV2007" s="80" t="str">
        <f>HYPERLINK("https://pbs.twimg.com/profile_images/1609841078785527808/VyY0Gh3N_normal.jpg")</f>
        <v>https://pbs.twimg.com/profile_images/1609841078785527808/VyY0Gh3N_normal.jpg</v>
      </c>
      <c r="AW2007" s="82" t="s">
        <v>13603</v>
      </c>
      <c r="AX2007" s="82" t="s">
        <v>13603</v>
      </c>
      <c r="AY2007" s="77"/>
      <c r="AZ2007" s="82" t="s">
        <v>15984</v>
      </c>
      <c r="BA2007" s="82" t="s">
        <v>15984</v>
      </c>
      <c r="BB2007" s="82" t="s">
        <v>15984</v>
      </c>
      <c r="BC2007" s="82" t="s">
        <v>13603</v>
      </c>
      <c r="BD2007" s="77">
        <v>183200672</v>
      </c>
      <c r="BE2007" s="77"/>
      <c r="BF2007" s="77"/>
      <c r="BG2007" s="77"/>
      <c r="BH2007" s="77"/>
      <c r="BI2007" s="77"/>
    </row>
    <row r="2008" spans="1:61" x14ac:dyDescent="0.25">
      <c r="A2008" s="62" t="s">
        <v>713</v>
      </c>
      <c r="B2008" s="62" t="s">
        <v>891</v>
      </c>
      <c r="C2008" s="63"/>
      <c r="D2008" s="64"/>
      <c r="E2008" s="65"/>
      <c r="F2008" s="66"/>
      <c r="G2008" s="63"/>
      <c r="H2008" s="67"/>
      <c r="I2008" s="68"/>
      <c r="J2008" s="68"/>
      <c r="K2008" s="32"/>
      <c r="L2008" s="75">
        <v>2008</v>
      </c>
      <c r="M2008" s="75"/>
      <c r="N2008" s="70"/>
      <c r="O2008" s="77" t="s">
        <v>895</v>
      </c>
      <c r="P2008" s="79">
        <v>45134.386828703704</v>
      </c>
      <c r="Q2008" s="77" t="s">
        <v>2687</v>
      </c>
      <c r="R2008" s="77">
        <v>0</v>
      </c>
      <c r="S2008" s="77">
        <v>1</v>
      </c>
      <c r="T2008" s="77">
        <v>0</v>
      </c>
      <c r="U2008" s="77">
        <v>0</v>
      </c>
      <c r="V2008" s="77">
        <v>50</v>
      </c>
      <c r="W2008" s="82" t="s">
        <v>4821</v>
      </c>
      <c r="X2008" s="80" t="str">
        <f>HYPERLINK("https://www.europapress.es/economia/laboral-00346/noticia-paro-baja-365300-personas-segundo-trimestre-ocupacion-marca-maximo-21-millones-20230727090053.html")</f>
        <v>https://www.europapress.es/economia/laboral-00346/noticia-paro-baja-365300-personas-segundo-trimestre-ocupacion-marca-maximo-21-millones-20230727090053.html</v>
      </c>
      <c r="Y2008" s="77" t="s">
        <v>6558</v>
      </c>
      <c r="Z2008" s="77" t="s">
        <v>891</v>
      </c>
      <c r="AA2008" s="77"/>
      <c r="AB2008" s="77"/>
      <c r="AC2008" s="82" t="s">
        <v>7750</v>
      </c>
      <c r="AD2008" s="77" t="s">
        <v>7790</v>
      </c>
      <c r="AE2008" s="80" t="str">
        <f>HYPERLINK("https://twitter.com/auditorinterno/status/1684493086905315331")</f>
        <v>https://twitter.com/auditorinterno/status/1684493086905315331</v>
      </c>
      <c r="AF2008" s="79">
        <v>45134.386828703704</v>
      </c>
      <c r="AG2008" s="85">
        <v>45134</v>
      </c>
      <c r="AH2008" s="82" t="s">
        <v>9498</v>
      </c>
      <c r="AI2008" s="77" t="b">
        <v>0</v>
      </c>
      <c r="AJ2008" s="77"/>
      <c r="AK2008" s="77"/>
      <c r="AL2008" s="77"/>
      <c r="AM2008" s="77"/>
      <c r="AN2008" s="77"/>
      <c r="AO2008" s="77"/>
      <c r="AP2008" s="77"/>
      <c r="AQ2008" s="77"/>
      <c r="AR2008" s="77"/>
      <c r="AS2008" s="77"/>
      <c r="AT2008" s="77"/>
      <c r="AU2008" s="77"/>
      <c r="AV2008" s="80" t="str">
        <f>HYPERLINK("https://pbs.twimg.com/profile_images/1609841078785527808/VyY0Gh3N_normal.jpg")</f>
        <v>https://pbs.twimg.com/profile_images/1609841078785527808/VyY0Gh3N_normal.jpg</v>
      </c>
      <c r="AW2008" s="82" t="s">
        <v>13604</v>
      </c>
      <c r="AX2008" s="82" t="s">
        <v>13604</v>
      </c>
      <c r="AY2008" s="77"/>
      <c r="AZ2008" s="82" t="s">
        <v>15984</v>
      </c>
      <c r="BA2008" s="82" t="s">
        <v>15984</v>
      </c>
      <c r="BB2008" s="82" t="s">
        <v>15984</v>
      </c>
      <c r="BC2008" s="82" t="s">
        <v>13604</v>
      </c>
      <c r="BD2008" s="77">
        <v>183200672</v>
      </c>
      <c r="BE2008" s="77"/>
      <c r="BF2008" s="77"/>
      <c r="BG2008" s="77"/>
      <c r="BH2008" s="77"/>
      <c r="BI2008" s="77"/>
    </row>
    <row r="2009" spans="1:61" x14ac:dyDescent="0.25">
      <c r="A2009" s="62" t="s">
        <v>713</v>
      </c>
      <c r="B2009" s="62" t="s">
        <v>891</v>
      </c>
      <c r="C2009" s="63"/>
      <c r="D2009" s="64"/>
      <c r="E2009" s="65"/>
      <c r="F2009" s="66"/>
      <c r="G2009" s="63"/>
      <c r="H2009" s="67"/>
      <c r="I2009" s="68"/>
      <c r="J2009" s="68"/>
      <c r="K2009" s="32"/>
      <c r="L2009" s="75">
        <v>2009</v>
      </c>
      <c r="M2009" s="75"/>
      <c r="N2009" s="70"/>
      <c r="O2009" s="77" t="s">
        <v>895</v>
      </c>
      <c r="P2009" s="79">
        <v>45126.584999999999</v>
      </c>
      <c r="Q2009" s="77" t="s">
        <v>2688</v>
      </c>
      <c r="R2009" s="77">
        <v>0</v>
      </c>
      <c r="S2009" s="77">
        <v>1</v>
      </c>
      <c r="T2009" s="77">
        <v>0</v>
      </c>
      <c r="U2009" s="77">
        <v>0</v>
      </c>
      <c r="V2009" s="77">
        <v>57</v>
      </c>
      <c r="W2009" s="82" t="s">
        <v>4821</v>
      </c>
      <c r="X2009" s="80" t="str">
        <f>HYPERLINK("https://www.europapress.es/economia/macroeconomia-00338/noticia-inflacion-eurozona-freno-junio-55-tasa-subyacente-repunto-55-20230719110050.html")</f>
        <v>https://www.europapress.es/economia/macroeconomia-00338/noticia-inflacion-eurozona-freno-junio-55-tasa-subyacente-repunto-55-20230719110050.html</v>
      </c>
      <c r="Y2009" s="77" t="s">
        <v>6558</v>
      </c>
      <c r="Z2009" s="77" t="s">
        <v>891</v>
      </c>
      <c r="AA2009" s="77"/>
      <c r="AB2009" s="77"/>
      <c r="AC2009" s="82" t="s">
        <v>7750</v>
      </c>
      <c r="AD2009" s="77" t="s">
        <v>7790</v>
      </c>
      <c r="AE2009" s="80" t="str">
        <f>HYPERLINK("https://twitter.com/auditorinterno/status/1681665795313598469")</f>
        <v>https://twitter.com/auditorinterno/status/1681665795313598469</v>
      </c>
      <c r="AF2009" s="79">
        <v>45126.584999999999</v>
      </c>
      <c r="AG2009" s="85">
        <v>45126</v>
      </c>
      <c r="AH2009" s="82" t="s">
        <v>9499</v>
      </c>
      <c r="AI2009" s="77" t="b">
        <v>0</v>
      </c>
      <c r="AJ2009" s="77"/>
      <c r="AK2009" s="77"/>
      <c r="AL2009" s="77"/>
      <c r="AM2009" s="77"/>
      <c r="AN2009" s="77"/>
      <c r="AO2009" s="77"/>
      <c r="AP2009" s="77"/>
      <c r="AQ2009" s="77"/>
      <c r="AR2009" s="77"/>
      <c r="AS2009" s="77"/>
      <c r="AT2009" s="77"/>
      <c r="AU2009" s="77"/>
      <c r="AV2009" s="80" t="str">
        <f>HYPERLINK("https://pbs.twimg.com/profile_images/1609841078785527808/VyY0Gh3N_normal.jpg")</f>
        <v>https://pbs.twimg.com/profile_images/1609841078785527808/VyY0Gh3N_normal.jpg</v>
      </c>
      <c r="AW2009" s="82" t="s">
        <v>13605</v>
      </c>
      <c r="AX2009" s="82" t="s">
        <v>13605</v>
      </c>
      <c r="AY2009" s="77"/>
      <c r="AZ2009" s="82" t="s">
        <v>15984</v>
      </c>
      <c r="BA2009" s="82" t="s">
        <v>15984</v>
      </c>
      <c r="BB2009" s="82" t="s">
        <v>15984</v>
      </c>
      <c r="BC2009" s="82" t="s">
        <v>13605</v>
      </c>
      <c r="BD2009" s="77">
        <v>183200672</v>
      </c>
      <c r="BE2009" s="77"/>
      <c r="BF2009" s="77"/>
      <c r="BG2009" s="77"/>
      <c r="BH2009" s="77"/>
      <c r="BI2009" s="77"/>
    </row>
    <row r="2010" spans="1:61" x14ac:dyDescent="0.25">
      <c r="A2010" s="62" t="s">
        <v>713</v>
      </c>
      <c r="B2010" s="62" t="s">
        <v>891</v>
      </c>
      <c r="C2010" s="63"/>
      <c r="D2010" s="64"/>
      <c r="E2010" s="65"/>
      <c r="F2010" s="66"/>
      <c r="G2010" s="63"/>
      <c r="H2010" s="67"/>
      <c r="I2010" s="68"/>
      <c r="J2010" s="68"/>
      <c r="K2010" s="32"/>
      <c r="L2010" s="75">
        <v>2010</v>
      </c>
      <c r="M2010" s="75"/>
      <c r="N2010" s="70"/>
      <c r="O2010" s="77" t="s">
        <v>895</v>
      </c>
      <c r="P2010" s="79">
        <v>45154.426365740743</v>
      </c>
      <c r="Q2010" s="77" t="s">
        <v>2689</v>
      </c>
      <c r="R2010" s="77">
        <v>0</v>
      </c>
      <c r="S2010" s="77">
        <v>0</v>
      </c>
      <c r="T2010" s="77">
        <v>0</v>
      </c>
      <c r="U2010" s="77">
        <v>0</v>
      </c>
      <c r="V2010" s="77">
        <v>67</v>
      </c>
      <c r="W2010" s="82" t="s">
        <v>4821</v>
      </c>
      <c r="X2010" s="80" t="str">
        <f>HYPERLINK("https://www.europapress.es/economia/macroeconomia-00338/noticia-pib-eurozona-crecio-03-segundo-trimestre-estancarse-tres-primeros-meses-20230816110101.html")</f>
        <v>https://www.europapress.es/economia/macroeconomia-00338/noticia-pib-eurozona-crecio-03-segundo-trimestre-estancarse-tres-primeros-meses-20230816110101.html</v>
      </c>
      <c r="Y2010" s="77" t="s">
        <v>6558</v>
      </c>
      <c r="Z2010" s="77" t="s">
        <v>891</v>
      </c>
      <c r="AA2010" s="77"/>
      <c r="AB2010" s="77"/>
      <c r="AC2010" s="82" t="s">
        <v>7750</v>
      </c>
      <c r="AD2010" s="77" t="s">
        <v>7790</v>
      </c>
      <c r="AE2010" s="80" t="str">
        <f>HYPERLINK("https://twitter.com/auditorinterno/status/1691755171720610214")</f>
        <v>https://twitter.com/auditorinterno/status/1691755171720610214</v>
      </c>
      <c r="AF2010" s="79">
        <v>45154.426365740743</v>
      </c>
      <c r="AG2010" s="85">
        <v>45154</v>
      </c>
      <c r="AH2010" s="82" t="s">
        <v>9500</v>
      </c>
      <c r="AI2010" s="77" t="b">
        <v>0</v>
      </c>
      <c r="AJ2010" s="77"/>
      <c r="AK2010" s="77"/>
      <c r="AL2010" s="77"/>
      <c r="AM2010" s="77"/>
      <c r="AN2010" s="77"/>
      <c r="AO2010" s="77"/>
      <c r="AP2010" s="77"/>
      <c r="AQ2010" s="77"/>
      <c r="AR2010" s="77"/>
      <c r="AS2010" s="77"/>
      <c r="AT2010" s="77"/>
      <c r="AU2010" s="77"/>
      <c r="AV2010" s="80" t="str">
        <f>HYPERLINK("https://pbs.twimg.com/profile_images/1609841078785527808/VyY0Gh3N_normal.jpg")</f>
        <v>https://pbs.twimg.com/profile_images/1609841078785527808/VyY0Gh3N_normal.jpg</v>
      </c>
      <c r="AW2010" s="82" t="s">
        <v>13606</v>
      </c>
      <c r="AX2010" s="82" t="s">
        <v>13606</v>
      </c>
      <c r="AY2010" s="77"/>
      <c r="AZ2010" s="82" t="s">
        <v>15984</v>
      </c>
      <c r="BA2010" s="82" t="s">
        <v>15984</v>
      </c>
      <c r="BB2010" s="82" t="s">
        <v>15984</v>
      </c>
      <c r="BC2010" s="82" t="s">
        <v>13606</v>
      </c>
      <c r="BD2010" s="77">
        <v>183200672</v>
      </c>
      <c r="BE2010" s="77"/>
      <c r="BF2010" s="77"/>
      <c r="BG2010" s="77"/>
      <c r="BH2010" s="77"/>
      <c r="BI2010" s="77"/>
    </row>
    <row r="2011" spans="1:61" x14ac:dyDescent="0.25">
      <c r="A2011" s="62" t="s">
        <v>713</v>
      </c>
      <c r="B2011" s="62" t="s">
        <v>891</v>
      </c>
      <c r="C2011" s="63"/>
      <c r="D2011" s="64"/>
      <c r="E2011" s="65"/>
      <c r="F2011" s="66"/>
      <c r="G2011" s="63"/>
      <c r="H2011" s="67"/>
      <c r="I2011" s="68"/>
      <c r="J2011" s="68"/>
      <c r="K2011" s="32"/>
      <c r="L2011" s="75">
        <v>2011</v>
      </c>
      <c r="M2011" s="75"/>
      <c r="N2011" s="70"/>
      <c r="O2011" s="77" t="s">
        <v>895</v>
      </c>
      <c r="P2011" s="79">
        <v>45168.558738425927</v>
      </c>
      <c r="Q2011" s="77" t="s">
        <v>2690</v>
      </c>
      <c r="R2011" s="77">
        <v>0</v>
      </c>
      <c r="S2011" s="77">
        <v>1</v>
      </c>
      <c r="T2011" s="77">
        <v>0</v>
      </c>
      <c r="U2011" s="77">
        <v>0</v>
      </c>
      <c r="V2011" s="77">
        <v>123</v>
      </c>
      <c r="W2011" s="82" t="s">
        <v>4821</v>
      </c>
      <c r="X2011" s="80" t="str">
        <f>HYPERLINK("https://www.europapress.es/economia/macroeconomia-00338/noticia-ipc-sube-26-agosto-carburantes-inflacion-subyacente-modera-61-20230830090031.html")</f>
        <v>https://www.europapress.es/economia/macroeconomia-00338/noticia-ipc-sube-26-agosto-carburantes-inflacion-subyacente-modera-61-20230830090031.html</v>
      </c>
      <c r="Y2011" s="77" t="s">
        <v>6558</v>
      </c>
      <c r="Z2011" s="77" t="s">
        <v>891</v>
      </c>
      <c r="AA2011" s="77"/>
      <c r="AB2011" s="77"/>
      <c r="AC2011" s="82" t="s">
        <v>7750</v>
      </c>
      <c r="AD2011" s="77" t="s">
        <v>7790</v>
      </c>
      <c r="AE2011" s="80" t="str">
        <f>HYPERLINK("https://twitter.com/auditorinterno/status/1696876571523436687")</f>
        <v>https://twitter.com/auditorinterno/status/1696876571523436687</v>
      </c>
      <c r="AF2011" s="79">
        <v>45168.558738425927</v>
      </c>
      <c r="AG2011" s="85">
        <v>45168</v>
      </c>
      <c r="AH2011" s="82" t="s">
        <v>9501</v>
      </c>
      <c r="AI2011" s="77" t="b">
        <v>0</v>
      </c>
      <c r="AJ2011" s="77"/>
      <c r="AK2011" s="77"/>
      <c r="AL2011" s="77"/>
      <c r="AM2011" s="77"/>
      <c r="AN2011" s="77"/>
      <c r="AO2011" s="77"/>
      <c r="AP2011" s="77"/>
      <c r="AQ2011" s="77"/>
      <c r="AR2011" s="77"/>
      <c r="AS2011" s="77"/>
      <c r="AT2011" s="77"/>
      <c r="AU2011" s="77"/>
      <c r="AV2011" s="80" t="str">
        <f>HYPERLINK("https://pbs.twimg.com/profile_images/1609841078785527808/VyY0Gh3N_normal.jpg")</f>
        <v>https://pbs.twimg.com/profile_images/1609841078785527808/VyY0Gh3N_normal.jpg</v>
      </c>
      <c r="AW2011" s="82" t="s">
        <v>13607</v>
      </c>
      <c r="AX2011" s="82" t="s">
        <v>13607</v>
      </c>
      <c r="AY2011" s="77"/>
      <c r="AZ2011" s="82" t="s">
        <v>15984</v>
      </c>
      <c r="BA2011" s="82" t="s">
        <v>15984</v>
      </c>
      <c r="BB2011" s="82" t="s">
        <v>15984</v>
      </c>
      <c r="BC2011" s="82" t="s">
        <v>13607</v>
      </c>
      <c r="BD2011" s="77">
        <v>183200672</v>
      </c>
      <c r="BE2011" s="77"/>
      <c r="BF2011" s="77"/>
      <c r="BG2011" s="77"/>
      <c r="BH2011" s="77"/>
      <c r="BI2011" s="77"/>
    </row>
    <row r="2012" spans="1:61" x14ac:dyDescent="0.25">
      <c r="A2012" s="62" t="s">
        <v>713</v>
      </c>
      <c r="B2012" s="62" t="s">
        <v>891</v>
      </c>
      <c r="C2012" s="63"/>
      <c r="D2012" s="64"/>
      <c r="E2012" s="65"/>
      <c r="F2012" s="66"/>
      <c r="G2012" s="63"/>
      <c r="H2012" s="67"/>
      <c r="I2012" s="68"/>
      <c r="J2012" s="68"/>
      <c r="K2012" s="32"/>
      <c r="L2012" s="75">
        <v>2012</v>
      </c>
      <c r="M2012" s="75"/>
      <c r="N2012" s="70"/>
      <c r="O2012" s="77" t="s">
        <v>895</v>
      </c>
      <c r="P2012" s="79">
        <v>45156.455358796295</v>
      </c>
      <c r="Q2012" s="77" t="s">
        <v>2691</v>
      </c>
      <c r="R2012" s="77">
        <v>0</v>
      </c>
      <c r="S2012" s="77">
        <v>1</v>
      </c>
      <c r="T2012" s="77">
        <v>0</v>
      </c>
      <c r="U2012" s="77">
        <v>0</v>
      </c>
      <c r="V2012" s="77">
        <v>58</v>
      </c>
      <c r="W2012" s="82" t="s">
        <v>4821</v>
      </c>
      <c r="X2012" s="80" t="str">
        <f>HYPERLINK("https://www.europapress.es/economia/macroeconomia-00338/noticia-inflacion-eurozona-modero-53-julio-minimos-enero-2022-subyacente-no-cede-20230818110052.html")</f>
        <v>https://www.europapress.es/economia/macroeconomia-00338/noticia-inflacion-eurozona-modero-53-julio-minimos-enero-2022-subyacente-no-cede-20230818110052.html</v>
      </c>
      <c r="Y2012" s="77" t="s">
        <v>6558</v>
      </c>
      <c r="Z2012" s="77" t="s">
        <v>891</v>
      </c>
      <c r="AA2012" s="77"/>
      <c r="AB2012" s="77"/>
      <c r="AC2012" s="82" t="s">
        <v>7750</v>
      </c>
      <c r="AD2012" s="77" t="s">
        <v>7790</v>
      </c>
      <c r="AE2012" s="80" t="str">
        <f>HYPERLINK("https://twitter.com/auditorinterno/status/1692490452891582563")</f>
        <v>https://twitter.com/auditorinterno/status/1692490452891582563</v>
      </c>
      <c r="AF2012" s="79">
        <v>45156.455358796295</v>
      </c>
      <c r="AG2012" s="85">
        <v>45156</v>
      </c>
      <c r="AH2012" s="82" t="s">
        <v>9502</v>
      </c>
      <c r="AI2012" s="77" t="b">
        <v>0</v>
      </c>
      <c r="AJ2012" s="77"/>
      <c r="AK2012" s="77"/>
      <c r="AL2012" s="77"/>
      <c r="AM2012" s="77"/>
      <c r="AN2012" s="77"/>
      <c r="AO2012" s="77"/>
      <c r="AP2012" s="77"/>
      <c r="AQ2012" s="77"/>
      <c r="AR2012" s="77"/>
      <c r="AS2012" s="77"/>
      <c r="AT2012" s="77"/>
      <c r="AU2012" s="77"/>
      <c r="AV2012" s="80" t="str">
        <f>HYPERLINK("https://pbs.twimg.com/profile_images/1609841078785527808/VyY0Gh3N_normal.jpg")</f>
        <v>https://pbs.twimg.com/profile_images/1609841078785527808/VyY0Gh3N_normal.jpg</v>
      </c>
      <c r="AW2012" s="82" t="s">
        <v>13608</v>
      </c>
      <c r="AX2012" s="82" t="s">
        <v>13608</v>
      </c>
      <c r="AY2012" s="77"/>
      <c r="AZ2012" s="82" t="s">
        <v>15984</v>
      </c>
      <c r="BA2012" s="82" t="s">
        <v>15984</v>
      </c>
      <c r="BB2012" s="82" t="s">
        <v>15984</v>
      </c>
      <c r="BC2012" s="82" t="s">
        <v>13608</v>
      </c>
      <c r="BD2012" s="77">
        <v>183200672</v>
      </c>
      <c r="BE2012" s="77"/>
      <c r="BF2012" s="77"/>
      <c r="BG2012" s="77"/>
      <c r="BH2012" s="77"/>
      <c r="BI2012" s="77"/>
    </row>
    <row r="2013" spans="1:61" x14ac:dyDescent="0.25">
      <c r="A2013" s="62" t="s">
        <v>713</v>
      </c>
      <c r="B2013" s="62" t="s">
        <v>891</v>
      </c>
      <c r="C2013" s="63"/>
      <c r="D2013" s="64"/>
      <c r="E2013" s="65"/>
      <c r="F2013" s="66"/>
      <c r="G2013" s="63"/>
      <c r="H2013" s="67"/>
      <c r="I2013" s="68"/>
      <c r="J2013" s="68"/>
      <c r="K2013" s="32"/>
      <c r="L2013" s="75">
        <v>2013</v>
      </c>
      <c r="M2013" s="75"/>
      <c r="N2013" s="70"/>
      <c r="O2013" s="77" t="s">
        <v>895</v>
      </c>
      <c r="P2013" s="79">
        <v>45141.663402777776</v>
      </c>
      <c r="Q2013" s="77" t="s">
        <v>2692</v>
      </c>
      <c r="R2013" s="77">
        <v>0</v>
      </c>
      <c r="S2013" s="77">
        <v>1</v>
      </c>
      <c r="T2013" s="77">
        <v>0</v>
      </c>
      <c r="U2013" s="77">
        <v>0</v>
      </c>
      <c r="V2013" s="77">
        <v>78</v>
      </c>
      <c r="W2013" s="82" t="s">
        <v>4821</v>
      </c>
      <c r="X2013" s="80" t="str">
        <f>HYPERLINK("https://www.europapress.es/economia/macroeconomia-00338/noticia-tesoro-coloca-6258-millones-deuda-eleva-interes-ofrecido-obligaciones-10-anos-3613-20230803111324.html")</f>
        <v>https://www.europapress.es/economia/macroeconomia-00338/noticia-tesoro-coloca-6258-millones-deuda-eleva-interes-ofrecido-obligaciones-10-anos-3613-20230803111324.html</v>
      </c>
      <c r="Y2013" s="77" t="s">
        <v>6558</v>
      </c>
      <c r="Z2013" s="77" t="s">
        <v>891</v>
      </c>
      <c r="AA2013" s="77"/>
      <c r="AB2013" s="77"/>
      <c r="AC2013" s="82" t="s">
        <v>7750</v>
      </c>
      <c r="AD2013" s="77" t="s">
        <v>7790</v>
      </c>
      <c r="AE2013" s="80" t="str">
        <f>HYPERLINK("https://twitter.com/auditorinterno/status/1687130029220634624")</f>
        <v>https://twitter.com/auditorinterno/status/1687130029220634624</v>
      </c>
      <c r="AF2013" s="79">
        <v>45141.663402777776</v>
      </c>
      <c r="AG2013" s="85">
        <v>45141</v>
      </c>
      <c r="AH2013" s="82" t="s">
        <v>9503</v>
      </c>
      <c r="AI2013" s="77" t="b">
        <v>0</v>
      </c>
      <c r="AJ2013" s="77"/>
      <c r="AK2013" s="77"/>
      <c r="AL2013" s="77"/>
      <c r="AM2013" s="77"/>
      <c r="AN2013" s="77"/>
      <c r="AO2013" s="77"/>
      <c r="AP2013" s="77"/>
      <c r="AQ2013" s="77"/>
      <c r="AR2013" s="77"/>
      <c r="AS2013" s="77"/>
      <c r="AT2013" s="77"/>
      <c r="AU2013" s="77"/>
      <c r="AV2013" s="80" t="str">
        <f>HYPERLINK("https://pbs.twimg.com/profile_images/1609841078785527808/VyY0Gh3N_normal.jpg")</f>
        <v>https://pbs.twimg.com/profile_images/1609841078785527808/VyY0Gh3N_normal.jpg</v>
      </c>
      <c r="AW2013" s="82" t="s">
        <v>13609</v>
      </c>
      <c r="AX2013" s="82" t="s">
        <v>13609</v>
      </c>
      <c r="AY2013" s="77"/>
      <c r="AZ2013" s="82" t="s">
        <v>15984</v>
      </c>
      <c r="BA2013" s="82" t="s">
        <v>15984</v>
      </c>
      <c r="BB2013" s="82" t="s">
        <v>15984</v>
      </c>
      <c r="BC2013" s="82" t="s">
        <v>13609</v>
      </c>
      <c r="BD2013" s="77">
        <v>183200672</v>
      </c>
      <c r="BE2013" s="77"/>
      <c r="BF2013" s="77"/>
      <c r="BG2013" s="77"/>
      <c r="BH2013" s="77"/>
      <c r="BI2013" s="77"/>
    </row>
    <row r="2014" spans="1:61" x14ac:dyDescent="0.25">
      <c r="A2014" s="62" t="s">
        <v>713</v>
      </c>
      <c r="B2014" s="62" t="s">
        <v>891</v>
      </c>
      <c r="C2014" s="63"/>
      <c r="D2014" s="64"/>
      <c r="E2014" s="65"/>
      <c r="F2014" s="66"/>
      <c r="G2014" s="63"/>
      <c r="H2014" s="67"/>
      <c r="I2014" s="68"/>
      <c r="J2014" s="68"/>
      <c r="K2014" s="32"/>
      <c r="L2014" s="75">
        <v>2014</v>
      </c>
      <c r="M2014" s="75"/>
      <c r="N2014" s="70"/>
      <c r="O2014" s="77" t="s">
        <v>895</v>
      </c>
      <c r="P2014" s="79">
        <v>45174.627997685187</v>
      </c>
      <c r="Q2014" s="77" t="s">
        <v>2693</v>
      </c>
      <c r="R2014" s="77">
        <v>0</v>
      </c>
      <c r="S2014" s="77">
        <v>0</v>
      </c>
      <c r="T2014" s="77">
        <v>0</v>
      </c>
      <c r="U2014" s="77">
        <v>0</v>
      </c>
      <c r="V2014" s="77">
        <v>43</v>
      </c>
      <c r="W2014" s="82" t="s">
        <v>4821</v>
      </c>
      <c r="X2014" s="80" t="str">
        <f>HYPERLINK("https://www.europapress.es/economia/macroeconomia-00338/noticia-actividad-sector-servicios-espana-contrae-primera-vez-octubre-pmi-20230905101916.html")</f>
        <v>https://www.europapress.es/economia/macroeconomia-00338/noticia-actividad-sector-servicios-espana-contrae-primera-vez-octubre-pmi-20230905101916.html</v>
      </c>
      <c r="Y2014" s="77" t="s">
        <v>6558</v>
      </c>
      <c r="Z2014" s="77" t="s">
        <v>891</v>
      </c>
      <c r="AA2014" s="77"/>
      <c r="AB2014" s="77"/>
      <c r="AC2014" s="82" t="s">
        <v>7750</v>
      </c>
      <c r="AD2014" s="77" t="s">
        <v>7790</v>
      </c>
      <c r="AE2014" s="80" t="str">
        <f>HYPERLINK("https://twitter.com/auditorinterno/status/1699075995406618973")</f>
        <v>https://twitter.com/auditorinterno/status/1699075995406618973</v>
      </c>
      <c r="AF2014" s="79">
        <v>45174.627997685187</v>
      </c>
      <c r="AG2014" s="85">
        <v>45174</v>
      </c>
      <c r="AH2014" s="82" t="s">
        <v>9504</v>
      </c>
      <c r="AI2014" s="77" t="b">
        <v>0</v>
      </c>
      <c r="AJ2014" s="77"/>
      <c r="AK2014" s="77"/>
      <c r="AL2014" s="77"/>
      <c r="AM2014" s="77"/>
      <c r="AN2014" s="77"/>
      <c r="AO2014" s="77"/>
      <c r="AP2014" s="77"/>
      <c r="AQ2014" s="77"/>
      <c r="AR2014" s="77"/>
      <c r="AS2014" s="77"/>
      <c r="AT2014" s="77"/>
      <c r="AU2014" s="77"/>
      <c r="AV2014" s="80" t="str">
        <f>HYPERLINK("https://pbs.twimg.com/profile_images/1609841078785527808/VyY0Gh3N_normal.jpg")</f>
        <v>https://pbs.twimg.com/profile_images/1609841078785527808/VyY0Gh3N_normal.jpg</v>
      </c>
      <c r="AW2014" s="82" t="s">
        <v>13610</v>
      </c>
      <c r="AX2014" s="82" t="s">
        <v>13610</v>
      </c>
      <c r="AY2014" s="77"/>
      <c r="AZ2014" s="82" t="s">
        <v>15984</v>
      </c>
      <c r="BA2014" s="82" t="s">
        <v>15984</v>
      </c>
      <c r="BB2014" s="82" t="s">
        <v>15984</v>
      </c>
      <c r="BC2014" s="82" t="s">
        <v>13610</v>
      </c>
      <c r="BD2014" s="77">
        <v>183200672</v>
      </c>
      <c r="BE2014" s="77"/>
      <c r="BF2014" s="77"/>
      <c r="BG2014" s="77"/>
      <c r="BH2014" s="77"/>
      <c r="BI2014" s="77"/>
    </row>
    <row r="2015" spans="1:61" x14ac:dyDescent="0.25">
      <c r="A2015" s="62" t="s">
        <v>713</v>
      </c>
      <c r="B2015" s="62" t="s">
        <v>891</v>
      </c>
      <c r="C2015" s="63"/>
      <c r="D2015" s="64"/>
      <c r="E2015" s="65"/>
      <c r="F2015" s="66"/>
      <c r="G2015" s="63"/>
      <c r="H2015" s="67"/>
      <c r="I2015" s="68"/>
      <c r="J2015" s="68"/>
      <c r="K2015" s="32"/>
      <c r="L2015" s="75">
        <v>2015</v>
      </c>
      <c r="M2015" s="75"/>
      <c r="N2015" s="70"/>
      <c r="O2015" s="77" t="s">
        <v>895</v>
      </c>
      <c r="P2015" s="79">
        <v>45124.384039351855</v>
      </c>
      <c r="Q2015" s="77" t="s">
        <v>2694</v>
      </c>
      <c r="R2015" s="77">
        <v>0</v>
      </c>
      <c r="S2015" s="77">
        <v>0</v>
      </c>
      <c r="T2015" s="77">
        <v>0</v>
      </c>
      <c r="U2015" s="77">
        <v>0</v>
      </c>
      <c r="V2015" s="77">
        <v>42</v>
      </c>
      <c r="W2015" s="82" t="s">
        <v>4821</v>
      </c>
      <c r="X2015" s="80" t="str">
        <f>HYPERLINK("https://www.europapress.es/economia/macroeconomia-00338/noticia-crecimiento-pib-china-desacelero-08-segundo-trimestre-20230717085444.html")</f>
        <v>https://www.europapress.es/economia/macroeconomia-00338/noticia-crecimiento-pib-china-desacelero-08-segundo-trimestre-20230717085444.html</v>
      </c>
      <c r="Y2015" s="77" t="s">
        <v>6558</v>
      </c>
      <c r="Z2015" s="77" t="s">
        <v>891</v>
      </c>
      <c r="AA2015" s="77"/>
      <c r="AB2015" s="77"/>
      <c r="AC2015" s="82" t="s">
        <v>7750</v>
      </c>
      <c r="AD2015" s="77" t="s">
        <v>7790</v>
      </c>
      <c r="AE2015" s="80" t="str">
        <f>HYPERLINK("https://twitter.com/auditorinterno/status/1680868196826460160")</f>
        <v>https://twitter.com/auditorinterno/status/1680868196826460160</v>
      </c>
      <c r="AF2015" s="79">
        <v>45124.384039351855</v>
      </c>
      <c r="AG2015" s="85">
        <v>45124</v>
      </c>
      <c r="AH2015" s="82" t="s">
        <v>9505</v>
      </c>
      <c r="AI2015" s="77" t="b">
        <v>0</v>
      </c>
      <c r="AJ2015" s="77"/>
      <c r="AK2015" s="77"/>
      <c r="AL2015" s="77"/>
      <c r="AM2015" s="77"/>
      <c r="AN2015" s="77"/>
      <c r="AO2015" s="77"/>
      <c r="AP2015" s="77"/>
      <c r="AQ2015" s="77"/>
      <c r="AR2015" s="77"/>
      <c r="AS2015" s="77"/>
      <c r="AT2015" s="77"/>
      <c r="AU2015" s="77"/>
      <c r="AV2015" s="80" t="str">
        <f>HYPERLINK("https://pbs.twimg.com/profile_images/1609841078785527808/VyY0Gh3N_normal.jpg")</f>
        <v>https://pbs.twimg.com/profile_images/1609841078785527808/VyY0Gh3N_normal.jpg</v>
      </c>
      <c r="AW2015" s="82" t="s">
        <v>13611</v>
      </c>
      <c r="AX2015" s="82" t="s">
        <v>13611</v>
      </c>
      <c r="AY2015" s="77"/>
      <c r="AZ2015" s="82" t="s">
        <v>15984</v>
      </c>
      <c r="BA2015" s="82" t="s">
        <v>15984</v>
      </c>
      <c r="BB2015" s="82" t="s">
        <v>15984</v>
      </c>
      <c r="BC2015" s="82" t="s">
        <v>13611</v>
      </c>
      <c r="BD2015" s="77">
        <v>183200672</v>
      </c>
      <c r="BE2015" s="77"/>
      <c r="BF2015" s="77"/>
      <c r="BG2015" s="77"/>
      <c r="BH2015" s="77"/>
      <c r="BI2015" s="77"/>
    </row>
    <row r="2016" spans="1:61" x14ac:dyDescent="0.25">
      <c r="A2016" s="62" t="s">
        <v>713</v>
      </c>
      <c r="B2016" s="62" t="s">
        <v>891</v>
      </c>
      <c r="C2016" s="63"/>
      <c r="D2016" s="64"/>
      <c r="E2016" s="65"/>
      <c r="F2016" s="66"/>
      <c r="G2016" s="63"/>
      <c r="H2016" s="67"/>
      <c r="I2016" s="68"/>
      <c r="J2016" s="68"/>
      <c r="K2016" s="32"/>
      <c r="L2016" s="75">
        <v>2016</v>
      </c>
      <c r="M2016" s="75"/>
      <c r="N2016" s="70"/>
      <c r="O2016" s="77" t="s">
        <v>895</v>
      </c>
      <c r="P2016" s="79">
        <v>45176.670659722222</v>
      </c>
      <c r="Q2016" s="77" t="s">
        <v>2695</v>
      </c>
      <c r="R2016" s="77">
        <v>0</v>
      </c>
      <c r="S2016" s="77">
        <v>1</v>
      </c>
      <c r="T2016" s="77">
        <v>0</v>
      </c>
      <c r="U2016" s="77">
        <v>0</v>
      </c>
      <c r="V2016" s="77">
        <v>46</v>
      </c>
      <c r="W2016" s="82" t="s">
        <v>5877</v>
      </c>
      <c r="X2016" s="80" t="str">
        <f>HYPERLINK("https://www.europapress.es/economia/macroeconomia-00338/noticia-tesoro-coloca-6927-millones-deuda-medio-largo-plazo-interes-ofrecido-30-anos-supera-20230907112108.html")</f>
        <v>https://www.europapress.es/economia/macroeconomia-00338/noticia-tesoro-coloca-6927-millones-deuda-medio-largo-plazo-interes-ofrecido-30-anos-supera-20230907112108.html</v>
      </c>
      <c r="Y2016" s="77" t="s">
        <v>6558</v>
      </c>
      <c r="Z2016" s="77" t="s">
        <v>891</v>
      </c>
      <c r="AA2016" s="77"/>
      <c r="AB2016" s="77"/>
      <c r="AC2016" s="82" t="s">
        <v>7750</v>
      </c>
      <c r="AD2016" s="77" t="s">
        <v>7790</v>
      </c>
      <c r="AE2016" s="80" t="str">
        <f>HYPERLINK("https://twitter.com/auditorinterno/status/1699816232663302256")</f>
        <v>https://twitter.com/auditorinterno/status/1699816232663302256</v>
      </c>
      <c r="AF2016" s="79">
        <v>45176.670659722222</v>
      </c>
      <c r="AG2016" s="85">
        <v>45176</v>
      </c>
      <c r="AH2016" s="82" t="s">
        <v>9506</v>
      </c>
      <c r="AI2016" s="77" t="b">
        <v>0</v>
      </c>
      <c r="AJ2016" s="77"/>
      <c r="AK2016" s="77"/>
      <c r="AL2016" s="77"/>
      <c r="AM2016" s="77"/>
      <c r="AN2016" s="77"/>
      <c r="AO2016" s="77"/>
      <c r="AP2016" s="77"/>
      <c r="AQ2016" s="77"/>
      <c r="AR2016" s="77"/>
      <c r="AS2016" s="77"/>
      <c r="AT2016" s="77"/>
      <c r="AU2016" s="77"/>
      <c r="AV2016" s="80" t="str">
        <f>HYPERLINK("https://pbs.twimg.com/profile_images/1609841078785527808/VyY0Gh3N_normal.jpg")</f>
        <v>https://pbs.twimg.com/profile_images/1609841078785527808/VyY0Gh3N_normal.jpg</v>
      </c>
      <c r="AW2016" s="82" t="s">
        <v>13612</v>
      </c>
      <c r="AX2016" s="82" t="s">
        <v>13612</v>
      </c>
      <c r="AY2016" s="77"/>
      <c r="AZ2016" s="82" t="s">
        <v>15984</v>
      </c>
      <c r="BA2016" s="82" t="s">
        <v>15984</v>
      </c>
      <c r="BB2016" s="82" t="s">
        <v>15984</v>
      </c>
      <c r="BC2016" s="82" t="s">
        <v>13612</v>
      </c>
      <c r="BD2016" s="77">
        <v>183200672</v>
      </c>
      <c r="BE2016" s="77"/>
      <c r="BF2016" s="77"/>
      <c r="BG2016" s="77"/>
      <c r="BH2016" s="77"/>
      <c r="BI2016" s="77"/>
    </row>
    <row r="2017" spans="1:61" x14ac:dyDescent="0.25">
      <c r="A2017" s="62" t="s">
        <v>713</v>
      </c>
      <c r="B2017" s="62" t="s">
        <v>891</v>
      </c>
      <c r="C2017" s="63"/>
      <c r="D2017" s="64"/>
      <c r="E2017" s="65"/>
      <c r="F2017" s="66"/>
      <c r="G2017" s="63"/>
      <c r="H2017" s="67"/>
      <c r="I2017" s="68"/>
      <c r="J2017" s="68"/>
      <c r="K2017" s="32"/>
      <c r="L2017" s="75">
        <v>2017</v>
      </c>
      <c r="M2017" s="75"/>
      <c r="N2017" s="70"/>
      <c r="O2017" s="77" t="s">
        <v>895</v>
      </c>
      <c r="P2017" s="79">
        <v>45177.504780092589</v>
      </c>
      <c r="Q2017" s="77" t="s">
        <v>2696</v>
      </c>
      <c r="R2017" s="77">
        <v>0</v>
      </c>
      <c r="S2017" s="77">
        <v>0</v>
      </c>
      <c r="T2017" s="77">
        <v>0</v>
      </c>
      <c r="U2017" s="77">
        <v>0</v>
      </c>
      <c r="V2017" s="77">
        <v>41</v>
      </c>
      <c r="W2017" s="82" t="s">
        <v>4821</v>
      </c>
      <c r="X2017" s="80" t="str">
        <f>HYPERLINK("https://www.europapress.es/economia/macroeconomia-00338/noticia-alemania-confirma-inflacion-modero-61-agosto-avisa-alto-precio-alimentos-20230908083909.html")</f>
        <v>https://www.europapress.es/economia/macroeconomia-00338/noticia-alemania-confirma-inflacion-modero-61-agosto-avisa-alto-precio-alimentos-20230908083909.html</v>
      </c>
      <c r="Y2017" s="77" t="s">
        <v>6558</v>
      </c>
      <c r="Z2017" s="77" t="s">
        <v>891</v>
      </c>
      <c r="AA2017" s="77"/>
      <c r="AB2017" s="77"/>
      <c r="AC2017" s="82" t="s">
        <v>7750</v>
      </c>
      <c r="AD2017" s="77" t="s">
        <v>7790</v>
      </c>
      <c r="AE2017" s="80" t="str">
        <f>HYPERLINK("https://twitter.com/auditorinterno/status/1700118505696170359")</f>
        <v>https://twitter.com/auditorinterno/status/1700118505696170359</v>
      </c>
      <c r="AF2017" s="79">
        <v>45177.504780092589</v>
      </c>
      <c r="AG2017" s="85">
        <v>45177</v>
      </c>
      <c r="AH2017" s="82" t="s">
        <v>9507</v>
      </c>
      <c r="AI2017" s="77" t="b">
        <v>0</v>
      </c>
      <c r="AJ2017" s="77"/>
      <c r="AK2017" s="77"/>
      <c r="AL2017" s="77"/>
      <c r="AM2017" s="77"/>
      <c r="AN2017" s="77"/>
      <c r="AO2017" s="77"/>
      <c r="AP2017" s="77"/>
      <c r="AQ2017" s="77"/>
      <c r="AR2017" s="77"/>
      <c r="AS2017" s="77"/>
      <c r="AT2017" s="77"/>
      <c r="AU2017" s="77"/>
      <c r="AV2017" s="80" t="str">
        <f>HYPERLINK("https://pbs.twimg.com/profile_images/1609841078785527808/VyY0Gh3N_normal.jpg")</f>
        <v>https://pbs.twimg.com/profile_images/1609841078785527808/VyY0Gh3N_normal.jpg</v>
      </c>
      <c r="AW2017" s="82" t="s">
        <v>13613</v>
      </c>
      <c r="AX2017" s="82" t="s">
        <v>13613</v>
      </c>
      <c r="AY2017" s="77"/>
      <c r="AZ2017" s="82" t="s">
        <v>15984</v>
      </c>
      <c r="BA2017" s="82" t="s">
        <v>15984</v>
      </c>
      <c r="BB2017" s="82" t="s">
        <v>15984</v>
      </c>
      <c r="BC2017" s="82" t="s">
        <v>13613</v>
      </c>
      <c r="BD2017" s="77">
        <v>183200672</v>
      </c>
      <c r="BE2017" s="77"/>
      <c r="BF2017" s="77"/>
      <c r="BG2017" s="77"/>
      <c r="BH2017" s="77"/>
      <c r="BI2017" s="77"/>
    </row>
    <row r="2018" spans="1:61" x14ac:dyDescent="0.25">
      <c r="A2018" s="62" t="s">
        <v>713</v>
      </c>
      <c r="B2018" s="62" t="s">
        <v>891</v>
      </c>
      <c r="C2018" s="63"/>
      <c r="D2018" s="64"/>
      <c r="E2018" s="65"/>
      <c r="F2018" s="66"/>
      <c r="G2018" s="63"/>
      <c r="H2018" s="67"/>
      <c r="I2018" s="68"/>
      <c r="J2018" s="68"/>
      <c r="K2018" s="32"/>
      <c r="L2018" s="75">
        <v>2018</v>
      </c>
      <c r="M2018" s="75"/>
      <c r="N2018" s="70"/>
      <c r="O2018" s="77" t="s">
        <v>895</v>
      </c>
      <c r="P2018" s="79">
        <v>45188.388090277775</v>
      </c>
      <c r="Q2018" s="77" t="s">
        <v>2697</v>
      </c>
      <c r="R2018" s="77">
        <v>0</v>
      </c>
      <c r="S2018" s="77">
        <v>0</v>
      </c>
      <c r="T2018" s="77">
        <v>0</v>
      </c>
      <c r="U2018" s="77">
        <v>0</v>
      </c>
      <c r="V2018" s="77">
        <v>32</v>
      </c>
      <c r="W2018" s="82" t="s">
        <v>4821</v>
      </c>
      <c r="X2018" s="80" t="str">
        <f>HYPERLINK("https://www.europapress.es/economia/macroeconomia-00338/noticia-deuda-publica-aleja-maximos-junio-cae-julio-07-1558-billones-20230919102840.html")</f>
        <v>https://www.europapress.es/economia/macroeconomia-00338/noticia-deuda-publica-aleja-maximos-junio-cae-julio-07-1558-billones-20230919102840.html</v>
      </c>
      <c r="Y2018" s="77" t="s">
        <v>6558</v>
      </c>
      <c r="Z2018" s="77" t="s">
        <v>891</v>
      </c>
      <c r="AA2018" s="77"/>
      <c r="AB2018" s="77"/>
      <c r="AC2018" s="82" t="s">
        <v>7750</v>
      </c>
      <c r="AD2018" s="77" t="s">
        <v>7790</v>
      </c>
      <c r="AE2018" s="80" t="str">
        <f>HYPERLINK("https://twitter.com/auditorinterno/status/1704062486394085722")</f>
        <v>https://twitter.com/auditorinterno/status/1704062486394085722</v>
      </c>
      <c r="AF2018" s="79">
        <v>45188.388090277775</v>
      </c>
      <c r="AG2018" s="85">
        <v>45188</v>
      </c>
      <c r="AH2018" s="82" t="s">
        <v>9508</v>
      </c>
      <c r="AI2018" s="77" t="b">
        <v>0</v>
      </c>
      <c r="AJ2018" s="77"/>
      <c r="AK2018" s="77"/>
      <c r="AL2018" s="77"/>
      <c r="AM2018" s="77"/>
      <c r="AN2018" s="77"/>
      <c r="AO2018" s="77"/>
      <c r="AP2018" s="77"/>
      <c r="AQ2018" s="77"/>
      <c r="AR2018" s="77"/>
      <c r="AS2018" s="77"/>
      <c r="AT2018" s="77"/>
      <c r="AU2018" s="77"/>
      <c r="AV2018" s="80" t="str">
        <f>HYPERLINK("https://pbs.twimg.com/profile_images/1609841078785527808/VyY0Gh3N_normal.jpg")</f>
        <v>https://pbs.twimg.com/profile_images/1609841078785527808/VyY0Gh3N_normal.jpg</v>
      </c>
      <c r="AW2018" s="82" t="s">
        <v>13614</v>
      </c>
      <c r="AX2018" s="82" t="s">
        <v>13614</v>
      </c>
      <c r="AY2018" s="77"/>
      <c r="AZ2018" s="82" t="s">
        <v>15984</v>
      </c>
      <c r="BA2018" s="82" t="s">
        <v>15984</v>
      </c>
      <c r="BB2018" s="82" t="s">
        <v>15984</v>
      </c>
      <c r="BC2018" s="82" t="s">
        <v>13614</v>
      </c>
      <c r="BD2018" s="77">
        <v>183200672</v>
      </c>
      <c r="BE2018" s="77"/>
      <c r="BF2018" s="77"/>
      <c r="BG2018" s="77"/>
      <c r="BH2018" s="77"/>
      <c r="BI2018" s="77"/>
    </row>
    <row r="2019" spans="1:61" x14ac:dyDescent="0.25">
      <c r="A2019" s="62" t="s">
        <v>713</v>
      </c>
      <c r="B2019" s="62" t="s">
        <v>891</v>
      </c>
      <c r="C2019" s="63"/>
      <c r="D2019" s="64"/>
      <c r="E2019" s="65"/>
      <c r="F2019" s="66"/>
      <c r="G2019" s="63"/>
      <c r="H2019" s="67"/>
      <c r="I2019" s="68"/>
      <c r="J2019" s="68"/>
      <c r="K2019" s="32"/>
      <c r="L2019" s="75">
        <v>2019</v>
      </c>
      <c r="M2019" s="75"/>
      <c r="N2019" s="70"/>
      <c r="O2019" s="77" t="s">
        <v>895</v>
      </c>
      <c r="P2019" s="79">
        <v>45127.565752314818</v>
      </c>
      <c r="Q2019" s="77" t="s">
        <v>2698</v>
      </c>
      <c r="R2019" s="77">
        <v>0</v>
      </c>
      <c r="S2019" s="77">
        <v>1</v>
      </c>
      <c r="T2019" s="77">
        <v>0</v>
      </c>
      <c r="U2019" s="77">
        <v>0</v>
      </c>
      <c r="V2019" s="77">
        <v>35</v>
      </c>
      <c r="W2019" s="82" t="s">
        <v>4821</v>
      </c>
      <c r="X2019" s="80" t="str">
        <f>HYPERLINK("https://www.europapress.es/economia/noticia-ventas-empresas-caen-25-mayo-suman-dos-meses-descensos-20230720091558.html")</f>
        <v>https://www.europapress.es/economia/noticia-ventas-empresas-caen-25-mayo-suman-dos-meses-descensos-20230720091558.html</v>
      </c>
      <c r="Y2019" s="77" t="s">
        <v>6558</v>
      </c>
      <c r="Z2019" s="77" t="s">
        <v>891</v>
      </c>
      <c r="AA2019" s="77"/>
      <c r="AB2019" s="77"/>
      <c r="AC2019" s="82" t="s">
        <v>7750</v>
      </c>
      <c r="AD2019" s="77" t="s">
        <v>7790</v>
      </c>
      <c r="AE2019" s="80" t="str">
        <f>HYPERLINK("https://twitter.com/auditorinterno/status/1682021207812747266")</f>
        <v>https://twitter.com/auditorinterno/status/1682021207812747266</v>
      </c>
      <c r="AF2019" s="79">
        <v>45127.565752314818</v>
      </c>
      <c r="AG2019" s="85">
        <v>45127</v>
      </c>
      <c r="AH2019" s="82" t="s">
        <v>9509</v>
      </c>
      <c r="AI2019" s="77" t="b">
        <v>0</v>
      </c>
      <c r="AJ2019" s="77"/>
      <c r="AK2019" s="77"/>
      <c r="AL2019" s="77"/>
      <c r="AM2019" s="77"/>
      <c r="AN2019" s="77"/>
      <c r="AO2019" s="77"/>
      <c r="AP2019" s="77"/>
      <c r="AQ2019" s="77"/>
      <c r="AR2019" s="77"/>
      <c r="AS2019" s="77"/>
      <c r="AT2019" s="77"/>
      <c r="AU2019" s="77"/>
      <c r="AV2019" s="80" t="str">
        <f>HYPERLINK("https://pbs.twimg.com/profile_images/1609841078785527808/VyY0Gh3N_normal.jpg")</f>
        <v>https://pbs.twimg.com/profile_images/1609841078785527808/VyY0Gh3N_normal.jpg</v>
      </c>
      <c r="AW2019" s="82" t="s">
        <v>13615</v>
      </c>
      <c r="AX2019" s="82" t="s">
        <v>13615</v>
      </c>
      <c r="AY2019" s="77"/>
      <c r="AZ2019" s="82" t="s">
        <v>15984</v>
      </c>
      <c r="BA2019" s="82" t="s">
        <v>15984</v>
      </c>
      <c r="BB2019" s="82" t="s">
        <v>15984</v>
      </c>
      <c r="BC2019" s="82" t="s">
        <v>13615</v>
      </c>
      <c r="BD2019" s="77">
        <v>183200672</v>
      </c>
      <c r="BE2019" s="77"/>
      <c r="BF2019" s="77"/>
      <c r="BG2019" s="77"/>
      <c r="BH2019" s="77"/>
      <c r="BI2019" s="77"/>
    </row>
    <row r="2020" spans="1:61" x14ac:dyDescent="0.25">
      <c r="A2020" s="62" t="s">
        <v>713</v>
      </c>
      <c r="B2020" s="62" t="s">
        <v>891</v>
      </c>
      <c r="C2020" s="63"/>
      <c r="D2020" s="64"/>
      <c r="E2020" s="65"/>
      <c r="F2020" s="66"/>
      <c r="G2020" s="63"/>
      <c r="H2020" s="67"/>
      <c r="I2020" s="68"/>
      <c r="J2020" s="68"/>
      <c r="K2020" s="32"/>
      <c r="L2020" s="75">
        <v>2020</v>
      </c>
      <c r="M2020" s="75"/>
      <c r="N2020" s="70"/>
      <c r="O2020" s="77" t="s">
        <v>895</v>
      </c>
      <c r="P2020" s="79">
        <v>45191.548935185187</v>
      </c>
      <c r="Q2020" s="77" t="s">
        <v>2699</v>
      </c>
      <c r="R2020" s="77">
        <v>0</v>
      </c>
      <c r="S2020" s="77">
        <v>1</v>
      </c>
      <c r="T2020" s="77">
        <v>0</v>
      </c>
      <c r="U2020" s="77">
        <v>0</v>
      </c>
      <c r="V2020" s="77">
        <v>36</v>
      </c>
      <c r="W2020" s="82" t="s">
        <v>4821</v>
      </c>
      <c r="X2020" s="80" t="str">
        <f>HYPERLINK("https://www.europapress.es/economia/macroeconomia-00338/noticia-pib-crecio-05-segundo-trimestre-decima-mas-esperado-impulsado-consumo-20230922090103.html")</f>
        <v>https://www.europapress.es/economia/macroeconomia-00338/noticia-pib-crecio-05-segundo-trimestre-decima-mas-esperado-impulsado-consumo-20230922090103.html</v>
      </c>
      <c r="Y2020" s="77" t="s">
        <v>6558</v>
      </c>
      <c r="Z2020" s="77" t="s">
        <v>891</v>
      </c>
      <c r="AA2020" s="77"/>
      <c r="AB2020" s="77"/>
      <c r="AC2020" s="82" t="s">
        <v>7750</v>
      </c>
      <c r="AD2020" s="77" t="s">
        <v>7790</v>
      </c>
      <c r="AE2020" s="80" t="str">
        <f>HYPERLINK("https://twitter.com/auditorinterno/status/1705207940813049887")</f>
        <v>https://twitter.com/auditorinterno/status/1705207940813049887</v>
      </c>
      <c r="AF2020" s="79">
        <v>45191.548935185187</v>
      </c>
      <c r="AG2020" s="85">
        <v>45191</v>
      </c>
      <c r="AH2020" s="82" t="s">
        <v>9510</v>
      </c>
      <c r="AI2020" s="77" t="b">
        <v>0</v>
      </c>
      <c r="AJ2020" s="77"/>
      <c r="AK2020" s="77"/>
      <c r="AL2020" s="77"/>
      <c r="AM2020" s="77"/>
      <c r="AN2020" s="77"/>
      <c r="AO2020" s="77"/>
      <c r="AP2020" s="77"/>
      <c r="AQ2020" s="77"/>
      <c r="AR2020" s="77"/>
      <c r="AS2020" s="77"/>
      <c r="AT2020" s="77"/>
      <c r="AU2020" s="77"/>
      <c r="AV2020" s="80" t="str">
        <f>HYPERLINK("https://pbs.twimg.com/profile_images/1609841078785527808/VyY0Gh3N_normal.jpg")</f>
        <v>https://pbs.twimg.com/profile_images/1609841078785527808/VyY0Gh3N_normal.jpg</v>
      </c>
      <c r="AW2020" s="82" t="s">
        <v>13616</v>
      </c>
      <c r="AX2020" s="82" t="s">
        <v>13616</v>
      </c>
      <c r="AY2020" s="77"/>
      <c r="AZ2020" s="82" t="s">
        <v>15984</v>
      </c>
      <c r="BA2020" s="82" t="s">
        <v>15984</v>
      </c>
      <c r="BB2020" s="82" t="s">
        <v>15984</v>
      </c>
      <c r="BC2020" s="82" t="s">
        <v>13616</v>
      </c>
      <c r="BD2020" s="77">
        <v>183200672</v>
      </c>
      <c r="BE2020" s="77"/>
      <c r="BF2020" s="77"/>
      <c r="BG2020" s="77"/>
      <c r="BH2020" s="77"/>
      <c r="BI2020" s="77"/>
    </row>
    <row r="2021" spans="1:61" x14ac:dyDescent="0.25">
      <c r="A2021" s="62" t="s">
        <v>713</v>
      </c>
      <c r="B2021" s="62" t="s">
        <v>891</v>
      </c>
      <c r="C2021" s="63"/>
      <c r="D2021" s="64"/>
      <c r="E2021" s="65"/>
      <c r="F2021" s="66"/>
      <c r="G2021" s="63"/>
      <c r="H2021" s="67"/>
      <c r="I2021" s="68"/>
      <c r="J2021" s="68"/>
      <c r="K2021" s="32"/>
      <c r="L2021" s="75">
        <v>2021</v>
      </c>
      <c r="M2021" s="75"/>
      <c r="N2021" s="70"/>
      <c r="O2021" s="77" t="s">
        <v>895</v>
      </c>
      <c r="P2021" s="79">
        <v>45194.388958333337</v>
      </c>
      <c r="Q2021" s="77" t="s">
        <v>2700</v>
      </c>
      <c r="R2021" s="77">
        <v>0</v>
      </c>
      <c r="S2021" s="77">
        <v>1</v>
      </c>
      <c r="T2021" s="77">
        <v>0</v>
      </c>
      <c r="U2021" s="77">
        <v>0</v>
      </c>
      <c r="V2021" s="77">
        <v>49</v>
      </c>
      <c r="W2021" s="82" t="s">
        <v>4821</v>
      </c>
      <c r="X2021" s="80" t="str">
        <f>HYPERLINK("https://www.europapress.es/economia/noticia-ventas-empresas-moderan-caida-julio-38-suman-cuatro-meses-descensos-20230925092729.html")</f>
        <v>https://www.europapress.es/economia/noticia-ventas-empresas-moderan-caida-julio-38-suman-cuatro-meses-descensos-20230925092729.html</v>
      </c>
      <c r="Y2021" s="77" t="s">
        <v>6558</v>
      </c>
      <c r="Z2021" s="77" t="s">
        <v>891</v>
      </c>
      <c r="AA2021" s="77"/>
      <c r="AB2021" s="77"/>
      <c r="AC2021" s="82" t="s">
        <v>7750</v>
      </c>
      <c r="AD2021" s="77" t="s">
        <v>7790</v>
      </c>
      <c r="AE2021" s="80" t="str">
        <f>HYPERLINK("https://twitter.com/auditorinterno/status/1706237130131853607")</f>
        <v>https://twitter.com/auditorinterno/status/1706237130131853607</v>
      </c>
      <c r="AF2021" s="79">
        <v>45194.388958333337</v>
      </c>
      <c r="AG2021" s="85">
        <v>45194</v>
      </c>
      <c r="AH2021" s="82" t="s">
        <v>9511</v>
      </c>
      <c r="AI2021" s="77" t="b">
        <v>0</v>
      </c>
      <c r="AJ2021" s="77"/>
      <c r="AK2021" s="77"/>
      <c r="AL2021" s="77"/>
      <c r="AM2021" s="77"/>
      <c r="AN2021" s="77"/>
      <c r="AO2021" s="77"/>
      <c r="AP2021" s="77"/>
      <c r="AQ2021" s="77"/>
      <c r="AR2021" s="77"/>
      <c r="AS2021" s="77"/>
      <c r="AT2021" s="77"/>
      <c r="AU2021" s="77"/>
      <c r="AV2021" s="80" t="str">
        <f>HYPERLINK("https://pbs.twimg.com/profile_images/1609841078785527808/VyY0Gh3N_normal.jpg")</f>
        <v>https://pbs.twimg.com/profile_images/1609841078785527808/VyY0Gh3N_normal.jpg</v>
      </c>
      <c r="AW2021" s="82" t="s">
        <v>13617</v>
      </c>
      <c r="AX2021" s="82" t="s">
        <v>13617</v>
      </c>
      <c r="AY2021" s="77"/>
      <c r="AZ2021" s="82" t="s">
        <v>15984</v>
      </c>
      <c r="BA2021" s="82" t="s">
        <v>15984</v>
      </c>
      <c r="BB2021" s="82" t="s">
        <v>15984</v>
      </c>
      <c r="BC2021" s="82" t="s">
        <v>13617</v>
      </c>
      <c r="BD2021" s="77">
        <v>183200672</v>
      </c>
      <c r="BE2021" s="77"/>
      <c r="BF2021" s="77"/>
      <c r="BG2021" s="77"/>
      <c r="BH2021" s="77"/>
      <c r="BI2021" s="77"/>
    </row>
    <row r="2022" spans="1:61" x14ac:dyDescent="0.25">
      <c r="A2022" s="62" t="s">
        <v>713</v>
      </c>
      <c r="B2022" s="62" t="s">
        <v>891</v>
      </c>
      <c r="C2022" s="63"/>
      <c r="D2022" s="64"/>
      <c r="E2022" s="65"/>
      <c r="F2022" s="66"/>
      <c r="G2022" s="63"/>
      <c r="H2022" s="67"/>
      <c r="I2022" s="68"/>
      <c r="J2022" s="68"/>
      <c r="K2022" s="32"/>
      <c r="L2022" s="75">
        <v>2022</v>
      </c>
      <c r="M2022" s="75"/>
      <c r="N2022" s="70"/>
      <c r="O2022" s="77" t="s">
        <v>895</v>
      </c>
      <c r="P2022" s="79">
        <v>45189.600532407407</v>
      </c>
      <c r="Q2022" s="77" t="s">
        <v>2701</v>
      </c>
      <c r="R2022" s="77">
        <v>0</v>
      </c>
      <c r="S2022" s="77">
        <v>1</v>
      </c>
      <c r="T2022" s="77">
        <v>0</v>
      </c>
      <c r="U2022" s="77">
        <v>0</v>
      </c>
      <c r="V2022" s="77">
        <v>39</v>
      </c>
      <c r="W2022" s="82" t="s">
        <v>5880</v>
      </c>
      <c r="X2022" s="80" t="str">
        <f>HYPERLINK("https://www.europapress.es/economia/construccion-y-vivienda-00342/noticia-compraventa-viviendas-acelera-caida-julio-105-marca-menor-cifra-mes-2020-20230920090035.html")</f>
        <v>https://www.europapress.es/economia/construccion-y-vivienda-00342/noticia-compraventa-viviendas-acelera-caida-julio-105-marca-menor-cifra-mes-2020-20230920090035.html</v>
      </c>
      <c r="Y2022" s="77" t="s">
        <v>6558</v>
      </c>
      <c r="Z2022" s="77" t="s">
        <v>891</v>
      </c>
      <c r="AA2022" s="77"/>
      <c r="AB2022" s="77"/>
      <c r="AC2022" s="82" t="s">
        <v>7750</v>
      </c>
      <c r="AD2022" s="77" t="s">
        <v>7790</v>
      </c>
      <c r="AE2022" s="80" t="str">
        <f>HYPERLINK("https://twitter.com/auditorinterno/status/1704501861233946653")</f>
        <v>https://twitter.com/auditorinterno/status/1704501861233946653</v>
      </c>
      <c r="AF2022" s="79">
        <v>45189.600532407407</v>
      </c>
      <c r="AG2022" s="85">
        <v>45189</v>
      </c>
      <c r="AH2022" s="82" t="s">
        <v>9512</v>
      </c>
      <c r="AI2022" s="77" t="b">
        <v>0</v>
      </c>
      <c r="AJ2022" s="77"/>
      <c r="AK2022" s="77"/>
      <c r="AL2022" s="77"/>
      <c r="AM2022" s="77"/>
      <c r="AN2022" s="77"/>
      <c r="AO2022" s="77"/>
      <c r="AP2022" s="77"/>
      <c r="AQ2022" s="77"/>
      <c r="AR2022" s="77"/>
      <c r="AS2022" s="77"/>
      <c r="AT2022" s="77"/>
      <c r="AU2022" s="77"/>
      <c r="AV2022" s="80" t="str">
        <f>HYPERLINK("https://pbs.twimg.com/profile_images/1609841078785527808/VyY0Gh3N_normal.jpg")</f>
        <v>https://pbs.twimg.com/profile_images/1609841078785527808/VyY0Gh3N_normal.jpg</v>
      </c>
      <c r="AW2022" s="82" t="s">
        <v>13618</v>
      </c>
      <c r="AX2022" s="82" t="s">
        <v>13618</v>
      </c>
      <c r="AY2022" s="77"/>
      <c r="AZ2022" s="82" t="s">
        <v>15984</v>
      </c>
      <c r="BA2022" s="82" t="s">
        <v>15984</v>
      </c>
      <c r="BB2022" s="82" t="s">
        <v>15984</v>
      </c>
      <c r="BC2022" s="82" t="s">
        <v>13618</v>
      </c>
      <c r="BD2022" s="77">
        <v>183200672</v>
      </c>
      <c r="BE2022" s="77"/>
      <c r="BF2022" s="77"/>
      <c r="BG2022" s="77"/>
      <c r="BH2022" s="77"/>
      <c r="BI2022" s="77"/>
    </row>
    <row r="2023" spans="1:61" x14ac:dyDescent="0.25">
      <c r="A2023" s="62" t="s">
        <v>713</v>
      </c>
      <c r="B2023" s="62" t="s">
        <v>891</v>
      </c>
      <c r="C2023" s="63"/>
      <c r="D2023" s="64"/>
      <c r="E2023" s="65"/>
      <c r="F2023" s="66"/>
      <c r="G2023" s="63"/>
      <c r="H2023" s="67"/>
      <c r="I2023" s="68"/>
      <c r="J2023" s="68"/>
      <c r="K2023" s="32"/>
      <c r="L2023" s="75">
        <v>2023</v>
      </c>
      <c r="M2023" s="75"/>
      <c r="N2023" s="70"/>
      <c r="O2023" s="77" t="s">
        <v>895</v>
      </c>
      <c r="P2023" s="79">
        <v>45163.473587962966</v>
      </c>
      <c r="Q2023" s="77" t="s">
        <v>2702</v>
      </c>
      <c r="R2023" s="77">
        <v>0</v>
      </c>
      <c r="S2023" s="77">
        <v>1</v>
      </c>
      <c r="T2023" s="77">
        <v>0</v>
      </c>
      <c r="U2023" s="77">
        <v>0</v>
      </c>
      <c r="V2023" s="77">
        <v>84</v>
      </c>
      <c r="W2023" s="82" t="s">
        <v>4821</v>
      </c>
      <c r="X2023" s="80" t="str">
        <f>HYPERLINK("https://www.europapress.es/economia/macroeconomia-00338/noticia-inflacion-industrial-ahonda-caida-julio-84-menor-coste-electricidad-20230825090034.html")</f>
        <v>https://www.europapress.es/economia/macroeconomia-00338/noticia-inflacion-industrial-ahonda-caida-julio-84-menor-coste-electricidad-20230825090034.html</v>
      </c>
      <c r="Y2023" s="77" t="s">
        <v>6558</v>
      </c>
      <c r="Z2023" s="77" t="s">
        <v>891</v>
      </c>
      <c r="AA2023" s="77"/>
      <c r="AB2023" s="77"/>
      <c r="AC2023" s="82" t="s">
        <v>7750</v>
      </c>
      <c r="AD2023" s="77" t="s">
        <v>7790</v>
      </c>
      <c r="AE2023" s="80" t="str">
        <f>HYPERLINK("https://twitter.com/auditorinterno/status/1695033774159917218")</f>
        <v>https://twitter.com/auditorinterno/status/1695033774159917218</v>
      </c>
      <c r="AF2023" s="79">
        <v>45163.473587962966</v>
      </c>
      <c r="AG2023" s="85">
        <v>45163</v>
      </c>
      <c r="AH2023" s="82" t="s">
        <v>9513</v>
      </c>
      <c r="AI2023" s="77" t="b">
        <v>0</v>
      </c>
      <c r="AJ2023" s="77"/>
      <c r="AK2023" s="77"/>
      <c r="AL2023" s="77"/>
      <c r="AM2023" s="77"/>
      <c r="AN2023" s="77"/>
      <c r="AO2023" s="77"/>
      <c r="AP2023" s="77"/>
      <c r="AQ2023" s="77"/>
      <c r="AR2023" s="77"/>
      <c r="AS2023" s="77"/>
      <c r="AT2023" s="77"/>
      <c r="AU2023" s="77"/>
      <c r="AV2023" s="80" t="str">
        <f>HYPERLINK("https://pbs.twimg.com/profile_images/1609841078785527808/VyY0Gh3N_normal.jpg")</f>
        <v>https://pbs.twimg.com/profile_images/1609841078785527808/VyY0Gh3N_normal.jpg</v>
      </c>
      <c r="AW2023" s="82" t="s">
        <v>13619</v>
      </c>
      <c r="AX2023" s="82" t="s">
        <v>13619</v>
      </c>
      <c r="AY2023" s="77"/>
      <c r="AZ2023" s="82" t="s">
        <v>15984</v>
      </c>
      <c r="BA2023" s="82" t="s">
        <v>15984</v>
      </c>
      <c r="BB2023" s="82" t="s">
        <v>15984</v>
      </c>
      <c r="BC2023" s="82" t="s">
        <v>13619</v>
      </c>
      <c r="BD2023" s="77">
        <v>183200672</v>
      </c>
      <c r="BE2023" s="77"/>
      <c r="BF2023" s="77"/>
      <c r="BG2023" s="77"/>
      <c r="BH2023" s="77"/>
      <c r="BI2023" s="77"/>
    </row>
    <row r="2024" spans="1:61" x14ac:dyDescent="0.25">
      <c r="A2024" s="62" t="s">
        <v>717</v>
      </c>
      <c r="B2024" s="62" t="s">
        <v>717</v>
      </c>
      <c r="C2024" s="63"/>
      <c r="D2024" s="64"/>
      <c r="E2024" s="65"/>
      <c r="F2024" s="66"/>
      <c r="G2024" s="63"/>
      <c r="H2024" s="67"/>
      <c r="I2024" s="68"/>
      <c r="J2024" s="68"/>
      <c r="K2024" s="32"/>
      <c r="L2024" s="75">
        <v>2024</v>
      </c>
      <c r="M2024" s="75"/>
      <c r="N2024" s="70"/>
      <c r="O2024" s="77" t="s">
        <v>179</v>
      </c>
      <c r="P2024" s="79">
        <v>45118.343599537038</v>
      </c>
      <c r="Q2024" s="77" t="s">
        <v>2703</v>
      </c>
      <c r="R2024" s="77">
        <v>3</v>
      </c>
      <c r="S2024" s="77">
        <v>9</v>
      </c>
      <c r="T2024" s="77">
        <v>1</v>
      </c>
      <c r="U2024" s="77">
        <v>1</v>
      </c>
      <c r="V2024" s="77">
        <v>1744</v>
      </c>
      <c r="W2024" s="82" t="s">
        <v>5881</v>
      </c>
      <c r="X2024" s="80" t="str">
        <f>HYPERLINK("https://www.bde.es/wbe/es/noticias-eventos/actualidad-banco-espana/notas-banco-espana/la-deuda-de-empresas-y-hogares-continuo-reduciendose-en-el-primer-trimestre-de-2023--hasta-el-121-1%25-del-pib--frente-al-135-3%25-observado-un-ano-antes.html")</f>
        <v>https://www.bde.es/wbe/es/noticias-eventos/actualidad-banco-espana/notas-banco-espana/la-deuda-de-empresas-y-hogares-continuo-reduciendose-en-el-primer-trimestre-de-2023--hasta-el-121-1%25-del-pib--frente-al-135-3%25-observado-un-ano-antes.html</v>
      </c>
      <c r="Y2024" s="77" t="s">
        <v>6559</v>
      </c>
      <c r="Z2024" s="77"/>
      <c r="AA2024" s="77" t="s">
        <v>7597</v>
      </c>
      <c r="AB2024" s="77" t="s">
        <v>7742</v>
      </c>
      <c r="AC2024" s="82" t="s">
        <v>7784</v>
      </c>
      <c r="AD2024" s="77" t="s">
        <v>7790</v>
      </c>
      <c r="AE2024" s="80" t="str">
        <f>HYPERLINK("https://twitter.com/bancodeespana/status/1678679211584770048")</f>
        <v>https://twitter.com/bancodeespana/status/1678679211584770048</v>
      </c>
      <c r="AF2024" s="79">
        <v>45118.343599537038</v>
      </c>
      <c r="AG2024" s="85">
        <v>45118</v>
      </c>
      <c r="AH2024" s="82" t="s">
        <v>9514</v>
      </c>
      <c r="AI2024" s="77" t="b">
        <v>0</v>
      </c>
      <c r="AJ2024" s="77"/>
      <c r="AK2024" s="77"/>
      <c r="AL2024" s="77"/>
      <c r="AM2024" s="77"/>
      <c r="AN2024" s="77"/>
      <c r="AO2024" s="77"/>
      <c r="AP2024" s="77"/>
      <c r="AQ2024" s="77" t="s">
        <v>11569</v>
      </c>
      <c r="AR2024" s="77"/>
      <c r="AS2024" s="77"/>
      <c r="AT2024" s="77"/>
      <c r="AU2024" s="77"/>
      <c r="AV2024" s="80" t="str">
        <f>HYPERLINK("https://pbs.twimg.com/media/F0vd2JDWIAAtmjP.jpg")</f>
        <v>https://pbs.twimg.com/media/F0vd2JDWIAAtmjP.jpg</v>
      </c>
      <c r="AW2024" s="82" t="s">
        <v>13620</v>
      </c>
      <c r="AX2024" s="82" t="s">
        <v>13620</v>
      </c>
      <c r="AY2024" s="77"/>
      <c r="AZ2024" s="82" t="s">
        <v>15984</v>
      </c>
      <c r="BA2024" s="82" t="s">
        <v>15984</v>
      </c>
      <c r="BB2024" s="82" t="s">
        <v>15984</v>
      </c>
      <c r="BC2024" s="82" t="s">
        <v>13620</v>
      </c>
      <c r="BD2024" s="82" t="s">
        <v>16388</v>
      </c>
      <c r="BE2024" s="77"/>
      <c r="BF2024" s="77"/>
      <c r="BG2024" s="77"/>
      <c r="BH2024" s="77"/>
      <c r="BI2024" s="77"/>
    </row>
    <row r="2025" spans="1:61" x14ac:dyDescent="0.25">
      <c r="A2025" s="62" t="s">
        <v>717</v>
      </c>
      <c r="B2025" s="62" t="s">
        <v>717</v>
      </c>
      <c r="C2025" s="63"/>
      <c r="D2025" s="64"/>
      <c r="E2025" s="65"/>
      <c r="F2025" s="66"/>
      <c r="G2025" s="63"/>
      <c r="H2025" s="67"/>
      <c r="I2025" s="68"/>
      <c r="J2025" s="68"/>
      <c r="K2025" s="32"/>
      <c r="L2025" s="75">
        <v>2025</v>
      </c>
      <c r="M2025" s="75"/>
      <c r="N2025" s="70"/>
      <c r="O2025" s="77" t="s">
        <v>179</v>
      </c>
      <c r="P2025" s="79">
        <v>45139.337233796294</v>
      </c>
      <c r="Q2025" s="77" t="s">
        <v>2704</v>
      </c>
      <c r="R2025" s="77">
        <v>11</v>
      </c>
      <c r="S2025" s="77">
        <v>14</v>
      </c>
      <c r="T2025" s="77">
        <v>0</v>
      </c>
      <c r="U2025" s="77">
        <v>3</v>
      </c>
      <c r="V2025" s="77">
        <v>8564</v>
      </c>
      <c r="W2025" s="82" t="s">
        <v>5882</v>
      </c>
      <c r="X2025" s="80" t="str">
        <f>HYPERLINK("https://www.bde.es/wbe/es/noticias-eventos/eventos/agenda/indicadores-de-liquidez-y-financiacion-de-sociedades-no-financieras-y-hogares--junio-de-2023-.html")</f>
        <v>https://www.bde.es/wbe/es/noticias-eventos/eventos/agenda/indicadores-de-liquidez-y-financiacion-de-sociedades-no-financieras-y-hogares--junio-de-2023-.html</v>
      </c>
      <c r="Y2025" s="77" t="s">
        <v>6559</v>
      </c>
      <c r="Z2025" s="77"/>
      <c r="AA2025" s="77" t="s">
        <v>7598</v>
      </c>
      <c r="AB2025" s="77" t="s">
        <v>7742</v>
      </c>
      <c r="AC2025" s="82" t="s">
        <v>7784</v>
      </c>
      <c r="AD2025" s="77" t="s">
        <v>7790</v>
      </c>
      <c r="AE2025" s="80" t="str">
        <f>HYPERLINK("https://twitter.com/bancodeespana/status/1686287050750771200")</f>
        <v>https://twitter.com/bancodeespana/status/1686287050750771200</v>
      </c>
      <c r="AF2025" s="79">
        <v>45139.337233796294</v>
      </c>
      <c r="AG2025" s="85">
        <v>45139</v>
      </c>
      <c r="AH2025" s="82" t="s">
        <v>9515</v>
      </c>
      <c r="AI2025" s="77" t="b">
        <v>0</v>
      </c>
      <c r="AJ2025" s="77"/>
      <c r="AK2025" s="77"/>
      <c r="AL2025" s="77"/>
      <c r="AM2025" s="77"/>
      <c r="AN2025" s="77"/>
      <c r="AO2025" s="77"/>
      <c r="AP2025" s="77"/>
      <c r="AQ2025" s="77" t="s">
        <v>11570</v>
      </c>
      <c r="AR2025" s="77"/>
      <c r="AS2025" s="77"/>
      <c r="AT2025" s="77"/>
      <c r="AU2025" s="77"/>
      <c r="AV2025" s="80" t="str">
        <f>HYPERLINK("https://pbs.twimg.com/media/F2blIqpWEAAjAIH.jpg")</f>
        <v>https://pbs.twimg.com/media/F2blIqpWEAAjAIH.jpg</v>
      </c>
      <c r="AW2025" s="82" t="s">
        <v>13621</v>
      </c>
      <c r="AX2025" s="82" t="s">
        <v>13621</v>
      </c>
      <c r="AY2025" s="77"/>
      <c r="AZ2025" s="82" t="s">
        <v>15984</v>
      </c>
      <c r="BA2025" s="82" t="s">
        <v>15984</v>
      </c>
      <c r="BB2025" s="82" t="s">
        <v>15984</v>
      </c>
      <c r="BC2025" s="82" t="s">
        <v>13621</v>
      </c>
      <c r="BD2025" s="82" t="s">
        <v>16388</v>
      </c>
      <c r="BE2025" s="77"/>
      <c r="BF2025" s="77"/>
      <c r="BG2025" s="77"/>
      <c r="BH2025" s="77"/>
      <c r="BI2025" s="77"/>
    </row>
    <row r="2026" spans="1:61" x14ac:dyDescent="0.25">
      <c r="A2026" s="62" t="s">
        <v>717</v>
      </c>
      <c r="B2026" s="62" t="s">
        <v>717</v>
      </c>
      <c r="C2026" s="63"/>
      <c r="D2026" s="64"/>
      <c r="E2026" s="65"/>
      <c r="F2026" s="66"/>
      <c r="G2026" s="63"/>
      <c r="H2026" s="67"/>
      <c r="I2026" s="68"/>
      <c r="J2026" s="68"/>
      <c r="K2026" s="32"/>
      <c r="L2026" s="75">
        <v>2026</v>
      </c>
      <c r="M2026" s="75"/>
      <c r="N2026" s="70"/>
      <c r="O2026" s="77" t="s">
        <v>179</v>
      </c>
      <c r="P2026" s="79">
        <v>45125.346956018519</v>
      </c>
      <c r="Q2026" s="77" t="s">
        <v>2705</v>
      </c>
      <c r="R2026" s="77">
        <v>6</v>
      </c>
      <c r="S2026" s="77">
        <v>11</v>
      </c>
      <c r="T2026" s="77">
        <v>1</v>
      </c>
      <c r="U2026" s="77">
        <v>4</v>
      </c>
      <c r="V2026" s="77">
        <v>2004</v>
      </c>
      <c r="W2026" s="82" t="s">
        <v>5883</v>
      </c>
      <c r="X2026" s="80" t="str">
        <f>HYPERLINK("https://www.bde.es/wbe/es/noticias-eventos/actualidad-banco-espana/notas-banco-espana/deuda-aapp1-542-mm-de-euros-en-mayo-de-2023.html")</f>
        <v>https://www.bde.es/wbe/es/noticias-eventos/actualidad-banco-espana/notas-banco-espana/deuda-aapp1-542-mm-de-euros-en-mayo-de-2023.html</v>
      </c>
      <c r="Y2026" s="77" t="s">
        <v>6559</v>
      </c>
      <c r="Z2026" s="77"/>
      <c r="AA2026" s="77" t="s">
        <v>7599</v>
      </c>
      <c r="AB2026" s="77" t="s">
        <v>7742</v>
      </c>
      <c r="AC2026" s="82" t="s">
        <v>7784</v>
      </c>
      <c r="AD2026" s="77" t="s">
        <v>7790</v>
      </c>
      <c r="AE2026" s="80" t="str">
        <f>HYPERLINK("https://twitter.com/bancodeespana/status/1681217145584197632")</f>
        <v>https://twitter.com/bancodeespana/status/1681217145584197632</v>
      </c>
      <c r="AF2026" s="79">
        <v>45125.346956018519</v>
      </c>
      <c r="AG2026" s="85">
        <v>45125</v>
      </c>
      <c r="AH2026" s="82" t="s">
        <v>9516</v>
      </c>
      <c r="AI2026" s="77" t="b">
        <v>0</v>
      </c>
      <c r="AJ2026" s="77"/>
      <c r="AK2026" s="77"/>
      <c r="AL2026" s="77"/>
      <c r="AM2026" s="77"/>
      <c r="AN2026" s="77"/>
      <c r="AO2026" s="77"/>
      <c r="AP2026" s="77"/>
      <c r="AQ2026" s="77" t="s">
        <v>11571</v>
      </c>
      <c r="AR2026" s="77"/>
      <c r="AS2026" s="77"/>
      <c r="AT2026" s="77"/>
      <c r="AU2026" s="77"/>
      <c r="AV2026" s="80" t="str">
        <f>HYPERLINK("https://pbs.twimg.com/media/F1TiFULWYAA7oKy.jpg")</f>
        <v>https://pbs.twimg.com/media/F1TiFULWYAA7oKy.jpg</v>
      </c>
      <c r="AW2026" s="82" t="s">
        <v>13622</v>
      </c>
      <c r="AX2026" s="82" t="s">
        <v>13622</v>
      </c>
      <c r="AY2026" s="77"/>
      <c r="AZ2026" s="82" t="s">
        <v>15984</v>
      </c>
      <c r="BA2026" s="82" t="s">
        <v>15984</v>
      </c>
      <c r="BB2026" s="82" t="s">
        <v>15984</v>
      </c>
      <c r="BC2026" s="82" t="s">
        <v>13622</v>
      </c>
      <c r="BD2026" s="82" t="s">
        <v>16388</v>
      </c>
      <c r="BE2026" s="77"/>
      <c r="BF2026" s="77"/>
      <c r="BG2026" s="77"/>
      <c r="BH2026" s="77"/>
      <c r="BI2026" s="77"/>
    </row>
    <row r="2027" spans="1:61" x14ac:dyDescent="0.25">
      <c r="A2027" s="62" t="s">
        <v>717</v>
      </c>
      <c r="B2027" s="62" t="s">
        <v>717</v>
      </c>
      <c r="C2027" s="63"/>
      <c r="D2027" s="64"/>
      <c r="E2027" s="65"/>
      <c r="F2027" s="66"/>
      <c r="G2027" s="63"/>
      <c r="H2027" s="67"/>
      <c r="I2027" s="68"/>
      <c r="J2027" s="68"/>
      <c r="K2027" s="32"/>
      <c r="L2027" s="75">
        <v>2027</v>
      </c>
      <c r="M2027" s="75"/>
      <c r="N2027" s="70"/>
      <c r="O2027" s="77" t="s">
        <v>179</v>
      </c>
      <c r="P2027" s="79">
        <v>45131.342037037037</v>
      </c>
      <c r="Q2027" s="77" t="s">
        <v>2706</v>
      </c>
      <c r="R2027" s="77">
        <v>2</v>
      </c>
      <c r="S2027" s="77">
        <v>8</v>
      </c>
      <c r="T2027" s="77">
        <v>0</v>
      </c>
      <c r="U2027" s="77">
        <v>2</v>
      </c>
      <c r="V2027" s="77">
        <v>1733</v>
      </c>
      <c r="W2027" s="82" t="s">
        <v>5884</v>
      </c>
      <c r="X2027" s="80" t="str">
        <f>HYPERLINK("https://www.bde.es/wbe/es/noticias-eventos/eventos/agenda/datos-de-creditos-dudosos--mayo-de-2023-.html")</f>
        <v>https://www.bde.es/wbe/es/noticias-eventos/eventos/agenda/datos-de-creditos-dudosos--mayo-de-2023-.html</v>
      </c>
      <c r="Y2027" s="77" t="s">
        <v>6559</v>
      </c>
      <c r="Z2027" s="77"/>
      <c r="AA2027" s="77" t="s">
        <v>7600</v>
      </c>
      <c r="AB2027" s="77" t="s">
        <v>7742</v>
      </c>
      <c r="AC2027" s="82" t="s">
        <v>7784</v>
      </c>
      <c r="AD2027" s="77" t="s">
        <v>7790</v>
      </c>
      <c r="AE2027" s="80" t="str">
        <f>HYPERLINK("https://twitter.com/bancodeespana/status/1683389690253115392")</f>
        <v>https://twitter.com/bancodeespana/status/1683389690253115392</v>
      </c>
      <c r="AF2027" s="79">
        <v>45131.342037037037</v>
      </c>
      <c r="AG2027" s="85">
        <v>45131</v>
      </c>
      <c r="AH2027" s="82" t="s">
        <v>9517</v>
      </c>
      <c r="AI2027" s="77" t="b">
        <v>0</v>
      </c>
      <c r="AJ2027" s="77"/>
      <c r="AK2027" s="77"/>
      <c r="AL2027" s="77"/>
      <c r="AM2027" s="77"/>
      <c r="AN2027" s="77"/>
      <c r="AO2027" s="77"/>
      <c r="AP2027" s="77"/>
      <c r="AQ2027" s="77" t="s">
        <v>11572</v>
      </c>
      <c r="AR2027" s="77"/>
      <c r="AS2027" s="77"/>
      <c r="AT2027" s="77"/>
      <c r="AU2027" s="77"/>
      <c r="AV2027" s="80" t="str">
        <f>HYPERLINK("https://pbs.twimg.com/media/F1yaAE_XsAAUJw8.jpg")</f>
        <v>https://pbs.twimg.com/media/F1yaAE_XsAAUJw8.jpg</v>
      </c>
      <c r="AW2027" s="82" t="s">
        <v>13623</v>
      </c>
      <c r="AX2027" s="82" t="s">
        <v>13623</v>
      </c>
      <c r="AY2027" s="77"/>
      <c r="AZ2027" s="82" t="s">
        <v>15984</v>
      </c>
      <c r="BA2027" s="82" t="s">
        <v>15984</v>
      </c>
      <c r="BB2027" s="82" t="s">
        <v>15984</v>
      </c>
      <c r="BC2027" s="82" t="s">
        <v>13623</v>
      </c>
      <c r="BD2027" s="82" t="s">
        <v>16388</v>
      </c>
      <c r="BE2027" s="77"/>
      <c r="BF2027" s="77"/>
      <c r="BG2027" s="77"/>
      <c r="BH2027" s="77"/>
      <c r="BI2027" s="77"/>
    </row>
    <row r="2028" spans="1:61" x14ac:dyDescent="0.25">
      <c r="A2028" s="62" t="s">
        <v>717</v>
      </c>
      <c r="B2028" s="62" t="s">
        <v>717</v>
      </c>
      <c r="C2028" s="63"/>
      <c r="D2028" s="64"/>
      <c r="E2028" s="65"/>
      <c r="F2028" s="66"/>
      <c r="G2028" s="63"/>
      <c r="H2028" s="67"/>
      <c r="I2028" s="68"/>
      <c r="J2028" s="68"/>
      <c r="K2028" s="32"/>
      <c r="L2028" s="75">
        <v>2028</v>
      </c>
      <c r="M2028" s="75"/>
      <c r="N2028" s="70"/>
      <c r="O2028" s="77" t="s">
        <v>179</v>
      </c>
      <c r="P2028" s="79">
        <v>45135.342129629629</v>
      </c>
      <c r="Q2028" s="77" t="s">
        <v>2707</v>
      </c>
      <c r="R2028" s="77">
        <v>2</v>
      </c>
      <c r="S2028" s="77">
        <v>11</v>
      </c>
      <c r="T2028" s="77">
        <v>0</v>
      </c>
      <c r="U2028" s="77">
        <v>1</v>
      </c>
      <c r="V2028" s="77">
        <v>2049</v>
      </c>
      <c r="W2028" s="82" t="s">
        <v>5885</v>
      </c>
      <c r="X2028" s="80" t="str">
        <f>HYPERLINK("https://www.bde.es/wbe/es/noticias-eventos/eventos/agenda/datos-de-depositos--junio-de-2023-.html")</f>
        <v>https://www.bde.es/wbe/es/noticias-eventos/eventos/agenda/datos-de-depositos--junio-de-2023-.html</v>
      </c>
      <c r="Y2028" s="77" t="s">
        <v>6559</v>
      </c>
      <c r="Z2028" s="77"/>
      <c r="AA2028" s="77" t="s">
        <v>7601</v>
      </c>
      <c r="AB2028" s="77" t="s">
        <v>7742</v>
      </c>
      <c r="AC2028" s="82" t="s">
        <v>7784</v>
      </c>
      <c r="AD2028" s="77" t="s">
        <v>7790</v>
      </c>
      <c r="AE2028" s="80" t="str">
        <f>HYPERLINK("https://twitter.com/bancodeespana/status/1684839273923555328")</f>
        <v>https://twitter.com/bancodeespana/status/1684839273923555328</v>
      </c>
      <c r="AF2028" s="79">
        <v>45135.342129629629</v>
      </c>
      <c r="AG2028" s="85">
        <v>45135</v>
      </c>
      <c r="AH2028" s="82" t="s">
        <v>9518</v>
      </c>
      <c r="AI2028" s="77" t="b">
        <v>0</v>
      </c>
      <c r="AJ2028" s="77"/>
      <c r="AK2028" s="77"/>
      <c r="AL2028" s="77"/>
      <c r="AM2028" s="77"/>
      <c r="AN2028" s="77"/>
      <c r="AO2028" s="77"/>
      <c r="AP2028" s="77"/>
      <c r="AQ2028" s="77" t="s">
        <v>11573</v>
      </c>
      <c r="AR2028" s="77"/>
      <c r="AS2028" s="77"/>
      <c r="AT2028" s="77"/>
      <c r="AU2028" s="77"/>
      <c r="AV2028" s="80" t="str">
        <f>HYPERLINK("https://pbs.twimg.com/media/F2HAY8VWgAAVNZo.png")</f>
        <v>https://pbs.twimg.com/media/F2HAY8VWgAAVNZo.png</v>
      </c>
      <c r="AW2028" s="82" t="s">
        <v>13624</v>
      </c>
      <c r="AX2028" s="82" t="s">
        <v>13624</v>
      </c>
      <c r="AY2028" s="77"/>
      <c r="AZ2028" s="82" t="s">
        <v>15984</v>
      </c>
      <c r="BA2028" s="82" t="s">
        <v>15984</v>
      </c>
      <c r="BB2028" s="82" t="s">
        <v>15984</v>
      </c>
      <c r="BC2028" s="82" t="s">
        <v>13624</v>
      </c>
      <c r="BD2028" s="82" t="s">
        <v>16388</v>
      </c>
      <c r="BE2028" s="77"/>
      <c r="BF2028" s="77"/>
      <c r="BG2028" s="77"/>
      <c r="BH2028" s="77"/>
      <c r="BI2028" s="77"/>
    </row>
    <row r="2029" spans="1:61" x14ac:dyDescent="0.25">
      <c r="A2029" s="62" t="s">
        <v>717</v>
      </c>
      <c r="B2029" s="62" t="s">
        <v>717</v>
      </c>
      <c r="C2029" s="63"/>
      <c r="D2029" s="64"/>
      <c r="E2029" s="65"/>
      <c r="F2029" s="66"/>
      <c r="G2029" s="63"/>
      <c r="H2029" s="67"/>
      <c r="I2029" s="68"/>
      <c r="J2029" s="68"/>
      <c r="K2029" s="32"/>
      <c r="L2029" s="75">
        <v>2029</v>
      </c>
      <c r="M2029" s="75"/>
      <c r="N2029" s="70"/>
      <c r="O2029" s="77" t="s">
        <v>179</v>
      </c>
      <c r="P2029" s="79">
        <v>45155.338958333334</v>
      </c>
      <c r="Q2029" s="77" t="s">
        <v>2708</v>
      </c>
      <c r="R2029" s="77">
        <v>9</v>
      </c>
      <c r="S2029" s="77">
        <v>10</v>
      </c>
      <c r="T2029" s="77">
        <v>2</v>
      </c>
      <c r="U2029" s="77">
        <v>4</v>
      </c>
      <c r="V2029" s="77">
        <v>3915</v>
      </c>
      <c r="W2029" s="82" t="s">
        <v>5886</v>
      </c>
      <c r="X2029" s="80" t="str">
        <f>HYPERLINK("https://www.bde.es/wbe/es/noticias-eventos/actualidad-banco-espana/notas-banco-espana/la-deuda-de-las-administraciones-publicas-ascendio-a-1-569-mm-de-euros--el-113-1%25-del-pib--en-junio-de-2023.html")</f>
        <v>https://www.bde.es/wbe/es/noticias-eventos/actualidad-banco-espana/notas-banco-espana/la-deuda-de-las-administraciones-publicas-ascendio-a-1-569-mm-de-euros--el-113-1%25-del-pib--en-junio-de-2023.html</v>
      </c>
      <c r="Y2029" s="77" t="s">
        <v>6559</v>
      </c>
      <c r="Z2029" s="77"/>
      <c r="AA2029" s="77" t="s">
        <v>7602</v>
      </c>
      <c r="AB2029" s="77" t="s">
        <v>7742</v>
      </c>
      <c r="AC2029" s="82" t="s">
        <v>7784</v>
      </c>
      <c r="AD2029" s="77" t="s">
        <v>7790</v>
      </c>
      <c r="AE2029" s="80" t="str">
        <f>HYPERLINK("https://twitter.com/bancodeespana/status/1692085883749466477")</f>
        <v>https://twitter.com/bancodeespana/status/1692085883749466477</v>
      </c>
      <c r="AF2029" s="79">
        <v>45155.338958333334</v>
      </c>
      <c r="AG2029" s="85">
        <v>45155</v>
      </c>
      <c r="AH2029" s="82" t="s">
        <v>9519</v>
      </c>
      <c r="AI2029" s="77" t="b">
        <v>0</v>
      </c>
      <c r="AJ2029" s="77"/>
      <c r="AK2029" s="77"/>
      <c r="AL2029" s="77"/>
      <c r="AM2029" s="77"/>
      <c r="AN2029" s="77"/>
      <c r="AO2029" s="77"/>
      <c r="AP2029" s="77"/>
      <c r="AQ2029" s="77" t="s">
        <v>11574</v>
      </c>
      <c r="AR2029" s="77"/>
      <c r="AS2029" s="77"/>
      <c r="AT2029" s="77"/>
      <c r="AU2029" s="77"/>
      <c r="AV2029" s="80" t="str">
        <f>HYPERLINK("https://pbs.twimg.com/media/F3t_JISXkAACXvz.jpg")</f>
        <v>https://pbs.twimg.com/media/F3t_JISXkAACXvz.jpg</v>
      </c>
      <c r="AW2029" s="82" t="s">
        <v>13625</v>
      </c>
      <c r="AX2029" s="82" t="s">
        <v>13625</v>
      </c>
      <c r="AY2029" s="77"/>
      <c r="AZ2029" s="82" t="s">
        <v>15984</v>
      </c>
      <c r="BA2029" s="82" t="s">
        <v>15984</v>
      </c>
      <c r="BB2029" s="82" t="s">
        <v>15984</v>
      </c>
      <c r="BC2029" s="82" t="s">
        <v>13625</v>
      </c>
      <c r="BD2029" s="82" t="s">
        <v>16388</v>
      </c>
      <c r="BE2029" s="77"/>
      <c r="BF2029" s="77"/>
      <c r="BG2029" s="77"/>
      <c r="BH2029" s="77"/>
      <c r="BI2029" s="77"/>
    </row>
    <row r="2030" spans="1:61" x14ac:dyDescent="0.25">
      <c r="A2030" s="62" t="s">
        <v>717</v>
      </c>
      <c r="B2030" s="62" t="s">
        <v>717</v>
      </c>
      <c r="C2030" s="63"/>
      <c r="D2030" s="64"/>
      <c r="E2030" s="65"/>
      <c r="F2030" s="66"/>
      <c r="G2030" s="63"/>
      <c r="H2030" s="67"/>
      <c r="I2030" s="68"/>
      <c r="J2030" s="68"/>
      <c r="K2030" s="32"/>
      <c r="L2030" s="75">
        <v>2030</v>
      </c>
      <c r="M2030" s="75"/>
      <c r="N2030" s="70"/>
      <c r="O2030" s="77" t="s">
        <v>179</v>
      </c>
      <c r="P2030" s="79">
        <v>45169.341238425928</v>
      </c>
      <c r="Q2030" s="77" t="s">
        <v>2709</v>
      </c>
      <c r="R2030" s="77">
        <v>13</v>
      </c>
      <c r="S2030" s="77">
        <v>16</v>
      </c>
      <c r="T2030" s="77">
        <v>7</v>
      </c>
      <c r="U2030" s="77">
        <v>4</v>
      </c>
      <c r="V2030" s="77">
        <v>9791</v>
      </c>
      <c r="W2030" s="82" t="s">
        <v>5887</v>
      </c>
      <c r="X2030" s="80" t="str">
        <f>HYPERLINK("https://www.bde.es/wbe/es/noticias-eventos/actualidad-banco-espana/notas-banco-espana/en-junio-de-2023-la-capacidad-de-financiacion-de-la-economia-espanola-fue-de-3-8-miles-de-millones-de-euros--mm---frente-a-la-de-0-9-mm-de-un-ano-antes.html")</f>
        <v>https://www.bde.es/wbe/es/noticias-eventos/actualidad-banco-espana/notas-banco-espana/en-junio-de-2023-la-capacidad-de-financiacion-de-la-economia-espanola-fue-de-3-8-miles-de-millones-de-euros--mm---frente-a-la-de-0-9-mm-de-un-ano-antes.html</v>
      </c>
      <c r="Y2030" s="77" t="s">
        <v>6559</v>
      </c>
      <c r="Z2030" s="77"/>
      <c r="AA2030" s="77" t="s">
        <v>7603</v>
      </c>
      <c r="AB2030" s="77" t="s">
        <v>7742</v>
      </c>
      <c r="AC2030" s="82" t="s">
        <v>7784</v>
      </c>
      <c r="AD2030" s="77" t="s">
        <v>7790</v>
      </c>
      <c r="AE2030" s="80" t="str">
        <f>HYPERLINK("https://twitter.com/bancodeespana/status/1697160140519035263")</f>
        <v>https://twitter.com/bancodeespana/status/1697160140519035263</v>
      </c>
      <c r="AF2030" s="79">
        <v>45169.341238425928</v>
      </c>
      <c r="AG2030" s="85">
        <v>45169</v>
      </c>
      <c r="AH2030" s="82" t="s">
        <v>9520</v>
      </c>
      <c r="AI2030" s="77" t="b">
        <v>0</v>
      </c>
      <c r="AJ2030" s="77"/>
      <c r="AK2030" s="77"/>
      <c r="AL2030" s="77"/>
      <c r="AM2030" s="77"/>
      <c r="AN2030" s="77"/>
      <c r="AO2030" s="77"/>
      <c r="AP2030" s="77"/>
      <c r="AQ2030" s="77" t="s">
        <v>11575</v>
      </c>
      <c r="AR2030" s="77"/>
      <c r="AS2030" s="77"/>
      <c r="AT2030" s="77"/>
      <c r="AU2030" s="77"/>
      <c r="AV2030" s="80" t="str">
        <f>HYPERLINK("https://pbs.twimg.com/media/F42GJynX0AAcV3X.jpg")</f>
        <v>https://pbs.twimg.com/media/F42GJynX0AAcV3X.jpg</v>
      </c>
      <c r="AW2030" s="82" t="s">
        <v>13626</v>
      </c>
      <c r="AX2030" s="82" t="s">
        <v>13626</v>
      </c>
      <c r="AY2030" s="77"/>
      <c r="AZ2030" s="82" t="s">
        <v>15984</v>
      </c>
      <c r="BA2030" s="82" t="s">
        <v>15984</v>
      </c>
      <c r="BB2030" s="82" t="s">
        <v>15984</v>
      </c>
      <c r="BC2030" s="82" t="s">
        <v>13626</v>
      </c>
      <c r="BD2030" s="82" t="s">
        <v>16388</v>
      </c>
      <c r="BE2030" s="77"/>
      <c r="BF2030" s="77"/>
      <c r="BG2030" s="77"/>
      <c r="BH2030" s="77"/>
      <c r="BI2030" s="77"/>
    </row>
    <row r="2031" spans="1:61" x14ac:dyDescent="0.25">
      <c r="A2031" s="62" t="s">
        <v>717</v>
      </c>
      <c r="B2031" s="62" t="s">
        <v>717</v>
      </c>
      <c r="C2031" s="63"/>
      <c r="D2031" s="64"/>
      <c r="E2031" s="65"/>
      <c r="F2031" s="66"/>
      <c r="G2031" s="63"/>
      <c r="H2031" s="67"/>
      <c r="I2031" s="68"/>
      <c r="J2031" s="68"/>
      <c r="K2031" s="32"/>
      <c r="L2031" s="75">
        <v>2031</v>
      </c>
      <c r="M2031" s="75"/>
      <c r="N2031" s="70"/>
      <c r="O2031" s="77" t="s">
        <v>179</v>
      </c>
      <c r="P2031" s="79">
        <v>45188.505497685182</v>
      </c>
      <c r="Q2031" s="77" t="s">
        <v>2710</v>
      </c>
      <c r="R2031" s="77">
        <v>38</v>
      </c>
      <c r="S2031" s="77">
        <v>48</v>
      </c>
      <c r="T2031" s="77">
        <v>4</v>
      </c>
      <c r="U2031" s="77">
        <v>12</v>
      </c>
      <c r="V2031" s="77">
        <v>27846</v>
      </c>
      <c r="W2031" s="82" t="s">
        <v>5888</v>
      </c>
      <c r="X2031" s="80" t="str">
        <f>HYPERLINK("https://www.bde.es/wbe/es/publicaciones/analisis-economico-investigacion/proyecciones-macro/septiembre-2023--proyecciones-macroeconomicas-de-la-economia-espanola--2023-2025-.html")</f>
        <v>https://www.bde.es/wbe/es/publicaciones/analisis-economico-investigacion/proyecciones-macro/septiembre-2023--proyecciones-macroeconomicas-de-la-economia-espanola--2023-2025-.html</v>
      </c>
      <c r="Y2031" s="77" t="s">
        <v>6559</v>
      </c>
      <c r="Z2031" s="77"/>
      <c r="AA2031" s="77" t="s">
        <v>7604</v>
      </c>
      <c r="AB2031" s="77" t="s">
        <v>7742</v>
      </c>
      <c r="AC2031" s="82" t="s">
        <v>7784</v>
      </c>
      <c r="AD2031" s="77" t="s">
        <v>7790</v>
      </c>
      <c r="AE2031" s="80" t="str">
        <f>HYPERLINK("https://twitter.com/bancodeespana/status/1704105035389407314")</f>
        <v>https://twitter.com/bancodeespana/status/1704105035389407314</v>
      </c>
      <c r="AF2031" s="79">
        <v>45188.505497685182</v>
      </c>
      <c r="AG2031" s="85">
        <v>45188</v>
      </c>
      <c r="AH2031" s="82" t="s">
        <v>9521</v>
      </c>
      <c r="AI2031" s="77" t="b">
        <v>0</v>
      </c>
      <c r="AJ2031" s="77"/>
      <c r="AK2031" s="77"/>
      <c r="AL2031" s="77"/>
      <c r="AM2031" s="77"/>
      <c r="AN2031" s="77"/>
      <c r="AO2031" s="77"/>
      <c r="AP2031" s="77"/>
      <c r="AQ2031" s="77" t="s">
        <v>11576</v>
      </c>
      <c r="AR2031" s="77"/>
      <c r="AS2031" s="77"/>
      <c r="AT2031" s="77"/>
      <c r="AU2031" s="77"/>
      <c r="AV2031" s="80" t="str">
        <f>HYPERLINK("https://pbs.twimg.com/media/F6Yyf2EW4AAPF3q.jpg")</f>
        <v>https://pbs.twimg.com/media/F6Yyf2EW4AAPF3q.jpg</v>
      </c>
      <c r="AW2031" s="82" t="s">
        <v>13627</v>
      </c>
      <c r="AX2031" s="82" t="s">
        <v>13627</v>
      </c>
      <c r="AY2031" s="77"/>
      <c r="AZ2031" s="82" t="s">
        <v>15984</v>
      </c>
      <c r="BA2031" s="82" t="s">
        <v>15984</v>
      </c>
      <c r="BB2031" s="82" t="s">
        <v>15984</v>
      </c>
      <c r="BC2031" s="82" t="s">
        <v>13627</v>
      </c>
      <c r="BD2031" s="82" t="s">
        <v>16388</v>
      </c>
      <c r="BE2031" s="77"/>
      <c r="BF2031" s="77"/>
      <c r="BG2031" s="77"/>
      <c r="BH2031" s="77"/>
      <c r="BI2031" s="77"/>
    </row>
    <row r="2032" spans="1:61" x14ac:dyDescent="0.25">
      <c r="A2032" s="62" t="s">
        <v>713</v>
      </c>
      <c r="B2032" s="62" t="s">
        <v>717</v>
      </c>
      <c r="C2032" s="63"/>
      <c r="D2032" s="64"/>
      <c r="E2032" s="65"/>
      <c r="F2032" s="66"/>
      <c r="G2032" s="63"/>
      <c r="H2032" s="67"/>
      <c r="I2032" s="68"/>
      <c r="J2032" s="68"/>
      <c r="K2032" s="32"/>
      <c r="L2032" s="75">
        <v>2032</v>
      </c>
      <c r="M2032" s="75"/>
      <c r="N2032" s="70"/>
      <c r="O2032" s="77" t="s">
        <v>896</v>
      </c>
      <c r="P2032" s="79">
        <v>45119.363553240742</v>
      </c>
      <c r="Q2032" s="77" t="s">
        <v>2676</v>
      </c>
      <c r="R2032" s="77">
        <v>0</v>
      </c>
      <c r="S2032" s="77">
        <v>1</v>
      </c>
      <c r="T2032" s="77">
        <v>0</v>
      </c>
      <c r="U2032" s="77">
        <v>0</v>
      </c>
      <c r="V2032" s="77">
        <v>91</v>
      </c>
      <c r="W2032" s="82" t="s">
        <v>4821</v>
      </c>
      <c r="X2032" s="77"/>
      <c r="Y2032" s="77"/>
      <c r="Z2032" s="77"/>
      <c r="AA2032" s="77"/>
      <c r="AB2032" s="77"/>
      <c r="AC2032" s="82" t="s">
        <v>7750</v>
      </c>
      <c r="AD2032" s="77" t="s">
        <v>7796</v>
      </c>
      <c r="AE2032" s="80" t="str">
        <f>HYPERLINK("https://twitter.com/auditorinterno/status/1679048832783380481")</f>
        <v>https://twitter.com/auditorinterno/status/1679048832783380481</v>
      </c>
      <c r="AF2032" s="79">
        <v>45119.363553240742</v>
      </c>
      <c r="AG2032" s="85">
        <v>45119</v>
      </c>
      <c r="AH2032" s="82" t="s">
        <v>9522</v>
      </c>
      <c r="AI2032" s="77"/>
      <c r="AJ2032" s="77"/>
      <c r="AK2032" s="77"/>
      <c r="AL2032" s="77"/>
      <c r="AM2032" s="77"/>
      <c r="AN2032" s="77"/>
      <c r="AO2032" s="77"/>
      <c r="AP2032" s="77"/>
      <c r="AQ2032" s="77"/>
      <c r="AR2032" s="77"/>
      <c r="AS2032" s="77"/>
      <c r="AT2032" s="77"/>
      <c r="AU2032" s="77"/>
      <c r="AV2032" s="80" t="str">
        <f>HYPERLINK("https://pbs.twimg.com/profile_images/1609841078785527808/VyY0Gh3N_normal.jpg")</f>
        <v>https://pbs.twimg.com/profile_images/1609841078785527808/VyY0Gh3N_normal.jpg</v>
      </c>
      <c r="AW2032" s="82" t="s">
        <v>13628</v>
      </c>
      <c r="AX2032" s="82" t="s">
        <v>13628</v>
      </c>
      <c r="AY2032" s="77"/>
      <c r="AZ2032" s="82" t="s">
        <v>15984</v>
      </c>
      <c r="BA2032" s="82" t="s">
        <v>13620</v>
      </c>
      <c r="BB2032" s="82" t="s">
        <v>15984</v>
      </c>
      <c r="BC2032" s="82" t="s">
        <v>13620</v>
      </c>
      <c r="BD2032" s="77">
        <v>183200672</v>
      </c>
      <c r="BE2032" s="77"/>
      <c r="BF2032" s="77"/>
      <c r="BG2032" s="77"/>
      <c r="BH2032" s="77"/>
      <c r="BI2032" s="77"/>
    </row>
    <row r="2033" spans="1:61" x14ac:dyDescent="0.25">
      <c r="A2033" s="62" t="s">
        <v>713</v>
      </c>
      <c r="B2033" s="62" t="s">
        <v>717</v>
      </c>
      <c r="C2033" s="63"/>
      <c r="D2033" s="64"/>
      <c r="E2033" s="65"/>
      <c r="F2033" s="66"/>
      <c r="G2033" s="63"/>
      <c r="H2033" s="67"/>
      <c r="I2033" s="68"/>
      <c r="J2033" s="68"/>
      <c r="K2033" s="32"/>
      <c r="L2033" s="75">
        <v>2033</v>
      </c>
      <c r="M2033" s="75"/>
      <c r="N2033" s="70"/>
      <c r="O2033" s="77" t="s">
        <v>896</v>
      </c>
      <c r="P2033" s="79">
        <v>45126.67465277778</v>
      </c>
      <c r="Q2033" s="77" t="s">
        <v>2676</v>
      </c>
      <c r="R2033" s="77">
        <v>0</v>
      </c>
      <c r="S2033" s="77">
        <v>1</v>
      </c>
      <c r="T2033" s="77">
        <v>0</v>
      </c>
      <c r="U2033" s="77">
        <v>0</v>
      </c>
      <c r="V2033" s="77">
        <v>82</v>
      </c>
      <c r="W2033" s="82" t="s">
        <v>4821</v>
      </c>
      <c r="X2033" s="77"/>
      <c r="Y2033" s="77"/>
      <c r="Z2033" s="77"/>
      <c r="AA2033" s="77"/>
      <c r="AB2033" s="77"/>
      <c r="AC2033" s="82" t="s">
        <v>7750</v>
      </c>
      <c r="AD2033" s="77" t="s">
        <v>7796</v>
      </c>
      <c r="AE2033" s="80" t="str">
        <f>HYPERLINK("https://twitter.com/auditorinterno/status/1681698284962709506")</f>
        <v>https://twitter.com/auditorinterno/status/1681698284962709506</v>
      </c>
      <c r="AF2033" s="79">
        <v>45126.67465277778</v>
      </c>
      <c r="AG2033" s="85">
        <v>45126</v>
      </c>
      <c r="AH2033" s="82" t="s">
        <v>9523</v>
      </c>
      <c r="AI2033" s="77"/>
      <c r="AJ2033" s="77"/>
      <c r="AK2033" s="77"/>
      <c r="AL2033" s="77"/>
      <c r="AM2033" s="77"/>
      <c r="AN2033" s="77"/>
      <c r="AO2033" s="77"/>
      <c r="AP2033" s="77"/>
      <c r="AQ2033" s="77"/>
      <c r="AR2033" s="77"/>
      <c r="AS2033" s="77"/>
      <c r="AT2033" s="77"/>
      <c r="AU2033" s="77"/>
      <c r="AV2033" s="80" t="str">
        <f>HYPERLINK("https://pbs.twimg.com/profile_images/1609841078785527808/VyY0Gh3N_normal.jpg")</f>
        <v>https://pbs.twimg.com/profile_images/1609841078785527808/VyY0Gh3N_normal.jpg</v>
      </c>
      <c r="AW2033" s="82" t="s">
        <v>13629</v>
      </c>
      <c r="AX2033" s="82" t="s">
        <v>13629</v>
      </c>
      <c r="AY2033" s="77"/>
      <c r="AZ2033" s="82" t="s">
        <v>15984</v>
      </c>
      <c r="BA2033" s="82" t="s">
        <v>13622</v>
      </c>
      <c r="BB2033" s="82" t="s">
        <v>15984</v>
      </c>
      <c r="BC2033" s="82" t="s">
        <v>13622</v>
      </c>
      <c r="BD2033" s="77">
        <v>183200672</v>
      </c>
      <c r="BE2033" s="77"/>
      <c r="BF2033" s="77"/>
      <c r="BG2033" s="77"/>
      <c r="BH2033" s="77"/>
      <c r="BI2033" s="77"/>
    </row>
    <row r="2034" spans="1:61" x14ac:dyDescent="0.25">
      <c r="A2034" s="62" t="s">
        <v>713</v>
      </c>
      <c r="B2034" s="62" t="s">
        <v>717</v>
      </c>
      <c r="C2034" s="63"/>
      <c r="D2034" s="64"/>
      <c r="E2034" s="65"/>
      <c r="F2034" s="66"/>
      <c r="G2034" s="63"/>
      <c r="H2034" s="67"/>
      <c r="I2034" s="68"/>
      <c r="J2034" s="68"/>
      <c r="K2034" s="32"/>
      <c r="L2034" s="75">
        <v>2034</v>
      </c>
      <c r="M2034" s="75"/>
      <c r="N2034" s="70"/>
      <c r="O2034" s="77" t="s">
        <v>896</v>
      </c>
      <c r="P2034" s="79">
        <v>45135.345173611109</v>
      </c>
      <c r="Q2034" s="77" t="s">
        <v>2676</v>
      </c>
      <c r="R2034" s="77">
        <v>1</v>
      </c>
      <c r="S2034" s="77">
        <v>1</v>
      </c>
      <c r="T2034" s="77">
        <v>0</v>
      </c>
      <c r="U2034" s="77">
        <v>0</v>
      </c>
      <c r="V2034" s="77">
        <v>77</v>
      </c>
      <c r="W2034" s="82" t="s">
        <v>4821</v>
      </c>
      <c r="X2034" s="77"/>
      <c r="Y2034" s="77"/>
      <c r="Z2034" s="77"/>
      <c r="AA2034" s="77"/>
      <c r="AB2034" s="77"/>
      <c r="AC2034" s="82" t="s">
        <v>7750</v>
      </c>
      <c r="AD2034" s="77" t="s">
        <v>7796</v>
      </c>
      <c r="AE2034" s="80" t="str">
        <f>HYPERLINK("https://twitter.com/auditorinterno/status/1684840376912277504")</f>
        <v>https://twitter.com/auditorinterno/status/1684840376912277504</v>
      </c>
      <c r="AF2034" s="79">
        <v>45135.345173611109</v>
      </c>
      <c r="AG2034" s="85">
        <v>45135</v>
      </c>
      <c r="AH2034" s="82" t="s">
        <v>9524</v>
      </c>
      <c r="AI2034" s="77"/>
      <c r="AJ2034" s="77"/>
      <c r="AK2034" s="77"/>
      <c r="AL2034" s="77"/>
      <c r="AM2034" s="77"/>
      <c r="AN2034" s="77"/>
      <c r="AO2034" s="77"/>
      <c r="AP2034" s="77"/>
      <c r="AQ2034" s="77"/>
      <c r="AR2034" s="77"/>
      <c r="AS2034" s="77"/>
      <c r="AT2034" s="77"/>
      <c r="AU2034" s="77"/>
      <c r="AV2034" s="80" t="str">
        <f>HYPERLINK("https://pbs.twimg.com/profile_images/1609841078785527808/VyY0Gh3N_normal.jpg")</f>
        <v>https://pbs.twimg.com/profile_images/1609841078785527808/VyY0Gh3N_normal.jpg</v>
      </c>
      <c r="AW2034" s="82" t="s">
        <v>13630</v>
      </c>
      <c r="AX2034" s="82" t="s">
        <v>13630</v>
      </c>
      <c r="AY2034" s="77"/>
      <c r="AZ2034" s="82" t="s">
        <v>15984</v>
      </c>
      <c r="BA2034" s="82" t="s">
        <v>13624</v>
      </c>
      <c r="BB2034" s="82" t="s">
        <v>15984</v>
      </c>
      <c r="BC2034" s="82" t="s">
        <v>13624</v>
      </c>
      <c r="BD2034" s="77">
        <v>183200672</v>
      </c>
      <c r="BE2034" s="77"/>
      <c r="BF2034" s="77"/>
      <c r="BG2034" s="77"/>
      <c r="BH2034" s="77"/>
      <c r="BI2034" s="77"/>
    </row>
    <row r="2035" spans="1:61" x14ac:dyDescent="0.25">
      <c r="A2035" s="62" t="s">
        <v>713</v>
      </c>
      <c r="B2035" s="62" t="s">
        <v>717</v>
      </c>
      <c r="C2035" s="63"/>
      <c r="D2035" s="64"/>
      <c r="E2035" s="65"/>
      <c r="F2035" s="66"/>
      <c r="G2035" s="63"/>
      <c r="H2035" s="67"/>
      <c r="I2035" s="68"/>
      <c r="J2035" s="68"/>
      <c r="K2035" s="32"/>
      <c r="L2035" s="75">
        <v>2035</v>
      </c>
      <c r="M2035" s="75"/>
      <c r="N2035" s="70"/>
      <c r="O2035" s="77" t="s">
        <v>896</v>
      </c>
      <c r="P2035" s="79">
        <v>45155.51290509259</v>
      </c>
      <c r="Q2035" s="77" t="s">
        <v>2676</v>
      </c>
      <c r="R2035" s="77">
        <v>0</v>
      </c>
      <c r="S2035" s="77">
        <v>1</v>
      </c>
      <c r="T2035" s="77">
        <v>0</v>
      </c>
      <c r="U2035" s="77">
        <v>0</v>
      </c>
      <c r="V2035" s="77">
        <v>73</v>
      </c>
      <c r="W2035" s="82" t="s">
        <v>4821</v>
      </c>
      <c r="X2035" s="77"/>
      <c r="Y2035" s="77"/>
      <c r="Z2035" s="77"/>
      <c r="AA2035" s="77"/>
      <c r="AB2035" s="77"/>
      <c r="AC2035" s="82" t="s">
        <v>7752</v>
      </c>
      <c r="AD2035" s="77" t="s">
        <v>7796</v>
      </c>
      <c r="AE2035" s="80" t="str">
        <f>HYPERLINK("https://twitter.com/auditorinterno/status/1692148920074293557")</f>
        <v>https://twitter.com/auditorinterno/status/1692148920074293557</v>
      </c>
      <c r="AF2035" s="79">
        <v>45155.51290509259</v>
      </c>
      <c r="AG2035" s="85">
        <v>45155</v>
      </c>
      <c r="AH2035" s="82" t="s">
        <v>9525</v>
      </c>
      <c r="AI2035" s="77"/>
      <c r="AJ2035" s="77"/>
      <c r="AK2035" s="77"/>
      <c r="AL2035" s="77"/>
      <c r="AM2035" s="77"/>
      <c r="AN2035" s="77"/>
      <c r="AO2035" s="77"/>
      <c r="AP2035" s="77"/>
      <c r="AQ2035" s="77"/>
      <c r="AR2035" s="77"/>
      <c r="AS2035" s="77"/>
      <c r="AT2035" s="77"/>
      <c r="AU2035" s="77"/>
      <c r="AV2035" s="80" t="str">
        <f>HYPERLINK("https://pbs.twimg.com/profile_images/1609841078785527808/VyY0Gh3N_normal.jpg")</f>
        <v>https://pbs.twimg.com/profile_images/1609841078785527808/VyY0Gh3N_normal.jpg</v>
      </c>
      <c r="AW2035" s="82" t="s">
        <v>13631</v>
      </c>
      <c r="AX2035" s="82" t="s">
        <v>13631</v>
      </c>
      <c r="AY2035" s="77"/>
      <c r="AZ2035" s="82" t="s">
        <v>15984</v>
      </c>
      <c r="BA2035" s="82" t="s">
        <v>13625</v>
      </c>
      <c r="BB2035" s="82" t="s">
        <v>15984</v>
      </c>
      <c r="BC2035" s="82" t="s">
        <v>13625</v>
      </c>
      <c r="BD2035" s="77">
        <v>183200672</v>
      </c>
      <c r="BE2035" s="77"/>
      <c r="BF2035" s="77"/>
      <c r="BG2035" s="77"/>
      <c r="BH2035" s="77"/>
      <c r="BI2035" s="77"/>
    </row>
    <row r="2036" spans="1:61" x14ac:dyDescent="0.25">
      <c r="A2036" s="62" t="s">
        <v>713</v>
      </c>
      <c r="B2036" s="62" t="s">
        <v>717</v>
      </c>
      <c r="C2036" s="63"/>
      <c r="D2036" s="64"/>
      <c r="E2036" s="65"/>
      <c r="F2036" s="66"/>
      <c r="G2036" s="63"/>
      <c r="H2036" s="67"/>
      <c r="I2036" s="68"/>
      <c r="J2036" s="68"/>
      <c r="K2036" s="32"/>
      <c r="L2036" s="75">
        <v>2036</v>
      </c>
      <c r="M2036" s="75"/>
      <c r="N2036" s="70"/>
      <c r="O2036" s="77" t="s">
        <v>896</v>
      </c>
      <c r="P2036" s="79">
        <v>45133.601099537038</v>
      </c>
      <c r="Q2036" s="77" t="s">
        <v>2711</v>
      </c>
      <c r="R2036" s="77">
        <v>0</v>
      </c>
      <c r="S2036" s="77">
        <v>0</v>
      </c>
      <c r="T2036" s="77">
        <v>0</v>
      </c>
      <c r="U2036" s="77">
        <v>0</v>
      </c>
      <c r="V2036" s="77">
        <v>64</v>
      </c>
      <c r="W2036" s="82" t="s">
        <v>5889</v>
      </c>
      <c r="X2036" s="77"/>
      <c r="Y2036" s="77"/>
      <c r="Z2036" s="77"/>
      <c r="AA2036" s="77"/>
      <c r="AB2036" s="77"/>
      <c r="AC2036" s="82" t="s">
        <v>7750</v>
      </c>
      <c r="AD2036" s="77" t="s">
        <v>7796</v>
      </c>
      <c r="AE2036" s="80" t="str">
        <f>HYPERLINK("https://twitter.com/auditorinterno/status/1684208346893627395")</f>
        <v>https://twitter.com/auditorinterno/status/1684208346893627395</v>
      </c>
      <c r="AF2036" s="79">
        <v>45133.601099537038</v>
      </c>
      <c r="AG2036" s="85">
        <v>45133</v>
      </c>
      <c r="AH2036" s="82" t="s">
        <v>9526</v>
      </c>
      <c r="AI2036" s="77"/>
      <c r="AJ2036" s="77"/>
      <c r="AK2036" s="77"/>
      <c r="AL2036" s="77"/>
      <c r="AM2036" s="77"/>
      <c r="AN2036" s="77"/>
      <c r="AO2036" s="77"/>
      <c r="AP2036" s="77"/>
      <c r="AQ2036" s="77"/>
      <c r="AR2036" s="77"/>
      <c r="AS2036" s="77"/>
      <c r="AT2036" s="77"/>
      <c r="AU2036" s="77"/>
      <c r="AV2036" s="80" t="str">
        <f>HYPERLINK("https://pbs.twimg.com/profile_images/1609841078785527808/VyY0Gh3N_normal.jpg")</f>
        <v>https://pbs.twimg.com/profile_images/1609841078785527808/VyY0Gh3N_normal.jpg</v>
      </c>
      <c r="AW2036" s="82" t="s">
        <v>13632</v>
      </c>
      <c r="AX2036" s="82" t="s">
        <v>13632</v>
      </c>
      <c r="AY2036" s="77"/>
      <c r="AZ2036" s="82" t="s">
        <v>15984</v>
      </c>
      <c r="BA2036" s="82" t="s">
        <v>13623</v>
      </c>
      <c r="BB2036" s="82" t="s">
        <v>15984</v>
      </c>
      <c r="BC2036" s="82" t="s">
        <v>13623</v>
      </c>
      <c r="BD2036" s="77">
        <v>183200672</v>
      </c>
      <c r="BE2036" s="77"/>
      <c r="BF2036" s="77"/>
      <c r="BG2036" s="77"/>
      <c r="BH2036" s="77"/>
      <c r="BI2036" s="77"/>
    </row>
    <row r="2037" spans="1:61" x14ac:dyDescent="0.25">
      <c r="A2037" s="62" t="s">
        <v>713</v>
      </c>
      <c r="B2037" s="62" t="s">
        <v>717</v>
      </c>
      <c r="C2037" s="63"/>
      <c r="D2037" s="64"/>
      <c r="E2037" s="65"/>
      <c r="F2037" s="66"/>
      <c r="G2037" s="63"/>
      <c r="H2037" s="67"/>
      <c r="I2037" s="68"/>
      <c r="J2037" s="68"/>
      <c r="K2037" s="32"/>
      <c r="L2037" s="75">
        <v>2037</v>
      </c>
      <c r="M2037" s="75"/>
      <c r="N2037" s="70"/>
      <c r="O2037" s="77" t="s">
        <v>896</v>
      </c>
      <c r="P2037" s="79">
        <v>45169.420023148145</v>
      </c>
      <c r="Q2037" s="77" t="s">
        <v>2676</v>
      </c>
      <c r="R2037" s="77">
        <v>0</v>
      </c>
      <c r="S2037" s="77">
        <v>1</v>
      </c>
      <c r="T2037" s="77">
        <v>0</v>
      </c>
      <c r="U2037" s="77">
        <v>0</v>
      </c>
      <c r="V2037" s="77">
        <v>205</v>
      </c>
      <c r="W2037" s="82" t="s">
        <v>4821</v>
      </c>
      <c r="X2037" s="77"/>
      <c r="Y2037" s="77"/>
      <c r="Z2037" s="77"/>
      <c r="AA2037" s="77"/>
      <c r="AB2037" s="77"/>
      <c r="AC2037" s="82" t="s">
        <v>7750</v>
      </c>
      <c r="AD2037" s="77" t="s">
        <v>7796</v>
      </c>
      <c r="AE2037" s="80" t="str">
        <f>HYPERLINK("https://twitter.com/auditorinterno/status/1697188691347661207")</f>
        <v>https://twitter.com/auditorinterno/status/1697188691347661207</v>
      </c>
      <c r="AF2037" s="79">
        <v>45169.420023148145</v>
      </c>
      <c r="AG2037" s="85">
        <v>45169</v>
      </c>
      <c r="AH2037" s="82" t="s">
        <v>9527</v>
      </c>
      <c r="AI2037" s="77"/>
      <c r="AJ2037" s="77"/>
      <c r="AK2037" s="77"/>
      <c r="AL2037" s="77"/>
      <c r="AM2037" s="77"/>
      <c r="AN2037" s="77"/>
      <c r="AO2037" s="77"/>
      <c r="AP2037" s="77"/>
      <c r="AQ2037" s="77"/>
      <c r="AR2037" s="77"/>
      <c r="AS2037" s="77"/>
      <c r="AT2037" s="77"/>
      <c r="AU2037" s="77"/>
      <c r="AV2037" s="80" t="str">
        <f>HYPERLINK("https://pbs.twimg.com/profile_images/1609841078785527808/VyY0Gh3N_normal.jpg")</f>
        <v>https://pbs.twimg.com/profile_images/1609841078785527808/VyY0Gh3N_normal.jpg</v>
      </c>
      <c r="AW2037" s="82" t="s">
        <v>13633</v>
      </c>
      <c r="AX2037" s="82" t="s">
        <v>13633</v>
      </c>
      <c r="AY2037" s="77"/>
      <c r="AZ2037" s="82" t="s">
        <v>15984</v>
      </c>
      <c r="BA2037" s="82" t="s">
        <v>13626</v>
      </c>
      <c r="BB2037" s="82" t="s">
        <v>15984</v>
      </c>
      <c r="BC2037" s="82" t="s">
        <v>13626</v>
      </c>
      <c r="BD2037" s="77">
        <v>183200672</v>
      </c>
      <c r="BE2037" s="77"/>
      <c r="BF2037" s="77"/>
      <c r="BG2037" s="77"/>
      <c r="BH2037" s="77"/>
      <c r="BI2037" s="77"/>
    </row>
    <row r="2038" spans="1:61" x14ac:dyDescent="0.25">
      <c r="A2038" s="62" t="s">
        <v>713</v>
      </c>
      <c r="B2038" s="62" t="s">
        <v>717</v>
      </c>
      <c r="C2038" s="63"/>
      <c r="D2038" s="64"/>
      <c r="E2038" s="65"/>
      <c r="F2038" s="66"/>
      <c r="G2038" s="63"/>
      <c r="H2038" s="67"/>
      <c r="I2038" s="68"/>
      <c r="J2038" s="68"/>
      <c r="K2038" s="32"/>
      <c r="L2038" s="75">
        <v>2038</v>
      </c>
      <c r="M2038" s="75"/>
      <c r="N2038" s="70"/>
      <c r="O2038" s="77" t="s">
        <v>896</v>
      </c>
      <c r="P2038" s="79">
        <v>45139.433981481481</v>
      </c>
      <c r="Q2038" s="77" t="s">
        <v>2676</v>
      </c>
      <c r="R2038" s="77">
        <v>0</v>
      </c>
      <c r="S2038" s="77">
        <v>1</v>
      </c>
      <c r="T2038" s="77">
        <v>0</v>
      </c>
      <c r="U2038" s="77">
        <v>0</v>
      </c>
      <c r="V2038" s="77">
        <v>96</v>
      </c>
      <c r="W2038" s="82" t="s">
        <v>4821</v>
      </c>
      <c r="X2038" s="77"/>
      <c r="Y2038" s="77"/>
      <c r="Z2038" s="77"/>
      <c r="AA2038" s="77"/>
      <c r="AB2038" s="77"/>
      <c r="AC2038" s="82" t="s">
        <v>7752</v>
      </c>
      <c r="AD2038" s="77" t="s">
        <v>7796</v>
      </c>
      <c r="AE2038" s="80" t="str">
        <f>HYPERLINK("https://twitter.com/auditorinterno/status/1686322110984032256")</f>
        <v>https://twitter.com/auditorinterno/status/1686322110984032256</v>
      </c>
      <c r="AF2038" s="79">
        <v>45139.433981481481</v>
      </c>
      <c r="AG2038" s="85">
        <v>45139</v>
      </c>
      <c r="AH2038" s="82" t="s">
        <v>9528</v>
      </c>
      <c r="AI2038" s="77"/>
      <c r="AJ2038" s="77"/>
      <c r="AK2038" s="77"/>
      <c r="AL2038" s="77"/>
      <c r="AM2038" s="77"/>
      <c r="AN2038" s="77"/>
      <c r="AO2038" s="77"/>
      <c r="AP2038" s="77"/>
      <c r="AQ2038" s="77"/>
      <c r="AR2038" s="77"/>
      <c r="AS2038" s="77"/>
      <c r="AT2038" s="77"/>
      <c r="AU2038" s="77"/>
      <c r="AV2038" s="80" t="str">
        <f>HYPERLINK("https://pbs.twimg.com/profile_images/1609841078785527808/VyY0Gh3N_normal.jpg")</f>
        <v>https://pbs.twimg.com/profile_images/1609841078785527808/VyY0Gh3N_normal.jpg</v>
      </c>
      <c r="AW2038" s="82" t="s">
        <v>13634</v>
      </c>
      <c r="AX2038" s="82" t="s">
        <v>13634</v>
      </c>
      <c r="AY2038" s="77"/>
      <c r="AZ2038" s="82" t="s">
        <v>15984</v>
      </c>
      <c r="BA2038" s="82" t="s">
        <v>13621</v>
      </c>
      <c r="BB2038" s="82" t="s">
        <v>15984</v>
      </c>
      <c r="BC2038" s="82" t="s">
        <v>13621</v>
      </c>
      <c r="BD2038" s="77">
        <v>183200672</v>
      </c>
      <c r="BE2038" s="77"/>
      <c r="BF2038" s="77"/>
      <c r="BG2038" s="77"/>
      <c r="BH2038" s="77"/>
      <c r="BI2038" s="77"/>
    </row>
    <row r="2039" spans="1:61" x14ac:dyDescent="0.25">
      <c r="A2039" s="62" t="s">
        <v>713</v>
      </c>
      <c r="B2039" s="62" t="s">
        <v>717</v>
      </c>
      <c r="C2039" s="63"/>
      <c r="D2039" s="64"/>
      <c r="E2039" s="65"/>
      <c r="F2039" s="66"/>
      <c r="G2039" s="63"/>
      <c r="H2039" s="67"/>
      <c r="I2039" s="68"/>
      <c r="J2039" s="68"/>
      <c r="K2039" s="32"/>
      <c r="L2039" s="75">
        <v>2039</v>
      </c>
      <c r="M2039" s="75"/>
      <c r="N2039" s="70"/>
      <c r="O2039" s="77" t="s">
        <v>896</v>
      </c>
      <c r="P2039" s="79">
        <v>45189.367291666669</v>
      </c>
      <c r="Q2039" s="77" t="s">
        <v>2676</v>
      </c>
      <c r="R2039" s="77">
        <v>0</v>
      </c>
      <c r="S2039" s="77">
        <v>0</v>
      </c>
      <c r="T2039" s="77">
        <v>0</v>
      </c>
      <c r="U2039" s="77">
        <v>0</v>
      </c>
      <c r="V2039" s="77">
        <v>39</v>
      </c>
      <c r="W2039" s="82" t="s">
        <v>4821</v>
      </c>
      <c r="X2039" s="77"/>
      <c r="Y2039" s="77"/>
      <c r="Z2039" s="77"/>
      <c r="AA2039" s="77"/>
      <c r="AB2039" s="77"/>
      <c r="AC2039" s="82" t="s">
        <v>7750</v>
      </c>
      <c r="AD2039" s="77" t="s">
        <v>7796</v>
      </c>
      <c r="AE2039" s="80" t="str">
        <f>HYPERLINK("https://twitter.com/auditorinterno/status/1704417338584375720")</f>
        <v>https://twitter.com/auditorinterno/status/1704417338584375720</v>
      </c>
      <c r="AF2039" s="79">
        <v>45189.367291666669</v>
      </c>
      <c r="AG2039" s="85">
        <v>45189</v>
      </c>
      <c r="AH2039" s="82" t="s">
        <v>9529</v>
      </c>
      <c r="AI2039" s="77"/>
      <c r="AJ2039" s="77"/>
      <c r="AK2039" s="77"/>
      <c r="AL2039" s="77"/>
      <c r="AM2039" s="77"/>
      <c r="AN2039" s="77"/>
      <c r="AO2039" s="77"/>
      <c r="AP2039" s="77"/>
      <c r="AQ2039" s="77"/>
      <c r="AR2039" s="77"/>
      <c r="AS2039" s="77"/>
      <c r="AT2039" s="77"/>
      <c r="AU2039" s="77"/>
      <c r="AV2039" s="80" t="str">
        <f>HYPERLINK("https://pbs.twimg.com/profile_images/1609841078785527808/VyY0Gh3N_normal.jpg")</f>
        <v>https://pbs.twimg.com/profile_images/1609841078785527808/VyY0Gh3N_normal.jpg</v>
      </c>
      <c r="AW2039" s="82" t="s">
        <v>13635</v>
      </c>
      <c r="AX2039" s="82" t="s">
        <v>13635</v>
      </c>
      <c r="AY2039" s="77"/>
      <c r="AZ2039" s="82" t="s">
        <v>15984</v>
      </c>
      <c r="BA2039" s="82" t="s">
        <v>13627</v>
      </c>
      <c r="BB2039" s="82" t="s">
        <v>15984</v>
      </c>
      <c r="BC2039" s="82" t="s">
        <v>13627</v>
      </c>
      <c r="BD2039" s="77">
        <v>183200672</v>
      </c>
      <c r="BE2039" s="77"/>
      <c r="BF2039" s="77"/>
      <c r="BG2039" s="77"/>
      <c r="BH2039" s="77"/>
      <c r="BI2039" s="77"/>
    </row>
    <row r="2040" spans="1:61" x14ac:dyDescent="0.25">
      <c r="A2040" s="62" t="s">
        <v>713</v>
      </c>
      <c r="B2040" s="62" t="s">
        <v>892</v>
      </c>
      <c r="C2040" s="63"/>
      <c r="D2040" s="64"/>
      <c r="E2040" s="65"/>
      <c r="F2040" s="66"/>
      <c r="G2040" s="63"/>
      <c r="H2040" s="67"/>
      <c r="I2040" s="68"/>
      <c r="J2040" s="68"/>
      <c r="K2040" s="32"/>
      <c r="L2040" s="75">
        <v>2040</v>
      </c>
      <c r="M2040" s="75"/>
      <c r="N2040" s="70"/>
      <c r="O2040" s="77" t="s">
        <v>895</v>
      </c>
      <c r="P2040" s="79">
        <v>45131.471562500003</v>
      </c>
      <c r="Q2040" s="77" t="s">
        <v>2712</v>
      </c>
      <c r="R2040" s="77">
        <v>0</v>
      </c>
      <c r="S2040" s="77">
        <v>1</v>
      </c>
      <c r="T2040" s="77">
        <v>0</v>
      </c>
      <c r="U2040" s="77">
        <v>0</v>
      </c>
      <c r="V2040" s="77">
        <v>55</v>
      </c>
      <c r="W2040" s="82" t="s">
        <v>4821</v>
      </c>
      <c r="X2040" s="80" t="str">
        <f>HYPERLINK("https://www.eleconomista.es/mercados-cotizaciones/noticias/12381612/07/23/los-expertos-esperan-el-final-del-ciclo-de-subidas-de-tipos-esta-semana.html")</f>
        <v>https://www.eleconomista.es/mercados-cotizaciones/noticias/12381612/07/23/los-expertos-esperan-el-final-del-ciclo-de-subidas-de-tipos-esta-semana.html</v>
      </c>
      <c r="Y2040" s="77" t="s">
        <v>6560</v>
      </c>
      <c r="Z2040" s="77" t="s">
        <v>892</v>
      </c>
      <c r="AA2040" s="77"/>
      <c r="AB2040" s="77"/>
      <c r="AC2040" s="82" t="s">
        <v>7750</v>
      </c>
      <c r="AD2040" s="77" t="s">
        <v>7790</v>
      </c>
      <c r="AE2040" s="80" t="str">
        <f>HYPERLINK("https://twitter.com/auditorinterno/status/1683436629304700928")</f>
        <v>https://twitter.com/auditorinterno/status/1683436629304700928</v>
      </c>
      <c r="AF2040" s="79">
        <v>45131.471562500003</v>
      </c>
      <c r="AG2040" s="85">
        <v>45131</v>
      </c>
      <c r="AH2040" s="82" t="s">
        <v>9530</v>
      </c>
      <c r="AI2040" s="77" t="b">
        <v>0</v>
      </c>
      <c r="AJ2040" s="77"/>
      <c r="AK2040" s="77"/>
      <c r="AL2040" s="77"/>
      <c r="AM2040" s="77"/>
      <c r="AN2040" s="77"/>
      <c r="AO2040" s="77"/>
      <c r="AP2040" s="77"/>
      <c r="AQ2040" s="77"/>
      <c r="AR2040" s="77"/>
      <c r="AS2040" s="77"/>
      <c r="AT2040" s="77"/>
      <c r="AU2040" s="77"/>
      <c r="AV2040" s="80" t="str">
        <f>HYPERLINK("https://pbs.twimg.com/profile_images/1609841078785527808/VyY0Gh3N_normal.jpg")</f>
        <v>https://pbs.twimg.com/profile_images/1609841078785527808/VyY0Gh3N_normal.jpg</v>
      </c>
      <c r="AW2040" s="82" t="s">
        <v>13636</v>
      </c>
      <c r="AX2040" s="82" t="s">
        <v>13636</v>
      </c>
      <c r="AY2040" s="77"/>
      <c r="AZ2040" s="82" t="s">
        <v>15984</v>
      </c>
      <c r="BA2040" s="82" t="s">
        <v>15984</v>
      </c>
      <c r="BB2040" s="82" t="s">
        <v>15984</v>
      </c>
      <c r="BC2040" s="82" t="s">
        <v>13636</v>
      </c>
      <c r="BD2040" s="77">
        <v>183200672</v>
      </c>
      <c r="BE2040" s="77"/>
      <c r="BF2040" s="77"/>
      <c r="BG2040" s="77"/>
      <c r="BH2040" s="77"/>
      <c r="BI2040" s="77"/>
    </row>
    <row r="2041" spans="1:61" x14ac:dyDescent="0.25">
      <c r="A2041" s="62" t="s">
        <v>713</v>
      </c>
      <c r="B2041" s="62" t="s">
        <v>892</v>
      </c>
      <c r="C2041" s="63"/>
      <c r="D2041" s="64"/>
      <c r="E2041" s="65"/>
      <c r="F2041" s="66"/>
      <c r="G2041" s="63"/>
      <c r="H2041" s="67"/>
      <c r="I2041" s="68"/>
      <c r="J2041" s="68"/>
      <c r="K2041" s="32"/>
      <c r="L2041" s="75">
        <v>2041</v>
      </c>
      <c r="M2041" s="75"/>
      <c r="N2041" s="70"/>
      <c r="O2041" s="77" t="s">
        <v>895</v>
      </c>
      <c r="P2041" s="79">
        <v>45141.448437500003</v>
      </c>
      <c r="Q2041" s="77" t="s">
        <v>2713</v>
      </c>
      <c r="R2041" s="77">
        <v>0</v>
      </c>
      <c r="S2041" s="77">
        <v>1</v>
      </c>
      <c r="T2041" s="77">
        <v>0</v>
      </c>
      <c r="U2041" s="77">
        <v>0</v>
      </c>
      <c r="V2041" s="77">
        <v>58</v>
      </c>
      <c r="W2041" s="82" t="s">
        <v>5876</v>
      </c>
      <c r="X2041" s="80" t="str">
        <f>HYPERLINK("https://www.eleconomista.es/economia/noticias/12394892/08/23/la-maldicion-de-la-productividad-atrapa-de-nuevo-a-la-economia-se-hunde-en-mitad-de-una-creacion-de-empleo-record.html")</f>
        <v>https://www.eleconomista.es/economia/noticias/12394892/08/23/la-maldicion-de-la-productividad-atrapa-de-nuevo-a-la-economia-se-hunde-en-mitad-de-una-creacion-de-empleo-record.html</v>
      </c>
      <c r="Y2041" s="77" t="s">
        <v>6560</v>
      </c>
      <c r="Z2041" s="77" t="s">
        <v>892</v>
      </c>
      <c r="AA2041" s="77"/>
      <c r="AB2041" s="77"/>
      <c r="AC2041" s="82" t="s">
        <v>7750</v>
      </c>
      <c r="AD2041" s="77" t="s">
        <v>7790</v>
      </c>
      <c r="AE2041" s="80" t="str">
        <f>HYPERLINK("https://twitter.com/auditorinterno/status/1687052127527477248")</f>
        <v>https://twitter.com/auditorinterno/status/1687052127527477248</v>
      </c>
      <c r="AF2041" s="79">
        <v>45141.448437500003</v>
      </c>
      <c r="AG2041" s="85">
        <v>45141</v>
      </c>
      <c r="AH2041" s="82" t="s">
        <v>9531</v>
      </c>
      <c r="AI2041" s="77" t="b">
        <v>0</v>
      </c>
      <c r="AJ2041" s="77"/>
      <c r="AK2041" s="77"/>
      <c r="AL2041" s="77"/>
      <c r="AM2041" s="77"/>
      <c r="AN2041" s="77"/>
      <c r="AO2041" s="77"/>
      <c r="AP2041" s="77"/>
      <c r="AQ2041" s="77"/>
      <c r="AR2041" s="77"/>
      <c r="AS2041" s="77"/>
      <c r="AT2041" s="77"/>
      <c r="AU2041" s="77"/>
      <c r="AV2041" s="80" t="str">
        <f>HYPERLINK("https://pbs.twimg.com/profile_images/1609841078785527808/VyY0Gh3N_normal.jpg")</f>
        <v>https://pbs.twimg.com/profile_images/1609841078785527808/VyY0Gh3N_normal.jpg</v>
      </c>
      <c r="AW2041" s="82" t="s">
        <v>13637</v>
      </c>
      <c r="AX2041" s="82" t="s">
        <v>13637</v>
      </c>
      <c r="AY2041" s="77"/>
      <c r="AZ2041" s="82" t="s">
        <v>15984</v>
      </c>
      <c r="BA2041" s="82" t="s">
        <v>15984</v>
      </c>
      <c r="BB2041" s="82" t="s">
        <v>15984</v>
      </c>
      <c r="BC2041" s="82" t="s">
        <v>13637</v>
      </c>
      <c r="BD2041" s="77">
        <v>183200672</v>
      </c>
      <c r="BE2041" s="77"/>
      <c r="BF2041" s="77"/>
      <c r="BG2041" s="77"/>
      <c r="BH2041" s="77"/>
      <c r="BI2041" s="77"/>
    </row>
    <row r="2042" spans="1:61" x14ac:dyDescent="0.25">
      <c r="A2042" s="62" t="s">
        <v>713</v>
      </c>
      <c r="B2042" s="62" t="s">
        <v>892</v>
      </c>
      <c r="C2042" s="63"/>
      <c r="D2042" s="64"/>
      <c r="E2042" s="65"/>
      <c r="F2042" s="66"/>
      <c r="G2042" s="63"/>
      <c r="H2042" s="67"/>
      <c r="I2042" s="68"/>
      <c r="J2042" s="68"/>
      <c r="K2042" s="32"/>
      <c r="L2042" s="75">
        <v>2042</v>
      </c>
      <c r="M2042" s="75"/>
      <c r="N2042" s="70"/>
      <c r="O2042" s="77" t="s">
        <v>895</v>
      </c>
      <c r="P2042" s="79">
        <v>45145.620115740741</v>
      </c>
      <c r="Q2042" s="77" t="s">
        <v>2714</v>
      </c>
      <c r="R2042" s="77">
        <v>0</v>
      </c>
      <c r="S2042" s="77">
        <v>1</v>
      </c>
      <c r="T2042" s="77">
        <v>0</v>
      </c>
      <c r="U2042" s="77">
        <v>0</v>
      </c>
      <c r="V2042" s="77">
        <v>85</v>
      </c>
      <c r="W2042" s="82" t="s">
        <v>5879</v>
      </c>
      <c r="X2042" s="80" t="str">
        <f>HYPERLINK("https://www.eleconomista.es/economia/noticias/12396686/08/23/el-peor-segundo-trimestre-de-empleo-para-la-industria-en-una-decada-no-se-explica-por-un-trasvase-a-servicios.html")</f>
        <v>https://www.eleconomista.es/economia/noticias/12396686/08/23/el-peor-segundo-trimestre-de-empleo-para-la-industria-en-una-decada-no-se-explica-por-un-trasvase-a-servicios.html</v>
      </c>
      <c r="Y2042" s="77" t="s">
        <v>6560</v>
      </c>
      <c r="Z2042" s="77" t="s">
        <v>892</v>
      </c>
      <c r="AA2042" s="77"/>
      <c r="AB2042" s="77"/>
      <c r="AC2042" s="82" t="s">
        <v>7750</v>
      </c>
      <c r="AD2042" s="77" t="s">
        <v>7790</v>
      </c>
      <c r="AE2042" s="80" t="str">
        <f>HYPERLINK("https://twitter.com/auditorinterno/status/1688563890307702784")</f>
        <v>https://twitter.com/auditorinterno/status/1688563890307702784</v>
      </c>
      <c r="AF2042" s="79">
        <v>45145.620115740741</v>
      </c>
      <c r="AG2042" s="85">
        <v>45145</v>
      </c>
      <c r="AH2042" s="82" t="s">
        <v>9532</v>
      </c>
      <c r="AI2042" s="77" t="b">
        <v>0</v>
      </c>
      <c r="AJ2042" s="77"/>
      <c r="AK2042" s="77"/>
      <c r="AL2042" s="77"/>
      <c r="AM2042" s="77"/>
      <c r="AN2042" s="77"/>
      <c r="AO2042" s="77"/>
      <c r="AP2042" s="77"/>
      <c r="AQ2042" s="77"/>
      <c r="AR2042" s="77"/>
      <c r="AS2042" s="77"/>
      <c r="AT2042" s="77"/>
      <c r="AU2042" s="77"/>
      <c r="AV2042" s="80" t="str">
        <f>HYPERLINK("https://pbs.twimg.com/profile_images/1609841078785527808/VyY0Gh3N_normal.jpg")</f>
        <v>https://pbs.twimg.com/profile_images/1609841078785527808/VyY0Gh3N_normal.jpg</v>
      </c>
      <c r="AW2042" s="82" t="s">
        <v>13638</v>
      </c>
      <c r="AX2042" s="82" t="s">
        <v>13638</v>
      </c>
      <c r="AY2042" s="77"/>
      <c r="AZ2042" s="82" t="s">
        <v>15984</v>
      </c>
      <c r="BA2042" s="82" t="s">
        <v>15984</v>
      </c>
      <c r="BB2042" s="82" t="s">
        <v>15984</v>
      </c>
      <c r="BC2042" s="82" t="s">
        <v>13638</v>
      </c>
      <c r="BD2042" s="77">
        <v>183200672</v>
      </c>
      <c r="BE2042" s="77"/>
      <c r="BF2042" s="77"/>
      <c r="BG2042" s="77"/>
      <c r="BH2042" s="77"/>
      <c r="BI2042" s="77"/>
    </row>
    <row r="2043" spans="1:61" x14ac:dyDescent="0.25">
      <c r="A2043" s="62" t="s">
        <v>713</v>
      </c>
      <c r="B2043" s="62" t="s">
        <v>892</v>
      </c>
      <c r="C2043" s="63"/>
      <c r="D2043" s="64"/>
      <c r="E2043" s="65"/>
      <c r="F2043" s="66"/>
      <c r="G2043" s="63"/>
      <c r="H2043" s="67"/>
      <c r="I2043" s="68"/>
      <c r="J2043" s="68"/>
      <c r="K2043" s="32"/>
      <c r="L2043" s="75">
        <v>2043</v>
      </c>
      <c r="M2043" s="75"/>
      <c r="N2043" s="70"/>
      <c r="O2043" s="77" t="s">
        <v>895</v>
      </c>
      <c r="P2043" s="79">
        <v>45166.733946759261</v>
      </c>
      <c r="Q2043" s="77" t="s">
        <v>2715</v>
      </c>
      <c r="R2043" s="77">
        <v>0</v>
      </c>
      <c r="S2043" s="77">
        <v>1</v>
      </c>
      <c r="T2043" s="77">
        <v>0</v>
      </c>
      <c r="U2043" s="77">
        <v>0</v>
      </c>
      <c r="V2043" s="77">
        <v>119</v>
      </c>
      <c r="W2043" s="82" t="s">
        <v>4821</v>
      </c>
      <c r="X2043" s="80" t="str">
        <f>HYPERLINK("https://www.eleconomista.es/economia/noticias/12421123/08/23/la-eurozona-emite-mas-senales-preocupantes-los-prestamos-y-el-crecimiento-del-dinero-aflojaron-mas-de-lo-previsto-en-julio.html")</f>
        <v>https://www.eleconomista.es/economia/noticias/12421123/08/23/la-eurozona-emite-mas-senales-preocupantes-los-prestamos-y-el-crecimiento-del-dinero-aflojaron-mas-de-lo-previsto-en-julio.html</v>
      </c>
      <c r="Y2043" s="77" t="s">
        <v>6560</v>
      </c>
      <c r="Z2043" s="77" t="s">
        <v>892</v>
      </c>
      <c r="AA2043" s="77"/>
      <c r="AB2043" s="77"/>
      <c r="AC2043" s="82" t="s">
        <v>7750</v>
      </c>
      <c r="AD2043" s="77" t="s">
        <v>7790</v>
      </c>
      <c r="AE2043" s="80" t="str">
        <f>HYPERLINK("https://twitter.com/auditorinterno/status/1696215289917055413")</f>
        <v>https://twitter.com/auditorinterno/status/1696215289917055413</v>
      </c>
      <c r="AF2043" s="79">
        <v>45166.733946759261</v>
      </c>
      <c r="AG2043" s="85">
        <v>45166</v>
      </c>
      <c r="AH2043" s="82" t="s">
        <v>9533</v>
      </c>
      <c r="AI2043" s="77" t="b">
        <v>0</v>
      </c>
      <c r="AJ2043" s="77"/>
      <c r="AK2043" s="77"/>
      <c r="AL2043" s="77"/>
      <c r="AM2043" s="77"/>
      <c r="AN2043" s="77"/>
      <c r="AO2043" s="77"/>
      <c r="AP2043" s="77"/>
      <c r="AQ2043" s="77"/>
      <c r="AR2043" s="77"/>
      <c r="AS2043" s="77"/>
      <c r="AT2043" s="77"/>
      <c r="AU2043" s="77"/>
      <c r="AV2043" s="80" t="str">
        <f>HYPERLINK("https://pbs.twimg.com/profile_images/1609841078785527808/VyY0Gh3N_normal.jpg")</f>
        <v>https://pbs.twimg.com/profile_images/1609841078785527808/VyY0Gh3N_normal.jpg</v>
      </c>
      <c r="AW2043" s="82" t="s">
        <v>13639</v>
      </c>
      <c r="AX2043" s="82" t="s">
        <v>13639</v>
      </c>
      <c r="AY2043" s="77"/>
      <c r="AZ2043" s="82" t="s">
        <v>15984</v>
      </c>
      <c r="BA2043" s="82" t="s">
        <v>15984</v>
      </c>
      <c r="BB2043" s="82" t="s">
        <v>15984</v>
      </c>
      <c r="BC2043" s="82" t="s">
        <v>13639</v>
      </c>
      <c r="BD2043" s="77">
        <v>183200672</v>
      </c>
      <c r="BE2043" s="77"/>
      <c r="BF2043" s="77"/>
      <c r="BG2043" s="77"/>
      <c r="BH2043" s="77"/>
      <c r="BI2043" s="77"/>
    </row>
    <row r="2044" spans="1:61" x14ac:dyDescent="0.25">
      <c r="A2044" s="62" t="s">
        <v>713</v>
      </c>
      <c r="B2044" s="62" t="s">
        <v>892</v>
      </c>
      <c r="C2044" s="63"/>
      <c r="D2044" s="64"/>
      <c r="E2044" s="65"/>
      <c r="F2044" s="66"/>
      <c r="G2044" s="63"/>
      <c r="H2044" s="67"/>
      <c r="I2044" s="68"/>
      <c r="J2044" s="68"/>
      <c r="K2044" s="32"/>
      <c r="L2044" s="75">
        <v>2044</v>
      </c>
      <c r="M2044" s="75"/>
      <c r="N2044" s="70"/>
      <c r="O2044" s="77" t="s">
        <v>895</v>
      </c>
      <c r="P2044" s="79">
        <v>45128.464872685188</v>
      </c>
      <c r="Q2044" s="77" t="s">
        <v>2716</v>
      </c>
      <c r="R2044" s="77">
        <v>0</v>
      </c>
      <c r="S2044" s="77">
        <v>0</v>
      </c>
      <c r="T2044" s="77">
        <v>0</v>
      </c>
      <c r="U2044" s="77">
        <v>0</v>
      </c>
      <c r="V2044" s="77">
        <v>53</v>
      </c>
      <c r="W2044" s="82" t="s">
        <v>4821</v>
      </c>
      <c r="X2044" s="80" t="str">
        <f>HYPERLINK("https://www.eleconomista.es/economia/noticias/12378756/07/23/el-secreto-del-boom-de-las-exportaciones-la-devaluacion-de-salarios-de-la-crisis-de-2012-todavia-concede-ventaja-a-las-empresas-espanolas.html")</f>
        <v>https://www.eleconomista.es/economia/noticias/12378756/07/23/el-secreto-del-boom-de-las-exportaciones-la-devaluacion-de-salarios-de-la-crisis-de-2012-todavia-concede-ventaja-a-las-empresas-espanolas.html</v>
      </c>
      <c r="Y2044" s="77" t="s">
        <v>6560</v>
      </c>
      <c r="Z2044" s="77" t="s">
        <v>892</v>
      </c>
      <c r="AA2044" s="77"/>
      <c r="AB2044" s="77"/>
      <c r="AC2044" s="82" t="s">
        <v>7750</v>
      </c>
      <c r="AD2044" s="77" t="s">
        <v>7790</v>
      </c>
      <c r="AE2044" s="80" t="str">
        <f>HYPERLINK("https://twitter.com/auditorinterno/status/1682347039521226752")</f>
        <v>https://twitter.com/auditorinterno/status/1682347039521226752</v>
      </c>
      <c r="AF2044" s="79">
        <v>45128.464872685188</v>
      </c>
      <c r="AG2044" s="85">
        <v>45128</v>
      </c>
      <c r="AH2044" s="82" t="s">
        <v>9534</v>
      </c>
      <c r="AI2044" s="77" t="b">
        <v>0</v>
      </c>
      <c r="AJ2044" s="77"/>
      <c r="AK2044" s="77"/>
      <c r="AL2044" s="77"/>
      <c r="AM2044" s="77"/>
      <c r="AN2044" s="77"/>
      <c r="AO2044" s="77"/>
      <c r="AP2044" s="77"/>
      <c r="AQ2044" s="77"/>
      <c r="AR2044" s="77"/>
      <c r="AS2044" s="77"/>
      <c r="AT2044" s="77"/>
      <c r="AU2044" s="77"/>
      <c r="AV2044" s="80" t="str">
        <f>HYPERLINK("https://pbs.twimg.com/profile_images/1609841078785527808/VyY0Gh3N_normal.jpg")</f>
        <v>https://pbs.twimg.com/profile_images/1609841078785527808/VyY0Gh3N_normal.jpg</v>
      </c>
      <c r="AW2044" s="82" t="s">
        <v>13640</v>
      </c>
      <c r="AX2044" s="82" t="s">
        <v>13640</v>
      </c>
      <c r="AY2044" s="77"/>
      <c r="AZ2044" s="82" t="s">
        <v>15984</v>
      </c>
      <c r="BA2044" s="82" t="s">
        <v>15984</v>
      </c>
      <c r="BB2044" s="82" t="s">
        <v>15984</v>
      </c>
      <c r="BC2044" s="82" t="s">
        <v>13640</v>
      </c>
      <c r="BD2044" s="77">
        <v>183200672</v>
      </c>
      <c r="BE2044" s="77"/>
      <c r="BF2044" s="77"/>
      <c r="BG2044" s="77"/>
      <c r="BH2044" s="77"/>
      <c r="BI2044" s="77"/>
    </row>
    <row r="2045" spans="1:61" x14ac:dyDescent="0.25">
      <c r="A2045" s="62" t="s">
        <v>713</v>
      </c>
      <c r="B2045" s="62" t="s">
        <v>892</v>
      </c>
      <c r="C2045" s="63"/>
      <c r="D2045" s="64"/>
      <c r="E2045" s="65"/>
      <c r="F2045" s="66"/>
      <c r="G2045" s="63"/>
      <c r="H2045" s="67"/>
      <c r="I2045" s="68"/>
      <c r="J2045" s="68"/>
      <c r="K2045" s="32"/>
      <c r="L2045" s="75">
        <v>2045</v>
      </c>
      <c r="M2045" s="75"/>
      <c r="N2045" s="70"/>
      <c r="O2045" s="77" t="s">
        <v>895</v>
      </c>
      <c r="P2045" s="79">
        <v>45168.702905092592</v>
      </c>
      <c r="Q2045" s="77" t="s">
        <v>2717</v>
      </c>
      <c r="R2045" s="77">
        <v>0</v>
      </c>
      <c r="S2045" s="77">
        <v>1</v>
      </c>
      <c r="T2045" s="77">
        <v>0</v>
      </c>
      <c r="U2045" s="77">
        <v>0</v>
      </c>
      <c r="V2045" s="77">
        <v>143</v>
      </c>
      <c r="W2045" s="82" t="s">
        <v>4821</v>
      </c>
      <c r="X2045" s="80" t="str">
        <f>HYPERLINK("https://www.eleconomista.es/economia/noticias/12423869/08/23/el-euribor-da-un-pequeno-respiro-a-los-hipotecados-al-registrar-en-agosto-su-primera-caida-en-20-meses.html")</f>
        <v>https://www.eleconomista.es/economia/noticias/12423869/08/23/el-euribor-da-un-pequeno-respiro-a-los-hipotecados-al-registrar-en-agosto-su-primera-caida-en-20-meses.html</v>
      </c>
      <c r="Y2045" s="77" t="s">
        <v>6560</v>
      </c>
      <c r="Z2045" s="77" t="s">
        <v>892</v>
      </c>
      <c r="AA2045" s="77"/>
      <c r="AB2045" s="77"/>
      <c r="AC2045" s="82" t="s">
        <v>7750</v>
      </c>
      <c r="AD2045" s="77" t="s">
        <v>7790</v>
      </c>
      <c r="AE2045" s="80" t="str">
        <f>HYPERLINK("https://twitter.com/auditorinterno/status/1696928815170158597")</f>
        <v>https://twitter.com/auditorinterno/status/1696928815170158597</v>
      </c>
      <c r="AF2045" s="79">
        <v>45168.702905092592</v>
      </c>
      <c r="AG2045" s="85">
        <v>45168</v>
      </c>
      <c r="AH2045" s="82" t="s">
        <v>9535</v>
      </c>
      <c r="AI2045" s="77" t="b">
        <v>0</v>
      </c>
      <c r="AJ2045" s="77"/>
      <c r="AK2045" s="77"/>
      <c r="AL2045" s="77"/>
      <c r="AM2045" s="77"/>
      <c r="AN2045" s="77"/>
      <c r="AO2045" s="77"/>
      <c r="AP2045" s="77"/>
      <c r="AQ2045" s="77"/>
      <c r="AR2045" s="77"/>
      <c r="AS2045" s="77"/>
      <c r="AT2045" s="77"/>
      <c r="AU2045" s="77"/>
      <c r="AV2045" s="80" t="str">
        <f>HYPERLINK("https://pbs.twimg.com/profile_images/1609841078785527808/VyY0Gh3N_normal.jpg")</f>
        <v>https://pbs.twimg.com/profile_images/1609841078785527808/VyY0Gh3N_normal.jpg</v>
      </c>
      <c r="AW2045" s="82" t="s">
        <v>13641</v>
      </c>
      <c r="AX2045" s="82" t="s">
        <v>13641</v>
      </c>
      <c r="AY2045" s="77"/>
      <c r="AZ2045" s="82" t="s">
        <v>15984</v>
      </c>
      <c r="BA2045" s="82" t="s">
        <v>15984</v>
      </c>
      <c r="BB2045" s="82" t="s">
        <v>15984</v>
      </c>
      <c r="BC2045" s="82" t="s">
        <v>13641</v>
      </c>
      <c r="BD2045" s="77">
        <v>183200672</v>
      </c>
      <c r="BE2045" s="77"/>
      <c r="BF2045" s="77"/>
      <c r="BG2045" s="77"/>
      <c r="BH2045" s="77"/>
      <c r="BI2045" s="77"/>
    </row>
    <row r="2046" spans="1:61" x14ac:dyDescent="0.25">
      <c r="A2046" s="62" t="s">
        <v>713</v>
      </c>
      <c r="B2046" s="62" t="s">
        <v>892</v>
      </c>
      <c r="C2046" s="63"/>
      <c r="D2046" s="64"/>
      <c r="E2046" s="65"/>
      <c r="F2046" s="66"/>
      <c r="G2046" s="63"/>
      <c r="H2046" s="67"/>
      <c r="I2046" s="68"/>
      <c r="J2046" s="68"/>
      <c r="K2046" s="32"/>
      <c r="L2046" s="75">
        <v>2046</v>
      </c>
      <c r="M2046" s="75"/>
      <c r="N2046" s="70"/>
      <c r="O2046" s="77" t="s">
        <v>895</v>
      </c>
      <c r="P2046" s="79">
        <v>45135.461967592593</v>
      </c>
      <c r="Q2046" s="77" t="s">
        <v>2718</v>
      </c>
      <c r="R2046" s="77">
        <v>0</v>
      </c>
      <c r="S2046" s="77">
        <v>1</v>
      </c>
      <c r="T2046" s="77">
        <v>0</v>
      </c>
      <c r="U2046" s="77">
        <v>0</v>
      </c>
      <c r="V2046" s="77">
        <v>60</v>
      </c>
      <c r="W2046" s="82" t="s">
        <v>4821</v>
      </c>
      <c r="X2046" s="80" t="str">
        <f>HYPERLINK("https://www.eleconomista.es/economia/noticias/12388554/07/23/el-ipc-repunta-hasta-el-23-en-julio-por-los-carburantes-y-la-inflacion-subyacente-escala-al-62.html")</f>
        <v>https://www.eleconomista.es/economia/noticias/12388554/07/23/el-ipc-repunta-hasta-el-23-en-julio-por-los-carburantes-y-la-inflacion-subyacente-escala-al-62.html</v>
      </c>
      <c r="Y2046" s="77" t="s">
        <v>6560</v>
      </c>
      <c r="Z2046" s="77" t="s">
        <v>892</v>
      </c>
      <c r="AA2046" s="77"/>
      <c r="AB2046" s="77"/>
      <c r="AC2046" s="82" t="s">
        <v>7750</v>
      </c>
      <c r="AD2046" s="77" t="s">
        <v>7790</v>
      </c>
      <c r="AE2046" s="80" t="str">
        <f>HYPERLINK("https://twitter.com/auditorinterno/status/1684882700971266048")</f>
        <v>https://twitter.com/auditorinterno/status/1684882700971266048</v>
      </c>
      <c r="AF2046" s="79">
        <v>45135.461967592593</v>
      </c>
      <c r="AG2046" s="85">
        <v>45135</v>
      </c>
      <c r="AH2046" s="82" t="s">
        <v>9536</v>
      </c>
      <c r="AI2046" s="77" t="b">
        <v>0</v>
      </c>
      <c r="AJ2046" s="77"/>
      <c r="AK2046" s="77"/>
      <c r="AL2046" s="77"/>
      <c r="AM2046" s="77"/>
      <c r="AN2046" s="77"/>
      <c r="AO2046" s="77"/>
      <c r="AP2046" s="77"/>
      <c r="AQ2046" s="77"/>
      <c r="AR2046" s="77"/>
      <c r="AS2046" s="77"/>
      <c r="AT2046" s="77"/>
      <c r="AU2046" s="77"/>
      <c r="AV2046" s="80" t="str">
        <f>HYPERLINK("https://pbs.twimg.com/profile_images/1609841078785527808/VyY0Gh3N_normal.jpg")</f>
        <v>https://pbs.twimg.com/profile_images/1609841078785527808/VyY0Gh3N_normal.jpg</v>
      </c>
      <c r="AW2046" s="82" t="s">
        <v>13642</v>
      </c>
      <c r="AX2046" s="82" t="s">
        <v>13642</v>
      </c>
      <c r="AY2046" s="77"/>
      <c r="AZ2046" s="82" t="s">
        <v>15984</v>
      </c>
      <c r="BA2046" s="82" t="s">
        <v>15984</v>
      </c>
      <c r="BB2046" s="82" t="s">
        <v>15984</v>
      </c>
      <c r="BC2046" s="82" t="s">
        <v>13642</v>
      </c>
      <c r="BD2046" s="77">
        <v>183200672</v>
      </c>
      <c r="BE2046" s="77"/>
      <c r="BF2046" s="77"/>
      <c r="BG2046" s="77"/>
      <c r="BH2046" s="77"/>
      <c r="BI2046" s="77"/>
    </row>
    <row r="2047" spans="1:61" x14ac:dyDescent="0.25">
      <c r="A2047" s="62" t="s">
        <v>713</v>
      </c>
      <c r="B2047" s="62" t="s">
        <v>892</v>
      </c>
      <c r="C2047" s="63"/>
      <c r="D2047" s="64"/>
      <c r="E2047" s="65"/>
      <c r="F2047" s="66"/>
      <c r="G2047" s="63"/>
      <c r="H2047" s="67"/>
      <c r="I2047" s="68"/>
      <c r="J2047" s="68"/>
      <c r="K2047" s="32"/>
      <c r="L2047" s="75">
        <v>2047</v>
      </c>
      <c r="M2047" s="75"/>
      <c r="N2047" s="70"/>
      <c r="O2047" s="77" t="s">
        <v>895</v>
      </c>
      <c r="P2047" s="79">
        <v>45175.385335648149</v>
      </c>
      <c r="Q2047" s="77" t="s">
        <v>2719</v>
      </c>
      <c r="R2047" s="77">
        <v>0</v>
      </c>
      <c r="S2047" s="77">
        <v>0</v>
      </c>
      <c r="T2047" s="77">
        <v>0</v>
      </c>
      <c r="U2047" s="77">
        <v>0</v>
      </c>
      <c r="V2047" s="77">
        <v>36</v>
      </c>
      <c r="W2047" s="82" t="s">
        <v>4821</v>
      </c>
      <c r="X2047" s="80" t="str">
        <f>HYPERLINK("https://www.eleconomista.es/economia/noticias/12432134/09/23/el-ahorro-de-los-hogares-europeos-se-esfuma-y-ya-ronda-el-nivel-precovid.html")</f>
        <v>https://www.eleconomista.es/economia/noticias/12432134/09/23/el-ahorro-de-los-hogares-europeos-se-esfuma-y-ya-ronda-el-nivel-precovid.html</v>
      </c>
      <c r="Y2047" s="77" t="s">
        <v>6560</v>
      </c>
      <c r="Z2047" s="77" t="s">
        <v>892</v>
      </c>
      <c r="AA2047" s="77"/>
      <c r="AB2047" s="77"/>
      <c r="AC2047" s="82" t="s">
        <v>7750</v>
      </c>
      <c r="AD2047" s="77" t="s">
        <v>7790</v>
      </c>
      <c r="AE2047" s="80" t="str">
        <f>HYPERLINK("https://twitter.com/auditorinterno/status/1699350444659691644")</f>
        <v>https://twitter.com/auditorinterno/status/1699350444659691644</v>
      </c>
      <c r="AF2047" s="79">
        <v>45175.385335648149</v>
      </c>
      <c r="AG2047" s="85">
        <v>45175</v>
      </c>
      <c r="AH2047" s="82" t="s">
        <v>9537</v>
      </c>
      <c r="AI2047" s="77" t="b">
        <v>0</v>
      </c>
      <c r="AJ2047" s="77"/>
      <c r="AK2047" s="77"/>
      <c r="AL2047" s="77"/>
      <c r="AM2047" s="77"/>
      <c r="AN2047" s="77"/>
      <c r="AO2047" s="77"/>
      <c r="AP2047" s="77"/>
      <c r="AQ2047" s="77"/>
      <c r="AR2047" s="77"/>
      <c r="AS2047" s="77"/>
      <c r="AT2047" s="77"/>
      <c r="AU2047" s="77"/>
      <c r="AV2047" s="80" t="str">
        <f>HYPERLINK("https://pbs.twimg.com/profile_images/1609841078785527808/VyY0Gh3N_normal.jpg")</f>
        <v>https://pbs.twimg.com/profile_images/1609841078785527808/VyY0Gh3N_normal.jpg</v>
      </c>
      <c r="AW2047" s="82" t="s">
        <v>13643</v>
      </c>
      <c r="AX2047" s="82" t="s">
        <v>13643</v>
      </c>
      <c r="AY2047" s="77"/>
      <c r="AZ2047" s="82" t="s">
        <v>15984</v>
      </c>
      <c r="BA2047" s="82" t="s">
        <v>15984</v>
      </c>
      <c r="BB2047" s="82" t="s">
        <v>15984</v>
      </c>
      <c r="BC2047" s="82" t="s">
        <v>13643</v>
      </c>
      <c r="BD2047" s="77">
        <v>183200672</v>
      </c>
      <c r="BE2047" s="77"/>
      <c r="BF2047" s="77"/>
      <c r="BG2047" s="77"/>
      <c r="BH2047" s="77"/>
      <c r="BI2047" s="77"/>
    </row>
    <row r="2048" spans="1:61" x14ac:dyDescent="0.25">
      <c r="A2048" s="62" t="s">
        <v>713</v>
      </c>
      <c r="B2048" s="62" t="s">
        <v>892</v>
      </c>
      <c r="C2048" s="63"/>
      <c r="D2048" s="64"/>
      <c r="E2048" s="65"/>
      <c r="F2048" s="66"/>
      <c r="G2048" s="63"/>
      <c r="H2048" s="67"/>
      <c r="I2048" s="68"/>
      <c r="J2048" s="68"/>
      <c r="K2048" s="32"/>
      <c r="L2048" s="75">
        <v>2048</v>
      </c>
      <c r="M2048" s="75"/>
      <c r="N2048" s="70"/>
      <c r="O2048" s="77" t="s">
        <v>895</v>
      </c>
      <c r="P2048" s="79">
        <v>45156.651620370372</v>
      </c>
      <c r="Q2048" s="77" t="s">
        <v>2720</v>
      </c>
      <c r="R2048" s="77">
        <v>0</v>
      </c>
      <c r="S2048" s="77">
        <v>1</v>
      </c>
      <c r="T2048" s="77">
        <v>0</v>
      </c>
      <c r="U2048" s="77">
        <v>0</v>
      </c>
      <c r="V2048" s="77">
        <v>63</v>
      </c>
      <c r="W2048" s="82" t="s">
        <v>4821</v>
      </c>
      <c r="X2048" s="80" t="str">
        <f>HYPERLINK("https://www.eleconomista.es/economia/noticias/12410968/08/23/el-secreto-de-alemania-para-superar-la-crisis-los-desconocidos-campeones-mundiales-que-tiraran-de-su-economia.html")</f>
        <v>https://www.eleconomista.es/economia/noticias/12410968/08/23/el-secreto-de-alemania-para-superar-la-crisis-los-desconocidos-campeones-mundiales-que-tiraran-de-su-economia.html</v>
      </c>
      <c r="Y2048" s="77" t="s">
        <v>6560</v>
      </c>
      <c r="Z2048" s="77" t="s">
        <v>892</v>
      </c>
      <c r="AA2048" s="77"/>
      <c r="AB2048" s="77"/>
      <c r="AC2048" s="82" t="s">
        <v>7750</v>
      </c>
      <c r="AD2048" s="77" t="s">
        <v>7790</v>
      </c>
      <c r="AE2048" s="80" t="str">
        <f>HYPERLINK("https://twitter.com/auditorinterno/status/1692561575444402476")</f>
        <v>https://twitter.com/auditorinterno/status/1692561575444402476</v>
      </c>
      <c r="AF2048" s="79">
        <v>45156.651620370372</v>
      </c>
      <c r="AG2048" s="85">
        <v>45156</v>
      </c>
      <c r="AH2048" s="82" t="s">
        <v>9538</v>
      </c>
      <c r="AI2048" s="77" t="b">
        <v>0</v>
      </c>
      <c r="AJ2048" s="77"/>
      <c r="AK2048" s="77"/>
      <c r="AL2048" s="77"/>
      <c r="AM2048" s="77"/>
      <c r="AN2048" s="77"/>
      <c r="AO2048" s="77"/>
      <c r="AP2048" s="77"/>
      <c r="AQ2048" s="77"/>
      <c r="AR2048" s="77"/>
      <c r="AS2048" s="77"/>
      <c r="AT2048" s="77"/>
      <c r="AU2048" s="77"/>
      <c r="AV2048" s="80" t="str">
        <f>HYPERLINK("https://pbs.twimg.com/profile_images/1609841078785527808/VyY0Gh3N_normal.jpg")</f>
        <v>https://pbs.twimg.com/profile_images/1609841078785527808/VyY0Gh3N_normal.jpg</v>
      </c>
      <c r="AW2048" s="82" t="s">
        <v>13644</v>
      </c>
      <c r="AX2048" s="82" t="s">
        <v>13644</v>
      </c>
      <c r="AY2048" s="77"/>
      <c r="AZ2048" s="82" t="s">
        <v>15984</v>
      </c>
      <c r="BA2048" s="82" t="s">
        <v>15984</v>
      </c>
      <c r="BB2048" s="82" t="s">
        <v>15984</v>
      </c>
      <c r="BC2048" s="82" t="s">
        <v>13644</v>
      </c>
      <c r="BD2048" s="77">
        <v>183200672</v>
      </c>
      <c r="BE2048" s="77"/>
      <c r="BF2048" s="77"/>
      <c r="BG2048" s="77"/>
      <c r="BH2048" s="77"/>
      <c r="BI2048" s="77"/>
    </row>
    <row r="2049" spans="1:61" x14ac:dyDescent="0.25">
      <c r="A2049" s="62" t="s">
        <v>713</v>
      </c>
      <c r="B2049" s="62" t="s">
        <v>892</v>
      </c>
      <c r="C2049" s="63"/>
      <c r="D2049" s="64"/>
      <c r="E2049" s="65"/>
      <c r="F2049" s="66"/>
      <c r="G2049" s="63"/>
      <c r="H2049" s="67"/>
      <c r="I2049" s="68"/>
      <c r="J2049" s="68"/>
      <c r="K2049" s="32"/>
      <c r="L2049" s="75">
        <v>2049</v>
      </c>
      <c r="M2049" s="75"/>
      <c r="N2049" s="70"/>
      <c r="O2049" s="77" t="s">
        <v>895</v>
      </c>
      <c r="P2049" s="79">
        <v>45120.394409722219</v>
      </c>
      <c r="Q2049" s="77" t="s">
        <v>2721</v>
      </c>
      <c r="R2049" s="77">
        <v>0</v>
      </c>
      <c r="S2049" s="77">
        <v>0</v>
      </c>
      <c r="T2049" s="77">
        <v>0</v>
      </c>
      <c r="U2049" s="77">
        <v>0</v>
      </c>
      <c r="V2049" s="77">
        <v>51</v>
      </c>
      <c r="W2049" s="82" t="s">
        <v>4821</v>
      </c>
      <c r="X2049" s="80" t="str">
        <f>HYPERLINK("https://www.eleconomista.es/economia/noticias/12365832/07/23/la-inflacion-se-relaja-hasta-el-3-en-eeuu-y-la-subyacente-ya-cae-por-debajo-del-5.html")</f>
        <v>https://www.eleconomista.es/economia/noticias/12365832/07/23/la-inflacion-se-relaja-hasta-el-3-en-eeuu-y-la-subyacente-ya-cae-por-debajo-del-5.html</v>
      </c>
      <c r="Y2049" s="77" t="s">
        <v>6560</v>
      </c>
      <c r="Z2049" s="77" t="s">
        <v>892</v>
      </c>
      <c r="AA2049" s="77"/>
      <c r="AB2049" s="77"/>
      <c r="AC2049" s="82" t="s">
        <v>7750</v>
      </c>
      <c r="AD2049" s="77" t="s">
        <v>7790</v>
      </c>
      <c r="AE2049" s="80" t="str">
        <f>HYPERLINK("https://twitter.com/auditorinterno/status/1679422401103253504")</f>
        <v>https://twitter.com/auditorinterno/status/1679422401103253504</v>
      </c>
      <c r="AF2049" s="79">
        <v>45120.394409722219</v>
      </c>
      <c r="AG2049" s="85">
        <v>45120</v>
      </c>
      <c r="AH2049" s="82" t="s">
        <v>9539</v>
      </c>
      <c r="AI2049" s="77" t="b">
        <v>0</v>
      </c>
      <c r="AJ2049" s="77"/>
      <c r="AK2049" s="77"/>
      <c r="AL2049" s="77"/>
      <c r="AM2049" s="77"/>
      <c r="AN2049" s="77"/>
      <c r="AO2049" s="77"/>
      <c r="AP2049" s="77"/>
      <c r="AQ2049" s="77"/>
      <c r="AR2049" s="77"/>
      <c r="AS2049" s="77"/>
      <c r="AT2049" s="77"/>
      <c r="AU2049" s="77"/>
      <c r="AV2049" s="80" t="str">
        <f>HYPERLINK("https://pbs.twimg.com/profile_images/1609841078785527808/VyY0Gh3N_normal.jpg")</f>
        <v>https://pbs.twimg.com/profile_images/1609841078785527808/VyY0Gh3N_normal.jpg</v>
      </c>
      <c r="AW2049" s="82" t="s">
        <v>13645</v>
      </c>
      <c r="AX2049" s="82" t="s">
        <v>13645</v>
      </c>
      <c r="AY2049" s="77"/>
      <c r="AZ2049" s="82" t="s">
        <v>15984</v>
      </c>
      <c r="BA2049" s="82" t="s">
        <v>15984</v>
      </c>
      <c r="BB2049" s="82" t="s">
        <v>15984</v>
      </c>
      <c r="BC2049" s="82" t="s">
        <v>13645</v>
      </c>
      <c r="BD2049" s="77">
        <v>183200672</v>
      </c>
      <c r="BE2049" s="77"/>
      <c r="BF2049" s="77"/>
      <c r="BG2049" s="77"/>
      <c r="BH2049" s="77"/>
      <c r="BI2049" s="77"/>
    </row>
    <row r="2050" spans="1:61" x14ac:dyDescent="0.25">
      <c r="A2050" s="62" t="s">
        <v>713</v>
      </c>
      <c r="B2050" s="62" t="s">
        <v>892</v>
      </c>
      <c r="C2050" s="63"/>
      <c r="D2050" s="64"/>
      <c r="E2050" s="65"/>
      <c r="F2050" s="66"/>
      <c r="G2050" s="63"/>
      <c r="H2050" s="67"/>
      <c r="I2050" s="68"/>
      <c r="J2050" s="68"/>
      <c r="K2050" s="32"/>
      <c r="L2050" s="75">
        <v>2050</v>
      </c>
      <c r="M2050" s="75"/>
      <c r="N2050" s="70"/>
      <c r="O2050" s="77" t="s">
        <v>895</v>
      </c>
      <c r="P2050" s="79">
        <v>45133.77888888889</v>
      </c>
      <c r="Q2050" s="77" t="s">
        <v>2722</v>
      </c>
      <c r="R2050" s="77">
        <v>0</v>
      </c>
      <c r="S2050" s="77">
        <v>0</v>
      </c>
      <c r="T2050" s="77">
        <v>1</v>
      </c>
      <c r="U2050" s="77">
        <v>0</v>
      </c>
      <c r="V2050" s="77">
        <v>48</v>
      </c>
      <c r="W2050" s="82" t="s">
        <v>4821</v>
      </c>
      <c r="X2050" s="80" t="str">
        <f>HYPERLINK("https://www.eleconomista.es/economia/noticias/12386431/07/23/la-fed-muestra-dudas-sube-los-tipos-en-025-puntos-y-deja-en-el-aire-la-segunda-alza-prometida.html")</f>
        <v>https://www.eleconomista.es/economia/noticias/12386431/07/23/la-fed-muestra-dudas-sube-los-tipos-en-025-puntos-y-deja-en-el-aire-la-segunda-alza-prometida.html</v>
      </c>
      <c r="Y2050" s="77" t="s">
        <v>6560</v>
      </c>
      <c r="Z2050" s="77" t="s">
        <v>892</v>
      </c>
      <c r="AA2050" s="77"/>
      <c r="AB2050" s="77"/>
      <c r="AC2050" s="82" t="s">
        <v>7750</v>
      </c>
      <c r="AD2050" s="77" t="s">
        <v>7790</v>
      </c>
      <c r="AE2050" s="80" t="str">
        <f>HYPERLINK("https://twitter.com/auditorinterno/status/1684272775114940419")</f>
        <v>https://twitter.com/auditorinterno/status/1684272775114940419</v>
      </c>
      <c r="AF2050" s="79">
        <v>45133.77888888889</v>
      </c>
      <c r="AG2050" s="85">
        <v>45133</v>
      </c>
      <c r="AH2050" s="82" t="s">
        <v>9540</v>
      </c>
      <c r="AI2050" s="77" t="b">
        <v>0</v>
      </c>
      <c r="AJ2050" s="77"/>
      <c r="AK2050" s="77"/>
      <c r="AL2050" s="77"/>
      <c r="AM2050" s="77"/>
      <c r="AN2050" s="77"/>
      <c r="AO2050" s="77"/>
      <c r="AP2050" s="77"/>
      <c r="AQ2050" s="77"/>
      <c r="AR2050" s="77"/>
      <c r="AS2050" s="77"/>
      <c r="AT2050" s="77"/>
      <c r="AU2050" s="77"/>
      <c r="AV2050" s="80" t="str">
        <f>HYPERLINK("https://pbs.twimg.com/profile_images/1609841078785527808/VyY0Gh3N_normal.jpg")</f>
        <v>https://pbs.twimg.com/profile_images/1609841078785527808/VyY0Gh3N_normal.jpg</v>
      </c>
      <c r="AW2050" s="82" t="s">
        <v>13646</v>
      </c>
      <c r="AX2050" s="82" t="s">
        <v>13646</v>
      </c>
      <c r="AY2050" s="77"/>
      <c r="AZ2050" s="82" t="s">
        <v>15984</v>
      </c>
      <c r="BA2050" s="82" t="s">
        <v>15984</v>
      </c>
      <c r="BB2050" s="82" t="s">
        <v>15984</v>
      </c>
      <c r="BC2050" s="82" t="s">
        <v>13646</v>
      </c>
      <c r="BD2050" s="77">
        <v>183200672</v>
      </c>
      <c r="BE2050" s="77"/>
      <c r="BF2050" s="77"/>
      <c r="BG2050" s="77"/>
      <c r="BH2050" s="77"/>
      <c r="BI2050" s="77"/>
    </row>
    <row r="2051" spans="1:61" x14ac:dyDescent="0.25">
      <c r="A2051" s="62" t="s">
        <v>713</v>
      </c>
      <c r="B2051" s="62" t="s">
        <v>892</v>
      </c>
      <c r="C2051" s="63"/>
      <c r="D2051" s="64"/>
      <c r="E2051" s="65"/>
      <c r="F2051" s="66"/>
      <c r="G2051" s="63"/>
      <c r="H2051" s="67"/>
      <c r="I2051" s="68"/>
      <c r="J2051" s="68"/>
      <c r="K2051" s="32"/>
      <c r="L2051" s="75">
        <v>2051</v>
      </c>
      <c r="M2051" s="75"/>
      <c r="N2051" s="70"/>
      <c r="O2051" s="77" t="s">
        <v>895</v>
      </c>
      <c r="P2051" s="79">
        <v>45180.705891203703</v>
      </c>
      <c r="Q2051" s="77" t="s">
        <v>2723</v>
      </c>
      <c r="R2051" s="77">
        <v>0</v>
      </c>
      <c r="S2051" s="77">
        <v>1</v>
      </c>
      <c r="T2051" s="77">
        <v>0</v>
      </c>
      <c r="U2051" s="77">
        <v>0</v>
      </c>
      <c r="V2051" s="77">
        <v>60</v>
      </c>
      <c r="W2051" s="82" t="s">
        <v>4821</v>
      </c>
      <c r="X2051" s="80" t="str">
        <f>HYPERLINK("https://www.eleconomista.es/economia/noticias/12439980/09/23/bruselas-reconoce-la-estanflacion-con-un-alza-del-pib-del-08-y-del-56-del-ipc-en-la-eurozona.html")</f>
        <v>https://www.eleconomista.es/economia/noticias/12439980/09/23/bruselas-reconoce-la-estanflacion-con-un-alza-del-pib-del-08-y-del-56-del-ipc-en-la-eurozona.html</v>
      </c>
      <c r="Y2051" s="77" t="s">
        <v>6560</v>
      </c>
      <c r="Z2051" s="77" t="s">
        <v>892</v>
      </c>
      <c r="AA2051" s="77"/>
      <c r="AB2051" s="77"/>
      <c r="AC2051" s="82" t="s">
        <v>7750</v>
      </c>
      <c r="AD2051" s="77" t="s">
        <v>7790</v>
      </c>
      <c r="AE2051" s="80" t="str">
        <f>HYPERLINK("https://twitter.com/auditorinterno/status/1701278549515112507")</f>
        <v>https://twitter.com/auditorinterno/status/1701278549515112507</v>
      </c>
      <c r="AF2051" s="79">
        <v>45180.705891203703</v>
      </c>
      <c r="AG2051" s="85">
        <v>45180</v>
      </c>
      <c r="AH2051" s="82" t="s">
        <v>9541</v>
      </c>
      <c r="AI2051" s="77" t="b">
        <v>0</v>
      </c>
      <c r="AJ2051" s="77"/>
      <c r="AK2051" s="77"/>
      <c r="AL2051" s="77"/>
      <c r="AM2051" s="77"/>
      <c r="AN2051" s="77"/>
      <c r="AO2051" s="77"/>
      <c r="AP2051" s="77"/>
      <c r="AQ2051" s="77"/>
      <c r="AR2051" s="77"/>
      <c r="AS2051" s="77"/>
      <c r="AT2051" s="77"/>
      <c r="AU2051" s="77"/>
      <c r="AV2051" s="80" t="str">
        <f>HYPERLINK("https://pbs.twimg.com/profile_images/1609841078785527808/VyY0Gh3N_normal.jpg")</f>
        <v>https://pbs.twimg.com/profile_images/1609841078785527808/VyY0Gh3N_normal.jpg</v>
      </c>
      <c r="AW2051" s="82" t="s">
        <v>13647</v>
      </c>
      <c r="AX2051" s="82" t="s">
        <v>13647</v>
      </c>
      <c r="AY2051" s="77"/>
      <c r="AZ2051" s="82" t="s">
        <v>15984</v>
      </c>
      <c r="BA2051" s="82" t="s">
        <v>15984</v>
      </c>
      <c r="BB2051" s="82" t="s">
        <v>15984</v>
      </c>
      <c r="BC2051" s="82" t="s">
        <v>13647</v>
      </c>
      <c r="BD2051" s="77">
        <v>183200672</v>
      </c>
      <c r="BE2051" s="77"/>
      <c r="BF2051" s="77"/>
      <c r="BG2051" s="77"/>
      <c r="BH2051" s="77"/>
      <c r="BI2051" s="77"/>
    </row>
    <row r="2052" spans="1:61" x14ac:dyDescent="0.25">
      <c r="A2052" s="62" t="s">
        <v>713</v>
      </c>
      <c r="B2052" s="62" t="s">
        <v>892</v>
      </c>
      <c r="C2052" s="63"/>
      <c r="D2052" s="64"/>
      <c r="E2052" s="65"/>
      <c r="F2052" s="66"/>
      <c r="G2052" s="63"/>
      <c r="H2052" s="67"/>
      <c r="I2052" s="68"/>
      <c r="J2052" s="68"/>
      <c r="K2052" s="32"/>
      <c r="L2052" s="75">
        <v>2052</v>
      </c>
      <c r="M2052" s="75"/>
      <c r="N2052" s="70"/>
      <c r="O2052" s="77" t="s">
        <v>895</v>
      </c>
      <c r="P2052" s="79">
        <v>45125.505833333336</v>
      </c>
      <c r="Q2052" s="77" t="s">
        <v>2724</v>
      </c>
      <c r="R2052" s="77">
        <v>0</v>
      </c>
      <c r="S2052" s="77">
        <v>1</v>
      </c>
      <c r="T2052" s="77">
        <v>0</v>
      </c>
      <c r="U2052" s="77">
        <v>0</v>
      </c>
      <c r="V2052" s="77">
        <v>45</v>
      </c>
      <c r="W2052" s="82" t="s">
        <v>5879</v>
      </c>
      <c r="X2052" s="80" t="str">
        <f>HYPERLINK("https://www.eleconomista.es/economia/noticias/12373993/07/23/repliegue-por-sorpresa-en-el-bce-el-gran-halcon-pone-en-duda-la-subida-de-tipos-de-septiembre.html")</f>
        <v>https://www.eleconomista.es/economia/noticias/12373993/07/23/repliegue-por-sorpresa-en-el-bce-el-gran-halcon-pone-en-duda-la-subida-de-tipos-de-septiembre.html</v>
      </c>
      <c r="Y2052" s="77" t="s">
        <v>6560</v>
      </c>
      <c r="Z2052" s="77" t="s">
        <v>892</v>
      </c>
      <c r="AA2052" s="77"/>
      <c r="AB2052" s="77"/>
      <c r="AC2052" s="82" t="s">
        <v>7750</v>
      </c>
      <c r="AD2052" s="77" t="s">
        <v>7790</v>
      </c>
      <c r="AE2052" s="80" t="str">
        <f>HYPERLINK("https://twitter.com/auditorinterno/status/1681274719855685632")</f>
        <v>https://twitter.com/auditorinterno/status/1681274719855685632</v>
      </c>
      <c r="AF2052" s="79">
        <v>45125.505833333336</v>
      </c>
      <c r="AG2052" s="85">
        <v>45125</v>
      </c>
      <c r="AH2052" s="82" t="s">
        <v>9542</v>
      </c>
      <c r="AI2052" s="77" t="b">
        <v>0</v>
      </c>
      <c r="AJ2052" s="77"/>
      <c r="AK2052" s="77"/>
      <c r="AL2052" s="77"/>
      <c r="AM2052" s="77"/>
      <c r="AN2052" s="77"/>
      <c r="AO2052" s="77"/>
      <c r="AP2052" s="77"/>
      <c r="AQ2052" s="77"/>
      <c r="AR2052" s="77"/>
      <c r="AS2052" s="77"/>
      <c r="AT2052" s="77"/>
      <c r="AU2052" s="77"/>
      <c r="AV2052" s="80" t="str">
        <f>HYPERLINK("https://pbs.twimg.com/profile_images/1609841078785527808/VyY0Gh3N_normal.jpg")</f>
        <v>https://pbs.twimg.com/profile_images/1609841078785527808/VyY0Gh3N_normal.jpg</v>
      </c>
      <c r="AW2052" s="82" t="s">
        <v>13648</v>
      </c>
      <c r="AX2052" s="82" t="s">
        <v>13648</v>
      </c>
      <c r="AY2052" s="77"/>
      <c r="AZ2052" s="82" t="s">
        <v>15984</v>
      </c>
      <c r="BA2052" s="82" t="s">
        <v>15984</v>
      </c>
      <c r="BB2052" s="82" t="s">
        <v>15984</v>
      </c>
      <c r="BC2052" s="82" t="s">
        <v>13648</v>
      </c>
      <c r="BD2052" s="77">
        <v>183200672</v>
      </c>
      <c r="BE2052" s="77"/>
      <c r="BF2052" s="77"/>
      <c r="BG2052" s="77"/>
      <c r="BH2052" s="77"/>
      <c r="BI2052" s="77"/>
    </row>
    <row r="2053" spans="1:61" x14ac:dyDescent="0.25">
      <c r="A2053" s="62" t="s">
        <v>713</v>
      </c>
      <c r="B2053" s="62" t="s">
        <v>892</v>
      </c>
      <c r="C2053" s="63"/>
      <c r="D2053" s="64"/>
      <c r="E2053" s="65"/>
      <c r="F2053" s="66"/>
      <c r="G2053" s="63"/>
      <c r="H2053" s="67"/>
      <c r="I2053" s="68"/>
      <c r="J2053" s="68"/>
      <c r="K2053" s="32"/>
      <c r="L2053" s="75">
        <v>2053</v>
      </c>
      <c r="M2053" s="75"/>
      <c r="N2053" s="70"/>
      <c r="O2053" s="77" t="s">
        <v>895</v>
      </c>
      <c r="P2053" s="79">
        <v>45139.463854166665</v>
      </c>
      <c r="Q2053" s="77" t="s">
        <v>2725</v>
      </c>
      <c r="R2053" s="77">
        <v>0</v>
      </c>
      <c r="S2053" s="77">
        <v>1</v>
      </c>
      <c r="T2053" s="77">
        <v>0</v>
      </c>
      <c r="U2053" s="77">
        <v>0</v>
      </c>
      <c r="V2053" s="77">
        <v>60</v>
      </c>
      <c r="W2053" s="82" t="s">
        <v>4821</v>
      </c>
      <c r="X2053" s="80" t="str">
        <f>HYPERLINK("https://www.eleconomista.es/motor/noticias/12392813/08/23/las-ventas-de-vehiculos-crecen-por-septimo-mes-seguido-y-acumulan-un-alza-del-22-en-el-ano.html")</f>
        <v>https://www.eleconomista.es/motor/noticias/12392813/08/23/las-ventas-de-vehiculos-crecen-por-septimo-mes-seguido-y-acumulan-un-alza-del-22-en-el-ano.html</v>
      </c>
      <c r="Y2053" s="77" t="s">
        <v>6560</v>
      </c>
      <c r="Z2053" s="77" t="s">
        <v>892</v>
      </c>
      <c r="AA2053" s="77"/>
      <c r="AB2053" s="77"/>
      <c r="AC2053" s="82" t="s">
        <v>7750</v>
      </c>
      <c r="AD2053" s="77" t="s">
        <v>7790</v>
      </c>
      <c r="AE2053" s="80" t="str">
        <f>HYPERLINK("https://twitter.com/auditorinterno/status/1686332936725934080")</f>
        <v>https://twitter.com/auditorinterno/status/1686332936725934080</v>
      </c>
      <c r="AF2053" s="79">
        <v>45139.463854166665</v>
      </c>
      <c r="AG2053" s="85">
        <v>45139</v>
      </c>
      <c r="AH2053" s="82" t="s">
        <v>9543</v>
      </c>
      <c r="AI2053" s="77" t="b">
        <v>0</v>
      </c>
      <c r="AJ2053" s="77"/>
      <c r="AK2053" s="77"/>
      <c r="AL2053" s="77"/>
      <c r="AM2053" s="77"/>
      <c r="AN2053" s="77"/>
      <c r="AO2053" s="77"/>
      <c r="AP2053" s="77"/>
      <c r="AQ2053" s="77"/>
      <c r="AR2053" s="77"/>
      <c r="AS2053" s="77"/>
      <c r="AT2053" s="77"/>
      <c r="AU2053" s="77"/>
      <c r="AV2053" s="80" t="str">
        <f>HYPERLINK("https://pbs.twimg.com/profile_images/1609841078785527808/VyY0Gh3N_normal.jpg")</f>
        <v>https://pbs.twimg.com/profile_images/1609841078785527808/VyY0Gh3N_normal.jpg</v>
      </c>
      <c r="AW2053" s="82" t="s">
        <v>13649</v>
      </c>
      <c r="AX2053" s="82" t="s">
        <v>13649</v>
      </c>
      <c r="AY2053" s="77"/>
      <c r="AZ2053" s="82" t="s">
        <v>15984</v>
      </c>
      <c r="BA2053" s="82" t="s">
        <v>15984</v>
      </c>
      <c r="BB2053" s="82" t="s">
        <v>15984</v>
      </c>
      <c r="BC2053" s="82" t="s">
        <v>13649</v>
      </c>
      <c r="BD2053" s="77">
        <v>183200672</v>
      </c>
      <c r="BE2053" s="77"/>
      <c r="BF2053" s="77"/>
      <c r="BG2053" s="77"/>
      <c r="BH2053" s="77"/>
      <c r="BI2053" s="77"/>
    </row>
    <row r="2054" spans="1:61" x14ac:dyDescent="0.25">
      <c r="A2054" s="62" t="s">
        <v>713</v>
      </c>
      <c r="B2054" s="62" t="s">
        <v>892</v>
      </c>
      <c r="C2054" s="63"/>
      <c r="D2054" s="64"/>
      <c r="E2054" s="65"/>
      <c r="F2054" s="66"/>
      <c r="G2054" s="63"/>
      <c r="H2054" s="67"/>
      <c r="I2054" s="68"/>
      <c r="J2054" s="68"/>
      <c r="K2054" s="32"/>
      <c r="L2054" s="75">
        <v>2054</v>
      </c>
      <c r="M2054" s="75"/>
      <c r="N2054" s="70"/>
      <c r="O2054" s="77" t="s">
        <v>895</v>
      </c>
      <c r="P2054" s="79">
        <v>45187.684351851851</v>
      </c>
      <c r="Q2054" s="77" t="s">
        <v>2726</v>
      </c>
      <c r="R2054" s="77">
        <v>0</v>
      </c>
      <c r="S2054" s="77">
        <v>0</v>
      </c>
      <c r="T2054" s="77">
        <v>0</v>
      </c>
      <c r="U2054" s="77">
        <v>0</v>
      </c>
      <c r="V2054" s="77">
        <v>52</v>
      </c>
      <c r="W2054" s="82" t="s">
        <v>4821</v>
      </c>
      <c r="X2054" s="80" t="str">
        <f>HYPERLINK("https://www.eleconomista.es/economia/noticias/12449607/09/23/solo-el-sector-turistico-se-salva-de-la-caida-de-ventas-en-verano-segun-el-banco-de-espana-.html")</f>
        <v>https://www.eleconomista.es/economia/noticias/12449607/09/23/solo-el-sector-turistico-se-salva-de-la-caida-de-ventas-en-verano-segun-el-banco-de-espana-.html</v>
      </c>
      <c r="Y2054" s="77" t="s">
        <v>6560</v>
      </c>
      <c r="Z2054" s="77" t="s">
        <v>892</v>
      </c>
      <c r="AA2054" s="77"/>
      <c r="AB2054" s="77"/>
      <c r="AC2054" s="82" t="s">
        <v>7750</v>
      </c>
      <c r="AD2054" s="77" t="s">
        <v>7790</v>
      </c>
      <c r="AE2054" s="80" t="str">
        <f>HYPERLINK("https://twitter.com/auditorinterno/status/1703807459318534300")</f>
        <v>https://twitter.com/auditorinterno/status/1703807459318534300</v>
      </c>
      <c r="AF2054" s="79">
        <v>45187.684351851851</v>
      </c>
      <c r="AG2054" s="85">
        <v>45187</v>
      </c>
      <c r="AH2054" s="82" t="s">
        <v>9544</v>
      </c>
      <c r="AI2054" s="77" t="b">
        <v>0</v>
      </c>
      <c r="AJ2054" s="77"/>
      <c r="AK2054" s="77"/>
      <c r="AL2054" s="77"/>
      <c r="AM2054" s="77"/>
      <c r="AN2054" s="77"/>
      <c r="AO2054" s="77"/>
      <c r="AP2054" s="77"/>
      <c r="AQ2054" s="77"/>
      <c r="AR2054" s="77"/>
      <c r="AS2054" s="77"/>
      <c r="AT2054" s="77"/>
      <c r="AU2054" s="77"/>
      <c r="AV2054" s="80" t="str">
        <f>HYPERLINK("https://pbs.twimg.com/profile_images/1609841078785527808/VyY0Gh3N_normal.jpg")</f>
        <v>https://pbs.twimg.com/profile_images/1609841078785527808/VyY0Gh3N_normal.jpg</v>
      </c>
      <c r="AW2054" s="82" t="s">
        <v>13650</v>
      </c>
      <c r="AX2054" s="82" t="s">
        <v>13650</v>
      </c>
      <c r="AY2054" s="77"/>
      <c r="AZ2054" s="82" t="s">
        <v>15984</v>
      </c>
      <c r="BA2054" s="82" t="s">
        <v>15984</v>
      </c>
      <c r="BB2054" s="82" t="s">
        <v>15984</v>
      </c>
      <c r="BC2054" s="82" t="s">
        <v>13650</v>
      </c>
      <c r="BD2054" s="77">
        <v>183200672</v>
      </c>
      <c r="BE2054" s="77"/>
      <c r="BF2054" s="77"/>
      <c r="BG2054" s="77"/>
      <c r="BH2054" s="77"/>
      <c r="BI2054" s="77"/>
    </row>
    <row r="2055" spans="1:61" x14ac:dyDescent="0.25">
      <c r="A2055" s="62" t="s">
        <v>713</v>
      </c>
      <c r="B2055" s="62" t="s">
        <v>892</v>
      </c>
      <c r="C2055" s="63"/>
      <c r="D2055" s="64"/>
      <c r="E2055" s="65"/>
      <c r="F2055" s="66"/>
      <c r="G2055" s="63"/>
      <c r="H2055" s="67"/>
      <c r="I2055" s="68"/>
      <c r="J2055" s="68"/>
      <c r="K2055" s="32"/>
      <c r="L2055" s="75">
        <v>2055</v>
      </c>
      <c r="M2055" s="75"/>
      <c r="N2055" s="70"/>
      <c r="O2055" s="77" t="s">
        <v>895</v>
      </c>
      <c r="P2055" s="79">
        <v>45146.614837962959</v>
      </c>
      <c r="Q2055" s="77" t="s">
        <v>2727</v>
      </c>
      <c r="R2055" s="77">
        <v>0</v>
      </c>
      <c r="S2055" s="77">
        <v>1</v>
      </c>
      <c r="T2055" s="77">
        <v>0</v>
      </c>
      <c r="U2055" s="77">
        <v>0</v>
      </c>
      <c r="V2055" s="77">
        <v>80</v>
      </c>
      <c r="W2055" s="82" t="s">
        <v>5878</v>
      </c>
      <c r="X2055" s="80" t="str">
        <f>HYPERLINK("https://www.eleconomista.es/economia/noticias/12400432/08/23/el-interes-de-las-letras-del-tesoro-a-12-meses-baja-por-primera-vez-en-el-ano-y-se-situa-en-el-368.html")</f>
        <v>https://www.eleconomista.es/economia/noticias/12400432/08/23/el-interes-de-las-letras-del-tesoro-a-12-meses-baja-por-primera-vez-en-el-ano-y-se-situa-en-el-368.html</v>
      </c>
      <c r="Y2055" s="77" t="s">
        <v>6560</v>
      </c>
      <c r="Z2055" s="77" t="s">
        <v>892</v>
      </c>
      <c r="AA2055" s="77"/>
      <c r="AB2055" s="77"/>
      <c r="AC2055" s="82" t="s">
        <v>7750</v>
      </c>
      <c r="AD2055" s="77" t="s">
        <v>7790</v>
      </c>
      <c r="AE2055" s="80" t="str">
        <f>HYPERLINK("https://twitter.com/auditorinterno/status/1688924368645312512")</f>
        <v>https://twitter.com/auditorinterno/status/1688924368645312512</v>
      </c>
      <c r="AF2055" s="79">
        <v>45146.614837962959</v>
      </c>
      <c r="AG2055" s="85">
        <v>45146</v>
      </c>
      <c r="AH2055" s="82" t="s">
        <v>9545</v>
      </c>
      <c r="AI2055" s="77" t="b">
        <v>0</v>
      </c>
      <c r="AJ2055" s="77"/>
      <c r="AK2055" s="77"/>
      <c r="AL2055" s="77"/>
      <c r="AM2055" s="77"/>
      <c r="AN2055" s="77"/>
      <c r="AO2055" s="77"/>
      <c r="AP2055" s="77"/>
      <c r="AQ2055" s="77"/>
      <c r="AR2055" s="77"/>
      <c r="AS2055" s="77"/>
      <c r="AT2055" s="77"/>
      <c r="AU2055" s="77"/>
      <c r="AV2055" s="80" t="str">
        <f>HYPERLINK("https://pbs.twimg.com/profile_images/1609841078785527808/VyY0Gh3N_normal.jpg")</f>
        <v>https://pbs.twimg.com/profile_images/1609841078785527808/VyY0Gh3N_normal.jpg</v>
      </c>
      <c r="AW2055" s="82" t="s">
        <v>13651</v>
      </c>
      <c r="AX2055" s="82" t="s">
        <v>13651</v>
      </c>
      <c r="AY2055" s="77"/>
      <c r="AZ2055" s="82" t="s">
        <v>15984</v>
      </c>
      <c r="BA2055" s="82" t="s">
        <v>15984</v>
      </c>
      <c r="BB2055" s="82" t="s">
        <v>15984</v>
      </c>
      <c r="BC2055" s="82" t="s">
        <v>13651</v>
      </c>
      <c r="BD2055" s="77">
        <v>183200672</v>
      </c>
      <c r="BE2055" s="77"/>
      <c r="BF2055" s="77"/>
      <c r="BG2055" s="77"/>
      <c r="BH2055" s="77"/>
      <c r="BI2055" s="77"/>
    </row>
    <row r="2056" spans="1:61" x14ac:dyDescent="0.25">
      <c r="A2056" s="62" t="s">
        <v>713</v>
      </c>
      <c r="B2056" s="62" t="s">
        <v>892</v>
      </c>
      <c r="C2056" s="63"/>
      <c r="D2056" s="64"/>
      <c r="E2056" s="65"/>
      <c r="F2056" s="66"/>
      <c r="G2056" s="63"/>
      <c r="H2056" s="67"/>
      <c r="I2056" s="68"/>
      <c r="J2056" s="68"/>
      <c r="K2056" s="32"/>
      <c r="L2056" s="75">
        <v>2056</v>
      </c>
      <c r="M2056" s="75"/>
      <c r="N2056" s="70"/>
      <c r="O2056" s="77" t="s">
        <v>895</v>
      </c>
      <c r="P2056" s="79">
        <v>45149.421226851853</v>
      </c>
      <c r="Q2056" s="77" t="s">
        <v>2728</v>
      </c>
      <c r="R2056" s="77">
        <v>0</v>
      </c>
      <c r="S2056" s="77">
        <v>0</v>
      </c>
      <c r="T2056" s="77">
        <v>0</v>
      </c>
      <c r="U2056" s="77">
        <v>0</v>
      </c>
      <c r="V2056" s="77">
        <v>47</v>
      </c>
      <c r="W2056" s="82" t="s">
        <v>4821</v>
      </c>
      <c r="X2056" s="80" t="str">
        <f>HYPERLINK("https://www.eleconomista.es/economia/noticias/12402996/08/23/el-bce-insiste-en-que-la-inflacion-seguira-siendo-demasiado-alta-y-no-descarta-mas-alzas-de-tipos.html")</f>
        <v>https://www.eleconomista.es/economia/noticias/12402996/08/23/el-bce-insiste-en-que-la-inflacion-seguira-siendo-demasiado-alta-y-no-descarta-mas-alzas-de-tipos.html</v>
      </c>
      <c r="Y2056" s="77" t="s">
        <v>6560</v>
      </c>
      <c r="Z2056" s="77" t="s">
        <v>892</v>
      </c>
      <c r="AA2056" s="77"/>
      <c r="AB2056" s="77"/>
      <c r="AC2056" s="82" t="s">
        <v>7750</v>
      </c>
      <c r="AD2056" s="77" t="s">
        <v>7790</v>
      </c>
      <c r="AE2056" s="80" t="str">
        <f>HYPERLINK("https://twitter.com/auditorinterno/status/1689941368494243840")</f>
        <v>https://twitter.com/auditorinterno/status/1689941368494243840</v>
      </c>
      <c r="AF2056" s="79">
        <v>45149.421226851853</v>
      </c>
      <c r="AG2056" s="85">
        <v>45149</v>
      </c>
      <c r="AH2056" s="82" t="s">
        <v>9546</v>
      </c>
      <c r="AI2056" s="77" t="b">
        <v>0</v>
      </c>
      <c r="AJ2056" s="77"/>
      <c r="AK2056" s="77"/>
      <c r="AL2056" s="77"/>
      <c r="AM2056" s="77"/>
      <c r="AN2056" s="77"/>
      <c r="AO2056" s="77"/>
      <c r="AP2056" s="77"/>
      <c r="AQ2056" s="77"/>
      <c r="AR2056" s="77"/>
      <c r="AS2056" s="77"/>
      <c r="AT2056" s="77"/>
      <c r="AU2056" s="77"/>
      <c r="AV2056" s="80" t="str">
        <f>HYPERLINK("https://pbs.twimg.com/profile_images/1609841078785527808/VyY0Gh3N_normal.jpg")</f>
        <v>https://pbs.twimg.com/profile_images/1609841078785527808/VyY0Gh3N_normal.jpg</v>
      </c>
      <c r="AW2056" s="82" t="s">
        <v>13652</v>
      </c>
      <c r="AX2056" s="82" t="s">
        <v>13652</v>
      </c>
      <c r="AY2056" s="77"/>
      <c r="AZ2056" s="82" t="s">
        <v>15984</v>
      </c>
      <c r="BA2056" s="82" t="s">
        <v>15984</v>
      </c>
      <c r="BB2056" s="82" t="s">
        <v>15984</v>
      </c>
      <c r="BC2056" s="82" t="s">
        <v>13652</v>
      </c>
      <c r="BD2056" s="77">
        <v>183200672</v>
      </c>
      <c r="BE2056" s="77"/>
      <c r="BF2056" s="77"/>
      <c r="BG2056" s="77"/>
      <c r="BH2056" s="77"/>
      <c r="BI2056" s="77"/>
    </row>
    <row r="2057" spans="1:61" x14ac:dyDescent="0.25">
      <c r="A2057" s="62" t="s">
        <v>713</v>
      </c>
      <c r="B2057" s="62" t="s">
        <v>713</v>
      </c>
      <c r="C2057" s="63"/>
      <c r="D2057" s="64"/>
      <c r="E2057" s="65"/>
      <c r="F2057" s="66"/>
      <c r="G2057" s="63"/>
      <c r="H2057" s="67"/>
      <c r="I2057" s="68"/>
      <c r="J2057" s="68"/>
      <c r="K2057" s="32"/>
      <c r="L2057" s="75">
        <v>2057</v>
      </c>
      <c r="M2057" s="75"/>
      <c r="N2057" s="70"/>
      <c r="O2057" s="77" t="s">
        <v>179</v>
      </c>
      <c r="P2057" s="79">
        <v>45120.671863425923</v>
      </c>
      <c r="Q2057" s="77" t="s">
        <v>2729</v>
      </c>
      <c r="R2057" s="77">
        <v>0</v>
      </c>
      <c r="S2057" s="77">
        <v>0</v>
      </c>
      <c r="T2057" s="77">
        <v>0</v>
      </c>
      <c r="U2057" s="77">
        <v>0</v>
      </c>
      <c r="V2057" s="77">
        <v>63</v>
      </c>
      <c r="W2057" s="82" t="s">
        <v>4821</v>
      </c>
      <c r="X2057" s="80" t="str">
        <f>HYPERLINK("https://www.lavanguardia.com/economia/20230713/9106490/china-economia-exportacion-importacion-comercio-crisis-mundo.html")</f>
        <v>https://www.lavanguardia.com/economia/20230713/9106490/china-economia-exportacion-importacion-comercio-crisis-mundo.html</v>
      </c>
      <c r="Y2057" s="77" t="s">
        <v>6561</v>
      </c>
      <c r="Z2057" s="77"/>
      <c r="AA2057" s="77"/>
      <c r="AB2057" s="77"/>
      <c r="AC2057" s="82" t="s">
        <v>7750</v>
      </c>
      <c r="AD2057" s="77" t="s">
        <v>7790</v>
      </c>
      <c r="AE2057" s="80" t="str">
        <f>HYPERLINK("https://twitter.com/auditorinterno/status/1679522948795842561")</f>
        <v>https://twitter.com/auditorinterno/status/1679522948795842561</v>
      </c>
      <c r="AF2057" s="79">
        <v>45120.671863425923</v>
      </c>
      <c r="AG2057" s="85">
        <v>45120</v>
      </c>
      <c r="AH2057" s="82" t="s">
        <v>9547</v>
      </c>
      <c r="AI2057" s="77" t="b">
        <v>0</v>
      </c>
      <c r="AJ2057" s="77"/>
      <c r="AK2057" s="77"/>
      <c r="AL2057" s="77"/>
      <c r="AM2057" s="77"/>
      <c r="AN2057" s="77"/>
      <c r="AO2057" s="77"/>
      <c r="AP2057" s="77"/>
      <c r="AQ2057" s="77"/>
      <c r="AR2057" s="77"/>
      <c r="AS2057" s="77"/>
      <c r="AT2057" s="77"/>
      <c r="AU2057" s="77"/>
      <c r="AV2057" s="80" t="str">
        <f>HYPERLINK("https://pbs.twimg.com/profile_images/1609841078785527808/VyY0Gh3N_normal.jpg")</f>
        <v>https://pbs.twimg.com/profile_images/1609841078785527808/VyY0Gh3N_normal.jpg</v>
      </c>
      <c r="AW2057" s="82" t="s">
        <v>13653</v>
      </c>
      <c r="AX2057" s="82" t="s">
        <v>13653</v>
      </c>
      <c r="AY2057" s="77"/>
      <c r="AZ2057" s="82" t="s">
        <v>15984</v>
      </c>
      <c r="BA2057" s="82" t="s">
        <v>15984</v>
      </c>
      <c r="BB2057" s="82" t="s">
        <v>15984</v>
      </c>
      <c r="BC2057" s="82" t="s">
        <v>13653</v>
      </c>
      <c r="BD2057" s="77">
        <v>183200672</v>
      </c>
      <c r="BE2057" s="77"/>
      <c r="BF2057" s="77"/>
      <c r="BG2057" s="77"/>
      <c r="BH2057" s="77"/>
      <c r="BI2057" s="77"/>
    </row>
    <row r="2058" spans="1:61" x14ac:dyDescent="0.25">
      <c r="A2058" s="62" t="s">
        <v>713</v>
      </c>
      <c r="B2058" s="62" t="s">
        <v>713</v>
      </c>
      <c r="C2058" s="63"/>
      <c r="D2058" s="64"/>
      <c r="E2058" s="65"/>
      <c r="F2058" s="66"/>
      <c r="G2058" s="63"/>
      <c r="H2058" s="67"/>
      <c r="I2058" s="68"/>
      <c r="J2058" s="68"/>
      <c r="K2058" s="32"/>
      <c r="L2058" s="75">
        <v>2058</v>
      </c>
      <c r="M2058" s="75"/>
      <c r="N2058" s="70"/>
      <c r="O2058" s="77" t="s">
        <v>179</v>
      </c>
      <c r="P2058" s="79">
        <v>45138.665439814817</v>
      </c>
      <c r="Q2058" s="77" t="s">
        <v>2730</v>
      </c>
      <c r="R2058" s="77">
        <v>0</v>
      </c>
      <c r="S2058" s="77">
        <v>0</v>
      </c>
      <c r="T2058" s="77">
        <v>0</v>
      </c>
      <c r="U2058" s="77">
        <v>0</v>
      </c>
      <c r="V2058" s="77">
        <v>53</v>
      </c>
      <c r="W2058" s="82" t="s">
        <v>4821</v>
      </c>
      <c r="X2058" s="80" t="str">
        <f>HYPERLINK("https://www.europapress.es/economia/macroeconomia-00338/noticia-inflacion-eurozona-modera-53-julio-minimos-enero-2022-subyacente-no-cede-20230731110052.html")</f>
        <v>https://www.europapress.es/economia/macroeconomia-00338/noticia-inflacion-eurozona-modera-53-julio-minimos-enero-2022-subyacente-no-cede-20230731110052.html</v>
      </c>
      <c r="Y2058" s="77" t="s">
        <v>6558</v>
      </c>
      <c r="Z2058" s="77"/>
      <c r="AA2058" s="77"/>
      <c r="AB2058" s="77"/>
      <c r="AC2058" s="82" t="s">
        <v>7752</v>
      </c>
      <c r="AD2058" s="77" t="s">
        <v>7790</v>
      </c>
      <c r="AE2058" s="80" t="str">
        <f>HYPERLINK("https://twitter.com/auditorinterno/status/1686043602621775872")</f>
        <v>https://twitter.com/auditorinterno/status/1686043602621775872</v>
      </c>
      <c r="AF2058" s="79">
        <v>45138.665439814817</v>
      </c>
      <c r="AG2058" s="85">
        <v>45138</v>
      </c>
      <c r="AH2058" s="82" t="s">
        <v>9548</v>
      </c>
      <c r="AI2058" s="77" t="b">
        <v>0</v>
      </c>
      <c r="AJ2058" s="77"/>
      <c r="AK2058" s="77"/>
      <c r="AL2058" s="77"/>
      <c r="AM2058" s="77"/>
      <c r="AN2058" s="77"/>
      <c r="AO2058" s="77"/>
      <c r="AP2058" s="77"/>
      <c r="AQ2058" s="77"/>
      <c r="AR2058" s="77"/>
      <c r="AS2058" s="77"/>
      <c r="AT2058" s="77"/>
      <c r="AU2058" s="77"/>
      <c r="AV2058" s="80" t="str">
        <f>HYPERLINK("https://pbs.twimg.com/profile_images/1609841078785527808/VyY0Gh3N_normal.jpg")</f>
        <v>https://pbs.twimg.com/profile_images/1609841078785527808/VyY0Gh3N_normal.jpg</v>
      </c>
      <c r="AW2058" s="82" t="s">
        <v>13654</v>
      </c>
      <c r="AX2058" s="82" t="s">
        <v>13654</v>
      </c>
      <c r="AY2058" s="77"/>
      <c r="AZ2058" s="82" t="s">
        <v>15984</v>
      </c>
      <c r="BA2058" s="82" t="s">
        <v>15984</v>
      </c>
      <c r="BB2058" s="82" t="s">
        <v>15984</v>
      </c>
      <c r="BC2058" s="82" t="s">
        <v>13654</v>
      </c>
      <c r="BD2058" s="77">
        <v>183200672</v>
      </c>
      <c r="BE2058" s="77"/>
      <c r="BF2058" s="77"/>
      <c r="BG2058" s="77"/>
      <c r="BH2058" s="77"/>
      <c r="BI2058" s="77"/>
    </row>
    <row r="2059" spans="1:61" x14ac:dyDescent="0.25">
      <c r="A2059" s="62" t="s">
        <v>713</v>
      </c>
      <c r="B2059" s="62" t="s">
        <v>713</v>
      </c>
      <c r="C2059" s="63"/>
      <c r="D2059" s="64"/>
      <c r="E2059" s="65"/>
      <c r="F2059" s="66"/>
      <c r="G2059" s="63"/>
      <c r="H2059" s="67"/>
      <c r="I2059" s="68"/>
      <c r="J2059" s="68"/>
      <c r="K2059" s="32"/>
      <c r="L2059" s="75">
        <v>2059</v>
      </c>
      <c r="M2059" s="75"/>
      <c r="N2059" s="70"/>
      <c r="O2059" s="77" t="s">
        <v>179</v>
      </c>
      <c r="P2059" s="79">
        <v>45160.553611111114</v>
      </c>
      <c r="Q2059" s="77" t="s">
        <v>2731</v>
      </c>
      <c r="R2059" s="77">
        <v>0</v>
      </c>
      <c r="S2059" s="77">
        <v>0</v>
      </c>
      <c r="T2059" s="77">
        <v>0</v>
      </c>
      <c r="U2059" s="77">
        <v>0</v>
      </c>
      <c r="V2059" s="77">
        <v>100</v>
      </c>
      <c r="W2059" s="82" t="s">
        <v>4821</v>
      </c>
      <c r="X2059" s="80" t="str">
        <f>HYPERLINK("https://www.europapress.es/economia/macroeconomia-00338/noticia-bundesbank-dice-alemania-atraviesa-fase-debilidad-preve-nuevo-estancamiento-pib-20230821174828.html")</f>
        <v>https://www.europapress.es/economia/macroeconomia-00338/noticia-bundesbank-dice-alemania-atraviesa-fase-debilidad-preve-nuevo-estancamiento-pib-20230821174828.html</v>
      </c>
      <c r="Y2059" s="77" t="s">
        <v>6558</v>
      </c>
      <c r="Z2059" s="77"/>
      <c r="AA2059" s="77"/>
      <c r="AB2059" s="77"/>
      <c r="AC2059" s="82" t="s">
        <v>7752</v>
      </c>
      <c r="AD2059" s="77" t="s">
        <v>7790</v>
      </c>
      <c r="AE2059" s="80" t="str">
        <f>HYPERLINK("https://twitter.com/auditorinterno/status/1693975607489528092")</f>
        <v>https://twitter.com/auditorinterno/status/1693975607489528092</v>
      </c>
      <c r="AF2059" s="79">
        <v>45160.553611111114</v>
      </c>
      <c r="AG2059" s="85">
        <v>45160</v>
      </c>
      <c r="AH2059" s="82" t="s">
        <v>9549</v>
      </c>
      <c r="AI2059" s="77" t="b">
        <v>0</v>
      </c>
      <c r="AJ2059" s="77"/>
      <c r="AK2059" s="77"/>
      <c r="AL2059" s="77"/>
      <c r="AM2059" s="77"/>
      <c r="AN2059" s="77"/>
      <c r="AO2059" s="77"/>
      <c r="AP2059" s="77"/>
      <c r="AQ2059" s="77"/>
      <c r="AR2059" s="77"/>
      <c r="AS2059" s="77"/>
      <c r="AT2059" s="77"/>
      <c r="AU2059" s="77"/>
      <c r="AV2059" s="80" t="str">
        <f>HYPERLINK("https://pbs.twimg.com/profile_images/1609841078785527808/VyY0Gh3N_normal.jpg")</f>
        <v>https://pbs.twimg.com/profile_images/1609841078785527808/VyY0Gh3N_normal.jpg</v>
      </c>
      <c r="AW2059" s="82" t="s">
        <v>13655</v>
      </c>
      <c r="AX2059" s="82" t="s">
        <v>13655</v>
      </c>
      <c r="AY2059" s="77"/>
      <c r="AZ2059" s="82" t="s">
        <v>15984</v>
      </c>
      <c r="BA2059" s="82" t="s">
        <v>15984</v>
      </c>
      <c r="BB2059" s="82" t="s">
        <v>15984</v>
      </c>
      <c r="BC2059" s="82" t="s">
        <v>13655</v>
      </c>
      <c r="BD2059" s="77">
        <v>183200672</v>
      </c>
      <c r="BE2059" s="77"/>
      <c r="BF2059" s="77"/>
      <c r="BG2059" s="77"/>
      <c r="BH2059" s="77"/>
      <c r="BI2059" s="77"/>
    </row>
    <row r="2060" spans="1:61" x14ac:dyDescent="0.25">
      <c r="A2060" s="62" t="s">
        <v>713</v>
      </c>
      <c r="B2060" s="62" t="s">
        <v>713</v>
      </c>
      <c r="C2060" s="63"/>
      <c r="D2060" s="64"/>
      <c r="E2060" s="65"/>
      <c r="F2060" s="66"/>
      <c r="G2060" s="63"/>
      <c r="H2060" s="67"/>
      <c r="I2060" s="68"/>
      <c r="J2060" s="68"/>
      <c r="K2060" s="32"/>
      <c r="L2060" s="75">
        <v>2060</v>
      </c>
      <c r="M2060" s="75"/>
      <c r="N2060" s="70"/>
      <c r="O2060" s="77" t="s">
        <v>179</v>
      </c>
      <c r="P2060" s="79">
        <v>45154.508206018516</v>
      </c>
      <c r="Q2060" s="77" t="s">
        <v>2732</v>
      </c>
      <c r="R2060" s="77">
        <v>1</v>
      </c>
      <c r="S2060" s="77">
        <v>0</v>
      </c>
      <c r="T2060" s="77">
        <v>0</v>
      </c>
      <c r="U2060" s="77">
        <v>0</v>
      </c>
      <c r="V2060" s="77">
        <v>88</v>
      </c>
      <c r="W2060" s="82" t="s">
        <v>5877</v>
      </c>
      <c r="X2060" s="80" t="str">
        <f>HYPERLINK("https://www.eleconomista.es/economia/noticias/12408459/08/23/el-interes-de-las-letras-del-tesoro-a-nueve-meses-tambien-baja-por-primera-vez-en-2023-desciende-al-37.html")</f>
        <v>https://www.eleconomista.es/economia/noticias/12408459/08/23/el-interes-de-las-letras-del-tesoro-a-nueve-meses-tambien-baja-por-primera-vez-en-2023-desciende-al-37.html</v>
      </c>
      <c r="Y2060" s="77" t="s">
        <v>6560</v>
      </c>
      <c r="Z2060" s="77"/>
      <c r="AA2060" s="77"/>
      <c r="AB2060" s="77"/>
      <c r="AC2060" s="82" t="s">
        <v>7752</v>
      </c>
      <c r="AD2060" s="77" t="s">
        <v>7790</v>
      </c>
      <c r="AE2060" s="80" t="str">
        <f>HYPERLINK("https://twitter.com/auditorinterno/status/1691784829434515876")</f>
        <v>https://twitter.com/auditorinterno/status/1691784829434515876</v>
      </c>
      <c r="AF2060" s="79">
        <v>45154.508206018516</v>
      </c>
      <c r="AG2060" s="85">
        <v>45154</v>
      </c>
      <c r="AH2060" s="82" t="s">
        <v>9550</v>
      </c>
      <c r="AI2060" s="77" t="b">
        <v>0</v>
      </c>
      <c r="AJ2060" s="77"/>
      <c r="AK2060" s="77"/>
      <c r="AL2060" s="77"/>
      <c r="AM2060" s="77"/>
      <c r="AN2060" s="77"/>
      <c r="AO2060" s="77"/>
      <c r="AP2060" s="77"/>
      <c r="AQ2060" s="77"/>
      <c r="AR2060" s="77"/>
      <c r="AS2060" s="77"/>
      <c r="AT2060" s="77"/>
      <c r="AU2060" s="77"/>
      <c r="AV2060" s="80" t="str">
        <f>HYPERLINK("https://pbs.twimg.com/profile_images/1609841078785527808/VyY0Gh3N_normal.jpg")</f>
        <v>https://pbs.twimg.com/profile_images/1609841078785527808/VyY0Gh3N_normal.jpg</v>
      </c>
      <c r="AW2060" s="82" t="s">
        <v>13656</v>
      </c>
      <c r="AX2060" s="82" t="s">
        <v>13656</v>
      </c>
      <c r="AY2060" s="77"/>
      <c r="AZ2060" s="82" t="s">
        <v>15984</v>
      </c>
      <c r="BA2060" s="82" t="s">
        <v>15984</v>
      </c>
      <c r="BB2060" s="82" t="s">
        <v>15984</v>
      </c>
      <c r="BC2060" s="82" t="s">
        <v>13656</v>
      </c>
      <c r="BD2060" s="77">
        <v>183200672</v>
      </c>
      <c r="BE2060" s="77"/>
      <c r="BF2060" s="77"/>
      <c r="BG2060" s="77"/>
      <c r="BH2060" s="77"/>
      <c r="BI2060" s="77"/>
    </row>
    <row r="2061" spans="1:61" x14ac:dyDescent="0.25">
      <c r="A2061" s="62" t="s">
        <v>713</v>
      </c>
      <c r="B2061" s="62" t="s">
        <v>713</v>
      </c>
      <c r="C2061" s="63"/>
      <c r="D2061" s="64"/>
      <c r="E2061" s="65"/>
      <c r="F2061" s="66"/>
      <c r="G2061" s="63"/>
      <c r="H2061" s="67"/>
      <c r="I2061" s="68"/>
      <c r="J2061" s="68"/>
      <c r="K2061" s="32"/>
      <c r="L2061" s="75">
        <v>2061</v>
      </c>
      <c r="M2061" s="75"/>
      <c r="N2061" s="70"/>
      <c r="O2061" s="77" t="s">
        <v>179</v>
      </c>
      <c r="P2061" s="79">
        <v>45167.640462962961</v>
      </c>
      <c r="Q2061" s="77" t="s">
        <v>2733</v>
      </c>
      <c r="R2061" s="77">
        <v>0</v>
      </c>
      <c r="S2061" s="77">
        <v>2</v>
      </c>
      <c r="T2061" s="77">
        <v>0</v>
      </c>
      <c r="U2061" s="77">
        <v>0</v>
      </c>
      <c r="V2061" s="77">
        <v>211</v>
      </c>
      <c r="W2061" s="82" t="s">
        <v>5879</v>
      </c>
      <c r="X2061" s="80" t="str">
        <f>HYPERLINK("https://cincodias.elpais.com/companias/2023-08-29/las-familias-retiran-18650-millones-en-lo-que-va-de-ano-casi-un-2-de-sus-ahorros-bancarios.html")</f>
        <v>https://cincodias.elpais.com/companias/2023-08-29/las-familias-retiran-18650-millones-en-lo-que-va-de-ano-casi-un-2-de-sus-ahorros-bancarios.html</v>
      </c>
      <c r="Y2061" s="77" t="s">
        <v>6490</v>
      </c>
      <c r="Z2061" s="77"/>
      <c r="AA2061" s="77"/>
      <c r="AB2061" s="77"/>
      <c r="AC2061" s="82" t="s">
        <v>7752</v>
      </c>
      <c r="AD2061" s="77" t="s">
        <v>7790</v>
      </c>
      <c r="AE2061" s="80" t="str">
        <f>HYPERLINK("https://twitter.com/auditorinterno/status/1696543799680373224")</f>
        <v>https://twitter.com/auditorinterno/status/1696543799680373224</v>
      </c>
      <c r="AF2061" s="79">
        <v>45167.640462962961</v>
      </c>
      <c r="AG2061" s="85">
        <v>45167</v>
      </c>
      <c r="AH2061" s="82" t="s">
        <v>9551</v>
      </c>
      <c r="AI2061" s="77" t="b">
        <v>0</v>
      </c>
      <c r="AJ2061" s="77"/>
      <c r="AK2061" s="77"/>
      <c r="AL2061" s="77"/>
      <c r="AM2061" s="77"/>
      <c r="AN2061" s="77"/>
      <c r="AO2061" s="77"/>
      <c r="AP2061" s="77"/>
      <c r="AQ2061" s="77"/>
      <c r="AR2061" s="77"/>
      <c r="AS2061" s="77"/>
      <c r="AT2061" s="77"/>
      <c r="AU2061" s="77"/>
      <c r="AV2061" s="80" t="str">
        <f>HYPERLINK("https://pbs.twimg.com/profile_images/1609841078785527808/VyY0Gh3N_normal.jpg")</f>
        <v>https://pbs.twimg.com/profile_images/1609841078785527808/VyY0Gh3N_normal.jpg</v>
      </c>
      <c r="AW2061" s="82" t="s">
        <v>13657</v>
      </c>
      <c r="AX2061" s="82" t="s">
        <v>13657</v>
      </c>
      <c r="AY2061" s="77"/>
      <c r="AZ2061" s="82" t="s">
        <v>15984</v>
      </c>
      <c r="BA2061" s="82" t="s">
        <v>15984</v>
      </c>
      <c r="BB2061" s="82" t="s">
        <v>15984</v>
      </c>
      <c r="BC2061" s="82" t="s">
        <v>13657</v>
      </c>
      <c r="BD2061" s="77">
        <v>183200672</v>
      </c>
      <c r="BE2061" s="77"/>
      <c r="BF2061" s="77"/>
      <c r="BG2061" s="77"/>
      <c r="BH2061" s="77"/>
      <c r="BI2061" s="77"/>
    </row>
    <row r="2062" spans="1:61" x14ac:dyDescent="0.25">
      <c r="A2062" s="62" t="s">
        <v>713</v>
      </c>
      <c r="B2062" s="62" t="s">
        <v>713</v>
      </c>
      <c r="C2062" s="63"/>
      <c r="D2062" s="64"/>
      <c r="E2062" s="65"/>
      <c r="F2062" s="66"/>
      <c r="G2062" s="63"/>
      <c r="H2062" s="67"/>
      <c r="I2062" s="68"/>
      <c r="J2062" s="68"/>
      <c r="K2062" s="32"/>
      <c r="L2062" s="75">
        <v>2062</v>
      </c>
      <c r="M2062" s="75"/>
      <c r="N2062" s="70"/>
      <c r="O2062" s="77" t="s">
        <v>179</v>
      </c>
      <c r="P2062" s="79">
        <v>45159.450474537036</v>
      </c>
      <c r="Q2062" s="77" t="s">
        <v>2734</v>
      </c>
      <c r="R2062" s="77">
        <v>1</v>
      </c>
      <c r="S2062" s="77">
        <v>0</v>
      </c>
      <c r="T2062" s="77">
        <v>0</v>
      </c>
      <c r="U2062" s="77">
        <v>0</v>
      </c>
      <c r="V2062" s="77">
        <v>196</v>
      </c>
      <c r="W2062" s="82" t="s">
        <v>4821</v>
      </c>
      <c r="X2062" s="80" t="str">
        <f>HYPERLINK("https://cincodias.elpais.com/mercados-financieros/2023-08-21/de-dragon-rojo-a-cisne-negro-las-cifras-y-senales-de-china-que-inquietan-al-resto-del-mundo.html")</f>
        <v>https://cincodias.elpais.com/mercados-financieros/2023-08-21/de-dragon-rojo-a-cisne-negro-las-cifras-y-senales-de-china-que-inquietan-al-resto-del-mundo.html</v>
      </c>
      <c r="Y2062" s="77" t="s">
        <v>6490</v>
      </c>
      <c r="Z2062" s="77"/>
      <c r="AA2062" s="77"/>
      <c r="AB2062" s="77"/>
      <c r="AC2062" s="82" t="s">
        <v>7752</v>
      </c>
      <c r="AD2062" s="77" t="s">
        <v>7790</v>
      </c>
      <c r="AE2062" s="80" t="str">
        <f>HYPERLINK("https://twitter.com/auditorinterno/status/1693575848060678257")</f>
        <v>https://twitter.com/auditorinterno/status/1693575848060678257</v>
      </c>
      <c r="AF2062" s="79">
        <v>45159.450474537036</v>
      </c>
      <c r="AG2062" s="85">
        <v>45159</v>
      </c>
      <c r="AH2062" s="82" t="s">
        <v>9552</v>
      </c>
      <c r="AI2062" s="77" t="b">
        <v>0</v>
      </c>
      <c r="AJ2062" s="77"/>
      <c r="AK2062" s="77"/>
      <c r="AL2062" s="77"/>
      <c r="AM2062" s="77"/>
      <c r="AN2062" s="77"/>
      <c r="AO2062" s="77"/>
      <c r="AP2062" s="77"/>
      <c r="AQ2062" s="77"/>
      <c r="AR2062" s="77"/>
      <c r="AS2062" s="77"/>
      <c r="AT2062" s="77"/>
      <c r="AU2062" s="77"/>
      <c r="AV2062" s="80" t="str">
        <f>HYPERLINK("https://pbs.twimg.com/profile_images/1609841078785527808/VyY0Gh3N_normal.jpg")</f>
        <v>https://pbs.twimg.com/profile_images/1609841078785527808/VyY0Gh3N_normal.jpg</v>
      </c>
      <c r="AW2062" s="82" t="s">
        <v>13658</v>
      </c>
      <c r="AX2062" s="82" t="s">
        <v>13658</v>
      </c>
      <c r="AY2062" s="77"/>
      <c r="AZ2062" s="82" t="s">
        <v>15984</v>
      </c>
      <c r="BA2062" s="82" t="s">
        <v>15984</v>
      </c>
      <c r="BB2062" s="82" t="s">
        <v>15984</v>
      </c>
      <c r="BC2062" s="82" t="s">
        <v>13658</v>
      </c>
      <c r="BD2062" s="77">
        <v>183200672</v>
      </c>
      <c r="BE2062" s="77"/>
      <c r="BF2062" s="77"/>
      <c r="BG2062" s="77"/>
      <c r="BH2062" s="77"/>
      <c r="BI2062" s="77"/>
    </row>
    <row r="2063" spans="1:61" x14ac:dyDescent="0.25">
      <c r="A2063" s="62" t="s">
        <v>713</v>
      </c>
      <c r="B2063" s="62" t="s">
        <v>713</v>
      </c>
      <c r="C2063" s="63"/>
      <c r="D2063" s="64"/>
      <c r="E2063" s="65"/>
      <c r="F2063" s="66"/>
      <c r="G2063" s="63"/>
      <c r="H2063" s="67"/>
      <c r="I2063" s="68"/>
      <c r="J2063" s="68"/>
      <c r="K2063" s="32"/>
      <c r="L2063" s="75">
        <v>2063</v>
      </c>
      <c r="M2063" s="75"/>
      <c r="N2063" s="70"/>
      <c r="O2063" s="77" t="s">
        <v>179</v>
      </c>
      <c r="P2063" s="79">
        <v>45159.366550925923</v>
      </c>
      <c r="Q2063" s="77" t="s">
        <v>2735</v>
      </c>
      <c r="R2063" s="77">
        <v>0</v>
      </c>
      <c r="S2063" s="77">
        <v>0</v>
      </c>
      <c r="T2063" s="77">
        <v>0</v>
      </c>
      <c r="U2063" s="77">
        <v>0</v>
      </c>
      <c r="V2063" s="77">
        <v>67</v>
      </c>
      <c r="W2063" s="82" t="s">
        <v>4821</v>
      </c>
      <c r="X2063" s="80" t="str">
        <f>HYPERLINK("https://www.europapress.es/economia/noticia-ventas-empresas-hunden-49-junio-mayor-caida-dos-anos-20230821094501.html")</f>
        <v>https://www.europapress.es/economia/noticia-ventas-empresas-hunden-49-junio-mayor-caida-dos-anos-20230821094501.html</v>
      </c>
      <c r="Y2063" s="77" t="s">
        <v>6558</v>
      </c>
      <c r="Z2063" s="77"/>
      <c r="AA2063" s="77"/>
      <c r="AB2063" s="77"/>
      <c r="AC2063" s="82" t="s">
        <v>7752</v>
      </c>
      <c r="AD2063" s="77" t="s">
        <v>7790</v>
      </c>
      <c r="AE2063" s="80" t="str">
        <f>HYPERLINK("https://twitter.com/auditorinterno/status/1693545433719558485")</f>
        <v>https://twitter.com/auditorinterno/status/1693545433719558485</v>
      </c>
      <c r="AF2063" s="79">
        <v>45159.366550925923</v>
      </c>
      <c r="AG2063" s="85">
        <v>45159</v>
      </c>
      <c r="AH2063" s="82" t="s">
        <v>9553</v>
      </c>
      <c r="AI2063" s="77" t="b">
        <v>0</v>
      </c>
      <c r="AJ2063" s="77"/>
      <c r="AK2063" s="77"/>
      <c r="AL2063" s="77"/>
      <c r="AM2063" s="77"/>
      <c r="AN2063" s="77"/>
      <c r="AO2063" s="77"/>
      <c r="AP2063" s="77"/>
      <c r="AQ2063" s="77"/>
      <c r="AR2063" s="77"/>
      <c r="AS2063" s="77"/>
      <c r="AT2063" s="77"/>
      <c r="AU2063" s="77"/>
      <c r="AV2063" s="80" t="str">
        <f>HYPERLINK("https://pbs.twimg.com/profile_images/1609841078785527808/VyY0Gh3N_normal.jpg")</f>
        <v>https://pbs.twimg.com/profile_images/1609841078785527808/VyY0Gh3N_normal.jpg</v>
      </c>
      <c r="AW2063" s="82" t="s">
        <v>13659</v>
      </c>
      <c r="AX2063" s="82" t="s">
        <v>13659</v>
      </c>
      <c r="AY2063" s="77"/>
      <c r="AZ2063" s="82" t="s">
        <v>15984</v>
      </c>
      <c r="BA2063" s="82" t="s">
        <v>15984</v>
      </c>
      <c r="BB2063" s="82" t="s">
        <v>15984</v>
      </c>
      <c r="BC2063" s="82" t="s">
        <v>13659</v>
      </c>
      <c r="BD2063" s="77">
        <v>183200672</v>
      </c>
      <c r="BE2063" s="77"/>
      <c r="BF2063" s="77"/>
      <c r="BG2063" s="77"/>
      <c r="BH2063" s="77"/>
      <c r="BI2063" s="77"/>
    </row>
    <row r="2064" spans="1:61" x14ac:dyDescent="0.25">
      <c r="A2064" s="62" t="s">
        <v>713</v>
      </c>
      <c r="B2064" s="62" t="s">
        <v>713</v>
      </c>
      <c r="C2064" s="63"/>
      <c r="D2064" s="64"/>
      <c r="E2064" s="65"/>
      <c r="F2064" s="66"/>
      <c r="G2064" s="63"/>
      <c r="H2064" s="67"/>
      <c r="I2064" s="68"/>
      <c r="J2064" s="68"/>
      <c r="K2064" s="32"/>
      <c r="L2064" s="75">
        <v>2064</v>
      </c>
      <c r="M2064" s="75"/>
      <c r="N2064" s="70"/>
      <c r="O2064" s="77" t="s">
        <v>179</v>
      </c>
      <c r="P2064" s="79">
        <v>45147.485046296293</v>
      </c>
      <c r="Q2064" s="77" t="s">
        <v>2736</v>
      </c>
      <c r="R2064" s="77">
        <v>0</v>
      </c>
      <c r="S2064" s="77">
        <v>0</v>
      </c>
      <c r="T2064" s="77">
        <v>0</v>
      </c>
      <c r="U2064" s="77">
        <v>0</v>
      </c>
      <c r="V2064" s="77">
        <v>44</v>
      </c>
      <c r="W2064" s="82" t="s">
        <v>4821</v>
      </c>
      <c r="X2064" s="80" t="str">
        <f>HYPERLINK("https://www.europapress.es/economia/macroeconomia-00338/noticia-china-entra-deflacion-mas-dos-anos-despues-bajada-03-ipc-20230809104819.html")</f>
        <v>https://www.europapress.es/economia/macroeconomia-00338/noticia-china-entra-deflacion-mas-dos-anos-despues-bajada-03-ipc-20230809104819.html</v>
      </c>
      <c r="Y2064" s="77" t="s">
        <v>6558</v>
      </c>
      <c r="Z2064" s="77"/>
      <c r="AA2064" s="77"/>
      <c r="AB2064" s="77"/>
      <c r="AC2064" s="82" t="s">
        <v>7752</v>
      </c>
      <c r="AD2064" s="77" t="s">
        <v>7790</v>
      </c>
      <c r="AE2064" s="80" t="str">
        <f>HYPERLINK("https://twitter.com/auditorinterno/status/1689239720172146688")</f>
        <v>https://twitter.com/auditorinterno/status/1689239720172146688</v>
      </c>
      <c r="AF2064" s="79">
        <v>45147.485046296293</v>
      </c>
      <c r="AG2064" s="85">
        <v>45147</v>
      </c>
      <c r="AH2064" s="82" t="s">
        <v>9554</v>
      </c>
      <c r="AI2064" s="77" t="b">
        <v>0</v>
      </c>
      <c r="AJ2064" s="77"/>
      <c r="AK2064" s="77"/>
      <c r="AL2064" s="77"/>
      <c r="AM2064" s="77"/>
      <c r="AN2064" s="77"/>
      <c r="AO2064" s="77"/>
      <c r="AP2064" s="77"/>
      <c r="AQ2064" s="77"/>
      <c r="AR2064" s="77"/>
      <c r="AS2064" s="77"/>
      <c r="AT2064" s="77"/>
      <c r="AU2064" s="77"/>
      <c r="AV2064" s="80" t="str">
        <f>HYPERLINK("https://pbs.twimg.com/profile_images/1609841078785527808/VyY0Gh3N_normal.jpg")</f>
        <v>https://pbs.twimg.com/profile_images/1609841078785527808/VyY0Gh3N_normal.jpg</v>
      </c>
      <c r="AW2064" s="82" t="s">
        <v>13660</v>
      </c>
      <c r="AX2064" s="82" t="s">
        <v>13660</v>
      </c>
      <c r="AY2064" s="77"/>
      <c r="AZ2064" s="82" t="s">
        <v>15984</v>
      </c>
      <c r="BA2064" s="82" t="s">
        <v>15984</v>
      </c>
      <c r="BB2064" s="82" t="s">
        <v>15984</v>
      </c>
      <c r="BC2064" s="82" t="s">
        <v>13660</v>
      </c>
      <c r="BD2064" s="77">
        <v>183200672</v>
      </c>
      <c r="BE2064" s="77"/>
      <c r="BF2064" s="77"/>
      <c r="BG2064" s="77"/>
      <c r="BH2064" s="77"/>
      <c r="BI2064" s="77"/>
    </row>
    <row r="2065" spans="1:61" x14ac:dyDescent="0.25">
      <c r="A2065" s="62" t="s">
        <v>713</v>
      </c>
      <c r="B2065" s="62" t="s">
        <v>713</v>
      </c>
      <c r="C2065" s="63"/>
      <c r="D2065" s="64"/>
      <c r="E2065" s="65"/>
      <c r="F2065" s="66"/>
      <c r="G2065" s="63"/>
      <c r="H2065" s="67"/>
      <c r="I2065" s="68"/>
      <c r="J2065" s="68"/>
      <c r="K2065" s="32"/>
      <c r="L2065" s="75">
        <v>2065</v>
      </c>
      <c r="M2065" s="75"/>
      <c r="N2065" s="70"/>
      <c r="O2065" s="77" t="s">
        <v>179</v>
      </c>
      <c r="P2065" s="79">
        <v>45142.421539351853</v>
      </c>
      <c r="Q2065" s="77" t="s">
        <v>2737</v>
      </c>
      <c r="R2065" s="77">
        <v>0</v>
      </c>
      <c r="S2065" s="77">
        <v>1</v>
      </c>
      <c r="T2065" s="77">
        <v>0</v>
      </c>
      <c r="U2065" s="77">
        <v>0</v>
      </c>
      <c r="V2065" s="77">
        <v>52</v>
      </c>
      <c r="W2065" s="82" t="s">
        <v>4821</v>
      </c>
      <c r="X2065" s="80" t="str">
        <f>HYPERLINK("https://www.europapress.es/economia/macroeconomia-00338/noticia-produccion-industrial-vuelve-tasas-negativas-bajar-14-junio-20230804090921.html")</f>
        <v>https://www.europapress.es/economia/macroeconomia-00338/noticia-produccion-industrial-vuelve-tasas-negativas-bajar-14-junio-20230804090921.html</v>
      </c>
      <c r="Y2065" s="77" t="s">
        <v>6558</v>
      </c>
      <c r="Z2065" s="77"/>
      <c r="AA2065" s="77"/>
      <c r="AB2065" s="77"/>
      <c r="AC2065" s="82" t="s">
        <v>7752</v>
      </c>
      <c r="AD2065" s="77" t="s">
        <v>7790</v>
      </c>
      <c r="AE2065" s="80" t="str">
        <f>HYPERLINK("https://twitter.com/auditorinterno/status/1687404766010208256")</f>
        <v>https://twitter.com/auditorinterno/status/1687404766010208256</v>
      </c>
      <c r="AF2065" s="79">
        <v>45142.421539351853</v>
      </c>
      <c r="AG2065" s="85">
        <v>45142</v>
      </c>
      <c r="AH2065" s="82" t="s">
        <v>9555</v>
      </c>
      <c r="AI2065" s="77" t="b">
        <v>0</v>
      </c>
      <c r="AJ2065" s="77"/>
      <c r="AK2065" s="77"/>
      <c r="AL2065" s="77"/>
      <c r="AM2065" s="77"/>
      <c r="AN2065" s="77"/>
      <c r="AO2065" s="77"/>
      <c r="AP2065" s="77"/>
      <c r="AQ2065" s="77"/>
      <c r="AR2065" s="77"/>
      <c r="AS2065" s="77"/>
      <c r="AT2065" s="77"/>
      <c r="AU2065" s="77"/>
      <c r="AV2065" s="80" t="str">
        <f>HYPERLINK("https://pbs.twimg.com/profile_images/1609841078785527808/VyY0Gh3N_normal.jpg")</f>
        <v>https://pbs.twimg.com/profile_images/1609841078785527808/VyY0Gh3N_normal.jpg</v>
      </c>
      <c r="AW2065" s="82" t="s">
        <v>13661</v>
      </c>
      <c r="AX2065" s="82" t="s">
        <v>13661</v>
      </c>
      <c r="AY2065" s="77"/>
      <c r="AZ2065" s="82" t="s">
        <v>15984</v>
      </c>
      <c r="BA2065" s="82" t="s">
        <v>15984</v>
      </c>
      <c r="BB2065" s="82" t="s">
        <v>15984</v>
      </c>
      <c r="BC2065" s="82" t="s">
        <v>13661</v>
      </c>
      <c r="BD2065" s="77">
        <v>183200672</v>
      </c>
      <c r="BE2065" s="77"/>
      <c r="BF2065" s="77"/>
      <c r="BG2065" s="77"/>
      <c r="BH2065" s="77"/>
      <c r="BI2065" s="77"/>
    </row>
    <row r="2066" spans="1:61" x14ac:dyDescent="0.25">
      <c r="A2066" s="62" t="s">
        <v>713</v>
      </c>
      <c r="B2066" s="62" t="s">
        <v>713</v>
      </c>
      <c r="C2066" s="63"/>
      <c r="D2066" s="64"/>
      <c r="E2066" s="65"/>
      <c r="F2066" s="66"/>
      <c r="G2066" s="63"/>
      <c r="H2066" s="67"/>
      <c r="I2066" s="68"/>
      <c r="J2066" s="68"/>
      <c r="K2066" s="32"/>
      <c r="L2066" s="75">
        <v>2066</v>
      </c>
      <c r="M2066" s="75"/>
      <c r="N2066" s="70"/>
      <c r="O2066" s="77" t="s">
        <v>179</v>
      </c>
      <c r="P2066" s="79">
        <v>45173.707615740743</v>
      </c>
      <c r="Q2066" s="77" t="s">
        <v>2738</v>
      </c>
      <c r="R2066" s="77">
        <v>0</v>
      </c>
      <c r="S2066" s="77">
        <v>0</v>
      </c>
      <c r="T2066" s="77">
        <v>0</v>
      </c>
      <c r="U2066" s="77">
        <v>0</v>
      </c>
      <c r="V2066" s="77">
        <v>64</v>
      </c>
      <c r="W2066" s="82" t="s">
        <v>5890</v>
      </c>
      <c r="X2066" s="80" t="str">
        <f>HYPERLINK("https://www.europapress.es/economia/noticia-china-anuncia-creacion-organismo-estatal-promocion-sector-privado-20230904131636.html")</f>
        <v>https://www.europapress.es/economia/noticia-china-anuncia-creacion-organismo-estatal-promocion-sector-privado-20230904131636.html</v>
      </c>
      <c r="Y2066" s="77" t="s">
        <v>6558</v>
      </c>
      <c r="Z2066" s="77"/>
      <c r="AA2066" s="77"/>
      <c r="AB2066" s="77"/>
      <c r="AC2066" s="82" t="s">
        <v>7752</v>
      </c>
      <c r="AD2066" s="77" t="s">
        <v>7790</v>
      </c>
      <c r="AE2066" s="80" t="str">
        <f>HYPERLINK("https://twitter.com/auditorinterno/status/1698742461537911090")</f>
        <v>https://twitter.com/auditorinterno/status/1698742461537911090</v>
      </c>
      <c r="AF2066" s="79">
        <v>45173.707615740743</v>
      </c>
      <c r="AG2066" s="85">
        <v>45173</v>
      </c>
      <c r="AH2066" s="82" t="s">
        <v>9556</v>
      </c>
      <c r="AI2066" s="77" t="b">
        <v>0</v>
      </c>
      <c r="AJ2066" s="77"/>
      <c r="AK2066" s="77"/>
      <c r="AL2066" s="77"/>
      <c r="AM2066" s="77"/>
      <c r="AN2066" s="77"/>
      <c r="AO2066" s="77"/>
      <c r="AP2066" s="77"/>
      <c r="AQ2066" s="77"/>
      <c r="AR2066" s="77"/>
      <c r="AS2066" s="77"/>
      <c r="AT2066" s="77"/>
      <c r="AU2066" s="77"/>
      <c r="AV2066" s="80" t="str">
        <f>HYPERLINK("https://pbs.twimg.com/profile_images/1609841078785527808/VyY0Gh3N_normal.jpg")</f>
        <v>https://pbs.twimg.com/profile_images/1609841078785527808/VyY0Gh3N_normal.jpg</v>
      </c>
      <c r="AW2066" s="82" t="s">
        <v>13662</v>
      </c>
      <c r="AX2066" s="82" t="s">
        <v>13662</v>
      </c>
      <c r="AY2066" s="77"/>
      <c r="AZ2066" s="82" t="s">
        <v>15984</v>
      </c>
      <c r="BA2066" s="82" t="s">
        <v>15984</v>
      </c>
      <c r="BB2066" s="82" t="s">
        <v>15984</v>
      </c>
      <c r="BC2066" s="82" t="s">
        <v>13662</v>
      </c>
      <c r="BD2066" s="77">
        <v>183200672</v>
      </c>
      <c r="BE2066" s="77"/>
      <c r="BF2066" s="77"/>
      <c r="BG2066" s="77"/>
      <c r="BH2066" s="77"/>
      <c r="BI2066" s="77"/>
    </row>
    <row r="2067" spans="1:61" x14ac:dyDescent="0.25">
      <c r="A2067" s="62" t="s">
        <v>713</v>
      </c>
      <c r="B2067" s="62" t="s">
        <v>713</v>
      </c>
      <c r="C2067" s="63"/>
      <c r="D2067" s="64"/>
      <c r="E2067" s="65"/>
      <c r="F2067" s="66"/>
      <c r="G2067" s="63"/>
      <c r="H2067" s="67"/>
      <c r="I2067" s="68"/>
      <c r="J2067" s="68"/>
      <c r="K2067" s="32"/>
      <c r="L2067" s="75">
        <v>2067</v>
      </c>
      <c r="M2067" s="75"/>
      <c r="N2067" s="70"/>
      <c r="O2067" s="77" t="s">
        <v>179</v>
      </c>
      <c r="P2067" s="79">
        <v>45162.361319444448</v>
      </c>
      <c r="Q2067" s="77" t="s">
        <v>2739</v>
      </c>
      <c r="R2067" s="77">
        <v>0</v>
      </c>
      <c r="S2067" s="77">
        <v>0</v>
      </c>
      <c r="T2067" s="77">
        <v>0</v>
      </c>
      <c r="U2067" s="77">
        <v>0</v>
      </c>
      <c r="V2067" s="77">
        <v>90</v>
      </c>
      <c r="W2067" s="82" t="s">
        <v>4821</v>
      </c>
      <c r="X2067" s="80" t="str">
        <f>HYPERLINK("https://www.europapress.es/economia/construccion-y-vivienda-00342/noticia-tipo-hipotecario-eeuu-escala-maximos-23-anos-hunde-demanda-hipotecas-minimos-1995-20230823165324.html")</f>
        <v>https://www.europapress.es/economia/construccion-y-vivienda-00342/noticia-tipo-hipotecario-eeuu-escala-maximos-23-anos-hunde-demanda-hipotecas-minimos-1995-20230823165324.html</v>
      </c>
      <c r="Y2067" s="77" t="s">
        <v>6558</v>
      </c>
      <c r="Z2067" s="77"/>
      <c r="AA2067" s="77"/>
      <c r="AB2067" s="77"/>
      <c r="AC2067" s="82" t="s">
        <v>7752</v>
      </c>
      <c r="AD2067" s="77" t="s">
        <v>7790</v>
      </c>
      <c r="AE2067" s="80" t="str">
        <f>HYPERLINK("https://twitter.com/auditorinterno/status/1694630701142794422")</f>
        <v>https://twitter.com/auditorinterno/status/1694630701142794422</v>
      </c>
      <c r="AF2067" s="79">
        <v>45162.361319444448</v>
      </c>
      <c r="AG2067" s="85">
        <v>45162</v>
      </c>
      <c r="AH2067" s="82" t="s">
        <v>9557</v>
      </c>
      <c r="AI2067" s="77" t="b">
        <v>0</v>
      </c>
      <c r="AJ2067" s="77"/>
      <c r="AK2067" s="77"/>
      <c r="AL2067" s="77"/>
      <c r="AM2067" s="77"/>
      <c r="AN2067" s="77"/>
      <c r="AO2067" s="77"/>
      <c r="AP2067" s="77"/>
      <c r="AQ2067" s="77"/>
      <c r="AR2067" s="77"/>
      <c r="AS2067" s="77"/>
      <c r="AT2067" s="77"/>
      <c r="AU2067" s="77"/>
      <c r="AV2067" s="80" t="str">
        <f>HYPERLINK("https://pbs.twimg.com/profile_images/1609841078785527808/VyY0Gh3N_normal.jpg")</f>
        <v>https://pbs.twimg.com/profile_images/1609841078785527808/VyY0Gh3N_normal.jpg</v>
      </c>
      <c r="AW2067" s="82" t="s">
        <v>13663</v>
      </c>
      <c r="AX2067" s="82" t="s">
        <v>13663</v>
      </c>
      <c r="AY2067" s="77"/>
      <c r="AZ2067" s="82" t="s">
        <v>15984</v>
      </c>
      <c r="BA2067" s="82" t="s">
        <v>15984</v>
      </c>
      <c r="BB2067" s="82" t="s">
        <v>15984</v>
      </c>
      <c r="BC2067" s="82" t="s">
        <v>13663</v>
      </c>
      <c r="BD2067" s="77">
        <v>183200672</v>
      </c>
      <c r="BE2067" s="77"/>
      <c r="BF2067" s="77"/>
      <c r="BG2067" s="77"/>
      <c r="BH2067" s="77"/>
      <c r="BI2067" s="77"/>
    </row>
    <row r="2068" spans="1:61" x14ac:dyDescent="0.25">
      <c r="A2068" s="62" t="s">
        <v>713</v>
      </c>
      <c r="B2068" s="62" t="s">
        <v>713</v>
      </c>
      <c r="C2068" s="63"/>
      <c r="D2068" s="64"/>
      <c r="E2068" s="65"/>
      <c r="F2068" s="66"/>
      <c r="G2068" s="63"/>
      <c r="H2068" s="67"/>
      <c r="I2068" s="68"/>
      <c r="J2068" s="68"/>
      <c r="K2068" s="32"/>
      <c r="L2068" s="75">
        <v>2068</v>
      </c>
      <c r="M2068" s="75"/>
      <c r="N2068" s="70"/>
      <c r="O2068" s="77" t="s">
        <v>179</v>
      </c>
      <c r="P2068" s="79">
        <v>45170.332638888889</v>
      </c>
      <c r="Q2068" s="77" t="s">
        <v>2740</v>
      </c>
      <c r="R2068" s="77">
        <v>0</v>
      </c>
      <c r="S2068" s="77">
        <v>0</v>
      </c>
      <c r="T2068" s="77">
        <v>0</v>
      </c>
      <c r="U2068" s="77">
        <v>0</v>
      </c>
      <c r="V2068" s="77">
        <v>100</v>
      </c>
      <c r="W2068" s="82" t="s">
        <v>4821</v>
      </c>
      <c r="X2068" s="80" t="str">
        <f>HYPERLINK("https://www.europapress.es/economia/noticia-espana-recibio-julio-476-millones-turistas-gastaron-casi-60000-millones-20230901092704.html")</f>
        <v>https://www.europapress.es/economia/noticia-espana-recibio-julio-476-millones-turistas-gastaron-casi-60000-millones-20230901092704.html</v>
      </c>
      <c r="Y2068" s="77" t="s">
        <v>6558</v>
      </c>
      <c r="Z2068" s="77"/>
      <c r="AA2068" s="77"/>
      <c r="AB2068" s="77"/>
      <c r="AC2068" s="82" t="s">
        <v>7752</v>
      </c>
      <c r="AD2068" s="77" t="s">
        <v>7790</v>
      </c>
      <c r="AE2068" s="80" t="str">
        <f>HYPERLINK("https://twitter.com/auditorinterno/status/1697519410070577214")</f>
        <v>https://twitter.com/auditorinterno/status/1697519410070577214</v>
      </c>
      <c r="AF2068" s="79">
        <v>45170.332638888889</v>
      </c>
      <c r="AG2068" s="85">
        <v>45170</v>
      </c>
      <c r="AH2068" s="82" t="s">
        <v>8322</v>
      </c>
      <c r="AI2068" s="77" t="b">
        <v>0</v>
      </c>
      <c r="AJ2068" s="77"/>
      <c r="AK2068" s="77"/>
      <c r="AL2068" s="77"/>
      <c r="AM2068" s="77"/>
      <c r="AN2068" s="77"/>
      <c r="AO2068" s="77"/>
      <c r="AP2068" s="77"/>
      <c r="AQ2068" s="77"/>
      <c r="AR2068" s="77"/>
      <c r="AS2068" s="77"/>
      <c r="AT2068" s="77"/>
      <c r="AU2068" s="77"/>
      <c r="AV2068" s="80" t="str">
        <f>HYPERLINK("https://pbs.twimg.com/profile_images/1609841078785527808/VyY0Gh3N_normal.jpg")</f>
        <v>https://pbs.twimg.com/profile_images/1609841078785527808/VyY0Gh3N_normal.jpg</v>
      </c>
      <c r="AW2068" s="82" t="s">
        <v>13664</v>
      </c>
      <c r="AX2068" s="82" t="s">
        <v>13664</v>
      </c>
      <c r="AY2068" s="77"/>
      <c r="AZ2068" s="82" t="s">
        <v>15984</v>
      </c>
      <c r="BA2068" s="82" t="s">
        <v>15984</v>
      </c>
      <c r="BB2068" s="82" t="s">
        <v>15984</v>
      </c>
      <c r="BC2068" s="82" t="s">
        <v>13664</v>
      </c>
      <c r="BD2068" s="77">
        <v>183200672</v>
      </c>
      <c r="BE2068" s="77"/>
      <c r="BF2068" s="77"/>
      <c r="BG2068" s="77"/>
      <c r="BH2068" s="77"/>
      <c r="BI2068" s="77"/>
    </row>
    <row r="2069" spans="1:61" x14ac:dyDescent="0.25">
      <c r="A2069" s="62" t="s">
        <v>713</v>
      </c>
      <c r="B2069" s="62" t="s">
        <v>713</v>
      </c>
      <c r="C2069" s="63"/>
      <c r="D2069" s="64"/>
      <c r="E2069" s="65"/>
      <c r="F2069" s="66"/>
      <c r="G2069" s="63"/>
      <c r="H2069" s="67"/>
      <c r="I2069" s="68"/>
      <c r="J2069" s="68"/>
      <c r="K2069" s="32"/>
      <c r="L2069" s="75">
        <v>2069</v>
      </c>
      <c r="M2069" s="75"/>
      <c r="N2069" s="70"/>
      <c r="O2069" s="77" t="s">
        <v>179</v>
      </c>
      <c r="P2069" s="79">
        <v>45155.602268518516</v>
      </c>
      <c r="Q2069" s="77" t="s">
        <v>2741</v>
      </c>
      <c r="R2069" s="77">
        <v>0</v>
      </c>
      <c r="S2069" s="77">
        <v>1</v>
      </c>
      <c r="T2069" s="77">
        <v>0</v>
      </c>
      <c r="U2069" s="77">
        <v>0</v>
      </c>
      <c r="V2069" s="77">
        <v>55</v>
      </c>
      <c r="W2069" s="82" t="s">
        <v>4821</v>
      </c>
      <c r="X2069" s="80" t="str">
        <f>HYPERLINK("https://www.europapress.es/economia/macroeconomia-00338/noticia-eurozona-cierra-primer-semestre-superavit-recortar-importaciones-rusas-chinas-20230817131635.html")</f>
        <v>https://www.europapress.es/economia/macroeconomia-00338/noticia-eurozona-cierra-primer-semestre-superavit-recortar-importaciones-rusas-chinas-20230817131635.html</v>
      </c>
      <c r="Y2069" s="77" t="s">
        <v>6558</v>
      </c>
      <c r="Z2069" s="77"/>
      <c r="AA2069" s="77"/>
      <c r="AB2069" s="77"/>
      <c r="AC2069" s="82" t="s">
        <v>7752</v>
      </c>
      <c r="AD2069" s="77" t="s">
        <v>7790</v>
      </c>
      <c r="AE2069" s="80" t="str">
        <f>HYPERLINK("https://twitter.com/auditorinterno/status/1692181302600966540")</f>
        <v>https://twitter.com/auditorinterno/status/1692181302600966540</v>
      </c>
      <c r="AF2069" s="79">
        <v>45155.602268518516</v>
      </c>
      <c r="AG2069" s="85">
        <v>45155</v>
      </c>
      <c r="AH2069" s="82" t="s">
        <v>9558</v>
      </c>
      <c r="AI2069" s="77" t="b">
        <v>0</v>
      </c>
      <c r="AJ2069" s="77"/>
      <c r="AK2069" s="77"/>
      <c r="AL2069" s="77"/>
      <c r="AM2069" s="77"/>
      <c r="AN2069" s="77"/>
      <c r="AO2069" s="77"/>
      <c r="AP2069" s="77"/>
      <c r="AQ2069" s="77"/>
      <c r="AR2069" s="77"/>
      <c r="AS2069" s="77"/>
      <c r="AT2069" s="77"/>
      <c r="AU2069" s="77"/>
      <c r="AV2069" s="80" t="str">
        <f>HYPERLINK("https://pbs.twimg.com/profile_images/1609841078785527808/VyY0Gh3N_normal.jpg")</f>
        <v>https://pbs.twimg.com/profile_images/1609841078785527808/VyY0Gh3N_normal.jpg</v>
      </c>
      <c r="AW2069" s="82" t="s">
        <v>13665</v>
      </c>
      <c r="AX2069" s="82" t="s">
        <v>13665</v>
      </c>
      <c r="AY2069" s="77"/>
      <c r="AZ2069" s="82" t="s">
        <v>15984</v>
      </c>
      <c r="BA2069" s="82" t="s">
        <v>15984</v>
      </c>
      <c r="BB2069" s="82" t="s">
        <v>15984</v>
      </c>
      <c r="BC2069" s="82" t="s">
        <v>13665</v>
      </c>
      <c r="BD2069" s="77">
        <v>183200672</v>
      </c>
      <c r="BE2069" s="77"/>
      <c r="BF2069" s="77"/>
      <c r="BG2069" s="77"/>
      <c r="BH2069" s="77"/>
      <c r="BI2069" s="77"/>
    </row>
    <row r="2070" spans="1:61" x14ac:dyDescent="0.25">
      <c r="A2070" s="62" t="s">
        <v>713</v>
      </c>
      <c r="B2070" s="62" t="s">
        <v>713</v>
      </c>
      <c r="C2070" s="63"/>
      <c r="D2070" s="64"/>
      <c r="E2070" s="65"/>
      <c r="F2070" s="66"/>
      <c r="G2070" s="63"/>
      <c r="H2070" s="67"/>
      <c r="I2070" s="68"/>
      <c r="J2070" s="68"/>
      <c r="K2070" s="32"/>
      <c r="L2070" s="75">
        <v>2070</v>
      </c>
      <c r="M2070" s="75"/>
      <c r="N2070" s="70"/>
      <c r="O2070" s="77" t="s">
        <v>179</v>
      </c>
      <c r="P2070" s="79">
        <v>45148.562291666669</v>
      </c>
      <c r="Q2070" s="77" t="s">
        <v>2742</v>
      </c>
      <c r="R2070" s="77">
        <v>0</v>
      </c>
      <c r="S2070" s="77">
        <v>0</v>
      </c>
      <c r="T2070" s="77">
        <v>0</v>
      </c>
      <c r="U2070" s="77">
        <v>0</v>
      </c>
      <c r="V2070" s="77">
        <v>43</v>
      </c>
      <c r="W2070" s="82" t="s">
        <v>4821</v>
      </c>
      <c r="X2070" s="80" t="str">
        <f>HYPERLINK("https://www.europapress.es/economia/laboral-00346/noticia-contratos-agricultura-caen-269-julio-marcan-minimo-2013-randstad-20230810080005.html")</f>
        <v>https://www.europapress.es/economia/laboral-00346/noticia-contratos-agricultura-caen-269-julio-marcan-minimo-2013-randstad-20230810080005.html</v>
      </c>
      <c r="Y2070" s="77" t="s">
        <v>6558</v>
      </c>
      <c r="Z2070" s="77"/>
      <c r="AA2070" s="77"/>
      <c r="AB2070" s="77"/>
      <c r="AC2070" s="82" t="s">
        <v>7752</v>
      </c>
      <c r="AD2070" s="77" t="s">
        <v>7790</v>
      </c>
      <c r="AE2070" s="80" t="str">
        <f>HYPERLINK("https://twitter.com/auditorinterno/status/1689630101162614784")</f>
        <v>https://twitter.com/auditorinterno/status/1689630101162614784</v>
      </c>
      <c r="AF2070" s="79">
        <v>45148.562291666669</v>
      </c>
      <c r="AG2070" s="85">
        <v>45148</v>
      </c>
      <c r="AH2070" s="82" t="s">
        <v>9559</v>
      </c>
      <c r="AI2070" s="77" t="b">
        <v>0</v>
      </c>
      <c r="AJ2070" s="77"/>
      <c r="AK2070" s="77"/>
      <c r="AL2070" s="77"/>
      <c r="AM2070" s="77"/>
      <c r="AN2070" s="77"/>
      <c r="AO2070" s="77"/>
      <c r="AP2070" s="77"/>
      <c r="AQ2070" s="77"/>
      <c r="AR2070" s="77"/>
      <c r="AS2070" s="77"/>
      <c r="AT2070" s="77"/>
      <c r="AU2070" s="77"/>
      <c r="AV2070" s="80" t="str">
        <f>HYPERLINK("https://pbs.twimg.com/profile_images/1609841078785527808/VyY0Gh3N_normal.jpg")</f>
        <v>https://pbs.twimg.com/profile_images/1609841078785527808/VyY0Gh3N_normal.jpg</v>
      </c>
      <c r="AW2070" s="82" t="s">
        <v>13666</v>
      </c>
      <c r="AX2070" s="82" t="s">
        <v>13666</v>
      </c>
      <c r="AY2070" s="77"/>
      <c r="AZ2070" s="82" t="s">
        <v>15984</v>
      </c>
      <c r="BA2070" s="82" t="s">
        <v>15984</v>
      </c>
      <c r="BB2070" s="82" t="s">
        <v>15984</v>
      </c>
      <c r="BC2070" s="82" t="s">
        <v>13666</v>
      </c>
      <c r="BD2070" s="77">
        <v>183200672</v>
      </c>
      <c r="BE2070" s="77"/>
      <c r="BF2070" s="77"/>
      <c r="BG2070" s="77"/>
      <c r="BH2070" s="77"/>
      <c r="BI2070" s="77"/>
    </row>
    <row r="2071" spans="1:61" x14ac:dyDescent="0.25">
      <c r="A2071" s="62" t="s">
        <v>713</v>
      </c>
      <c r="B2071" s="62" t="s">
        <v>713</v>
      </c>
      <c r="C2071" s="63"/>
      <c r="D2071" s="64"/>
      <c r="E2071" s="65"/>
      <c r="F2071" s="66"/>
      <c r="G2071" s="63"/>
      <c r="H2071" s="67"/>
      <c r="I2071" s="68"/>
      <c r="J2071" s="68"/>
      <c r="K2071" s="32"/>
      <c r="L2071" s="75">
        <v>2071</v>
      </c>
      <c r="M2071" s="75"/>
      <c r="N2071" s="70"/>
      <c r="O2071" s="77" t="s">
        <v>179</v>
      </c>
      <c r="P2071" s="79">
        <v>45118.340833333335</v>
      </c>
      <c r="Q2071" s="77" t="s">
        <v>2743</v>
      </c>
      <c r="R2071" s="77">
        <v>0</v>
      </c>
      <c r="S2071" s="77">
        <v>0</v>
      </c>
      <c r="T2071" s="77">
        <v>0</v>
      </c>
      <c r="U2071" s="77">
        <v>0</v>
      </c>
      <c r="V2071" s="77">
        <v>42</v>
      </c>
      <c r="W2071" s="82" t="s">
        <v>4821</v>
      </c>
      <c r="X2071" s="80" t="str">
        <f>HYPERLINK("https://www.europapress.es/economia/macroeconomia-00338/noticia-alemania-confirma-repunte-ipc-junio-64-20230711092021.html")</f>
        <v>https://www.europapress.es/economia/macroeconomia-00338/noticia-alemania-confirma-repunte-ipc-junio-64-20230711092021.html</v>
      </c>
      <c r="Y2071" s="77" t="s">
        <v>6558</v>
      </c>
      <c r="Z2071" s="77"/>
      <c r="AA2071" s="77"/>
      <c r="AB2071" s="77"/>
      <c r="AC2071" s="82" t="s">
        <v>7750</v>
      </c>
      <c r="AD2071" s="77" t="s">
        <v>7790</v>
      </c>
      <c r="AE2071" s="80" t="str">
        <f>HYPERLINK("https://twitter.com/auditorinterno/status/1678678210526031872")</f>
        <v>https://twitter.com/auditorinterno/status/1678678210526031872</v>
      </c>
      <c r="AF2071" s="79">
        <v>45118.340833333335</v>
      </c>
      <c r="AG2071" s="85">
        <v>45118</v>
      </c>
      <c r="AH2071" s="82" t="s">
        <v>9560</v>
      </c>
      <c r="AI2071" s="77" t="b">
        <v>0</v>
      </c>
      <c r="AJ2071" s="77"/>
      <c r="AK2071" s="77"/>
      <c r="AL2071" s="77"/>
      <c r="AM2071" s="77"/>
      <c r="AN2071" s="77"/>
      <c r="AO2071" s="77"/>
      <c r="AP2071" s="77"/>
      <c r="AQ2071" s="77"/>
      <c r="AR2071" s="77"/>
      <c r="AS2071" s="77"/>
      <c r="AT2071" s="77"/>
      <c r="AU2071" s="77"/>
      <c r="AV2071" s="80" t="str">
        <f>HYPERLINK("https://pbs.twimg.com/profile_images/1609841078785527808/VyY0Gh3N_normal.jpg")</f>
        <v>https://pbs.twimg.com/profile_images/1609841078785527808/VyY0Gh3N_normal.jpg</v>
      </c>
      <c r="AW2071" s="82" t="s">
        <v>13667</v>
      </c>
      <c r="AX2071" s="82" t="s">
        <v>13667</v>
      </c>
      <c r="AY2071" s="77"/>
      <c r="AZ2071" s="82" t="s">
        <v>15984</v>
      </c>
      <c r="BA2071" s="82" t="s">
        <v>15984</v>
      </c>
      <c r="BB2071" s="82" t="s">
        <v>15984</v>
      </c>
      <c r="BC2071" s="82" t="s">
        <v>13667</v>
      </c>
      <c r="BD2071" s="77">
        <v>183200672</v>
      </c>
      <c r="BE2071" s="77"/>
      <c r="BF2071" s="77"/>
      <c r="BG2071" s="77"/>
      <c r="BH2071" s="77"/>
      <c r="BI2071" s="77"/>
    </row>
    <row r="2072" spans="1:61" x14ac:dyDescent="0.25">
      <c r="A2072" s="62" t="s">
        <v>713</v>
      </c>
      <c r="B2072" s="62" t="s">
        <v>713</v>
      </c>
      <c r="C2072" s="63"/>
      <c r="D2072" s="64"/>
      <c r="E2072" s="65"/>
      <c r="F2072" s="66"/>
      <c r="G2072" s="63"/>
      <c r="H2072" s="67"/>
      <c r="I2072" s="68"/>
      <c r="J2072" s="68"/>
      <c r="K2072" s="32"/>
      <c r="L2072" s="75">
        <v>2072</v>
      </c>
      <c r="M2072" s="75"/>
      <c r="N2072" s="70"/>
      <c r="O2072" s="77" t="s">
        <v>179</v>
      </c>
      <c r="P2072" s="79">
        <v>45195.384143518517</v>
      </c>
      <c r="Q2072" s="77" t="s">
        <v>2744</v>
      </c>
      <c r="R2072" s="77">
        <v>0</v>
      </c>
      <c r="S2072" s="77">
        <v>1</v>
      </c>
      <c r="T2072" s="77">
        <v>0</v>
      </c>
      <c r="U2072" s="77">
        <v>0</v>
      </c>
      <c r="V2072" s="77">
        <v>47</v>
      </c>
      <c r="W2072" s="82" t="s">
        <v>4821</v>
      </c>
      <c r="X2072" s="80" t="str">
        <f>HYPERLINK("https://www.eleconomista.es/economia/noticias/12460543/09/23/el-beneficio-bruto-del-sector-industrial-cae-un-40-en-el-segundo-trimestre.html")</f>
        <v>https://www.eleconomista.es/economia/noticias/12460543/09/23/el-beneficio-bruto-del-sector-industrial-cae-un-40-en-el-segundo-trimestre.html</v>
      </c>
      <c r="Y2072" s="77" t="s">
        <v>6560</v>
      </c>
      <c r="Z2072" s="77"/>
      <c r="AA2072" s="77"/>
      <c r="AB2072" s="77"/>
      <c r="AC2072" s="82" t="s">
        <v>7752</v>
      </c>
      <c r="AD2072" s="77" t="s">
        <v>7790</v>
      </c>
      <c r="AE2072" s="80" t="str">
        <f>HYPERLINK("https://twitter.com/auditorinterno/status/1706597772407759024")</f>
        <v>https://twitter.com/auditorinterno/status/1706597772407759024</v>
      </c>
      <c r="AF2072" s="79">
        <v>45195.384143518517</v>
      </c>
      <c r="AG2072" s="85">
        <v>45195</v>
      </c>
      <c r="AH2072" s="82" t="s">
        <v>9561</v>
      </c>
      <c r="AI2072" s="77" t="b">
        <v>0</v>
      </c>
      <c r="AJ2072" s="77"/>
      <c r="AK2072" s="77"/>
      <c r="AL2072" s="77"/>
      <c r="AM2072" s="77"/>
      <c r="AN2072" s="77"/>
      <c r="AO2072" s="77"/>
      <c r="AP2072" s="77"/>
      <c r="AQ2072" s="77"/>
      <c r="AR2072" s="77"/>
      <c r="AS2072" s="77"/>
      <c r="AT2072" s="77"/>
      <c r="AU2072" s="77"/>
      <c r="AV2072" s="80" t="str">
        <f>HYPERLINK("https://pbs.twimg.com/profile_images/1609841078785527808/VyY0Gh3N_normal.jpg")</f>
        <v>https://pbs.twimg.com/profile_images/1609841078785527808/VyY0Gh3N_normal.jpg</v>
      </c>
      <c r="AW2072" s="82" t="s">
        <v>13668</v>
      </c>
      <c r="AX2072" s="82" t="s">
        <v>13668</v>
      </c>
      <c r="AY2072" s="77"/>
      <c r="AZ2072" s="82" t="s">
        <v>15984</v>
      </c>
      <c r="BA2072" s="82" t="s">
        <v>15984</v>
      </c>
      <c r="BB2072" s="82" t="s">
        <v>15984</v>
      </c>
      <c r="BC2072" s="82" t="s">
        <v>13668</v>
      </c>
      <c r="BD2072" s="77">
        <v>183200672</v>
      </c>
      <c r="BE2072" s="77"/>
      <c r="BF2072" s="77"/>
      <c r="BG2072" s="77"/>
      <c r="BH2072" s="77"/>
      <c r="BI2072" s="77"/>
    </row>
    <row r="2073" spans="1:61" x14ac:dyDescent="0.25">
      <c r="A2073" s="62" t="s">
        <v>713</v>
      </c>
      <c r="B2073" s="62" t="s">
        <v>713</v>
      </c>
      <c r="C2073" s="63"/>
      <c r="D2073" s="64"/>
      <c r="E2073" s="65"/>
      <c r="F2073" s="66"/>
      <c r="G2073" s="63"/>
      <c r="H2073" s="67"/>
      <c r="I2073" s="68"/>
      <c r="J2073" s="68"/>
      <c r="K2073" s="32"/>
      <c r="L2073" s="75">
        <v>2073</v>
      </c>
      <c r="M2073" s="75"/>
      <c r="N2073" s="70"/>
      <c r="O2073" s="77" t="s">
        <v>179</v>
      </c>
      <c r="P2073" s="79">
        <v>45149.380439814813</v>
      </c>
      <c r="Q2073" s="77" t="s">
        <v>2745</v>
      </c>
      <c r="R2073" s="77">
        <v>0</v>
      </c>
      <c r="S2073" s="77">
        <v>1</v>
      </c>
      <c r="T2073" s="77">
        <v>0</v>
      </c>
      <c r="U2073" s="77">
        <v>0</v>
      </c>
      <c r="V2073" s="77">
        <v>37</v>
      </c>
      <c r="W2073" s="82" t="s">
        <v>4821</v>
      </c>
      <c r="X2073" s="80" t="str">
        <f>HYPERLINK("https://www.europapress.es/economia/macroeconomia-00338/noticia-inflacion-subio-23-julio-alimentos-encarecieron-108-medio-punto-mas-20230811090220.html")</f>
        <v>https://www.europapress.es/economia/macroeconomia-00338/noticia-inflacion-subio-23-julio-alimentos-encarecieron-108-medio-punto-mas-20230811090220.html</v>
      </c>
      <c r="Y2073" s="77" t="s">
        <v>6558</v>
      </c>
      <c r="Z2073" s="77"/>
      <c r="AA2073" s="77"/>
      <c r="AB2073" s="77"/>
      <c r="AC2073" s="82" t="s">
        <v>7752</v>
      </c>
      <c r="AD2073" s="77" t="s">
        <v>7790</v>
      </c>
      <c r="AE2073" s="80" t="str">
        <f>HYPERLINK("https://twitter.com/auditorinterno/status/1689926589323108352")</f>
        <v>https://twitter.com/auditorinterno/status/1689926589323108352</v>
      </c>
      <c r="AF2073" s="79">
        <v>45149.380439814813</v>
      </c>
      <c r="AG2073" s="85">
        <v>45149</v>
      </c>
      <c r="AH2073" s="82" t="s">
        <v>9562</v>
      </c>
      <c r="AI2073" s="77" t="b">
        <v>0</v>
      </c>
      <c r="AJ2073" s="77"/>
      <c r="AK2073" s="77"/>
      <c r="AL2073" s="77"/>
      <c r="AM2073" s="77"/>
      <c r="AN2073" s="77"/>
      <c r="AO2073" s="77"/>
      <c r="AP2073" s="77"/>
      <c r="AQ2073" s="77"/>
      <c r="AR2073" s="77"/>
      <c r="AS2073" s="77"/>
      <c r="AT2073" s="77"/>
      <c r="AU2073" s="77"/>
      <c r="AV2073" s="80" t="str">
        <f>HYPERLINK("https://pbs.twimg.com/profile_images/1609841078785527808/VyY0Gh3N_normal.jpg")</f>
        <v>https://pbs.twimg.com/profile_images/1609841078785527808/VyY0Gh3N_normal.jpg</v>
      </c>
      <c r="AW2073" s="82" t="s">
        <v>13669</v>
      </c>
      <c r="AX2073" s="82" t="s">
        <v>13669</v>
      </c>
      <c r="AY2073" s="77"/>
      <c r="AZ2073" s="82" t="s">
        <v>15984</v>
      </c>
      <c r="BA2073" s="82" t="s">
        <v>15984</v>
      </c>
      <c r="BB2073" s="82" t="s">
        <v>15984</v>
      </c>
      <c r="BC2073" s="82" t="s">
        <v>13669</v>
      </c>
      <c r="BD2073" s="77">
        <v>183200672</v>
      </c>
      <c r="BE2073" s="77"/>
      <c r="BF2073" s="77"/>
      <c r="BG2073" s="77"/>
      <c r="BH2073" s="77"/>
      <c r="BI2073" s="77"/>
    </row>
    <row r="2074" spans="1:61" x14ac:dyDescent="0.25">
      <c r="A2074" s="62" t="s">
        <v>718</v>
      </c>
      <c r="B2074" s="62" t="s">
        <v>718</v>
      </c>
      <c r="C2074" s="63"/>
      <c r="D2074" s="64"/>
      <c r="E2074" s="65"/>
      <c r="F2074" s="66"/>
      <c r="G2074" s="63"/>
      <c r="H2074" s="67"/>
      <c r="I2074" s="68"/>
      <c r="J2074" s="68"/>
      <c r="K2074" s="32"/>
      <c r="L2074" s="75">
        <v>2074</v>
      </c>
      <c r="M2074" s="75"/>
      <c r="N2074" s="70"/>
      <c r="O2074" s="77" t="s">
        <v>898</v>
      </c>
      <c r="P2074" s="79">
        <v>45151.769120370373</v>
      </c>
      <c r="Q2074" s="77" t="s">
        <v>2746</v>
      </c>
      <c r="R2074" s="77">
        <v>0</v>
      </c>
      <c r="S2074" s="77">
        <v>1</v>
      </c>
      <c r="T2074" s="77">
        <v>0</v>
      </c>
      <c r="U2074" s="77">
        <v>0</v>
      </c>
      <c r="V2074" s="77">
        <v>32</v>
      </c>
      <c r="W2074" s="82" t="s">
        <v>5891</v>
      </c>
      <c r="X2074" s="77"/>
      <c r="Y2074" s="77"/>
      <c r="Z2074" s="77"/>
      <c r="AA2074" s="77"/>
      <c r="AB2074" s="77"/>
      <c r="AC2074" s="82" t="s">
        <v>7752</v>
      </c>
      <c r="AD2074" s="77" t="s">
        <v>7788</v>
      </c>
      <c r="AE2074" s="80" t="str">
        <f>HYPERLINK("https://twitter.com/carlosteles__/status/1690792218221498368")</f>
        <v>https://twitter.com/carlosteles__/status/1690792218221498368</v>
      </c>
      <c r="AF2074" s="79">
        <v>45151.769120370373</v>
      </c>
      <c r="AG2074" s="85">
        <v>45151</v>
      </c>
      <c r="AH2074" s="82" t="s">
        <v>9563</v>
      </c>
      <c r="AI2074" s="77"/>
      <c r="AJ2074" s="77"/>
      <c r="AK2074" s="77"/>
      <c r="AL2074" s="77"/>
      <c r="AM2074" s="77"/>
      <c r="AN2074" s="77"/>
      <c r="AO2074" s="77"/>
      <c r="AP2074" s="77"/>
      <c r="AQ2074" s="77"/>
      <c r="AR2074" s="77"/>
      <c r="AS2074" s="77"/>
      <c r="AT2074" s="77"/>
      <c r="AU2074" s="77"/>
      <c r="AV2074" s="80" t="str">
        <f>HYPERLINK("https://pbs.twimg.com/profile_images/1686086918222589952/6Iva1pFO_normal.jpg")</f>
        <v>https://pbs.twimg.com/profile_images/1686086918222589952/6Iva1pFO_normal.jpg</v>
      </c>
      <c r="AW2074" s="82" t="s">
        <v>13670</v>
      </c>
      <c r="AX2074" s="82" t="s">
        <v>15900</v>
      </c>
      <c r="AY2074" s="82" t="s">
        <v>15978</v>
      </c>
      <c r="AZ2074" s="82" t="s">
        <v>15900</v>
      </c>
      <c r="BA2074" s="82" t="s">
        <v>15984</v>
      </c>
      <c r="BB2074" s="82" t="s">
        <v>15984</v>
      </c>
      <c r="BC2074" s="82" t="s">
        <v>15900</v>
      </c>
      <c r="BD2074" s="82" t="s">
        <v>15978</v>
      </c>
      <c r="BE2074" s="77"/>
      <c r="BF2074" s="77"/>
      <c r="BG2074" s="77"/>
      <c r="BH2074" s="77"/>
      <c r="BI2074" s="77"/>
    </row>
    <row r="2075" spans="1:61" x14ac:dyDescent="0.25">
      <c r="A2075" s="62" t="s">
        <v>718</v>
      </c>
      <c r="B2075" s="62" t="s">
        <v>718</v>
      </c>
      <c r="C2075" s="63"/>
      <c r="D2075" s="64"/>
      <c r="E2075" s="65"/>
      <c r="F2075" s="66"/>
      <c r="G2075" s="63"/>
      <c r="H2075" s="67"/>
      <c r="I2075" s="68"/>
      <c r="J2075" s="68"/>
      <c r="K2075" s="32"/>
      <c r="L2075" s="75">
        <v>2075</v>
      </c>
      <c r="M2075" s="75"/>
      <c r="N2075" s="70"/>
      <c r="O2075" s="77" t="s">
        <v>179</v>
      </c>
      <c r="P2075" s="79">
        <v>45151.577592592592</v>
      </c>
      <c r="Q2075" s="77" t="s">
        <v>2747</v>
      </c>
      <c r="R2075" s="77">
        <v>0</v>
      </c>
      <c r="S2075" s="77">
        <v>1</v>
      </c>
      <c r="T2075" s="77">
        <v>0</v>
      </c>
      <c r="U2075" s="77">
        <v>0</v>
      </c>
      <c r="V2075" s="77">
        <v>56</v>
      </c>
      <c r="W2075" s="82" t="s">
        <v>5892</v>
      </c>
      <c r="X2075" s="77"/>
      <c r="Y2075" s="77"/>
      <c r="Z2075" s="77"/>
      <c r="AA2075" s="77" t="s">
        <v>7605</v>
      </c>
      <c r="AB2075" s="77" t="s">
        <v>7742</v>
      </c>
      <c r="AC2075" s="82" t="s">
        <v>7752</v>
      </c>
      <c r="AD2075" s="77" t="s">
        <v>7788</v>
      </c>
      <c r="AE2075" s="80" t="str">
        <f>HYPERLINK("https://twitter.com/carlosteles__/status/1690722808328753152")</f>
        <v>https://twitter.com/carlosteles__/status/1690722808328753152</v>
      </c>
      <c r="AF2075" s="79">
        <v>45151.577592592592</v>
      </c>
      <c r="AG2075" s="85">
        <v>45151</v>
      </c>
      <c r="AH2075" s="82" t="s">
        <v>9564</v>
      </c>
      <c r="AI2075" s="77" t="b">
        <v>0</v>
      </c>
      <c r="AJ2075" s="77"/>
      <c r="AK2075" s="77"/>
      <c r="AL2075" s="77"/>
      <c r="AM2075" s="77"/>
      <c r="AN2075" s="77"/>
      <c r="AO2075" s="77"/>
      <c r="AP2075" s="77"/>
      <c r="AQ2075" s="77" t="s">
        <v>11577</v>
      </c>
      <c r="AR2075" s="77"/>
      <c r="AS2075" s="77"/>
      <c r="AT2075" s="77"/>
      <c r="AU2075" s="77"/>
      <c r="AV2075" s="80" t="str">
        <f>HYPERLINK("https://pbs.twimg.com/media/F3anbnHXwAAJJos.jpg")</f>
        <v>https://pbs.twimg.com/media/F3anbnHXwAAJJos.jpg</v>
      </c>
      <c r="AW2075" s="82" t="s">
        <v>13671</v>
      </c>
      <c r="AX2075" s="82" t="s">
        <v>13671</v>
      </c>
      <c r="AY2075" s="77"/>
      <c r="AZ2075" s="82" t="s">
        <v>15984</v>
      </c>
      <c r="BA2075" s="82" t="s">
        <v>15984</v>
      </c>
      <c r="BB2075" s="82" t="s">
        <v>15984</v>
      </c>
      <c r="BC2075" s="82" t="s">
        <v>13671</v>
      </c>
      <c r="BD2075" s="82" t="s">
        <v>15978</v>
      </c>
      <c r="BE2075" s="77"/>
      <c r="BF2075" s="77"/>
      <c r="BG2075" s="77"/>
      <c r="BH2075" s="77"/>
      <c r="BI2075" s="77"/>
    </row>
    <row r="2076" spans="1:61" x14ac:dyDescent="0.25">
      <c r="A2076" s="62" t="s">
        <v>719</v>
      </c>
      <c r="B2076" s="62" t="s">
        <v>719</v>
      </c>
      <c r="C2076" s="63"/>
      <c r="D2076" s="64"/>
      <c r="E2076" s="65"/>
      <c r="F2076" s="66"/>
      <c r="G2076" s="63"/>
      <c r="H2076" s="67"/>
      <c r="I2076" s="68"/>
      <c r="J2076" s="68"/>
      <c r="K2076" s="32"/>
      <c r="L2076" s="75">
        <v>2076</v>
      </c>
      <c r="M2076" s="75"/>
      <c r="N2076" s="70"/>
      <c r="O2076" s="77" t="s">
        <v>179</v>
      </c>
      <c r="P2076" s="79">
        <v>45125.014907407407</v>
      </c>
      <c r="Q2076" s="77" t="s">
        <v>2748</v>
      </c>
      <c r="R2076" s="77">
        <v>0</v>
      </c>
      <c r="S2076" s="77">
        <v>1</v>
      </c>
      <c r="T2076" s="77">
        <v>0</v>
      </c>
      <c r="U2076" s="77">
        <v>0</v>
      </c>
      <c r="V2076" s="77">
        <v>27</v>
      </c>
      <c r="W2076" s="82" t="s">
        <v>5893</v>
      </c>
      <c r="X2076" s="77"/>
      <c r="Y2076" s="77"/>
      <c r="Z2076" s="77"/>
      <c r="AA2076" s="77"/>
      <c r="AB2076" s="77"/>
      <c r="AC2076" s="82" t="s">
        <v>7751</v>
      </c>
      <c r="AD2076" s="77" t="s">
        <v>7788</v>
      </c>
      <c r="AE2076" s="80" t="str">
        <f>HYPERLINK("https://twitter.com/amelosbc/status/1681096815481946113")</f>
        <v>https://twitter.com/amelosbc/status/1681096815481946113</v>
      </c>
      <c r="AF2076" s="79">
        <v>45125.014907407407</v>
      </c>
      <c r="AG2076" s="85">
        <v>45125</v>
      </c>
      <c r="AH2076" s="82" t="s">
        <v>9565</v>
      </c>
      <c r="AI2076" s="77"/>
      <c r="AJ2076" s="77"/>
      <c r="AK2076" s="77"/>
      <c r="AL2076" s="77"/>
      <c r="AM2076" s="77"/>
      <c r="AN2076" s="77"/>
      <c r="AO2076" s="77"/>
      <c r="AP2076" s="77"/>
      <c r="AQ2076" s="77"/>
      <c r="AR2076" s="77"/>
      <c r="AS2076" s="77"/>
      <c r="AT2076" s="77"/>
      <c r="AU2076" s="77"/>
      <c r="AV2076" s="80" t="str">
        <f>HYPERLINK("https://pbs.twimg.com/profile_images/767574819592347649/nGLN9L5I_normal.jpg")</f>
        <v>https://pbs.twimg.com/profile_images/767574819592347649/nGLN9L5I_normal.jpg</v>
      </c>
      <c r="AW2076" s="82" t="s">
        <v>13672</v>
      </c>
      <c r="AX2076" s="82" t="s">
        <v>13672</v>
      </c>
      <c r="AY2076" s="77"/>
      <c r="AZ2076" s="82" t="s">
        <v>15984</v>
      </c>
      <c r="BA2076" s="82" t="s">
        <v>15984</v>
      </c>
      <c r="BB2076" s="82" t="s">
        <v>15984</v>
      </c>
      <c r="BC2076" s="82" t="s">
        <v>13672</v>
      </c>
      <c r="BD2076" s="77">
        <v>39287675</v>
      </c>
      <c r="BE2076" s="77"/>
      <c r="BF2076" s="77"/>
      <c r="BG2076" s="77"/>
      <c r="BH2076" s="77"/>
      <c r="BI2076" s="77"/>
    </row>
    <row r="2077" spans="1:61" x14ac:dyDescent="0.25">
      <c r="A2077" s="62" t="s">
        <v>720</v>
      </c>
      <c r="B2077" s="62" t="s">
        <v>720</v>
      </c>
      <c r="C2077" s="63"/>
      <c r="D2077" s="64"/>
      <c r="E2077" s="65"/>
      <c r="F2077" s="66"/>
      <c r="G2077" s="63"/>
      <c r="H2077" s="67"/>
      <c r="I2077" s="68"/>
      <c r="J2077" s="68"/>
      <c r="K2077" s="32"/>
      <c r="L2077" s="75">
        <v>2077</v>
      </c>
      <c r="M2077" s="75"/>
      <c r="N2077" s="70"/>
      <c r="O2077" s="77" t="s">
        <v>179</v>
      </c>
      <c r="P2077" s="79">
        <v>44967.914421296293</v>
      </c>
      <c r="Q2077" s="77" t="s">
        <v>2749</v>
      </c>
      <c r="R2077" s="77">
        <v>3</v>
      </c>
      <c r="S2077" s="77">
        <v>6</v>
      </c>
      <c r="T2077" s="77">
        <v>0</v>
      </c>
      <c r="U2077" s="77">
        <v>0</v>
      </c>
      <c r="V2077" s="77">
        <v>91</v>
      </c>
      <c r="W2077" s="82" t="s">
        <v>5894</v>
      </c>
      <c r="X2077" s="77"/>
      <c r="Y2077" s="77"/>
      <c r="Z2077" s="77"/>
      <c r="AA2077" s="77"/>
      <c r="AB2077" s="77"/>
      <c r="AC2077" s="82" t="s">
        <v>7751</v>
      </c>
      <c r="AD2077" s="77" t="s">
        <v>7788</v>
      </c>
      <c r="AE2077" s="80" t="str">
        <f>HYPERLINK("https://twitter.com/reginaldoprofe/status/1624165504624517130")</f>
        <v>https://twitter.com/reginaldoprofe/status/1624165504624517130</v>
      </c>
      <c r="AF2077" s="79">
        <v>44967.914421296293</v>
      </c>
      <c r="AG2077" s="85">
        <v>44967</v>
      </c>
      <c r="AH2077" s="82" t="s">
        <v>9566</v>
      </c>
      <c r="AI2077" s="77"/>
      <c r="AJ2077" s="77"/>
      <c r="AK2077" s="77"/>
      <c r="AL2077" s="77"/>
      <c r="AM2077" s="77"/>
      <c r="AN2077" s="77"/>
      <c r="AO2077" s="77"/>
      <c r="AP2077" s="77"/>
      <c r="AQ2077" s="77"/>
      <c r="AR2077" s="77"/>
      <c r="AS2077" s="77"/>
      <c r="AT2077" s="77"/>
      <c r="AU2077" s="77"/>
      <c r="AV2077" s="80" t="str">
        <f>HYPERLINK("https://pbs.twimg.com/profile_images/1587151048497659907/OVEWHA5T_normal.jpg")</f>
        <v>https://pbs.twimg.com/profile_images/1587151048497659907/OVEWHA5T_normal.jpg</v>
      </c>
      <c r="AW2077" s="82" t="s">
        <v>13673</v>
      </c>
      <c r="AX2077" s="82" t="s">
        <v>13673</v>
      </c>
      <c r="AY2077" s="77"/>
      <c r="AZ2077" s="82" t="s">
        <v>15984</v>
      </c>
      <c r="BA2077" s="82" t="s">
        <v>15984</v>
      </c>
      <c r="BB2077" s="82" t="s">
        <v>15984</v>
      </c>
      <c r="BC2077" s="82" t="s">
        <v>13673</v>
      </c>
      <c r="BD2077" s="82" t="s">
        <v>16389</v>
      </c>
      <c r="BE2077" s="77"/>
      <c r="BF2077" s="77"/>
      <c r="BG2077" s="77"/>
      <c r="BH2077" s="77"/>
      <c r="BI2077" s="77"/>
    </row>
    <row r="2078" spans="1:61" x14ac:dyDescent="0.25">
      <c r="A2078" s="62" t="s">
        <v>721</v>
      </c>
      <c r="B2078" s="62" t="s">
        <v>721</v>
      </c>
      <c r="C2078" s="63"/>
      <c r="D2078" s="64"/>
      <c r="E2078" s="65"/>
      <c r="F2078" s="66"/>
      <c r="G2078" s="63"/>
      <c r="H2078" s="67"/>
      <c r="I2078" s="68"/>
      <c r="J2078" s="68"/>
      <c r="K2078" s="32"/>
      <c r="L2078" s="75">
        <v>2078</v>
      </c>
      <c r="M2078" s="75"/>
      <c r="N2078" s="70"/>
      <c r="O2078" s="77" t="s">
        <v>179</v>
      </c>
      <c r="P2078" s="79">
        <v>45124.620636574073</v>
      </c>
      <c r="Q2078" s="77" t="s">
        <v>2750</v>
      </c>
      <c r="R2078" s="77">
        <v>0</v>
      </c>
      <c r="S2078" s="77">
        <v>0</v>
      </c>
      <c r="T2078" s="77">
        <v>0</v>
      </c>
      <c r="U2078" s="77">
        <v>0</v>
      </c>
      <c r="V2078" s="77">
        <v>38</v>
      </c>
      <c r="W2078" s="82" t="s">
        <v>5895</v>
      </c>
      <c r="X2078" s="80" t="str">
        <f>HYPERLINK("http://www.redetv.uol.com.br/jornalismo/economia/mercado-financeiro-preve-pib-de-224-este-ano?cmpid=twitter")</f>
        <v>http://www.redetv.uol.com.br/jornalismo/economia/mercado-financeiro-preve-pib-de-224-este-ano?cmpid=twitter</v>
      </c>
      <c r="Y2078" s="77" t="s">
        <v>6470</v>
      </c>
      <c r="Z2078" s="77"/>
      <c r="AA2078" s="77"/>
      <c r="AB2078" s="77"/>
      <c r="AC2078" s="82" t="s">
        <v>7750</v>
      </c>
      <c r="AD2078" s="77" t="s">
        <v>7788</v>
      </c>
      <c r="AE2078" s="80" t="str">
        <f>HYPERLINK("https://twitter.com/noticiasredetv/status/1680953937182990336")</f>
        <v>https://twitter.com/noticiasredetv/status/1680953937182990336</v>
      </c>
      <c r="AF2078" s="79">
        <v>45124.620636574073</v>
      </c>
      <c r="AG2078" s="85">
        <v>45124</v>
      </c>
      <c r="AH2078" s="82" t="s">
        <v>9567</v>
      </c>
      <c r="AI2078" s="77" t="b">
        <v>0</v>
      </c>
      <c r="AJ2078" s="77"/>
      <c r="AK2078" s="77"/>
      <c r="AL2078" s="77"/>
      <c r="AM2078" s="77"/>
      <c r="AN2078" s="77"/>
      <c r="AO2078" s="77"/>
      <c r="AP2078" s="77"/>
      <c r="AQ2078" s="77"/>
      <c r="AR2078" s="77"/>
      <c r="AS2078" s="77"/>
      <c r="AT2078" s="77"/>
      <c r="AU2078" s="77"/>
      <c r="AV2078" s="80" t="str">
        <f>HYPERLINK("https://pbs.twimg.com/profile_images/1544047959410606080/0sJKn-Iz_normal.jpg")</f>
        <v>https://pbs.twimg.com/profile_images/1544047959410606080/0sJKn-Iz_normal.jpg</v>
      </c>
      <c r="AW2078" s="82" t="s">
        <v>13674</v>
      </c>
      <c r="AX2078" s="82" t="s">
        <v>13674</v>
      </c>
      <c r="AY2078" s="77"/>
      <c r="AZ2078" s="82" t="s">
        <v>15984</v>
      </c>
      <c r="BA2078" s="82" t="s">
        <v>15984</v>
      </c>
      <c r="BB2078" s="82" t="s">
        <v>15984</v>
      </c>
      <c r="BC2078" s="82" t="s">
        <v>13674</v>
      </c>
      <c r="BD2078" s="82" t="s">
        <v>16390</v>
      </c>
      <c r="BE2078" s="77"/>
      <c r="BF2078" s="77"/>
      <c r="BG2078" s="77"/>
      <c r="BH2078" s="77"/>
      <c r="BI2078" s="77"/>
    </row>
    <row r="2079" spans="1:61" x14ac:dyDescent="0.25">
      <c r="A2079" s="62" t="s">
        <v>721</v>
      </c>
      <c r="B2079" s="62" t="s">
        <v>721</v>
      </c>
      <c r="C2079" s="63"/>
      <c r="D2079" s="64"/>
      <c r="E2079" s="65"/>
      <c r="F2079" s="66"/>
      <c r="G2079" s="63"/>
      <c r="H2079" s="67"/>
      <c r="I2079" s="68"/>
      <c r="J2079" s="68"/>
      <c r="K2079" s="32"/>
      <c r="L2079" s="75">
        <v>2079</v>
      </c>
      <c r="M2079" s="75"/>
      <c r="N2079" s="70"/>
      <c r="O2079" s="77" t="s">
        <v>179</v>
      </c>
      <c r="P2079" s="79">
        <v>45138.538923611108</v>
      </c>
      <c r="Q2079" s="77" t="s">
        <v>2751</v>
      </c>
      <c r="R2079" s="77">
        <v>0</v>
      </c>
      <c r="S2079" s="77">
        <v>0</v>
      </c>
      <c r="T2079" s="77">
        <v>0</v>
      </c>
      <c r="U2079" s="77">
        <v>0</v>
      </c>
      <c r="V2079" s="77">
        <v>50</v>
      </c>
      <c r="W2079" s="82" t="s">
        <v>5896</v>
      </c>
      <c r="X2079" s="80" t="str">
        <f>HYPERLINK("http://www.redetv.uol.com.br/jornalismo/economia/mercado-reduz-previsao-da-inflacao-de-49-para-484-este-ano?cmpid=twitter")</f>
        <v>http://www.redetv.uol.com.br/jornalismo/economia/mercado-reduz-previsao-da-inflacao-de-49-para-484-este-ano?cmpid=twitter</v>
      </c>
      <c r="Y2079" s="77" t="s">
        <v>6470</v>
      </c>
      <c r="Z2079" s="77"/>
      <c r="AA2079" s="77"/>
      <c r="AB2079" s="77"/>
      <c r="AC2079" s="82" t="s">
        <v>7750</v>
      </c>
      <c r="AD2079" s="77" t="s">
        <v>7788</v>
      </c>
      <c r="AE2079" s="80" t="str">
        <f>HYPERLINK("https://twitter.com/noticiasredetv/status/1685997753057320961")</f>
        <v>https://twitter.com/noticiasredetv/status/1685997753057320961</v>
      </c>
      <c r="AF2079" s="79">
        <v>45138.538923611108</v>
      </c>
      <c r="AG2079" s="85">
        <v>45138</v>
      </c>
      <c r="AH2079" s="82" t="s">
        <v>9568</v>
      </c>
      <c r="AI2079" s="77" t="b">
        <v>0</v>
      </c>
      <c r="AJ2079" s="77"/>
      <c r="AK2079" s="77"/>
      <c r="AL2079" s="77"/>
      <c r="AM2079" s="77"/>
      <c r="AN2079" s="77"/>
      <c r="AO2079" s="77"/>
      <c r="AP2079" s="77"/>
      <c r="AQ2079" s="77"/>
      <c r="AR2079" s="77"/>
      <c r="AS2079" s="77"/>
      <c r="AT2079" s="77"/>
      <c r="AU2079" s="77"/>
      <c r="AV2079" s="80" t="str">
        <f>HYPERLINK("https://pbs.twimg.com/profile_images/1544047959410606080/0sJKn-Iz_normal.jpg")</f>
        <v>https://pbs.twimg.com/profile_images/1544047959410606080/0sJKn-Iz_normal.jpg</v>
      </c>
      <c r="AW2079" s="82" t="s">
        <v>13675</v>
      </c>
      <c r="AX2079" s="82" t="s">
        <v>13675</v>
      </c>
      <c r="AY2079" s="77"/>
      <c r="AZ2079" s="82" t="s">
        <v>15984</v>
      </c>
      <c r="BA2079" s="82" t="s">
        <v>15984</v>
      </c>
      <c r="BB2079" s="82" t="s">
        <v>15984</v>
      </c>
      <c r="BC2079" s="82" t="s">
        <v>13675</v>
      </c>
      <c r="BD2079" s="82" t="s">
        <v>16390</v>
      </c>
      <c r="BE2079" s="77"/>
      <c r="BF2079" s="77"/>
      <c r="BG2079" s="77"/>
      <c r="BH2079" s="77"/>
      <c r="BI2079" s="77"/>
    </row>
    <row r="2080" spans="1:61" x14ac:dyDescent="0.25">
      <c r="A2080" s="62" t="s">
        <v>721</v>
      </c>
      <c r="B2080" s="62" t="s">
        <v>721</v>
      </c>
      <c r="C2080" s="63"/>
      <c r="D2080" s="64"/>
      <c r="E2080" s="65"/>
      <c r="F2080" s="66"/>
      <c r="G2080" s="63"/>
      <c r="H2080" s="67"/>
      <c r="I2080" s="68"/>
      <c r="J2080" s="68"/>
      <c r="K2080" s="32"/>
      <c r="L2080" s="75">
        <v>2080</v>
      </c>
      <c r="M2080" s="75"/>
      <c r="N2080" s="70"/>
      <c r="O2080" s="77" t="s">
        <v>179</v>
      </c>
      <c r="P2080" s="79">
        <v>45166.532604166663</v>
      </c>
      <c r="Q2080" s="77" t="s">
        <v>2752</v>
      </c>
      <c r="R2080" s="77">
        <v>0</v>
      </c>
      <c r="S2080" s="77">
        <v>1</v>
      </c>
      <c r="T2080" s="77">
        <v>0</v>
      </c>
      <c r="U2080" s="77">
        <v>0</v>
      </c>
      <c r="V2080" s="77">
        <v>38</v>
      </c>
      <c r="W2080" s="82" t="s">
        <v>5897</v>
      </c>
      <c r="X2080" s="80" t="str">
        <f>HYPERLINK("http://www.redetv.uol.com.br/jornalismo/economia/mercado-eleva-para-231-projecao-do-crescimento-da-economia-em-2023?cmpid=twitter")</f>
        <v>http://www.redetv.uol.com.br/jornalismo/economia/mercado-eleva-para-231-projecao-do-crescimento-da-economia-em-2023?cmpid=twitter</v>
      </c>
      <c r="Y2080" s="77" t="s">
        <v>6470</v>
      </c>
      <c r="Z2080" s="77"/>
      <c r="AA2080" s="77"/>
      <c r="AB2080" s="77"/>
      <c r="AC2080" s="82" t="s">
        <v>7750</v>
      </c>
      <c r="AD2080" s="77" t="s">
        <v>7788</v>
      </c>
      <c r="AE2080" s="80" t="str">
        <f>HYPERLINK("https://twitter.com/noticiasredetv/status/1696142325783601262")</f>
        <v>https://twitter.com/noticiasredetv/status/1696142325783601262</v>
      </c>
      <c r="AF2080" s="79">
        <v>45166.532604166663</v>
      </c>
      <c r="AG2080" s="85">
        <v>45166</v>
      </c>
      <c r="AH2080" s="82" t="s">
        <v>9569</v>
      </c>
      <c r="AI2080" s="77" t="b">
        <v>0</v>
      </c>
      <c r="AJ2080" s="77"/>
      <c r="AK2080" s="77"/>
      <c r="AL2080" s="77"/>
      <c r="AM2080" s="77"/>
      <c r="AN2080" s="77"/>
      <c r="AO2080" s="77"/>
      <c r="AP2080" s="77"/>
      <c r="AQ2080" s="77"/>
      <c r="AR2080" s="77"/>
      <c r="AS2080" s="77"/>
      <c r="AT2080" s="77"/>
      <c r="AU2080" s="77"/>
      <c r="AV2080" s="80" t="str">
        <f>HYPERLINK("https://pbs.twimg.com/profile_images/1544047959410606080/0sJKn-Iz_normal.jpg")</f>
        <v>https://pbs.twimg.com/profile_images/1544047959410606080/0sJKn-Iz_normal.jpg</v>
      </c>
      <c r="AW2080" s="82" t="s">
        <v>13676</v>
      </c>
      <c r="AX2080" s="82" t="s">
        <v>13676</v>
      </c>
      <c r="AY2080" s="77"/>
      <c r="AZ2080" s="82" t="s">
        <v>15984</v>
      </c>
      <c r="BA2080" s="82" t="s">
        <v>15984</v>
      </c>
      <c r="BB2080" s="82" t="s">
        <v>15984</v>
      </c>
      <c r="BC2080" s="82" t="s">
        <v>13676</v>
      </c>
      <c r="BD2080" s="82" t="s">
        <v>16390</v>
      </c>
      <c r="BE2080" s="77"/>
      <c r="BF2080" s="77"/>
      <c r="BG2080" s="77"/>
      <c r="BH2080" s="77"/>
      <c r="BI2080" s="77"/>
    </row>
    <row r="2081" spans="1:61" x14ac:dyDescent="0.25">
      <c r="A2081" s="62" t="s">
        <v>721</v>
      </c>
      <c r="B2081" s="62" t="s">
        <v>721</v>
      </c>
      <c r="C2081" s="63"/>
      <c r="D2081" s="64"/>
      <c r="E2081" s="65"/>
      <c r="F2081" s="66"/>
      <c r="G2081" s="63"/>
      <c r="H2081" s="67"/>
      <c r="I2081" s="68"/>
      <c r="J2081" s="68"/>
      <c r="K2081" s="32"/>
      <c r="L2081" s="75">
        <v>2081</v>
      </c>
      <c r="M2081" s="75"/>
      <c r="N2081" s="70"/>
      <c r="O2081" s="77" t="s">
        <v>179</v>
      </c>
      <c r="P2081" s="79">
        <v>45187.522800925923</v>
      </c>
      <c r="Q2081" s="77" t="s">
        <v>2753</v>
      </c>
      <c r="R2081" s="77">
        <v>0</v>
      </c>
      <c r="S2081" s="77">
        <v>0</v>
      </c>
      <c r="T2081" s="77">
        <v>0</v>
      </c>
      <c r="U2081" s="77">
        <v>0</v>
      </c>
      <c r="V2081" s="77">
        <v>30</v>
      </c>
      <c r="W2081" s="82" t="s">
        <v>5898</v>
      </c>
      <c r="X2081" s="80" t="str">
        <f>HYPERLINK("http://www.redetv.uol.com.br/jornalismo/economia/mercado-eleva-para-289-projecao-do-crescimento-da-economia-em-2023?cmpid=twitter")</f>
        <v>http://www.redetv.uol.com.br/jornalismo/economia/mercado-eleva-para-289-projecao-do-crescimento-da-economia-em-2023?cmpid=twitter</v>
      </c>
      <c r="Y2081" s="77" t="s">
        <v>6470</v>
      </c>
      <c r="Z2081" s="77"/>
      <c r="AA2081" s="77"/>
      <c r="AB2081" s="77"/>
      <c r="AC2081" s="82" t="s">
        <v>7750</v>
      </c>
      <c r="AD2081" s="77" t="s">
        <v>7788</v>
      </c>
      <c r="AE2081" s="80" t="str">
        <f>HYPERLINK("https://twitter.com/noticiasredetv/status/1703748918259966144")</f>
        <v>https://twitter.com/noticiasredetv/status/1703748918259966144</v>
      </c>
      <c r="AF2081" s="79">
        <v>45187.522800925923</v>
      </c>
      <c r="AG2081" s="85">
        <v>45187</v>
      </c>
      <c r="AH2081" s="82" t="s">
        <v>9570</v>
      </c>
      <c r="AI2081" s="77" t="b">
        <v>0</v>
      </c>
      <c r="AJ2081" s="77"/>
      <c r="AK2081" s="77"/>
      <c r="AL2081" s="77"/>
      <c r="AM2081" s="77"/>
      <c r="AN2081" s="77"/>
      <c r="AO2081" s="77"/>
      <c r="AP2081" s="77"/>
      <c r="AQ2081" s="77"/>
      <c r="AR2081" s="77"/>
      <c r="AS2081" s="77"/>
      <c r="AT2081" s="77"/>
      <c r="AU2081" s="77"/>
      <c r="AV2081" s="80" t="str">
        <f>HYPERLINK("https://pbs.twimg.com/profile_images/1544047959410606080/0sJKn-Iz_normal.jpg")</f>
        <v>https://pbs.twimg.com/profile_images/1544047959410606080/0sJKn-Iz_normal.jpg</v>
      </c>
      <c r="AW2081" s="82" t="s">
        <v>13677</v>
      </c>
      <c r="AX2081" s="82" t="s">
        <v>13677</v>
      </c>
      <c r="AY2081" s="77"/>
      <c r="AZ2081" s="82" t="s">
        <v>15984</v>
      </c>
      <c r="BA2081" s="82" t="s">
        <v>15984</v>
      </c>
      <c r="BB2081" s="82" t="s">
        <v>15984</v>
      </c>
      <c r="BC2081" s="82" t="s">
        <v>13677</v>
      </c>
      <c r="BD2081" s="82" t="s">
        <v>16390</v>
      </c>
      <c r="BE2081" s="77"/>
      <c r="BF2081" s="77"/>
      <c r="BG2081" s="77"/>
      <c r="BH2081" s="77"/>
      <c r="BI2081" s="77"/>
    </row>
    <row r="2082" spans="1:61" x14ac:dyDescent="0.25">
      <c r="A2082" s="62" t="s">
        <v>722</v>
      </c>
      <c r="B2082" s="62" t="s">
        <v>722</v>
      </c>
      <c r="C2082" s="63"/>
      <c r="D2082" s="64"/>
      <c r="E2082" s="65"/>
      <c r="F2082" s="66"/>
      <c r="G2082" s="63"/>
      <c r="H2082" s="67"/>
      <c r="I2082" s="68"/>
      <c r="J2082" s="68"/>
      <c r="K2082" s="32"/>
      <c r="L2082" s="75">
        <v>2082</v>
      </c>
      <c r="M2082" s="75"/>
      <c r="N2082" s="70"/>
      <c r="O2082" s="77" t="s">
        <v>179</v>
      </c>
      <c r="P2082" s="79">
        <v>45139.07707175926</v>
      </c>
      <c r="Q2082" s="77" t="s">
        <v>2754</v>
      </c>
      <c r="R2082" s="77">
        <v>0</v>
      </c>
      <c r="S2082" s="77">
        <v>0</v>
      </c>
      <c r="T2082" s="77">
        <v>0</v>
      </c>
      <c r="U2082" s="77">
        <v>0</v>
      </c>
      <c r="V2082" s="77">
        <v>92</v>
      </c>
      <c r="W2082" s="82" t="s">
        <v>5899</v>
      </c>
      <c r="X2082" s="77"/>
      <c r="Y2082" s="77"/>
      <c r="Z2082" s="77"/>
      <c r="AA2082" s="77" t="s">
        <v>7606</v>
      </c>
      <c r="AB2082" s="77" t="s">
        <v>7743</v>
      </c>
      <c r="AC2082" s="82" t="s">
        <v>7751</v>
      </c>
      <c r="AD2082" s="77" t="s">
        <v>7791</v>
      </c>
      <c r="AE2082" s="80" t="str">
        <f>HYPERLINK("https://twitter.com/pix_notasfake/status/1686192773404246022")</f>
        <v>https://twitter.com/pix_notasfake/status/1686192773404246022</v>
      </c>
      <c r="AF2082" s="79">
        <v>45139.07707175926</v>
      </c>
      <c r="AG2082" s="85">
        <v>45139</v>
      </c>
      <c r="AH2082" s="82" t="s">
        <v>9571</v>
      </c>
      <c r="AI2082" s="77" t="b">
        <v>0</v>
      </c>
      <c r="AJ2082" s="77"/>
      <c r="AK2082" s="77"/>
      <c r="AL2082" s="77"/>
      <c r="AM2082" s="77"/>
      <c r="AN2082" s="77"/>
      <c r="AO2082" s="77"/>
      <c r="AP2082" s="77"/>
      <c r="AQ2082" s="77" t="s">
        <v>11578</v>
      </c>
      <c r="AR2082" s="77">
        <v>18411</v>
      </c>
      <c r="AS2082" s="77"/>
      <c r="AT2082" s="77"/>
      <c r="AU2082" s="77"/>
      <c r="AV2082" s="80" t="str">
        <f>HYPERLINK("https://pbs.twimg.com/ext_tw_video_thumb/1686192674418642944/pu/img/YXFLDLW2L2rmLoJv.jpg")</f>
        <v>https://pbs.twimg.com/ext_tw_video_thumb/1686192674418642944/pu/img/YXFLDLW2L2rmLoJv.jpg</v>
      </c>
      <c r="AW2082" s="82" t="s">
        <v>13678</v>
      </c>
      <c r="AX2082" s="82" t="s">
        <v>13678</v>
      </c>
      <c r="AY2082" s="77"/>
      <c r="AZ2082" s="82" t="s">
        <v>15984</v>
      </c>
      <c r="BA2082" s="82" t="s">
        <v>15984</v>
      </c>
      <c r="BB2082" s="82" t="s">
        <v>15984</v>
      </c>
      <c r="BC2082" s="82" t="s">
        <v>13678</v>
      </c>
      <c r="BD2082" s="82" t="s">
        <v>16391</v>
      </c>
      <c r="BE2082" s="77"/>
      <c r="BF2082" s="77"/>
      <c r="BG2082" s="77"/>
      <c r="BH2082" s="77"/>
      <c r="BI2082" s="77"/>
    </row>
    <row r="2083" spans="1:61" x14ac:dyDescent="0.25">
      <c r="A2083" s="62" t="s">
        <v>723</v>
      </c>
      <c r="B2083" s="62" t="s">
        <v>723</v>
      </c>
      <c r="C2083" s="63"/>
      <c r="D2083" s="64"/>
      <c r="E2083" s="65"/>
      <c r="F2083" s="66"/>
      <c r="G2083" s="63"/>
      <c r="H2083" s="67"/>
      <c r="I2083" s="68"/>
      <c r="J2083" s="68"/>
      <c r="K2083" s="32"/>
      <c r="L2083" s="75">
        <v>2083</v>
      </c>
      <c r="M2083" s="75"/>
      <c r="N2083" s="70"/>
      <c r="O2083" s="77" t="s">
        <v>179</v>
      </c>
      <c r="P2083" s="79">
        <v>45154.473726851851</v>
      </c>
      <c r="Q2083" s="77" t="s">
        <v>2755</v>
      </c>
      <c r="R2083" s="77">
        <v>0</v>
      </c>
      <c r="S2083" s="77">
        <v>0</v>
      </c>
      <c r="T2083" s="77">
        <v>0</v>
      </c>
      <c r="U2083" s="77">
        <v>0</v>
      </c>
      <c r="V2083" s="77">
        <v>11</v>
      </c>
      <c r="W2083" s="82" t="s">
        <v>5900</v>
      </c>
      <c r="X2083" s="80" t="str">
        <f>HYPERLINK("https://oequilibriodemercado.blogspot.com/2023/08/opiniao-o-mercado-de-acoes-nao-e.html?spref=tw")</f>
        <v>https://oequilibriodemercado.blogspot.com/2023/08/opiniao-o-mercado-de-acoes-nao-e.html?spref=tw</v>
      </c>
      <c r="Y2083" s="77" t="s">
        <v>6532</v>
      </c>
      <c r="Z2083" s="77"/>
      <c r="AA2083" s="77"/>
      <c r="AB2083" s="77"/>
      <c r="AC2083" s="82" t="s">
        <v>7750</v>
      </c>
      <c r="AD2083" s="77" t="s">
        <v>7788</v>
      </c>
      <c r="AE2083" s="80" t="str">
        <f>HYPERLINK("https://twitter.com/palcarva/status/1691772335064293684")</f>
        <v>https://twitter.com/palcarva/status/1691772335064293684</v>
      </c>
      <c r="AF2083" s="79">
        <v>45154.473726851851</v>
      </c>
      <c r="AG2083" s="85">
        <v>45154</v>
      </c>
      <c r="AH2083" s="82" t="s">
        <v>9572</v>
      </c>
      <c r="AI2083" s="77" t="b">
        <v>0</v>
      </c>
      <c r="AJ2083" s="77"/>
      <c r="AK2083" s="77"/>
      <c r="AL2083" s="77"/>
      <c r="AM2083" s="77"/>
      <c r="AN2083" s="77"/>
      <c r="AO2083" s="77"/>
      <c r="AP2083" s="77"/>
      <c r="AQ2083" s="77"/>
      <c r="AR2083" s="77"/>
      <c r="AS2083" s="77"/>
      <c r="AT2083" s="77"/>
      <c r="AU2083" s="77"/>
      <c r="AV2083" s="80" t="str">
        <f>HYPERLINK("https://pbs.twimg.com/profile_images/1261765143597326337/o5Zv4ZO1_normal.jpg")</f>
        <v>https://pbs.twimg.com/profile_images/1261765143597326337/o5Zv4ZO1_normal.jpg</v>
      </c>
      <c r="AW2083" s="82" t="s">
        <v>13679</v>
      </c>
      <c r="AX2083" s="82" t="s">
        <v>13679</v>
      </c>
      <c r="AY2083" s="77"/>
      <c r="AZ2083" s="82" t="s">
        <v>15984</v>
      </c>
      <c r="BA2083" s="82" t="s">
        <v>15984</v>
      </c>
      <c r="BB2083" s="82" t="s">
        <v>15984</v>
      </c>
      <c r="BC2083" s="82" t="s">
        <v>13679</v>
      </c>
      <c r="BD2083" s="77">
        <v>2786819345</v>
      </c>
      <c r="BE2083" s="77"/>
      <c r="BF2083" s="77"/>
      <c r="BG2083" s="77"/>
      <c r="BH2083" s="77"/>
      <c r="BI2083" s="77"/>
    </row>
    <row r="2084" spans="1:61" x14ac:dyDescent="0.25">
      <c r="A2084" s="62" t="s">
        <v>387</v>
      </c>
      <c r="B2084" s="62" t="s">
        <v>387</v>
      </c>
      <c r="C2084" s="63"/>
      <c r="D2084" s="64"/>
      <c r="E2084" s="65"/>
      <c r="F2084" s="66"/>
      <c r="G2084" s="63"/>
      <c r="H2084" s="67"/>
      <c r="I2084" s="68"/>
      <c r="J2084" s="68"/>
      <c r="K2084" s="32"/>
      <c r="L2084" s="75">
        <v>2084</v>
      </c>
      <c r="M2084" s="75"/>
      <c r="N2084" s="70"/>
      <c r="O2084" s="77" t="s">
        <v>179</v>
      </c>
      <c r="P2084" s="79">
        <v>45161.890023148146</v>
      </c>
      <c r="Q2084" s="77" t="s">
        <v>2756</v>
      </c>
      <c r="R2084" s="77">
        <v>0</v>
      </c>
      <c r="S2084" s="77">
        <v>0</v>
      </c>
      <c r="T2084" s="77">
        <v>0</v>
      </c>
      <c r="U2084" s="77">
        <v>0</v>
      </c>
      <c r="V2084" s="77">
        <v>626</v>
      </c>
      <c r="W2084" s="82" t="s">
        <v>5901</v>
      </c>
      <c r="X2084" s="80" t="str">
        <f>HYPERLINK("https://mla.bs/46c0fc1e")</f>
        <v>https://mla.bs/46c0fc1e</v>
      </c>
      <c r="Y2084" s="77" t="s">
        <v>6506</v>
      </c>
      <c r="Z2084" s="77"/>
      <c r="AA2084" s="77"/>
      <c r="AB2084" s="77"/>
      <c r="AC2084" s="82" t="s">
        <v>7750</v>
      </c>
      <c r="AD2084" s="77" t="s">
        <v>7788</v>
      </c>
      <c r="AE2084" s="80" t="str">
        <f>HYPERLINK("https://twitter.com/einvestidor/status/1694459907230126478")</f>
        <v>https://twitter.com/einvestidor/status/1694459907230126478</v>
      </c>
      <c r="AF2084" s="79">
        <v>45161.890023148146</v>
      </c>
      <c r="AG2084" s="85">
        <v>45161</v>
      </c>
      <c r="AH2084" s="82" t="s">
        <v>9573</v>
      </c>
      <c r="AI2084" s="77" t="b">
        <v>0</v>
      </c>
      <c r="AJ2084" s="77"/>
      <c r="AK2084" s="77"/>
      <c r="AL2084" s="77"/>
      <c r="AM2084" s="77"/>
      <c r="AN2084" s="77"/>
      <c r="AO2084" s="77"/>
      <c r="AP2084" s="77"/>
      <c r="AQ2084" s="77"/>
      <c r="AR2084" s="77"/>
      <c r="AS2084" s="77"/>
      <c r="AT2084" s="77"/>
      <c r="AU2084" s="77"/>
      <c r="AV2084" s="80" t="str">
        <f>HYPERLINK("https://pbs.twimg.com/profile_images/1241147984924082183/gZgx_hL-_normal.jpg")</f>
        <v>https://pbs.twimg.com/profile_images/1241147984924082183/gZgx_hL-_normal.jpg</v>
      </c>
      <c r="AW2084" s="82" t="s">
        <v>13680</v>
      </c>
      <c r="AX2084" s="82" t="s">
        <v>13680</v>
      </c>
      <c r="AY2084" s="77"/>
      <c r="AZ2084" s="82" t="s">
        <v>15984</v>
      </c>
      <c r="BA2084" s="82" t="s">
        <v>15984</v>
      </c>
      <c r="BB2084" s="82" t="s">
        <v>15984</v>
      </c>
      <c r="BC2084" s="82" t="s">
        <v>13680</v>
      </c>
      <c r="BD2084" s="82" t="s">
        <v>15979</v>
      </c>
      <c r="BE2084" s="77"/>
      <c r="BF2084" s="77"/>
      <c r="BG2084" s="77"/>
      <c r="BH2084" s="77"/>
      <c r="BI2084" s="77"/>
    </row>
    <row r="2085" spans="1:61" x14ac:dyDescent="0.25">
      <c r="A2085" s="62" t="s">
        <v>387</v>
      </c>
      <c r="B2085" s="62" t="s">
        <v>387</v>
      </c>
      <c r="C2085" s="63"/>
      <c r="D2085" s="64"/>
      <c r="E2085" s="65"/>
      <c r="F2085" s="66"/>
      <c r="G2085" s="63"/>
      <c r="H2085" s="67"/>
      <c r="I2085" s="68"/>
      <c r="J2085" s="68"/>
      <c r="K2085" s="32"/>
      <c r="L2085" s="75">
        <v>2085</v>
      </c>
      <c r="M2085" s="75"/>
      <c r="N2085" s="70"/>
      <c r="O2085" s="77" t="s">
        <v>898</v>
      </c>
      <c r="P2085" s="79">
        <v>45161.458333333336</v>
      </c>
      <c r="Q2085" s="77" t="s">
        <v>2757</v>
      </c>
      <c r="R2085" s="77">
        <v>0</v>
      </c>
      <c r="S2085" s="77">
        <v>1</v>
      </c>
      <c r="T2085" s="77">
        <v>0</v>
      </c>
      <c r="U2085" s="77">
        <v>0</v>
      </c>
      <c r="V2085" s="77">
        <v>394</v>
      </c>
      <c r="W2085" s="82" t="s">
        <v>5577</v>
      </c>
      <c r="X2085" s="80" t="str">
        <f>HYPERLINK("https://einvestidor.estadao.com.br/mercado/acoes-mais-rentaveis-agosto-2023/?utm_source=twitter&amp;utm_medium=organic&amp;utm_campaign=acoes&amp;utm_content=materia")</f>
        <v>https://einvestidor.estadao.com.br/mercado/acoes-mais-rentaveis-agosto-2023/?utm_source=twitter&amp;utm_medium=organic&amp;utm_campaign=acoes&amp;utm_content=materia</v>
      </c>
      <c r="Y2085" s="77" t="s">
        <v>6470</v>
      </c>
      <c r="Z2085" s="77"/>
      <c r="AA2085" s="77"/>
      <c r="AB2085" s="77"/>
      <c r="AC2085" s="82" t="s">
        <v>7750</v>
      </c>
      <c r="AD2085" s="77" t="s">
        <v>7788</v>
      </c>
      <c r="AE2085" s="80" t="str">
        <f>HYPERLINK("https://twitter.com/einvestidor/status/1694303471787262401")</f>
        <v>https://twitter.com/einvestidor/status/1694303471787262401</v>
      </c>
      <c r="AF2085" s="79">
        <v>45161.458333333336</v>
      </c>
      <c r="AG2085" s="85">
        <v>45161</v>
      </c>
      <c r="AH2085" s="82" t="s">
        <v>9574</v>
      </c>
      <c r="AI2085" s="77" t="b">
        <v>0</v>
      </c>
      <c r="AJ2085" s="77"/>
      <c r="AK2085" s="77"/>
      <c r="AL2085" s="77"/>
      <c r="AM2085" s="77"/>
      <c r="AN2085" s="77"/>
      <c r="AO2085" s="77"/>
      <c r="AP2085" s="77"/>
      <c r="AQ2085" s="77"/>
      <c r="AR2085" s="77"/>
      <c r="AS2085" s="77"/>
      <c r="AT2085" s="77"/>
      <c r="AU2085" s="77"/>
      <c r="AV2085" s="80" t="str">
        <f>HYPERLINK("https://pbs.twimg.com/profile_images/1241147984924082183/gZgx_hL-_normal.jpg")</f>
        <v>https://pbs.twimg.com/profile_images/1241147984924082183/gZgx_hL-_normal.jpg</v>
      </c>
      <c r="AW2085" s="82" t="s">
        <v>13681</v>
      </c>
      <c r="AX2085" s="82" t="s">
        <v>14060</v>
      </c>
      <c r="AY2085" s="82" t="s">
        <v>15979</v>
      </c>
      <c r="AZ2085" s="82" t="s">
        <v>14060</v>
      </c>
      <c r="BA2085" s="82" t="s">
        <v>15984</v>
      </c>
      <c r="BB2085" s="82" t="s">
        <v>15984</v>
      </c>
      <c r="BC2085" s="82" t="s">
        <v>14060</v>
      </c>
      <c r="BD2085" s="82" t="s">
        <v>15979</v>
      </c>
      <c r="BE2085" s="77"/>
      <c r="BF2085" s="77"/>
      <c r="BG2085" s="77"/>
      <c r="BH2085" s="77"/>
      <c r="BI2085" s="77"/>
    </row>
    <row r="2086" spans="1:61" x14ac:dyDescent="0.25">
      <c r="A2086" s="62" t="s">
        <v>387</v>
      </c>
      <c r="B2086" s="62" t="s">
        <v>387</v>
      </c>
      <c r="C2086" s="63"/>
      <c r="D2086" s="64"/>
      <c r="E2086" s="65"/>
      <c r="F2086" s="66"/>
      <c r="G2086" s="63"/>
      <c r="H2086" s="67"/>
      <c r="I2086" s="68"/>
      <c r="J2086" s="68"/>
      <c r="K2086" s="32"/>
      <c r="L2086" s="75">
        <v>2086</v>
      </c>
      <c r="M2086" s="75"/>
      <c r="N2086" s="70"/>
      <c r="O2086" s="77" t="s">
        <v>179</v>
      </c>
      <c r="P2086" s="79">
        <v>45160.499039351853</v>
      </c>
      <c r="Q2086" s="77" t="s">
        <v>2758</v>
      </c>
      <c r="R2086" s="77">
        <v>0</v>
      </c>
      <c r="S2086" s="77">
        <v>3</v>
      </c>
      <c r="T2086" s="77">
        <v>1</v>
      </c>
      <c r="U2086" s="77">
        <v>0</v>
      </c>
      <c r="V2086" s="77">
        <v>515</v>
      </c>
      <c r="W2086" s="82" t="s">
        <v>4839</v>
      </c>
      <c r="X2086" s="80" t="str">
        <f>HYPERLINK("https://einvestidor.estadao.com.br/mercado/mercado-hoje-falas-campos-neto-dirigentes-fed-exterior-positivo/?utm_source=twitter&amp;utm_medium=organic&amp;utm_campaign=mercado-hoje&amp;utm_content=materia")</f>
        <v>https://einvestidor.estadao.com.br/mercado/mercado-hoje-falas-campos-neto-dirigentes-fed-exterior-positivo/?utm_source=twitter&amp;utm_medium=organic&amp;utm_campaign=mercado-hoje&amp;utm_content=materia</v>
      </c>
      <c r="Y2086" s="77" t="s">
        <v>6470</v>
      </c>
      <c r="Z2086" s="77"/>
      <c r="AA2086" s="77"/>
      <c r="AB2086" s="77"/>
      <c r="AC2086" s="82" t="s">
        <v>7750</v>
      </c>
      <c r="AD2086" s="77" t="s">
        <v>7788</v>
      </c>
      <c r="AE2086" s="80" t="str">
        <f>HYPERLINK("https://twitter.com/einvestidor/status/1693955834697469960")</f>
        <v>https://twitter.com/einvestidor/status/1693955834697469960</v>
      </c>
      <c r="AF2086" s="79">
        <v>45160.499039351853</v>
      </c>
      <c r="AG2086" s="85">
        <v>45160</v>
      </c>
      <c r="AH2086" s="82" t="s">
        <v>9575</v>
      </c>
      <c r="AI2086" s="77" t="b">
        <v>0</v>
      </c>
      <c r="AJ2086" s="77"/>
      <c r="AK2086" s="77"/>
      <c r="AL2086" s="77"/>
      <c r="AM2086" s="77"/>
      <c r="AN2086" s="77"/>
      <c r="AO2086" s="77"/>
      <c r="AP2086" s="77"/>
      <c r="AQ2086" s="77"/>
      <c r="AR2086" s="77"/>
      <c r="AS2086" s="77"/>
      <c r="AT2086" s="77"/>
      <c r="AU2086" s="77"/>
      <c r="AV2086" s="80" t="str">
        <f>HYPERLINK("https://pbs.twimg.com/profile_images/1241147984924082183/gZgx_hL-_normal.jpg")</f>
        <v>https://pbs.twimg.com/profile_images/1241147984924082183/gZgx_hL-_normal.jpg</v>
      </c>
      <c r="AW2086" s="82" t="s">
        <v>13682</v>
      </c>
      <c r="AX2086" s="82" t="s">
        <v>13682</v>
      </c>
      <c r="AY2086" s="77"/>
      <c r="AZ2086" s="82" t="s">
        <v>15984</v>
      </c>
      <c r="BA2086" s="82" t="s">
        <v>15984</v>
      </c>
      <c r="BB2086" s="82" t="s">
        <v>15984</v>
      </c>
      <c r="BC2086" s="82" t="s">
        <v>13682</v>
      </c>
      <c r="BD2086" s="82" t="s">
        <v>15979</v>
      </c>
      <c r="BE2086" s="77"/>
      <c r="BF2086" s="77"/>
      <c r="BG2086" s="77"/>
      <c r="BH2086" s="77"/>
      <c r="BI2086" s="77"/>
    </row>
    <row r="2087" spans="1:61" x14ac:dyDescent="0.25">
      <c r="A2087" s="62" t="s">
        <v>387</v>
      </c>
      <c r="B2087" s="62" t="s">
        <v>387</v>
      </c>
      <c r="C2087" s="63"/>
      <c r="D2087" s="64"/>
      <c r="E2087" s="65"/>
      <c r="F2087" s="66"/>
      <c r="G2087" s="63"/>
      <c r="H2087" s="67"/>
      <c r="I2087" s="68"/>
      <c r="J2087" s="68"/>
      <c r="K2087" s="32"/>
      <c r="L2087" s="75">
        <v>2087</v>
      </c>
      <c r="M2087" s="75"/>
      <c r="N2087" s="70"/>
      <c r="O2087" s="77" t="s">
        <v>179</v>
      </c>
      <c r="P2087" s="79">
        <v>45155.9375</v>
      </c>
      <c r="Q2087" s="77" t="s">
        <v>2759</v>
      </c>
      <c r="R2087" s="77">
        <v>0</v>
      </c>
      <c r="S2087" s="77">
        <v>1</v>
      </c>
      <c r="T2087" s="77">
        <v>0</v>
      </c>
      <c r="U2087" s="77">
        <v>0</v>
      </c>
      <c r="V2087" s="77">
        <v>569</v>
      </c>
      <c r="W2087" s="82" t="s">
        <v>5902</v>
      </c>
      <c r="X2087" s="80" t="str">
        <f>HYPERLINK("https://mla.bs/d1ed5250")</f>
        <v>https://mla.bs/d1ed5250</v>
      </c>
      <c r="Y2087" s="77" t="s">
        <v>6506</v>
      </c>
      <c r="Z2087" s="77"/>
      <c r="AA2087" s="77"/>
      <c r="AB2087" s="77"/>
      <c r="AC2087" s="82" t="s">
        <v>7750</v>
      </c>
      <c r="AD2087" s="77" t="s">
        <v>7788</v>
      </c>
      <c r="AE2087" s="80" t="str">
        <f>HYPERLINK("https://twitter.com/einvestidor/status/1692302787852550269")</f>
        <v>https://twitter.com/einvestidor/status/1692302787852550269</v>
      </c>
      <c r="AF2087" s="79">
        <v>45155.9375</v>
      </c>
      <c r="AG2087" s="85">
        <v>45155</v>
      </c>
      <c r="AH2087" s="82" t="s">
        <v>7926</v>
      </c>
      <c r="AI2087" s="77" t="b">
        <v>0</v>
      </c>
      <c r="AJ2087" s="77"/>
      <c r="AK2087" s="77"/>
      <c r="AL2087" s="77"/>
      <c r="AM2087" s="77"/>
      <c r="AN2087" s="77"/>
      <c r="AO2087" s="77"/>
      <c r="AP2087" s="77"/>
      <c r="AQ2087" s="77"/>
      <c r="AR2087" s="77"/>
      <c r="AS2087" s="77"/>
      <c r="AT2087" s="77"/>
      <c r="AU2087" s="77"/>
      <c r="AV2087" s="80" t="str">
        <f>HYPERLINK("https://pbs.twimg.com/profile_images/1241147984924082183/gZgx_hL-_normal.jpg")</f>
        <v>https://pbs.twimg.com/profile_images/1241147984924082183/gZgx_hL-_normal.jpg</v>
      </c>
      <c r="AW2087" s="82" t="s">
        <v>13683</v>
      </c>
      <c r="AX2087" s="82" t="s">
        <v>13683</v>
      </c>
      <c r="AY2087" s="77"/>
      <c r="AZ2087" s="82" t="s">
        <v>15984</v>
      </c>
      <c r="BA2087" s="82" t="s">
        <v>15984</v>
      </c>
      <c r="BB2087" s="82" t="s">
        <v>15984</v>
      </c>
      <c r="BC2087" s="82" t="s">
        <v>13683</v>
      </c>
      <c r="BD2087" s="82" t="s">
        <v>15979</v>
      </c>
      <c r="BE2087" s="77"/>
      <c r="BF2087" s="77"/>
      <c r="BG2087" s="77"/>
      <c r="BH2087" s="77"/>
      <c r="BI2087" s="77"/>
    </row>
    <row r="2088" spans="1:61" x14ac:dyDescent="0.25">
      <c r="A2088" s="62" t="s">
        <v>387</v>
      </c>
      <c r="B2088" s="62" t="s">
        <v>387</v>
      </c>
      <c r="C2088" s="63"/>
      <c r="D2088" s="64"/>
      <c r="E2088" s="65"/>
      <c r="F2088" s="66"/>
      <c r="G2088" s="63"/>
      <c r="H2088" s="67"/>
      <c r="I2088" s="68"/>
      <c r="J2088" s="68"/>
      <c r="K2088" s="32"/>
      <c r="L2088" s="75">
        <v>2088</v>
      </c>
      <c r="M2088" s="75"/>
      <c r="N2088" s="70"/>
      <c r="O2088" s="77" t="s">
        <v>179</v>
      </c>
      <c r="P2088" s="79">
        <v>45155.927083333336</v>
      </c>
      <c r="Q2088" s="77" t="s">
        <v>2760</v>
      </c>
      <c r="R2088" s="77">
        <v>0</v>
      </c>
      <c r="S2088" s="77">
        <v>1</v>
      </c>
      <c r="T2088" s="77">
        <v>0</v>
      </c>
      <c r="U2088" s="77">
        <v>0</v>
      </c>
      <c r="V2088" s="77">
        <v>581</v>
      </c>
      <c r="W2088" s="82" t="s">
        <v>4833</v>
      </c>
      <c r="X2088" s="80" t="str">
        <f>HYPERLINK("https://mla.bs/ff536e72")</f>
        <v>https://mla.bs/ff536e72</v>
      </c>
      <c r="Y2088" s="77" t="s">
        <v>6506</v>
      </c>
      <c r="Z2088" s="77"/>
      <c r="AA2088" s="77"/>
      <c r="AB2088" s="77"/>
      <c r="AC2088" s="82" t="s">
        <v>7750</v>
      </c>
      <c r="AD2088" s="77" t="s">
        <v>7788</v>
      </c>
      <c r="AE2088" s="80" t="str">
        <f>HYPERLINK("https://twitter.com/einvestidor/status/1692299010726584774")</f>
        <v>https://twitter.com/einvestidor/status/1692299010726584774</v>
      </c>
      <c r="AF2088" s="79">
        <v>45155.927083333336</v>
      </c>
      <c r="AG2088" s="85">
        <v>45155</v>
      </c>
      <c r="AH2088" s="82" t="s">
        <v>9576</v>
      </c>
      <c r="AI2088" s="77" t="b">
        <v>0</v>
      </c>
      <c r="AJ2088" s="77"/>
      <c r="AK2088" s="77"/>
      <c r="AL2088" s="77"/>
      <c r="AM2088" s="77"/>
      <c r="AN2088" s="77"/>
      <c r="AO2088" s="77"/>
      <c r="AP2088" s="77"/>
      <c r="AQ2088" s="77"/>
      <c r="AR2088" s="77"/>
      <c r="AS2088" s="77"/>
      <c r="AT2088" s="77"/>
      <c r="AU2088" s="77"/>
      <c r="AV2088" s="80" t="str">
        <f>HYPERLINK("https://pbs.twimg.com/profile_images/1241147984924082183/gZgx_hL-_normal.jpg")</f>
        <v>https://pbs.twimg.com/profile_images/1241147984924082183/gZgx_hL-_normal.jpg</v>
      </c>
      <c r="AW2088" s="82" t="s">
        <v>13684</v>
      </c>
      <c r="AX2088" s="82" t="s">
        <v>13684</v>
      </c>
      <c r="AY2088" s="77"/>
      <c r="AZ2088" s="82" t="s">
        <v>15984</v>
      </c>
      <c r="BA2088" s="82" t="s">
        <v>15984</v>
      </c>
      <c r="BB2088" s="82" t="s">
        <v>15984</v>
      </c>
      <c r="BC2088" s="82" t="s">
        <v>13684</v>
      </c>
      <c r="BD2088" s="82" t="s">
        <v>15979</v>
      </c>
      <c r="BE2088" s="77"/>
      <c r="BF2088" s="77"/>
      <c r="BG2088" s="77"/>
      <c r="BH2088" s="77"/>
      <c r="BI2088" s="77"/>
    </row>
    <row r="2089" spans="1:61" x14ac:dyDescent="0.25">
      <c r="A2089" s="62" t="s">
        <v>387</v>
      </c>
      <c r="B2089" s="62" t="s">
        <v>387</v>
      </c>
      <c r="C2089" s="63"/>
      <c r="D2089" s="64"/>
      <c r="E2089" s="65"/>
      <c r="F2089" s="66"/>
      <c r="G2089" s="63"/>
      <c r="H2089" s="67"/>
      <c r="I2089" s="68"/>
      <c r="J2089" s="68"/>
      <c r="K2089" s="32"/>
      <c r="L2089" s="75">
        <v>2089</v>
      </c>
      <c r="M2089" s="75"/>
      <c r="N2089" s="70"/>
      <c r="O2089" s="77" t="s">
        <v>179</v>
      </c>
      <c r="P2089" s="79">
        <v>45155.916666666664</v>
      </c>
      <c r="Q2089" s="77" t="s">
        <v>2761</v>
      </c>
      <c r="R2089" s="77">
        <v>0</v>
      </c>
      <c r="S2089" s="77">
        <v>5</v>
      </c>
      <c r="T2089" s="77">
        <v>0</v>
      </c>
      <c r="U2089" s="77">
        <v>0</v>
      </c>
      <c r="V2089" s="77">
        <v>620</v>
      </c>
      <c r="W2089" s="82" t="s">
        <v>4833</v>
      </c>
      <c r="X2089" s="80" t="str">
        <f>HYPERLINK("https://mla.bs/3c903749")</f>
        <v>https://mla.bs/3c903749</v>
      </c>
      <c r="Y2089" s="77" t="s">
        <v>6506</v>
      </c>
      <c r="Z2089" s="77"/>
      <c r="AA2089" s="77"/>
      <c r="AB2089" s="77"/>
      <c r="AC2089" s="82" t="s">
        <v>7750</v>
      </c>
      <c r="AD2089" s="77" t="s">
        <v>7788</v>
      </c>
      <c r="AE2089" s="80" t="str">
        <f>HYPERLINK("https://twitter.com/einvestidor/status/1692295237581062591")</f>
        <v>https://twitter.com/einvestidor/status/1692295237581062591</v>
      </c>
      <c r="AF2089" s="79">
        <v>45155.916666666664</v>
      </c>
      <c r="AG2089" s="85">
        <v>45155</v>
      </c>
      <c r="AH2089" s="82" t="s">
        <v>9577</v>
      </c>
      <c r="AI2089" s="77" t="b">
        <v>0</v>
      </c>
      <c r="AJ2089" s="77"/>
      <c r="AK2089" s="77"/>
      <c r="AL2089" s="77"/>
      <c r="AM2089" s="77"/>
      <c r="AN2089" s="77"/>
      <c r="AO2089" s="77"/>
      <c r="AP2089" s="77"/>
      <c r="AQ2089" s="77"/>
      <c r="AR2089" s="77"/>
      <c r="AS2089" s="77"/>
      <c r="AT2089" s="77"/>
      <c r="AU2089" s="77"/>
      <c r="AV2089" s="80" t="str">
        <f>HYPERLINK("https://pbs.twimg.com/profile_images/1241147984924082183/gZgx_hL-_normal.jpg")</f>
        <v>https://pbs.twimg.com/profile_images/1241147984924082183/gZgx_hL-_normal.jpg</v>
      </c>
      <c r="AW2089" s="82" t="s">
        <v>13685</v>
      </c>
      <c r="AX2089" s="82" t="s">
        <v>13685</v>
      </c>
      <c r="AY2089" s="77"/>
      <c r="AZ2089" s="82" t="s">
        <v>15984</v>
      </c>
      <c r="BA2089" s="82" t="s">
        <v>15984</v>
      </c>
      <c r="BB2089" s="82" t="s">
        <v>15984</v>
      </c>
      <c r="BC2089" s="82" t="s">
        <v>13685</v>
      </c>
      <c r="BD2089" s="82" t="s">
        <v>15979</v>
      </c>
      <c r="BE2089" s="77"/>
      <c r="BF2089" s="77"/>
      <c r="BG2089" s="77"/>
      <c r="BH2089" s="77"/>
      <c r="BI2089" s="77"/>
    </row>
    <row r="2090" spans="1:61" x14ac:dyDescent="0.25">
      <c r="A2090" s="62" t="s">
        <v>387</v>
      </c>
      <c r="B2090" s="62" t="s">
        <v>387</v>
      </c>
      <c r="C2090" s="63"/>
      <c r="D2090" s="64"/>
      <c r="E2090" s="65"/>
      <c r="F2090" s="66"/>
      <c r="G2090" s="63"/>
      <c r="H2090" s="67"/>
      <c r="I2090" s="68"/>
      <c r="J2090" s="68"/>
      <c r="K2090" s="32"/>
      <c r="L2090" s="75">
        <v>2090</v>
      </c>
      <c r="M2090" s="75"/>
      <c r="N2090" s="70"/>
      <c r="O2090" s="77" t="s">
        <v>179</v>
      </c>
      <c r="P2090" s="79">
        <v>45155.90625</v>
      </c>
      <c r="Q2090" s="77" t="s">
        <v>2762</v>
      </c>
      <c r="R2090" s="77">
        <v>0</v>
      </c>
      <c r="S2090" s="77">
        <v>2</v>
      </c>
      <c r="T2090" s="77">
        <v>0</v>
      </c>
      <c r="U2090" s="77">
        <v>0</v>
      </c>
      <c r="V2090" s="77">
        <v>607</v>
      </c>
      <c r="W2090" s="82" t="s">
        <v>4833</v>
      </c>
      <c r="X2090" s="80" t="str">
        <f>HYPERLINK("https://mla.bs/5c9985ef")</f>
        <v>https://mla.bs/5c9985ef</v>
      </c>
      <c r="Y2090" s="77" t="s">
        <v>6506</v>
      </c>
      <c r="Z2090" s="77"/>
      <c r="AA2090" s="77"/>
      <c r="AB2090" s="77"/>
      <c r="AC2090" s="82" t="s">
        <v>7750</v>
      </c>
      <c r="AD2090" s="77" t="s">
        <v>7790</v>
      </c>
      <c r="AE2090" s="80" t="str">
        <f>HYPERLINK("https://twitter.com/einvestidor/status/1692291461012676954")</f>
        <v>https://twitter.com/einvestidor/status/1692291461012676954</v>
      </c>
      <c r="AF2090" s="79">
        <v>45155.90625</v>
      </c>
      <c r="AG2090" s="85">
        <v>45155</v>
      </c>
      <c r="AH2090" s="82" t="s">
        <v>9578</v>
      </c>
      <c r="AI2090" s="77" t="b">
        <v>0</v>
      </c>
      <c r="AJ2090" s="77"/>
      <c r="AK2090" s="77"/>
      <c r="AL2090" s="77"/>
      <c r="AM2090" s="77"/>
      <c r="AN2090" s="77"/>
      <c r="AO2090" s="77"/>
      <c r="AP2090" s="77"/>
      <c r="AQ2090" s="77"/>
      <c r="AR2090" s="77"/>
      <c r="AS2090" s="77"/>
      <c r="AT2090" s="77"/>
      <c r="AU2090" s="77"/>
      <c r="AV2090" s="80" t="str">
        <f>HYPERLINK("https://pbs.twimg.com/profile_images/1241147984924082183/gZgx_hL-_normal.jpg")</f>
        <v>https://pbs.twimg.com/profile_images/1241147984924082183/gZgx_hL-_normal.jpg</v>
      </c>
      <c r="AW2090" s="82" t="s">
        <v>13686</v>
      </c>
      <c r="AX2090" s="82" t="s">
        <v>13686</v>
      </c>
      <c r="AY2090" s="77"/>
      <c r="AZ2090" s="82" t="s">
        <v>15984</v>
      </c>
      <c r="BA2090" s="82" t="s">
        <v>15984</v>
      </c>
      <c r="BB2090" s="82" t="s">
        <v>15984</v>
      </c>
      <c r="BC2090" s="82" t="s">
        <v>13686</v>
      </c>
      <c r="BD2090" s="82" t="s">
        <v>15979</v>
      </c>
      <c r="BE2090" s="77"/>
      <c r="BF2090" s="77"/>
      <c r="BG2090" s="77"/>
      <c r="BH2090" s="77"/>
      <c r="BI2090" s="77"/>
    </row>
    <row r="2091" spans="1:61" x14ac:dyDescent="0.25">
      <c r="A2091" s="62" t="s">
        <v>387</v>
      </c>
      <c r="B2091" s="62" t="s">
        <v>387</v>
      </c>
      <c r="C2091" s="63"/>
      <c r="D2091" s="64"/>
      <c r="E2091" s="65"/>
      <c r="F2091" s="66"/>
      <c r="G2091" s="63"/>
      <c r="H2091" s="67"/>
      <c r="I2091" s="68"/>
      <c r="J2091" s="68"/>
      <c r="K2091" s="32"/>
      <c r="L2091" s="75">
        <v>2091</v>
      </c>
      <c r="M2091" s="75"/>
      <c r="N2091" s="70"/>
      <c r="O2091" s="77" t="s">
        <v>179</v>
      </c>
      <c r="P2091" s="79">
        <v>45147.822916666664</v>
      </c>
      <c r="Q2091" s="77" t="s">
        <v>2763</v>
      </c>
      <c r="R2091" s="77">
        <v>2</v>
      </c>
      <c r="S2091" s="77">
        <v>6</v>
      </c>
      <c r="T2091" s="77">
        <v>0</v>
      </c>
      <c r="U2091" s="77">
        <v>0</v>
      </c>
      <c r="V2091" s="77">
        <v>764</v>
      </c>
      <c r="W2091" s="82" t="s">
        <v>4833</v>
      </c>
      <c r="X2091" s="80" t="str">
        <f>HYPERLINK("https://mla.bs/619decd3")</f>
        <v>https://mla.bs/619decd3</v>
      </c>
      <c r="Y2091" s="77" t="s">
        <v>6506</v>
      </c>
      <c r="Z2091" s="77"/>
      <c r="AA2091" s="77"/>
      <c r="AB2091" s="77"/>
      <c r="AC2091" s="82" t="s">
        <v>7754</v>
      </c>
      <c r="AD2091" s="77" t="s">
        <v>7788</v>
      </c>
      <c r="AE2091" s="80" t="str">
        <f>HYPERLINK("https://twitter.com/einvestidor/status/1689362159531401216")</f>
        <v>https://twitter.com/einvestidor/status/1689362159531401216</v>
      </c>
      <c r="AF2091" s="79">
        <v>45147.822916666664</v>
      </c>
      <c r="AG2091" s="85">
        <v>45147</v>
      </c>
      <c r="AH2091" s="82" t="s">
        <v>9579</v>
      </c>
      <c r="AI2091" s="77" t="b">
        <v>0</v>
      </c>
      <c r="AJ2091" s="77"/>
      <c r="AK2091" s="77"/>
      <c r="AL2091" s="77"/>
      <c r="AM2091" s="77"/>
      <c r="AN2091" s="77"/>
      <c r="AO2091" s="77"/>
      <c r="AP2091" s="77"/>
      <c r="AQ2091" s="77"/>
      <c r="AR2091" s="77"/>
      <c r="AS2091" s="77"/>
      <c r="AT2091" s="77"/>
      <c r="AU2091" s="77"/>
      <c r="AV2091" s="80" t="str">
        <f>HYPERLINK("https://pbs.twimg.com/profile_images/1241147984924082183/gZgx_hL-_normal.jpg")</f>
        <v>https://pbs.twimg.com/profile_images/1241147984924082183/gZgx_hL-_normal.jpg</v>
      </c>
      <c r="AW2091" s="82" t="s">
        <v>13687</v>
      </c>
      <c r="AX2091" s="82" t="s">
        <v>13687</v>
      </c>
      <c r="AY2091" s="77"/>
      <c r="AZ2091" s="82" t="s">
        <v>15984</v>
      </c>
      <c r="BA2091" s="82" t="s">
        <v>15984</v>
      </c>
      <c r="BB2091" s="82" t="s">
        <v>15984</v>
      </c>
      <c r="BC2091" s="82" t="s">
        <v>13687</v>
      </c>
      <c r="BD2091" s="82" t="s">
        <v>15979</v>
      </c>
      <c r="BE2091" s="77"/>
      <c r="BF2091" s="77"/>
      <c r="BG2091" s="77"/>
      <c r="BH2091" s="77"/>
      <c r="BI2091" s="77"/>
    </row>
    <row r="2092" spans="1:61" x14ac:dyDescent="0.25">
      <c r="A2092" s="62" t="s">
        <v>387</v>
      </c>
      <c r="B2092" s="62" t="s">
        <v>387</v>
      </c>
      <c r="C2092" s="63"/>
      <c r="D2092" s="64"/>
      <c r="E2092" s="65"/>
      <c r="F2092" s="66"/>
      <c r="G2092" s="63"/>
      <c r="H2092" s="67"/>
      <c r="I2092" s="68"/>
      <c r="J2092" s="68"/>
      <c r="K2092" s="32"/>
      <c r="L2092" s="75">
        <v>2092</v>
      </c>
      <c r="M2092" s="75"/>
      <c r="N2092" s="70"/>
      <c r="O2092" s="77" t="s">
        <v>179</v>
      </c>
      <c r="P2092" s="79">
        <v>45147.8125</v>
      </c>
      <c r="Q2092" s="77" t="s">
        <v>2764</v>
      </c>
      <c r="R2092" s="77">
        <v>0</v>
      </c>
      <c r="S2092" s="77">
        <v>1</v>
      </c>
      <c r="T2092" s="77">
        <v>0</v>
      </c>
      <c r="U2092" s="77">
        <v>0</v>
      </c>
      <c r="V2092" s="77">
        <v>401</v>
      </c>
      <c r="W2092" s="82" t="s">
        <v>4833</v>
      </c>
      <c r="X2092" s="80" t="str">
        <f>HYPERLINK("https://mla.bs/998da346")</f>
        <v>https://mla.bs/998da346</v>
      </c>
      <c r="Y2092" s="77" t="s">
        <v>6506</v>
      </c>
      <c r="Z2092" s="77"/>
      <c r="AA2092" s="77"/>
      <c r="AB2092" s="77"/>
      <c r="AC2092" s="82" t="s">
        <v>7754</v>
      </c>
      <c r="AD2092" s="77" t="s">
        <v>7788</v>
      </c>
      <c r="AE2092" s="80" t="str">
        <f>HYPERLINK("https://twitter.com/einvestidor/status/1689358384342974465")</f>
        <v>https://twitter.com/einvestidor/status/1689358384342974465</v>
      </c>
      <c r="AF2092" s="79">
        <v>45147.8125</v>
      </c>
      <c r="AG2092" s="85">
        <v>45147</v>
      </c>
      <c r="AH2092" s="82" t="s">
        <v>8281</v>
      </c>
      <c r="AI2092" s="77" t="b">
        <v>0</v>
      </c>
      <c r="AJ2092" s="77"/>
      <c r="AK2092" s="77"/>
      <c r="AL2092" s="77"/>
      <c r="AM2092" s="77"/>
      <c r="AN2092" s="77"/>
      <c r="AO2092" s="77"/>
      <c r="AP2092" s="77"/>
      <c r="AQ2092" s="77"/>
      <c r="AR2092" s="77"/>
      <c r="AS2092" s="77"/>
      <c r="AT2092" s="77"/>
      <c r="AU2092" s="77"/>
      <c r="AV2092" s="80" t="str">
        <f>HYPERLINK("https://pbs.twimg.com/profile_images/1241147984924082183/gZgx_hL-_normal.jpg")</f>
        <v>https://pbs.twimg.com/profile_images/1241147984924082183/gZgx_hL-_normal.jpg</v>
      </c>
      <c r="AW2092" s="82" t="s">
        <v>13688</v>
      </c>
      <c r="AX2092" s="82" t="s">
        <v>13688</v>
      </c>
      <c r="AY2092" s="77"/>
      <c r="AZ2092" s="82" t="s">
        <v>15984</v>
      </c>
      <c r="BA2092" s="82" t="s">
        <v>15984</v>
      </c>
      <c r="BB2092" s="82" t="s">
        <v>15984</v>
      </c>
      <c r="BC2092" s="82" t="s">
        <v>13688</v>
      </c>
      <c r="BD2092" s="82" t="s">
        <v>15979</v>
      </c>
      <c r="BE2092" s="77"/>
      <c r="BF2092" s="77"/>
      <c r="BG2092" s="77"/>
      <c r="BH2092" s="77"/>
      <c r="BI2092" s="77"/>
    </row>
    <row r="2093" spans="1:61" x14ac:dyDescent="0.25">
      <c r="A2093" s="62" t="s">
        <v>387</v>
      </c>
      <c r="B2093" s="62" t="s">
        <v>387</v>
      </c>
      <c r="C2093" s="63"/>
      <c r="D2093" s="64"/>
      <c r="E2093" s="65"/>
      <c r="F2093" s="66"/>
      <c r="G2093" s="63"/>
      <c r="H2093" s="67"/>
      <c r="I2093" s="68"/>
      <c r="J2093" s="68"/>
      <c r="K2093" s="32"/>
      <c r="L2093" s="75">
        <v>2093</v>
      </c>
      <c r="M2093" s="75"/>
      <c r="N2093" s="70"/>
      <c r="O2093" s="77" t="s">
        <v>179</v>
      </c>
      <c r="P2093" s="79">
        <v>45147.802083333336</v>
      </c>
      <c r="Q2093" s="77" t="s">
        <v>2765</v>
      </c>
      <c r="R2093" s="77">
        <v>0</v>
      </c>
      <c r="S2093" s="77">
        <v>0</v>
      </c>
      <c r="T2093" s="77">
        <v>0</v>
      </c>
      <c r="U2093" s="77">
        <v>0</v>
      </c>
      <c r="V2093" s="77">
        <v>436</v>
      </c>
      <c r="W2093" s="82" t="s">
        <v>5903</v>
      </c>
      <c r="X2093" s="80" t="str">
        <f>HYPERLINK("https://mla.bs/fd20737e")</f>
        <v>https://mla.bs/fd20737e</v>
      </c>
      <c r="Y2093" s="77" t="s">
        <v>6506</v>
      </c>
      <c r="Z2093" s="77"/>
      <c r="AA2093" s="77"/>
      <c r="AB2093" s="77"/>
      <c r="AC2093" s="82" t="s">
        <v>7754</v>
      </c>
      <c r="AD2093" s="77" t="s">
        <v>7788</v>
      </c>
      <c r="AE2093" s="80" t="str">
        <f>HYPERLINK("https://twitter.com/einvestidor/status/1689354609389690880")</f>
        <v>https://twitter.com/einvestidor/status/1689354609389690880</v>
      </c>
      <c r="AF2093" s="79">
        <v>45147.802083333336</v>
      </c>
      <c r="AG2093" s="85">
        <v>45147</v>
      </c>
      <c r="AH2093" s="82" t="s">
        <v>7868</v>
      </c>
      <c r="AI2093" s="77" t="b">
        <v>0</v>
      </c>
      <c r="AJ2093" s="77"/>
      <c r="AK2093" s="77"/>
      <c r="AL2093" s="77"/>
      <c r="AM2093" s="77"/>
      <c r="AN2093" s="77"/>
      <c r="AO2093" s="77"/>
      <c r="AP2093" s="77"/>
      <c r="AQ2093" s="77"/>
      <c r="AR2093" s="77"/>
      <c r="AS2093" s="77"/>
      <c r="AT2093" s="77"/>
      <c r="AU2093" s="77"/>
      <c r="AV2093" s="80" t="str">
        <f>HYPERLINK("https://pbs.twimg.com/profile_images/1241147984924082183/gZgx_hL-_normal.jpg")</f>
        <v>https://pbs.twimg.com/profile_images/1241147984924082183/gZgx_hL-_normal.jpg</v>
      </c>
      <c r="AW2093" s="82" t="s">
        <v>13689</v>
      </c>
      <c r="AX2093" s="82" t="s">
        <v>13689</v>
      </c>
      <c r="AY2093" s="77"/>
      <c r="AZ2093" s="82" t="s">
        <v>15984</v>
      </c>
      <c r="BA2093" s="82" t="s">
        <v>15984</v>
      </c>
      <c r="BB2093" s="82" t="s">
        <v>15984</v>
      </c>
      <c r="BC2093" s="82" t="s">
        <v>13689</v>
      </c>
      <c r="BD2093" s="82" t="s">
        <v>15979</v>
      </c>
      <c r="BE2093" s="77"/>
      <c r="BF2093" s="77"/>
      <c r="BG2093" s="77"/>
      <c r="BH2093" s="77"/>
      <c r="BI2093" s="77"/>
    </row>
    <row r="2094" spans="1:61" x14ac:dyDescent="0.25">
      <c r="A2094" s="62" t="s">
        <v>387</v>
      </c>
      <c r="B2094" s="62" t="s">
        <v>387</v>
      </c>
      <c r="C2094" s="63"/>
      <c r="D2094" s="64"/>
      <c r="E2094" s="65"/>
      <c r="F2094" s="66"/>
      <c r="G2094" s="63"/>
      <c r="H2094" s="67"/>
      <c r="I2094" s="68"/>
      <c r="J2094" s="68"/>
      <c r="K2094" s="32"/>
      <c r="L2094" s="75">
        <v>2094</v>
      </c>
      <c r="M2094" s="75"/>
      <c r="N2094" s="70"/>
      <c r="O2094" s="77" t="s">
        <v>179</v>
      </c>
      <c r="P2094" s="79">
        <v>45147.791689814818</v>
      </c>
      <c r="Q2094" s="77" t="s">
        <v>2766</v>
      </c>
      <c r="R2094" s="77">
        <v>0</v>
      </c>
      <c r="S2094" s="77">
        <v>1</v>
      </c>
      <c r="T2094" s="77">
        <v>0</v>
      </c>
      <c r="U2094" s="77">
        <v>0</v>
      </c>
      <c r="V2094" s="77">
        <v>377</v>
      </c>
      <c r="W2094" s="82" t="s">
        <v>4833</v>
      </c>
      <c r="X2094" s="80" t="str">
        <f>HYPERLINK("https://mla.bs/dc8e07a2")</f>
        <v>https://mla.bs/dc8e07a2</v>
      </c>
      <c r="Y2094" s="77" t="s">
        <v>6506</v>
      </c>
      <c r="Z2094" s="77"/>
      <c r="AA2094" s="77"/>
      <c r="AB2094" s="77"/>
      <c r="AC2094" s="82" t="s">
        <v>7754</v>
      </c>
      <c r="AD2094" s="77" t="s">
        <v>7788</v>
      </c>
      <c r="AE2094" s="80" t="str">
        <f>HYPERLINK("https://twitter.com/einvestidor/status/1689350842061889537")</f>
        <v>https://twitter.com/einvestidor/status/1689350842061889537</v>
      </c>
      <c r="AF2094" s="79">
        <v>45147.791689814818</v>
      </c>
      <c r="AG2094" s="85">
        <v>45147</v>
      </c>
      <c r="AH2094" s="82" t="s">
        <v>9580</v>
      </c>
      <c r="AI2094" s="77" t="b">
        <v>0</v>
      </c>
      <c r="AJ2094" s="77"/>
      <c r="AK2094" s="77"/>
      <c r="AL2094" s="77"/>
      <c r="AM2094" s="77"/>
      <c r="AN2094" s="77"/>
      <c r="AO2094" s="77"/>
      <c r="AP2094" s="77"/>
      <c r="AQ2094" s="77"/>
      <c r="AR2094" s="77"/>
      <c r="AS2094" s="77"/>
      <c r="AT2094" s="77"/>
      <c r="AU2094" s="77"/>
      <c r="AV2094" s="80" t="str">
        <f>HYPERLINK("https://pbs.twimg.com/profile_images/1241147984924082183/gZgx_hL-_normal.jpg")</f>
        <v>https://pbs.twimg.com/profile_images/1241147984924082183/gZgx_hL-_normal.jpg</v>
      </c>
      <c r="AW2094" s="82" t="s">
        <v>13690</v>
      </c>
      <c r="AX2094" s="82" t="s">
        <v>13690</v>
      </c>
      <c r="AY2094" s="77"/>
      <c r="AZ2094" s="82" t="s">
        <v>15984</v>
      </c>
      <c r="BA2094" s="82" t="s">
        <v>15984</v>
      </c>
      <c r="BB2094" s="82" t="s">
        <v>15984</v>
      </c>
      <c r="BC2094" s="82" t="s">
        <v>13690</v>
      </c>
      <c r="BD2094" s="82" t="s">
        <v>15979</v>
      </c>
      <c r="BE2094" s="77"/>
      <c r="BF2094" s="77"/>
      <c r="BG2094" s="77"/>
      <c r="BH2094" s="77"/>
      <c r="BI2094" s="77"/>
    </row>
    <row r="2095" spans="1:61" x14ac:dyDescent="0.25">
      <c r="A2095" s="62" t="s">
        <v>387</v>
      </c>
      <c r="B2095" s="62" t="s">
        <v>387</v>
      </c>
      <c r="C2095" s="63"/>
      <c r="D2095" s="64"/>
      <c r="E2095" s="65"/>
      <c r="F2095" s="66"/>
      <c r="G2095" s="63"/>
      <c r="H2095" s="67"/>
      <c r="I2095" s="68"/>
      <c r="J2095" s="68"/>
      <c r="K2095" s="32"/>
      <c r="L2095" s="75">
        <v>2095</v>
      </c>
      <c r="M2095" s="75"/>
      <c r="N2095" s="70"/>
      <c r="O2095" s="77" t="s">
        <v>179</v>
      </c>
      <c r="P2095" s="79">
        <v>45147.78125</v>
      </c>
      <c r="Q2095" s="77" t="s">
        <v>2767</v>
      </c>
      <c r="R2095" s="77">
        <v>0</v>
      </c>
      <c r="S2095" s="77">
        <v>0</v>
      </c>
      <c r="T2095" s="77">
        <v>0</v>
      </c>
      <c r="U2095" s="77">
        <v>0</v>
      </c>
      <c r="V2095" s="77">
        <v>484</v>
      </c>
      <c r="W2095" s="82" t="s">
        <v>4833</v>
      </c>
      <c r="X2095" s="80" t="str">
        <f>HYPERLINK("https://mla.bs/465eb859")</f>
        <v>https://mla.bs/465eb859</v>
      </c>
      <c r="Y2095" s="77" t="s">
        <v>6506</v>
      </c>
      <c r="Z2095" s="77"/>
      <c r="AA2095" s="77"/>
      <c r="AB2095" s="77"/>
      <c r="AC2095" s="82" t="s">
        <v>7754</v>
      </c>
      <c r="AD2095" s="77" t="s">
        <v>7788</v>
      </c>
      <c r="AE2095" s="80" t="str">
        <f>HYPERLINK("https://twitter.com/einvestidor/status/1689347059927613442")</f>
        <v>https://twitter.com/einvestidor/status/1689347059927613442</v>
      </c>
      <c r="AF2095" s="79">
        <v>45147.78125</v>
      </c>
      <c r="AG2095" s="85">
        <v>45147</v>
      </c>
      <c r="AH2095" s="82" t="s">
        <v>9581</v>
      </c>
      <c r="AI2095" s="77" t="b">
        <v>0</v>
      </c>
      <c r="AJ2095" s="77"/>
      <c r="AK2095" s="77"/>
      <c r="AL2095" s="77"/>
      <c r="AM2095" s="77"/>
      <c r="AN2095" s="77"/>
      <c r="AO2095" s="77"/>
      <c r="AP2095" s="77"/>
      <c r="AQ2095" s="77"/>
      <c r="AR2095" s="77"/>
      <c r="AS2095" s="77"/>
      <c r="AT2095" s="77"/>
      <c r="AU2095" s="77"/>
      <c r="AV2095" s="80" t="str">
        <f>HYPERLINK("https://pbs.twimg.com/profile_images/1241147984924082183/gZgx_hL-_normal.jpg")</f>
        <v>https://pbs.twimg.com/profile_images/1241147984924082183/gZgx_hL-_normal.jpg</v>
      </c>
      <c r="AW2095" s="82" t="s">
        <v>13691</v>
      </c>
      <c r="AX2095" s="82" t="s">
        <v>13691</v>
      </c>
      <c r="AY2095" s="77"/>
      <c r="AZ2095" s="82" t="s">
        <v>15984</v>
      </c>
      <c r="BA2095" s="82" t="s">
        <v>15984</v>
      </c>
      <c r="BB2095" s="82" t="s">
        <v>15984</v>
      </c>
      <c r="BC2095" s="82" t="s">
        <v>13691</v>
      </c>
      <c r="BD2095" s="82" t="s">
        <v>15979</v>
      </c>
      <c r="BE2095" s="77"/>
      <c r="BF2095" s="77"/>
      <c r="BG2095" s="77"/>
      <c r="BH2095" s="77"/>
      <c r="BI2095" s="77"/>
    </row>
    <row r="2096" spans="1:61" x14ac:dyDescent="0.25">
      <c r="A2096" s="62" t="s">
        <v>387</v>
      </c>
      <c r="B2096" s="62" t="s">
        <v>387</v>
      </c>
      <c r="C2096" s="63"/>
      <c r="D2096" s="64"/>
      <c r="E2096" s="65"/>
      <c r="F2096" s="66"/>
      <c r="G2096" s="63"/>
      <c r="H2096" s="67"/>
      <c r="I2096" s="68"/>
      <c r="J2096" s="68"/>
      <c r="K2096" s="32"/>
      <c r="L2096" s="75">
        <v>2096</v>
      </c>
      <c r="M2096" s="75"/>
      <c r="N2096" s="70"/>
      <c r="O2096" s="77" t="s">
        <v>179</v>
      </c>
      <c r="P2096" s="79">
        <v>45147.770833333336</v>
      </c>
      <c r="Q2096" s="77" t="s">
        <v>2768</v>
      </c>
      <c r="R2096" s="77">
        <v>0</v>
      </c>
      <c r="S2096" s="77">
        <v>3</v>
      </c>
      <c r="T2096" s="77">
        <v>0</v>
      </c>
      <c r="U2096" s="77">
        <v>0</v>
      </c>
      <c r="V2096" s="77">
        <v>489</v>
      </c>
      <c r="W2096" s="82" t="s">
        <v>4833</v>
      </c>
      <c r="X2096" s="80" t="str">
        <f>HYPERLINK("https://mla.bs/f5cb8540")</f>
        <v>https://mla.bs/f5cb8540</v>
      </c>
      <c r="Y2096" s="77" t="s">
        <v>6506</v>
      </c>
      <c r="Z2096" s="77"/>
      <c r="AA2096" s="77"/>
      <c r="AB2096" s="77"/>
      <c r="AC2096" s="82" t="s">
        <v>7754</v>
      </c>
      <c r="AD2096" s="77" t="s">
        <v>7788</v>
      </c>
      <c r="AE2096" s="80" t="str">
        <f>HYPERLINK("https://twitter.com/einvestidor/status/1689343286245470209")</f>
        <v>https://twitter.com/einvestidor/status/1689343286245470209</v>
      </c>
      <c r="AF2096" s="79">
        <v>45147.770833333336</v>
      </c>
      <c r="AG2096" s="85">
        <v>45147</v>
      </c>
      <c r="AH2096" s="82" t="s">
        <v>7930</v>
      </c>
      <c r="AI2096" s="77" t="b">
        <v>0</v>
      </c>
      <c r="AJ2096" s="77"/>
      <c r="AK2096" s="77"/>
      <c r="AL2096" s="77"/>
      <c r="AM2096" s="77"/>
      <c r="AN2096" s="77"/>
      <c r="AO2096" s="77"/>
      <c r="AP2096" s="77"/>
      <c r="AQ2096" s="77"/>
      <c r="AR2096" s="77"/>
      <c r="AS2096" s="77"/>
      <c r="AT2096" s="77"/>
      <c r="AU2096" s="77"/>
      <c r="AV2096" s="80" t="str">
        <f>HYPERLINK("https://pbs.twimg.com/profile_images/1241147984924082183/gZgx_hL-_normal.jpg")</f>
        <v>https://pbs.twimg.com/profile_images/1241147984924082183/gZgx_hL-_normal.jpg</v>
      </c>
      <c r="AW2096" s="82" t="s">
        <v>13692</v>
      </c>
      <c r="AX2096" s="82" t="s">
        <v>13692</v>
      </c>
      <c r="AY2096" s="77"/>
      <c r="AZ2096" s="82" t="s">
        <v>15984</v>
      </c>
      <c r="BA2096" s="82" t="s">
        <v>15984</v>
      </c>
      <c r="BB2096" s="82" t="s">
        <v>15984</v>
      </c>
      <c r="BC2096" s="82" t="s">
        <v>13692</v>
      </c>
      <c r="BD2096" s="82" t="s">
        <v>15979</v>
      </c>
      <c r="BE2096" s="77"/>
      <c r="BF2096" s="77"/>
      <c r="BG2096" s="77"/>
      <c r="BH2096" s="77"/>
      <c r="BI2096" s="77"/>
    </row>
    <row r="2097" spans="1:61" x14ac:dyDescent="0.25">
      <c r="A2097" s="62" t="s">
        <v>387</v>
      </c>
      <c r="B2097" s="62" t="s">
        <v>387</v>
      </c>
      <c r="C2097" s="63"/>
      <c r="D2097" s="64"/>
      <c r="E2097" s="65"/>
      <c r="F2097" s="66"/>
      <c r="G2097" s="63"/>
      <c r="H2097" s="67"/>
      <c r="I2097" s="68"/>
      <c r="J2097" s="68"/>
      <c r="K2097" s="32"/>
      <c r="L2097" s="75">
        <v>2097</v>
      </c>
      <c r="M2097" s="75"/>
      <c r="N2097" s="70"/>
      <c r="O2097" s="77" t="s">
        <v>179</v>
      </c>
      <c r="P2097" s="79">
        <v>45147.760416666664</v>
      </c>
      <c r="Q2097" s="77" t="s">
        <v>2769</v>
      </c>
      <c r="R2097" s="77">
        <v>0</v>
      </c>
      <c r="S2097" s="77">
        <v>1</v>
      </c>
      <c r="T2097" s="77">
        <v>0</v>
      </c>
      <c r="U2097" s="77">
        <v>0</v>
      </c>
      <c r="V2097" s="77">
        <v>467</v>
      </c>
      <c r="W2097" s="82" t="s">
        <v>5904</v>
      </c>
      <c r="X2097" s="80" t="str">
        <f>HYPERLINK("https://mla.bs/55c2e0e6")</f>
        <v>https://mla.bs/55c2e0e6</v>
      </c>
      <c r="Y2097" s="77" t="s">
        <v>6506</v>
      </c>
      <c r="Z2097" s="77"/>
      <c r="AA2097" s="77"/>
      <c r="AB2097" s="77"/>
      <c r="AC2097" s="82" t="s">
        <v>7754</v>
      </c>
      <c r="AD2097" s="77" t="s">
        <v>7788</v>
      </c>
      <c r="AE2097" s="80" t="str">
        <f>HYPERLINK("https://twitter.com/einvestidor/status/1689339510197211136")</f>
        <v>https://twitter.com/einvestidor/status/1689339510197211136</v>
      </c>
      <c r="AF2097" s="79">
        <v>45147.760416666664</v>
      </c>
      <c r="AG2097" s="85">
        <v>45147</v>
      </c>
      <c r="AH2097" s="82" t="s">
        <v>9582</v>
      </c>
      <c r="AI2097" s="77" t="b">
        <v>0</v>
      </c>
      <c r="AJ2097" s="77"/>
      <c r="AK2097" s="77"/>
      <c r="AL2097" s="77"/>
      <c r="AM2097" s="77"/>
      <c r="AN2097" s="77"/>
      <c r="AO2097" s="77"/>
      <c r="AP2097" s="77"/>
      <c r="AQ2097" s="77"/>
      <c r="AR2097" s="77"/>
      <c r="AS2097" s="77"/>
      <c r="AT2097" s="77"/>
      <c r="AU2097" s="77"/>
      <c r="AV2097" s="80" t="str">
        <f>HYPERLINK("https://pbs.twimg.com/profile_images/1241147984924082183/gZgx_hL-_normal.jpg")</f>
        <v>https://pbs.twimg.com/profile_images/1241147984924082183/gZgx_hL-_normal.jpg</v>
      </c>
      <c r="AW2097" s="82" t="s">
        <v>13693</v>
      </c>
      <c r="AX2097" s="82" t="s">
        <v>13693</v>
      </c>
      <c r="AY2097" s="77"/>
      <c r="AZ2097" s="82" t="s">
        <v>15984</v>
      </c>
      <c r="BA2097" s="82" t="s">
        <v>15984</v>
      </c>
      <c r="BB2097" s="82" t="s">
        <v>15984</v>
      </c>
      <c r="BC2097" s="82" t="s">
        <v>13693</v>
      </c>
      <c r="BD2097" s="82" t="s">
        <v>15979</v>
      </c>
      <c r="BE2097" s="77"/>
      <c r="BF2097" s="77"/>
      <c r="BG2097" s="77"/>
      <c r="BH2097" s="77"/>
      <c r="BI2097" s="77"/>
    </row>
    <row r="2098" spans="1:61" x14ac:dyDescent="0.25">
      <c r="A2098" s="62" t="s">
        <v>387</v>
      </c>
      <c r="B2098" s="62" t="s">
        <v>387</v>
      </c>
      <c r="C2098" s="63"/>
      <c r="D2098" s="64"/>
      <c r="E2098" s="65"/>
      <c r="F2098" s="66"/>
      <c r="G2098" s="63"/>
      <c r="H2098" s="67"/>
      <c r="I2098" s="68"/>
      <c r="J2098" s="68"/>
      <c r="K2098" s="32"/>
      <c r="L2098" s="75">
        <v>2098</v>
      </c>
      <c r="M2098" s="75"/>
      <c r="N2098" s="70"/>
      <c r="O2098" s="77" t="s">
        <v>179</v>
      </c>
      <c r="P2098" s="79">
        <v>45142.729166666664</v>
      </c>
      <c r="Q2098" s="77" t="s">
        <v>2770</v>
      </c>
      <c r="R2098" s="77">
        <v>0</v>
      </c>
      <c r="S2098" s="77">
        <v>4</v>
      </c>
      <c r="T2098" s="77">
        <v>0</v>
      </c>
      <c r="U2098" s="77">
        <v>0</v>
      </c>
      <c r="V2098" s="77">
        <v>557</v>
      </c>
      <c r="W2098" s="82" t="s">
        <v>4833</v>
      </c>
      <c r="X2098" s="80" t="str">
        <f>HYPERLINK("https://einvestidor.estadao.com.br/ultimas/aes-brasil-aesb3-lucro-liquido-segundo-trimestre/?utm_source=twitter&amp;utm_medium=organic&amp;utm_campaign=aes-brasil&amp;utm_content=materia")</f>
        <v>https://einvestidor.estadao.com.br/ultimas/aes-brasil-aesb3-lucro-liquido-segundo-trimestre/?utm_source=twitter&amp;utm_medium=organic&amp;utm_campaign=aes-brasil&amp;utm_content=materia</v>
      </c>
      <c r="Y2098" s="77" t="s">
        <v>6470</v>
      </c>
      <c r="Z2098" s="77"/>
      <c r="AA2098" s="77"/>
      <c r="AB2098" s="77"/>
      <c r="AC2098" s="82" t="s">
        <v>7754</v>
      </c>
      <c r="AD2098" s="77" t="s">
        <v>7788</v>
      </c>
      <c r="AE2098" s="80" t="str">
        <f>HYPERLINK("https://twitter.com/einvestidor/status/1687516245732753408")</f>
        <v>https://twitter.com/einvestidor/status/1687516245732753408</v>
      </c>
      <c r="AF2098" s="79">
        <v>45142.729166666664</v>
      </c>
      <c r="AG2098" s="85">
        <v>45142</v>
      </c>
      <c r="AH2098" s="82" t="s">
        <v>8091</v>
      </c>
      <c r="AI2098" s="77" t="b">
        <v>0</v>
      </c>
      <c r="AJ2098" s="77"/>
      <c r="AK2098" s="77"/>
      <c r="AL2098" s="77"/>
      <c r="AM2098" s="77"/>
      <c r="AN2098" s="77"/>
      <c r="AO2098" s="77"/>
      <c r="AP2098" s="77"/>
      <c r="AQ2098" s="77"/>
      <c r="AR2098" s="77"/>
      <c r="AS2098" s="77"/>
      <c r="AT2098" s="77"/>
      <c r="AU2098" s="77"/>
      <c r="AV2098" s="80" t="str">
        <f>HYPERLINK("https://pbs.twimg.com/profile_images/1241147984924082183/gZgx_hL-_normal.jpg")</f>
        <v>https://pbs.twimg.com/profile_images/1241147984924082183/gZgx_hL-_normal.jpg</v>
      </c>
      <c r="AW2098" s="82" t="s">
        <v>13694</v>
      </c>
      <c r="AX2098" s="82" t="s">
        <v>13694</v>
      </c>
      <c r="AY2098" s="77"/>
      <c r="AZ2098" s="82" t="s">
        <v>15984</v>
      </c>
      <c r="BA2098" s="82" t="s">
        <v>15984</v>
      </c>
      <c r="BB2098" s="82" t="s">
        <v>15984</v>
      </c>
      <c r="BC2098" s="82" t="s">
        <v>13694</v>
      </c>
      <c r="BD2098" s="82" t="s">
        <v>15979</v>
      </c>
      <c r="BE2098" s="77"/>
      <c r="BF2098" s="77"/>
      <c r="BG2098" s="77"/>
      <c r="BH2098" s="77"/>
      <c r="BI2098" s="77"/>
    </row>
    <row r="2099" spans="1:61" x14ac:dyDescent="0.25">
      <c r="A2099" s="62" t="s">
        <v>387</v>
      </c>
      <c r="B2099" s="62" t="s">
        <v>387</v>
      </c>
      <c r="C2099" s="63"/>
      <c r="D2099" s="64"/>
      <c r="E2099" s="65"/>
      <c r="F2099" s="66"/>
      <c r="G2099" s="63"/>
      <c r="H2099" s="67"/>
      <c r="I2099" s="68"/>
      <c r="J2099" s="68"/>
      <c r="K2099" s="32"/>
      <c r="L2099" s="75">
        <v>2099</v>
      </c>
      <c r="M2099" s="75"/>
      <c r="N2099" s="70"/>
      <c r="O2099" s="77" t="s">
        <v>179</v>
      </c>
      <c r="P2099" s="79">
        <v>45142.666689814818</v>
      </c>
      <c r="Q2099" s="77" t="s">
        <v>2771</v>
      </c>
      <c r="R2099" s="77">
        <v>0</v>
      </c>
      <c r="S2099" s="77">
        <v>1</v>
      </c>
      <c r="T2099" s="77">
        <v>0</v>
      </c>
      <c r="U2099" s="77">
        <v>0</v>
      </c>
      <c r="V2099" s="77">
        <v>502</v>
      </c>
      <c r="W2099" s="82" t="s">
        <v>4833</v>
      </c>
      <c r="X2099" s="80" t="str">
        <f>HYPERLINK("https://einvestidor.estadao.com.br/ultimas/xp-avaliacao-embraer-embr3-segundo-trimestre/?utm_source=twitter&amp;utm_medium=organic&amp;utm_campaign=embraer&amp;utm_content=materia")</f>
        <v>https://einvestidor.estadao.com.br/ultimas/xp-avaliacao-embraer-embr3-segundo-trimestre/?utm_source=twitter&amp;utm_medium=organic&amp;utm_campaign=embraer&amp;utm_content=materia</v>
      </c>
      <c r="Y2099" s="77" t="s">
        <v>6470</v>
      </c>
      <c r="Z2099" s="77"/>
      <c r="AA2099" s="77"/>
      <c r="AB2099" s="77"/>
      <c r="AC2099" s="82" t="s">
        <v>7754</v>
      </c>
      <c r="AD2099" s="77" t="s">
        <v>7788</v>
      </c>
      <c r="AE2099" s="80" t="str">
        <f>HYPERLINK("https://twitter.com/einvestidor/status/1687493608335978496")</f>
        <v>https://twitter.com/einvestidor/status/1687493608335978496</v>
      </c>
      <c r="AF2099" s="79">
        <v>45142.666689814818</v>
      </c>
      <c r="AG2099" s="85">
        <v>45142</v>
      </c>
      <c r="AH2099" s="82" t="s">
        <v>9583</v>
      </c>
      <c r="AI2099" s="77" t="b">
        <v>0</v>
      </c>
      <c r="AJ2099" s="77"/>
      <c r="AK2099" s="77"/>
      <c r="AL2099" s="77"/>
      <c r="AM2099" s="77"/>
      <c r="AN2099" s="77"/>
      <c r="AO2099" s="77"/>
      <c r="AP2099" s="77"/>
      <c r="AQ2099" s="77"/>
      <c r="AR2099" s="77"/>
      <c r="AS2099" s="77"/>
      <c r="AT2099" s="77"/>
      <c r="AU2099" s="77"/>
      <c r="AV2099" s="80" t="str">
        <f>HYPERLINK("https://pbs.twimg.com/profile_images/1241147984924082183/gZgx_hL-_normal.jpg")</f>
        <v>https://pbs.twimg.com/profile_images/1241147984924082183/gZgx_hL-_normal.jpg</v>
      </c>
      <c r="AW2099" s="82" t="s">
        <v>13695</v>
      </c>
      <c r="AX2099" s="82" t="s">
        <v>13695</v>
      </c>
      <c r="AY2099" s="77"/>
      <c r="AZ2099" s="82" t="s">
        <v>15984</v>
      </c>
      <c r="BA2099" s="82" t="s">
        <v>15984</v>
      </c>
      <c r="BB2099" s="82" t="s">
        <v>15984</v>
      </c>
      <c r="BC2099" s="82" t="s">
        <v>13695</v>
      </c>
      <c r="BD2099" s="82" t="s">
        <v>15979</v>
      </c>
      <c r="BE2099" s="77"/>
      <c r="BF2099" s="77"/>
      <c r="BG2099" s="77"/>
      <c r="BH2099" s="77"/>
      <c r="BI2099" s="77"/>
    </row>
    <row r="2100" spans="1:61" x14ac:dyDescent="0.25">
      <c r="A2100" s="62" t="s">
        <v>387</v>
      </c>
      <c r="B2100" s="62" t="s">
        <v>387</v>
      </c>
      <c r="C2100" s="63"/>
      <c r="D2100" s="64"/>
      <c r="E2100" s="65"/>
      <c r="F2100" s="66"/>
      <c r="G2100" s="63"/>
      <c r="H2100" s="67"/>
      <c r="I2100" s="68"/>
      <c r="J2100" s="68"/>
      <c r="K2100" s="32"/>
      <c r="L2100" s="75">
        <v>2100</v>
      </c>
      <c r="M2100" s="75"/>
      <c r="N2100" s="70"/>
      <c r="O2100" s="77" t="s">
        <v>179</v>
      </c>
      <c r="P2100" s="79">
        <v>45142.641562500001</v>
      </c>
      <c r="Q2100" s="77" t="s">
        <v>2772</v>
      </c>
      <c r="R2100" s="77">
        <v>0</v>
      </c>
      <c r="S2100" s="77">
        <v>0</v>
      </c>
      <c r="T2100" s="77">
        <v>0</v>
      </c>
      <c r="U2100" s="77">
        <v>0</v>
      </c>
      <c r="V2100" s="77">
        <v>617</v>
      </c>
      <c r="W2100" s="82" t="s">
        <v>4833</v>
      </c>
      <c r="X2100" s="80" t="str">
        <f>HYPERLINK("https://einvestidor.estadao.com.br/ultimas/vamos-vamo3-lucro-segundo-trimestre/?utm_source=twitter&amp;utm_medium=organic&amp;utm_campaign=vamos&amp;utm_content=materia")</f>
        <v>https://einvestidor.estadao.com.br/ultimas/vamos-vamo3-lucro-segundo-trimestre/?utm_source=twitter&amp;utm_medium=organic&amp;utm_campaign=vamos&amp;utm_content=materia</v>
      </c>
      <c r="Y2100" s="77" t="s">
        <v>6470</v>
      </c>
      <c r="Z2100" s="77"/>
      <c r="AA2100" s="77"/>
      <c r="AB2100" s="77"/>
      <c r="AC2100" s="82" t="s">
        <v>7754</v>
      </c>
      <c r="AD2100" s="77" t="s">
        <v>7788</v>
      </c>
      <c r="AE2100" s="80" t="str">
        <f>HYPERLINK("https://twitter.com/einvestidor/status/1687484502010982400")</f>
        <v>https://twitter.com/einvestidor/status/1687484502010982400</v>
      </c>
      <c r="AF2100" s="79">
        <v>45142.641562500001</v>
      </c>
      <c r="AG2100" s="85">
        <v>45142</v>
      </c>
      <c r="AH2100" s="82" t="s">
        <v>9584</v>
      </c>
      <c r="AI2100" s="77" t="b">
        <v>0</v>
      </c>
      <c r="AJ2100" s="77"/>
      <c r="AK2100" s="77"/>
      <c r="AL2100" s="77"/>
      <c r="AM2100" s="77"/>
      <c r="AN2100" s="77"/>
      <c r="AO2100" s="77"/>
      <c r="AP2100" s="77"/>
      <c r="AQ2100" s="77"/>
      <c r="AR2100" s="77"/>
      <c r="AS2100" s="77"/>
      <c r="AT2100" s="77"/>
      <c r="AU2100" s="77"/>
      <c r="AV2100" s="80" t="str">
        <f>HYPERLINK("https://pbs.twimg.com/profile_images/1241147984924082183/gZgx_hL-_normal.jpg")</f>
        <v>https://pbs.twimg.com/profile_images/1241147984924082183/gZgx_hL-_normal.jpg</v>
      </c>
      <c r="AW2100" s="82" t="s">
        <v>13696</v>
      </c>
      <c r="AX2100" s="82" t="s">
        <v>13696</v>
      </c>
      <c r="AY2100" s="77"/>
      <c r="AZ2100" s="82" t="s">
        <v>15984</v>
      </c>
      <c r="BA2100" s="82" t="s">
        <v>15984</v>
      </c>
      <c r="BB2100" s="82" t="s">
        <v>15984</v>
      </c>
      <c r="BC2100" s="82" t="s">
        <v>13696</v>
      </c>
      <c r="BD2100" s="82" t="s">
        <v>15979</v>
      </c>
      <c r="BE2100" s="77"/>
      <c r="BF2100" s="77"/>
      <c r="BG2100" s="77"/>
      <c r="BH2100" s="77"/>
      <c r="BI2100" s="77"/>
    </row>
    <row r="2101" spans="1:61" x14ac:dyDescent="0.25">
      <c r="A2101" s="62" t="s">
        <v>387</v>
      </c>
      <c r="B2101" s="62" t="s">
        <v>387</v>
      </c>
      <c r="C2101" s="63"/>
      <c r="D2101" s="64"/>
      <c r="E2101" s="65"/>
      <c r="F2101" s="66"/>
      <c r="G2101" s="63"/>
      <c r="H2101" s="67"/>
      <c r="I2101" s="68"/>
      <c r="J2101" s="68"/>
      <c r="K2101" s="32"/>
      <c r="L2101" s="75">
        <v>2101</v>
      </c>
      <c r="M2101" s="75"/>
      <c r="N2101" s="70"/>
      <c r="O2101" s="77" t="s">
        <v>179</v>
      </c>
      <c r="P2101" s="79">
        <v>45142.620185185187</v>
      </c>
      <c r="Q2101" s="77" t="s">
        <v>2773</v>
      </c>
      <c r="R2101" s="77">
        <v>0</v>
      </c>
      <c r="S2101" s="77">
        <v>1</v>
      </c>
      <c r="T2101" s="77">
        <v>0</v>
      </c>
      <c r="U2101" s="77">
        <v>0</v>
      </c>
      <c r="V2101" s="77">
        <v>429</v>
      </c>
      <c r="W2101" s="82" t="s">
        <v>4833</v>
      </c>
      <c r="X2101" s="80" t="str">
        <f>HYPERLINK("https://einvestidor.estadao.com.br/investimentos/carteiras-recomendadas-fiis-para-agosto/?utm_source=twitter&amp;utm_medium=organic&amp;utm_campaign=fundos-investimentos&amp;utm_content=materia")</f>
        <v>https://einvestidor.estadao.com.br/investimentos/carteiras-recomendadas-fiis-para-agosto/?utm_source=twitter&amp;utm_medium=organic&amp;utm_campaign=fundos-investimentos&amp;utm_content=materia</v>
      </c>
      <c r="Y2101" s="77" t="s">
        <v>6470</v>
      </c>
      <c r="Z2101" s="77"/>
      <c r="AA2101" s="77"/>
      <c r="AB2101" s="77"/>
      <c r="AC2101" s="82" t="s">
        <v>7754</v>
      </c>
      <c r="AD2101" s="77" t="s">
        <v>7788</v>
      </c>
      <c r="AE2101" s="80" t="str">
        <f>HYPERLINK("https://twitter.com/einvestidor/status/1687476753474732033")</f>
        <v>https://twitter.com/einvestidor/status/1687476753474732033</v>
      </c>
      <c r="AF2101" s="79">
        <v>45142.620185185187</v>
      </c>
      <c r="AG2101" s="85">
        <v>45142</v>
      </c>
      <c r="AH2101" s="82" t="s">
        <v>9585</v>
      </c>
      <c r="AI2101" s="77" t="b">
        <v>0</v>
      </c>
      <c r="AJ2101" s="77"/>
      <c r="AK2101" s="77"/>
      <c r="AL2101" s="77"/>
      <c r="AM2101" s="77"/>
      <c r="AN2101" s="77"/>
      <c r="AO2101" s="77"/>
      <c r="AP2101" s="77"/>
      <c r="AQ2101" s="77"/>
      <c r="AR2101" s="77"/>
      <c r="AS2101" s="77"/>
      <c r="AT2101" s="77"/>
      <c r="AU2101" s="77"/>
      <c r="AV2101" s="80" t="str">
        <f>HYPERLINK("https://pbs.twimg.com/profile_images/1241147984924082183/gZgx_hL-_normal.jpg")</f>
        <v>https://pbs.twimg.com/profile_images/1241147984924082183/gZgx_hL-_normal.jpg</v>
      </c>
      <c r="AW2101" s="82" t="s">
        <v>13697</v>
      </c>
      <c r="AX2101" s="82" t="s">
        <v>13697</v>
      </c>
      <c r="AY2101" s="77"/>
      <c r="AZ2101" s="82" t="s">
        <v>15984</v>
      </c>
      <c r="BA2101" s="82" t="s">
        <v>15984</v>
      </c>
      <c r="BB2101" s="82" t="s">
        <v>15984</v>
      </c>
      <c r="BC2101" s="82" t="s">
        <v>13697</v>
      </c>
      <c r="BD2101" s="82" t="s">
        <v>15979</v>
      </c>
      <c r="BE2101" s="77"/>
      <c r="BF2101" s="77"/>
      <c r="BG2101" s="77"/>
      <c r="BH2101" s="77"/>
      <c r="BI2101" s="77"/>
    </row>
    <row r="2102" spans="1:61" x14ac:dyDescent="0.25">
      <c r="A2102" s="62" t="s">
        <v>387</v>
      </c>
      <c r="B2102" s="62" t="s">
        <v>387</v>
      </c>
      <c r="C2102" s="63"/>
      <c r="D2102" s="64"/>
      <c r="E2102" s="65"/>
      <c r="F2102" s="66"/>
      <c r="G2102" s="63"/>
      <c r="H2102" s="67"/>
      <c r="I2102" s="68"/>
      <c r="J2102" s="68"/>
      <c r="K2102" s="32"/>
      <c r="L2102" s="75">
        <v>2102</v>
      </c>
      <c r="M2102" s="75"/>
      <c r="N2102" s="70"/>
      <c r="O2102" s="77" t="s">
        <v>179</v>
      </c>
      <c r="P2102" s="79">
        <v>45135.916666666664</v>
      </c>
      <c r="Q2102" s="77" t="s">
        <v>2774</v>
      </c>
      <c r="R2102" s="77">
        <v>0</v>
      </c>
      <c r="S2102" s="77">
        <v>0</v>
      </c>
      <c r="T2102" s="77">
        <v>0</v>
      </c>
      <c r="U2102" s="77">
        <v>0</v>
      </c>
      <c r="V2102" s="77">
        <v>558</v>
      </c>
      <c r="W2102" s="82" t="s">
        <v>4833</v>
      </c>
      <c r="X2102" s="80" t="str">
        <f>HYPERLINK("https://mla.bs/2713a4bb")</f>
        <v>https://mla.bs/2713a4bb</v>
      </c>
      <c r="Y2102" s="77" t="s">
        <v>6506</v>
      </c>
      <c r="Z2102" s="77"/>
      <c r="AA2102" s="77"/>
      <c r="AB2102" s="77"/>
      <c r="AC2102" s="82" t="s">
        <v>7754</v>
      </c>
      <c r="AD2102" s="77" t="s">
        <v>7788</v>
      </c>
      <c r="AE2102" s="80" t="str">
        <f>HYPERLINK("https://twitter.com/einvestidor/status/1685047480734420992")</f>
        <v>https://twitter.com/einvestidor/status/1685047480734420992</v>
      </c>
      <c r="AF2102" s="79">
        <v>45135.916666666664</v>
      </c>
      <c r="AG2102" s="85">
        <v>45135</v>
      </c>
      <c r="AH2102" s="82" t="s">
        <v>9577</v>
      </c>
      <c r="AI2102" s="77" t="b">
        <v>0</v>
      </c>
      <c r="AJ2102" s="77"/>
      <c r="AK2102" s="77"/>
      <c r="AL2102" s="77"/>
      <c r="AM2102" s="77"/>
      <c r="AN2102" s="77"/>
      <c r="AO2102" s="77"/>
      <c r="AP2102" s="77"/>
      <c r="AQ2102" s="77"/>
      <c r="AR2102" s="77"/>
      <c r="AS2102" s="77"/>
      <c r="AT2102" s="77"/>
      <c r="AU2102" s="77"/>
      <c r="AV2102" s="80" t="str">
        <f>HYPERLINK("https://pbs.twimg.com/profile_images/1241147984924082183/gZgx_hL-_normal.jpg")</f>
        <v>https://pbs.twimg.com/profile_images/1241147984924082183/gZgx_hL-_normal.jpg</v>
      </c>
      <c r="AW2102" s="82" t="s">
        <v>13698</v>
      </c>
      <c r="AX2102" s="82" t="s">
        <v>13698</v>
      </c>
      <c r="AY2102" s="77"/>
      <c r="AZ2102" s="82" t="s">
        <v>15984</v>
      </c>
      <c r="BA2102" s="82" t="s">
        <v>15984</v>
      </c>
      <c r="BB2102" s="82" t="s">
        <v>15984</v>
      </c>
      <c r="BC2102" s="82" t="s">
        <v>13698</v>
      </c>
      <c r="BD2102" s="82" t="s">
        <v>15979</v>
      </c>
      <c r="BE2102" s="77"/>
      <c r="BF2102" s="77"/>
      <c r="BG2102" s="77"/>
      <c r="BH2102" s="77"/>
      <c r="BI2102" s="77"/>
    </row>
    <row r="2103" spans="1:61" x14ac:dyDescent="0.25">
      <c r="A2103" s="62" t="s">
        <v>387</v>
      </c>
      <c r="B2103" s="62" t="s">
        <v>387</v>
      </c>
      <c r="C2103" s="63"/>
      <c r="D2103" s="64"/>
      <c r="E2103" s="65"/>
      <c r="F2103" s="66"/>
      <c r="G2103" s="63"/>
      <c r="H2103" s="67"/>
      <c r="I2103" s="68"/>
      <c r="J2103" s="68"/>
      <c r="K2103" s="32"/>
      <c r="L2103" s="75">
        <v>2103</v>
      </c>
      <c r="M2103" s="75"/>
      <c r="N2103" s="70"/>
      <c r="O2103" s="77" t="s">
        <v>179</v>
      </c>
      <c r="P2103" s="79">
        <v>45135.90625</v>
      </c>
      <c r="Q2103" s="77" t="s">
        <v>2775</v>
      </c>
      <c r="R2103" s="77">
        <v>1</v>
      </c>
      <c r="S2103" s="77">
        <v>1</v>
      </c>
      <c r="T2103" s="77">
        <v>0</v>
      </c>
      <c r="U2103" s="77">
        <v>0</v>
      </c>
      <c r="V2103" s="77">
        <v>547</v>
      </c>
      <c r="W2103" s="82" t="s">
        <v>4833</v>
      </c>
      <c r="X2103" s="80" t="str">
        <f>HYPERLINK("https://mla.bs/989aa6a0")</f>
        <v>https://mla.bs/989aa6a0</v>
      </c>
      <c r="Y2103" s="77" t="s">
        <v>6506</v>
      </c>
      <c r="Z2103" s="77"/>
      <c r="AA2103" s="77"/>
      <c r="AB2103" s="77"/>
      <c r="AC2103" s="82" t="s">
        <v>7754</v>
      </c>
      <c r="AD2103" s="77" t="s">
        <v>7788</v>
      </c>
      <c r="AE2103" s="80" t="str">
        <f>HYPERLINK("https://twitter.com/einvestidor/status/1685043703474466816")</f>
        <v>https://twitter.com/einvestidor/status/1685043703474466816</v>
      </c>
      <c r="AF2103" s="79">
        <v>45135.90625</v>
      </c>
      <c r="AG2103" s="85">
        <v>45135</v>
      </c>
      <c r="AH2103" s="82" t="s">
        <v>9578</v>
      </c>
      <c r="AI2103" s="77" t="b">
        <v>0</v>
      </c>
      <c r="AJ2103" s="77"/>
      <c r="AK2103" s="77"/>
      <c r="AL2103" s="77"/>
      <c r="AM2103" s="77"/>
      <c r="AN2103" s="77"/>
      <c r="AO2103" s="77"/>
      <c r="AP2103" s="77"/>
      <c r="AQ2103" s="77"/>
      <c r="AR2103" s="77"/>
      <c r="AS2103" s="77"/>
      <c r="AT2103" s="77"/>
      <c r="AU2103" s="77"/>
      <c r="AV2103" s="80" t="str">
        <f>HYPERLINK("https://pbs.twimg.com/profile_images/1241147984924082183/gZgx_hL-_normal.jpg")</f>
        <v>https://pbs.twimg.com/profile_images/1241147984924082183/gZgx_hL-_normal.jpg</v>
      </c>
      <c r="AW2103" s="82" t="s">
        <v>13699</v>
      </c>
      <c r="AX2103" s="82" t="s">
        <v>13699</v>
      </c>
      <c r="AY2103" s="77"/>
      <c r="AZ2103" s="82" t="s">
        <v>15984</v>
      </c>
      <c r="BA2103" s="82" t="s">
        <v>15984</v>
      </c>
      <c r="BB2103" s="82" t="s">
        <v>15984</v>
      </c>
      <c r="BC2103" s="82" t="s">
        <v>13699</v>
      </c>
      <c r="BD2103" s="82" t="s">
        <v>15979</v>
      </c>
      <c r="BE2103" s="77"/>
      <c r="BF2103" s="77"/>
      <c r="BG2103" s="77"/>
      <c r="BH2103" s="77"/>
      <c r="BI2103" s="77"/>
    </row>
    <row r="2104" spans="1:61" x14ac:dyDescent="0.25">
      <c r="A2104" s="62" t="s">
        <v>387</v>
      </c>
      <c r="B2104" s="62" t="s">
        <v>387</v>
      </c>
      <c r="C2104" s="63"/>
      <c r="D2104" s="64"/>
      <c r="E2104" s="65"/>
      <c r="F2104" s="66"/>
      <c r="G2104" s="63"/>
      <c r="H2104" s="67"/>
      <c r="I2104" s="68"/>
      <c r="J2104" s="68"/>
      <c r="K2104" s="32"/>
      <c r="L2104" s="75">
        <v>2104</v>
      </c>
      <c r="M2104" s="75"/>
      <c r="N2104" s="70"/>
      <c r="O2104" s="77" t="s">
        <v>179</v>
      </c>
      <c r="P2104" s="79">
        <v>45135.902083333334</v>
      </c>
      <c r="Q2104" s="77" t="s">
        <v>2776</v>
      </c>
      <c r="R2104" s="77">
        <v>0</v>
      </c>
      <c r="S2104" s="77">
        <v>1</v>
      </c>
      <c r="T2104" s="77">
        <v>0</v>
      </c>
      <c r="U2104" s="77">
        <v>0</v>
      </c>
      <c r="V2104" s="77">
        <v>812</v>
      </c>
      <c r="W2104" s="82" t="s">
        <v>5905</v>
      </c>
      <c r="X2104" s="80" t="str">
        <f>HYPERLINK("https://mla.bs/05723e1b")</f>
        <v>https://mla.bs/05723e1b</v>
      </c>
      <c r="Y2104" s="77" t="s">
        <v>6506</v>
      </c>
      <c r="Z2104" s="77"/>
      <c r="AA2104" s="77"/>
      <c r="AB2104" s="77"/>
      <c r="AC2104" s="82" t="s">
        <v>7754</v>
      </c>
      <c r="AD2104" s="77" t="s">
        <v>7788</v>
      </c>
      <c r="AE2104" s="80" t="str">
        <f>HYPERLINK("https://twitter.com/einvestidor/status/1685042196045529088")</f>
        <v>https://twitter.com/einvestidor/status/1685042196045529088</v>
      </c>
      <c r="AF2104" s="79">
        <v>45135.902083333334</v>
      </c>
      <c r="AG2104" s="85">
        <v>45135</v>
      </c>
      <c r="AH2104" s="82" t="s">
        <v>9586</v>
      </c>
      <c r="AI2104" s="77" t="b">
        <v>0</v>
      </c>
      <c r="AJ2104" s="77"/>
      <c r="AK2104" s="77"/>
      <c r="AL2104" s="77"/>
      <c r="AM2104" s="77"/>
      <c r="AN2104" s="77"/>
      <c r="AO2104" s="77"/>
      <c r="AP2104" s="77"/>
      <c r="AQ2104" s="77"/>
      <c r="AR2104" s="77"/>
      <c r="AS2104" s="77"/>
      <c r="AT2104" s="77"/>
      <c r="AU2104" s="77"/>
      <c r="AV2104" s="80" t="str">
        <f>HYPERLINK("https://pbs.twimg.com/profile_images/1241147984924082183/gZgx_hL-_normal.jpg")</f>
        <v>https://pbs.twimg.com/profile_images/1241147984924082183/gZgx_hL-_normal.jpg</v>
      </c>
      <c r="AW2104" s="82" t="s">
        <v>13700</v>
      </c>
      <c r="AX2104" s="82" t="s">
        <v>13700</v>
      </c>
      <c r="AY2104" s="77"/>
      <c r="AZ2104" s="82" t="s">
        <v>15984</v>
      </c>
      <c r="BA2104" s="82" t="s">
        <v>15984</v>
      </c>
      <c r="BB2104" s="82" t="s">
        <v>15984</v>
      </c>
      <c r="BC2104" s="82" t="s">
        <v>13700</v>
      </c>
      <c r="BD2104" s="82" t="s">
        <v>15979</v>
      </c>
      <c r="BE2104" s="77"/>
      <c r="BF2104" s="77"/>
      <c r="BG2104" s="77"/>
      <c r="BH2104" s="77"/>
      <c r="BI2104" s="77"/>
    </row>
    <row r="2105" spans="1:61" x14ac:dyDescent="0.25">
      <c r="A2105" s="62" t="s">
        <v>387</v>
      </c>
      <c r="B2105" s="62" t="s">
        <v>387</v>
      </c>
      <c r="C2105" s="63"/>
      <c r="D2105" s="64"/>
      <c r="E2105" s="65"/>
      <c r="F2105" s="66"/>
      <c r="G2105" s="63"/>
      <c r="H2105" s="67"/>
      <c r="I2105" s="68"/>
      <c r="J2105" s="68"/>
      <c r="K2105" s="32"/>
      <c r="L2105" s="75">
        <v>2105</v>
      </c>
      <c r="M2105" s="75"/>
      <c r="N2105" s="70"/>
      <c r="O2105" s="77" t="s">
        <v>179</v>
      </c>
      <c r="P2105" s="79">
        <v>45135.901018518518</v>
      </c>
      <c r="Q2105" s="77" t="s">
        <v>2777</v>
      </c>
      <c r="R2105" s="77">
        <v>0</v>
      </c>
      <c r="S2105" s="77">
        <v>1</v>
      </c>
      <c r="T2105" s="77">
        <v>0</v>
      </c>
      <c r="U2105" s="77">
        <v>0</v>
      </c>
      <c r="V2105" s="77">
        <v>678</v>
      </c>
      <c r="W2105" s="82" t="s">
        <v>5906</v>
      </c>
      <c r="X2105" s="80" t="str">
        <f>HYPERLINK("https://mla.bs/70290802")</f>
        <v>https://mla.bs/70290802</v>
      </c>
      <c r="Y2105" s="77" t="s">
        <v>6506</v>
      </c>
      <c r="Z2105" s="77"/>
      <c r="AA2105" s="77"/>
      <c r="AB2105" s="77"/>
      <c r="AC2105" s="82" t="s">
        <v>7754</v>
      </c>
      <c r="AD2105" s="77" t="s">
        <v>7788</v>
      </c>
      <c r="AE2105" s="80" t="str">
        <f>HYPERLINK("https://twitter.com/einvestidor/status/1685041810513469440")</f>
        <v>https://twitter.com/einvestidor/status/1685041810513469440</v>
      </c>
      <c r="AF2105" s="79">
        <v>45135.901018518518</v>
      </c>
      <c r="AG2105" s="85">
        <v>45135</v>
      </c>
      <c r="AH2105" s="82" t="s">
        <v>9587</v>
      </c>
      <c r="AI2105" s="77" t="b">
        <v>0</v>
      </c>
      <c r="AJ2105" s="77"/>
      <c r="AK2105" s="77"/>
      <c r="AL2105" s="77"/>
      <c r="AM2105" s="77"/>
      <c r="AN2105" s="77"/>
      <c r="AO2105" s="77"/>
      <c r="AP2105" s="77"/>
      <c r="AQ2105" s="77"/>
      <c r="AR2105" s="77"/>
      <c r="AS2105" s="77"/>
      <c r="AT2105" s="77"/>
      <c r="AU2105" s="77"/>
      <c r="AV2105" s="80" t="str">
        <f>HYPERLINK("https://pbs.twimg.com/profile_images/1241147984924082183/gZgx_hL-_normal.jpg")</f>
        <v>https://pbs.twimg.com/profile_images/1241147984924082183/gZgx_hL-_normal.jpg</v>
      </c>
      <c r="AW2105" s="82" t="s">
        <v>13701</v>
      </c>
      <c r="AX2105" s="82" t="s">
        <v>13701</v>
      </c>
      <c r="AY2105" s="77"/>
      <c r="AZ2105" s="82" t="s">
        <v>15984</v>
      </c>
      <c r="BA2105" s="82" t="s">
        <v>15984</v>
      </c>
      <c r="BB2105" s="82" t="s">
        <v>15984</v>
      </c>
      <c r="BC2105" s="82" t="s">
        <v>13701</v>
      </c>
      <c r="BD2105" s="82" t="s">
        <v>15979</v>
      </c>
      <c r="BE2105" s="77"/>
      <c r="BF2105" s="77"/>
      <c r="BG2105" s="77"/>
      <c r="BH2105" s="77"/>
      <c r="BI2105" s="77"/>
    </row>
    <row r="2106" spans="1:61" x14ac:dyDescent="0.25">
      <c r="A2106" s="62" t="s">
        <v>387</v>
      </c>
      <c r="B2106" s="62" t="s">
        <v>387</v>
      </c>
      <c r="C2106" s="63"/>
      <c r="D2106" s="64"/>
      <c r="E2106" s="65"/>
      <c r="F2106" s="66"/>
      <c r="G2106" s="63"/>
      <c r="H2106" s="67"/>
      <c r="I2106" s="68"/>
      <c r="J2106" s="68"/>
      <c r="K2106" s="32"/>
      <c r="L2106" s="75">
        <v>2106</v>
      </c>
      <c r="M2106" s="75"/>
      <c r="N2106" s="70"/>
      <c r="O2106" s="77" t="s">
        <v>179</v>
      </c>
      <c r="P2106" s="79">
        <v>45135.895833333336</v>
      </c>
      <c r="Q2106" s="77" t="s">
        <v>2778</v>
      </c>
      <c r="R2106" s="77">
        <v>0</v>
      </c>
      <c r="S2106" s="77">
        <v>1</v>
      </c>
      <c r="T2106" s="77">
        <v>0</v>
      </c>
      <c r="U2106" s="77">
        <v>0</v>
      </c>
      <c r="V2106" s="77">
        <v>608</v>
      </c>
      <c r="W2106" s="82" t="s">
        <v>4833</v>
      </c>
      <c r="X2106" s="80" t="str">
        <f>HYPERLINK("https://mla.bs/eadcd8d1")</f>
        <v>https://mla.bs/eadcd8d1</v>
      </c>
      <c r="Y2106" s="77" t="s">
        <v>6506</v>
      </c>
      <c r="Z2106" s="77"/>
      <c r="AA2106" s="77"/>
      <c r="AB2106" s="77"/>
      <c r="AC2106" s="82" t="s">
        <v>7754</v>
      </c>
      <c r="AD2106" s="77" t="s">
        <v>7788</v>
      </c>
      <c r="AE2106" s="80" t="str">
        <f>HYPERLINK("https://twitter.com/einvestidor/status/1685039930349875200")</f>
        <v>https://twitter.com/einvestidor/status/1685039930349875200</v>
      </c>
      <c r="AF2106" s="79">
        <v>45135.895833333336</v>
      </c>
      <c r="AG2106" s="85">
        <v>45135</v>
      </c>
      <c r="AH2106" s="82" t="s">
        <v>8089</v>
      </c>
      <c r="AI2106" s="77" t="b">
        <v>0</v>
      </c>
      <c r="AJ2106" s="77"/>
      <c r="AK2106" s="77"/>
      <c r="AL2106" s="77"/>
      <c r="AM2106" s="77"/>
      <c r="AN2106" s="77"/>
      <c r="AO2106" s="77"/>
      <c r="AP2106" s="77"/>
      <c r="AQ2106" s="77"/>
      <c r="AR2106" s="77"/>
      <c r="AS2106" s="77"/>
      <c r="AT2106" s="77"/>
      <c r="AU2106" s="77"/>
      <c r="AV2106" s="80" t="str">
        <f>HYPERLINK("https://pbs.twimg.com/profile_images/1241147984924082183/gZgx_hL-_normal.jpg")</f>
        <v>https://pbs.twimg.com/profile_images/1241147984924082183/gZgx_hL-_normal.jpg</v>
      </c>
      <c r="AW2106" s="82" t="s">
        <v>13702</v>
      </c>
      <c r="AX2106" s="82" t="s">
        <v>13702</v>
      </c>
      <c r="AY2106" s="77"/>
      <c r="AZ2106" s="82" t="s">
        <v>15984</v>
      </c>
      <c r="BA2106" s="82" t="s">
        <v>15984</v>
      </c>
      <c r="BB2106" s="82" t="s">
        <v>15984</v>
      </c>
      <c r="BC2106" s="82" t="s">
        <v>13702</v>
      </c>
      <c r="BD2106" s="82" t="s">
        <v>15979</v>
      </c>
      <c r="BE2106" s="77"/>
      <c r="BF2106" s="77"/>
      <c r="BG2106" s="77"/>
      <c r="BH2106" s="77"/>
      <c r="BI2106" s="77"/>
    </row>
    <row r="2107" spans="1:61" x14ac:dyDescent="0.25">
      <c r="A2107" s="62" t="s">
        <v>387</v>
      </c>
      <c r="B2107" s="62" t="s">
        <v>387</v>
      </c>
      <c r="C2107" s="63"/>
      <c r="D2107" s="64"/>
      <c r="E2107" s="65"/>
      <c r="F2107" s="66"/>
      <c r="G2107" s="63"/>
      <c r="H2107" s="67"/>
      <c r="I2107" s="68"/>
      <c r="J2107" s="68"/>
      <c r="K2107" s="32"/>
      <c r="L2107" s="75">
        <v>2107</v>
      </c>
      <c r="M2107" s="75"/>
      <c r="N2107" s="70"/>
      <c r="O2107" s="77" t="s">
        <v>179</v>
      </c>
      <c r="P2107" s="79">
        <v>45135.885416666664</v>
      </c>
      <c r="Q2107" s="77" t="s">
        <v>2779</v>
      </c>
      <c r="R2107" s="77">
        <v>0</v>
      </c>
      <c r="S2107" s="77">
        <v>1</v>
      </c>
      <c r="T2107" s="77">
        <v>0</v>
      </c>
      <c r="U2107" s="77">
        <v>0</v>
      </c>
      <c r="V2107" s="77">
        <v>528</v>
      </c>
      <c r="W2107" s="82" t="s">
        <v>4833</v>
      </c>
      <c r="X2107" s="80" t="str">
        <f>HYPERLINK("https://mla.bs/685a5ac0")</f>
        <v>https://mla.bs/685a5ac0</v>
      </c>
      <c r="Y2107" s="77" t="s">
        <v>6506</v>
      </c>
      <c r="Z2107" s="77"/>
      <c r="AA2107" s="77"/>
      <c r="AB2107" s="77"/>
      <c r="AC2107" s="82" t="s">
        <v>7754</v>
      </c>
      <c r="AD2107" s="77" t="s">
        <v>7788</v>
      </c>
      <c r="AE2107" s="80" t="str">
        <f>HYPERLINK("https://twitter.com/einvestidor/status/1685036153802567680")</f>
        <v>https://twitter.com/einvestidor/status/1685036153802567680</v>
      </c>
      <c r="AF2107" s="79">
        <v>45135.885416666664</v>
      </c>
      <c r="AG2107" s="85">
        <v>45135</v>
      </c>
      <c r="AH2107" s="82" t="s">
        <v>8206</v>
      </c>
      <c r="AI2107" s="77" t="b">
        <v>0</v>
      </c>
      <c r="AJ2107" s="77"/>
      <c r="AK2107" s="77"/>
      <c r="AL2107" s="77"/>
      <c r="AM2107" s="77"/>
      <c r="AN2107" s="77"/>
      <c r="AO2107" s="77"/>
      <c r="AP2107" s="77"/>
      <c r="AQ2107" s="77"/>
      <c r="AR2107" s="77"/>
      <c r="AS2107" s="77"/>
      <c r="AT2107" s="77"/>
      <c r="AU2107" s="77"/>
      <c r="AV2107" s="80" t="str">
        <f>HYPERLINK("https://pbs.twimg.com/profile_images/1241147984924082183/gZgx_hL-_normal.jpg")</f>
        <v>https://pbs.twimg.com/profile_images/1241147984924082183/gZgx_hL-_normal.jpg</v>
      </c>
      <c r="AW2107" s="82" t="s">
        <v>13703</v>
      </c>
      <c r="AX2107" s="82" t="s">
        <v>13703</v>
      </c>
      <c r="AY2107" s="77"/>
      <c r="AZ2107" s="82" t="s">
        <v>15984</v>
      </c>
      <c r="BA2107" s="82" t="s">
        <v>15984</v>
      </c>
      <c r="BB2107" s="82" t="s">
        <v>15984</v>
      </c>
      <c r="BC2107" s="82" t="s">
        <v>13703</v>
      </c>
      <c r="BD2107" s="82" t="s">
        <v>15979</v>
      </c>
      <c r="BE2107" s="77"/>
      <c r="BF2107" s="77"/>
      <c r="BG2107" s="77"/>
      <c r="BH2107" s="77"/>
      <c r="BI2107" s="77"/>
    </row>
    <row r="2108" spans="1:61" x14ac:dyDescent="0.25">
      <c r="A2108" s="62" t="s">
        <v>387</v>
      </c>
      <c r="B2108" s="62" t="s">
        <v>387</v>
      </c>
      <c r="C2108" s="63"/>
      <c r="D2108" s="64"/>
      <c r="E2108" s="65"/>
      <c r="F2108" s="66"/>
      <c r="G2108" s="63"/>
      <c r="H2108" s="67"/>
      <c r="I2108" s="68"/>
      <c r="J2108" s="68"/>
      <c r="K2108" s="32"/>
      <c r="L2108" s="75">
        <v>2108</v>
      </c>
      <c r="M2108" s="75"/>
      <c r="N2108" s="70"/>
      <c r="O2108" s="77" t="s">
        <v>179</v>
      </c>
      <c r="P2108" s="79">
        <v>45132.653553240743</v>
      </c>
      <c r="Q2108" s="77" t="s">
        <v>2780</v>
      </c>
      <c r="R2108" s="77">
        <v>1</v>
      </c>
      <c r="S2108" s="77">
        <v>13</v>
      </c>
      <c r="T2108" s="77">
        <v>2</v>
      </c>
      <c r="U2108" s="77">
        <v>1</v>
      </c>
      <c r="V2108" s="77">
        <v>2209</v>
      </c>
      <c r="W2108" s="82" t="s">
        <v>4833</v>
      </c>
      <c r="X2108" s="80" t="str">
        <f>HYPERLINK("https://mla.bs/9255b428")</f>
        <v>https://mla.bs/9255b428</v>
      </c>
      <c r="Y2108" s="77" t="s">
        <v>6506</v>
      </c>
      <c r="Z2108" s="77"/>
      <c r="AA2108" s="77"/>
      <c r="AB2108" s="77"/>
      <c r="AC2108" s="82" t="s">
        <v>7754</v>
      </c>
      <c r="AD2108" s="77" t="s">
        <v>7788</v>
      </c>
      <c r="AE2108" s="80" t="str">
        <f>HYPERLINK("https://twitter.com/einvestidor/status/1683864966044999680")</f>
        <v>https://twitter.com/einvestidor/status/1683864966044999680</v>
      </c>
      <c r="AF2108" s="79">
        <v>45132.653553240743</v>
      </c>
      <c r="AG2108" s="85">
        <v>45132</v>
      </c>
      <c r="AH2108" s="82" t="s">
        <v>9588</v>
      </c>
      <c r="AI2108" s="77" t="b">
        <v>0</v>
      </c>
      <c r="AJ2108" s="77"/>
      <c r="AK2108" s="77"/>
      <c r="AL2108" s="77"/>
      <c r="AM2108" s="77"/>
      <c r="AN2108" s="77"/>
      <c r="AO2108" s="77"/>
      <c r="AP2108" s="77"/>
      <c r="AQ2108" s="77"/>
      <c r="AR2108" s="77"/>
      <c r="AS2108" s="77"/>
      <c r="AT2108" s="77"/>
      <c r="AU2108" s="77"/>
      <c r="AV2108" s="80" t="str">
        <f>HYPERLINK("https://pbs.twimg.com/profile_images/1241147984924082183/gZgx_hL-_normal.jpg")</f>
        <v>https://pbs.twimg.com/profile_images/1241147984924082183/gZgx_hL-_normal.jpg</v>
      </c>
      <c r="AW2108" s="82" t="s">
        <v>13704</v>
      </c>
      <c r="AX2108" s="82" t="s">
        <v>13704</v>
      </c>
      <c r="AY2108" s="77"/>
      <c r="AZ2108" s="82" t="s">
        <v>15984</v>
      </c>
      <c r="BA2108" s="82" t="s">
        <v>15984</v>
      </c>
      <c r="BB2108" s="82" t="s">
        <v>15984</v>
      </c>
      <c r="BC2108" s="82" t="s">
        <v>13704</v>
      </c>
      <c r="BD2108" s="82" t="s">
        <v>15979</v>
      </c>
      <c r="BE2108" s="77"/>
      <c r="BF2108" s="77"/>
      <c r="BG2108" s="77"/>
      <c r="BH2108" s="77"/>
      <c r="BI2108" s="77"/>
    </row>
    <row r="2109" spans="1:61" x14ac:dyDescent="0.25">
      <c r="A2109" s="62" t="s">
        <v>387</v>
      </c>
      <c r="B2109" s="62" t="s">
        <v>387</v>
      </c>
      <c r="C2109" s="63"/>
      <c r="D2109" s="64"/>
      <c r="E2109" s="65"/>
      <c r="F2109" s="66"/>
      <c r="G2109" s="63"/>
      <c r="H2109" s="67"/>
      <c r="I2109" s="68"/>
      <c r="J2109" s="68"/>
      <c r="K2109" s="32"/>
      <c r="L2109" s="75">
        <v>2109</v>
      </c>
      <c r="M2109" s="75"/>
      <c r="N2109" s="70"/>
      <c r="O2109" s="77" t="s">
        <v>179</v>
      </c>
      <c r="P2109" s="79">
        <v>45132.607638888891</v>
      </c>
      <c r="Q2109" s="77" t="s">
        <v>2781</v>
      </c>
      <c r="R2109" s="77">
        <v>0</v>
      </c>
      <c r="S2109" s="77">
        <v>1</v>
      </c>
      <c r="T2109" s="77">
        <v>0</v>
      </c>
      <c r="U2109" s="77">
        <v>0</v>
      </c>
      <c r="V2109" s="77">
        <v>540</v>
      </c>
      <c r="W2109" s="82" t="s">
        <v>4833</v>
      </c>
      <c r="X2109" s="80" t="str">
        <f>HYPERLINK("https://mla.bs/394a5ee7")</f>
        <v>https://mla.bs/394a5ee7</v>
      </c>
      <c r="Y2109" s="77" t="s">
        <v>6506</v>
      </c>
      <c r="Z2109" s="77"/>
      <c r="AA2109" s="77"/>
      <c r="AB2109" s="77"/>
      <c r="AC2109" s="82" t="s">
        <v>7754</v>
      </c>
      <c r="AD2109" s="77" t="s">
        <v>7788</v>
      </c>
      <c r="AE2109" s="80" t="str">
        <f>HYPERLINK("https://twitter.com/einvestidor/status/1683848327236923393")</f>
        <v>https://twitter.com/einvestidor/status/1683848327236923393</v>
      </c>
      <c r="AF2109" s="79">
        <v>45132.607638888891</v>
      </c>
      <c r="AG2109" s="85">
        <v>45132</v>
      </c>
      <c r="AH2109" s="82" t="s">
        <v>9589</v>
      </c>
      <c r="AI2109" s="77" t="b">
        <v>0</v>
      </c>
      <c r="AJ2109" s="77"/>
      <c r="AK2109" s="77"/>
      <c r="AL2109" s="77"/>
      <c r="AM2109" s="77"/>
      <c r="AN2109" s="77"/>
      <c r="AO2109" s="77"/>
      <c r="AP2109" s="77"/>
      <c r="AQ2109" s="77"/>
      <c r="AR2109" s="77"/>
      <c r="AS2109" s="77"/>
      <c r="AT2109" s="77"/>
      <c r="AU2109" s="77"/>
      <c r="AV2109" s="80" t="str">
        <f>HYPERLINK("https://pbs.twimg.com/profile_images/1241147984924082183/gZgx_hL-_normal.jpg")</f>
        <v>https://pbs.twimg.com/profile_images/1241147984924082183/gZgx_hL-_normal.jpg</v>
      </c>
      <c r="AW2109" s="82" t="s">
        <v>13705</v>
      </c>
      <c r="AX2109" s="82" t="s">
        <v>13705</v>
      </c>
      <c r="AY2109" s="77"/>
      <c r="AZ2109" s="82" t="s">
        <v>15984</v>
      </c>
      <c r="BA2109" s="82" t="s">
        <v>15984</v>
      </c>
      <c r="BB2109" s="82" t="s">
        <v>15984</v>
      </c>
      <c r="BC2109" s="82" t="s">
        <v>13705</v>
      </c>
      <c r="BD2109" s="82" t="s">
        <v>15979</v>
      </c>
      <c r="BE2109" s="77"/>
      <c r="BF2109" s="77"/>
      <c r="BG2109" s="77"/>
      <c r="BH2109" s="77"/>
      <c r="BI2109" s="77"/>
    </row>
    <row r="2110" spans="1:61" x14ac:dyDescent="0.25">
      <c r="A2110" s="62" t="s">
        <v>387</v>
      </c>
      <c r="B2110" s="62" t="s">
        <v>387</v>
      </c>
      <c r="C2110" s="63"/>
      <c r="D2110" s="64"/>
      <c r="E2110" s="65"/>
      <c r="F2110" s="66"/>
      <c r="G2110" s="63"/>
      <c r="H2110" s="67"/>
      <c r="I2110" s="68"/>
      <c r="J2110" s="68"/>
      <c r="K2110" s="32"/>
      <c r="L2110" s="75">
        <v>2110</v>
      </c>
      <c r="M2110" s="75"/>
      <c r="N2110" s="70"/>
      <c r="O2110" s="77" t="s">
        <v>179</v>
      </c>
      <c r="P2110" s="79">
        <v>45125.435127314813</v>
      </c>
      <c r="Q2110" s="77" t="s">
        <v>2782</v>
      </c>
      <c r="R2110" s="77">
        <v>1</v>
      </c>
      <c r="S2110" s="77">
        <v>4</v>
      </c>
      <c r="T2110" s="77">
        <v>0</v>
      </c>
      <c r="U2110" s="77">
        <v>0</v>
      </c>
      <c r="V2110" s="77">
        <v>752</v>
      </c>
      <c r="W2110" s="82" t="s">
        <v>4839</v>
      </c>
      <c r="X2110" s="80" t="str">
        <f>HYPERLINK("https://mla.bs/c620caae")</f>
        <v>https://mla.bs/c620caae</v>
      </c>
      <c r="Y2110" s="77" t="s">
        <v>6506</v>
      </c>
      <c r="Z2110" s="77"/>
      <c r="AA2110" s="77"/>
      <c r="AB2110" s="77"/>
      <c r="AC2110" s="82" t="s">
        <v>7757</v>
      </c>
      <c r="AD2110" s="77" t="s">
        <v>7788</v>
      </c>
      <c r="AE2110" s="80" t="str">
        <f>HYPERLINK("https://twitter.com/einvestidor/status/1681249098517602305")</f>
        <v>https://twitter.com/einvestidor/status/1681249098517602305</v>
      </c>
      <c r="AF2110" s="79">
        <v>45125.435127314813</v>
      </c>
      <c r="AG2110" s="85">
        <v>45125</v>
      </c>
      <c r="AH2110" s="82" t="s">
        <v>9590</v>
      </c>
      <c r="AI2110" s="77" t="b">
        <v>0</v>
      </c>
      <c r="AJ2110" s="77"/>
      <c r="AK2110" s="77"/>
      <c r="AL2110" s="77"/>
      <c r="AM2110" s="77"/>
      <c r="AN2110" s="77"/>
      <c r="AO2110" s="77"/>
      <c r="AP2110" s="77"/>
      <c r="AQ2110" s="77"/>
      <c r="AR2110" s="77"/>
      <c r="AS2110" s="77"/>
      <c r="AT2110" s="77"/>
      <c r="AU2110" s="77"/>
      <c r="AV2110" s="80" t="str">
        <f>HYPERLINK("https://pbs.twimg.com/profile_images/1241147984924082183/gZgx_hL-_normal.jpg")</f>
        <v>https://pbs.twimg.com/profile_images/1241147984924082183/gZgx_hL-_normal.jpg</v>
      </c>
      <c r="AW2110" s="82" t="s">
        <v>13706</v>
      </c>
      <c r="AX2110" s="82" t="s">
        <v>13706</v>
      </c>
      <c r="AY2110" s="77"/>
      <c r="AZ2110" s="82" t="s">
        <v>15984</v>
      </c>
      <c r="BA2110" s="82" t="s">
        <v>15984</v>
      </c>
      <c r="BB2110" s="82" t="s">
        <v>15984</v>
      </c>
      <c r="BC2110" s="82" t="s">
        <v>13706</v>
      </c>
      <c r="BD2110" s="82" t="s">
        <v>15979</v>
      </c>
      <c r="BE2110" s="77"/>
      <c r="BF2110" s="77"/>
      <c r="BG2110" s="77"/>
      <c r="BH2110" s="77"/>
      <c r="BI2110" s="77"/>
    </row>
    <row r="2111" spans="1:61" x14ac:dyDescent="0.25">
      <c r="A2111" s="62" t="s">
        <v>387</v>
      </c>
      <c r="B2111" s="62" t="s">
        <v>387</v>
      </c>
      <c r="C2111" s="63"/>
      <c r="D2111" s="64"/>
      <c r="E2111" s="65"/>
      <c r="F2111" s="66"/>
      <c r="G2111" s="63"/>
      <c r="H2111" s="67"/>
      <c r="I2111" s="68"/>
      <c r="J2111" s="68"/>
      <c r="K2111" s="32"/>
      <c r="L2111" s="75">
        <v>2111</v>
      </c>
      <c r="M2111" s="75"/>
      <c r="N2111" s="70"/>
      <c r="O2111" s="77" t="s">
        <v>179</v>
      </c>
      <c r="P2111" s="79">
        <v>45125.083611111113</v>
      </c>
      <c r="Q2111" s="77" t="s">
        <v>2783</v>
      </c>
      <c r="R2111" s="77">
        <v>0</v>
      </c>
      <c r="S2111" s="77">
        <v>1</v>
      </c>
      <c r="T2111" s="77">
        <v>0</v>
      </c>
      <c r="U2111" s="77">
        <v>0</v>
      </c>
      <c r="V2111" s="77">
        <v>1030</v>
      </c>
      <c r="W2111" s="82" t="s">
        <v>4833</v>
      </c>
      <c r="X2111" s="80" t="str">
        <f>HYPERLINK("https://mla.bs/148ae88c")</f>
        <v>https://mla.bs/148ae88c</v>
      </c>
      <c r="Y2111" s="77" t="s">
        <v>6506</v>
      </c>
      <c r="Z2111" s="77"/>
      <c r="AA2111" s="77"/>
      <c r="AB2111" s="77"/>
      <c r="AC2111" s="82" t="s">
        <v>7757</v>
      </c>
      <c r="AD2111" s="77" t="s">
        <v>7788</v>
      </c>
      <c r="AE2111" s="80" t="str">
        <f>HYPERLINK("https://twitter.com/einvestidor/status/1681121713692499968")</f>
        <v>https://twitter.com/einvestidor/status/1681121713692499968</v>
      </c>
      <c r="AF2111" s="79">
        <v>45125.083611111113</v>
      </c>
      <c r="AG2111" s="85">
        <v>45125</v>
      </c>
      <c r="AH2111" s="82" t="s">
        <v>9591</v>
      </c>
      <c r="AI2111" s="77" t="b">
        <v>0</v>
      </c>
      <c r="AJ2111" s="77"/>
      <c r="AK2111" s="77"/>
      <c r="AL2111" s="77"/>
      <c r="AM2111" s="77"/>
      <c r="AN2111" s="77"/>
      <c r="AO2111" s="77"/>
      <c r="AP2111" s="77"/>
      <c r="AQ2111" s="77"/>
      <c r="AR2111" s="77"/>
      <c r="AS2111" s="77"/>
      <c r="AT2111" s="77"/>
      <c r="AU2111" s="77"/>
      <c r="AV2111" s="80" t="str">
        <f>HYPERLINK("https://pbs.twimg.com/profile_images/1241147984924082183/gZgx_hL-_normal.jpg")</f>
        <v>https://pbs.twimg.com/profile_images/1241147984924082183/gZgx_hL-_normal.jpg</v>
      </c>
      <c r="AW2111" s="82" t="s">
        <v>13707</v>
      </c>
      <c r="AX2111" s="82" t="s">
        <v>13707</v>
      </c>
      <c r="AY2111" s="77"/>
      <c r="AZ2111" s="82" t="s">
        <v>15984</v>
      </c>
      <c r="BA2111" s="82" t="s">
        <v>15984</v>
      </c>
      <c r="BB2111" s="82" t="s">
        <v>15984</v>
      </c>
      <c r="BC2111" s="82" t="s">
        <v>13707</v>
      </c>
      <c r="BD2111" s="82" t="s">
        <v>15979</v>
      </c>
      <c r="BE2111" s="77"/>
      <c r="BF2111" s="77"/>
      <c r="BG2111" s="77"/>
      <c r="BH2111" s="77"/>
      <c r="BI2111" s="77"/>
    </row>
    <row r="2112" spans="1:61" x14ac:dyDescent="0.25">
      <c r="A2112" s="62" t="s">
        <v>387</v>
      </c>
      <c r="B2112" s="62" t="s">
        <v>387</v>
      </c>
      <c r="C2112" s="63"/>
      <c r="D2112" s="64"/>
      <c r="E2112" s="65"/>
      <c r="F2112" s="66"/>
      <c r="G2112" s="63"/>
      <c r="H2112" s="67"/>
      <c r="I2112" s="68"/>
      <c r="J2112" s="68"/>
      <c r="K2112" s="32"/>
      <c r="L2112" s="75">
        <v>2112</v>
      </c>
      <c r="M2112" s="75"/>
      <c r="N2112" s="70"/>
      <c r="O2112" s="77" t="s">
        <v>179</v>
      </c>
      <c r="P2112" s="79">
        <v>45125.069479166668</v>
      </c>
      <c r="Q2112" s="77" t="s">
        <v>2784</v>
      </c>
      <c r="R2112" s="77">
        <v>0</v>
      </c>
      <c r="S2112" s="77">
        <v>0</v>
      </c>
      <c r="T2112" s="77">
        <v>0</v>
      </c>
      <c r="U2112" s="77">
        <v>0</v>
      </c>
      <c r="V2112" s="77">
        <v>908</v>
      </c>
      <c r="W2112" s="82" t="s">
        <v>4833</v>
      </c>
      <c r="X2112" s="80" t="str">
        <f>HYPERLINK("https://mla.bs/aa422c3f")</f>
        <v>https://mla.bs/aa422c3f</v>
      </c>
      <c r="Y2112" s="77" t="s">
        <v>6506</v>
      </c>
      <c r="Z2112" s="77"/>
      <c r="AA2112" s="77"/>
      <c r="AB2112" s="77"/>
      <c r="AC2112" s="82" t="s">
        <v>7757</v>
      </c>
      <c r="AD2112" s="77" t="s">
        <v>7788</v>
      </c>
      <c r="AE2112" s="80" t="str">
        <f>HYPERLINK("https://twitter.com/einvestidor/status/1681116591109316609")</f>
        <v>https://twitter.com/einvestidor/status/1681116591109316609</v>
      </c>
      <c r="AF2112" s="79">
        <v>45125.069479166668</v>
      </c>
      <c r="AG2112" s="85">
        <v>45125</v>
      </c>
      <c r="AH2112" s="82" t="s">
        <v>9592</v>
      </c>
      <c r="AI2112" s="77" t="b">
        <v>0</v>
      </c>
      <c r="AJ2112" s="77"/>
      <c r="AK2112" s="77"/>
      <c r="AL2112" s="77"/>
      <c r="AM2112" s="77"/>
      <c r="AN2112" s="77"/>
      <c r="AO2112" s="77"/>
      <c r="AP2112" s="77"/>
      <c r="AQ2112" s="77"/>
      <c r="AR2112" s="77"/>
      <c r="AS2112" s="77"/>
      <c r="AT2112" s="77"/>
      <c r="AU2112" s="77"/>
      <c r="AV2112" s="80" t="str">
        <f>HYPERLINK("https://pbs.twimg.com/profile_images/1241147984924082183/gZgx_hL-_normal.jpg")</f>
        <v>https://pbs.twimg.com/profile_images/1241147984924082183/gZgx_hL-_normal.jpg</v>
      </c>
      <c r="AW2112" s="82" t="s">
        <v>13708</v>
      </c>
      <c r="AX2112" s="82" t="s">
        <v>13708</v>
      </c>
      <c r="AY2112" s="77"/>
      <c r="AZ2112" s="82" t="s">
        <v>15984</v>
      </c>
      <c r="BA2112" s="82" t="s">
        <v>15984</v>
      </c>
      <c r="BB2112" s="82" t="s">
        <v>15984</v>
      </c>
      <c r="BC2112" s="82" t="s">
        <v>13708</v>
      </c>
      <c r="BD2112" s="82" t="s">
        <v>15979</v>
      </c>
      <c r="BE2112" s="77"/>
      <c r="BF2112" s="77"/>
      <c r="BG2112" s="77"/>
      <c r="BH2112" s="77"/>
      <c r="BI2112" s="77"/>
    </row>
    <row r="2113" spans="1:61" x14ac:dyDescent="0.25">
      <c r="A2113" s="62" t="s">
        <v>387</v>
      </c>
      <c r="B2113" s="62" t="s">
        <v>387</v>
      </c>
      <c r="C2113" s="63"/>
      <c r="D2113" s="64"/>
      <c r="E2113" s="65"/>
      <c r="F2113" s="66"/>
      <c r="G2113" s="63"/>
      <c r="H2113" s="67"/>
      <c r="I2113" s="68"/>
      <c r="J2113" s="68"/>
      <c r="K2113" s="32"/>
      <c r="L2113" s="75">
        <v>2113</v>
      </c>
      <c r="M2113" s="75"/>
      <c r="N2113" s="70"/>
      <c r="O2113" s="77" t="s">
        <v>179</v>
      </c>
      <c r="P2113" s="79">
        <v>45125.055555555555</v>
      </c>
      <c r="Q2113" s="77" t="s">
        <v>2785</v>
      </c>
      <c r="R2113" s="77">
        <v>1</v>
      </c>
      <c r="S2113" s="77">
        <v>3</v>
      </c>
      <c r="T2113" s="77">
        <v>0</v>
      </c>
      <c r="U2113" s="77">
        <v>1</v>
      </c>
      <c r="V2113" s="77">
        <v>1207</v>
      </c>
      <c r="W2113" s="82" t="s">
        <v>4833</v>
      </c>
      <c r="X2113" s="80" t="str">
        <f>HYPERLINK("https://mla.bs/1e791822")</f>
        <v>https://mla.bs/1e791822</v>
      </c>
      <c r="Y2113" s="77" t="s">
        <v>6506</v>
      </c>
      <c r="Z2113" s="77"/>
      <c r="AA2113" s="77"/>
      <c r="AB2113" s="77"/>
      <c r="AC2113" s="82" t="s">
        <v>7757</v>
      </c>
      <c r="AD2113" s="77" t="s">
        <v>7788</v>
      </c>
      <c r="AE2113" s="80" t="str">
        <f>HYPERLINK("https://twitter.com/einvestidor/status/1681111545571319808")</f>
        <v>https://twitter.com/einvestidor/status/1681111545571319808</v>
      </c>
      <c r="AF2113" s="79">
        <v>45125.055555555555</v>
      </c>
      <c r="AG2113" s="85">
        <v>45125</v>
      </c>
      <c r="AH2113" s="82" t="s">
        <v>8970</v>
      </c>
      <c r="AI2113" s="77" t="b">
        <v>0</v>
      </c>
      <c r="AJ2113" s="77"/>
      <c r="AK2113" s="77"/>
      <c r="AL2113" s="77"/>
      <c r="AM2113" s="77"/>
      <c r="AN2113" s="77"/>
      <c r="AO2113" s="77"/>
      <c r="AP2113" s="77"/>
      <c r="AQ2113" s="77"/>
      <c r="AR2113" s="77"/>
      <c r="AS2113" s="77"/>
      <c r="AT2113" s="77"/>
      <c r="AU2113" s="77"/>
      <c r="AV2113" s="80" t="str">
        <f>HYPERLINK("https://pbs.twimg.com/profile_images/1241147984924082183/gZgx_hL-_normal.jpg")</f>
        <v>https://pbs.twimg.com/profile_images/1241147984924082183/gZgx_hL-_normal.jpg</v>
      </c>
      <c r="AW2113" s="82" t="s">
        <v>13709</v>
      </c>
      <c r="AX2113" s="82" t="s">
        <v>13709</v>
      </c>
      <c r="AY2113" s="77"/>
      <c r="AZ2113" s="82" t="s">
        <v>15984</v>
      </c>
      <c r="BA2113" s="82" t="s">
        <v>15984</v>
      </c>
      <c r="BB2113" s="82" t="s">
        <v>15984</v>
      </c>
      <c r="BC2113" s="82" t="s">
        <v>13709</v>
      </c>
      <c r="BD2113" s="82" t="s">
        <v>15979</v>
      </c>
      <c r="BE2113" s="77"/>
      <c r="BF2113" s="77"/>
      <c r="BG2113" s="77"/>
      <c r="BH2113" s="77"/>
      <c r="BI2113" s="77"/>
    </row>
    <row r="2114" spans="1:61" x14ac:dyDescent="0.25">
      <c r="A2114" s="62" t="s">
        <v>387</v>
      </c>
      <c r="B2114" s="62" t="s">
        <v>387</v>
      </c>
      <c r="C2114" s="63"/>
      <c r="D2114" s="64"/>
      <c r="E2114" s="65"/>
      <c r="F2114" s="66"/>
      <c r="G2114" s="63"/>
      <c r="H2114" s="67"/>
      <c r="I2114" s="68"/>
      <c r="J2114" s="68"/>
      <c r="K2114" s="32"/>
      <c r="L2114" s="75">
        <v>2114</v>
      </c>
      <c r="M2114" s="75"/>
      <c r="N2114" s="70"/>
      <c r="O2114" s="77" t="s">
        <v>179</v>
      </c>
      <c r="P2114" s="79">
        <v>45125.042002314818</v>
      </c>
      <c r="Q2114" s="77" t="s">
        <v>2786</v>
      </c>
      <c r="R2114" s="77">
        <v>0</v>
      </c>
      <c r="S2114" s="77">
        <v>1</v>
      </c>
      <c r="T2114" s="77">
        <v>0</v>
      </c>
      <c r="U2114" s="77">
        <v>0</v>
      </c>
      <c r="V2114" s="77">
        <v>826</v>
      </c>
      <c r="W2114" s="82" t="s">
        <v>4833</v>
      </c>
      <c r="X2114" s="80" t="str">
        <f>HYPERLINK("https://mla.bs/2103114b")</f>
        <v>https://mla.bs/2103114b</v>
      </c>
      <c r="Y2114" s="77" t="s">
        <v>6506</v>
      </c>
      <c r="Z2114" s="77"/>
      <c r="AA2114" s="77"/>
      <c r="AB2114" s="77"/>
      <c r="AC2114" s="82" t="s">
        <v>7757</v>
      </c>
      <c r="AD2114" s="77" t="s">
        <v>7788</v>
      </c>
      <c r="AE2114" s="80" t="str">
        <f>HYPERLINK("https://twitter.com/einvestidor/status/1681106633701687296")</f>
        <v>https://twitter.com/einvestidor/status/1681106633701687296</v>
      </c>
      <c r="AF2114" s="79">
        <v>45125.042002314818</v>
      </c>
      <c r="AG2114" s="85">
        <v>45125</v>
      </c>
      <c r="AH2114" s="82" t="s">
        <v>9593</v>
      </c>
      <c r="AI2114" s="77" t="b">
        <v>0</v>
      </c>
      <c r="AJ2114" s="77"/>
      <c r="AK2114" s="77"/>
      <c r="AL2114" s="77"/>
      <c r="AM2114" s="77"/>
      <c r="AN2114" s="77"/>
      <c r="AO2114" s="77"/>
      <c r="AP2114" s="77"/>
      <c r="AQ2114" s="77"/>
      <c r="AR2114" s="77"/>
      <c r="AS2114" s="77"/>
      <c r="AT2114" s="77"/>
      <c r="AU2114" s="77"/>
      <c r="AV2114" s="80" t="str">
        <f>HYPERLINK("https://pbs.twimg.com/profile_images/1241147984924082183/gZgx_hL-_normal.jpg")</f>
        <v>https://pbs.twimg.com/profile_images/1241147984924082183/gZgx_hL-_normal.jpg</v>
      </c>
      <c r="AW2114" s="82" t="s">
        <v>13710</v>
      </c>
      <c r="AX2114" s="82" t="s">
        <v>13710</v>
      </c>
      <c r="AY2114" s="77"/>
      <c r="AZ2114" s="82" t="s">
        <v>15984</v>
      </c>
      <c r="BA2114" s="82" t="s">
        <v>15984</v>
      </c>
      <c r="BB2114" s="82" t="s">
        <v>15984</v>
      </c>
      <c r="BC2114" s="82" t="s">
        <v>13710</v>
      </c>
      <c r="BD2114" s="82" t="s">
        <v>15979</v>
      </c>
      <c r="BE2114" s="77"/>
      <c r="BF2114" s="77"/>
      <c r="BG2114" s="77"/>
      <c r="BH2114" s="77"/>
      <c r="BI2114" s="77"/>
    </row>
    <row r="2115" spans="1:61" x14ac:dyDescent="0.25">
      <c r="A2115" s="62" t="s">
        <v>387</v>
      </c>
      <c r="B2115" s="62" t="s">
        <v>387</v>
      </c>
      <c r="C2115" s="63"/>
      <c r="D2115" s="64"/>
      <c r="E2115" s="65"/>
      <c r="F2115" s="66"/>
      <c r="G2115" s="63"/>
      <c r="H2115" s="67"/>
      <c r="I2115" s="68"/>
      <c r="J2115" s="68"/>
      <c r="K2115" s="32"/>
      <c r="L2115" s="75">
        <v>2115</v>
      </c>
      <c r="M2115" s="75"/>
      <c r="N2115" s="70"/>
      <c r="O2115" s="77" t="s">
        <v>179</v>
      </c>
      <c r="P2115" s="79">
        <v>45125.027777777781</v>
      </c>
      <c r="Q2115" s="77" t="s">
        <v>2787</v>
      </c>
      <c r="R2115" s="77">
        <v>0</v>
      </c>
      <c r="S2115" s="77">
        <v>1</v>
      </c>
      <c r="T2115" s="77">
        <v>0</v>
      </c>
      <c r="U2115" s="77">
        <v>0</v>
      </c>
      <c r="V2115" s="77">
        <v>894</v>
      </c>
      <c r="W2115" s="82" t="s">
        <v>4833</v>
      </c>
      <c r="X2115" s="80" t="str">
        <f>HYPERLINK("https://mla.bs/ca0dfb65")</f>
        <v>https://mla.bs/ca0dfb65</v>
      </c>
      <c r="Y2115" s="77" t="s">
        <v>6506</v>
      </c>
      <c r="Z2115" s="77"/>
      <c r="AA2115" s="77"/>
      <c r="AB2115" s="77"/>
      <c r="AC2115" s="82" t="s">
        <v>7757</v>
      </c>
      <c r="AD2115" s="77" t="s">
        <v>7788</v>
      </c>
      <c r="AE2115" s="80" t="str">
        <f>HYPERLINK("https://twitter.com/einvestidor/status/1681101480290312197")</f>
        <v>https://twitter.com/einvestidor/status/1681101480290312197</v>
      </c>
      <c r="AF2115" s="79">
        <v>45125.027777777781</v>
      </c>
      <c r="AG2115" s="85">
        <v>45125</v>
      </c>
      <c r="AH2115" s="82" t="s">
        <v>9594</v>
      </c>
      <c r="AI2115" s="77" t="b">
        <v>0</v>
      </c>
      <c r="AJ2115" s="77"/>
      <c r="AK2115" s="77"/>
      <c r="AL2115" s="77"/>
      <c r="AM2115" s="77"/>
      <c r="AN2115" s="77"/>
      <c r="AO2115" s="77"/>
      <c r="AP2115" s="77"/>
      <c r="AQ2115" s="77"/>
      <c r="AR2115" s="77"/>
      <c r="AS2115" s="77"/>
      <c r="AT2115" s="77"/>
      <c r="AU2115" s="77"/>
      <c r="AV2115" s="80" t="str">
        <f>HYPERLINK("https://pbs.twimg.com/profile_images/1241147984924082183/gZgx_hL-_normal.jpg")</f>
        <v>https://pbs.twimg.com/profile_images/1241147984924082183/gZgx_hL-_normal.jpg</v>
      </c>
      <c r="AW2115" s="82" t="s">
        <v>13711</v>
      </c>
      <c r="AX2115" s="82" t="s">
        <v>13711</v>
      </c>
      <c r="AY2115" s="77"/>
      <c r="AZ2115" s="82" t="s">
        <v>15984</v>
      </c>
      <c r="BA2115" s="82" t="s">
        <v>15984</v>
      </c>
      <c r="BB2115" s="82" t="s">
        <v>15984</v>
      </c>
      <c r="BC2115" s="82" t="s">
        <v>13711</v>
      </c>
      <c r="BD2115" s="82" t="s">
        <v>15979</v>
      </c>
      <c r="BE2115" s="77"/>
      <c r="BF2115" s="77"/>
      <c r="BG2115" s="77"/>
      <c r="BH2115" s="77"/>
      <c r="BI2115" s="77"/>
    </row>
    <row r="2116" spans="1:61" x14ac:dyDescent="0.25">
      <c r="A2116" s="62" t="s">
        <v>387</v>
      </c>
      <c r="B2116" s="62" t="s">
        <v>387</v>
      </c>
      <c r="C2116" s="63"/>
      <c r="D2116" s="64"/>
      <c r="E2116" s="65"/>
      <c r="F2116" s="66"/>
      <c r="G2116" s="63"/>
      <c r="H2116" s="67"/>
      <c r="I2116" s="68"/>
      <c r="J2116" s="68"/>
      <c r="K2116" s="32"/>
      <c r="L2116" s="75">
        <v>2116</v>
      </c>
      <c r="M2116" s="75"/>
      <c r="N2116" s="70"/>
      <c r="O2116" s="77" t="s">
        <v>179</v>
      </c>
      <c r="P2116" s="79">
        <v>45163.947916666664</v>
      </c>
      <c r="Q2116" s="77" t="s">
        <v>2788</v>
      </c>
      <c r="R2116" s="77">
        <v>0</v>
      </c>
      <c r="S2116" s="77">
        <v>0</v>
      </c>
      <c r="T2116" s="77">
        <v>0</v>
      </c>
      <c r="U2116" s="77">
        <v>0</v>
      </c>
      <c r="V2116" s="77">
        <v>707</v>
      </c>
      <c r="W2116" s="82" t="s">
        <v>4833</v>
      </c>
      <c r="X2116" s="80" t="str">
        <f>HYPERLINK("https://einvestidor.estadao.com.br/investimentos/xp-lanca-cdb-rentabilidade-alta-vale-investimento/?utm_source=twitter&amp;utm_medium=organic&amp;utm_campaign=&amp;utm_content=materia")</f>
        <v>https://einvestidor.estadao.com.br/investimentos/xp-lanca-cdb-rentabilidade-alta-vale-investimento/?utm_source=twitter&amp;utm_medium=organic&amp;utm_campaign=&amp;utm_content=materia</v>
      </c>
      <c r="Y2116" s="77" t="s">
        <v>6470</v>
      </c>
      <c r="Z2116" s="77"/>
      <c r="AA2116" s="77"/>
      <c r="AB2116" s="77"/>
      <c r="AC2116" s="82" t="s">
        <v>7750</v>
      </c>
      <c r="AD2116" s="77" t="s">
        <v>7788</v>
      </c>
      <c r="AE2116" s="80" t="str">
        <f>HYPERLINK("https://twitter.com/einvestidor/status/1695205663599632746")</f>
        <v>https://twitter.com/einvestidor/status/1695205663599632746</v>
      </c>
      <c r="AF2116" s="79">
        <v>45163.947916666664</v>
      </c>
      <c r="AG2116" s="85">
        <v>45163</v>
      </c>
      <c r="AH2116" s="82" t="s">
        <v>9595</v>
      </c>
      <c r="AI2116" s="77" t="b">
        <v>0</v>
      </c>
      <c r="AJ2116" s="77"/>
      <c r="AK2116" s="77"/>
      <c r="AL2116" s="77"/>
      <c r="AM2116" s="77"/>
      <c r="AN2116" s="77"/>
      <c r="AO2116" s="77"/>
      <c r="AP2116" s="77"/>
      <c r="AQ2116" s="77"/>
      <c r="AR2116" s="77"/>
      <c r="AS2116" s="77"/>
      <c r="AT2116" s="77"/>
      <c r="AU2116" s="77"/>
      <c r="AV2116" s="80" t="str">
        <f>HYPERLINK("https://pbs.twimg.com/profile_images/1241147984924082183/gZgx_hL-_normal.jpg")</f>
        <v>https://pbs.twimg.com/profile_images/1241147984924082183/gZgx_hL-_normal.jpg</v>
      </c>
      <c r="AW2116" s="82" t="s">
        <v>13712</v>
      </c>
      <c r="AX2116" s="82" t="s">
        <v>13712</v>
      </c>
      <c r="AY2116" s="77"/>
      <c r="AZ2116" s="82" t="s">
        <v>15984</v>
      </c>
      <c r="BA2116" s="82" t="s">
        <v>15984</v>
      </c>
      <c r="BB2116" s="82" t="s">
        <v>15984</v>
      </c>
      <c r="BC2116" s="82" t="s">
        <v>13712</v>
      </c>
      <c r="BD2116" s="82" t="s">
        <v>15979</v>
      </c>
      <c r="BE2116" s="77"/>
      <c r="BF2116" s="77"/>
      <c r="BG2116" s="77"/>
      <c r="BH2116" s="77"/>
      <c r="BI2116" s="77"/>
    </row>
    <row r="2117" spans="1:61" x14ac:dyDescent="0.25">
      <c r="A2117" s="62" t="s">
        <v>387</v>
      </c>
      <c r="B2117" s="62" t="s">
        <v>387</v>
      </c>
      <c r="C2117" s="63"/>
      <c r="D2117" s="64"/>
      <c r="E2117" s="65"/>
      <c r="F2117" s="66"/>
      <c r="G2117" s="63"/>
      <c r="H2117" s="67"/>
      <c r="I2117" s="68"/>
      <c r="J2117" s="68"/>
      <c r="K2117" s="32"/>
      <c r="L2117" s="75">
        <v>2117</v>
      </c>
      <c r="M2117" s="75"/>
      <c r="N2117" s="70"/>
      <c r="O2117" s="77" t="s">
        <v>179</v>
      </c>
      <c r="P2117" s="79">
        <v>45163.927083333336</v>
      </c>
      <c r="Q2117" s="77" t="s">
        <v>2789</v>
      </c>
      <c r="R2117" s="77">
        <v>0</v>
      </c>
      <c r="S2117" s="77">
        <v>2</v>
      </c>
      <c r="T2117" s="77">
        <v>0</v>
      </c>
      <c r="U2117" s="77">
        <v>0</v>
      </c>
      <c r="V2117" s="77">
        <v>571</v>
      </c>
      <c r="W2117" s="82" t="s">
        <v>4833</v>
      </c>
      <c r="X2117" s="80" t="str">
        <f>HYPERLINK("https://einvestidor.estadao.com.br/ultimas/petroleo-fechamento-25-08-2023/?utm_source=twitter&amp;utm_medium=organic&amp;utm_campaign=&amp;utm_content=materia")</f>
        <v>https://einvestidor.estadao.com.br/ultimas/petroleo-fechamento-25-08-2023/?utm_source=twitter&amp;utm_medium=organic&amp;utm_campaign=&amp;utm_content=materia</v>
      </c>
      <c r="Y2117" s="77" t="s">
        <v>6470</v>
      </c>
      <c r="Z2117" s="77"/>
      <c r="AA2117" s="77"/>
      <c r="AB2117" s="77"/>
      <c r="AC2117" s="82" t="s">
        <v>7750</v>
      </c>
      <c r="AD2117" s="77" t="s">
        <v>7788</v>
      </c>
      <c r="AE2117" s="80" t="str">
        <f>HYPERLINK("https://twitter.com/einvestidor/status/1695198114016285162")</f>
        <v>https://twitter.com/einvestidor/status/1695198114016285162</v>
      </c>
      <c r="AF2117" s="79">
        <v>45163.927083333336</v>
      </c>
      <c r="AG2117" s="85">
        <v>45163</v>
      </c>
      <c r="AH2117" s="82" t="s">
        <v>9576</v>
      </c>
      <c r="AI2117" s="77" t="b">
        <v>0</v>
      </c>
      <c r="AJ2117" s="77"/>
      <c r="AK2117" s="77"/>
      <c r="AL2117" s="77"/>
      <c r="AM2117" s="77"/>
      <c r="AN2117" s="77"/>
      <c r="AO2117" s="77"/>
      <c r="AP2117" s="77"/>
      <c r="AQ2117" s="77"/>
      <c r="AR2117" s="77"/>
      <c r="AS2117" s="77"/>
      <c r="AT2117" s="77"/>
      <c r="AU2117" s="77"/>
      <c r="AV2117" s="80" t="str">
        <f>HYPERLINK("https://pbs.twimg.com/profile_images/1241147984924082183/gZgx_hL-_normal.jpg")</f>
        <v>https://pbs.twimg.com/profile_images/1241147984924082183/gZgx_hL-_normal.jpg</v>
      </c>
      <c r="AW2117" s="82" t="s">
        <v>13713</v>
      </c>
      <c r="AX2117" s="82" t="s">
        <v>13713</v>
      </c>
      <c r="AY2117" s="77"/>
      <c r="AZ2117" s="82" t="s">
        <v>15984</v>
      </c>
      <c r="BA2117" s="82" t="s">
        <v>15984</v>
      </c>
      <c r="BB2117" s="82" t="s">
        <v>15984</v>
      </c>
      <c r="BC2117" s="82" t="s">
        <v>13713</v>
      </c>
      <c r="BD2117" s="82" t="s">
        <v>15979</v>
      </c>
      <c r="BE2117" s="77"/>
      <c r="BF2117" s="77"/>
      <c r="BG2117" s="77"/>
      <c r="BH2117" s="77"/>
      <c r="BI2117" s="77"/>
    </row>
    <row r="2118" spans="1:61" x14ac:dyDescent="0.25">
      <c r="A2118" s="62" t="s">
        <v>387</v>
      </c>
      <c r="B2118" s="62" t="s">
        <v>387</v>
      </c>
      <c r="C2118" s="63"/>
      <c r="D2118" s="64"/>
      <c r="E2118" s="65"/>
      <c r="F2118" s="66"/>
      <c r="G2118" s="63"/>
      <c r="H2118" s="67"/>
      <c r="I2118" s="68"/>
      <c r="J2118" s="68"/>
      <c r="K2118" s="32"/>
      <c r="L2118" s="75">
        <v>2118</v>
      </c>
      <c r="M2118" s="75"/>
      <c r="N2118" s="70"/>
      <c r="O2118" s="77" t="s">
        <v>179</v>
      </c>
      <c r="P2118" s="79">
        <v>45161</v>
      </c>
      <c r="Q2118" s="77" t="s">
        <v>2790</v>
      </c>
      <c r="R2118" s="77">
        <v>0</v>
      </c>
      <c r="S2118" s="77">
        <v>0</v>
      </c>
      <c r="T2118" s="77">
        <v>0</v>
      </c>
      <c r="U2118" s="77">
        <v>0</v>
      </c>
      <c r="V2118" s="77">
        <v>650</v>
      </c>
      <c r="W2118" s="82" t="s">
        <v>4833</v>
      </c>
      <c r="X2118" s="80" t="str">
        <f>HYPERLINK("https://mla.bs/d77b24fb")</f>
        <v>https://mla.bs/d77b24fb</v>
      </c>
      <c r="Y2118" s="77" t="s">
        <v>6506</v>
      </c>
      <c r="Z2118" s="77"/>
      <c r="AA2118" s="77"/>
      <c r="AB2118" s="77"/>
      <c r="AC2118" s="82" t="s">
        <v>7750</v>
      </c>
      <c r="AD2118" s="77" t="s">
        <v>7788</v>
      </c>
      <c r="AE2118" s="80" t="str">
        <f>HYPERLINK("https://twitter.com/einvestidor/status/1694137374006013979")</f>
        <v>https://twitter.com/einvestidor/status/1694137374006013979</v>
      </c>
      <c r="AF2118" s="79">
        <v>45161</v>
      </c>
      <c r="AG2118" s="85">
        <v>45161</v>
      </c>
      <c r="AH2118" s="82" t="s">
        <v>9300</v>
      </c>
      <c r="AI2118" s="77" t="b">
        <v>0</v>
      </c>
      <c r="AJ2118" s="77"/>
      <c r="AK2118" s="77"/>
      <c r="AL2118" s="77"/>
      <c r="AM2118" s="77"/>
      <c r="AN2118" s="77"/>
      <c r="AO2118" s="77"/>
      <c r="AP2118" s="77"/>
      <c r="AQ2118" s="77"/>
      <c r="AR2118" s="77"/>
      <c r="AS2118" s="77"/>
      <c r="AT2118" s="77"/>
      <c r="AU2118" s="77"/>
      <c r="AV2118" s="80" t="str">
        <f>HYPERLINK("https://pbs.twimg.com/profile_images/1241147984924082183/gZgx_hL-_normal.jpg")</f>
        <v>https://pbs.twimg.com/profile_images/1241147984924082183/gZgx_hL-_normal.jpg</v>
      </c>
      <c r="AW2118" s="82" t="s">
        <v>13714</v>
      </c>
      <c r="AX2118" s="82" t="s">
        <v>13714</v>
      </c>
      <c r="AY2118" s="77"/>
      <c r="AZ2118" s="82" t="s">
        <v>15984</v>
      </c>
      <c r="BA2118" s="82" t="s">
        <v>15984</v>
      </c>
      <c r="BB2118" s="82" t="s">
        <v>15984</v>
      </c>
      <c r="BC2118" s="82" t="s">
        <v>13714</v>
      </c>
      <c r="BD2118" s="82" t="s">
        <v>15979</v>
      </c>
      <c r="BE2118" s="77"/>
      <c r="BF2118" s="77"/>
      <c r="BG2118" s="77"/>
      <c r="BH2118" s="77"/>
      <c r="BI2118" s="77"/>
    </row>
    <row r="2119" spans="1:61" x14ac:dyDescent="0.25">
      <c r="A2119" s="62" t="s">
        <v>387</v>
      </c>
      <c r="B2119" s="62" t="s">
        <v>387</v>
      </c>
      <c r="C2119" s="63"/>
      <c r="D2119" s="64"/>
      <c r="E2119" s="65"/>
      <c r="F2119" s="66"/>
      <c r="G2119" s="63"/>
      <c r="H2119" s="67"/>
      <c r="I2119" s="68"/>
      <c r="J2119" s="68"/>
      <c r="K2119" s="32"/>
      <c r="L2119" s="75">
        <v>2119</v>
      </c>
      <c r="M2119" s="75"/>
      <c r="N2119" s="70"/>
      <c r="O2119" s="77" t="s">
        <v>179</v>
      </c>
      <c r="P2119" s="79">
        <v>45156.885416666664</v>
      </c>
      <c r="Q2119" s="77" t="s">
        <v>2791</v>
      </c>
      <c r="R2119" s="77">
        <v>0</v>
      </c>
      <c r="S2119" s="77">
        <v>3</v>
      </c>
      <c r="T2119" s="77">
        <v>0</v>
      </c>
      <c r="U2119" s="77">
        <v>0</v>
      </c>
      <c r="V2119" s="77">
        <v>725</v>
      </c>
      <c r="W2119" s="82" t="s">
        <v>4833</v>
      </c>
      <c r="X2119" s="80" t="str">
        <f>HYPERLINK("https://mla.bs/9e6e2028")</f>
        <v>https://mla.bs/9e6e2028</v>
      </c>
      <c r="Y2119" s="77" t="s">
        <v>6506</v>
      </c>
      <c r="Z2119" s="77"/>
      <c r="AA2119" s="77"/>
      <c r="AB2119" s="77"/>
      <c r="AC2119" s="82" t="s">
        <v>7750</v>
      </c>
      <c r="AD2119" s="77" t="s">
        <v>7788</v>
      </c>
      <c r="AE2119" s="80" t="str">
        <f>HYPERLINK("https://twitter.com/einvestidor/status/1692646299307548965")</f>
        <v>https://twitter.com/einvestidor/status/1692646299307548965</v>
      </c>
      <c r="AF2119" s="79">
        <v>45156.885416666664</v>
      </c>
      <c r="AG2119" s="85">
        <v>45156</v>
      </c>
      <c r="AH2119" s="82" t="s">
        <v>8206</v>
      </c>
      <c r="AI2119" s="77" t="b">
        <v>0</v>
      </c>
      <c r="AJ2119" s="77"/>
      <c r="AK2119" s="77"/>
      <c r="AL2119" s="77"/>
      <c r="AM2119" s="77"/>
      <c r="AN2119" s="77"/>
      <c r="AO2119" s="77"/>
      <c r="AP2119" s="77"/>
      <c r="AQ2119" s="77"/>
      <c r="AR2119" s="77"/>
      <c r="AS2119" s="77"/>
      <c r="AT2119" s="77"/>
      <c r="AU2119" s="77"/>
      <c r="AV2119" s="80" t="str">
        <f>HYPERLINK("https://pbs.twimg.com/profile_images/1241147984924082183/gZgx_hL-_normal.jpg")</f>
        <v>https://pbs.twimg.com/profile_images/1241147984924082183/gZgx_hL-_normal.jpg</v>
      </c>
      <c r="AW2119" s="82" t="s">
        <v>13715</v>
      </c>
      <c r="AX2119" s="82" t="s">
        <v>13715</v>
      </c>
      <c r="AY2119" s="77"/>
      <c r="AZ2119" s="82" t="s">
        <v>15984</v>
      </c>
      <c r="BA2119" s="82" t="s">
        <v>15984</v>
      </c>
      <c r="BB2119" s="82" t="s">
        <v>15984</v>
      </c>
      <c r="BC2119" s="82" t="s">
        <v>13715</v>
      </c>
      <c r="BD2119" s="82" t="s">
        <v>15979</v>
      </c>
      <c r="BE2119" s="77"/>
      <c r="BF2119" s="77"/>
      <c r="BG2119" s="77"/>
      <c r="BH2119" s="77"/>
      <c r="BI2119" s="77"/>
    </row>
    <row r="2120" spans="1:61" x14ac:dyDescent="0.25">
      <c r="A2120" s="62" t="s">
        <v>387</v>
      </c>
      <c r="B2120" s="62" t="s">
        <v>387</v>
      </c>
      <c r="C2120" s="63"/>
      <c r="D2120" s="64"/>
      <c r="E2120" s="65"/>
      <c r="F2120" s="66"/>
      <c r="G2120" s="63"/>
      <c r="H2120" s="67"/>
      <c r="I2120" s="68"/>
      <c r="J2120" s="68"/>
      <c r="K2120" s="32"/>
      <c r="L2120" s="75">
        <v>2120</v>
      </c>
      <c r="M2120" s="75"/>
      <c r="N2120" s="70"/>
      <c r="O2120" s="77" t="s">
        <v>179</v>
      </c>
      <c r="P2120" s="79">
        <v>45156.864583333336</v>
      </c>
      <c r="Q2120" s="77" t="s">
        <v>2792</v>
      </c>
      <c r="R2120" s="77">
        <v>1</v>
      </c>
      <c r="S2120" s="77">
        <v>1</v>
      </c>
      <c r="T2120" s="77">
        <v>0</v>
      </c>
      <c r="U2120" s="77">
        <v>0</v>
      </c>
      <c r="V2120" s="77">
        <v>685</v>
      </c>
      <c r="W2120" s="82" t="s">
        <v>5907</v>
      </c>
      <c r="X2120" s="80" t="str">
        <f>HYPERLINK("https://mla.bs/38d23b3c")</f>
        <v>https://mla.bs/38d23b3c</v>
      </c>
      <c r="Y2120" s="77" t="s">
        <v>6506</v>
      </c>
      <c r="Z2120" s="77"/>
      <c r="AA2120" s="77"/>
      <c r="AB2120" s="77"/>
      <c r="AC2120" s="82" t="s">
        <v>7750</v>
      </c>
      <c r="AD2120" s="77" t="s">
        <v>7788</v>
      </c>
      <c r="AE2120" s="80" t="str">
        <f>HYPERLINK("https://twitter.com/einvestidor/status/1692638749312627131")</f>
        <v>https://twitter.com/einvestidor/status/1692638749312627131</v>
      </c>
      <c r="AF2120" s="79">
        <v>45156.864583333336</v>
      </c>
      <c r="AG2120" s="85">
        <v>45156</v>
      </c>
      <c r="AH2120" s="82" t="s">
        <v>9596</v>
      </c>
      <c r="AI2120" s="77" t="b">
        <v>0</v>
      </c>
      <c r="AJ2120" s="77"/>
      <c r="AK2120" s="77"/>
      <c r="AL2120" s="77"/>
      <c r="AM2120" s="77"/>
      <c r="AN2120" s="77"/>
      <c r="AO2120" s="77"/>
      <c r="AP2120" s="77"/>
      <c r="AQ2120" s="77"/>
      <c r="AR2120" s="77"/>
      <c r="AS2120" s="77"/>
      <c r="AT2120" s="77"/>
      <c r="AU2120" s="77"/>
      <c r="AV2120" s="80" t="str">
        <f>HYPERLINK("https://pbs.twimg.com/profile_images/1241147984924082183/gZgx_hL-_normal.jpg")</f>
        <v>https://pbs.twimg.com/profile_images/1241147984924082183/gZgx_hL-_normal.jpg</v>
      </c>
      <c r="AW2120" s="82" t="s">
        <v>13716</v>
      </c>
      <c r="AX2120" s="82" t="s">
        <v>13716</v>
      </c>
      <c r="AY2120" s="77"/>
      <c r="AZ2120" s="82" t="s">
        <v>15984</v>
      </c>
      <c r="BA2120" s="82" t="s">
        <v>15984</v>
      </c>
      <c r="BB2120" s="82" t="s">
        <v>15984</v>
      </c>
      <c r="BC2120" s="82" t="s">
        <v>13716</v>
      </c>
      <c r="BD2120" s="82" t="s">
        <v>15979</v>
      </c>
      <c r="BE2120" s="77"/>
      <c r="BF2120" s="77"/>
      <c r="BG2120" s="77"/>
      <c r="BH2120" s="77"/>
      <c r="BI2120" s="77"/>
    </row>
    <row r="2121" spans="1:61" x14ac:dyDescent="0.25">
      <c r="A2121" s="62" t="s">
        <v>387</v>
      </c>
      <c r="B2121" s="62" t="s">
        <v>387</v>
      </c>
      <c r="C2121" s="63"/>
      <c r="D2121" s="64"/>
      <c r="E2121" s="65"/>
      <c r="F2121" s="66"/>
      <c r="G2121" s="63"/>
      <c r="H2121" s="67"/>
      <c r="I2121" s="68"/>
      <c r="J2121" s="68"/>
      <c r="K2121" s="32"/>
      <c r="L2121" s="75">
        <v>2121</v>
      </c>
      <c r="M2121" s="75"/>
      <c r="N2121" s="70"/>
      <c r="O2121" s="77" t="s">
        <v>179</v>
      </c>
      <c r="P2121" s="79">
        <v>45156.854166666664</v>
      </c>
      <c r="Q2121" s="77" t="s">
        <v>2793</v>
      </c>
      <c r="R2121" s="77">
        <v>0</v>
      </c>
      <c r="S2121" s="77">
        <v>0</v>
      </c>
      <c r="T2121" s="77">
        <v>0</v>
      </c>
      <c r="U2121" s="77">
        <v>0</v>
      </c>
      <c r="V2121" s="77">
        <v>548</v>
      </c>
      <c r="W2121" s="82" t="s">
        <v>5908</v>
      </c>
      <c r="X2121" s="80" t="str">
        <f>HYPERLINK("https://mla.bs/c543fb07")</f>
        <v>https://mla.bs/c543fb07</v>
      </c>
      <c r="Y2121" s="77" t="s">
        <v>6506</v>
      </c>
      <c r="Z2121" s="77"/>
      <c r="AA2121" s="77"/>
      <c r="AB2121" s="77"/>
      <c r="AC2121" s="82" t="s">
        <v>7750</v>
      </c>
      <c r="AD2121" s="77" t="s">
        <v>7788</v>
      </c>
      <c r="AE2121" s="80" t="str">
        <f>HYPERLINK("https://twitter.com/einvestidor/status/1692634974808121501")</f>
        <v>https://twitter.com/einvestidor/status/1692634974808121501</v>
      </c>
      <c r="AF2121" s="79">
        <v>45156.854166666664</v>
      </c>
      <c r="AG2121" s="85">
        <v>45156</v>
      </c>
      <c r="AH2121" s="82" t="s">
        <v>8090</v>
      </c>
      <c r="AI2121" s="77" t="b">
        <v>0</v>
      </c>
      <c r="AJ2121" s="77"/>
      <c r="AK2121" s="77"/>
      <c r="AL2121" s="77"/>
      <c r="AM2121" s="77"/>
      <c r="AN2121" s="77"/>
      <c r="AO2121" s="77"/>
      <c r="AP2121" s="77"/>
      <c r="AQ2121" s="77"/>
      <c r="AR2121" s="77"/>
      <c r="AS2121" s="77"/>
      <c r="AT2121" s="77"/>
      <c r="AU2121" s="77"/>
      <c r="AV2121" s="80" t="str">
        <f>HYPERLINK("https://pbs.twimg.com/profile_images/1241147984924082183/gZgx_hL-_normal.jpg")</f>
        <v>https://pbs.twimg.com/profile_images/1241147984924082183/gZgx_hL-_normal.jpg</v>
      </c>
      <c r="AW2121" s="82" t="s">
        <v>13717</v>
      </c>
      <c r="AX2121" s="82" t="s">
        <v>13717</v>
      </c>
      <c r="AY2121" s="77"/>
      <c r="AZ2121" s="82" t="s">
        <v>15984</v>
      </c>
      <c r="BA2121" s="82" t="s">
        <v>15984</v>
      </c>
      <c r="BB2121" s="82" t="s">
        <v>15984</v>
      </c>
      <c r="BC2121" s="82" t="s">
        <v>13717</v>
      </c>
      <c r="BD2121" s="82" t="s">
        <v>15979</v>
      </c>
      <c r="BE2121" s="77"/>
      <c r="BF2121" s="77"/>
      <c r="BG2121" s="77"/>
      <c r="BH2121" s="77"/>
      <c r="BI2121" s="77"/>
    </row>
    <row r="2122" spans="1:61" x14ac:dyDescent="0.25">
      <c r="A2122" s="62" t="s">
        <v>387</v>
      </c>
      <c r="B2122" s="62" t="s">
        <v>387</v>
      </c>
      <c r="C2122" s="63"/>
      <c r="D2122" s="64"/>
      <c r="E2122" s="65"/>
      <c r="F2122" s="66"/>
      <c r="G2122" s="63"/>
      <c r="H2122" s="67"/>
      <c r="I2122" s="68"/>
      <c r="J2122" s="68"/>
      <c r="K2122" s="32"/>
      <c r="L2122" s="75">
        <v>2122</v>
      </c>
      <c r="M2122" s="75"/>
      <c r="N2122" s="70"/>
      <c r="O2122" s="77" t="s">
        <v>179</v>
      </c>
      <c r="P2122" s="79">
        <v>45155.725810185184</v>
      </c>
      <c r="Q2122" s="77" t="s">
        <v>2794</v>
      </c>
      <c r="R2122" s="77">
        <v>0</v>
      </c>
      <c r="S2122" s="77">
        <v>0</v>
      </c>
      <c r="T2122" s="77">
        <v>0</v>
      </c>
      <c r="U2122" s="77">
        <v>0</v>
      </c>
      <c r="V2122" s="77">
        <v>415</v>
      </c>
      <c r="W2122" s="82" t="s">
        <v>4833</v>
      </c>
      <c r="X2122" s="80" t="str">
        <f>HYPERLINK("https://mla.bs/d6c1fa31")</f>
        <v>https://mla.bs/d6c1fa31</v>
      </c>
      <c r="Y2122" s="77" t="s">
        <v>6506</v>
      </c>
      <c r="Z2122" s="77"/>
      <c r="AA2122" s="77"/>
      <c r="AB2122" s="77"/>
      <c r="AC2122" s="82" t="s">
        <v>7750</v>
      </c>
      <c r="AD2122" s="77" t="s">
        <v>7788</v>
      </c>
      <c r="AE2122" s="80" t="str">
        <f>HYPERLINK("https://twitter.com/einvestidor/status/1692226073130332604")</f>
        <v>https://twitter.com/einvestidor/status/1692226073130332604</v>
      </c>
      <c r="AF2122" s="79">
        <v>45155.725810185184</v>
      </c>
      <c r="AG2122" s="85">
        <v>45155</v>
      </c>
      <c r="AH2122" s="82" t="s">
        <v>9597</v>
      </c>
      <c r="AI2122" s="77" t="b">
        <v>0</v>
      </c>
      <c r="AJ2122" s="77"/>
      <c r="AK2122" s="77"/>
      <c r="AL2122" s="77"/>
      <c r="AM2122" s="77"/>
      <c r="AN2122" s="77"/>
      <c r="AO2122" s="77"/>
      <c r="AP2122" s="77"/>
      <c r="AQ2122" s="77"/>
      <c r="AR2122" s="77"/>
      <c r="AS2122" s="77"/>
      <c r="AT2122" s="77"/>
      <c r="AU2122" s="77"/>
      <c r="AV2122" s="80" t="str">
        <f>HYPERLINK("https://pbs.twimg.com/profile_images/1241147984924082183/gZgx_hL-_normal.jpg")</f>
        <v>https://pbs.twimg.com/profile_images/1241147984924082183/gZgx_hL-_normal.jpg</v>
      </c>
      <c r="AW2122" s="82" t="s">
        <v>13718</v>
      </c>
      <c r="AX2122" s="82" t="s">
        <v>13718</v>
      </c>
      <c r="AY2122" s="77"/>
      <c r="AZ2122" s="82" t="s">
        <v>15984</v>
      </c>
      <c r="BA2122" s="82" t="s">
        <v>15984</v>
      </c>
      <c r="BB2122" s="82" t="s">
        <v>15984</v>
      </c>
      <c r="BC2122" s="82" t="s">
        <v>13718</v>
      </c>
      <c r="BD2122" s="82" t="s">
        <v>15979</v>
      </c>
      <c r="BE2122" s="77"/>
      <c r="BF2122" s="77"/>
      <c r="BG2122" s="77"/>
      <c r="BH2122" s="77"/>
      <c r="BI2122" s="77"/>
    </row>
    <row r="2123" spans="1:61" x14ac:dyDescent="0.25">
      <c r="A2123" s="62" t="s">
        <v>387</v>
      </c>
      <c r="B2123" s="62" t="s">
        <v>387</v>
      </c>
      <c r="C2123" s="63"/>
      <c r="D2123" s="64"/>
      <c r="E2123" s="65"/>
      <c r="F2123" s="66"/>
      <c r="G2123" s="63"/>
      <c r="H2123" s="67"/>
      <c r="I2123" s="68"/>
      <c r="J2123" s="68"/>
      <c r="K2123" s="32"/>
      <c r="L2123" s="75">
        <v>2123</v>
      </c>
      <c r="M2123" s="75"/>
      <c r="N2123" s="70"/>
      <c r="O2123" s="77" t="s">
        <v>179</v>
      </c>
      <c r="P2123" s="79">
        <v>45152.916666666664</v>
      </c>
      <c r="Q2123" s="77" t="s">
        <v>2795</v>
      </c>
      <c r="R2123" s="77">
        <v>0</v>
      </c>
      <c r="S2123" s="77">
        <v>0</v>
      </c>
      <c r="T2123" s="77">
        <v>0</v>
      </c>
      <c r="U2123" s="77">
        <v>0</v>
      </c>
      <c r="V2123" s="77">
        <v>493</v>
      </c>
      <c r="W2123" s="82" t="s">
        <v>4833</v>
      </c>
      <c r="X2123" s="80" t="str">
        <f>HYPERLINK("https://mla.bs/29b6bf03")</f>
        <v>https://mla.bs/29b6bf03</v>
      </c>
      <c r="Y2123" s="77" t="s">
        <v>6506</v>
      </c>
      <c r="Z2123" s="77"/>
      <c r="AA2123" s="77"/>
      <c r="AB2123" s="77"/>
      <c r="AC2123" s="82" t="s">
        <v>7754</v>
      </c>
      <c r="AD2123" s="77" t="s">
        <v>7788</v>
      </c>
      <c r="AE2123" s="80" t="str">
        <f>HYPERLINK("https://twitter.com/einvestidor/status/1691208073581359104")</f>
        <v>https://twitter.com/einvestidor/status/1691208073581359104</v>
      </c>
      <c r="AF2123" s="79">
        <v>45152.916666666664</v>
      </c>
      <c r="AG2123" s="85">
        <v>45152</v>
      </c>
      <c r="AH2123" s="82" t="s">
        <v>9577</v>
      </c>
      <c r="AI2123" s="77" t="b">
        <v>0</v>
      </c>
      <c r="AJ2123" s="77"/>
      <c r="AK2123" s="77"/>
      <c r="AL2123" s="77"/>
      <c r="AM2123" s="77"/>
      <c r="AN2123" s="77"/>
      <c r="AO2123" s="77"/>
      <c r="AP2123" s="77"/>
      <c r="AQ2123" s="77"/>
      <c r="AR2123" s="77"/>
      <c r="AS2123" s="77"/>
      <c r="AT2123" s="77"/>
      <c r="AU2123" s="77"/>
      <c r="AV2123" s="80" t="str">
        <f>HYPERLINK("https://pbs.twimg.com/profile_images/1241147984924082183/gZgx_hL-_normal.jpg")</f>
        <v>https://pbs.twimg.com/profile_images/1241147984924082183/gZgx_hL-_normal.jpg</v>
      </c>
      <c r="AW2123" s="82" t="s">
        <v>13719</v>
      </c>
      <c r="AX2123" s="82" t="s">
        <v>13719</v>
      </c>
      <c r="AY2123" s="77"/>
      <c r="AZ2123" s="82" t="s">
        <v>15984</v>
      </c>
      <c r="BA2123" s="82" t="s">
        <v>15984</v>
      </c>
      <c r="BB2123" s="82" t="s">
        <v>15984</v>
      </c>
      <c r="BC2123" s="82" t="s">
        <v>13719</v>
      </c>
      <c r="BD2123" s="82" t="s">
        <v>15979</v>
      </c>
      <c r="BE2123" s="77"/>
      <c r="BF2123" s="77"/>
      <c r="BG2123" s="77"/>
      <c r="BH2123" s="77"/>
      <c r="BI2123" s="77"/>
    </row>
    <row r="2124" spans="1:61" x14ac:dyDescent="0.25">
      <c r="A2124" s="62" t="s">
        <v>387</v>
      </c>
      <c r="B2124" s="62" t="s">
        <v>387</v>
      </c>
      <c r="C2124" s="63"/>
      <c r="D2124" s="64"/>
      <c r="E2124" s="65"/>
      <c r="F2124" s="66"/>
      <c r="G2124" s="63"/>
      <c r="H2124" s="67"/>
      <c r="I2124" s="68"/>
      <c r="J2124" s="68"/>
      <c r="K2124" s="32"/>
      <c r="L2124" s="75">
        <v>2124</v>
      </c>
      <c r="M2124" s="75"/>
      <c r="N2124" s="70"/>
      <c r="O2124" s="77" t="s">
        <v>179</v>
      </c>
      <c r="P2124" s="79">
        <v>45152.912939814814</v>
      </c>
      <c r="Q2124" s="77" t="s">
        <v>2796</v>
      </c>
      <c r="R2124" s="77">
        <v>0</v>
      </c>
      <c r="S2124" s="77">
        <v>1</v>
      </c>
      <c r="T2124" s="77">
        <v>0</v>
      </c>
      <c r="U2124" s="77">
        <v>0</v>
      </c>
      <c r="V2124" s="77">
        <v>572</v>
      </c>
      <c r="W2124" s="82" t="s">
        <v>4833</v>
      </c>
      <c r="X2124" s="80" t="str">
        <f>HYPERLINK("https://mla.bs/1ecc21b0")</f>
        <v>https://mla.bs/1ecc21b0</v>
      </c>
      <c r="Y2124" s="77" t="s">
        <v>6506</v>
      </c>
      <c r="Z2124" s="77"/>
      <c r="AA2124" s="77"/>
      <c r="AB2124" s="77"/>
      <c r="AC2124" s="82" t="s">
        <v>7754</v>
      </c>
      <c r="AD2124" s="77" t="s">
        <v>7788</v>
      </c>
      <c r="AE2124" s="80" t="str">
        <f>HYPERLINK("https://twitter.com/einvestidor/status/1691206722784804864")</f>
        <v>https://twitter.com/einvestidor/status/1691206722784804864</v>
      </c>
      <c r="AF2124" s="79">
        <v>45152.912939814814</v>
      </c>
      <c r="AG2124" s="85">
        <v>45152</v>
      </c>
      <c r="AH2124" s="82" t="s">
        <v>9598</v>
      </c>
      <c r="AI2124" s="77" t="b">
        <v>0</v>
      </c>
      <c r="AJ2124" s="77"/>
      <c r="AK2124" s="77"/>
      <c r="AL2124" s="77"/>
      <c r="AM2124" s="77"/>
      <c r="AN2124" s="77"/>
      <c r="AO2124" s="77"/>
      <c r="AP2124" s="77"/>
      <c r="AQ2124" s="77"/>
      <c r="AR2124" s="77"/>
      <c r="AS2124" s="77"/>
      <c r="AT2124" s="77"/>
      <c r="AU2124" s="77"/>
      <c r="AV2124" s="80" t="str">
        <f>HYPERLINK("https://pbs.twimg.com/profile_images/1241147984924082183/gZgx_hL-_normal.jpg")</f>
        <v>https://pbs.twimg.com/profile_images/1241147984924082183/gZgx_hL-_normal.jpg</v>
      </c>
      <c r="AW2124" s="82" t="s">
        <v>13720</v>
      </c>
      <c r="AX2124" s="82" t="s">
        <v>13720</v>
      </c>
      <c r="AY2124" s="77"/>
      <c r="AZ2124" s="82" t="s">
        <v>15984</v>
      </c>
      <c r="BA2124" s="82" t="s">
        <v>15984</v>
      </c>
      <c r="BB2124" s="82" t="s">
        <v>15984</v>
      </c>
      <c r="BC2124" s="82" t="s">
        <v>13720</v>
      </c>
      <c r="BD2124" s="82" t="s">
        <v>15979</v>
      </c>
      <c r="BE2124" s="77"/>
      <c r="BF2124" s="77"/>
      <c r="BG2124" s="77"/>
      <c r="BH2124" s="77"/>
      <c r="BI2124" s="77"/>
    </row>
    <row r="2125" spans="1:61" x14ac:dyDescent="0.25">
      <c r="A2125" s="62" t="s">
        <v>387</v>
      </c>
      <c r="B2125" s="62" t="s">
        <v>387</v>
      </c>
      <c r="C2125" s="63"/>
      <c r="D2125" s="64"/>
      <c r="E2125" s="65"/>
      <c r="F2125" s="66"/>
      <c r="G2125" s="63"/>
      <c r="H2125" s="67"/>
      <c r="I2125" s="68"/>
      <c r="J2125" s="68"/>
      <c r="K2125" s="32"/>
      <c r="L2125" s="75">
        <v>2125</v>
      </c>
      <c r="M2125" s="75"/>
      <c r="N2125" s="70"/>
      <c r="O2125" s="77" t="s">
        <v>179</v>
      </c>
      <c r="P2125" s="79">
        <v>45149.072916666664</v>
      </c>
      <c r="Q2125" s="77" t="s">
        <v>2797</v>
      </c>
      <c r="R2125" s="77">
        <v>1</v>
      </c>
      <c r="S2125" s="77">
        <v>1</v>
      </c>
      <c r="T2125" s="77">
        <v>0</v>
      </c>
      <c r="U2125" s="77">
        <v>0</v>
      </c>
      <c r="V2125" s="77">
        <v>720</v>
      </c>
      <c r="W2125" s="82" t="s">
        <v>4833</v>
      </c>
      <c r="X2125" s="80" t="str">
        <f>HYPERLINK("https://mla.bs/b81fa9b9")</f>
        <v>https://mla.bs/b81fa9b9</v>
      </c>
      <c r="Y2125" s="77" t="s">
        <v>6506</v>
      </c>
      <c r="Z2125" s="77"/>
      <c r="AA2125" s="77"/>
      <c r="AB2125" s="77"/>
      <c r="AC2125" s="82" t="s">
        <v>7754</v>
      </c>
      <c r="AD2125" s="77" t="s">
        <v>7788</v>
      </c>
      <c r="AE2125" s="80" t="str">
        <f>HYPERLINK("https://twitter.com/einvestidor/status/1689815143864000512")</f>
        <v>https://twitter.com/einvestidor/status/1689815143864000512</v>
      </c>
      <c r="AF2125" s="79">
        <v>45149.072916666664</v>
      </c>
      <c r="AG2125" s="85">
        <v>45149</v>
      </c>
      <c r="AH2125" s="82" t="s">
        <v>9599</v>
      </c>
      <c r="AI2125" s="77" t="b">
        <v>0</v>
      </c>
      <c r="AJ2125" s="77"/>
      <c r="AK2125" s="77"/>
      <c r="AL2125" s="77"/>
      <c r="AM2125" s="77"/>
      <c r="AN2125" s="77"/>
      <c r="AO2125" s="77"/>
      <c r="AP2125" s="77"/>
      <c r="AQ2125" s="77"/>
      <c r="AR2125" s="77"/>
      <c r="AS2125" s="77"/>
      <c r="AT2125" s="77"/>
      <c r="AU2125" s="77"/>
      <c r="AV2125" s="80" t="str">
        <f>HYPERLINK("https://pbs.twimg.com/profile_images/1241147984924082183/gZgx_hL-_normal.jpg")</f>
        <v>https://pbs.twimg.com/profile_images/1241147984924082183/gZgx_hL-_normal.jpg</v>
      </c>
      <c r="AW2125" s="82" t="s">
        <v>13721</v>
      </c>
      <c r="AX2125" s="82" t="s">
        <v>13721</v>
      </c>
      <c r="AY2125" s="77"/>
      <c r="AZ2125" s="82" t="s">
        <v>15984</v>
      </c>
      <c r="BA2125" s="82" t="s">
        <v>15984</v>
      </c>
      <c r="BB2125" s="82" t="s">
        <v>15984</v>
      </c>
      <c r="BC2125" s="82" t="s">
        <v>13721</v>
      </c>
      <c r="BD2125" s="82" t="s">
        <v>15979</v>
      </c>
      <c r="BE2125" s="77"/>
      <c r="BF2125" s="77"/>
      <c r="BG2125" s="77"/>
      <c r="BH2125" s="77"/>
      <c r="BI2125" s="77"/>
    </row>
    <row r="2126" spans="1:61" x14ac:dyDescent="0.25">
      <c r="A2126" s="62" t="s">
        <v>387</v>
      </c>
      <c r="B2126" s="62" t="s">
        <v>387</v>
      </c>
      <c r="C2126" s="63"/>
      <c r="D2126" s="64"/>
      <c r="E2126" s="65"/>
      <c r="F2126" s="66"/>
      <c r="G2126" s="63"/>
      <c r="H2126" s="67"/>
      <c r="I2126" s="68"/>
      <c r="J2126" s="68"/>
      <c r="K2126" s="32"/>
      <c r="L2126" s="75">
        <v>2126</v>
      </c>
      <c r="M2126" s="75"/>
      <c r="N2126" s="70"/>
      <c r="O2126" s="77" t="s">
        <v>179</v>
      </c>
      <c r="P2126" s="79">
        <v>45149.0625</v>
      </c>
      <c r="Q2126" s="77" t="s">
        <v>2798</v>
      </c>
      <c r="R2126" s="77">
        <v>0</v>
      </c>
      <c r="S2126" s="77">
        <v>3</v>
      </c>
      <c r="T2126" s="77">
        <v>0</v>
      </c>
      <c r="U2126" s="77">
        <v>0</v>
      </c>
      <c r="V2126" s="77">
        <v>1503</v>
      </c>
      <c r="W2126" s="82" t="s">
        <v>4833</v>
      </c>
      <c r="X2126" s="80" t="str">
        <f>HYPERLINK("https://mla.bs/0073163a")</f>
        <v>https://mla.bs/0073163a</v>
      </c>
      <c r="Y2126" s="77" t="s">
        <v>6506</v>
      </c>
      <c r="Z2126" s="77"/>
      <c r="AA2126" s="77"/>
      <c r="AB2126" s="77"/>
      <c r="AC2126" s="82" t="s">
        <v>7754</v>
      </c>
      <c r="AD2126" s="77" t="s">
        <v>7788</v>
      </c>
      <c r="AE2126" s="80" t="str">
        <f>HYPERLINK("https://twitter.com/einvestidor/status/1689811369892384768")</f>
        <v>https://twitter.com/einvestidor/status/1689811369892384768</v>
      </c>
      <c r="AF2126" s="79">
        <v>45149.0625</v>
      </c>
      <c r="AG2126" s="85">
        <v>45149</v>
      </c>
      <c r="AH2126" s="82" t="s">
        <v>9600</v>
      </c>
      <c r="AI2126" s="77" t="b">
        <v>0</v>
      </c>
      <c r="AJ2126" s="77"/>
      <c r="AK2126" s="77"/>
      <c r="AL2126" s="77"/>
      <c r="AM2126" s="77"/>
      <c r="AN2126" s="77"/>
      <c r="AO2126" s="77"/>
      <c r="AP2126" s="77"/>
      <c r="AQ2126" s="77"/>
      <c r="AR2126" s="77"/>
      <c r="AS2126" s="77"/>
      <c r="AT2126" s="77"/>
      <c r="AU2126" s="77"/>
      <c r="AV2126" s="80" t="str">
        <f>HYPERLINK("https://pbs.twimg.com/profile_images/1241147984924082183/gZgx_hL-_normal.jpg")</f>
        <v>https://pbs.twimg.com/profile_images/1241147984924082183/gZgx_hL-_normal.jpg</v>
      </c>
      <c r="AW2126" s="82" t="s">
        <v>13722</v>
      </c>
      <c r="AX2126" s="82" t="s">
        <v>13722</v>
      </c>
      <c r="AY2126" s="77"/>
      <c r="AZ2126" s="82" t="s">
        <v>15984</v>
      </c>
      <c r="BA2126" s="82" t="s">
        <v>15984</v>
      </c>
      <c r="BB2126" s="82" t="s">
        <v>15984</v>
      </c>
      <c r="BC2126" s="82" t="s">
        <v>13722</v>
      </c>
      <c r="BD2126" s="82" t="s">
        <v>15979</v>
      </c>
      <c r="BE2126" s="77"/>
      <c r="BF2126" s="77"/>
      <c r="BG2126" s="77"/>
      <c r="BH2126" s="77"/>
      <c r="BI2126" s="77"/>
    </row>
    <row r="2127" spans="1:61" x14ac:dyDescent="0.25">
      <c r="A2127" s="62" t="s">
        <v>387</v>
      </c>
      <c r="B2127" s="62" t="s">
        <v>387</v>
      </c>
      <c r="C2127" s="63"/>
      <c r="D2127" s="64"/>
      <c r="E2127" s="65"/>
      <c r="F2127" s="66"/>
      <c r="G2127" s="63"/>
      <c r="H2127" s="67"/>
      <c r="I2127" s="68"/>
      <c r="J2127" s="68"/>
      <c r="K2127" s="32"/>
      <c r="L2127" s="75">
        <v>2127</v>
      </c>
      <c r="M2127" s="75"/>
      <c r="N2127" s="70"/>
      <c r="O2127" s="77" t="s">
        <v>179</v>
      </c>
      <c r="P2127" s="79">
        <v>45149.052083333336</v>
      </c>
      <c r="Q2127" s="77" t="s">
        <v>2799</v>
      </c>
      <c r="R2127" s="77">
        <v>0</v>
      </c>
      <c r="S2127" s="77">
        <v>0</v>
      </c>
      <c r="T2127" s="77">
        <v>0</v>
      </c>
      <c r="U2127" s="77">
        <v>0</v>
      </c>
      <c r="V2127" s="77">
        <v>628</v>
      </c>
      <c r="W2127" s="82" t="s">
        <v>5909</v>
      </c>
      <c r="X2127" s="80" t="str">
        <f>HYPERLINK("https://mla.bs/2ae84c2f")</f>
        <v>https://mla.bs/2ae84c2f</v>
      </c>
      <c r="Y2127" s="77" t="s">
        <v>6506</v>
      </c>
      <c r="Z2127" s="77"/>
      <c r="AA2127" s="77"/>
      <c r="AB2127" s="77"/>
      <c r="AC2127" s="82" t="s">
        <v>7754</v>
      </c>
      <c r="AD2127" s="77" t="s">
        <v>7788</v>
      </c>
      <c r="AE2127" s="80" t="str">
        <f>HYPERLINK("https://twitter.com/einvestidor/status/1689807594125418496")</f>
        <v>https://twitter.com/einvestidor/status/1689807594125418496</v>
      </c>
      <c r="AF2127" s="79">
        <v>45149.052083333336</v>
      </c>
      <c r="AG2127" s="85">
        <v>45149</v>
      </c>
      <c r="AH2127" s="82" t="s">
        <v>9297</v>
      </c>
      <c r="AI2127" s="77" t="b">
        <v>0</v>
      </c>
      <c r="AJ2127" s="77"/>
      <c r="AK2127" s="77"/>
      <c r="AL2127" s="77"/>
      <c r="AM2127" s="77"/>
      <c r="AN2127" s="77"/>
      <c r="AO2127" s="77"/>
      <c r="AP2127" s="77"/>
      <c r="AQ2127" s="77"/>
      <c r="AR2127" s="77"/>
      <c r="AS2127" s="77"/>
      <c r="AT2127" s="77"/>
      <c r="AU2127" s="77"/>
      <c r="AV2127" s="80" t="str">
        <f>HYPERLINK("https://pbs.twimg.com/profile_images/1241147984924082183/gZgx_hL-_normal.jpg")</f>
        <v>https://pbs.twimg.com/profile_images/1241147984924082183/gZgx_hL-_normal.jpg</v>
      </c>
      <c r="AW2127" s="82" t="s">
        <v>13723</v>
      </c>
      <c r="AX2127" s="82" t="s">
        <v>13723</v>
      </c>
      <c r="AY2127" s="77"/>
      <c r="AZ2127" s="82" t="s">
        <v>15984</v>
      </c>
      <c r="BA2127" s="82" t="s">
        <v>15984</v>
      </c>
      <c r="BB2127" s="82" t="s">
        <v>15984</v>
      </c>
      <c r="BC2127" s="82" t="s">
        <v>13723</v>
      </c>
      <c r="BD2127" s="82" t="s">
        <v>15979</v>
      </c>
      <c r="BE2127" s="77"/>
      <c r="BF2127" s="77"/>
      <c r="BG2127" s="77"/>
      <c r="BH2127" s="77"/>
      <c r="BI2127" s="77"/>
    </row>
    <row r="2128" spans="1:61" x14ac:dyDescent="0.25">
      <c r="A2128" s="62" t="s">
        <v>387</v>
      </c>
      <c r="B2128" s="62" t="s">
        <v>387</v>
      </c>
      <c r="C2128" s="63"/>
      <c r="D2128" s="64"/>
      <c r="E2128" s="65"/>
      <c r="F2128" s="66"/>
      <c r="G2128" s="63"/>
      <c r="H2128" s="67"/>
      <c r="I2128" s="68"/>
      <c r="J2128" s="68"/>
      <c r="K2128" s="32"/>
      <c r="L2128" s="75">
        <v>2128</v>
      </c>
      <c r="M2128" s="75"/>
      <c r="N2128" s="70"/>
      <c r="O2128" s="77" t="s">
        <v>179</v>
      </c>
      <c r="P2128" s="79">
        <v>45149.041678240741</v>
      </c>
      <c r="Q2128" s="77" t="s">
        <v>2800</v>
      </c>
      <c r="R2128" s="77">
        <v>0</v>
      </c>
      <c r="S2128" s="77">
        <v>1</v>
      </c>
      <c r="T2128" s="77">
        <v>0</v>
      </c>
      <c r="U2128" s="77">
        <v>0</v>
      </c>
      <c r="V2128" s="77">
        <v>617</v>
      </c>
      <c r="W2128" s="82" t="s">
        <v>5910</v>
      </c>
      <c r="X2128" s="80" t="str">
        <f>HYPERLINK("https://mla.bs/f31ce89e")</f>
        <v>https://mla.bs/f31ce89e</v>
      </c>
      <c r="Y2128" s="77" t="s">
        <v>6506</v>
      </c>
      <c r="Z2128" s="77"/>
      <c r="AA2128" s="77"/>
      <c r="AB2128" s="77"/>
      <c r="AC2128" s="82" t="s">
        <v>7754</v>
      </c>
      <c r="AD2128" s="77" t="s">
        <v>7788</v>
      </c>
      <c r="AE2128" s="80" t="str">
        <f>HYPERLINK("https://twitter.com/einvestidor/status/1689803822812872706")</f>
        <v>https://twitter.com/einvestidor/status/1689803822812872706</v>
      </c>
      <c r="AF2128" s="79">
        <v>45149.041678240741</v>
      </c>
      <c r="AG2128" s="85">
        <v>45149</v>
      </c>
      <c r="AH2128" s="82" t="s">
        <v>9601</v>
      </c>
      <c r="AI2128" s="77" t="b">
        <v>0</v>
      </c>
      <c r="AJ2128" s="77"/>
      <c r="AK2128" s="77"/>
      <c r="AL2128" s="77"/>
      <c r="AM2128" s="77"/>
      <c r="AN2128" s="77"/>
      <c r="AO2128" s="77"/>
      <c r="AP2128" s="77"/>
      <c r="AQ2128" s="77"/>
      <c r="AR2128" s="77"/>
      <c r="AS2128" s="77"/>
      <c r="AT2128" s="77"/>
      <c r="AU2128" s="77"/>
      <c r="AV2128" s="80" t="str">
        <f>HYPERLINK("https://pbs.twimg.com/profile_images/1241147984924082183/gZgx_hL-_normal.jpg")</f>
        <v>https://pbs.twimg.com/profile_images/1241147984924082183/gZgx_hL-_normal.jpg</v>
      </c>
      <c r="AW2128" s="82" t="s">
        <v>13724</v>
      </c>
      <c r="AX2128" s="82" t="s">
        <v>13724</v>
      </c>
      <c r="AY2128" s="77"/>
      <c r="AZ2128" s="82" t="s">
        <v>15984</v>
      </c>
      <c r="BA2128" s="82" t="s">
        <v>15984</v>
      </c>
      <c r="BB2128" s="82" t="s">
        <v>15984</v>
      </c>
      <c r="BC2128" s="82" t="s">
        <v>13724</v>
      </c>
      <c r="BD2128" s="82" t="s">
        <v>15979</v>
      </c>
      <c r="BE2128" s="77"/>
      <c r="BF2128" s="77"/>
      <c r="BG2128" s="77"/>
      <c r="BH2128" s="77"/>
      <c r="BI2128" s="77"/>
    </row>
    <row r="2129" spans="1:61" x14ac:dyDescent="0.25">
      <c r="A2129" s="62" t="s">
        <v>387</v>
      </c>
      <c r="B2129" s="62" t="s">
        <v>387</v>
      </c>
      <c r="C2129" s="63"/>
      <c r="D2129" s="64"/>
      <c r="E2129" s="65"/>
      <c r="F2129" s="66"/>
      <c r="G2129" s="63"/>
      <c r="H2129" s="67"/>
      <c r="I2129" s="68"/>
      <c r="J2129" s="68"/>
      <c r="K2129" s="32"/>
      <c r="L2129" s="75">
        <v>2129</v>
      </c>
      <c r="M2129" s="75"/>
      <c r="N2129" s="70"/>
      <c r="O2129" s="77" t="s">
        <v>179</v>
      </c>
      <c r="P2129" s="79">
        <v>45149.03125</v>
      </c>
      <c r="Q2129" s="77" t="s">
        <v>2801</v>
      </c>
      <c r="R2129" s="77">
        <v>0</v>
      </c>
      <c r="S2129" s="77">
        <v>4</v>
      </c>
      <c r="T2129" s="77">
        <v>0</v>
      </c>
      <c r="U2129" s="77">
        <v>0</v>
      </c>
      <c r="V2129" s="77">
        <v>761</v>
      </c>
      <c r="W2129" s="82" t="s">
        <v>4833</v>
      </c>
      <c r="X2129" s="80" t="str">
        <f>HYPERLINK("https://mla.bs/8cf9f80c")</f>
        <v>https://mla.bs/8cf9f80c</v>
      </c>
      <c r="Y2129" s="77" t="s">
        <v>6506</v>
      </c>
      <c r="Z2129" s="77"/>
      <c r="AA2129" s="77"/>
      <c r="AB2129" s="77"/>
      <c r="AC2129" s="82" t="s">
        <v>7754</v>
      </c>
      <c r="AD2129" s="77" t="s">
        <v>7788</v>
      </c>
      <c r="AE2129" s="80" t="str">
        <f>HYPERLINK("https://twitter.com/einvestidor/status/1689800044386406400")</f>
        <v>https://twitter.com/einvestidor/status/1689800044386406400</v>
      </c>
      <c r="AF2129" s="79">
        <v>45149.03125</v>
      </c>
      <c r="AG2129" s="85">
        <v>45149</v>
      </c>
      <c r="AH2129" s="82" t="s">
        <v>9602</v>
      </c>
      <c r="AI2129" s="77" t="b">
        <v>0</v>
      </c>
      <c r="AJ2129" s="77"/>
      <c r="AK2129" s="77"/>
      <c r="AL2129" s="77"/>
      <c r="AM2129" s="77"/>
      <c r="AN2129" s="77"/>
      <c r="AO2129" s="77"/>
      <c r="AP2129" s="77"/>
      <c r="AQ2129" s="77"/>
      <c r="AR2129" s="77"/>
      <c r="AS2129" s="77"/>
      <c r="AT2129" s="77"/>
      <c r="AU2129" s="77"/>
      <c r="AV2129" s="80" t="str">
        <f>HYPERLINK("https://pbs.twimg.com/profile_images/1241147984924082183/gZgx_hL-_normal.jpg")</f>
        <v>https://pbs.twimg.com/profile_images/1241147984924082183/gZgx_hL-_normal.jpg</v>
      </c>
      <c r="AW2129" s="82" t="s">
        <v>13725</v>
      </c>
      <c r="AX2129" s="82" t="s">
        <v>13725</v>
      </c>
      <c r="AY2129" s="77"/>
      <c r="AZ2129" s="82" t="s">
        <v>15984</v>
      </c>
      <c r="BA2129" s="82" t="s">
        <v>15984</v>
      </c>
      <c r="BB2129" s="82" t="s">
        <v>15984</v>
      </c>
      <c r="BC2129" s="82" t="s">
        <v>13725</v>
      </c>
      <c r="BD2129" s="82" t="s">
        <v>15979</v>
      </c>
      <c r="BE2129" s="77"/>
      <c r="BF2129" s="77"/>
      <c r="BG2129" s="77"/>
      <c r="BH2129" s="77"/>
      <c r="BI2129" s="77"/>
    </row>
    <row r="2130" spans="1:61" x14ac:dyDescent="0.25">
      <c r="A2130" s="62" t="s">
        <v>387</v>
      </c>
      <c r="B2130" s="62" t="s">
        <v>387</v>
      </c>
      <c r="C2130" s="63"/>
      <c r="D2130" s="64"/>
      <c r="E2130" s="65"/>
      <c r="F2130" s="66"/>
      <c r="G2130" s="63"/>
      <c r="H2130" s="67"/>
      <c r="I2130" s="68"/>
      <c r="J2130" s="68"/>
      <c r="K2130" s="32"/>
      <c r="L2130" s="75">
        <v>2130</v>
      </c>
      <c r="M2130" s="75"/>
      <c r="N2130" s="70"/>
      <c r="O2130" s="77" t="s">
        <v>179</v>
      </c>
      <c r="P2130" s="79">
        <v>45149.020833333336</v>
      </c>
      <c r="Q2130" s="77" t="s">
        <v>2802</v>
      </c>
      <c r="R2130" s="77">
        <v>0</v>
      </c>
      <c r="S2130" s="77">
        <v>5</v>
      </c>
      <c r="T2130" s="77">
        <v>0</v>
      </c>
      <c r="U2130" s="77">
        <v>0</v>
      </c>
      <c r="V2130" s="77">
        <v>729</v>
      </c>
      <c r="W2130" s="82" t="s">
        <v>5911</v>
      </c>
      <c r="X2130" s="80" t="str">
        <f>HYPERLINK("https://mla.bs/7f323e23")</f>
        <v>https://mla.bs/7f323e23</v>
      </c>
      <c r="Y2130" s="77" t="s">
        <v>6506</v>
      </c>
      <c r="Z2130" s="77"/>
      <c r="AA2130" s="77"/>
      <c r="AB2130" s="77"/>
      <c r="AC2130" s="82" t="s">
        <v>7754</v>
      </c>
      <c r="AD2130" s="77" t="s">
        <v>7788</v>
      </c>
      <c r="AE2130" s="80" t="str">
        <f>HYPERLINK("https://twitter.com/einvestidor/status/1689796269873430528")</f>
        <v>https://twitter.com/einvestidor/status/1689796269873430528</v>
      </c>
      <c r="AF2130" s="79">
        <v>45149.020833333336</v>
      </c>
      <c r="AG2130" s="85">
        <v>45149</v>
      </c>
      <c r="AH2130" s="82" t="s">
        <v>8088</v>
      </c>
      <c r="AI2130" s="77" t="b">
        <v>0</v>
      </c>
      <c r="AJ2130" s="77"/>
      <c r="AK2130" s="77"/>
      <c r="AL2130" s="77"/>
      <c r="AM2130" s="77"/>
      <c r="AN2130" s="77"/>
      <c r="AO2130" s="77"/>
      <c r="AP2130" s="77"/>
      <c r="AQ2130" s="77"/>
      <c r="AR2130" s="77"/>
      <c r="AS2130" s="77"/>
      <c r="AT2130" s="77"/>
      <c r="AU2130" s="77"/>
      <c r="AV2130" s="80" t="str">
        <f>HYPERLINK("https://pbs.twimg.com/profile_images/1241147984924082183/gZgx_hL-_normal.jpg")</f>
        <v>https://pbs.twimg.com/profile_images/1241147984924082183/gZgx_hL-_normal.jpg</v>
      </c>
      <c r="AW2130" s="82" t="s">
        <v>13726</v>
      </c>
      <c r="AX2130" s="82" t="s">
        <v>13726</v>
      </c>
      <c r="AY2130" s="77"/>
      <c r="AZ2130" s="82" t="s">
        <v>15984</v>
      </c>
      <c r="BA2130" s="82" t="s">
        <v>15984</v>
      </c>
      <c r="BB2130" s="82" t="s">
        <v>15984</v>
      </c>
      <c r="BC2130" s="82" t="s">
        <v>13726</v>
      </c>
      <c r="BD2130" s="82" t="s">
        <v>15979</v>
      </c>
      <c r="BE2130" s="77"/>
      <c r="BF2130" s="77"/>
      <c r="BG2130" s="77"/>
      <c r="BH2130" s="77"/>
      <c r="BI2130" s="77"/>
    </row>
    <row r="2131" spans="1:61" x14ac:dyDescent="0.25">
      <c r="A2131" s="62" t="s">
        <v>387</v>
      </c>
      <c r="B2131" s="62" t="s">
        <v>387</v>
      </c>
      <c r="C2131" s="63"/>
      <c r="D2131" s="64"/>
      <c r="E2131" s="65"/>
      <c r="F2131" s="66"/>
      <c r="G2131" s="63"/>
      <c r="H2131" s="67"/>
      <c r="I2131" s="68"/>
      <c r="J2131" s="68"/>
      <c r="K2131" s="32"/>
      <c r="L2131" s="75">
        <v>2131</v>
      </c>
      <c r="M2131" s="75"/>
      <c r="N2131" s="70"/>
      <c r="O2131" s="77" t="s">
        <v>179</v>
      </c>
      <c r="P2131" s="79">
        <v>45149.010416666664</v>
      </c>
      <c r="Q2131" s="77" t="s">
        <v>2803</v>
      </c>
      <c r="R2131" s="77">
        <v>0</v>
      </c>
      <c r="S2131" s="77">
        <v>2</v>
      </c>
      <c r="T2131" s="77">
        <v>0</v>
      </c>
      <c r="U2131" s="77">
        <v>0</v>
      </c>
      <c r="V2131" s="77">
        <v>650</v>
      </c>
      <c r="W2131" s="82" t="s">
        <v>4833</v>
      </c>
      <c r="X2131" s="80" t="str">
        <f>HYPERLINK("https://mla.bs/61101de6")</f>
        <v>https://mla.bs/61101de6</v>
      </c>
      <c r="Y2131" s="77" t="s">
        <v>6506</v>
      </c>
      <c r="Z2131" s="77"/>
      <c r="AA2131" s="77"/>
      <c r="AB2131" s="77"/>
      <c r="AC2131" s="82" t="s">
        <v>7754</v>
      </c>
      <c r="AD2131" s="77" t="s">
        <v>7788</v>
      </c>
      <c r="AE2131" s="80" t="str">
        <f>HYPERLINK("https://twitter.com/einvestidor/status/1689792494660440064")</f>
        <v>https://twitter.com/einvestidor/status/1689792494660440064</v>
      </c>
      <c r="AF2131" s="79">
        <v>45149.010416666664</v>
      </c>
      <c r="AG2131" s="85">
        <v>45149</v>
      </c>
      <c r="AH2131" s="82" t="s">
        <v>8119</v>
      </c>
      <c r="AI2131" s="77" t="b">
        <v>0</v>
      </c>
      <c r="AJ2131" s="77"/>
      <c r="AK2131" s="77"/>
      <c r="AL2131" s="77"/>
      <c r="AM2131" s="77"/>
      <c r="AN2131" s="77"/>
      <c r="AO2131" s="77"/>
      <c r="AP2131" s="77"/>
      <c r="AQ2131" s="77"/>
      <c r="AR2131" s="77"/>
      <c r="AS2131" s="77"/>
      <c r="AT2131" s="77"/>
      <c r="AU2131" s="77"/>
      <c r="AV2131" s="80" t="str">
        <f>HYPERLINK("https://pbs.twimg.com/profile_images/1241147984924082183/gZgx_hL-_normal.jpg")</f>
        <v>https://pbs.twimg.com/profile_images/1241147984924082183/gZgx_hL-_normal.jpg</v>
      </c>
      <c r="AW2131" s="82" t="s">
        <v>13727</v>
      </c>
      <c r="AX2131" s="82" t="s">
        <v>13727</v>
      </c>
      <c r="AY2131" s="77"/>
      <c r="AZ2131" s="82" t="s">
        <v>15984</v>
      </c>
      <c r="BA2131" s="82" t="s">
        <v>15984</v>
      </c>
      <c r="BB2131" s="82" t="s">
        <v>15984</v>
      </c>
      <c r="BC2131" s="82" t="s">
        <v>13727</v>
      </c>
      <c r="BD2131" s="82" t="s">
        <v>15979</v>
      </c>
      <c r="BE2131" s="77"/>
      <c r="BF2131" s="77"/>
      <c r="BG2131" s="77"/>
      <c r="BH2131" s="77"/>
      <c r="BI2131" s="77"/>
    </row>
    <row r="2132" spans="1:61" x14ac:dyDescent="0.25">
      <c r="A2132" s="62" t="s">
        <v>387</v>
      </c>
      <c r="B2132" s="62" t="s">
        <v>387</v>
      </c>
      <c r="C2132" s="63"/>
      <c r="D2132" s="64"/>
      <c r="E2132" s="65"/>
      <c r="F2132" s="66"/>
      <c r="G2132" s="63"/>
      <c r="H2132" s="67"/>
      <c r="I2132" s="68"/>
      <c r="J2132" s="68"/>
      <c r="K2132" s="32"/>
      <c r="L2132" s="75">
        <v>2132</v>
      </c>
      <c r="M2132" s="75"/>
      <c r="N2132" s="70"/>
      <c r="O2132" s="77" t="s">
        <v>179</v>
      </c>
      <c r="P2132" s="79">
        <v>45149.000011574077</v>
      </c>
      <c r="Q2132" s="77" t="s">
        <v>2804</v>
      </c>
      <c r="R2132" s="77">
        <v>0</v>
      </c>
      <c r="S2132" s="77">
        <v>3</v>
      </c>
      <c r="T2132" s="77">
        <v>0</v>
      </c>
      <c r="U2132" s="77">
        <v>0</v>
      </c>
      <c r="V2132" s="77">
        <v>483</v>
      </c>
      <c r="W2132" s="82" t="s">
        <v>5902</v>
      </c>
      <c r="X2132" s="80" t="str">
        <f>HYPERLINK("https://mla.bs/72af0527")</f>
        <v>https://mla.bs/72af0527</v>
      </c>
      <c r="Y2132" s="77" t="s">
        <v>6506</v>
      </c>
      <c r="Z2132" s="77"/>
      <c r="AA2132" s="77"/>
      <c r="AB2132" s="77"/>
      <c r="AC2132" s="82" t="s">
        <v>7754</v>
      </c>
      <c r="AD2132" s="77" t="s">
        <v>7788</v>
      </c>
      <c r="AE2132" s="80" t="str">
        <f>HYPERLINK("https://twitter.com/einvestidor/status/1689788724391919616")</f>
        <v>https://twitter.com/einvestidor/status/1689788724391919616</v>
      </c>
      <c r="AF2132" s="79">
        <v>45149.000011574077</v>
      </c>
      <c r="AG2132" s="85">
        <v>45149</v>
      </c>
      <c r="AH2132" s="82" t="s">
        <v>7883</v>
      </c>
      <c r="AI2132" s="77" t="b">
        <v>0</v>
      </c>
      <c r="AJ2132" s="77"/>
      <c r="AK2132" s="77"/>
      <c r="AL2132" s="77"/>
      <c r="AM2132" s="77"/>
      <c r="AN2132" s="77"/>
      <c r="AO2132" s="77"/>
      <c r="AP2132" s="77"/>
      <c r="AQ2132" s="77"/>
      <c r="AR2132" s="77"/>
      <c r="AS2132" s="77"/>
      <c r="AT2132" s="77"/>
      <c r="AU2132" s="77"/>
      <c r="AV2132" s="80" t="str">
        <f>HYPERLINK("https://pbs.twimg.com/profile_images/1241147984924082183/gZgx_hL-_normal.jpg")</f>
        <v>https://pbs.twimg.com/profile_images/1241147984924082183/gZgx_hL-_normal.jpg</v>
      </c>
      <c r="AW2132" s="82" t="s">
        <v>13728</v>
      </c>
      <c r="AX2132" s="82" t="s">
        <v>13728</v>
      </c>
      <c r="AY2132" s="77"/>
      <c r="AZ2132" s="82" t="s">
        <v>15984</v>
      </c>
      <c r="BA2132" s="82" t="s">
        <v>15984</v>
      </c>
      <c r="BB2132" s="82" t="s">
        <v>15984</v>
      </c>
      <c r="BC2132" s="82" t="s">
        <v>13728</v>
      </c>
      <c r="BD2132" s="82" t="s">
        <v>15979</v>
      </c>
      <c r="BE2132" s="77"/>
      <c r="BF2132" s="77"/>
      <c r="BG2132" s="77"/>
      <c r="BH2132" s="77"/>
      <c r="BI2132" s="77"/>
    </row>
    <row r="2133" spans="1:61" x14ac:dyDescent="0.25">
      <c r="A2133" s="62" t="s">
        <v>387</v>
      </c>
      <c r="B2133" s="62" t="s">
        <v>387</v>
      </c>
      <c r="C2133" s="63"/>
      <c r="D2133" s="64"/>
      <c r="E2133" s="65"/>
      <c r="F2133" s="66"/>
      <c r="G2133" s="63"/>
      <c r="H2133" s="67"/>
      <c r="I2133" s="68"/>
      <c r="J2133" s="68"/>
      <c r="K2133" s="32"/>
      <c r="L2133" s="75">
        <v>2133</v>
      </c>
      <c r="M2133" s="75"/>
      <c r="N2133" s="70"/>
      <c r="O2133" s="77" t="s">
        <v>179</v>
      </c>
      <c r="P2133" s="79">
        <v>45144.833333333336</v>
      </c>
      <c r="Q2133" s="77" t="s">
        <v>2805</v>
      </c>
      <c r="R2133" s="77">
        <v>2</v>
      </c>
      <c r="S2133" s="77">
        <v>3</v>
      </c>
      <c r="T2133" s="77">
        <v>0</v>
      </c>
      <c r="U2133" s="77">
        <v>0</v>
      </c>
      <c r="V2133" s="77">
        <v>1052</v>
      </c>
      <c r="W2133" s="82" t="s">
        <v>5912</v>
      </c>
      <c r="X2133" s="80" t="str">
        <f>HYPERLINK("https://mla.bs/458c7554")</f>
        <v>https://mla.bs/458c7554</v>
      </c>
      <c r="Y2133" s="77" t="s">
        <v>6506</v>
      </c>
      <c r="Z2133" s="77"/>
      <c r="AA2133" s="77"/>
      <c r="AB2133" s="77"/>
      <c r="AC2133" s="82" t="s">
        <v>7754</v>
      </c>
      <c r="AD2133" s="77" t="s">
        <v>7788</v>
      </c>
      <c r="AE2133" s="80" t="str">
        <f>HYPERLINK("https://twitter.com/einvestidor/status/1688278771865096192")</f>
        <v>https://twitter.com/einvestidor/status/1688278771865096192</v>
      </c>
      <c r="AF2133" s="79">
        <v>45144.833333333336</v>
      </c>
      <c r="AG2133" s="85">
        <v>45144</v>
      </c>
      <c r="AH2133" s="82" t="s">
        <v>8381</v>
      </c>
      <c r="AI2133" s="77" t="b">
        <v>0</v>
      </c>
      <c r="AJ2133" s="77"/>
      <c r="AK2133" s="77"/>
      <c r="AL2133" s="77"/>
      <c r="AM2133" s="77"/>
      <c r="AN2133" s="77"/>
      <c r="AO2133" s="77"/>
      <c r="AP2133" s="77"/>
      <c r="AQ2133" s="77"/>
      <c r="AR2133" s="77"/>
      <c r="AS2133" s="77"/>
      <c r="AT2133" s="77"/>
      <c r="AU2133" s="77"/>
      <c r="AV2133" s="80" t="str">
        <f>HYPERLINK("https://pbs.twimg.com/profile_images/1241147984924082183/gZgx_hL-_normal.jpg")</f>
        <v>https://pbs.twimg.com/profile_images/1241147984924082183/gZgx_hL-_normal.jpg</v>
      </c>
      <c r="AW2133" s="82" t="s">
        <v>13729</v>
      </c>
      <c r="AX2133" s="82" t="s">
        <v>13729</v>
      </c>
      <c r="AY2133" s="77"/>
      <c r="AZ2133" s="82" t="s">
        <v>15984</v>
      </c>
      <c r="BA2133" s="82" t="s">
        <v>15984</v>
      </c>
      <c r="BB2133" s="82" t="s">
        <v>15984</v>
      </c>
      <c r="BC2133" s="82" t="s">
        <v>13729</v>
      </c>
      <c r="BD2133" s="82" t="s">
        <v>15979</v>
      </c>
      <c r="BE2133" s="77"/>
      <c r="BF2133" s="77"/>
      <c r="BG2133" s="77"/>
      <c r="BH2133" s="77"/>
      <c r="BI2133" s="77"/>
    </row>
    <row r="2134" spans="1:61" x14ac:dyDescent="0.25">
      <c r="A2134" s="62" t="s">
        <v>387</v>
      </c>
      <c r="B2134" s="62" t="s">
        <v>387</v>
      </c>
      <c r="C2134" s="63"/>
      <c r="D2134" s="64"/>
      <c r="E2134" s="65"/>
      <c r="F2134" s="66"/>
      <c r="G2134" s="63"/>
      <c r="H2134" s="67"/>
      <c r="I2134" s="68"/>
      <c r="J2134" s="68"/>
      <c r="K2134" s="32"/>
      <c r="L2134" s="75">
        <v>2134</v>
      </c>
      <c r="M2134" s="75"/>
      <c r="N2134" s="70"/>
      <c r="O2134" s="77" t="s">
        <v>179</v>
      </c>
      <c r="P2134" s="79">
        <v>45144.75</v>
      </c>
      <c r="Q2134" s="77" t="s">
        <v>2806</v>
      </c>
      <c r="R2134" s="77">
        <v>1</v>
      </c>
      <c r="S2134" s="77">
        <v>7</v>
      </c>
      <c r="T2134" s="77">
        <v>0</v>
      </c>
      <c r="U2134" s="77">
        <v>0</v>
      </c>
      <c r="V2134" s="77">
        <v>739</v>
      </c>
      <c r="W2134" s="82" t="s">
        <v>4833</v>
      </c>
      <c r="X2134" s="80" t="str">
        <f>HYPERLINK("https://einvestidor.estadao.com.br/ultimas/fitch-rebaixa-nota-eua-titulos-publicos/?utm_source=twitter&amp;utm_medium=organic&amp;utm_campaign=eua&amp;utm_content=materia")</f>
        <v>https://einvestidor.estadao.com.br/ultimas/fitch-rebaixa-nota-eua-titulos-publicos/?utm_source=twitter&amp;utm_medium=organic&amp;utm_campaign=eua&amp;utm_content=materia</v>
      </c>
      <c r="Y2134" s="77" t="s">
        <v>6470</v>
      </c>
      <c r="Z2134" s="77"/>
      <c r="AA2134" s="77"/>
      <c r="AB2134" s="77"/>
      <c r="AC2134" s="82" t="s">
        <v>7754</v>
      </c>
      <c r="AD2134" s="77" t="s">
        <v>7788</v>
      </c>
      <c r="AE2134" s="80" t="str">
        <f>HYPERLINK("https://twitter.com/einvestidor/status/1688248573270568960")</f>
        <v>https://twitter.com/einvestidor/status/1688248573270568960</v>
      </c>
      <c r="AF2134" s="79">
        <v>45144.75</v>
      </c>
      <c r="AG2134" s="85">
        <v>45144</v>
      </c>
      <c r="AH2134" s="82" t="s">
        <v>7934</v>
      </c>
      <c r="AI2134" s="77" t="b">
        <v>0</v>
      </c>
      <c r="AJ2134" s="77"/>
      <c r="AK2134" s="77"/>
      <c r="AL2134" s="77"/>
      <c r="AM2134" s="77"/>
      <c r="AN2134" s="77"/>
      <c r="AO2134" s="77"/>
      <c r="AP2134" s="77"/>
      <c r="AQ2134" s="77"/>
      <c r="AR2134" s="77"/>
      <c r="AS2134" s="77"/>
      <c r="AT2134" s="77"/>
      <c r="AU2134" s="77"/>
      <c r="AV2134" s="80" t="str">
        <f>HYPERLINK("https://pbs.twimg.com/profile_images/1241147984924082183/gZgx_hL-_normal.jpg")</f>
        <v>https://pbs.twimg.com/profile_images/1241147984924082183/gZgx_hL-_normal.jpg</v>
      </c>
      <c r="AW2134" s="82" t="s">
        <v>13730</v>
      </c>
      <c r="AX2134" s="82" t="s">
        <v>13730</v>
      </c>
      <c r="AY2134" s="77"/>
      <c r="AZ2134" s="82" t="s">
        <v>15984</v>
      </c>
      <c r="BA2134" s="82" t="s">
        <v>15984</v>
      </c>
      <c r="BB2134" s="82" t="s">
        <v>15984</v>
      </c>
      <c r="BC2134" s="82" t="s">
        <v>13730</v>
      </c>
      <c r="BD2134" s="82" t="s">
        <v>15979</v>
      </c>
      <c r="BE2134" s="77"/>
      <c r="BF2134" s="77"/>
      <c r="BG2134" s="77"/>
      <c r="BH2134" s="77"/>
      <c r="BI2134" s="77"/>
    </row>
    <row r="2135" spans="1:61" x14ac:dyDescent="0.25">
      <c r="A2135" s="62" t="s">
        <v>387</v>
      </c>
      <c r="B2135" s="62" t="s">
        <v>387</v>
      </c>
      <c r="C2135" s="63"/>
      <c r="D2135" s="64"/>
      <c r="E2135" s="65"/>
      <c r="F2135" s="66"/>
      <c r="G2135" s="63"/>
      <c r="H2135" s="67"/>
      <c r="I2135" s="68"/>
      <c r="J2135" s="68"/>
      <c r="K2135" s="32"/>
      <c r="L2135" s="75">
        <v>2135</v>
      </c>
      <c r="M2135" s="75"/>
      <c r="N2135" s="70"/>
      <c r="O2135" s="77" t="s">
        <v>179</v>
      </c>
      <c r="P2135" s="79">
        <v>45138.65625</v>
      </c>
      <c r="Q2135" s="77" t="s">
        <v>2807</v>
      </c>
      <c r="R2135" s="77">
        <v>0</v>
      </c>
      <c r="S2135" s="77">
        <v>0</v>
      </c>
      <c r="T2135" s="77">
        <v>0</v>
      </c>
      <c r="U2135" s="77">
        <v>0</v>
      </c>
      <c r="V2135" s="77">
        <v>564</v>
      </c>
      <c r="W2135" s="82" t="s">
        <v>4833</v>
      </c>
      <c r="X2135" s="80" t="str">
        <f>HYPERLINK("https://einvestidor.estadao.com.br/ultimas/banco-central-japao-titulos-governo/?utm_source=twitter&amp;utm_medium=organic&amp;utm_campaign=banco-central-japao&amp;utm_content=materia")</f>
        <v>https://einvestidor.estadao.com.br/ultimas/banco-central-japao-titulos-governo/?utm_source=twitter&amp;utm_medium=organic&amp;utm_campaign=banco-central-japao&amp;utm_content=materia</v>
      </c>
      <c r="Y2135" s="77" t="s">
        <v>6470</v>
      </c>
      <c r="Z2135" s="77"/>
      <c r="AA2135" s="77"/>
      <c r="AB2135" s="77"/>
      <c r="AC2135" s="82" t="s">
        <v>7754</v>
      </c>
      <c r="AD2135" s="77" t="s">
        <v>7788</v>
      </c>
      <c r="AE2135" s="80" t="str">
        <f>HYPERLINK("https://twitter.com/einvestidor/status/1686040270457208832")</f>
        <v>https://twitter.com/einvestidor/status/1686040270457208832</v>
      </c>
      <c r="AF2135" s="79">
        <v>45138.65625</v>
      </c>
      <c r="AG2135" s="85">
        <v>45138</v>
      </c>
      <c r="AH2135" s="82" t="s">
        <v>9603</v>
      </c>
      <c r="AI2135" s="77" t="b">
        <v>0</v>
      </c>
      <c r="AJ2135" s="77"/>
      <c r="AK2135" s="77"/>
      <c r="AL2135" s="77"/>
      <c r="AM2135" s="77"/>
      <c r="AN2135" s="77"/>
      <c r="AO2135" s="77"/>
      <c r="AP2135" s="77"/>
      <c r="AQ2135" s="77"/>
      <c r="AR2135" s="77"/>
      <c r="AS2135" s="77"/>
      <c r="AT2135" s="77"/>
      <c r="AU2135" s="77"/>
      <c r="AV2135" s="80" t="str">
        <f>HYPERLINK("https://pbs.twimg.com/profile_images/1241147984924082183/gZgx_hL-_normal.jpg")</f>
        <v>https://pbs.twimg.com/profile_images/1241147984924082183/gZgx_hL-_normal.jpg</v>
      </c>
      <c r="AW2135" s="82" t="s">
        <v>13731</v>
      </c>
      <c r="AX2135" s="82" t="s">
        <v>13731</v>
      </c>
      <c r="AY2135" s="77"/>
      <c r="AZ2135" s="82" t="s">
        <v>15984</v>
      </c>
      <c r="BA2135" s="82" t="s">
        <v>15984</v>
      </c>
      <c r="BB2135" s="82" t="s">
        <v>15984</v>
      </c>
      <c r="BC2135" s="82" t="s">
        <v>13731</v>
      </c>
      <c r="BD2135" s="82" t="s">
        <v>15979</v>
      </c>
      <c r="BE2135" s="77"/>
      <c r="BF2135" s="77"/>
      <c r="BG2135" s="77"/>
      <c r="BH2135" s="77"/>
      <c r="BI2135" s="77"/>
    </row>
    <row r="2136" spans="1:61" x14ac:dyDescent="0.25">
      <c r="A2136" s="62" t="s">
        <v>387</v>
      </c>
      <c r="B2136" s="62" t="s">
        <v>387</v>
      </c>
      <c r="C2136" s="63"/>
      <c r="D2136" s="64"/>
      <c r="E2136" s="65"/>
      <c r="F2136" s="66"/>
      <c r="G2136" s="63"/>
      <c r="H2136" s="67"/>
      <c r="I2136" s="68"/>
      <c r="J2136" s="68"/>
      <c r="K2136" s="32"/>
      <c r="L2136" s="75">
        <v>2136</v>
      </c>
      <c r="M2136" s="75"/>
      <c r="N2136" s="70"/>
      <c r="O2136" s="77" t="s">
        <v>179</v>
      </c>
      <c r="P2136" s="79">
        <v>45138.635416666664</v>
      </c>
      <c r="Q2136" s="77" t="s">
        <v>2808</v>
      </c>
      <c r="R2136" s="77">
        <v>0</v>
      </c>
      <c r="S2136" s="77">
        <v>1</v>
      </c>
      <c r="T2136" s="77">
        <v>0</v>
      </c>
      <c r="U2136" s="77">
        <v>0</v>
      </c>
      <c r="V2136" s="77">
        <v>534</v>
      </c>
      <c r="W2136" s="82" t="s">
        <v>4833</v>
      </c>
      <c r="X2136" s="80" t="str">
        <f>HYPERLINK("https://einvestidor.estadao.com.br/ultimas/taurus-tasa4-parceria-arabia-saudita/?utm_source=twitter&amp;utm_medium=organic&amp;utm_campaign=taurus&amp;utm_content=materia")</f>
        <v>https://einvestidor.estadao.com.br/ultimas/taurus-tasa4-parceria-arabia-saudita/?utm_source=twitter&amp;utm_medium=organic&amp;utm_campaign=taurus&amp;utm_content=materia</v>
      </c>
      <c r="Y2136" s="77" t="s">
        <v>6470</v>
      </c>
      <c r="Z2136" s="77"/>
      <c r="AA2136" s="77"/>
      <c r="AB2136" s="77"/>
      <c r="AC2136" s="82" t="s">
        <v>7754</v>
      </c>
      <c r="AD2136" s="77" t="s">
        <v>7788</v>
      </c>
      <c r="AE2136" s="80" t="str">
        <f>HYPERLINK("https://twitter.com/einvestidor/status/1686032721431461888")</f>
        <v>https://twitter.com/einvestidor/status/1686032721431461888</v>
      </c>
      <c r="AF2136" s="79">
        <v>45138.635416666664</v>
      </c>
      <c r="AG2136" s="85">
        <v>45138</v>
      </c>
      <c r="AH2136" s="82" t="s">
        <v>9604</v>
      </c>
      <c r="AI2136" s="77" t="b">
        <v>0</v>
      </c>
      <c r="AJ2136" s="77"/>
      <c r="AK2136" s="77"/>
      <c r="AL2136" s="77"/>
      <c r="AM2136" s="77"/>
      <c r="AN2136" s="77"/>
      <c r="AO2136" s="77"/>
      <c r="AP2136" s="77"/>
      <c r="AQ2136" s="77"/>
      <c r="AR2136" s="77"/>
      <c r="AS2136" s="77"/>
      <c r="AT2136" s="77"/>
      <c r="AU2136" s="77"/>
      <c r="AV2136" s="80" t="str">
        <f>HYPERLINK("https://pbs.twimg.com/profile_images/1241147984924082183/gZgx_hL-_normal.jpg")</f>
        <v>https://pbs.twimg.com/profile_images/1241147984924082183/gZgx_hL-_normal.jpg</v>
      </c>
      <c r="AW2136" s="82" t="s">
        <v>13732</v>
      </c>
      <c r="AX2136" s="82" t="s">
        <v>13732</v>
      </c>
      <c r="AY2136" s="77"/>
      <c r="AZ2136" s="82" t="s">
        <v>15984</v>
      </c>
      <c r="BA2136" s="82" t="s">
        <v>15984</v>
      </c>
      <c r="BB2136" s="82" t="s">
        <v>15984</v>
      </c>
      <c r="BC2136" s="82" t="s">
        <v>13732</v>
      </c>
      <c r="BD2136" s="82" t="s">
        <v>15979</v>
      </c>
      <c r="BE2136" s="77"/>
      <c r="BF2136" s="77"/>
      <c r="BG2136" s="77"/>
      <c r="BH2136" s="77"/>
      <c r="BI2136" s="77"/>
    </row>
    <row r="2137" spans="1:61" x14ac:dyDescent="0.25">
      <c r="A2137" s="62" t="s">
        <v>387</v>
      </c>
      <c r="B2137" s="62" t="s">
        <v>387</v>
      </c>
      <c r="C2137" s="63"/>
      <c r="D2137" s="64"/>
      <c r="E2137" s="65"/>
      <c r="F2137" s="66"/>
      <c r="G2137" s="63"/>
      <c r="H2137" s="67"/>
      <c r="I2137" s="68"/>
      <c r="J2137" s="68"/>
      <c r="K2137" s="32"/>
      <c r="L2137" s="75">
        <v>2137</v>
      </c>
      <c r="M2137" s="75"/>
      <c r="N2137" s="70"/>
      <c r="O2137" s="77" t="s">
        <v>179</v>
      </c>
      <c r="P2137" s="79">
        <v>45138.625023148146</v>
      </c>
      <c r="Q2137" s="77" t="s">
        <v>2809</v>
      </c>
      <c r="R2137" s="77">
        <v>0</v>
      </c>
      <c r="S2137" s="77">
        <v>1</v>
      </c>
      <c r="T2137" s="77">
        <v>0</v>
      </c>
      <c r="U2137" s="77">
        <v>0</v>
      </c>
      <c r="V2137" s="77">
        <v>482</v>
      </c>
      <c r="W2137" s="82" t="s">
        <v>4833</v>
      </c>
      <c r="X2137" s="80" t="str">
        <f>HYPERLINK("https://einvestidor.estadao.com.br/ultimas/fitch-notas-principais-empresas-brasil/?utm_source=twitter&amp;utm_medium=organic&amp;utm_campaign=fitch-brasil&amp;utm_content=materia")</f>
        <v>https://einvestidor.estadao.com.br/ultimas/fitch-notas-principais-empresas-brasil/?utm_source=twitter&amp;utm_medium=organic&amp;utm_campaign=fitch-brasil&amp;utm_content=materia</v>
      </c>
      <c r="Y2137" s="77" t="s">
        <v>6470</v>
      </c>
      <c r="Z2137" s="77"/>
      <c r="AA2137" s="77"/>
      <c r="AB2137" s="77"/>
      <c r="AC2137" s="82" t="s">
        <v>7754</v>
      </c>
      <c r="AD2137" s="77" t="s">
        <v>7788</v>
      </c>
      <c r="AE2137" s="80" t="str">
        <f>HYPERLINK("https://twitter.com/einvestidor/status/1686028954011058176")</f>
        <v>https://twitter.com/einvestidor/status/1686028954011058176</v>
      </c>
      <c r="AF2137" s="79">
        <v>45138.625023148146</v>
      </c>
      <c r="AG2137" s="85">
        <v>45138</v>
      </c>
      <c r="AH2137" s="82" t="s">
        <v>7869</v>
      </c>
      <c r="AI2137" s="77" t="b">
        <v>0</v>
      </c>
      <c r="AJ2137" s="77"/>
      <c r="AK2137" s="77"/>
      <c r="AL2137" s="77"/>
      <c r="AM2137" s="77"/>
      <c r="AN2137" s="77"/>
      <c r="AO2137" s="77"/>
      <c r="AP2137" s="77"/>
      <c r="AQ2137" s="77"/>
      <c r="AR2137" s="77"/>
      <c r="AS2137" s="77"/>
      <c r="AT2137" s="77"/>
      <c r="AU2137" s="77"/>
      <c r="AV2137" s="80" t="str">
        <f>HYPERLINK("https://pbs.twimg.com/profile_images/1241147984924082183/gZgx_hL-_normal.jpg")</f>
        <v>https://pbs.twimg.com/profile_images/1241147984924082183/gZgx_hL-_normal.jpg</v>
      </c>
      <c r="AW2137" s="82" t="s">
        <v>13733</v>
      </c>
      <c r="AX2137" s="82" t="s">
        <v>13733</v>
      </c>
      <c r="AY2137" s="77"/>
      <c r="AZ2137" s="82" t="s">
        <v>15984</v>
      </c>
      <c r="BA2137" s="82" t="s">
        <v>15984</v>
      </c>
      <c r="BB2137" s="82" t="s">
        <v>15984</v>
      </c>
      <c r="BC2137" s="82" t="s">
        <v>13733</v>
      </c>
      <c r="BD2137" s="82" t="s">
        <v>15979</v>
      </c>
      <c r="BE2137" s="77"/>
      <c r="BF2137" s="77"/>
      <c r="BG2137" s="77"/>
      <c r="BH2137" s="77"/>
      <c r="BI2137" s="77"/>
    </row>
    <row r="2138" spans="1:61" x14ac:dyDescent="0.25">
      <c r="A2138" s="62" t="s">
        <v>387</v>
      </c>
      <c r="B2138" s="62" t="s">
        <v>387</v>
      </c>
      <c r="C2138" s="63"/>
      <c r="D2138" s="64"/>
      <c r="E2138" s="65"/>
      <c r="F2138" s="66"/>
      <c r="G2138" s="63"/>
      <c r="H2138" s="67"/>
      <c r="I2138" s="68"/>
      <c r="J2138" s="68"/>
      <c r="K2138" s="32"/>
      <c r="L2138" s="75">
        <v>2138</v>
      </c>
      <c r="M2138" s="75"/>
      <c r="N2138" s="70"/>
      <c r="O2138" s="77" t="s">
        <v>179</v>
      </c>
      <c r="P2138" s="79">
        <v>45133.958344907405</v>
      </c>
      <c r="Q2138" s="77" t="s">
        <v>2810</v>
      </c>
      <c r="R2138" s="77">
        <v>0</v>
      </c>
      <c r="S2138" s="77">
        <v>0</v>
      </c>
      <c r="T2138" s="77">
        <v>0</v>
      </c>
      <c r="U2138" s="77">
        <v>0</v>
      </c>
      <c r="V2138" s="77">
        <v>591</v>
      </c>
      <c r="W2138" s="82" t="s">
        <v>4833</v>
      </c>
      <c r="X2138" s="80" t="str">
        <f>HYPERLINK("https://mla.bs/5e1baa82")</f>
        <v>https://mla.bs/5e1baa82</v>
      </c>
      <c r="Y2138" s="77" t="s">
        <v>6506</v>
      </c>
      <c r="Z2138" s="77"/>
      <c r="AA2138" s="77"/>
      <c r="AB2138" s="77"/>
      <c r="AC2138" s="82" t="s">
        <v>7754</v>
      </c>
      <c r="AD2138" s="77" t="s">
        <v>7788</v>
      </c>
      <c r="AE2138" s="80" t="str">
        <f>HYPERLINK("https://twitter.com/einvestidor/status/1684337809019256832")</f>
        <v>https://twitter.com/einvestidor/status/1684337809019256832</v>
      </c>
      <c r="AF2138" s="79">
        <v>45133.958344907405</v>
      </c>
      <c r="AG2138" s="85">
        <v>45133</v>
      </c>
      <c r="AH2138" s="82" t="s">
        <v>9241</v>
      </c>
      <c r="AI2138" s="77" t="b">
        <v>0</v>
      </c>
      <c r="AJ2138" s="77"/>
      <c r="AK2138" s="77"/>
      <c r="AL2138" s="77"/>
      <c r="AM2138" s="77"/>
      <c r="AN2138" s="77"/>
      <c r="AO2138" s="77"/>
      <c r="AP2138" s="77"/>
      <c r="AQ2138" s="77"/>
      <c r="AR2138" s="77"/>
      <c r="AS2138" s="77"/>
      <c r="AT2138" s="77"/>
      <c r="AU2138" s="77"/>
      <c r="AV2138" s="80" t="str">
        <f>HYPERLINK("https://pbs.twimg.com/profile_images/1241147984924082183/gZgx_hL-_normal.jpg")</f>
        <v>https://pbs.twimg.com/profile_images/1241147984924082183/gZgx_hL-_normal.jpg</v>
      </c>
      <c r="AW2138" s="82" t="s">
        <v>13734</v>
      </c>
      <c r="AX2138" s="82" t="s">
        <v>13734</v>
      </c>
      <c r="AY2138" s="77"/>
      <c r="AZ2138" s="82" t="s">
        <v>15984</v>
      </c>
      <c r="BA2138" s="82" t="s">
        <v>15984</v>
      </c>
      <c r="BB2138" s="82" t="s">
        <v>15984</v>
      </c>
      <c r="BC2138" s="82" t="s">
        <v>13734</v>
      </c>
      <c r="BD2138" s="82" t="s">
        <v>15979</v>
      </c>
      <c r="BE2138" s="77"/>
      <c r="BF2138" s="77"/>
      <c r="BG2138" s="77"/>
      <c r="BH2138" s="77"/>
      <c r="BI2138" s="77"/>
    </row>
    <row r="2139" spans="1:61" x14ac:dyDescent="0.25">
      <c r="A2139" s="62" t="s">
        <v>387</v>
      </c>
      <c r="B2139" s="62" t="s">
        <v>387</v>
      </c>
      <c r="C2139" s="63"/>
      <c r="D2139" s="64"/>
      <c r="E2139" s="65"/>
      <c r="F2139" s="66"/>
      <c r="G2139" s="63"/>
      <c r="H2139" s="67"/>
      <c r="I2139" s="68"/>
      <c r="J2139" s="68"/>
      <c r="K2139" s="32"/>
      <c r="L2139" s="75">
        <v>2139</v>
      </c>
      <c r="M2139" s="75"/>
      <c r="N2139" s="70"/>
      <c r="O2139" s="77" t="s">
        <v>179</v>
      </c>
      <c r="P2139" s="79">
        <v>45133.947916666664</v>
      </c>
      <c r="Q2139" s="77" t="s">
        <v>2811</v>
      </c>
      <c r="R2139" s="77">
        <v>0</v>
      </c>
      <c r="S2139" s="77">
        <v>3</v>
      </c>
      <c r="T2139" s="77">
        <v>0</v>
      </c>
      <c r="U2139" s="77">
        <v>0</v>
      </c>
      <c r="V2139" s="77">
        <v>830</v>
      </c>
      <c r="W2139" s="82" t="s">
        <v>5913</v>
      </c>
      <c r="X2139" s="80" t="str">
        <f>HYPERLINK("https://mla.bs/39bd65fc")</f>
        <v>https://mla.bs/39bd65fc</v>
      </c>
      <c r="Y2139" s="77" t="s">
        <v>6506</v>
      </c>
      <c r="Z2139" s="77"/>
      <c r="AA2139" s="77"/>
      <c r="AB2139" s="77"/>
      <c r="AC2139" s="82" t="s">
        <v>7754</v>
      </c>
      <c r="AD2139" s="77" t="s">
        <v>7788</v>
      </c>
      <c r="AE2139" s="80" t="str">
        <f>HYPERLINK("https://twitter.com/einvestidor/status/1684334027422019593")</f>
        <v>https://twitter.com/einvestidor/status/1684334027422019593</v>
      </c>
      <c r="AF2139" s="79">
        <v>45133.947916666664</v>
      </c>
      <c r="AG2139" s="85">
        <v>45133</v>
      </c>
      <c r="AH2139" s="82" t="s">
        <v>9595</v>
      </c>
      <c r="AI2139" s="77" t="b">
        <v>0</v>
      </c>
      <c r="AJ2139" s="77"/>
      <c r="AK2139" s="77"/>
      <c r="AL2139" s="77"/>
      <c r="AM2139" s="77"/>
      <c r="AN2139" s="77"/>
      <c r="AO2139" s="77"/>
      <c r="AP2139" s="77"/>
      <c r="AQ2139" s="77"/>
      <c r="AR2139" s="77"/>
      <c r="AS2139" s="77"/>
      <c r="AT2139" s="77"/>
      <c r="AU2139" s="77"/>
      <c r="AV2139" s="80" t="str">
        <f>HYPERLINK("https://pbs.twimg.com/profile_images/1241147984924082183/gZgx_hL-_normal.jpg")</f>
        <v>https://pbs.twimg.com/profile_images/1241147984924082183/gZgx_hL-_normal.jpg</v>
      </c>
      <c r="AW2139" s="82" t="s">
        <v>13735</v>
      </c>
      <c r="AX2139" s="82" t="s">
        <v>13735</v>
      </c>
      <c r="AY2139" s="77"/>
      <c r="AZ2139" s="82" t="s">
        <v>15984</v>
      </c>
      <c r="BA2139" s="82" t="s">
        <v>15984</v>
      </c>
      <c r="BB2139" s="82" t="s">
        <v>15984</v>
      </c>
      <c r="BC2139" s="82" t="s">
        <v>13735</v>
      </c>
      <c r="BD2139" s="82" t="s">
        <v>15979</v>
      </c>
      <c r="BE2139" s="77"/>
      <c r="BF2139" s="77"/>
      <c r="BG2139" s="77"/>
      <c r="BH2139" s="77"/>
      <c r="BI2139" s="77"/>
    </row>
    <row r="2140" spans="1:61" x14ac:dyDescent="0.25">
      <c r="A2140" s="62" t="s">
        <v>387</v>
      </c>
      <c r="B2140" s="62" t="s">
        <v>387</v>
      </c>
      <c r="C2140" s="63"/>
      <c r="D2140" s="64"/>
      <c r="E2140" s="65"/>
      <c r="F2140" s="66"/>
      <c r="G2140" s="63"/>
      <c r="H2140" s="67"/>
      <c r="I2140" s="68"/>
      <c r="J2140" s="68"/>
      <c r="K2140" s="32"/>
      <c r="L2140" s="75">
        <v>2140</v>
      </c>
      <c r="M2140" s="75"/>
      <c r="N2140" s="70"/>
      <c r="O2140" s="77" t="s">
        <v>179</v>
      </c>
      <c r="P2140" s="79">
        <v>45133.9375</v>
      </c>
      <c r="Q2140" s="77" t="s">
        <v>2812</v>
      </c>
      <c r="R2140" s="77">
        <v>1</v>
      </c>
      <c r="S2140" s="77">
        <v>10</v>
      </c>
      <c r="T2140" s="77">
        <v>0</v>
      </c>
      <c r="U2140" s="77">
        <v>0</v>
      </c>
      <c r="V2140" s="77">
        <v>1217</v>
      </c>
      <c r="W2140" s="82" t="s">
        <v>5914</v>
      </c>
      <c r="X2140" s="80" t="str">
        <f>HYPERLINK("https://mla.bs/ca314fec")</f>
        <v>https://mla.bs/ca314fec</v>
      </c>
      <c r="Y2140" s="77" t="s">
        <v>6506</v>
      </c>
      <c r="Z2140" s="77"/>
      <c r="AA2140" s="77"/>
      <c r="AB2140" s="77"/>
      <c r="AC2140" s="82" t="s">
        <v>7754</v>
      </c>
      <c r="AD2140" s="77" t="s">
        <v>7788</v>
      </c>
      <c r="AE2140" s="80" t="str">
        <f>HYPERLINK("https://twitter.com/einvestidor/status/1684330254838661121")</f>
        <v>https://twitter.com/einvestidor/status/1684330254838661121</v>
      </c>
      <c r="AF2140" s="79">
        <v>45133.9375</v>
      </c>
      <c r="AG2140" s="85">
        <v>45133</v>
      </c>
      <c r="AH2140" s="82" t="s">
        <v>7926</v>
      </c>
      <c r="AI2140" s="77" t="b">
        <v>0</v>
      </c>
      <c r="AJ2140" s="77"/>
      <c r="AK2140" s="77"/>
      <c r="AL2140" s="77"/>
      <c r="AM2140" s="77"/>
      <c r="AN2140" s="77"/>
      <c r="AO2140" s="77"/>
      <c r="AP2140" s="77"/>
      <c r="AQ2140" s="77"/>
      <c r="AR2140" s="77"/>
      <c r="AS2140" s="77"/>
      <c r="AT2140" s="77"/>
      <c r="AU2140" s="77"/>
      <c r="AV2140" s="80" t="str">
        <f>HYPERLINK("https://pbs.twimg.com/profile_images/1241147984924082183/gZgx_hL-_normal.jpg")</f>
        <v>https://pbs.twimg.com/profile_images/1241147984924082183/gZgx_hL-_normal.jpg</v>
      </c>
      <c r="AW2140" s="82" t="s">
        <v>13736</v>
      </c>
      <c r="AX2140" s="82" t="s">
        <v>13736</v>
      </c>
      <c r="AY2140" s="77"/>
      <c r="AZ2140" s="82" t="s">
        <v>15984</v>
      </c>
      <c r="BA2140" s="82" t="s">
        <v>15984</v>
      </c>
      <c r="BB2140" s="82" t="s">
        <v>15984</v>
      </c>
      <c r="BC2140" s="82" t="s">
        <v>13736</v>
      </c>
      <c r="BD2140" s="82" t="s">
        <v>15979</v>
      </c>
      <c r="BE2140" s="77"/>
      <c r="BF2140" s="77"/>
      <c r="BG2140" s="77"/>
      <c r="BH2140" s="77"/>
      <c r="BI2140" s="77"/>
    </row>
    <row r="2141" spans="1:61" x14ac:dyDescent="0.25">
      <c r="A2141" s="62" t="s">
        <v>387</v>
      </c>
      <c r="B2141" s="62" t="s">
        <v>387</v>
      </c>
      <c r="C2141" s="63"/>
      <c r="D2141" s="64"/>
      <c r="E2141" s="65"/>
      <c r="F2141" s="66"/>
      <c r="G2141" s="63"/>
      <c r="H2141" s="67"/>
      <c r="I2141" s="68"/>
      <c r="J2141" s="68"/>
      <c r="K2141" s="32"/>
      <c r="L2141" s="75">
        <v>2141</v>
      </c>
      <c r="M2141" s="75"/>
      <c r="N2141" s="70"/>
      <c r="O2141" s="77" t="s">
        <v>179</v>
      </c>
      <c r="P2141" s="79">
        <v>45133.927083333336</v>
      </c>
      <c r="Q2141" s="77" t="s">
        <v>2813</v>
      </c>
      <c r="R2141" s="77">
        <v>0</v>
      </c>
      <c r="S2141" s="77">
        <v>6</v>
      </c>
      <c r="T2141" s="77">
        <v>0</v>
      </c>
      <c r="U2141" s="77">
        <v>0</v>
      </c>
      <c r="V2141" s="77">
        <v>882</v>
      </c>
      <c r="W2141" s="82" t="s">
        <v>4833</v>
      </c>
      <c r="X2141" s="80" t="str">
        <f>HYPERLINK("https://mla.bs/82e80f71")</f>
        <v>https://mla.bs/82e80f71</v>
      </c>
      <c r="Y2141" s="77" t="s">
        <v>6506</v>
      </c>
      <c r="Z2141" s="77"/>
      <c r="AA2141" s="77"/>
      <c r="AB2141" s="77"/>
      <c r="AC2141" s="82" t="s">
        <v>7754</v>
      </c>
      <c r="AD2141" s="77" t="s">
        <v>7788</v>
      </c>
      <c r="AE2141" s="80" t="str">
        <f>HYPERLINK("https://twitter.com/einvestidor/status/1684326478094413824")</f>
        <v>https://twitter.com/einvestidor/status/1684326478094413824</v>
      </c>
      <c r="AF2141" s="79">
        <v>45133.927083333336</v>
      </c>
      <c r="AG2141" s="85">
        <v>45133</v>
      </c>
      <c r="AH2141" s="82" t="s">
        <v>9576</v>
      </c>
      <c r="AI2141" s="77" t="b">
        <v>0</v>
      </c>
      <c r="AJ2141" s="77"/>
      <c r="AK2141" s="77"/>
      <c r="AL2141" s="77"/>
      <c r="AM2141" s="77"/>
      <c r="AN2141" s="77"/>
      <c r="AO2141" s="77"/>
      <c r="AP2141" s="77"/>
      <c r="AQ2141" s="77"/>
      <c r="AR2141" s="77"/>
      <c r="AS2141" s="77"/>
      <c r="AT2141" s="77"/>
      <c r="AU2141" s="77"/>
      <c r="AV2141" s="80" t="str">
        <f>HYPERLINK("https://pbs.twimg.com/profile_images/1241147984924082183/gZgx_hL-_normal.jpg")</f>
        <v>https://pbs.twimg.com/profile_images/1241147984924082183/gZgx_hL-_normal.jpg</v>
      </c>
      <c r="AW2141" s="82" t="s">
        <v>13737</v>
      </c>
      <c r="AX2141" s="82" t="s">
        <v>13737</v>
      </c>
      <c r="AY2141" s="77"/>
      <c r="AZ2141" s="82" t="s">
        <v>15984</v>
      </c>
      <c r="BA2141" s="82" t="s">
        <v>15984</v>
      </c>
      <c r="BB2141" s="82" t="s">
        <v>15984</v>
      </c>
      <c r="BC2141" s="82" t="s">
        <v>13737</v>
      </c>
      <c r="BD2141" s="82" t="s">
        <v>15979</v>
      </c>
      <c r="BE2141" s="77"/>
      <c r="BF2141" s="77"/>
      <c r="BG2141" s="77"/>
      <c r="BH2141" s="77"/>
      <c r="BI2141" s="77"/>
    </row>
    <row r="2142" spans="1:61" x14ac:dyDescent="0.25">
      <c r="A2142" s="62" t="s">
        <v>387</v>
      </c>
      <c r="B2142" s="62" t="s">
        <v>387</v>
      </c>
      <c r="C2142" s="63"/>
      <c r="D2142" s="64"/>
      <c r="E2142" s="65"/>
      <c r="F2142" s="66"/>
      <c r="G2142" s="63"/>
      <c r="H2142" s="67"/>
      <c r="I2142" s="68"/>
      <c r="J2142" s="68"/>
      <c r="K2142" s="32"/>
      <c r="L2142" s="75">
        <v>2142</v>
      </c>
      <c r="M2142" s="75"/>
      <c r="N2142" s="70"/>
      <c r="O2142" s="77" t="s">
        <v>179</v>
      </c>
      <c r="P2142" s="79">
        <v>45133.916678240741</v>
      </c>
      <c r="Q2142" s="77" t="s">
        <v>2814</v>
      </c>
      <c r="R2142" s="77">
        <v>0</v>
      </c>
      <c r="S2142" s="77">
        <v>1</v>
      </c>
      <c r="T2142" s="77">
        <v>0</v>
      </c>
      <c r="U2142" s="77">
        <v>0</v>
      </c>
      <c r="V2142" s="77">
        <v>542</v>
      </c>
      <c r="W2142" s="82" t="s">
        <v>4833</v>
      </c>
      <c r="X2142" s="80" t="str">
        <f>HYPERLINK("https://mla.bs/850a6933")</f>
        <v>https://mla.bs/850a6933</v>
      </c>
      <c r="Y2142" s="77" t="s">
        <v>6506</v>
      </c>
      <c r="Z2142" s="77"/>
      <c r="AA2142" s="77"/>
      <c r="AB2142" s="77"/>
      <c r="AC2142" s="82" t="s">
        <v>7754</v>
      </c>
      <c r="AD2142" s="77" t="s">
        <v>7788</v>
      </c>
      <c r="AE2142" s="80" t="str">
        <f>HYPERLINK("https://twitter.com/einvestidor/status/1684322708199297024")</f>
        <v>https://twitter.com/einvestidor/status/1684322708199297024</v>
      </c>
      <c r="AF2142" s="79">
        <v>45133.916678240741</v>
      </c>
      <c r="AG2142" s="85">
        <v>45133</v>
      </c>
      <c r="AH2142" s="82" t="s">
        <v>8052</v>
      </c>
      <c r="AI2142" s="77" t="b">
        <v>0</v>
      </c>
      <c r="AJ2142" s="77"/>
      <c r="AK2142" s="77"/>
      <c r="AL2142" s="77"/>
      <c r="AM2142" s="77"/>
      <c r="AN2142" s="77"/>
      <c r="AO2142" s="77"/>
      <c r="AP2142" s="77"/>
      <c r="AQ2142" s="77"/>
      <c r="AR2142" s="77"/>
      <c r="AS2142" s="77"/>
      <c r="AT2142" s="77"/>
      <c r="AU2142" s="77"/>
      <c r="AV2142" s="80" t="str">
        <f>HYPERLINK("https://pbs.twimg.com/profile_images/1241147984924082183/gZgx_hL-_normal.jpg")</f>
        <v>https://pbs.twimg.com/profile_images/1241147984924082183/gZgx_hL-_normal.jpg</v>
      </c>
      <c r="AW2142" s="82" t="s">
        <v>13738</v>
      </c>
      <c r="AX2142" s="82" t="s">
        <v>13738</v>
      </c>
      <c r="AY2142" s="77"/>
      <c r="AZ2142" s="82" t="s">
        <v>15984</v>
      </c>
      <c r="BA2142" s="82" t="s">
        <v>15984</v>
      </c>
      <c r="BB2142" s="82" t="s">
        <v>15984</v>
      </c>
      <c r="BC2142" s="82" t="s">
        <v>13738</v>
      </c>
      <c r="BD2142" s="82" t="s">
        <v>15979</v>
      </c>
      <c r="BE2142" s="77"/>
      <c r="BF2142" s="77"/>
      <c r="BG2142" s="77"/>
      <c r="BH2142" s="77"/>
      <c r="BI2142" s="77"/>
    </row>
    <row r="2143" spans="1:61" x14ac:dyDescent="0.25">
      <c r="A2143" s="62" t="s">
        <v>387</v>
      </c>
      <c r="B2143" s="62" t="s">
        <v>387</v>
      </c>
      <c r="C2143" s="63"/>
      <c r="D2143" s="64"/>
      <c r="E2143" s="65"/>
      <c r="F2143" s="66"/>
      <c r="G2143" s="63"/>
      <c r="H2143" s="67"/>
      <c r="I2143" s="68"/>
      <c r="J2143" s="68"/>
      <c r="K2143" s="32"/>
      <c r="L2143" s="75">
        <v>2143</v>
      </c>
      <c r="M2143" s="75"/>
      <c r="N2143" s="70"/>
      <c r="O2143" s="77" t="s">
        <v>179</v>
      </c>
      <c r="P2143" s="79">
        <v>45133.907025462962</v>
      </c>
      <c r="Q2143" s="77" t="s">
        <v>2815</v>
      </c>
      <c r="R2143" s="77">
        <v>1</v>
      </c>
      <c r="S2143" s="77">
        <v>2</v>
      </c>
      <c r="T2143" s="77">
        <v>1</v>
      </c>
      <c r="U2143" s="77">
        <v>0</v>
      </c>
      <c r="V2143" s="77">
        <v>739</v>
      </c>
      <c r="W2143" s="82" t="s">
        <v>4833</v>
      </c>
      <c r="X2143" s="80" t="str">
        <f>HYPERLINK("https://mla.bs/86527dd1")</f>
        <v>https://mla.bs/86527dd1</v>
      </c>
      <c r="Y2143" s="77" t="s">
        <v>6506</v>
      </c>
      <c r="Z2143" s="77"/>
      <c r="AA2143" s="77"/>
      <c r="AB2143" s="77"/>
      <c r="AC2143" s="82" t="s">
        <v>7754</v>
      </c>
      <c r="AD2143" s="77" t="s">
        <v>7788</v>
      </c>
      <c r="AE2143" s="80" t="str">
        <f>HYPERLINK("https://twitter.com/einvestidor/status/1684319210112008192")</f>
        <v>https://twitter.com/einvestidor/status/1684319210112008192</v>
      </c>
      <c r="AF2143" s="79">
        <v>45133.907025462962</v>
      </c>
      <c r="AG2143" s="85">
        <v>45133</v>
      </c>
      <c r="AH2143" s="82" t="s">
        <v>9605</v>
      </c>
      <c r="AI2143" s="77" t="b">
        <v>0</v>
      </c>
      <c r="AJ2143" s="77"/>
      <c r="AK2143" s="77"/>
      <c r="AL2143" s="77"/>
      <c r="AM2143" s="77"/>
      <c r="AN2143" s="77"/>
      <c r="AO2143" s="77"/>
      <c r="AP2143" s="77"/>
      <c r="AQ2143" s="77"/>
      <c r="AR2143" s="77"/>
      <c r="AS2143" s="77"/>
      <c r="AT2143" s="77"/>
      <c r="AU2143" s="77"/>
      <c r="AV2143" s="80" t="str">
        <f>HYPERLINK("https://pbs.twimg.com/profile_images/1241147984924082183/gZgx_hL-_normal.jpg")</f>
        <v>https://pbs.twimg.com/profile_images/1241147984924082183/gZgx_hL-_normal.jpg</v>
      </c>
      <c r="AW2143" s="82" t="s">
        <v>13739</v>
      </c>
      <c r="AX2143" s="82" t="s">
        <v>13739</v>
      </c>
      <c r="AY2143" s="77"/>
      <c r="AZ2143" s="82" t="s">
        <v>15984</v>
      </c>
      <c r="BA2143" s="82" t="s">
        <v>15984</v>
      </c>
      <c r="BB2143" s="82" t="s">
        <v>15984</v>
      </c>
      <c r="BC2143" s="82" t="s">
        <v>13739</v>
      </c>
      <c r="BD2143" s="82" t="s">
        <v>15979</v>
      </c>
      <c r="BE2143" s="77"/>
      <c r="BF2143" s="77"/>
      <c r="BG2143" s="77"/>
      <c r="BH2143" s="77"/>
      <c r="BI2143" s="77"/>
    </row>
    <row r="2144" spans="1:61" x14ac:dyDescent="0.25">
      <c r="A2144" s="62" t="s">
        <v>387</v>
      </c>
      <c r="B2144" s="62" t="s">
        <v>387</v>
      </c>
      <c r="C2144" s="63"/>
      <c r="D2144" s="64"/>
      <c r="E2144" s="65"/>
      <c r="F2144" s="66"/>
      <c r="G2144" s="63"/>
      <c r="H2144" s="67"/>
      <c r="I2144" s="68"/>
      <c r="J2144" s="68"/>
      <c r="K2144" s="32"/>
      <c r="L2144" s="75">
        <v>2144</v>
      </c>
      <c r="M2144" s="75"/>
      <c r="N2144" s="70"/>
      <c r="O2144" s="77" t="s">
        <v>179</v>
      </c>
      <c r="P2144" s="79">
        <v>45133.90625</v>
      </c>
      <c r="Q2144" s="77" t="s">
        <v>2816</v>
      </c>
      <c r="R2144" s="77">
        <v>0</v>
      </c>
      <c r="S2144" s="77">
        <v>2</v>
      </c>
      <c r="T2144" s="77">
        <v>0</v>
      </c>
      <c r="U2144" s="77">
        <v>0</v>
      </c>
      <c r="V2144" s="77">
        <v>618</v>
      </c>
      <c r="W2144" s="82" t="s">
        <v>4833</v>
      </c>
      <c r="X2144" s="80" t="str">
        <f>HYPERLINK("https://mla.bs/7c2cc85c")</f>
        <v>https://mla.bs/7c2cc85c</v>
      </c>
      <c r="Y2144" s="77" t="s">
        <v>6506</v>
      </c>
      <c r="Z2144" s="77"/>
      <c r="AA2144" s="77"/>
      <c r="AB2144" s="77"/>
      <c r="AC2144" s="82" t="s">
        <v>7754</v>
      </c>
      <c r="AD2144" s="77" t="s">
        <v>7788</v>
      </c>
      <c r="AE2144" s="80" t="str">
        <f>HYPERLINK("https://twitter.com/einvestidor/status/1684318928397389824")</f>
        <v>https://twitter.com/einvestidor/status/1684318928397389824</v>
      </c>
      <c r="AF2144" s="79">
        <v>45133.90625</v>
      </c>
      <c r="AG2144" s="85">
        <v>45133</v>
      </c>
      <c r="AH2144" s="82" t="s">
        <v>9578</v>
      </c>
      <c r="AI2144" s="77" t="b">
        <v>0</v>
      </c>
      <c r="AJ2144" s="77"/>
      <c r="AK2144" s="77"/>
      <c r="AL2144" s="77"/>
      <c r="AM2144" s="77"/>
      <c r="AN2144" s="77"/>
      <c r="AO2144" s="77"/>
      <c r="AP2144" s="77"/>
      <c r="AQ2144" s="77"/>
      <c r="AR2144" s="77"/>
      <c r="AS2144" s="77"/>
      <c r="AT2144" s="77"/>
      <c r="AU2144" s="77"/>
      <c r="AV2144" s="80" t="str">
        <f>HYPERLINK("https://pbs.twimg.com/profile_images/1241147984924082183/gZgx_hL-_normal.jpg")</f>
        <v>https://pbs.twimg.com/profile_images/1241147984924082183/gZgx_hL-_normal.jpg</v>
      </c>
      <c r="AW2144" s="82" t="s">
        <v>13740</v>
      </c>
      <c r="AX2144" s="82" t="s">
        <v>13740</v>
      </c>
      <c r="AY2144" s="77"/>
      <c r="AZ2144" s="82" t="s">
        <v>15984</v>
      </c>
      <c r="BA2144" s="82" t="s">
        <v>15984</v>
      </c>
      <c r="BB2144" s="82" t="s">
        <v>15984</v>
      </c>
      <c r="BC2144" s="82" t="s">
        <v>13740</v>
      </c>
      <c r="BD2144" s="82" t="s">
        <v>15979</v>
      </c>
      <c r="BE2144" s="77"/>
      <c r="BF2144" s="77"/>
      <c r="BG2144" s="77"/>
      <c r="BH2144" s="77"/>
      <c r="BI2144" s="77"/>
    </row>
    <row r="2145" spans="1:61" x14ac:dyDescent="0.25">
      <c r="A2145" s="62" t="s">
        <v>387</v>
      </c>
      <c r="B2145" s="62" t="s">
        <v>387</v>
      </c>
      <c r="C2145" s="63"/>
      <c r="D2145" s="64"/>
      <c r="E2145" s="65"/>
      <c r="F2145" s="66"/>
      <c r="G2145" s="63"/>
      <c r="H2145" s="67"/>
      <c r="I2145" s="68"/>
      <c r="J2145" s="68"/>
      <c r="K2145" s="32"/>
      <c r="L2145" s="75">
        <v>2145</v>
      </c>
      <c r="M2145" s="75"/>
      <c r="N2145" s="70"/>
      <c r="O2145" s="77" t="s">
        <v>179</v>
      </c>
      <c r="P2145" s="79">
        <v>45133.895833333336</v>
      </c>
      <c r="Q2145" s="77" t="s">
        <v>2817</v>
      </c>
      <c r="R2145" s="77">
        <v>0</v>
      </c>
      <c r="S2145" s="77">
        <v>1</v>
      </c>
      <c r="T2145" s="77">
        <v>0</v>
      </c>
      <c r="U2145" s="77">
        <v>0</v>
      </c>
      <c r="V2145" s="77">
        <v>549</v>
      </c>
      <c r="W2145" s="82" t="s">
        <v>4833</v>
      </c>
      <c r="X2145" s="80" t="str">
        <f>HYPERLINK("https://mla.bs/3b3703cf")</f>
        <v>https://mla.bs/3b3703cf</v>
      </c>
      <c r="Y2145" s="77" t="s">
        <v>6506</v>
      </c>
      <c r="Z2145" s="77"/>
      <c r="AA2145" s="77"/>
      <c r="AB2145" s="77"/>
      <c r="AC2145" s="82" t="s">
        <v>7754</v>
      </c>
      <c r="AD2145" s="77" t="s">
        <v>7788</v>
      </c>
      <c r="AE2145" s="80" t="str">
        <f>HYPERLINK("https://twitter.com/einvestidor/status/1684315153100316672")</f>
        <v>https://twitter.com/einvestidor/status/1684315153100316672</v>
      </c>
      <c r="AF2145" s="79">
        <v>45133.895833333336</v>
      </c>
      <c r="AG2145" s="85">
        <v>45133</v>
      </c>
      <c r="AH2145" s="82" t="s">
        <v>8089</v>
      </c>
      <c r="AI2145" s="77" t="b">
        <v>0</v>
      </c>
      <c r="AJ2145" s="77"/>
      <c r="AK2145" s="77"/>
      <c r="AL2145" s="77"/>
      <c r="AM2145" s="77"/>
      <c r="AN2145" s="77"/>
      <c r="AO2145" s="77"/>
      <c r="AP2145" s="77"/>
      <c r="AQ2145" s="77"/>
      <c r="AR2145" s="77"/>
      <c r="AS2145" s="77"/>
      <c r="AT2145" s="77"/>
      <c r="AU2145" s="77"/>
      <c r="AV2145" s="80" t="str">
        <f>HYPERLINK("https://pbs.twimg.com/profile_images/1241147984924082183/gZgx_hL-_normal.jpg")</f>
        <v>https://pbs.twimg.com/profile_images/1241147984924082183/gZgx_hL-_normal.jpg</v>
      </c>
      <c r="AW2145" s="82" t="s">
        <v>13741</v>
      </c>
      <c r="AX2145" s="82" t="s">
        <v>13741</v>
      </c>
      <c r="AY2145" s="77"/>
      <c r="AZ2145" s="82" t="s">
        <v>15984</v>
      </c>
      <c r="BA2145" s="82" t="s">
        <v>15984</v>
      </c>
      <c r="BB2145" s="82" t="s">
        <v>15984</v>
      </c>
      <c r="BC2145" s="82" t="s">
        <v>13741</v>
      </c>
      <c r="BD2145" s="82" t="s">
        <v>15979</v>
      </c>
      <c r="BE2145" s="77"/>
      <c r="BF2145" s="77"/>
      <c r="BG2145" s="77"/>
      <c r="BH2145" s="77"/>
      <c r="BI2145" s="77"/>
    </row>
    <row r="2146" spans="1:61" x14ac:dyDescent="0.25">
      <c r="A2146" s="62" t="s">
        <v>387</v>
      </c>
      <c r="B2146" s="62" t="s">
        <v>387</v>
      </c>
      <c r="C2146" s="63"/>
      <c r="D2146" s="64"/>
      <c r="E2146" s="65"/>
      <c r="F2146" s="66"/>
      <c r="G2146" s="63"/>
      <c r="H2146" s="67"/>
      <c r="I2146" s="68"/>
      <c r="J2146" s="68"/>
      <c r="K2146" s="32"/>
      <c r="L2146" s="75">
        <v>2146</v>
      </c>
      <c r="M2146" s="75"/>
      <c r="N2146" s="70"/>
      <c r="O2146" s="77" t="s">
        <v>179</v>
      </c>
      <c r="P2146" s="79">
        <v>45133.885798611111</v>
      </c>
      <c r="Q2146" s="77" t="s">
        <v>2818</v>
      </c>
      <c r="R2146" s="77">
        <v>0</v>
      </c>
      <c r="S2146" s="77">
        <v>0</v>
      </c>
      <c r="T2146" s="77">
        <v>0</v>
      </c>
      <c r="U2146" s="77">
        <v>0</v>
      </c>
      <c r="V2146" s="77">
        <v>829</v>
      </c>
      <c r="W2146" s="82" t="s">
        <v>5915</v>
      </c>
      <c r="X2146" s="80" t="str">
        <f>HYPERLINK("https://mla.bs/6c525a00")</f>
        <v>https://mla.bs/6c525a00</v>
      </c>
      <c r="Y2146" s="77" t="s">
        <v>6506</v>
      </c>
      <c r="Z2146" s="77"/>
      <c r="AA2146" s="77"/>
      <c r="AB2146" s="77"/>
      <c r="AC2146" s="82" t="s">
        <v>7754</v>
      </c>
      <c r="AD2146" s="77" t="s">
        <v>7788</v>
      </c>
      <c r="AE2146" s="80" t="str">
        <f>HYPERLINK("https://twitter.com/einvestidor/status/1684311517703938051")</f>
        <v>https://twitter.com/einvestidor/status/1684311517703938051</v>
      </c>
      <c r="AF2146" s="79">
        <v>45133.885798611111</v>
      </c>
      <c r="AG2146" s="85">
        <v>45133</v>
      </c>
      <c r="AH2146" s="82" t="s">
        <v>9606</v>
      </c>
      <c r="AI2146" s="77" t="b">
        <v>0</v>
      </c>
      <c r="AJ2146" s="77"/>
      <c r="AK2146" s="77"/>
      <c r="AL2146" s="77"/>
      <c r="AM2146" s="77"/>
      <c r="AN2146" s="77"/>
      <c r="AO2146" s="77"/>
      <c r="AP2146" s="77"/>
      <c r="AQ2146" s="77"/>
      <c r="AR2146" s="77"/>
      <c r="AS2146" s="77"/>
      <c r="AT2146" s="77"/>
      <c r="AU2146" s="77"/>
      <c r="AV2146" s="80" t="str">
        <f>HYPERLINK("https://pbs.twimg.com/profile_images/1241147984924082183/gZgx_hL-_normal.jpg")</f>
        <v>https://pbs.twimg.com/profile_images/1241147984924082183/gZgx_hL-_normal.jpg</v>
      </c>
      <c r="AW2146" s="82" t="s">
        <v>13742</v>
      </c>
      <c r="AX2146" s="82" t="s">
        <v>13742</v>
      </c>
      <c r="AY2146" s="77"/>
      <c r="AZ2146" s="82" t="s">
        <v>15984</v>
      </c>
      <c r="BA2146" s="82" t="s">
        <v>15984</v>
      </c>
      <c r="BB2146" s="82" t="s">
        <v>15984</v>
      </c>
      <c r="BC2146" s="82" t="s">
        <v>13742</v>
      </c>
      <c r="BD2146" s="82" t="s">
        <v>15979</v>
      </c>
      <c r="BE2146" s="77"/>
      <c r="BF2146" s="77"/>
      <c r="BG2146" s="77"/>
      <c r="BH2146" s="77"/>
      <c r="BI2146" s="77"/>
    </row>
    <row r="2147" spans="1:61" x14ac:dyDescent="0.25">
      <c r="A2147" s="62" t="s">
        <v>387</v>
      </c>
      <c r="B2147" s="62" t="s">
        <v>387</v>
      </c>
      <c r="C2147" s="63"/>
      <c r="D2147" s="64"/>
      <c r="E2147" s="65"/>
      <c r="F2147" s="66"/>
      <c r="G2147" s="63"/>
      <c r="H2147" s="67"/>
      <c r="I2147" s="68"/>
      <c r="J2147" s="68"/>
      <c r="K2147" s="32"/>
      <c r="L2147" s="75">
        <v>2147</v>
      </c>
      <c r="M2147" s="75"/>
      <c r="N2147" s="70"/>
      <c r="O2147" s="77" t="s">
        <v>179</v>
      </c>
      <c r="P2147" s="79">
        <v>45133.885416666664</v>
      </c>
      <c r="Q2147" s="77" t="s">
        <v>2819</v>
      </c>
      <c r="R2147" s="77">
        <v>0</v>
      </c>
      <c r="S2147" s="77">
        <v>0</v>
      </c>
      <c r="T2147" s="77">
        <v>1</v>
      </c>
      <c r="U2147" s="77">
        <v>0</v>
      </c>
      <c r="V2147" s="77">
        <v>670</v>
      </c>
      <c r="W2147" s="82" t="s">
        <v>4833</v>
      </c>
      <c r="X2147" s="80" t="str">
        <f>HYPERLINK("https://mla.bs/00c70afb")</f>
        <v>https://mla.bs/00c70afb</v>
      </c>
      <c r="Y2147" s="77" t="s">
        <v>6506</v>
      </c>
      <c r="Z2147" s="77"/>
      <c r="AA2147" s="77"/>
      <c r="AB2147" s="77"/>
      <c r="AC2147" s="82" t="s">
        <v>7754</v>
      </c>
      <c r="AD2147" s="77" t="s">
        <v>7788</v>
      </c>
      <c r="AE2147" s="80" t="str">
        <f>HYPERLINK("https://twitter.com/einvestidor/status/1684311378205757440")</f>
        <v>https://twitter.com/einvestidor/status/1684311378205757440</v>
      </c>
      <c r="AF2147" s="79">
        <v>45133.885416666664</v>
      </c>
      <c r="AG2147" s="85">
        <v>45133</v>
      </c>
      <c r="AH2147" s="82" t="s">
        <v>8206</v>
      </c>
      <c r="AI2147" s="77" t="b">
        <v>0</v>
      </c>
      <c r="AJ2147" s="77"/>
      <c r="AK2147" s="77"/>
      <c r="AL2147" s="77"/>
      <c r="AM2147" s="77"/>
      <c r="AN2147" s="77"/>
      <c r="AO2147" s="77"/>
      <c r="AP2147" s="77"/>
      <c r="AQ2147" s="77"/>
      <c r="AR2147" s="77"/>
      <c r="AS2147" s="77"/>
      <c r="AT2147" s="77"/>
      <c r="AU2147" s="77"/>
      <c r="AV2147" s="80" t="str">
        <f>HYPERLINK("https://pbs.twimg.com/profile_images/1241147984924082183/gZgx_hL-_normal.jpg")</f>
        <v>https://pbs.twimg.com/profile_images/1241147984924082183/gZgx_hL-_normal.jpg</v>
      </c>
      <c r="AW2147" s="82" t="s">
        <v>13743</v>
      </c>
      <c r="AX2147" s="82" t="s">
        <v>13743</v>
      </c>
      <c r="AY2147" s="77"/>
      <c r="AZ2147" s="82" t="s">
        <v>15984</v>
      </c>
      <c r="BA2147" s="82" t="s">
        <v>15984</v>
      </c>
      <c r="BB2147" s="82" t="s">
        <v>15984</v>
      </c>
      <c r="BC2147" s="82" t="s">
        <v>13743</v>
      </c>
      <c r="BD2147" s="82" t="s">
        <v>15979</v>
      </c>
      <c r="BE2147" s="77"/>
      <c r="BF2147" s="77"/>
      <c r="BG2147" s="77"/>
      <c r="BH2147" s="77"/>
      <c r="BI2147" s="77"/>
    </row>
    <row r="2148" spans="1:61" x14ac:dyDescent="0.25">
      <c r="A2148" s="62" t="s">
        <v>387</v>
      </c>
      <c r="B2148" s="62" t="s">
        <v>387</v>
      </c>
      <c r="C2148" s="63"/>
      <c r="D2148" s="64"/>
      <c r="E2148" s="65"/>
      <c r="F2148" s="66"/>
      <c r="G2148" s="63"/>
      <c r="H2148" s="67"/>
      <c r="I2148" s="68"/>
      <c r="J2148" s="68"/>
      <c r="K2148" s="32"/>
      <c r="L2148" s="75">
        <v>2148</v>
      </c>
      <c r="M2148" s="75"/>
      <c r="N2148" s="70"/>
      <c r="O2148" s="77" t="s">
        <v>179</v>
      </c>
      <c r="P2148" s="79">
        <v>45133.885196759256</v>
      </c>
      <c r="Q2148" s="77" t="s">
        <v>2820</v>
      </c>
      <c r="R2148" s="77">
        <v>0</v>
      </c>
      <c r="S2148" s="77">
        <v>1</v>
      </c>
      <c r="T2148" s="77">
        <v>0</v>
      </c>
      <c r="U2148" s="77">
        <v>0</v>
      </c>
      <c r="V2148" s="77">
        <v>636</v>
      </c>
      <c r="W2148" s="82" t="s">
        <v>5916</v>
      </c>
      <c r="X2148" s="80" t="str">
        <f>HYPERLINK("https://mla.bs/c02231bf")</f>
        <v>https://mla.bs/c02231bf</v>
      </c>
      <c r="Y2148" s="77" t="s">
        <v>6506</v>
      </c>
      <c r="Z2148" s="77"/>
      <c r="AA2148" s="77"/>
      <c r="AB2148" s="77"/>
      <c r="AC2148" s="82" t="s">
        <v>7754</v>
      </c>
      <c r="AD2148" s="77" t="s">
        <v>7788</v>
      </c>
      <c r="AE2148" s="80" t="str">
        <f>HYPERLINK("https://twitter.com/einvestidor/status/1684311298752880641")</f>
        <v>https://twitter.com/einvestidor/status/1684311298752880641</v>
      </c>
      <c r="AF2148" s="79">
        <v>45133.885196759256</v>
      </c>
      <c r="AG2148" s="85">
        <v>45133</v>
      </c>
      <c r="AH2148" s="82" t="s">
        <v>9607</v>
      </c>
      <c r="AI2148" s="77" t="b">
        <v>0</v>
      </c>
      <c r="AJ2148" s="77"/>
      <c r="AK2148" s="77"/>
      <c r="AL2148" s="77"/>
      <c r="AM2148" s="77"/>
      <c r="AN2148" s="77"/>
      <c r="AO2148" s="77"/>
      <c r="AP2148" s="77"/>
      <c r="AQ2148" s="77"/>
      <c r="AR2148" s="77"/>
      <c r="AS2148" s="77"/>
      <c r="AT2148" s="77"/>
      <c r="AU2148" s="77"/>
      <c r="AV2148" s="80" t="str">
        <f>HYPERLINK("https://pbs.twimg.com/profile_images/1241147984924082183/gZgx_hL-_normal.jpg")</f>
        <v>https://pbs.twimg.com/profile_images/1241147984924082183/gZgx_hL-_normal.jpg</v>
      </c>
      <c r="AW2148" s="82" t="s">
        <v>13744</v>
      </c>
      <c r="AX2148" s="82" t="s">
        <v>13744</v>
      </c>
      <c r="AY2148" s="77"/>
      <c r="AZ2148" s="82" t="s">
        <v>15984</v>
      </c>
      <c r="BA2148" s="82" t="s">
        <v>15984</v>
      </c>
      <c r="BB2148" s="82" t="s">
        <v>15984</v>
      </c>
      <c r="BC2148" s="82" t="s">
        <v>13744</v>
      </c>
      <c r="BD2148" s="82" t="s">
        <v>15979</v>
      </c>
      <c r="BE2148" s="77"/>
      <c r="BF2148" s="77"/>
      <c r="BG2148" s="77"/>
      <c r="BH2148" s="77"/>
      <c r="BI2148" s="77"/>
    </row>
    <row r="2149" spans="1:61" x14ac:dyDescent="0.25">
      <c r="A2149" s="62" t="s">
        <v>387</v>
      </c>
      <c r="B2149" s="62" t="s">
        <v>387</v>
      </c>
      <c r="C2149" s="63"/>
      <c r="D2149" s="64"/>
      <c r="E2149" s="65"/>
      <c r="F2149" s="66"/>
      <c r="G2149" s="63"/>
      <c r="H2149" s="67"/>
      <c r="I2149" s="68"/>
      <c r="J2149" s="68"/>
      <c r="K2149" s="32"/>
      <c r="L2149" s="75">
        <v>2149</v>
      </c>
      <c r="M2149" s="75"/>
      <c r="N2149" s="70"/>
      <c r="O2149" s="77" t="s">
        <v>179</v>
      </c>
      <c r="P2149" s="79">
        <v>45133.864583333336</v>
      </c>
      <c r="Q2149" s="77" t="s">
        <v>2821</v>
      </c>
      <c r="R2149" s="77">
        <v>0</v>
      </c>
      <c r="S2149" s="77">
        <v>0</v>
      </c>
      <c r="T2149" s="77">
        <v>0</v>
      </c>
      <c r="U2149" s="77">
        <v>0</v>
      </c>
      <c r="V2149" s="77">
        <v>550</v>
      </c>
      <c r="W2149" s="82" t="s">
        <v>5917</v>
      </c>
      <c r="X2149" s="80" t="str">
        <f>HYPERLINK("https://mla.bs/67e7527a")</f>
        <v>https://mla.bs/67e7527a</v>
      </c>
      <c r="Y2149" s="77" t="s">
        <v>6506</v>
      </c>
      <c r="Z2149" s="77"/>
      <c r="AA2149" s="77"/>
      <c r="AB2149" s="77"/>
      <c r="AC2149" s="82" t="s">
        <v>7754</v>
      </c>
      <c r="AD2149" s="77" t="s">
        <v>7788</v>
      </c>
      <c r="AE2149" s="80" t="str">
        <f>HYPERLINK("https://twitter.com/einvestidor/status/1684303828752162821")</f>
        <v>https://twitter.com/einvestidor/status/1684303828752162821</v>
      </c>
      <c r="AF2149" s="79">
        <v>45133.864583333336</v>
      </c>
      <c r="AG2149" s="85">
        <v>45133</v>
      </c>
      <c r="AH2149" s="82" t="s">
        <v>9596</v>
      </c>
      <c r="AI2149" s="77" t="b">
        <v>0</v>
      </c>
      <c r="AJ2149" s="77"/>
      <c r="AK2149" s="77"/>
      <c r="AL2149" s="77"/>
      <c r="AM2149" s="77"/>
      <c r="AN2149" s="77"/>
      <c r="AO2149" s="77"/>
      <c r="AP2149" s="77"/>
      <c r="AQ2149" s="77"/>
      <c r="AR2149" s="77"/>
      <c r="AS2149" s="77"/>
      <c r="AT2149" s="77"/>
      <c r="AU2149" s="77"/>
      <c r="AV2149" s="80" t="str">
        <f>HYPERLINK("https://pbs.twimg.com/profile_images/1241147984924082183/gZgx_hL-_normal.jpg")</f>
        <v>https://pbs.twimg.com/profile_images/1241147984924082183/gZgx_hL-_normal.jpg</v>
      </c>
      <c r="AW2149" s="82" t="s">
        <v>13745</v>
      </c>
      <c r="AX2149" s="82" t="s">
        <v>13745</v>
      </c>
      <c r="AY2149" s="77"/>
      <c r="AZ2149" s="82" t="s">
        <v>15984</v>
      </c>
      <c r="BA2149" s="82" t="s">
        <v>15984</v>
      </c>
      <c r="BB2149" s="82" t="s">
        <v>15984</v>
      </c>
      <c r="BC2149" s="82" t="s">
        <v>13745</v>
      </c>
      <c r="BD2149" s="82" t="s">
        <v>15979</v>
      </c>
      <c r="BE2149" s="77"/>
      <c r="BF2149" s="77"/>
      <c r="BG2149" s="77"/>
      <c r="BH2149" s="77"/>
      <c r="BI2149" s="77"/>
    </row>
    <row r="2150" spans="1:61" x14ac:dyDescent="0.25">
      <c r="A2150" s="62" t="s">
        <v>387</v>
      </c>
      <c r="B2150" s="62" t="s">
        <v>387</v>
      </c>
      <c r="C2150" s="63"/>
      <c r="D2150" s="64"/>
      <c r="E2150" s="65"/>
      <c r="F2150" s="66"/>
      <c r="G2150" s="63"/>
      <c r="H2150" s="67"/>
      <c r="I2150" s="68"/>
      <c r="J2150" s="68"/>
      <c r="K2150" s="32"/>
      <c r="L2150" s="75">
        <v>2150</v>
      </c>
      <c r="M2150" s="75"/>
      <c r="N2150" s="70"/>
      <c r="O2150" s="77" t="s">
        <v>179</v>
      </c>
      <c r="P2150" s="79">
        <v>45133.854166666664</v>
      </c>
      <c r="Q2150" s="77" t="s">
        <v>2822</v>
      </c>
      <c r="R2150" s="77">
        <v>0</v>
      </c>
      <c r="S2150" s="77">
        <v>0</v>
      </c>
      <c r="T2150" s="77">
        <v>0</v>
      </c>
      <c r="U2150" s="77">
        <v>0</v>
      </c>
      <c r="V2150" s="77">
        <v>519</v>
      </c>
      <c r="W2150" s="82" t="s">
        <v>4833</v>
      </c>
      <c r="X2150" s="80" t="str">
        <f>HYPERLINK("https://mla.bs/51c5088d")</f>
        <v>https://mla.bs/51c5088d</v>
      </c>
      <c r="Y2150" s="77" t="s">
        <v>6506</v>
      </c>
      <c r="Z2150" s="77"/>
      <c r="AA2150" s="77"/>
      <c r="AB2150" s="77"/>
      <c r="AC2150" s="82" t="s">
        <v>7754</v>
      </c>
      <c r="AD2150" s="77" t="s">
        <v>7788</v>
      </c>
      <c r="AE2150" s="80" t="str">
        <f>HYPERLINK("https://twitter.com/einvestidor/status/1684300055753158658")</f>
        <v>https://twitter.com/einvestidor/status/1684300055753158658</v>
      </c>
      <c r="AF2150" s="79">
        <v>45133.854166666664</v>
      </c>
      <c r="AG2150" s="85">
        <v>45133</v>
      </c>
      <c r="AH2150" s="82" t="s">
        <v>8090</v>
      </c>
      <c r="AI2150" s="77" t="b">
        <v>0</v>
      </c>
      <c r="AJ2150" s="77"/>
      <c r="AK2150" s="77"/>
      <c r="AL2150" s="77"/>
      <c r="AM2150" s="77"/>
      <c r="AN2150" s="77"/>
      <c r="AO2150" s="77"/>
      <c r="AP2150" s="77"/>
      <c r="AQ2150" s="77"/>
      <c r="AR2150" s="77"/>
      <c r="AS2150" s="77"/>
      <c r="AT2150" s="77"/>
      <c r="AU2150" s="77"/>
      <c r="AV2150" s="80" t="str">
        <f>HYPERLINK("https://pbs.twimg.com/profile_images/1241147984924082183/gZgx_hL-_normal.jpg")</f>
        <v>https://pbs.twimg.com/profile_images/1241147984924082183/gZgx_hL-_normal.jpg</v>
      </c>
      <c r="AW2150" s="82" t="s">
        <v>13746</v>
      </c>
      <c r="AX2150" s="82" t="s">
        <v>13746</v>
      </c>
      <c r="AY2150" s="77"/>
      <c r="AZ2150" s="82" t="s">
        <v>15984</v>
      </c>
      <c r="BA2150" s="82" t="s">
        <v>15984</v>
      </c>
      <c r="BB2150" s="82" t="s">
        <v>15984</v>
      </c>
      <c r="BC2150" s="82" t="s">
        <v>13746</v>
      </c>
      <c r="BD2150" s="82" t="s">
        <v>15979</v>
      </c>
      <c r="BE2150" s="77"/>
      <c r="BF2150" s="77"/>
      <c r="BG2150" s="77"/>
      <c r="BH2150" s="77"/>
      <c r="BI2150" s="77"/>
    </row>
    <row r="2151" spans="1:61" x14ac:dyDescent="0.25">
      <c r="A2151" s="62" t="s">
        <v>387</v>
      </c>
      <c r="B2151" s="62" t="s">
        <v>387</v>
      </c>
      <c r="C2151" s="63"/>
      <c r="D2151" s="64"/>
      <c r="E2151" s="65"/>
      <c r="F2151" s="66"/>
      <c r="G2151" s="63"/>
      <c r="H2151" s="67"/>
      <c r="I2151" s="68"/>
      <c r="J2151" s="68"/>
      <c r="K2151" s="32"/>
      <c r="L2151" s="75">
        <v>2151</v>
      </c>
      <c r="M2151" s="75"/>
      <c r="N2151" s="70"/>
      <c r="O2151" s="77" t="s">
        <v>179</v>
      </c>
      <c r="P2151" s="79">
        <v>45133.84375</v>
      </c>
      <c r="Q2151" s="77" t="s">
        <v>2823</v>
      </c>
      <c r="R2151" s="77">
        <v>0</v>
      </c>
      <c r="S2151" s="77">
        <v>6</v>
      </c>
      <c r="T2151" s="77">
        <v>0</v>
      </c>
      <c r="U2151" s="77">
        <v>0</v>
      </c>
      <c r="V2151" s="77">
        <v>926</v>
      </c>
      <c r="W2151" s="82" t="s">
        <v>5918</v>
      </c>
      <c r="X2151" s="80" t="str">
        <f>HYPERLINK("https://mla.bs/e2905e0f")</f>
        <v>https://mla.bs/e2905e0f</v>
      </c>
      <c r="Y2151" s="77" t="s">
        <v>6506</v>
      </c>
      <c r="Z2151" s="77"/>
      <c r="AA2151" s="77"/>
      <c r="AB2151" s="77"/>
      <c r="AC2151" s="82" t="s">
        <v>7754</v>
      </c>
      <c r="AD2151" s="77" t="s">
        <v>7788</v>
      </c>
      <c r="AE2151" s="80" t="str">
        <f>HYPERLINK("https://twitter.com/einvestidor/status/1684296278681739264")</f>
        <v>https://twitter.com/einvestidor/status/1684296278681739264</v>
      </c>
      <c r="AF2151" s="79">
        <v>45133.84375</v>
      </c>
      <c r="AG2151" s="85">
        <v>45133</v>
      </c>
      <c r="AH2151" s="82" t="s">
        <v>9296</v>
      </c>
      <c r="AI2151" s="77" t="b">
        <v>0</v>
      </c>
      <c r="AJ2151" s="77"/>
      <c r="AK2151" s="77"/>
      <c r="AL2151" s="77"/>
      <c r="AM2151" s="77"/>
      <c r="AN2151" s="77"/>
      <c r="AO2151" s="77"/>
      <c r="AP2151" s="77"/>
      <c r="AQ2151" s="77"/>
      <c r="AR2151" s="77"/>
      <c r="AS2151" s="77"/>
      <c r="AT2151" s="77"/>
      <c r="AU2151" s="77"/>
      <c r="AV2151" s="80" t="str">
        <f>HYPERLINK("https://pbs.twimg.com/profile_images/1241147984924082183/gZgx_hL-_normal.jpg")</f>
        <v>https://pbs.twimg.com/profile_images/1241147984924082183/gZgx_hL-_normal.jpg</v>
      </c>
      <c r="AW2151" s="82" t="s">
        <v>13747</v>
      </c>
      <c r="AX2151" s="82" t="s">
        <v>13747</v>
      </c>
      <c r="AY2151" s="77"/>
      <c r="AZ2151" s="82" t="s">
        <v>15984</v>
      </c>
      <c r="BA2151" s="82" t="s">
        <v>15984</v>
      </c>
      <c r="BB2151" s="82" t="s">
        <v>15984</v>
      </c>
      <c r="BC2151" s="82" t="s">
        <v>13747</v>
      </c>
      <c r="BD2151" s="82" t="s">
        <v>15979</v>
      </c>
      <c r="BE2151" s="77"/>
      <c r="BF2151" s="77"/>
      <c r="BG2151" s="77"/>
      <c r="BH2151" s="77"/>
      <c r="BI2151" s="77"/>
    </row>
    <row r="2152" spans="1:61" x14ac:dyDescent="0.25">
      <c r="A2152" s="62" t="s">
        <v>387</v>
      </c>
      <c r="B2152" s="62" t="s">
        <v>387</v>
      </c>
      <c r="C2152" s="63"/>
      <c r="D2152" s="64"/>
      <c r="E2152" s="65"/>
      <c r="F2152" s="66"/>
      <c r="G2152" s="63"/>
      <c r="H2152" s="67"/>
      <c r="I2152" s="68"/>
      <c r="J2152" s="68"/>
      <c r="K2152" s="32"/>
      <c r="L2152" s="75">
        <v>2152</v>
      </c>
      <c r="M2152" s="75"/>
      <c r="N2152" s="70"/>
      <c r="O2152" s="77" t="s">
        <v>179</v>
      </c>
      <c r="P2152" s="79">
        <v>45125.833865740744</v>
      </c>
      <c r="Q2152" s="77" t="s">
        <v>2824</v>
      </c>
      <c r="R2152" s="77">
        <v>0</v>
      </c>
      <c r="S2152" s="77">
        <v>3</v>
      </c>
      <c r="T2152" s="77">
        <v>0</v>
      </c>
      <c r="U2152" s="77">
        <v>0</v>
      </c>
      <c r="V2152" s="77">
        <v>743</v>
      </c>
      <c r="W2152" s="82" t="s">
        <v>4833</v>
      </c>
      <c r="X2152" s="80" t="str">
        <f>HYPERLINK("https://mla.bs/fe479f01")</f>
        <v>https://mla.bs/fe479f01</v>
      </c>
      <c r="Y2152" s="77" t="s">
        <v>6506</v>
      </c>
      <c r="Z2152" s="77"/>
      <c r="AA2152" s="77"/>
      <c r="AB2152" s="77"/>
      <c r="AC2152" s="82" t="s">
        <v>7757</v>
      </c>
      <c r="AD2152" s="77" t="s">
        <v>7788</v>
      </c>
      <c r="AE2152" s="80" t="str">
        <f>HYPERLINK("https://twitter.com/einvestidor/status/1681393596505653248")</f>
        <v>https://twitter.com/einvestidor/status/1681393596505653248</v>
      </c>
      <c r="AF2152" s="79">
        <v>45125.833865740744</v>
      </c>
      <c r="AG2152" s="85">
        <v>45125</v>
      </c>
      <c r="AH2152" s="82" t="s">
        <v>9608</v>
      </c>
      <c r="AI2152" s="77" t="b">
        <v>0</v>
      </c>
      <c r="AJ2152" s="77"/>
      <c r="AK2152" s="77"/>
      <c r="AL2152" s="77"/>
      <c r="AM2152" s="77"/>
      <c r="AN2152" s="77"/>
      <c r="AO2152" s="77"/>
      <c r="AP2152" s="77"/>
      <c r="AQ2152" s="77"/>
      <c r="AR2152" s="77"/>
      <c r="AS2152" s="77"/>
      <c r="AT2152" s="77"/>
      <c r="AU2152" s="77"/>
      <c r="AV2152" s="80" t="str">
        <f>HYPERLINK("https://pbs.twimg.com/profile_images/1241147984924082183/gZgx_hL-_normal.jpg")</f>
        <v>https://pbs.twimg.com/profile_images/1241147984924082183/gZgx_hL-_normal.jpg</v>
      </c>
      <c r="AW2152" s="82" t="s">
        <v>13748</v>
      </c>
      <c r="AX2152" s="82" t="s">
        <v>13748</v>
      </c>
      <c r="AY2152" s="77"/>
      <c r="AZ2152" s="82" t="s">
        <v>15984</v>
      </c>
      <c r="BA2152" s="82" t="s">
        <v>15984</v>
      </c>
      <c r="BB2152" s="82" t="s">
        <v>15984</v>
      </c>
      <c r="BC2152" s="82" t="s">
        <v>13748</v>
      </c>
      <c r="BD2152" s="82" t="s">
        <v>15979</v>
      </c>
      <c r="BE2152" s="77"/>
      <c r="BF2152" s="77"/>
      <c r="BG2152" s="77"/>
      <c r="BH2152" s="77"/>
      <c r="BI2152" s="77"/>
    </row>
    <row r="2153" spans="1:61" x14ac:dyDescent="0.25">
      <c r="A2153" s="62" t="s">
        <v>387</v>
      </c>
      <c r="B2153" s="62" t="s">
        <v>387</v>
      </c>
      <c r="C2153" s="63"/>
      <c r="D2153" s="64"/>
      <c r="E2153" s="65"/>
      <c r="F2153" s="66"/>
      <c r="G2153" s="63"/>
      <c r="H2153" s="67"/>
      <c r="I2153" s="68"/>
      <c r="J2153" s="68"/>
      <c r="K2153" s="32"/>
      <c r="L2153" s="75">
        <v>2153</v>
      </c>
      <c r="M2153" s="75"/>
      <c r="N2153" s="70"/>
      <c r="O2153" s="77" t="s">
        <v>179</v>
      </c>
      <c r="P2153" s="79">
        <v>45125.819548611114</v>
      </c>
      <c r="Q2153" s="77" t="s">
        <v>2825</v>
      </c>
      <c r="R2153" s="77">
        <v>0</v>
      </c>
      <c r="S2153" s="77">
        <v>1</v>
      </c>
      <c r="T2153" s="77">
        <v>0</v>
      </c>
      <c r="U2153" s="77">
        <v>0</v>
      </c>
      <c r="V2153" s="77">
        <v>627</v>
      </c>
      <c r="W2153" s="82" t="s">
        <v>5919</v>
      </c>
      <c r="X2153" s="80" t="str">
        <f>HYPERLINK("https://mla.bs/3250a81e")</f>
        <v>https://mla.bs/3250a81e</v>
      </c>
      <c r="Y2153" s="77" t="s">
        <v>6506</v>
      </c>
      <c r="Z2153" s="77"/>
      <c r="AA2153" s="77"/>
      <c r="AB2153" s="77"/>
      <c r="AC2153" s="82" t="s">
        <v>7757</v>
      </c>
      <c r="AD2153" s="77" t="s">
        <v>7788</v>
      </c>
      <c r="AE2153" s="80" t="str">
        <f>HYPERLINK("https://twitter.com/einvestidor/status/1681388408759779343")</f>
        <v>https://twitter.com/einvestidor/status/1681388408759779343</v>
      </c>
      <c r="AF2153" s="79">
        <v>45125.819548611114</v>
      </c>
      <c r="AG2153" s="85">
        <v>45125</v>
      </c>
      <c r="AH2153" s="82" t="s">
        <v>9609</v>
      </c>
      <c r="AI2153" s="77" t="b">
        <v>0</v>
      </c>
      <c r="AJ2153" s="77"/>
      <c r="AK2153" s="77"/>
      <c r="AL2153" s="77"/>
      <c r="AM2153" s="77"/>
      <c r="AN2153" s="77"/>
      <c r="AO2153" s="77"/>
      <c r="AP2153" s="77"/>
      <c r="AQ2153" s="77"/>
      <c r="AR2153" s="77"/>
      <c r="AS2153" s="77"/>
      <c r="AT2153" s="77"/>
      <c r="AU2153" s="77"/>
      <c r="AV2153" s="80" t="str">
        <f>HYPERLINK("https://pbs.twimg.com/profile_images/1241147984924082183/gZgx_hL-_normal.jpg")</f>
        <v>https://pbs.twimg.com/profile_images/1241147984924082183/gZgx_hL-_normal.jpg</v>
      </c>
      <c r="AW2153" s="82" t="s">
        <v>13749</v>
      </c>
      <c r="AX2153" s="82" t="s">
        <v>13749</v>
      </c>
      <c r="AY2153" s="77"/>
      <c r="AZ2153" s="82" t="s">
        <v>15984</v>
      </c>
      <c r="BA2153" s="82" t="s">
        <v>15984</v>
      </c>
      <c r="BB2153" s="82" t="s">
        <v>15984</v>
      </c>
      <c r="BC2153" s="82" t="s">
        <v>13749</v>
      </c>
      <c r="BD2153" s="82" t="s">
        <v>15979</v>
      </c>
      <c r="BE2153" s="77"/>
      <c r="BF2153" s="77"/>
      <c r="BG2153" s="77"/>
      <c r="BH2153" s="77"/>
      <c r="BI2153" s="77"/>
    </row>
    <row r="2154" spans="1:61" x14ac:dyDescent="0.25">
      <c r="A2154" s="62" t="s">
        <v>387</v>
      </c>
      <c r="B2154" s="62" t="s">
        <v>387</v>
      </c>
      <c r="C2154" s="63"/>
      <c r="D2154" s="64"/>
      <c r="E2154" s="65"/>
      <c r="F2154" s="66"/>
      <c r="G2154" s="63"/>
      <c r="H2154" s="67"/>
      <c r="I2154" s="68"/>
      <c r="J2154" s="68"/>
      <c r="K2154" s="32"/>
      <c r="L2154" s="75">
        <v>2154</v>
      </c>
      <c r="M2154" s="75"/>
      <c r="N2154" s="70"/>
      <c r="O2154" s="77" t="s">
        <v>179</v>
      </c>
      <c r="P2154" s="79">
        <v>45125.80568287037</v>
      </c>
      <c r="Q2154" s="77" t="s">
        <v>2826</v>
      </c>
      <c r="R2154" s="77">
        <v>0</v>
      </c>
      <c r="S2154" s="77">
        <v>1</v>
      </c>
      <c r="T2154" s="77">
        <v>0</v>
      </c>
      <c r="U2154" s="77">
        <v>0</v>
      </c>
      <c r="V2154" s="77">
        <v>679</v>
      </c>
      <c r="W2154" s="82" t="s">
        <v>4833</v>
      </c>
      <c r="X2154" s="80" t="str">
        <f>HYPERLINK("https://mla.bs/f90c4e64")</f>
        <v>https://mla.bs/f90c4e64</v>
      </c>
      <c r="Y2154" s="77" t="s">
        <v>6506</v>
      </c>
      <c r="Z2154" s="77"/>
      <c r="AA2154" s="77"/>
      <c r="AB2154" s="77"/>
      <c r="AC2154" s="82" t="s">
        <v>7757</v>
      </c>
      <c r="AD2154" s="77" t="s">
        <v>7788</v>
      </c>
      <c r="AE2154" s="80" t="str">
        <f>HYPERLINK("https://twitter.com/einvestidor/status/1681383382180036623")</f>
        <v>https://twitter.com/einvestidor/status/1681383382180036623</v>
      </c>
      <c r="AF2154" s="79">
        <v>45125.80568287037</v>
      </c>
      <c r="AG2154" s="85">
        <v>45125</v>
      </c>
      <c r="AH2154" s="82" t="s">
        <v>9610</v>
      </c>
      <c r="AI2154" s="77" t="b">
        <v>0</v>
      </c>
      <c r="AJ2154" s="77"/>
      <c r="AK2154" s="77"/>
      <c r="AL2154" s="77"/>
      <c r="AM2154" s="77"/>
      <c r="AN2154" s="77"/>
      <c r="AO2154" s="77"/>
      <c r="AP2154" s="77"/>
      <c r="AQ2154" s="77"/>
      <c r="AR2154" s="77"/>
      <c r="AS2154" s="77"/>
      <c r="AT2154" s="77"/>
      <c r="AU2154" s="77"/>
      <c r="AV2154" s="80" t="str">
        <f>HYPERLINK("https://pbs.twimg.com/profile_images/1241147984924082183/gZgx_hL-_normal.jpg")</f>
        <v>https://pbs.twimg.com/profile_images/1241147984924082183/gZgx_hL-_normal.jpg</v>
      </c>
      <c r="AW2154" s="82" t="s">
        <v>13750</v>
      </c>
      <c r="AX2154" s="82" t="s">
        <v>13750</v>
      </c>
      <c r="AY2154" s="77"/>
      <c r="AZ2154" s="82" t="s">
        <v>15984</v>
      </c>
      <c r="BA2154" s="82" t="s">
        <v>15984</v>
      </c>
      <c r="BB2154" s="82" t="s">
        <v>15984</v>
      </c>
      <c r="BC2154" s="82" t="s">
        <v>13750</v>
      </c>
      <c r="BD2154" s="82" t="s">
        <v>15979</v>
      </c>
      <c r="BE2154" s="77"/>
      <c r="BF2154" s="77"/>
      <c r="BG2154" s="77"/>
      <c r="BH2154" s="77"/>
      <c r="BI2154" s="77"/>
    </row>
    <row r="2155" spans="1:61" x14ac:dyDescent="0.25">
      <c r="A2155" s="62" t="s">
        <v>387</v>
      </c>
      <c r="B2155" s="62" t="s">
        <v>387</v>
      </c>
      <c r="C2155" s="63"/>
      <c r="D2155" s="64"/>
      <c r="E2155" s="65"/>
      <c r="F2155" s="66"/>
      <c r="G2155" s="63"/>
      <c r="H2155" s="67"/>
      <c r="I2155" s="68"/>
      <c r="J2155" s="68"/>
      <c r="K2155" s="32"/>
      <c r="L2155" s="75">
        <v>2155</v>
      </c>
      <c r="M2155" s="75"/>
      <c r="N2155" s="70"/>
      <c r="O2155" s="77" t="s">
        <v>179</v>
      </c>
      <c r="P2155" s="79">
        <v>45125.750613425924</v>
      </c>
      <c r="Q2155" s="77" t="s">
        <v>2827</v>
      </c>
      <c r="R2155" s="77">
        <v>0</v>
      </c>
      <c r="S2155" s="77">
        <v>2</v>
      </c>
      <c r="T2155" s="77">
        <v>0</v>
      </c>
      <c r="U2155" s="77">
        <v>0</v>
      </c>
      <c r="V2155" s="77">
        <v>599</v>
      </c>
      <c r="W2155" s="82" t="s">
        <v>4833</v>
      </c>
      <c r="X2155" s="80" t="str">
        <f>HYPERLINK("https://mla.bs/956ac664")</f>
        <v>https://mla.bs/956ac664</v>
      </c>
      <c r="Y2155" s="77" t="s">
        <v>6506</v>
      </c>
      <c r="Z2155" s="77"/>
      <c r="AA2155" s="77"/>
      <c r="AB2155" s="77"/>
      <c r="AC2155" s="82" t="s">
        <v>7757</v>
      </c>
      <c r="AD2155" s="77" t="s">
        <v>7788</v>
      </c>
      <c r="AE2155" s="80" t="str">
        <f>HYPERLINK("https://twitter.com/einvestidor/status/1681363425501347840")</f>
        <v>https://twitter.com/einvestidor/status/1681363425501347840</v>
      </c>
      <c r="AF2155" s="79">
        <v>45125.750613425924</v>
      </c>
      <c r="AG2155" s="85">
        <v>45125</v>
      </c>
      <c r="AH2155" s="82" t="s">
        <v>9611</v>
      </c>
      <c r="AI2155" s="77" t="b">
        <v>0</v>
      </c>
      <c r="AJ2155" s="77"/>
      <c r="AK2155" s="77"/>
      <c r="AL2155" s="77"/>
      <c r="AM2155" s="77"/>
      <c r="AN2155" s="77"/>
      <c r="AO2155" s="77"/>
      <c r="AP2155" s="77"/>
      <c r="AQ2155" s="77"/>
      <c r="AR2155" s="77"/>
      <c r="AS2155" s="77"/>
      <c r="AT2155" s="77"/>
      <c r="AU2155" s="77"/>
      <c r="AV2155" s="80" t="str">
        <f>HYPERLINK("https://pbs.twimg.com/profile_images/1241147984924082183/gZgx_hL-_normal.jpg")</f>
        <v>https://pbs.twimg.com/profile_images/1241147984924082183/gZgx_hL-_normal.jpg</v>
      </c>
      <c r="AW2155" s="82" t="s">
        <v>13751</v>
      </c>
      <c r="AX2155" s="82" t="s">
        <v>13751</v>
      </c>
      <c r="AY2155" s="77"/>
      <c r="AZ2155" s="82" t="s">
        <v>15984</v>
      </c>
      <c r="BA2155" s="82" t="s">
        <v>15984</v>
      </c>
      <c r="BB2155" s="82" t="s">
        <v>15984</v>
      </c>
      <c r="BC2155" s="82" t="s">
        <v>13751</v>
      </c>
      <c r="BD2155" s="82" t="s">
        <v>15979</v>
      </c>
      <c r="BE2155" s="77"/>
      <c r="BF2155" s="77"/>
      <c r="BG2155" s="77"/>
      <c r="BH2155" s="77"/>
      <c r="BI2155" s="77"/>
    </row>
    <row r="2156" spans="1:61" x14ac:dyDescent="0.25">
      <c r="A2156" s="62" t="s">
        <v>387</v>
      </c>
      <c r="B2156" s="62" t="s">
        <v>387</v>
      </c>
      <c r="C2156" s="63"/>
      <c r="D2156" s="64"/>
      <c r="E2156" s="65"/>
      <c r="F2156" s="66"/>
      <c r="G2156" s="63"/>
      <c r="H2156" s="67"/>
      <c r="I2156" s="68"/>
      <c r="J2156" s="68"/>
      <c r="K2156" s="32"/>
      <c r="L2156" s="75">
        <v>2156</v>
      </c>
      <c r="M2156" s="75"/>
      <c r="N2156" s="70"/>
      <c r="O2156" s="77" t="s">
        <v>179</v>
      </c>
      <c r="P2156" s="79">
        <v>45125.73636574074</v>
      </c>
      <c r="Q2156" s="77" t="s">
        <v>2828</v>
      </c>
      <c r="R2156" s="77">
        <v>0</v>
      </c>
      <c r="S2156" s="77">
        <v>1</v>
      </c>
      <c r="T2156" s="77">
        <v>0</v>
      </c>
      <c r="U2156" s="77">
        <v>0</v>
      </c>
      <c r="V2156" s="77">
        <v>579</v>
      </c>
      <c r="W2156" s="82" t="s">
        <v>4833</v>
      </c>
      <c r="X2156" s="80" t="str">
        <f>HYPERLINK("https://mla.bs/0640eba1")</f>
        <v>https://mla.bs/0640eba1</v>
      </c>
      <c r="Y2156" s="77" t="s">
        <v>6506</v>
      </c>
      <c r="Z2156" s="77"/>
      <c r="AA2156" s="77"/>
      <c r="AB2156" s="77"/>
      <c r="AC2156" s="82" t="s">
        <v>7757</v>
      </c>
      <c r="AD2156" s="77" t="s">
        <v>7788</v>
      </c>
      <c r="AE2156" s="80" t="str">
        <f>HYPERLINK("https://twitter.com/einvestidor/status/1681358260215988259")</f>
        <v>https://twitter.com/einvestidor/status/1681358260215988259</v>
      </c>
      <c r="AF2156" s="79">
        <v>45125.73636574074</v>
      </c>
      <c r="AG2156" s="85">
        <v>45125</v>
      </c>
      <c r="AH2156" s="82" t="s">
        <v>9612</v>
      </c>
      <c r="AI2156" s="77" t="b">
        <v>0</v>
      </c>
      <c r="AJ2156" s="77"/>
      <c r="AK2156" s="77"/>
      <c r="AL2156" s="77"/>
      <c r="AM2156" s="77"/>
      <c r="AN2156" s="77"/>
      <c r="AO2156" s="77"/>
      <c r="AP2156" s="77"/>
      <c r="AQ2156" s="77"/>
      <c r="AR2156" s="77"/>
      <c r="AS2156" s="77"/>
      <c r="AT2156" s="77"/>
      <c r="AU2156" s="77"/>
      <c r="AV2156" s="80" t="str">
        <f>HYPERLINK("https://pbs.twimg.com/profile_images/1241147984924082183/gZgx_hL-_normal.jpg")</f>
        <v>https://pbs.twimg.com/profile_images/1241147984924082183/gZgx_hL-_normal.jpg</v>
      </c>
      <c r="AW2156" s="82" t="s">
        <v>13752</v>
      </c>
      <c r="AX2156" s="82" t="s">
        <v>13752</v>
      </c>
      <c r="AY2156" s="77"/>
      <c r="AZ2156" s="82" t="s">
        <v>15984</v>
      </c>
      <c r="BA2156" s="82" t="s">
        <v>15984</v>
      </c>
      <c r="BB2156" s="82" t="s">
        <v>15984</v>
      </c>
      <c r="BC2156" s="82" t="s">
        <v>13752</v>
      </c>
      <c r="BD2156" s="82" t="s">
        <v>15979</v>
      </c>
      <c r="BE2156" s="77"/>
      <c r="BF2156" s="77"/>
      <c r="BG2156" s="77"/>
      <c r="BH2156" s="77"/>
      <c r="BI2156" s="77"/>
    </row>
    <row r="2157" spans="1:61" x14ac:dyDescent="0.25">
      <c r="A2157" s="62" t="s">
        <v>387</v>
      </c>
      <c r="B2157" s="62" t="s">
        <v>387</v>
      </c>
      <c r="C2157" s="63"/>
      <c r="D2157" s="64"/>
      <c r="E2157" s="65"/>
      <c r="F2157" s="66"/>
      <c r="G2157" s="63"/>
      <c r="H2157" s="67"/>
      <c r="I2157" s="68"/>
      <c r="J2157" s="68"/>
      <c r="K2157" s="32"/>
      <c r="L2157" s="75">
        <v>2157</v>
      </c>
      <c r="M2157" s="75"/>
      <c r="N2157" s="70"/>
      <c r="O2157" s="77" t="s">
        <v>179</v>
      </c>
      <c r="P2157" s="79">
        <v>45125.732800925929</v>
      </c>
      <c r="Q2157" s="77" t="s">
        <v>2829</v>
      </c>
      <c r="R2157" s="77">
        <v>0</v>
      </c>
      <c r="S2157" s="77">
        <v>2</v>
      </c>
      <c r="T2157" s="77">
        <v>0</v>
      </c>
      <c r="U2157" s="77">
        <v>0</v>
      </c>
      <c r="V2157" s="77">
        <v>585</v>
      </c>
      <c r="W2157" s="82" t="s">
        <v>4833</v>
      </c>
      <c r="X2157" s="80" t="str">
        <f>HYPERLINK("https://mla.bs/1333a4b1")</f>
        <v>https://mla.bs/1333a4b1</v>
      </c>
      <c r="Y2157" s="77" t="s">
        <v>6506</v>
      </c>
      <c r="Z2157" s="77"/>
      <c r="AA2157" s="77"/>
      <c r="AB2157" s="77"/>
      <c r="AC2157" s="82" t="s">
        <v>7757</v>
      </c>
      <c r="AD2157" s="77" t="s">
        <v>7788</v>
      </c>
      <c r="AE2157" s="80" t="str">
        <f>HYPERLINK("https://twitter.com/einvestidor/status/1681356970282958853")</f>
        <v>https://twitter.com/einvestidor/status/1681356970282958853</v>
      </c>
      <c r="AF2157" s="79">
        <v>45125.732800925929</v>
      </c>
      <c r="AG2157" s="85">
        <v>45125</v>
      </c>
      <c r="AH2157" s="82" t="s">
        <v>9613</v>
      </c>
      <c r="AI2157" s="77" t="b">
        <v>0</v>
      </c>
      <c r="AJ2157" s="77"/>
      <c r="AK2157" s="77"/>
      <c r="AL2157" s="77"/>
      <c r="AM2157" s="77"/>
      <c r="AN2157" s="77"/>
      <c r="AO2157" s="77"/>
      <c r="AP2157" s="77"/>
      <c r="AQ2157" s="77"/>
      <c r="AR2157" s="77"/>
      <c r="AS2157" s="77"/>
      <c r="AT2157" s="77"/>
      <c r="AU2157" s="77"/>
      <c r="AV2157" s="80" t="str">
        <f>HYPERLINK("https://pbs.twimg.com/profile_images/1241147984924082183/gZgx_hL-_normal.jpg")</f>
        <v>https://pbs.twimg.com/profile_images/1241147984924082183/gZgx_hL-_normal.jpg</v>
      </c>
      <c r="AW2157" s="82" t="s">
        <v>13753</v>
      </c>
      <c r="AX2157" s="82" t="s">
        <v>13753</v>
      </c>
      <c r="AY2157" s="77"/>
      <c r="AZ2157" s="82" t="s">
        <v>15984</v>
      </c>
      <c r="BA2157" s="82" t="s">
        <v>15984</v>
      </c>
      <c r="BB2157" s="82" t="s">
        <v>15984</v>
      </c>
      <c r="BC2157" s="82" t="s">
        <v>13753</v>
      </c>
      <c r="BD2157" s="82" t="s">
        <v>15979</v>
      </c>
      <c r="BE2157" s="77"/>
      <c r="BF2157" s="77"/>
      <c r="BG2157" s="77"/>
      <c r="BH2157" s="77"/>
      <c r="BI2157" s="77"/>
    </row>
    <row r="2158" spans="1:61" x14ac:dyDescent="0.25">
      <c r="A2158" s="62" t="s">
        <v>387</v>
      </c>
      <c r="B2158" s="62" t="s">
        <v>387</v>
      </c>
      <c r="C2158" s="63"/>
      <c r="D2158" s="64"/>
      <c r="E2158" s="65"/>
      <c r="F2158" s="66"/>
      <c r="G2158" s="63"/>
      <c r="H2158" s="67"/>
      <c r="I2158" s="68"/>
      <c r="J2158" s="68"/>
      <c r="K2158" s="32"/>
      <c r="L2158" s="75">
        <v>2158</v>
      </c>
      <c r="M2158" s="75"/>
      <c r="N2158" s="70"/>
      <c r="O2158" s="77" t="s">
        <v>179</v>
      </c>
      <c r="P2158" s="79">
        <v>45117.805636574078</v>
      </c>
      <c r="Q2158" s="77" t="s">
        <v>2830</v>
      </c>
      <c r="R2158" s="77">
        <v>1</v>
      </c>
      <c r="S2158" s="77">
        <v>5</v>
      </c>
      <c r="T2158" s="77">
        <v>0</v>
      </c>
      <c r="U2158" s="77">
        <v>0</v>
      </c>
      <c r="V2158" s="77">
        <v>699</v>
      </c>
      <c r="W2158" s="82" t="s">
        <v>4833</v>
      </c>
      <c r="X2158" s="80" t="str">
        <f>HYPERLINK("https://mla.bs/32b3b6e9")</f>
        <v>https://mla.bs/32b3b6e9</v>
      </c>
      <c r="Y2158" s="77" t="s">
        <v>6506</v>
      </c>
      <c r="Z2158" s="77"/>
      <c r="AA2158" s="77"/>
      <c r="AB2158" s="77"/>
      <c r="AC2158" s="82" t="s">
        <v>7757</v>
      </c>
      <c r="AD2158" s="77" t="s">
        <v>7788</v>
      </c>
      <c r="AE2158" s="80" t="str">
        <f>HYPERLINK("https://twitter.com/einvestidor/status/1678484262192836624")</f>
        <v>https://twitter.com/einvestidor/status/1678484262192836624</v>
      </c>
      <c r="AF2158" s="79">
        <v>45117.805636574078</v>
      </c>
      <c r="AG2158" s="85">
        <v>45117</v>
      </c>
      <c r="AH2158" s="82" t="s">
        <v>9614</v>
      </c>
      <c r="AI2158" s="77" t="b">
        <v>0</v>
      </c>
      <c r="AJ2158" s="77"/>
      <c r="AK2158" s="77"/>
      <c r="AL2158" s="77"/>
      <c r="AM2158" s="77"/>
      <c r="AN2158" s="77"/>
      <c r="AO2158" s="77"/>
      <c r="AP2158" s="77"/>
      <c r="AQ2158" s="77"/>
      <c r="AR2158" s="77"/>
      <c r="AS2158" s="77"/>
      <c r="AT2158" s="77"/>
      <c r="AU2158" s="77"/>
      <c r="AV2158" s="80" t="str">
        <f>HYPERLINK("https://pbs.twimg.com/profile_images/1241147984924082183/gZgx_hL-_normal.jpg")</f>
        <v>https://pbs.twimg.com/profile_images/1241147984924082183/gZgx_hL-_normal.jpg</v>
      </c>
      <c r="AW2158" s="82" t="s">
        <v>13754</v>
      </c>
      <c r="AX2158" s="82" t="s">
        <v>13754</v>
      </c>
      <c r="AY2158" s="77"/>
      <c r="AZ2158" s="82" t="s">
        <v>15984</v>
      </c>
      <c r="BA2158" s="82" t="s">
        <v>15984</v>
      </c>
      <c r="BB2158" s="82" t="s">
        <v>15984</v>
      </c>
      <c r="BC2158" s="82" t="s">
        <v>13754</v>
      </c>
      <c r="BD2158" s="82" t="s">
        <v>15979</v>
      </c>
      <c r="BE2158" s="77"/>
      <c r="BF2158" s="77"/>
      <c r="BG2158" s="77"/>
      <c r="BH2158" s="77"/>
      <c r="BI2158" s="77"/>
    </row>
    <row r="2159" spans="1:61" x14ac:dyDescent="0.25">
      <c r="A2159" s="62" t="s">
        <v>387</v>
      </c>
      <c r="B2159" s="62" t="s">
        <v>387</v>
      </c>
      <c r="C2159" s="63"/>
      <c r="D2159" s="64"/>
      <c r="E2159" s="65"/>
      <c r="F2159" s="66"/>
      <c r="G2159" s="63"/>
      <c r="H2159" s="67"/>
      <c r="I2159" s="68"/>
      <c r="J2159" s="68"/>
      <c r="K2159" s="32"/>
      <c r="L2159" s="75">
        <v>2159</v>
      </c>
      <c r="M2159" s="75"/>
      <c r="N2159" s="70"/>
      <c r="O2159" s="77" t="s">
        <v>179</v>
      </c>
      <c r="P2159" s="79">
        <v>45117.736180555556</v>
      </c>
      <c r="Q2159" s="77" t="s">
        <v>2831</v>
      </c>
      <c r="R2159" s="77">
        <v>0</v>
      </c>
      <c r="S2159" s="77">
        <v>0</v>
      </c>
      <c r="T2159" s="77">
        <v>0</v>
      </c>
      <c r="U2159" s="77">
        <v>0</v>
      </c>
      <c r="V2159" s="77">
        <v>477</v>
      </c>
      <c r="W2159" s="82" t="s">
        <v>4833</v>
      </c>
      <c r="X2159" s="80" t="str">
        <f>HYPERLINK("https://mla.bs/0c8dc197")</f>
        <v>https://mla.bs/0c8dc197</v>
      </c>
      <c r="Y2159" s="77" t="s">
        <v>6506</v>
      </c>
      <c r="Z2159" s="77"/>
      <c r="AA2159" s="77"/>
      <c r="AB2159" s="77"/>
      <c r="AC2159" s="82" t="s">
        <v>7757</v>
      </c>
      <c r="AD2159" s="77" t="s">
        <v>7788</v>
      </c>
      <c r="AE2159" s="80" t="str">
        <f>HYPERLINK("https://twitter.com/einvestidor/status/1678459093315362824")</f>
        <v>https://twitter.com/einvestidor/status/1678459093315362824</v>
      </c>
      <c r="AF2159" s="79">
        <v>45117.736180555556</v>
      </c>
      <c r="AG2159" s="85">
        <v>45117</v>
      </c>
      <c r="AH2159" s="82" t="s">
        <v>9615</v>
      </c>
      <c r="AI2159" s="77" t="b">
        <v>0</v>
      </c>
      <c r="AJ2159" s="77"/>
      <c r="AK2159" s="77"/>
      <c r="AL2159" s="77"/>
      <c r="AM2159" s="77"/>
      <c r="AN2159" s="77"/>
      <c r="AO2159" s="77"/>
      <c r="AP2159" s="77"/>
      <c r="AQ2159" s="77"/>
      <c r="AR2159" s="77"/>
      <c r="AS2159" s="77"/>
      <c r="AT2159" s="77"/>
      <c r="AU2159" s="77"/>
      <c r="AV2159" s="80" t="str">
        <f>HYPERLINK("https://pbs.twimg.com/profile_images/1241147984924082183/gZgx_hL-_normal.jpg")</f>
        <v>https://pbs.twimg.com/profile_images/1241147984924082183/gZgx_hL-_normal.jpg</v>
      </c>
      <c r="AW2159" s="82" t="s">
        <v>13755</v>
      </c>
      <c r="AX2159" s="82" t="s">
        <v>13755</v>
      </c>
      <c r="AY2159" s="77"/>
      <c r="AZ2159" s="82" t="s">
        <v>15984</v>
      </c>
      <c r="BA2159" s="82" t="s">
        <v>15984</v>
      </c>
      <c r="BB2159" s="82" t="s">
        <v>15984</v>
      </c>
      <c r="BC2159" s="82" t="s">
        <v>13755</v>
      </c>
      <c r="BD2159" s="82" t="s">
        <v>15979</v>
      </c>
      <c r="BE2159" s="77"/>
      <c r="BF2159" s="77"/>
      <c r="BG2159" s="77"/>
      <c r="BH2159" s="77"/>
      <c r="BI2159" s="77"/>
    </row>
    <row r="2160" spans="1:61" x14ac:dyDescent="0.25">
      <c r="A2160" s="62" t="s">
        <v>387</v>
      </c>
      <c r="B2160" s="62" t="s">
        <v>387</v>
      </c>
      <c r="C2160" s="63"/>
      <c r="D2160" s="64"/>
      <c r="E2160" s="65"/>
      <c r="F2160" s="66"/>
      <c r="G2160" s="63"/>
      <c r="H2160" s="67"/>
      <c r="I2160" s="68"/>
      <c r="J2160" s="68"/>
      <c r="K2160" s="32"/>
      <c r="L2160" s="75">
        <v>2160</v>
      </c>
      <c r="M2160" s="75"/>
      <c r="N2160" s="70"/>
      <c r="O2160" s="77" t="s">
        <v>179</v>
      </c>
      <c r="P2160" s="79">
        <v>45117.688946759263</v>
      </c>
      <c r="Q2160" s="77" t="s">
        <v>2832</v>
      </c>
      <c r="R2160" s="77">
        <v>1</v>
      </c>
      <c r="S2160" s="77">
        <v>1</v>
      </c>
      <c r="T2160" s="77">
        <v>0</v>
      </c>
      <c r="U2160" s="77">
        <v>0</v>
      </c>
      <c r="V2160" s="77">
        <v>482</v>
      </c>
      <c r="W2160" s="82" t="s">
        <v>4833</v>
      </c>
      <c r="X2160" s="80" t="str">
        <f>HYPERLINK("https://mla.bs/85bf58af")</f>
        <v>https://mla.bs/85bf58af</v>
      </c>
      <c r="Y2160" s="77" t="s">
        <v>6506</v>
      </c>
      <c r="Z2160" s="77"/>
      <c r="AA2160" s="77"/>
      <c r="AB2160" s="77"/>
      <c r="AC2160" s="82" t="s">
        <v>7757</v>
      </c>
      <c r="AD2160" s="77" t="s">
        <v>7788</v>
      </c>
      <c r="AE2160" s="80" t="str">
        <f>HYPERLINK("https://twitter.com/einvestidor/status/1678441976419557386")</f>
        <v>https://twitter.com/einvestidor/status/1678441976419557386</v>
      </c>
      <c r="AF2160" s="79">
        <v>45117.688946759263</v>
      </c>
      <c r="AG2160" s="85">
        <v>45117</v>
      </c>
      <c r="AH2160" s="82" t="s">
        <v>9616</v>
      </c>
      <c r="AI2160" s="77" t="b">
        <v>0</v>
      </c>
      <c r="AJ2160" s="77"/>
      <c r="AK2160" s="77"/>
      <c r="AL2160" s="77"/>
      <c r="AM2160" s="77"/>
      <c r="AN2160" s="77"/>
      <c r="AO2160" s="77"/>
      <c r="AP2160" s="77"/>
      <c r="AQ2160" s="77"/>
      <c r="AR2160" s="77"/>
      <c r="AS2160" s="77"/>
      <c r="AT2160" s="77"/>
      <c r="AU2160" s="77"/>
      <c r="AV2160" s="80" t="str">
        <f>HYPERLINK("https://pbs.twimg.com/profile_images/1241147984924082183/gZgx_hL-_normal.jpg")</f>
        <v>https://pbs.twimg.com/profile_images/1241147984924082183/gZgx_hL-_normal.jpg</v>
      </c>
      <c r="AW2160" s="82" t="s">
        <v>13756</v>
      </c>
      <c r="AX2160" s="82" t="s">
        <v>13756</v>
      </c>
      <c r="AY2160" s="77"/>
      <c r="AZ2160" s="82" t="s">
        <v>15984</v>
      </c>
      <c r="BA2160" s="82" t="s">
        <v>15984</v>
      </c>
      <c r="BB2160" s="82" t="s">
        <v>15984</v>
      </c>
      <c r="BC2160" s="82" t="s">
        <v>13756</v>
      </c>
      <c r="BD2160" s="82" t="s">
        <v>15979</v>
      </c>
      <c r="BE2160" s="77"/>
      <c r="BF2160" s="77"/>
      <c r="BG2160" s="77"/>
      <c r="BH2160" s="77"/>
      <c r="BI2160" s="77"/>
    </row>
    <row r="2161" spans="1:61" x14ac:dyDescent="0.25">
      <c r="A2161" s="62" t="s">
        <v>387</v>
      </c>
      <c r="B2161" s="62" t="s">
        <v>387</v>
      </c>
      <c r="C2161" s="63"/>
      <c r="D2161" s="64"/>
      <c r="E2161" s="65"/>
      <c r="F2161" s="66"/>
      <c r="G2161" s="63"/>
      <c r="H2161" s="67"/>
      <c r="I2161" s="68"/>
      <c r="J2161" s="68"/>
      <c r="K2161" s="32"/>
      <c r="L2161" s="75">
        <v>2161</v>
      </c>
      <c r="M2161" s="75"/>
      <c r="N2161" s="70"/>
      <c r="O2161" s="77" t="s">
        <v>179</v>
      </c>
      <c r="P2161" s="79">
        <v>45117.667175925926</v>
      </c>
      <c r="Q2161" s="77" t="s">
        <v>2833</v>
      </c>
      <c r="R2161" s="77">
        <v>1</v>
      </c>
      <c r="S2161" s="77">
        <v>2</v>
      </c>
      <c r="T2161" s="77">
        <v>0</v>
      </c>
      <c r="U2161" s="77">
        <v>0</v>
      </c>
      <c r="V2161" s="77">
        <v>514</v>
      </c>
      <c r="W2161" s="82" t="s">
        <v>4833</v>
      </c>
      <c r="X2161" s="80" t="str">
        <f>HYPERLINK("https://mla.bs/0b0aa2b9")</f>
        <v>https://mla.bs/0b0aa2b9</v>
      </c>
      <c r="Y2161" s="77" t="s">
        <v>6506</v>
      </c>
      <c r="Z2161" s="77"/>
      <c r="AA2161" s="77"/>
      <c r="AB2161" s="77"/>
      <c r="AC2161" s="82" t="s">
        <v>7757</v>
      </c>
      <c r="AD2161" s="77" t="s">
        <v>7788</v>
      </c>
      <c r="AE2161" s="80" t="str">
        <f>HYPERLINK("https://twitter.com/einvestidor/status/1678434085654372352")</f>
        <v>https://twitter.com/einvestidor/status/1678434085654372352</v>
      </c>
      <c r="AF2161" s="79">
        <v>45117.667175925926</v>
      </c>
      <c r="AG2161" s="85">
        <v>45117</v>
      </c>
      <c r="AH2161" s="82" t="s">
        <v>9617</v>
      </c>
      <c r="AI2161" s="77" t="b">
        <v>0</v>
      </c>
      <c r="AJ2161" s="77"/>
      <c r="AK2161" s="77"/>
      <c r="AL2161" s="77"/>
      <c r="AM2161" s="77"/>
      <c r="AN2161" s="77"/>
      <c r="AO2161" s="77"/>
      <c r="AP2161" s="77"/>
      <c r="AQ2161" s="77"/>
      <c r="AR2161" s="77"/>
      <c r="AS2161" s="77"/>
      <c r="AT2161" s="77"/>
      <c r="AU2161" s="77"/>
      <c r="AV2161" s="80" t="str">
        <f>HYPERLINK("https://pbs.twimg.com/profile_images/1241147984924082183/gZgx_hL-_normal.jpg")</f>
        <v>https://pbs.twimg.com/profile_images/1241147984924082183/gZgx_hL-_normal.jpg</v>
      </c>
      <c r="AW2161" s="82" t="s">
        <v>13757</v>
      </c>
      <c r="AX2161" s="82" t="s">
        <v>13757</v>
      </c>
      <c r="AY2161" s="77"/>
      <c r="AZ2161" s="82" t="s">
        <v>15984</v>
      </c>
      <c r="BA2161" s="82" t="s">
        <v>15984</v>
      </c>
      <c r="BB2161" s="82" t="s">
        <v>15984</v>
      </c>
      <c r="BC2161" s="82" t="s">
        <v>13757</v>
      </c>
      <c r="BD2161" s="82" t="s">
        <v>15979</v>
      </c>
      <c r="BE2161" s="77"/>
      <c r="BF2161" s="77"/>
      <c r="BG2161" s="77"/>
      <c r="BH2161" s="77"/>
      <c r="BI2161" s="77"/>
    </row>
    <row r="2162" spans="1:61" x14ac:dyDescent="0.25">
      <c r="A2162" s="62" t="s">
        <v>387</v>
      </c>
      <c r="B2162" s="62" t="s">
        <v>387</v>
      </c>
      <c r="C2162" s="63"/>
      <c r="D2162" s="64"/>
      <c r="E2162" s="65"/>
      <c r="F2162" s="66"/>
      <c r="G2162" s="63"/>
      <c r="H2162" s="67"/>
      <c r="I2162" s="68"/>
      <c r="J2162" s="68"/>
      <c r="K2162" s="32"/>
      <c r="L2162" s="75">
        <v>2162</v>
      </c>
      <c r="M2162" s="75"/>
      <c r="N2162" s="70"/>
      <c r="O2162" s="77" t="s">
        <v>179</v>
      </c>
      <c r="P2162" s="79">
        <v>45117.646296296298</v>
      </c>
      <c r="Q2162" s="77" t="s">
        <v>2834</v>
      </c>
      <c r="R2162" s="77">
        <v>1</v>
      </c>
      <c r="S2162" s="77">
        <v>3</v>
      </c>
      <c r="T2162" s="77">
        <v>0</v>
      </c>
      <c r="U2162" s="77">
        <v>0</v>
      </c>
      <c r="V2162" s="77">
        <v>515</v>
      </c>
      <c r="W2162" s="82" t="s">
        <v>4833</v>
      </c>
      <c r="X2162" s="80" t="str">
        <f>HYPERLINK("https://mla.bs/fbe0cc33")</f>
        <v>https://mla.bs/fbe0cc33</v>
      </c>
      <c r="Y2162" s="77" t="s">
        <v>6506</v>
      </c>
      <c r="Z2162" s="77"/>
      <c r="AA2162" s="77"/>
      <c r="AB2162" s="77"/>
      <c r="AC2162" s="82" t="s">
        <v>7757</v>
      </c>
      <c r="AD2162" s="77" t="s">
        <v>7788</v>
      </c>
      <c r="AE2162" s="80" t="str">
        <f>HYPERLINK("https://twitter.com/einvestidor/status/1678426518953893889")</f>
        <v>https://twitter.com/einvestidor/status/1678426518953893889</v>
      </c>
      <c r="AF2162" s="79">
        <v>45117.646296296298</v>
      </c>
      <c r="AG2162" s="85">
        <v>45117</v>
      </c>
      <c r="AH2162" s="82" t="s">
        <v>9618</v>
      </c>
      <c r="AI2162" s="77" t="b">
        <v>0</v>
      </c>
      <c r="AJ2162" s="77"/>
      <c r="AK2162" s="77"/>
      <c r="AL2162" s="77"/>
      <c r="AM2162" s="77"/>
      <c r="AN2162" s="77"/>
      <c r="AO2162" s="77"/>
      <c r="AP2162" s="77"/>
      <c r="AQ2162" s="77"/>
      <c r="AR2162" s="77"/>
      <c r="AS2162" s="77"/>
      <c r="AT2162" s="77"/>
      <c r="AU2162" s="77"/>
      <c r="AV2162" s="80" t="str">
        <f>HYPERLINK("https://pbs.twimg.com/profile_images/1241147984924082183/gZgx_hL-_normal.jpg")</f>
        <v>https://pbs.twimg.com/profile_images/1241147984924082183/gZgx_hL-_normal.jpg</v>
      </c>
      <c r="AW2162" s="82" t="s">
        <v>13758</v>
      </c>
      <c r="AX2162" s="82" t="s">
        <v>13758</v>
      </c>
      <c r="AY2162" s="77"/>
      <c r="AZ2162" s="82" t="s">
        <v>15984</v>
      </c>
      <c r="BA2162" s="82" t="s">
        <v>15984</v>
      </c>
      <c r="BB2162" s="82" t="s">
        <v>15984</v>
      </c>
      <c r="BC2162" s="82" t="s">
        <v>13758</v>
      </c>
      <c r="BD2162" s="82" t="s">
        <v>15979</v>
      </c>
      <c r="BE2162" s="77"/>
      <c r="BF2162" s="77"/>
      <c r="BG2162" s="77"/>
      <c r="BH2162" s="77"/>
      <c r="BI2162" s="77"/>
    </row>
    <row r="2163" spans="1:61" x14ac:dyDescent="0.25">
      <c r="A2163" s="62" t="s">
        <v>387</v>
      </c>
      <c r="B2163" s="62" t="s">
        <v>387</v>
      </c>
      <c r="C2163" s="63"/>
      <c r="D2163" s="64"/>
      <c r="E2163" s="65"/>
      <c r="F2163" s="66"/>
      <c r="G2163" s="63"/>
      <c r="H2163" s="67"/>
      <c r="I2163" s="68"/>
      <c r="J2163" s="68"/>
      <c r="K2163" s="32"/>
      <c r="L2163" s="75">
        <v>2163</v>
      </c>
      <c r="M2163" s="75"/>
      <c r="N2163" s="70"/>
      <c r="O2163" s="77" t="s">
        <v>179</v>
      </c>
      <c r="P2163" s="79">
        <v>45167.90625</v>
      </c>
      <c r="Q2163" s="77" t="s">
        <v>2835</v>
      </c>
      <c r="R2163" s="77">
        <v>0</v>
      </c>
      <c r="S2163" s="77">
        <v>1</v>
      </c>
      <c r="T2163" s="77">
        <v>0</v>
      </c>
      <c r="U2163" s="77">
        <v>0</v>
      </c>
      <c r="V2163" s="77">
        <v>515</v>
      </c>
      <c r="W2163" s="82" t="s">
        <v>4833</v>
      </c>
      <c r="X2163" s="80" t="str">
        <f>HYPERLINK("https://einvestidor.estadao.com.br/ultimas/opiniao-tributarista-mudanca-isencao-fii-fiagro/?utm_source=twitter&amp;utm_medium=organic&amp;utm_campaign=&amp;utm_content=materia")</f>
        <v>https://einvestidor.estadao.com.br/ultimas/opiniao-tributarista-mudanca-isencao-fii-fiagro/?utm_source=twitter&amp;utm_medium=organic&amp;utm_campaign=&amp;utm_content=materia</v>
      </c>
      <c r="Y2163" s="77" t="s">
        <v>6470</v>
      </c>
      <c r="Z2163" s="77"/>
      <c r="AA2163" s="77"/>
      <c r="AB2163" s="77"/>
      <c r="AC2163" s="82" t="s">
        <v>7750</v>
      </c>
      <c r="AD2163" s="77" t="s">
        <v>7788</v>
      </c>
      <c r="AE2163" s="80" t="str">
        <f>HYPERLINK("https://twitter.com/einvestidor/status/1696640115664105533")</f>
        <v>https://twitter.com/einvestidor/status/1696640115664105533</v>
      </c>
      <c r="AF2163" s="79">
        <v>45167.90625</v>
      </c>
      <c r="AG2163" s="85">
        <v>45167</v>
      </c>
      <c r="AH2163" s="82" t="s">
        <v>9578</v>
      </c>
      <c r="AI2163" s="77" t="b">
        <v>0</v>
      </c>
      <c r="AJ2163" s="77"/>
      <c r="AK2163" s="77"/>
      <c r="AL2163" s="77"/>
      <c r="AM2163" s="77"/>
      <c r="AN2163" s="77"/>
      <c r="AO2163" s="77"/>
      <c r="AP2163" s="77"/>
      <c r="AQ2163" s="77"/>
      <c r="AR2163" s="77"/>
      <c r="AS2163" s="77"/>
      <c r="AT2163" s="77"/>
      <c r="AU2163" s="77"/>
      <c r="AV2163" s="80" t="str">
        <f>HYPERLINK("https://pbs.twimg.com/profile_images/1241147984924082183/gZgx_hL-_normal.jpg")</f>
        <v>https://pbs.twimg.com/profile_images/1241147984924082183/gZgx_hL-_normal.jpg</v>
      </c>
      <c r="AW2163" s="82" t="s">
        <v>13759</v>
      </c>
      <c r="AX2163" s="82" t="s">
        <v>13759</v>
      </c>
      <c r="AY2163" s="77"/>
      <c r="AZ2163" s="82" t="s">
        <v>15984</v>
      </c>
      <c r="BA2163" s="82" t="s">
        <v>15984</v>
      </c>
      <c r="BB2163" s="82" t="s">
        <v>15984</v>
      </c>
      <c r="BC2163" s="82" t="s">
        <v>13759</v>
      </c>
      <c r="BD2163" s="82" t="s">
        <v>15979</v>
      </c>
      <c r="BE2163" s="77"/>
      <c r="BF2163" s="77"/>
      <c r="BG2163" s="77"/>
      <c r="BH2163" s="77"/>
      <c r="BI2163" s="77"/>
    </row>
    <row r="2164" spans="1:61" x14ac:dyDescent="0.25">
      <c r="A2164" s="62" t="s">
        <v>387</v>
      </c>
      <c r="B2164" s="62" t="s">
        <v>387</v>
      </c>
      <c r="C2164" s="63"/>
      <c r="D2164" s="64"/>
      <c r="E2164" s="65"/>
      <c r="F2164" s="66"/>
      <c r="G2164" s="63"/>
      <c r="H2164" s="67"/>
      <c r="I2164" s="68"/>
      <c r="J2164" s="68"/>
      <c r="K2164" s="32"/>
      <c r="L2164" s="75">
        <v>2164</v>
      </c>
      <c r="M2164" s="75"/>
      <c r="N2164" s="70"/>
      <c r="O2164" s="77" t="s">
        <v>179</v>
      </c>
      <c r="P2164" s="79">
        <v>45165.500023148146</v>
      </c>
      <c r="Q2164" s="77" t="s">
        <v>2836</v>
      </c>
      <c r="R2164" s="77">
        <v>1</v>
      </c>
      <c r="S2164" s="77">
        <v>2</v>
      </c>
      <c r="T2164" s="77">
        <v>0</v>
      </c>
      <c r="U2164" s="77">
        <v>0</v>
      </c>
      <c r="V2164" s="77">
        <v>882</v>
      </c>
      <c r="W2164" s="82" t="s">
        <v>5920</v>
      </c>
      <c r="X2164" s="80" t="str">
        <f>HYPERLINK("https://einvestidor.estadao.com.br/comportamento/milhas-viagem-dos-sonhos-como-acumular-mais/?utm_source=twitter&amp;utm_medium=organic&amp;utm_campaign=&amp;utm_content=materia")</f>
        <v>https://einvestidor.estadao.com.br/comportamento/milhas-viagem-dos-sonhos-como-acumular-mais/?utm_source=twitter&amp;utm_medium=organic&amp;utm_campaign=&amp;utm_content=materia</v>
      </c>
      <c r="Y2164" s="77" t="s">
        <v>6470</v>
      </c>
      <c r="Z2164" s="77"/>
      <c r="AA2164" s="77"/>
      <c r="AB2164" s="77"/>
      <c r="AC2164" s="82" t="s">
        <v>7750</v>
      </c>
      <c r="AD2164" s="77" t="s">
        <v>7788</v>
      </c>
      <c r="AE2164" s="80" t="str">
        <f>HYPERLINK("https://twitter.com/einvestidor/status/1695768127748129041")</f>
        <v>https://twitter.com/einvestidor/status/1695768127748129041</v>
      </c>
      <c r="AF2164" s="79">
        <v>45165.500023148146</v>
      </c>
      <c r="AG2164" s="85">
        <v>45165</v>
      </c>
      <c r="AH2164" s="82" t="s">
        <v>8525</v>
      </c>
      <c r="AI2164" s="77" t="b">
        <v>0</v>
      </c>
      <c r="AJ2164" s="77"/>
      <c r="AK2164" s="77"/>
      <c r="AL2164" s="77"/>
      <c r="AM2164" s="77"/>
      <c r="AN2164" s="77"/>
      <c r="AO2164" s="77"/>
      <c r="AP2164" s="77"/>
      <c r="AQ2164" s="77"/>
      <c r="AR2164" s="77"/>
      <c r="AS2164" s="77"/>
      <c r="AT2164" s="77"/>
      <c r="AU2164" s="77"/>
      <c r="AV2164" s="80" t="str">
        <f>HYPERLINK("https://pbs.twimg.com/profile_images/1241147984924082183/gZgx_hL-_normal.jpg")</f>
        <v>https://pbs.twimg.com/profile_images/1241147984924082183/gZgx_hL-_normal.jpg</v>
      </c>
      <c r="AW2164" s="82" t="s">
        <v>13760</v>
      </c>
      <c r="AX2164" s="82" t="s">
        <v>13760</v>
      </c>
      <c r="AY2164" s="77"/>
      <c r="AZ2164" s="82" t="s">
        <v>15984</v>
      </c>
      <c r="BA2164" s="82" t="s">
        <v>15984</v>
      </c>
      <c r="BB2164" s="82" t="s">
        <v>15984</v>
      </c>
      <c r="BC2164" s="82" t="s">
        <v>13760</v>
      </c>
      <c r="BD2164" s="82" t="s">
        <v>15979</v>
      </c>
      <c r="BE2164" s="77"/>
      <c r="BF2164" s="77"/>
      <c r="BG2164" s="77"/>
      <c r="BH2164" s="77"/>
      <c r="BI2164" s="77"/>
    </row>
    <row r="2165" spans="1:61" x14ac:dyDescent="0.25">
      <c r="A2165" s="62" t="s">
        <v>387</v>
      </c>
      <c r="B2165" s="62" t="s">
        <v>387</v>
      </c>
      <c r="C2165" s="63"/>
      <c r="D2165" s="64"/>
      <c r="E2165" s="65"/>
      <c r="F2165" s="66"/>
      <c r="G2165" s="63"/>
      <c r="H2165" s="67"/>
      <c r="I2165" s="68"/>
      <c r="J2165" s="68"/>
      <c r="K2165" s="32"/>
      <c r="L2165" s="75">
        <v>2165</v>
      </c>
      <c r="M2165" s="75"/>
      <c r="N2165" s="70"/>
      <c r="O2165" s="77" t="s">
        <v>179</v>
      </c>
      <c r="P2165" s="79">
        <v>45162.736921296295</v>
      </c>
      <c r="Q2165" s="77" t="s">
        <v>2837</v>
      </c>
      <c r="R2165" s="77">
        <v>0</v>
      </c>
      <c r="S2165" s="77">
        <v>0</v>
      </c>
      <c r="T2165" s="77">
        <v>0</v>
      </c>
      <c r="U2165" s="77">
        <v>0</v>
      </c>
      <c r="V2165" s="77">
        <v>451</v>
      </c>
      <c r="W2165" s="82" t="s">
        <v>4833</v>
      </c>
      <c r="X2165" s="80" t="str">
        <f>HYPERLINK("https://mla.bs/b9a71ba5")</f>
        <v>https://mla.bs/b9a71ba5</v>
      </c>
      <c r="Y2165" s="77" t="s">
        <v>6506</v>
      </c>
      <c r="Z2165" s="77"/>
      <c r="AA2165" s="77"/>
      <c r="AB2165" s="77"/>
      <c r="AC2165" s="82" t="s">
        <v>7750</v>
      </c>
      <c r="AD2165" s="77" t="s">
        <v>7788</v>
      </c>
      <c r="AE2165" s="80" t="str">
        <f>HYPERLINK("https://twitter.com/einvestidor/status/1694766812905304147")</f>
        <v>https://twitter.com/einvestidor/status/1694766812905304147</v>
      </c>
      <c r="AF2165" s="79">
        <v>45162.736921296295</v>
      </c>
      <c r="AG2165" s="85">
        <v>45162</v>
      </c>
      <c r="AH2165" s="82" t="s">
        <v>9619</v>
      </c>
      <c r="AI2165" s="77" t="b">
        <v>0</v>
      </c>
      <c r="AJ2165" s="77"/>
      <c r="AK2165" s="77"/>
      <c r="AL2165" s="77"/>
      <c r="AM2165" s="77"/>
      <c r="AN2165" s="77"/>
      <c r="AO2165" s="77"/>
      <c r="AP2165" s="77"/>
      <c r="AQ2165" s="77"/>
      <c r="AR2165" s="77"/>
      <c r="AS2165" s="77"/>
      <c r="AT2165" s="77"/>
      <c r="AU2165" s="77"/>
      <c r="AV2165" s="80" t="str">
        <f>HYPERLINK("https://pbs.twimg.com/profile_images/1241147984924082183/gZgx_hL-_normal.jpg")</f>
        <v>https://pbs.twimg.com/profile_images/1241147984924082183/gZgx_hL-_normal.jpg</v>
      </c>
      <c r="AW2165" s="82" t="s">
        <v>13761</v>
      </c>
      <c r="AX2165" s="82" t="s">
        <v>13761</v>
      </c>
      <c r="AY2165" s="77"/>
      <c r="AZ2165" s="82" t="s">
        <v>15984</v>
      </c>
      <c r="BA2165" s="82" t="s">
        <v>15984</v>
      </c>
      <c r="BB2165" s="82" t="s">
        <v>15984</v>
      </c>
      <c r="BC2165" s="82" t="s">
        <v>13761</v>
      </c>
      <c r="BD2165" s="82" t="s">
        <v>15979</v>
      </c>
      <c r="BE2165" s="77"/>
      <c r="BF2165" s="77"/>
      <c r="BG2165" s="77"/>
      <c r="BH2165" s="77"/>
      <c r="BI2165" s="77"/>
    </row>
    <row r="2166" spans="1:61" x14ac:dyDescent="0.25">
      <c r="A2166" s="62" t="s">
        <v>387</v>
      </c>
      <c r="B2166" s="62" t="s">
        <v>387</v>
      </c>
      <c r="C2166" s="63"/>
      <c r="D2166" s="64"/>
      <c r="E2166" s="65"/>
      <c r="F2166" s="66"/>
      <c r="G2166" s="63"/>
      <c r="H2166" s="67"/>
      <c r="I2166" s="68"/>
      <c r="J2166" s="68"/>
      <c r="K2166" s="32"/>
      <c r="L2166" s="75">
        <v>2166</v>
      </c>
      <c r="M2166" s="75"/>
      <c r="N2166" s="70"/>
      <c r="O2166" s="77" t="s">
        <v>179</v>
      </c>
      <c r="P2166" s="79">
        <v>45160.989583333336</v>
      </c>
      <c r="Q2166" s="77" t="s">
        <v>2838</v>
      </c>
      <c r="R2166" s="77">
        <v>0</v>
      </c>
      <c r="S2166" s="77">
        <v>0</v>
      </c>
      <c r="T2166" s="77">
        <v>0</v>
      </c>
      <c r="U2166" s="77">
        <v>0</v>
      </c>
      <c r="V2166" s="77">
        <v>636</v>
      </c>
      <c r="W2166" s="82" t="s">
        <v>5902</v>
      </c>
      <c r="X2166" s="80" t="str">
        <f>HYPERLINK("https://mla.bs/4299411c")</f>
        <v>https://mla.bs/4299411c</v>
      </c>
      <c r="Y2166" s="77" t="s">
        <v>6506</v>
      </c>
      <c r="Z2166" s="77"/>
      <c r="AA2166" s="77"/>
      <c r="AB2166" s="77"/>
      <c r="AC2166" s="82" t="s">
        <v>7750</v>
      </c>
      <c r="AD2166" s="77" t="s">
        <v>7788</v>
      </c>
      <c r="AE2166" s="80" t="str">
        <f>HYPERLINK("https://twitter.com/einvestidor/status/1694133599363006846")</f>
        <v>https://twitter.com/einvestidor/status/1694133599363006846</v>
      </c>
      <c r="AF2166" s="79">
        <v>45160.989583333336</v>
      </c>
      <c r="AG2166" s="85">
        <v>45160</v>
      </c>
      <c r="AH2166" s="82" t="s">
        <v>9620</v>
      </c>
      <c r="AI2166" s="77" t="b">
        <v>0</v>
      </c>
      <c r="AJ2166" s="77"/>
      <c r="AK2166" s="77"/>
      <c r="AL2166" s="77"/>
      <c r="AM2166" s="77"/>
      <c r="AN2166" s="77"/>
      <c r="AO2166" s="77"/>
      <c r="AP2166" s="77"/>
      <c r="AQ2166" s="77"/>
      <c r="AR2166" s="77"/>
      <c r="AS2166" s="77"/>
      <c r="AT2166" s="77"/>
      <c r="AU2166" s="77"/>
      <c r="AV2166" s="80" t="str">
        <f>HYPERLINK("https://pbs.twimg.com/profile_images/1241147984924082183/gZgx_hL-_normal.jpg")</f>
        <v>https://pbs.twimg.com/profile_images/1241147984924082183/gZgx_hL-_normal.jpg</v>
      </c>
      <c r="AW2166" s="82" t="s">
        <v>13762</v>
      </c>
      <c r="AX2166" s="82" t="s">
        <v>13762</v>
      </c>
      <c r="AY2166" s="77"/>
      <c r="AZ2166" s="82" t="s">
        <v>15984</v>
      </c>
      <c r="BA2166" s="82" t="s">
        <v>15984</v>
      </c>
      <c r="BB2166" s="82" t="s">
        <v>15984</v>
      </c>
      <c r="BC2166" s="82" t="s">
        <v>13762</v>
      </c>
      <c r="BD2166" s="82" t="s">
        <v>15979</v>
      </c>
      <c r="BE2166" s="77"/>
      <c r="BF2166" s="77"/>
      <c r="BG2166" s="77"/>
      <c r="BH2166" s="77"/>
      <c r="BI2166" s="77"/>
    </row>
    <row r="2167" spans="1:61" x14ac:dyDescent="0.25">
      <c r="A2167" s="62" t="s">
        <v>387</v>
      </c>
      <c r="B2167" s="62" t="s">
        <v>387</v>
      </c>
      <c r="C2167" s="63"/>
      <c r="D2167" s="64"/>
      <c r="E2167" s="65"/>
      <c r="F2167" s="66"/>
      <c r="G2167" s="63"/>
      <c r="H2167" s="67"/>
      <c r="I2167" s="68"/>
      <c r="J2167" s="68"/>
      <c r="K2167" s="32"/>
      <c r="L2167" s="75">
        <v>2167</v>
      </c>
      <c r="M2167" s="75"/>
      <c r="N2167" s="70"/>
      <c r="O2167" s="77" t="s">
        <v>179</v>
      </c>
      <c r="P2167" s="79">
        <v>45160.979166666664</v>
      </c>
      <c r="Q2167" s="77" t="s">
        <v>2839</v>
      </c>
      <c r="R2167" s="77">
        <v>0</v>
      </c>
      <c r="S2167" s="77">
        <v>1</v>
      </c>
      <c r="T2167" s="77">
        <v>0</v>
      </c>
      <c r="U2167" s="77">
        <v>0</v>
      </c>
      <c r="V2167" s="77">
        <v>658</v>
      </c>
      <c r="W2167" s="82" t="s">
        <v>4833</v>
      </c>
      <c r="X2167" s="80" t="str">
        <f>HYPERLINK("https://mla.bs/6ed73e70")</f>
        <v>https://mla.bs/6ed73e70</v>
      </c>
      <c r="Y2167" s="77" t="s">
        <v>6506</v>
      </c>
      <c r="Z2167" s="77"/>
      <c r="AA2167" s="77"/>
      <c r="AB2167" s="77"/>
      <c r="AC2167" s="82" t="s">
        <v>7750</v>
      </c>
      <c r="AD2167" s="77" t="s">
        <v>7788</v>
      </c>
      <c r="AE2167" s="80" t="str">
        <f>HYPERLINK("https://twitter.com/einvestidor/status/1694129826494292444")</f>
        <v>https://twitter.com/einvestidor/status/1694129826494292444</v>
      </c>
      <c r="AF2167" s="79">
        <v>45160.979166666664</v>
      </c>
      <c r="AG2167" s="85">
        <v>45160</v>
      </c>
      <c r="AH2167" s="82" t="s">
        <v>7928</v>
      </c>
      <c r="AI2167" s="77" t="b">
        <v>0</v>
      </c>
      <c r="AJ2167" s="77"/>
      <c r="AK2167" s="77"/>
      <c r="AL2167" s="77"/>
      <c r="AM2167" s="77"/>
      <c r="AN2167" s="77"/>
      <c r="AO2167" s="77"/>
      <c r="AP2167" s="77"/>
      <c r="AQ2167" s="77"/>
      <c r="AR2167" s="77"/>
      <c r="AS2167" s="77"/>
      <c r="AT2167" s="77"/>
      <c r="AU2167" s="77"/>
      <c r="AV2167" s="80" t="str">
        <f>HYPERLINK("https://pbs.twimg.com/profile_images/1241147984924082183/gZgx_hL-_normal.jpg")</f>
        <v>https://pbs.twimg.com/profile_images/1241147984924082183/gZgx_hL-_normal.jpg</v>
      </c>
      <c r="AW2167" s="82" t="s">
        <v>13763</v>
      </c>
      <c r="AX2167" s="82" t="s">
        <v>13763</v>
      </c>
      <c r="AY2167" s="77"/>
      <c r="AZ2167" s="82" t="s">
        <v>15984</v>
      </c>
      <c r="BA2167" s="82" t="s">
        <v>15984</v>
      </c>
      <c r="BB2167" s="82" t="s">
        <v>15984</v>
      </c>
      <c r="BC2167" s="82" t="s">
        <v>13763</v>
      </c>
      <c r="BD2167" s="82" t="s">
        <v>15979</v>
      </c>
      <c r="BE2167" s="77"/>
      <c r="BF2167" s="77"/>
      <c r="BG2167" s="77"/>
      <c r="BH2167" s="77"/>
      <c r="BI2167" s="77"/>
    </row>
    <row r="2168" spans="1:61" x14ac:dyDescent="0.25">
      <c r="A2168" s="62" t="s">
        <v>387</v>
      </c>
      <c r="B2168" s="62" t="s">
        <v>387</v>
      </c>
      <c r="C2168" s="63"/>
      <c r="D2168" s="64"/>
      <c r="E2168" s="65"/>
      <c r="F2168" s="66"/>
      <c r="G2168" s="63"/>
      <c r="H2168" s="67"/>
      <c r="I2168" s="68"/>
      <c r="J2168" s="68"/>
      <c r="K2168" s="32"/>
      <c r="L2168" s="75">
        <v>2168</v>
      </c>
      <c r="M2168" s="75"/>
      <c r="N2168" s="70"/>
      <c r="O2168" s="77" t="s">
        <v>179</v>
      </c>
      <c r="P2168" s="79">
        <v>45160.96875</v>
      </c>
      <c r="Q2168" s="77" t="s">
        <v>2840</v>
      </c>
      <c r="R2168" s="77">
        <v>0</v>
      </c>
      <c r="S2168" s="77">
        <v>1</v>
      </c>
      <c r="T2168" s="77">
        <v>0</v>
      </c>
      <c r="U2168" s="77">
        <v>0</v>
      </c>
      <c r="V2168" s="77">
        <v>639</v>
      </c>
      <c r="W2168" s="82" t="s">
        <v>4833</v>
      </c>
      <c r="X2168" s="80" t="str">
        <f>HYPERLINK("https://mla.bs/c33ee095")</f>
        <v>https://mla.bs/c33ee095</v>
      </c>
      <c r="Y2168" s="77" t="s">
        <v>6506</v>
      </c>
      <c r="Z2168" s="77"/>
      <c r="AA2168" s="77"/>
      <c r="AB2168" s="77"/>
      <c r="AC2168" s="82" t="s">
        <v>7750</v>
      </c>
      <c r="AD2168" s="77" t="s">
        <v>7788</v>
      </c>
      <c r="AE2168" s="80" t="str">
        <f>HYPERLINK("https://twitter.com/einvestidor/status/1694126049620275542")</f>
        <v>https://twitter.com/einvestidor/status/1694126049620275542</v>
      </c>
      <c r="AF2168" s="79">
        <v>45160.96875</v>
      </c>
      <c r="AG2168" s="85">
        <v>45160</v>
      </c>
      <c r="AH2168" s="82" t="s">
        <v>9621</v>
      </c>
      <c r="AI2168" s="77" t="b">
        <v>0</v>
      </c>
      <c r="AJ2168" s="77"/>
      <c r="AK2168" s="77"/>
      <c r="AL2168" s="77"/>
      <c r="AM2168" s="77"/>
      <c r="AN2168" s="77"/>
      <c r="AO2168" s="77"/>
      <c r="AP2168" s="77"/>
      <c r="AQ2168" s="77"/>
      <c r="AR2168" s="77"/>
      <c r="AS2168" s="77"/>
      <c r="AT2168" s="77"/>
      <c r="AU2168" s="77"/>
      <c r="AV2168" s="80" t="str">
        <f>HYPERLINK("https://pbs.twimg.com/profile_images/1241147984924082183/gZgx_hL-_normal.jpg")</f>
        <v>https://pbs.twimg.com/profile_images/1241147984924082183/gZgx_hL-_normal.jpg</v>
      </c>
      <c r="AW2168" s="82" t="s">
        <v>13764</v>
      </c>
      <c r="AX2168" s="82" t="s">
        <v>13764</v>
      </c>
      <c r="AY2168" s="77"/>
      <c r="AZ2168" s="82" t="s">
        <v>15984</v>
      </c>
      <c r="BA2168" s="82" t="s">
        <v>15984</v>
      </c>
      <c r="BB2168" s="82" t="s">
        <v>15984</v>
      </c>
      <c r="BC2168" s="82" t="s">
        <v>13764</v>
      </c>
      <c r="BD2168" s="82" t="s">
        <v>15979</v>
      </c>
      <c r="BE2168" s="77"/>
      <c r="BF2168" s="77"/>
      <c r="BG2168" s="77"/>
      <c r="BH2168" s="77"/>
      <c r="BI2168" s="77"/>
    </row>
    <row r="2169" spans="1:61" x14ac:dyDescent="0.25">
      <c r="A2169" s="62" t="s">
        <v>387</v>
      </c>
      <c r="B2169" s="62" t="s">
        <v>387</v>
      </c>
      <c r="C2169" s="63"/>
      <c r="D2169" s="64"/>
      <c r="E2169" s="65"/>
      <c r="F2169" s="66"/>
      <c r="G2169" s="63"/>
      <c r="H2169" s="67"/>
      <c r="I2169" s="68"/>
      <c r="J2169" s="68"/>
      <c r="K2169" s="32"/>
      <c r="L2169" s="75">
        <v>2169</v>
      </c>
      <c r="M2169" s="75"/>
      <c r="N2169" s="70"/>
      <c r="O2169" s="77" t="s">
        <v>179</v>
      </c>
      <c r="P2169" s="79">
        <v>45160.958344907405</v>
      </c>
      <c r="Q2169" s="77" t="s">
        <v>2841</v>
      </c>
      <c r="R2169" s="77">
        <v>0</v>
      </c>
      <c r="S2169" s="77">
        <v>1</v>
      </c>
      <c r="T2169" s="77">
        <v>0</v>
      </c>
      <c r="U2169" s="77">
        <v>0</v>
      </c>
      <c r="V2169" s="77">
        <v>541</v>
      </c>
      <c r="W2169" s="82" t="s">
        <v>4833</v>
      </c>
      <c r="X2169" s="80" t="str">
        <f>HYPERLINK("https://mla.bs/b6348521")</f>
        <v>https://mla.bs/b6348521</v>
      </c>
      <c r="Y2169" s="77" t="s">
        <v>6506</v>
      </c>
      <c r="Z2169" s="77"/>
      <c r="AA2169" s="77"/>
      <c r="AB2169" s="77"/>
      <c r="AC2169" s="82" t="s">
        <v>7750</v>
      </c>
      <c r="AD2169" s="77" t="s">
        <v>7788</v>
      </c>
      <c r="AE2169" s="80" t="str">
        <f>HYPERLINK("https://twitter.com/einvestidor/status/1694122278479638991")</f>
        <v>https://twitter.com/einvestidor/status/1694122278479638991</v>
      </c>
      <c r="AF2169" s="79">
        <v>45160.958344907405</v>
      </c>
      <c r="AG2169" s="85">
        <v>45160</v>
      </c>
      <c r="AH2169" s="82" t="s">
        <v>9241</v>
      </c>
      <c r="AI2169" s="77" t="b">
        <v>0</v>
      </c>
      <c r="AJ2169" s="77"/>
      <c r="AK2169" s="77"/>
      <c r="AL2169" s="77"/>
      <c r="AM2169" s="77"/>
      <c r="AN2169" s="77"/>
      <c r="AO2169" s="77"/>
      <c r="AP2169" s="77"/>
      <c r="AQ2169" s="77"/>
      <c r="AR2169" s="77"/>
      <c r="AS2169" s="77"/>
      <c r="AT2169" s="77"/>
      <c r="AU2169" s="77"/>
      <c r="AV2169" s="80" t="str">
        <f>HYPERLINK("https://pbs.twimg.com/profile_images/1241147984924082183/gZgx_hL-_normal.jpg")</f>
        <v>https://pbs.twimg.com/profile_images/1241147984924082183/gZgx_hL-_normal.jpg</v>
      </c>
      <c r="AW2169" s="82" t="s">
        <v>13765</v>
      </c>
      <c r="AX2169" s="82" t="s">
        <v>13765</v>
      </c>
      <c r="AY2169" s="77"/>
      <c r="AZ2169" s="82" t="s">
        <v>15984</v>
      </c>
      <c r="BA2169" s="82" t="s">
        <v>15984</v>
      </c>
      <c r="BB2169" s="82" t="s">
        <v>15984</v>
      </c>
      <c r="BC2169" s="82" t="s">
        <v>13765</v>
      </c>
      <c r="BD2169" s="82" t="s">
        <v>15979</v>
      </c>
      <c r="BE2169" s="77"/>
      <c r="BF2169" s="77"/>
      <c r="BG2169" s="77"/>
      <c r="BH2169" s="77"/>
      <c r="BI2169" s="77"/>
    </row>
    <row r="2170" spans="1:61" x14ac:dyDescent="0.25">
      <c r="A2170" s="62" t="s">
        <v>387</v>
      </c>
      <c r="B2170" s="62" t="s">
        <v>387</v>
      </c>
      <c r="C2170" s="63"/>
      <c r="D2170" s="64"/>
      <c r="E2170" s="65"/>
      <c r="F2170" s="66"/>
      <c r="G2170" s="63"/>
      <c r="H2170" s="67"/>
      <c r="I2170" s="68"/>
      <c r="J2170" s="68"/>
      <c r="K2170" s="32"/>
      <c r="L2170" s="75">
        <v>2170</v>
      </c>
      <c r="M2170" s="75"/>
      <c r="N2170" s="70"/>
      <c r="O2170" s="77" t="s">
        <v>179</v>
      </c>
      <c r="P2170" s="79">
        <v>45155.895833333336</v>
      </c>
      <c r="Q2170" s="77" t="s">
        <v>2842</v>
      </c>
      <c r="R2170" s="77">
        <v>0</v>
      </c>
      <c r="S2170" s="77">
        <v>3</v>
      </c>
      <c r="T2170" s="77">
        <v>0</v>
      </c>
      <c r="U2170" s="77">
        <v>0</v>
      </c>
      <c r="V2170" s="77">
        <v>595</v>
      </c>
      <c r="W2170" s="82" t="s">
        <v>5921</v>
      </c>
      <c r="X2170" s="80" t="str">
        <f>HYPERLINK("https://mla.bs/3cd02fda")</f>
        <v>https://mla.bs/3cd02fda</v>
      </c>
      <c r="Y2170" s="77" t="s">
        <v>6506</v>
      </c>
      <c r="Z2170" s="77"/>
      <c r="AA2170" s="77"/>
      <c r="AB2170" s="77"/>
      <c r="AC2170" s="82" t="s">
        <v>7750</v>
      </c>
      <c r="AD2170" s="77" t="s">
        <v>7788</v>
      </c>
      <c r="AE2170" s="80" t="str">
        <f>HYPERLINK("https://twitter.com/einvestidor/status/1692287686311330104")</f>
        <v>https://twitter.com/einvestidor/status/1692287686311330104</v>
      </c>
      <c r="AF2170" s="79">
        <v>45155.895833333336</v>
      </c>
      <c r="AG2170" s="85">
        <v>45155</v>
      </c>
      <c r="AH2170" s="82" t="s">
        <v>8089</v>
      </c>
      <c r="AI2170" s="77" t="b">
        <v>0</v>
      </c>
      <c r="AJ2170" s="77"/>
      <c r="AK2170" s="77"/>
      <c r="AL2170" s="77"/>
      <c r="AM2170" s="77"/>
      <c r="AN2170" s="77"/>
      <c r="AO2170" s="77"/>
      <c r="AP2170" s="77"/>
      <c r="AQ2170" s="77"/>
      <c r="AR2170" s="77"/>
      <c r="AS2170" s="77"/>
      <c r="AT2170" s="77"/>
      <c r="AU2170" s="77"/>
      <c r="AV2170" s="80" t="str">
        <f>HYPERLINK("https://pbs.twimg.com/profile_images/1241147984924082183/gZgx_hL-_normal.jpg")</f>
        <v>https://pbs.twimg.com/profile_images/1241147984924082183/gZgx_hL-_normal.jpg</v>
      </c>
      <c r="AW2170" s="82" t="s">
        <v>13766</v>
      </c>
      <c r="AX2170" s="82" t="s">
        <v>13766</v>
      </c>
      <c r="AY2170" s="77"/>
      <c r="AZ2170" s="82" t="s">
        <v>15984</v>
      </c>
      <c r="BA2170" s="82" t="s">
        <v>15984</v>
      </c>
      <c r="BB2170" s="82" t="s">
        <v>15984</v>
      </c>
      <c r="BC2170" s="82" t="s">
        <v>13766</v>
      </c>
      <c r="BD2170" s="82" t="s">
        <v>15979</v>
      </c>
      <c r="BE2170" s="77"/>
      <c r="BF2170" s="77"/>
      <c r="BG2170" s="77"/>
      <c r="BH2170" s="77"/>
      <c r="BI2170" s="77"/>
    </row>
    <row r="2171" spans="1:61" x14ac:dyDescent="0.25">
      <c r="A2171" s="62" t="s">
        <v>387</v>
      </c>
      <c r="B2171" s="62" t="s">
        <v>387</v>
      </c>
      <c r="C2171" s="63"/>
      <c r="D2171" s="64"/>
      <c r="E2171" s="65"/>
      <c r="F2171" s="66"/>
      <c r="G2171" s="63"/>
      <c r="H2171" s="67"/>
      <c r="I2171" s="68"/>
      <c r="J2171" s="68"/>
      <c r="K2171" s="32"/>
      <c r="L2171" s="75">
        <v>2171</v>
      </c>
      <c r="M2171" s="75"/>
      <c r="N2171" s="70"/>
      <c r="O2171" s="77" t="s">
        <v>179</v>
      </c>
      <c r="P2171" s="79">
        <v>45155.894062500003</v>
      </c>
      <c r="Q2171" s="77" t="s">
        <v>2843</v>
      </c>
      <c r="R2171" s="77">
        <v>1</v>
      </c>
      <c r="S2171" s="77">
        <v>5</v>
      </c>
      <c r="T2171" s="77">
        <v>0</v>
      </c>
      <c r="U2171" s="77">
        <v>0</v>
      </c>
      <c r="V2171" s="77">
        <v>911</v>
      </c>
      <c r="W2171" s="82" t="s">
        <v>5922</v>
      </c>
      <c r="X2171" s="80" t="str">
        <f>HYPERLINK("https://mla.bs/8b3a6e4b")</f>
        <v>https://mla.bs/8b3a6e4b</v>
      </c>
      <c r="Y2171" s="77" t="s">
        <v>6506</v>
      </c>
      <c r="Z2171" s="77"/>
      <c r="AA2171" s="77"/>
      <c r="AB2171" s="77"/>
      <c r="AC2171" s="82" t="s">
        <v>7750</v>
      </c>
      <c r="AD2171" s="77" t="s">
        <v>7788</v>
      </c>
      <c r="AE2171" s="80" t="str">
        <f>HYPERLINK("https://twitter.com/einvestidor/status/1692287046260244524")</f>
        <v>https://twitter.com/einvestidor/status/1692287046260244524</v>
      </c>
      <c r="AF2171" s="79">
        <v>45155.894062500003</v>
      </c>
      <c r="AG2171" s="85">
        <v>45155</v>
      </c>
      <c r="AH2171" s="82" t="s">
        <v>9622</v>
      </c>
      <c r="AI2171" s="77" t="b">
        <v>0</v>
      </c>
      <c r="AJ2171" s="77"/>
      <c r="AK2171" s="77"/>
      <c r="AL2171" s="77"/>
      <c r="AM2171" s="77"/>
      <c r="AN2171" s="77"/>
      <c r="AO2171" s="77"/>
      <c r="AP2171" s="77"/>
      <c r="AQ2171" s="77"/>
      <c r="AR2171" s="77"/>
      <c r="AS2171" s="77"/>
      <c r="AT2171" s="77"/>
      <c r="AU2171" s="77"/>
      <c r="AV2171" s="80" t="str">
        <f>HYPERLINK("https://pbs.twimg.com/profile_images/1241147984924082183/gZgx_hL-_normal.jpg")</f>
        <v>https://pbs.twimg.com/profile_images/1241147984924082183/gZgx_hL-_normal.jpg</v>
      </c>
      <c r="AW2171" s="82" t="s">
        <v>13767</v>
      </c>
      <c r="AX2171" s="82" t="s">
        <v>13767</v>
      </c>
      <c r="AY2171" s="77"/>
      <c r="AZ2171" s="82" t="s">
        <v>15984</v>
      </c>
      <c r="BA2171" s="82" t="s">
        <v>15984</v>
      </c>
      <c r="BB2171" s="82" t="s">
        <v>15984</v>
      </c>
      <c r="BC2171" s="82" t="s">
        <v>13767</v>
      </c>
      <c r="BD2171" s="82" t="s">
        <v>15979</v>
      </c>
      <c r="BE2171" s="77"/>
      <c r="BF2171" s="77"/>
      <c r="BG2171" s="77"/>
      <c r="BH2171" s="77"/>
      <c r="BI2171" s="77"/>
    </row>
    <row r="2172" spans="1:61" x14ac:dyDescent="0.25">
      <c r="A2172" s="62" t="s">
        <v>387</v>
      </c>
      <c r="B2172" s="62" t="s">
        <v>387</v>
      </c>
      <c r="C2172" s="63"/>
      <c r="D2172" s="64"/>
      <c r="E2172" s="65"/>
      <c r="F2172" s="66"/>
      <c r="G2172" s="63"/>
      <c r="H2172" s="67"/>
      <c r="I2172" s="68"/>
      <c r="J2172" s="68"/>
      <c r="K2172" s="32"/>
      <c r="L2172" s="75">
        <v>2172</v>
      </c>
      <c r="M2172" s="75"/>
      <c r="N2172" s="70"/>
      <c r="O2172" s="77" t="s">
        <v>179</v>
      </c>
      <c r="P2172" s="79">
        <v>45155.893599537034</v>
      </c>
      <c r="Q2172" s="77" t="s">
        <v>2844</v>
      </c>
      <c r="R2172" s="77">
        <v>0</v>
      </c>
      <c r="S2172" s="77">
        <v>1</v>
      </c>
      <c r="T2172" s="77">
        <v>0</v>
      </c>
      <c r="U2172" s="77">
        <v>0</v>
      </c>
      <c r="V2172" s="77">
        <v>633</v>
      </c>
      <c r="W2172" s="82" t="s">
        <v>5923</v>
      </c>
      <c r="X2172" s="80" t="str">
        <f>HYPERLINK("https://mla.bs/9be1389b")</f>
        <v>https://mla.bs/9be1389b</v>
      </c>
      <c r="Y2172" s="77" t="s">
        <v>6506</v>
      </c>
      <c r="Z2172" s="77"/>
      <c r="AA2172" s="77"/>
      <c r="AB2172" s="77"/>
      <c r="AC2172" s="82" t="s">
        <v>7750</v>
      </c>
      <c r="AD2172" s="77" t="s">
        <v>7788</v>
      </c>
      <c r="AE2172" s="80" t="str">
        <f>HYPERLINK("https://twitter.com/einvestidor/status/1692286876269318193")</f>
        <v>https://twitter.com/einvestidor/status/1692286876269318193</v>
      </c>
      <c r="AF2172" s="79">
        <v>45155.893599537034</v>
      </c>
      <c r="AG2172" s="85">
        <v>45155</v>
      </c>
      <c r="AH2172" s="82" t="s">
        <v>9623</v>
      </c>
      <c r="AI2172" s="77" t="b">
        <v>0</v>
      </c>
      <c r="AJ2172" s="77"/>
      <c r="AK2172" s="77"/>
      <c r="AL2172" s="77"/>
      <c r="AM2172" s="77"/>
      <c r="AN2172" s="77"/>
      <c r="AO2172" s="77"/>
      <c r="AP2172" s="77"/>
      <c r="AQ2172" s="77"/>
      <c r="AR2172" s="77"/>
      <c r="AS2172" s="77"/>
      <c r="AT2172" s="77"/>
      <c r="AU2172" s="77"/>
      <c r="AV2172" s="80" t="str">
        <f>HYPERLINK("https://pbs.twimg.com/profile_images/1241147984924082183/gZgx_hL-_normal.jpg")</f>
        <v>https://pbs.twimg.com/profile_images/1241147984924082183/gZgx_hL-_normal.jpg</v>
      </c>
      <c r="AW2172" s="82" t="s">
        <v>13768</v>
      </c>
      <c r="AX2172" s="82" t="s">
        <v>13768</v>
      </c>
      <c r="AY2172" s="77"/>
      <c r="AZ2172" s="82" t="s">
        <v>15984</v>
      </c>
      <c r="BA2172" s="82" t="s">
        <v>15984</v>
      </c>
      <c r="BB2172" s="82" t="s">
        <v>15984</v>
      </c>
      <c r="BC2172" s="82" t="s">
        <v>13768</v>
      </c>
      <c r="BD2172" s="82" t="s">
        <v>15979</v>
      </c>
      <c r="BE2172" s="77"/>
      <c r="BF2172" s="77"/>
      <c r="BG2172" s="77"/>
      <c r="BH2172" s="77"/>
      <c r="BI2172" s="77"/>
    </row>
    <row r="2173" spans="1:61" x14ac:dyDescent="0.25">
      <c r="A2173" s="62" t="s">
        <v>387</v>
      </c>
      <c r="B2173" s="62" t="s">
        <v>387</v>
      </c>
      <c r="C2173" s="63"/>
      <c r="D2173" s="64"/>
      <c r="E2173" s="65"/>
      <c r="F2173" s="66"/>
      <c r="G2173" s="63"/>
      <c r="H2173" s="67"/>
      <c r="I2173" s="68"/>
      <c r="J2173" s="68"/>
      <c r="K2173" s="32"/>
      <c r="L2173" s="75">
        <v>2173</v>
      </c>
      <c r="M2173" s="75"/>
      <c r="N2173" s="70"/>
      <c r="O2173" s="77" t="s">
        <v>179</v>
      </c>
      <c r="P2173" s="79">
        <v>45155.885416666664</v>
      </c>
      <c r="Q2173" s="77" t="s">
        <v>2845</v>
      </c>
      <c r="R2173" s="77">
        <v>0</v>
      </c>
      <c r="S2173" s="77">
        <v>3</v>
      </c>
      <c r="T2173" s="77">
        <v>1</v>
      </c>
      <c r="U2173" s="77">
        <v>0</v>
      </c>
      <c r="V2173" s="77">
        <v>1007</v>
      </c>
      <c r="W2173" s="82" t="s">
        <v>5924</v>
      </c>
      <c r="X2173" s="80" t="str">
        <f>HYPERLINK("https://mla.bs/1fc36c3b")</f>
        <v>https://mla.bs/1fc36c3b</v>
      </c>
      <c r="Y2173" s="77" t="s">
        <v>6506</v>
      </c>
      <c r="Z2173" s="77"/>
      <c r="AA2173" s="77"/>
      <c r="AB2173" s="77"/>
      <c r="AC2173" s="82" t="s">
        <v>7750</v>
      </c>
      <c r="AD2173" s="77" t="s">
        <v>7788</v>
      </c>
      <c r="AE2173" s="80" t="str">
        <f>HYPERLINK("https://twitter.com/einvestidor/status/1692283911424905684")</f>
        <v>https://twitter.com/einvestidor/status/1692283911424905684</v>
      </c>
      <c r="AF2173" s="79">
        <v>45155.885416666664</v>
      </c>
      <c r="AG2173" s="85">
        <v>45155</v>
      </c>
      <c r="AH2173" s="82" t="s">
        <v>8206</v>
      </c>
      <c r="AI2173" s="77" t="b">
        <v>0</v>
      </c>
      <c r="AJ2173" s="77"/>
      <c r="AK2173" s="77"/>
      <c r="AL2173" s="77"/>
      <c r="AM2173" s="77"/>
      <c r="AN2173" s="77"/>
      <c r="AO2173" s="77"/>
      <c r="AP2173" s="77"/>
      <c r="AQ2173" s="77"/>
      <c r="AR2173" s="77"/>
      <c r="AS2173" s="77"/>
      <c r="AT2173" s="77"/>
      <c r="AU2173" s="77"/>
      <c r="AV2173" s="80" t="str">
        <f>HYPERLINK("https://pbs.twimg.com/profile_images/1241147984924082183/gZgx_hL-_normal.jpg")</f>
        <v>https://pbs.twimg.com/profile_images/1241147984924082183/gZgx_hL-_normal.jpg</v>
      </c>
      <c r="AW2173" s="82" t="s">
        <v>13769</v>
      </c>
      <c r="AX2173" s="82" t="s">
        <v>13769</v>
      </c>
      <c r="AY2173" s="77"/>
      <c r="AZ2173" s="82" t="s">
        <v>15984</v>
      </c>
      <c r="BA2173" s="82" t="s">
        <v>15984</v>
      </c>
      <c r="BB2173" s="82" t="s">
        <v>15984</v>
      </c>
      <c r="BC2173" s="82" t="s">
        <v>13769</v>
      </c>
      <c r="BD2173" s="82" t="s">
        <v>15979</v>
      </c>
      <c r="BE2173" s="77"/>
      <c r="BF2173" s="77"/>
      <c r="BG2173" s="77"/>
      <c r="BH2173" s="77"/>
      <c r="BI2173" s="77"/>
    </row>
    <row r="2174" spans="1:61" x14ac:dyDescent="0.25">
      <c r="A2174" s="62" t="s">
        <v>387</v>
      </c>
      <c r="B2174" s="62" t="s">
        <v>387</v>
      </c>
      <c r="C2174" s="63"/>
      <c r="D2174" s="64"/>
      <c r="E2174" s="65"/>
      <c r="F2174" s="66"/>
      <c r="G2174" s="63"/>
      <c r="H2174" s="67"/>
      <c r="I2174" s="68"/>
      <c r="J2174" s="68"/>
      <c r="K2174" s="32"/>
      <c r="L2174" s="75">
        <v>2174</v>
      </c>
      <c r="M2174" s="75"/>
      <c r="N2174" s="70"/>
      <c r="O2174" s="77" t="s">
        <v>179</v>
      </c>
      <c r="P2174" s="79">
        <v>45153.423229166663</v>
      </c>
      <c r="Q2174" s="77" t="s">
        <v>2846</v>
      </c>
      <c r="R2174" s="77">
        <v>0</v>
      </c>
      <c r="S2174" s="77">
        <v>0</v>
      </c>
      <c r="T2174" s="77">
        <v>0</v>
      </c>
      <c r="U2174" s="77">
        <v>0</v>
      </c>
      <c r="V2174" s="77">
        <v>720</v>
      </c>
      <c r="W2174" s="82" t="s">
        <v>4839</v>
      </c>
      <c r="X2174" s="80" t="str">
        <f>HYPERLINK("https://einvestidor.estadao.com.br/mercado/analistas-desconfiam-alta-bolsa-por-que/?utm_source=twitter&amp;utm_medium=organic&amp;utm_campaign=ibovespa&amp;utm_content=materia")</f>
        <v>https://einvestidor.estadao.com.br/mercado/analistas-desconfiam-alta-bolsa-por-que/?utm_source=twitter&amp;utm_medium=organic&amp;utm_campaign=ibovespa&amp;utm_content=materia</v>
      </c>
      <c r="Y2174" s="77" t="s">
        <v>6470</v>
      </c>
      <c r="Z2174" s="77"/>
      <c r="AA2174" s="77"/>
      <c r="AB2174" s="77"/>
      <c r="AC2174" s="82" t="s">
        <v>7754</v>
      </c>
      <c r="AD2174" s="77" t="s">
        <v>7788</v>
      </c>
      <c r="AE2174" s="80" t="str">
        <f>HYPERLINK("https://twitter.com/einvestidor/status/1691391644015468544")</f>
        <v>https://twitter.com/einvestidor/status/1691391644015468544</v>
      </c>
      <c r="AF2174" s="79">
        <v>45153.423229166663</v>
      </c>
      <c r="AG2174" s="85">
        <v>45153</v>
      </c>
      <c r="AH2174" s="82" t="s">
        <v>9624</v>
      </c>
      <c r="AI2174" s="77" t="b">
        <v>0</v>
      </c>
      <c r="AJ2174" s="77"/>
      <c r="AK2174" s="77"/>
      <c r="AL2174" s="77"/>
      <c r="AM2174" s="77"/>
      <c r="AN2174" s="77"/>
      <c r="AO2174" s="77"/>
      <c r="AP2174" s="77"/>
      <c r="AQ2174" s="77"/>
      <c r="AR2174" s="77"/>
      <c r="AS2174" s="77"/>
      <c r="AT2174" s="77"/>
      <c r="AU2174" s="77"/>
      <c r="AV2174" s="80" t="str">
        <f>HYPERLINK("https://pbs.twimg.com/profile_images/1241147984924082183/gZgx_hL-_normal.jpg")</f>
        <v>https://pbs.twimg.com/profile_images/1241147984924082183/gZgx_hL-_normal.jpg</v>
      </c>
      <c r="AW2174" s="82" t="s">
        <v>13770</v>
      </c>
      <c r="AX2174" s="82" t="s">
        <v>13770</v>
      </c>
      <c r="AY2174" s="77"/>
      <c r="AZ2174" s="82" t="s">
        <v>15984</v>
      </c>
      <c r="BA2174" s="82" t="s">
        <v>15984</v>
      </c>
      <c r="BB2174" s="82" t="s">
        <v>15984</v>
      </c>
      <c r="BC2174" s="82" t="s">
        <v>13770</v>
      </c>
      <c r="BD2174" s="82" t="s">
        <v>15979</v>
      </c>
      <c r="BE2174" s="77"/>
      <c r="BF2174" s="77"/>
      <c r="BG2174" s="77"/>
      <c r="BH2174" s="77"/>
      <c r="BI2174" s="77"/>
    </row>
    <row r="2175" spans="1:61" x14ac:dyDescent="0.25">
      <c r="A2175" s="62" t="s">
        <v>387</v>
      </c>
      <c r="B2175" s="62" t="s">
        <v>387</v>
      </c>
      <c r="C2175" s="63"/>
      <c r="D2175" s="64"/>
      <c r="E2175" s="65"/>
      <c r="F2175" s="66"/>
      <c r="G2175" s="63"/>
      <c r="H2175" s="67"/>
      <c r="I2175" s="68"/>
      <c r="J2175" s="68"/>
      <c r="K2175" s="32"/>
      <c r="L2175" s="75">
        <v>2175</v>
      </c>
      <c r="M2175" s="75"/>
      <c r="N2175" s="70"/>
      <c r="O2175" s="77" t="s">
        <v>179</v>
      </c>
      <c r="P2175" s="79">
        <v>45153.020833333336</v>
      </c>
      <c r="Q2175" s="77" t="s">
        <v>2847</v>
      </c>
      <c r="R2175" s="77">
        <v>0</v>
      </c>
      <c r="S2175" s="77">
        <v>4</v>
      </c>
      <c r="T2175" s="77">
        <v>0</v>
      </c>
      <c r="U2175" s="77">
        <v>0</v>
      </c>
      <c r="V2175" s="77">
        <v>915</v>
      </c>
      <c r="W2175" s="82" t="s">
        <v>4833</v>
      </c>
      <c r="X2175" s="80" t="str">
        <f>HYPERLINK("https://mla.bs/6e563708")</f>
        <v>https://mla.bs/6e563708</v>
      </c>
      <c r="Y2175" s="77" t="s">
        <v>6506</v>
      </c>
      <c r="Z2175" s="77"/>
      <c r="AA2175" s="77"/>
      <c r="AB2175" s="77"/>
      <c r="AC2175" s="82" t="s">
        <v>7754</v>
      </c>
      <c r="AD2175" s="77" t="s">
        <v>7788</v>
      </c>
      <c r="AE2175" s="80" t="str">
        <f>HYPERLINK("https://twitter.com/einvestidor/status/1691245820996149249")</f>
        <v>https://twitter.com/einvestidor/status/1691245820996149249</v>
      </c>
      <c r="AF2175" s="79">
        <v>45153.020833333336</v>
      </c>
      <c r="AG2175" s="85">
        <v>45153</v>
      </c>
      <c r="AH2175" s="82" t="s">
        <v>8088</v>
      </c>
      <c r="AI2175" s="77" t="b">
        <v>0</v>
      </c>
      <c r="AJ2175" s="77"/>
      <c r="AK2175" s="77"/>
      <c r="AL2175" s="77"/>
      <c r="AM2175" s="77"/>
      <c r="AN2175" s="77"/>
      <c r="AO2175" s="77"/>
      <c r="AP2175" s="77"/>
      <c r="AQ2175" s="77"/>
      <c r="AR2175" s="77"/>
      <c r="AS2175" s="77"/>
      <c r="AT2175" s="77"/>
      <c r="AU2175" s="77"/>
      <c r="AV2175" s="80" t="str">
        <f>HYPERLINK("https://pbs.twimg.com/profile_images/1241147984924082183/gZgx_hL-_normal.jpg")</f>
        <v>https://pbs.twimg.com/profile_images/1241147984924082183/gZgx_hL-_normal.jpg</v>
      </c>
      <c r="AW2175" s="82" t="s">
        <v>13771</v>
      </c>
      <c r="AX2175" s="82" t="s">
        <v>13771</v>
      </c>
      <c r="AY2175" s="77"/>
      <c r="AZ2175" s="82" t="s">
        <v>15984</v>
      </c>
      <c r="BA2175" s="82" t="s">
        <v>15984</v>
      </c>
      <c r="BB2175" s="82" t="s">
        <v>15984</v>
      </c>
      <c r="BC2175" s="82" t="s">
        <v>13771</v>
      </c>
      <c r="BD2175" s="82" t="s">
        <v>15979</v>
      </c>
      <c r="BE2175" s="77"/>
      <c r="BF2175" s="77"/>
      <c r="BG2175" s="77"/>
      <c r="BH2175" s="77"/>
      <c r="BI2175" s="77"/>
    </row>
    <row r="2176" spans="1:61" x14ac:dyDescent="0.25">
      <c r="A2176" s="62" t="s">
        <v>387</v>
      </c>
      <c r="B2176" s="62" t="s">
        <v>387</v>
      </c>
      <c r="C2176" s="63"/>
      <c r="D2176" s="64"/>
      <c r="E2176" s="65"/>
      <c r="F2176" s="66"/>
      <c r="G2176" s="63"/>
      <c r="H2176" s="67"/>
      <c r="I2176" s="68"/>
      <c r="J2176" s="68"/>
      <c r="K2176" s="32"/>
      <c r="L2176" s="75">
        <v>2176</v>
      </c>
      <c r="M2176" s="75"/>
      <c r="N2176" s="70"/>
      <c r="O2176" s="77" t="s">
        <v>179</v>
      </c>
      <c r="P2176" s="79">
        <v>45153.010416666664</v>
      </c>
      <c r="Q2176" s="77" t="s">
        <v>2848</v>
      </c>
      <c r="R2176" s="77">
        <v>0</v>
      </c>
      <c r="S2176" s="77">
        <v>1</v>
      </c>
      <c r="T2176" s="77">
        <v>0</v>
      </c>
      <c r="U2176" s="77">
        <v>0</v>
      </c>
      <c r="V2176" s="77">
        <v>847</v>
      </c>
      <c r="W2176" s="82" t="s">
        <v>4833</v>
      </c>
      <c r="X2176" s="80" t="str">
        <f>HYPERLINK("https://mla.bs/8071aace")</f>
        <v>https://mla.bs/8071aace</v>
      </c>
      <c r="Y2176" s="77" t="s">
        <v>6506</v>
      </c>
      <c r="Z2176" s="77"/>
      <c r="AA2176" s="77"/>
      <c r="AB2176" s="77"/>
      <c r="AC2176" s="82" t="s">
        <v>7754</v>
      </c>
      <c r="AD2176" s="77" t="s">
        <v>7788</v>
      </c>
      <c r="AE2176" s="80" t="str">
        <f>HYPERLINK("https://twitter.com/einvestidor/status/1691242046114476032")</f>
        <v>https://twitter.com/einvestidor/status/1691242046114476032</v>
      </c>
      <c r="AF2176" s="79">
        <v>45153.010416666664</v>
      </c>
      <c r="AG2176" s="85">
        <v>45153</v>
      </c>
      <c r="AH2176" s="82" t="s">
        <v>8119</v>
      </c>
      <c r="AI2176" s="77" t="b">
        <v>0</v>
      </c>
      <c r="AJ2176" s="77"/>
      <c r="AK2176" s="77"/>
      <c r="AL2176" s="77"/>
      <c r="AM2176" s="77"/>
      <c r="AN2176" s="77"/>
      <c r="AO2176" s="77"/>
      <c r="AP2176" s="77"/>
      <c r="AQ2176" s="77"/>
      <c r="AR2176" s="77"/>
      <c r="AS2176" s="77"/>
      <c r="AT2176" s="77"/>
      <c r="AU2176" s="77"/>
      <c r="AV2176" s="80" t="str">
        <f>HYPERLINK("https://pbs.twimg.com/profile_images/1241147984924082183/gZgx_hL-_normal.jpg")</f>
        <v>https://pbs.twimg.com/profile_images/1241147984924082183/gZgx_hL-_normal.jpg</v>
      </c>
      <c r="AW2176" s="82" t="s">
        <v>13772</v>
      </c>
      <c r="AX2176" s="82" t="s">
        <v>13772</v>
      </c>
      <c r="AY2176" s="77"/>
      <c r="AZ2176" s="82" t="s">
        <v>15984</v>
      </c>
      <c r="BA2176" s="82" t="s">
        <v>15984</v>
      </c>
      <c r="BB2176" s="82" t="s">
        <v>15984</v>
      </c>
      <c r="BC2176" s="82" t="s">
        <v>13772</v>
      </c>
      <c r="BD2176" s="82" t="s">
        <v>15979</v>
      </c>
      <c r="BE2176" s="77"/>
      <c r="BF2176" s="77"/>
      <c r="BG2176" s="77"/>
      <c r="BH2176" s="77"/>
      <c r="BI2176" s="77"/>
    </row>
    <row r="2177" spans="1:61" x14ac:dyDescent="0.25">
      <c r="A2177" s="62" t="s">
        <v>387</v>
      </c>
      <c r="B2177" s="62" t="s">
        <v>387</v>
      </c>
      <c r="C2177" s="63"/>
      <c r="D2177" s="64"/>
      <c r="E2177" s="65"/>
      <c r="F2177" s="66"/>
      <c r="G2177" s="63"/>
      <c r="H2177" s="67"/>
      <c r="I2177" s="68"/>
      <c r="J2177" s="68"/>
      <c r="K2177" s="32"/>
      <c r="L2177" s="75">
        <v>2177</v>
      </c>
      <c r="M2177" s="75"/>
      <c r="N2177" s="70"/>
      <c r="O2177" s="77" t="s">
        <v>179</v>
      </c>
      <c r="P2177" s="79">
        <v>45149.84375</v>
      </c>
      <c r="Q2177" s="77" t="s">
        <v>2849</v>
      </c>
      <c r="R2177" s="77">
        <v>0</v>
      </c>
      <c r="S2177" s="77">
        <v>2</v>
      </c>
      <c r="T2177" s="77">
        <v>0</v>
      </c>
      <c r="U2177" s="77">
        <v>0</v>
      </c>
      <c r="V2177" s="77">
        <v>595</v>
      </c>
      <c r="W2177" s="82" t="s">
        <v>5925</v>
      </c>
      <c r="X2177" s="80" t="str">
        <f>HYPERLINK("https://mla.bs/64b8b510")</f>
        <v>https://mla.bs/64b8b510</v>
      </c>
      <c r="Y2177" s="77" t="s">
        <v>6506</v>
      </c>
      <c r="Z2177" s="77"/>
      <c r="AA2177" s="77"/>
      <c r="AB2177" s="77"/>
      <c r="AC2177" s="82" t="s">
        <v>7754</v>
      </c>
      <c r="AD2177" s="77" t="s">
        <v>7788</v>
      </c>
      <c r="AE2177" s="80" t="str">
        <f>HYPERLINK("https://twitter.com/einvestidor/status/1690094484699394050")</f>
        <v>https://twitter.com/einvestidor/status/1690094484699394050</v>
      </c>
      <c r="AF2177" s="79">
        <v>45149.84375</v>
      </c>
      <c r="AG2177" s="85">
        <v>45149</v>
      </c>
      <c r="AH2177" s="82" t="s">
        <v>9296</v>
      </c>
      <c r="AI2177" s="77" t="b">
        <v>0</v>
      </c>
      <c r="AJ2177" s="77"/>
      <c r="AK2177" s="77"/>
      <c r="AL2177" s="77"/>
      <c r="AM2177" s="77"/>
      <c r="AN2177" s="77"/>
      <c r="AO2177" s="77"/>
      <c r="AP2177" s="77"/>
      <c r="AQ2177" s="77"/>
      <c r="AR2177" s="77"/>
      <c r="AS2177" s="77"/>
      <c r="AT2177" s="77"/>
      <c r="AU2177" s="77"/>
      <c r="AV2177" s="80" t="str">
        <f>HYPERLINK("https://pbs.twimg.com/profile_images/1241147984924082183/gZgx_hL-_normal.jpg")</f>
        <v>https://pbs.twimg.com/profile_images/1241147984924082183/gZgx_hL-_normal.jpg</v>
      </c>
      <c r="AW2177" s="82" t="s">
        <v>13773</v>
      </c>
      <c r="AX2177" s="82" t="s">
        <v>13773</v>
      </c>
      <c r="AY2177" s="77"/>
      <c r="AZ2177" s="82" t="s">
        <v>15984</v>
      </c>
      <c r="BA2177" s="82" t="s">
        <v>15984</v>
      </c>
      <c r="BB2177" s="82" t="s">
        <v>15984</v>
      </c>
      <c r="BC2177" s="82" t="s">
        <v>13773</v>
      </c>
      <c r="BD2177" s="82" t="s">
        <v>15979</v>
      </c>
      <c r="BE2177" s="77"/>
      <c r="BF2177" s="77"/>
      <c r="BG2177" s="77"/>
      <c r="BH2177" s="77"/>
      <c r="BI2177" s="77"/>
    </row>
    <row r="2178" spans="1:61" x14ac:dyDescent="0.25">
      <c r="A2178" s="62" t="s">
        <v>387</v>
      </c>
      <c r="B2178" s="62" t="s">
        <v>387</v>
      </c>
      <c r="C2178" s="63"/>
      <c r="D2178" s="64"/>
      <c r="E2178" s="65"/>
      <c r="F2178" s="66"/>
      <c r="G2178" s="63"/>
      <c r="H2178" s="67"/>
      <c r="I2178" s="68"/>
      <c r="J2178" s="68"/>
      <c r="K2178" s="32"/>
      <c r="L2178" s="75">
        <v>2178</v>
      </c>
      <c r="M2178" s="75"/>
      <c r="N2178" s="70"/>
      <c r="O2178" s="77" t="s">
        <v>179</v>
      </c>
      <c r="P2178" s="79">
        <v>45149.833344907405</v>
      </c>
      <c r="Q2178" s="77" t="s">
        <v>2850</v>
      </c>
      <c r="R2178" s="77">
        <v>0</v>
      </c>
      <c r="S2178" s="77">
        <v>1</v>
      </c>
      <c r="T2178" s="77">
        <v>0</v>
      </c>
      <c r="U2178" s="77">
        <v>0</v>
      </c>
      <c r="V2178" s="77">
        <v>536</v>
      </c>
      <c r="W2178" s="82" t="s">
        <v>4833</v>
      </c>
      <c r="X2178" s="80" t="str">
        <f>HYPERLINK("https://mla.bs/028eee95")</f>
        <v>https://mla.bs/028eee95</v>
      </c>
      <c r="Y2178" s="77" t="s">
        <v>6506</v>
      </c>
      <c r="Z2178" s="77"/>
      <c r="AA2178" s="77"/>
      <c r="AB2178" s="77"/>
      <c r="AC2178" s="82" t="s">
        <v>7754</v>
      </c>
      <c r="AD2178" s="77" t="s">
        <v>7788</v>
      </c>
      <c r="AE2178" s="80" t="str">
        <f>HYPERLINK("https://twitter.com/einvestidor/status/1690090714799984640")</f>
        <v>https://twitter.com/einvestidor/status/1690090714799984640</v>
      </c>
      <c r="AF2178" s="79">
        <v>45149.833344907405</v>
      </c>
      <c r="AG2178" s="85">
        <v>45149</v>
      </c>
      <c r="AH2178" s="82" t="s">
        <v>8284</v>
      </c>
      <c r="AI2178" s="77" t="b">
        <v>0</v>
      </c>
      <c r="AJ2178" s="77"/>
      <c r="AK2178" s="77"/>
      <c r="AL2178" s="77"/>
      <c r="AM2178" s="77"/>
      <c r="AN2178" s="77"/>
      <c r="AO2178" s="77"/>
      <c r="AP2178" s="77"/>
      <c r="AQ2178" s="77"/>
      <c r="AR2178" s="77"/>
      <c r="AS2178" s="77"/>
      <c r="AT2178" s="77"/>
      <c r="AU2178" s="77"/>
      <c r="AV2178" s="80" t="str">
        <f>HYPERLINK("https://pbs.twimg.com/profile_images/1241147984924082183/gZgx_hL-_normal.jpg")</f>
        <v>https://pbs.twimg.com/profile_images/1241147984924082183/gZgx_hL-_normal.jpg</v>
      </c>
      <c r="AW2178" s="82" t="s">
        <v>13774</v>
      </c>
      <c r="AX2178" s="82" t="s">
        <v>13774</v>
      </c>
      <c r="AY2178" s="77"/>
      <c r="AZ2178" s="82" t="s">
        <v>15984</v>
      </c>
      <c r="BA2178" s="82" t="s">
        <v>15984</v>
      </c>
      <c r="BB2178" s="82" t="s">
        <v>15984</v>
      </c>
      <c r="BC2178" s="82" t="s">
        <v>13774</v>
      </c>
      <c r="BD2178" s="82" t="s">
        <v>15979</v>
      </c>
      <c r="BE2178" s="77"/>
      <c r="BF2178" s="77"/>
      <c r="BG2178" s="77"/>
      <c r="BH2178" s="77"/>
      <c r="BI2178" s="77"/>
    </row>
    <row r="2179" spans="1:61" x14ac:dyDescent="0.25">
      <c r="A2179" s="62" t="s">
        <v>387</v>
      </c>
      <c r="B2179" s="62" t="s">
        <v>387</v>
      </c>
      <c r="C2179" s="63"/>
      <c r="D2179" s="64"/>
      <c r="E2179" s="65"/>
      <c r="F2179" s="66"/>
      <c r="G2179" s="63"/>
      <c r="H2179" s="67"/>
      <c r="I2179" s="68"/>
      <c r="J2179" s="68"/>
      <c r="K2179" s="32"/>
      <c r="L2179" s="75">
        <v>2179</v>
      </c>
      <c r="M2179" s="75"/>
      <c r="N2179" s="70"/>
      <c r="O2179" s="77" t="s">
        <v>179</v>
      </c>
      <c r="P2179" s="79">
        <v>45149.822916666664</v>
      </c>
      <c r="Q2179" s="77" t="s">
        <v>2851</v>
      </c>
      <c r="R2179" s="77">
        <v>0</v>
      </c>
      <c r="S2179" s="77">
        <v>1</v>
      </c>
      <c r="T2179" s="77">
        <v>0</v>
      </c>
      <c r="U2179" s="77">
        <v>0</v>
      </c>
      <c r="V2179" s="77">
        <v>534</v>
      </c>
      <c r="W2179" s="82" t="s">
        <v>4833</v>
      </c>
      <c r="X2179" s="80" t="str">
        <f>HYPERLINK("https://mla.bs/e5bd465c")</f>
        <v>https://mla.bs/e5bd465c</v>
      </c>
      <c r="Y2179" s="77" t="s">
        <v>6506</v>
      </c>
      <c r="Z2179" s="77"/>
      <c r="AA2179" s="77"/>
      <c r="AB2179" s="77"/>
      <c r="AC2179" s="82" t="s">
        <v>7754</v>
      </c>
      <c r="AD2179" s="77" t="s">
        <v>7788</v>
      </c>
      <c r="AE2179" s="80" t="str">
        <f>HYPERLINK("https://twitter.com/einvestidor/status/1690086935149051906")</f>
        <v>https://twitter.com/einvestidor/status/1690086935149051906</v>
      </c>
      <c r="AF2179" s="79">
        <v>45149.822916666664</v>
      </c>
      <c r="AG2179" s="85">
        <v>45149</v>
      </c>
      <c r="AH2179" s="82" t="s">
        <v>9579</v>
      </c>
      <c r="AI2179" s="77" t="b">
        <v>0</v>
      </c>
      <c r="AJ2179" s="77"/>
      <c r="AK2179" s="77"/>
      <c r="AL2179" s="77"/>
      <c r="AM2179" s="77"/>
      <c r="AN2179" s="77"/>
      <c r="AO2179" s="77"/>
      <c r="AP2179" s="77"/>
      <c r="AQ2179" s="77"/>
      <c r="AR2179" s="77"/>
      <c r="AS2179" s="77"/>
      <c r="AT2179" s="77"/>
      <c r="AU2179" s="77"/>
      <c r="AV2179" s="80" t="str">
        <f>HYPERLINK("https://pbs.twimg.com/profile_images/1241147984924082183/gZgx_hL-_normal.jpg")</f>
        <v>https://pbs.twimg.com/profile_images/1241147984924082183/gZgx_hL-_normal.jpg</v>
      </c>
      <c r="AW2179" s="82" t="s">
        <v>13775</v>
      </c>
      <c r="AX2179" s="82" t="s">
        <v>13775</v>
      </c>
      <c r="AY2179" s="77"/>
      <c r="AZ2179" s="82" t="s">
        <v>15984</v>
      </c>
      <c r="BA2179" s="82" t="s">
        <v>15984</v>
      </c>
      <c r="BB2179" s="82" t="s">
        <v>15984</v>
      </c>
      <c r="BC2179" s="82" t="s">
        <v>13775</v>
      </c>
      <c r="BD2179" s="82" t="s">
        <v>15979</v>
      </c>
      <c r="BE2179" s="77"/>
      <c r="BF2179" s="77"/>
      <c r="BG2179" s="77"/>
      <c r="BH2179" s="77"/>
      <c r="BI2179" s="77"/>
    </row>
    <row r="2180" spans="1:61" x14ac:dyDescent="0.25">
      <c r="A2180" s="62" t="s">
        <v>387</v>
      </c>
      <c r="B2180" s="62" t="s">
        <v>387</v>
      </c>
      <c r="C2180" s="63"/>
      <c r="D2180" s="64"/>
      <c r="E2180" s="65"/>
      <c r="F2180" s="66"/>
      <c r="G2180" s="63"/>
      <c r="H2180" s="67"/>
      <c r="I2180" s="68"/>
      <c r="J2180" s="68"/>
      <c r="K2180" s="32"/>
      <c r="L2180" s="75">
        <v>2180</v>
      </c>
      <c r="M2180" s="75"/>
      <c r="N2180" s="70"/>
      <c r="O2180" s="77" t="s">
        <v>179</v>
      </c>
      <c r="P2180" s="79">
        <v>45149.8125</v>
      </c>
      <c r="Q2180" s="77" t="s">
        <v>2852</v>
      </c>
      <c r="R2180" s="77">
        <v>1</v>
      </c>
      <c r="S2180" s="77">
        <v>1</v>
      </c>
      <c r="T2180" s="77">
        <v>0</v>
      </c>
      <c r="U2180" s="77">
        <v>0</v>
      </c>
      <c r="V2180" s="77">
        <v>474</v>
      </c>
      <c r="W2180" s="82" t="s">
        <v>4833</v>
      </c>
      <c r="X2180" s="80" t="str">
        <f>HYPERLINK("https://mla.bs/33f4d454")</f>
        <v>https://mla.bs/33f4d454</v>
      </c>
      <c r="Y2180" s="77" t="s">
        <v>6506</v>
      </c>
      <c r="Z2180" s="77"/>
      <c r="AA2180" s="77"/>
      <c r="AB2180" s="77"/>
      <c r="AC2180" s="82" t="s">
        <v>7754</v>
      </c>
      <c r="AD2180" s="77" t="s">
        <v>7788</v>
      </c>
      <c r="AE2180" s="80" t="str">
        <f>HYPERLINK("https://twitter.com/einvestidor/status/1690083161261105152")</f>
        <v>https://twitter.com/einvestidor/status/1690083161261105152</v>
      </c>
      <c r="AF2180" s="79">
        <v>45149.8125</v>
      </c>
      <c r="AG2180" s="85">
        <v>45149</v>
      </c>
      <c r="AH2180" s="82" t="s">
        <v>8281</v>
      </c>
      <c r="AI2180" s="77" t="b">
        <v>0</v>
      </c>
      <c r="AJ2180" s="77"/>
      <c r="AK2180" s="77"/>
      <c r="AL2180" s="77"/>
      <c r="AM2180" s="77"/>
      <c r="AN2180" s="77"/>
      <c r="AO2180" s="77"/>
      <c r="AP2180" s="77"/>
      <c r="AQ2180" s="77"/>
      <c r="AR2180" s="77"/>
      <c r="AS2180" s="77"/>
      <c r="AT2180" s="77"/>
      <c r="AU2180" s="77"/>
      <c r="AV2180" s="80" t="str">
        <f>HYPERLINK("https://pbs.twimg.com/profile_images/1241147984924082183/gZgx_hL-_normal.jpg")</f>
        <v>https://pbs.twimg.com/profile_images/1241147984924082183/gZgx_hL-_normal.jpg</v>
      </c>
      <c r="AW2180" s="82" t="s">
        <v>13776</v>
      </c>
      <c r="AX2180" s="82" t="s">
        <v>13776</v>
      </c>
      <c r="AY2180" s="77"/>
      <c r="AZ2180" s="82" t="s">
        <v>15984</v>
      </c>
      <c r="BA2180" s="82" t="s">
        <v>15984</v>
      </c>
      <c r="BB2180" s="82" t="s">
        <v>15984</v>
      </c>
      <c r="BC2180" s="82" t="s">
        <v>13776</v>
      </c>
      <c r="BD2180" s="82" t="s">
        <v>15979</v>
      </c>
      <c r="BE2180" s="77"/>
      <c r="BF2180" s="77"/>
      <c r="BG2180" s="77"/>
      <c r="BH2180" s="77"/>
      <c r="BI2180" s="77"/>
    </row>
    <row r="2181" spans="1:61" x14ac:dyDescent="0.25">
      <c r="A2181" s="62" t="s">
        <v>387</v>
      </c>
      <c r="B2181" s="62" t="s">
        <v>387</v>
      </c>
      <c r="C2181" s="63"/>
      <c r="D2181" s="64"/>
      <c r="E2181" s="65"/>
      <c r="F2181" s="66"/>
      <c r="G2181" s="63"/>
      <c r="H2181" s="67"/>
      <c r="I2181" s="68"/>
      <c r="J2181" s="68"/>
      <c r="K2181" s="32"/>
      <c r="L2181" s="75">
        <v>2181</v>
      </c>
      <c r="M2181" s="75"/>
      <c r="N2181" s="70"/>
      <c r="O2181" s="77" t="s">
        <v>179</v>
      </c>
      <c r="P2181" s="79">
        <v>45149.802083333336</v>
      </c>
      <c r="Q2181" s="77" t="s">
        <v>2853</v>
      </c>
      <c r="R2181" s="77">
        <v>0</v>
      </c>
      <c r="S2181" s="77">
        <v>1</v>
      </c>
      <c r="T2181" s="77">
        <v>0</v>
      </c>
      <c r="U2181" s="77">
        <v>0</v>
      </c>
      <c r="V2181" s="77">
        <v>566</v>
      </c>
      <c r="W2181" s="82" t="s">
        <v>4833</v>
      </c>
      <c r="X2181" s="80" t="str">
        <f>HYPERLINK("https://mla.bs/60bac6ef")</f>
        <v>https://mla.bs/60bac6ef</v>
      </c>
      <c r="Y2181" s="77" t="s">
        <v>6506</v>
      </c>
      <c r="Z2181" s="77"/>
      <c r="AA2181" s="77"/>
      <c r="AB2181" s="77"/>
      <c r="AC2181" s="82" t="s">
        <v>7754</v>
      </c>
      <c r="AD2181" s="77" t="s">
        <v>7788</v>
      </c>
      <c r="AE2181" s="80" t="str">
        <f>HYPERLINK("https://twitter.com/einvestidor/status/1690079385045598215")</f>
        <v>https://twitter.com/einvestidor/status/1690079385045598215</v>
      </c>
      <c r="AF2181" s="79">
        <v>45149.802083333336</v>
      </c>
      <c r="AG2181" s="85">
        <v>45149</v>
      </c>
      <c r="AH2181" s="82" t="s">
        <v>7868</v>
      </c>
      <c r="AI2181" s="77" t="b">
        <v>0</v>
      </c>
      <c r="AJ2181" s="77"/>
      <c r="AK2181" s="77"/>
      <c r="AL2181" s="77"/>
      <c r="AM2181" s="77"/>
      <c r="AN2181" s="77"/>
      <c r="AO2181" s="77"/>
      <c r="AP2181" s="77"/>
      <c r="AQ2181" s="77"/>
      <c r="AR2181" s="77"/>
      <c r="AS2181" s="77"/>
      <c r="AT2181" s="77"/>
      <c r="AU2181" s="77"/>
      <c r="AV2181" s="80" t="str">
        <f>HYPERLINK("https://pbs.twimg.com/profile_images/1241147984924082183/gZgx_hL-_normal.jpg")</f>
        <v>https://pbs.twimg.com/profile_images/1241147984924082183/gZgx_hL-_normal.jpg</v>
      </c>
      <c r="AW2181" s="82" t="s">
        <v>13777</v>
      </c>
      <c r="AX2181" s="82" t="s">
        <v>13777</v>
      </c>
      <c r="AY2181" s="77"/>
      <c r="AZ2181" s="82" t="s">
        <v>15984</v>
      </c>
      <c r="BA2181" s="82" t="s">
        <v>15984</v>
      </c>
      <c r="BB2181" s="82" t="s">
        <v>15984</v>
      </c>
      <c r="BC2181" s="82" t="s">
        <v>13777</v>
      </c>
      <c r="BD2181" s="82" t="s">
        <v>15979</v>
      </c>
      <c r="BE2181" s="77"/>
      <c r="BF2181" s="77"/>
      <c r="BG2181" s="77"/>
      <c r="BH2181" s="77"/>
      <c r="BI2181" s="77"/>
    </row>
    <row r="2182" spans="1:61" x14ac:dyDescent="0.25">
      <c r="A2182" s="62" t="s">
        <v>387</v>
      </c>
      <c r="B2182" s="62" t="s">
        <v>387</v>
      </c>
      <c r="C2182" s="63"/>
      <c r="D2182" s="64"/>
      <c r="E2182" s="65"/>
      <c r="F2182" s="66"/>
      <c r="G2182" s="63"/>
      <c r="H2182" s="67"/>
      <c r="I2182" s="68"/>
      <c r="J2182" s="68"/>
      <c r="K2182" s="32"/>
      <c r="L2182" s="75">
        <v>2182</v>
      </c>
      <c r="M2182" s="75"/>
      <c r="N2182" s="70"/>
      <c r="O2182" s="77" t="s">
        <v>179</v>
      </c>
      <c r="P2182" s="79">
        <v>45147.750011574077</v>
      </c>
      <c r="Q2182" s="77" t="s">
        <v>2854</v>
      </c>
      <c r="R2182" s="77">
        <v>0</v>
      </c>
      <c r="S2182" s="77">
        <v>2</v>
      </c>
      <c r="T2182" s="77">
        <v>0</v>
      </c>
      <c r="U2182" s="77">
        <v>0</v>
      </c>
      <c r="V2182" s="77">
        <v>407</v>
      </c>
      <c r="W2182" s="82" t="s">
        <v>4833</v>
      </c>
      <c r="X2182" s="80" t="str">
        <f>HYPERLINK("https://mla.bs/8a0dbffb")</f>
        <v>https://mla.bs/8a0dbffb</v>
      </c>
      <c r="Y2182" s="77" t="s">
        <v>6506</v>
      </c>
      <c r="Z2182" s="77"/>
      <c r="AA2182" s="77"/>
      <c r="AB2182" s="77"/>
      <c r="AC2182" s="82" t="s">
        <v>7754</v>
      </c>
      <c r="AD2182" s="77" t="s">
        <v>7788</v>
      </c>
      <c r="AE2182" s="80" t="str">
        <f>HYPERLINK("https://twitter.com/einvestidor/status/1689335741975846912")</f>
        <v>https://twitter.com/einvestidor/status/1689335741975846912</v>
      </c>
      <c r="AF2182" s="79">
        <v>45147.750011574077</v>
      </c>
      <c r="AG2182" s="85">
        <v>45147</v>
      </c>
      <c r="AH2182" s="82" t="s">
        <v>9625</v>
      </c>
      <c r="AI2182" s="77" t="b">
        <v>0</v>
      </c>
      <c r="AJ2182" s="77"/>
      <c r="AK2182" s="77"/>
      <c r="AL2182" s="77"/>
      <c r="AM2182" s="77"/>
      <c r="AN2182" s="77"/>
      <c r="AO2182" s="77"/>
      <c r="AP2182" s="77"/>
      <c r="AQ2182" s="77"/>
      <c r="AR2182" s="77"/>
      <c r="AS2182" s="77"/>
      <c r="AT2182" s="77"/>
      <c r="AU2182" s="77"/>
      <c r="AV2182" s="80" t="str">
        <f>HYPERLINK("https://pbs.twimg.com/profile_images/1241147984924082183/gZgx_hL-_normal.jpg")</f>
        <v>https://pbs.twimg.com/profile_images/1241147984924082183/gZgx_hL-_normal.jpg</v>
      </c>
      <c r="AW2182" s="82" t="s">
        <v>13778</v>
      </c>
      <c r="AX2182" s="82" t="s">
        <v>13778</v>
      </c>
      <c r="AY2182" s="77"/>
      <c r="AZ2182" s="82" t="s">
        <v>15984</v>
      </c>
      <c r="BA2182" s="82" t="s">
        <v>15984</v>
      </c>
      <c r="BB2182" s="82" t="s">
        <v>15984</v>
      </c>
      <c r="BC2182" s="82" t="s">
        <v>13778</v>
      </c>
      <c r="BD2182" s="82" t="s">
        <v>15979</v>
      </c>
      <c r="BE2182" s="77"/>
      <c r="BF2182" s="77"/>
      <c r="BG2182" s="77"/>
      <c r="BH2182" s="77"/>
      <c r="BI2182" s="77"/>
    </row>
    <row r="2183" spans="1:61" x14ac:dyDescent="0.25">
      <c r="A2183" s="62" t="s">
        <v>387</v>
      </c>
      <c r="B2183" s="62" t="s">
        <v>387</v>
      </c>
      <c r="C2183" s="63"/>
      <c r="D2183" s="64"/>
      <c r="E2183" s="65"/>
      <c r="F2183" s="66"/>
      <c r="G2183" s="63"/>
      <c r="H2183" s="67"/>
      <c r="I2183" s="68"/>
      <c r="J2183" s="68"/>
      <c r="K2183" s="32"/>
      <c r="L2183" s="75">
        <v>2183</v>
      </c>
      <c r="M2183" s="75"/>
      <c r="N2183" s="70"/>
      <c r="O2183" s="77" t="s">
        <v>179</v>
      </c>
      <c r="P2183" s="79">
        <v>45147.739583333336</v>
      </c>
      <c r="Q2183" s="77" t="s">
        <v>2855</v>
      </c>
      <c r="R2183" s="77">
        <v>0</v>
      </c>
      <c r="S2183" s="77">
        <v>2</v>
      </c>
      <c r="T2183" s="77">
        <v>0</v>
      </c>
      <c r="U2183" s="77">
        <v>0</v>
      </c>
      <c r="V2183" s="77">
        <v>461</v>
      </c>
      <c r="W2183" s="82" t="s">
        <v>4833</v>
      </c>
      <c r="X2183" s="80" t="str">
        <f>HYPERLINK("https://mla.bs/86dc4a39")</f>
        <v>https://mla.bs/86dc4a39</v>
      </c>
      <c r="Y2183" s="77" t="s">
        <v>6506</v>
      </c>
      <c r="Z2183" s="77"/>
      <c r="AA2183" s="77"/>
      <c r="AB2183" s="77"/>
      <c r="AC2183" s="82" t="s">
        <v>7754</v>
      </c>
      <c r="AD2183" s="77" t="s">
        <v>7788</v>
      </c>
      <c r="AE2183" s="80" t="str">
        <f>HYPERLINK("https://twitter.com/einvestidor/status/1689331960206802944")</f>
        <v>https://twitter.com/einvestidor/status/1689331960206802944</v>
      </c>
      <c r="AF2183" s="79">
        <v>45147.739583333336</v>
      </c>
      <c r="AG2183" s="85">
        <v>45147</v>
      </c>
      <c r="AH2183" s="82" t="s">
        <v>9626</v>
      </c>
      <c r="AI2183" s="77" t="b">
        <v>0</v>
      </c>
      <c r="AJ2183" s="77"/>
      <c r="AK2183" s="77"/>
      <c r="AL2183" s="77"/>
      <c r="AM2183" s="77"/>
      <c r="AN2183" s="77"/>
      <c r="AO2183" s="77"/>
      <c r="AP2183" s="77"/>
      <c r="AQ2183" s="77"/>
      <c r="AR2183" s="77"/>
      <c r="AS2183" s="77"/>
      <c r="AT2183" s="77"/>
      <c r="AU2183" s="77"/>
      <c r="AV2183" s="80" t="str">
        <f>HYPERLINK("https://pbs.twimg.com/profile_images/1241147984924082183/gZgx_hL-_normal.jpg")</f>
        <v>https://pbs.twimg.com/profile_images/1241147984924082183/gZgx_hL-_normal.jpg</v>
      </c>
      <c r="AW2183" s="82" t="s">
        <v>13779</v>
      </c>
      <c r="AX2183" s="82" t="s">
        <v>13779</v>
      </c>
      <c r="AY2183" s="77"/>
      <c r="AZ2183" s="82" t="s">
        <v>15984</v>
      </c>
      <c r="BA2183" s="82" t="s">
        <v>15984</v>
      </c>
      <c r="BB2183" s="82" t="s">
        <v>15984</v>
      </c>
      <c r="BC2183" s="82" t="s">
        <v>13779</v>
      </c>
      <c r="BD2183" s="82" t="s">
        <v>15979</v>
      </c>
      <c r="BE2183" s="77"/>
      <c r="BF2183" s="77"/>
      <c r="BG2183" s="77"/>
      <c r="BH2183" s="77"/>
      <c r="BI2183" s="77"/>
    </row>
    <row r="2184" spans="1:61" x14ac:dyDescent="0.25">
      <c r="A2184" s="62" t="s">
        <v>387</v>
      </c>
      <c r="B2184" s="62" t="s">
        <v>387</v>
      </c>
      <c r="C2184" s="63"/>
      <c r="D2184" s="64"/>
      <c r="E2184" s="65"/>
      <c r="F2184" s="66"/>
      <c r="G2184" s="63"/>
      <c r="H2184" s="67"/>
      <c r="I2184" s="68"/>
      <c r="J2184" s="68"/>
      <c r="K2184" s="32"/>
      <c r="L2184" s="75">
        <v>2184</v>
      </c>
      <c r="M2184" s="75"/>
      <c r="N2184" s="70"/>
      <c r="O2184" s="77" t="s">
        <v>179</v>
      </c>
      <c r="P2184" s="79">
        <v>45147.719155092593</v>
      </c>
      <c r="Q2184" s="77" t="s">
        <v>2856</v>
      </c>
      <c r="R2184" s="77">
        <v>0</v>
      </c>
      <c r="S2184" s="77">
        <v>0</v>
      </c>
      <c r="T2184" s="77">
        <v>0</v>
      </c>
      <c r="U2184" s="77">
        <v>0</v>
      </c>
      <c r="V2184" s="77">
        <v>416</v>
      </c>
      <c r="W2184" s="82" t="s">
        <v>4833</v>
      </c>
      <c r="X2184" s="80" t="str">
        <f>HYPERLINK("https://mla.bs/fed05d3a")</f>
        <v>https://mla.bs/fed05d3a</v>
      </c>
      <c r="Y2184" s="77" t="s">
        <v>6506</v>
      </c>
      <c r="Z2184" s="77"/>
      <c r="AA2184" s="77"/>
      <c r="AB2184" s="77"/>
      <c r="AC2184" s="82" t="s">
        <v>7754</v>
      </c>
      <c r="AD2184" s="77" t="s">
        <v>7788</v>
      </c>
      <c r="AE2184" s="80" t="str">
        <f>HYPERLINK("https://twitter.com/einvestidor/status/1689324559764267008")</f>
        <v>https://twitter.com/einvestidor/status/1689324559764267008</v>
      </c>
      <c r="AF2184" s="79">
        <v>45147.719155092593</v>
      </c>
      <c r="AG2184" s="85">
        <v>45147</v>
      </c>
      <c r="AH2184" s="82" t="s">
        <v>9627</v>
      </c>
      <c r="AI2184" s="77" t="b">
        <v>0</v>
      </c>
      <c r="AJ2184" s="77"/>
      <c r="AK2184" s="77"/>
      <c r="AL2184" s="77"/>
      <c r="AM2184" s="77"/>
      <c r="AN2184" s="77"/>
      <c r="AO2184" s="77"/>
      <c r="AP2184" s="77"/>
      <c r="AQ2184" s="77"/>
      <c r="AR2184" s="77"/>
      <c r="AS2184" s="77"/>
      <c r="AT2184" s="77"/>
      <c r="AU2184" s="77"/>
      <c r="AV2184" s="80" t="str">
        <f>HYPERLINK("https://pbs.twimg.com/profile_images/1241147984924082183/gZgx_hL-_normal.jpg")</f>
        <v>https://pbs.twimg.com/profile_images/1241147984924082183/gZgx_hL-_normal.jpg</v>
      </c>
      <c r="AW2184" s="82" t="s">
        <v>13780</v>
      </c>
      <c r="AX2184" s="82" t="s">
        <v>13780</v>
      </c>
      <c r="AY2184" s="77"/>
      <c r="AZ2184" s="82" t="s">
        <v>15984</v>
      </c>
      <c r="BA2184" s="82" t="s">
        <v>15984</v>
      </c>
      <c r="BB2184" s="82" t="s">
        <v>15984</v>
      </c>
      <c r="BC2184" s="82" t="s">
        <v>13780</v>
      </c>
      <c r="BD2184" s="82" t="s">
        <v>15979</v>
      </c>
      <c r="BE2184" s="77"/>
      <c r="BF2184" s="77"/>
      <c r="BG2184" s="77"/>
      <c r="BH2184" s="77"/>
      <c r="BI2184" s="77"/>
    </row>
    <row r="2185" spans="1:61" x14ac:dyDescent="0.25">
      <c r="A2185" s="62" t="s">
        <v>387</v>
      </c>
      <c r="B2185" s="62" t="s">
        <v>387</v>
      </c>
      <c r="C2185" s="63"/>
      <c r="D2185" s="64"/>
      <c r="E2185" s="65"/>
      <c r="F2185" s="66"/>
      <c r="G2185" s="63"/>
      <c r="H2185" s="67"/>
      <c r="I2185" s="68"/>
      <c r="J2185" s="68"/>
      <c r="K2185" s="32"/>
      <c r="L2185" s="75">
        <v>2185</v>
      </c>
      <c r="M2185" s="75"/>
      <c r="N2185" s="70"/>
      <c r="O2185" s="77" t="s">
        <v>179</v>
      </c>
      <c r="P2185" s="79">
        <v>45147.677083333336</v>
      </c>
      <c r="Q2185" s="77" t="s">
        <v>2857</v>
      </c>
      <c r="R2185" s="77">
        <v>1</v>
      </c>
      <c r="S2185" s="77">
        <v>1</v>
      </c>
      <c r="T2185" s="77">
        <v>0</v>
      </c>
      <c r="U2185" s="77">
        <v>0</v>
      </c>
      <c r="V2185" s="77">
        <v>459</v>
      </c>
      <c r="W2185" s="82" t="s">
        <v>4833</v>
      </c>
      <c r="X2185" s="80" t="str">
        <f>HYPERLINK("https://einvestidor.estadao.com.br/ultimas/gpa-autorizacao-colombia-acoes-exito/?utm_source=twitter&amp;utm_medium=organic&amp;utm_campaign=gpa&amp;utm_content=materia")</f>
        <v>https://einvestidor.estadao.com.br/ultimas/gpa-autorizacao-colombia-acoes-exito/?utm_source=twitter&amp;utm_medium=organic&amp;utm_campaign=gpa&amp;utm_content=materia</v>
      </c>
      <c r="Y2185" s="77" t="s">
        <v>6470</v>
      </c>
      <c r="Z2185" s="77"/>
      <c r="AA2185" s="77" t="s">
        <v>7607</v>
      </c>
      <c r="AB2185" s="77" t="s">
        <v>7742</v>
      </c>
      <c r="AC2185" s="82" t="s">
        <v>7754</v>
      </c>
      <c r="AD2185" s="77" t="s">
        <v>7788</v>
      </c>
      <c r="AE2185" s="80" t="str">
        <f>HYPERLINK("https://twitter.com/einvestidor/status/1689309311309324288")</f>
        <v>https://twitter.com/einvestidor/status/1689309311309324288</v>
      </c>
      <c r="AF2185" s="79">
        <v>45147.677083333336</v>
      </c>
      <c r="AG2185" s="85">
        <v>45147</v>
      </c>
      <c r="AH2185" s="82" t="s">
        <v>9628</v>
      </c>
      <c r="AI2185" s="77" t="b">
        <v>0</v>
      </c>
      <c r="AJ2185" s="77"/>
      <c r="AK2185" s="77"/>
      <c r="AL2185" s="77"/>
      <c r="AM2185" s="77"/>
      <c r="AN2185" s="77"/>
      <c r="AO2185" s="77"/>
      <c r="AP2185" s="77"/>
      <c r="AQ2185" s="77" t="s">
        <v>11579</v>
      </c>
      <c r="AR2185" s="77"/>
      <c r="AS2185" s="77"/>
      <c r="AT2185" s="77"/>
      <c r="AU2185" s="77"/>
      <c r="AV2185" s="80" t="str">
        <f>HYPERLINK("https://pbs.twimg.com/media/F3GfM46WEAAyN8j.png")</f>
        <v>https://pbs.twimg.com/media/F3GfM46WEAAyN8j.png</v>
      </c>
      <c r="AW2185" s="82" t="s">
        <v>13781</v>
      </c>
      <c r="AX2185" s="82" t="s">
        <v>13781</v>
      </c>
      <c r="AY2185" s="77"/>
      <c r="AZ2185" s="82" t="s">
        <v>15984</v>
      </c>
      <c r="BA2185" s="82" t="s">
        <v>15984</v>
      </c>
      <c r="BB2185" s="82" t="s">
        <v>15984</v>
      </c>
      <c r="BC2185" s="82" t="s">
        <v>13781</v>
      </c>
      <c r="BD2185" s="82" t="s">
        <v>15979</v>
      </c>
      <c r="BE2185" s="77"/>
      <c r="BF2185" s="77"/>
      <c r="BG2185" s="77"/>
      <c r="BH2185" s="77"/>
      <c r="BI2185" s="77"/>
    </row>
    <row r="2186" spans="1:61" x14ac:dyDescent="0.25">
      <c r="A2186" s="62" t="s">
        <v>387</v>
      </c>
      <c r="B2186" s="62" t="s">
        <v>387</v>
      </c>
      <c r="C2186" s="63"/>
      <c r="D2186" s="64"/>
      <c r="E2186" s="65"/>
      <c r="F2186" s="66"/>
      <c r="G2186" s="63"/>
      <c r="H2186" s="67"/>
      <c r="I2186" s="68"/>
      <c r="J2186" s="68"/>
      <c r="K2186" s="32"/>
      <c r="L2186" s="75">
        <v>2186</v>
      </c>
      <c r="M2186" s="75"/>
      <c r="N2186" s="70"/>
      <c r="O2186" s="77" t="s">
        <v>179</v>
      </c>
      <c r="P2186" s="79">
        <v>45129.500011574077</v>
      </c>
      <c r="Q2186" s="77" t="s">
        <v>2858</v>
      </c>
      <c r="R2186" s="77">
        <v>0</v>
      </c>
      <c r="S2186" s="77">
        <v>0</v>
      </c>
      <c r="T2186" s="77">
        <v>0</v>
      </c>
      <c r="U2186" s="77">
        <v>0</v>
      </c>
      <c r="V2186" s="77">
        <v>697</v>
      </c>
      <c r="W2186" s="82" t="s">
        <v>5926</v>
      </c>
      <c r="X2186" s="80" t="str">
        <f>HYPERLINK("https://mla.bs/e39bc8b6")</f>
        <v>https://mla.bs/e39bc8b6</v>
      </c>
      <c r="Y2186" s="77" t="s">
        <v>6506</v>
      </c>
      <c r="Z2186" s="77"/>
      <c r="AA2186" s="77"/>
      <c r="AB2186" s="77"/>
      <c r="AC2186" s="82" t="s">
        <v>7754</v>
      </c>
      <c r="AD2186" s="77" t="s">
        <v>7788</v>
      </c>
      <c r="AE2186" s="80" t="str">
        <f>HYPERLINK("https://twitter.com/einvestidor/status/1682722161209880576")</f>
        <v>https://twitter.com/einvestidor/status/1682722161209880576</v>
      </c>
      <c r="AF2186" s="79">
        <v>45129.500011574077</v>
      </c>
      <c r="AG2186" s="85">
        <v>45129</v>
      </c>
      <c r="AH2186" s="82" t="s">
        <v>9002</v>
      </c>
      <c r="AI2186" s="77" t="b">
        <v>0</v>
      </c>
      <c r="AJ2186" s="77"/>
      <c r="AK2186" s="77"/>
      <c r="AL2186" s="77"/>
      <c r="AM2186" s="77"/>
      <c r="AN2186" s="77"/>
      <c r="AO2186" s="77"/>
      <c r="AP2186" s="77"/>
      <c r="AQ2186" s="77"/>
      <c r="AR2186" s="77"/>
      <c r="AS2186" s="77"/>
      <c r="AT2186" s="77"/>
      <c r="AU2186" s="77"/>
      <c r="AV2186" s="80" t="str">
        <f>HYPERLINK("https://pbs.twimg.com/profile_images/1241147984924082183/gZgx_hL-_normal.jpg")</f>
        <v>https://pbs.twimg.com/profile_images/1241147984924082183/gZgx_hL-_normal.jpg</v>
      </c>
      <c r="AW2186" s="82" t="s">
        <v>13782</v>
      </c>
      <c r="AX2186" s="82" t="s">
        <v>13782</v>
      </c>
      <c r="AY2186" s="77"/>
      <c r="AZ2186" s="82" t="s">
        <v>15984</v>
      </c>
      <c r="BA2186" s="82" t="s">
        <v>15984</v>
      </c>
      <c r="BB2186" s="82" t="s">
        <v>15984</v>
      </c>
      <c r="BC2186" s="82" t="s">
        <v>13782</v>
      </c>
      <c r="BD2186" s="82" t="s">
        <v>15979</v>
      </c>
      <c r="BE2186" s="77"/>
      <c r="BF2186" s="77"/>
      <c r="BG2186" s="77"/>
      <c r="BH2186" s="77"/>
      <c r="BI2186" s="77"/>
    </row>
    <row r="2187" spans="1:61" x14ac:dyDescent="0.25">
      <c r="A2187" s="62" t="s">
        <v>387</v>
      </c>
      <c r="B2187" s="62" t="s">
        <v>387</v>
      </c>
      <c r="C2187" s="63"/>
      <c r="D2187" s="64"/>
      <c r="E2187" s="65"/>
      <c r="F2187" s="66"/>
      <c r="G2187" s="63"/>
      <c r="H2187" s="67"/>
      <c r="I2187" s="68"/>
      <c r="J2187" s="68"/>
      <c r="K2187" s="32"/>
      <c r="L2187" s="75">
        <v>2187</v>
      </c>
      <c r="M2187" s="75"/>
      <c r="N2187" s="70"/>
      <c r="O2187" s="77" t="s">
        <v>179</v>
      </c>
      <c r="P2187" s="79">
        <v>45129.041678240741</v>
      </c>
      <c r="Q2187" s="77" t="s">
        <v>2859</v>
      </c>
      <c r="R2187" s="77">
        <v>0</v>
      </c>
      <c r="S2187" s="77">
        <v>2</v>
      </c>
      <c r="T2187" s="77">
        <v>0</v>
      </c>
      <c r="U2187" s="77">
        <v>0</v>
      </c>
      <c r="V2187" s="77">
        <v>753</v>
      </c>
      <c r="W2187" s="82" t="s">
        <v>4833</v>
      </c>
      <c r="X2187" s="80" t="str">
        <f>HYPERLINK("https://mla.bs/7f157ae5")</f>
        <v>https://mla.bs/7f157ae5</v>
      </c>
      <c r="Y2187" s="77" t="s">
        <v>6506</v>
      </c>
      <c r="Z2187" s="77"/>
      <c r="AA2187" s="77"/>
      <c r="AB2187" s="77"/>
      <c r="AC2187" s="82" t="s">
        <v>7754</v>
      </c>
      <c r="AD2187" s="77" t="s">
        <v>7788</v>
      </c>
      <c r="AE2187" s="80" t="str">
        <f>HYPERLINK("https://twitter.com/einvestidor/status/1682556066008301568")</f>
        <v>https://twitter.com/einvestidor/status/1682556066008301568</v>
      </c>
      <c r="AF2187" s="79">
        <v>45129.041678240741</v>
      </c>
      <c r="AG2187" s="85">
        <v>45129</v>
      </c>
      <c r="AH2187" s="82" t="s">
        <v>9601</v>
      </c>
      <c r="AI2187" s="77" t="b">
        <v>0</v>
      </c>
      <c r="AJ2187" s="77"/>
      <c r="AK2187" s="77"/>
      <c r="AL2187" s="77"/>
      <c r="AM2187" s="77"/>
      <c r="AN2187" s="77"/>
      <c r="AO2187" s="77"/>
      <c r="AP2187" s="77"/>
      <c r="AQ2187" s="77"/>
      <c r="AR2187" s="77"/>
      <c r="AS2187" s="77"/>
      <c r="AT2187" s="77"/>
      <c r="AU2187" s="77"/>
      <c r="AV2187" s="80" t="str">
        <f>HYPERLINK("https://pbs.twimg.com/profile_images/1241147984924082183/gZgx_hL-_normal.jpg")</f>
        <v>https://pbs.twimg.com/profile_images/1241147984924082183/gZgx_hL-_normal.jpg</v>
      </c>
      <c r="AW2187" s="82" t="s">
        <v>13783</v>
      </c>
      <c r="AX2187" s="82" t="s">
        <v>13783</v>
      </c>
      <c r="AY2187" s="77"/>
      <c r="AZ2187" s="82" t="s">
        <v>15984</v>
      </c>
      <c r="BA2187" s="82" t="s">
        <v>15984</v>
      </c>
      <c r="BB2187" s="82" t="s">
        <v>15984</v>
      </c>
      <c r="BC2187" s="82" t="s">
        <v>13783</v>
      </c>
      <c r="BD2187" s="82" t="s">
        <v>15979</v>
      </c>
      <c r="BE2187" s="77"/>
      <c r="BF2187" s="77"/>
      <c r="BG2187" s="77"/>
      <c r="BH2187" s="77"/>
      <c r="BI2187" s="77"/>
    </row>
    <row r="2188" spans="1:61" x14ac:dyDescent="0.25">
      <c r="A2188" s="62" t="s">
        <v>387</v>
      </c>
      <c r="B2188" s="62" t="s">
        <v>387</v>
      </c>
      <c r="C2188" s="63"/>
      <c r="D2188" s="64"/>
      <c r="E2188" s="65"/>
      <c r="F2188" s="66"/>
      <c r="G2188" s="63"/>
      <c r="H2188" s="67"/>
      <c r="I2188" s="68"/>
      <c r="J2188" s="68"/>
      <c r="K2188" s="32"/>
      <c r="L2188" s="75">
        <v>2188</v>
      </c>
      <c r="M2188" s="75"/>
      <c r="N2188" s="70"/>
      <c r="O2188" s="77" t="s">
        <v>179</v>
      </c>
      <c r="P2188" s="79">
        <v>45129.03125</v>
      </c>
      <c r="Q2188" s="77" t="s">
        <v>2860</v>
      </c>
      <c r="R2188" s="77">
        <v>0</v>
      </c>
      <c r="S2188" s="77">
        <v>2</v>
      </c>
      <c r="T2188" s="77">
        <v>0</v>
      </c>
      <c r="U2188" s="77">
        <v>1</v>
      </c>
      <c r="V2188" s="77">
        <v>1092</v>
      </c>
      <c r="W2188" s="82" t="s">
        <v>5927</v>
      </c>
      <c r="X2188" s="80" t="str">
        <f>HYPERLINK("https://mla.bs/818d5fad")</f>
        <v>https://mla.bs/818d5fad</v>
      </c>
      <c r="Y2188" s="77" t="s">
        <v>6506</v>
      </c>
      <c r="Z2188" s="77"/>
      <c r="AA2188" s="77"/>
      <c r="AB2188" s="77"/>
      <c r="AC2188" s="82" t="s">
        <v>7754</v>
      </c>
      <c r="AD2188" s="77" t="s">
        <v>7788</v>
      </c>
      <c r="AE2188" s="80" t="str">
        <f>HYPERLINK("https://twitter.com/einvestidor/status/1682552287019823104")</f>
        <v>https://twitter.com/einvestidor/status/1682552287019823104</v>
      </c>
      <c r="AF2188" s="79">
        <v>45129.03125</v>
      </c>
      <c r="AG2188" s="85">
        <v>45129</v>
      </c>
      <c r="AH2188" s="82" t="s">
        <v>9602</v>
      </c>
      <c r="AI2188" s="77" t="b">
        <v>0</v>
      </c>
      <c r="AJ2188" s="77"/>
      <c r="AK2188" s="77"/>
      <c r="AL2188" s="77"/>
      <c r="AM2188" s="77"/>
      <c r="AN2188" s="77"/>
      <c r="AO2188" s="77"/>
      <c r="AP2188" s="77"/>
      <c r="AQ2188" s="77"/>
      <c r="AR2188" s="77"/>
      <c r="AS2188" s="77"/>
      <c r="AT2188" s="77"/>
      <c r="AU2188" s="77"/>
      <c r="AV2188" s="80" t="str">
        <f>HYPERLINK("https://pbs.twimg.com/profile_images/1241147984924082183/gZgx_hL-_normal.jpg")</f>
        <v>https://pbs.twimg.com/profile_images/1241147984924082183/gZgx_hL-_normal.jpg</v>
      </c>
      <c r="AW2188" s="82" t="s">
        <v>13784</v>
      </c>
      <c r="AX2188" s="82" t="s">
        <v>13784</v>
      </c>
      <c r="AY2188" s="77"/>
      <c r="AZ2188" s="82" t="s">
        <v>15984</v>
      </c>
      <c r="BA2188" s="82" t="s">
        <v>15984</v>
      </c>
      <c r="BB2188" s="82" t="s">
        <v>15984</v>
      </c>
      <c r="BC2188" s="82" t="s">
        <v>13784</v>
      </c>
      <c r="BD2188" s="82" t="s">
        <v>15979</v>
      </c>
      <c r="BE2188" s="77"/>
      <c r="BF2188" s="77"/>
      <c r="BG2188" s="77"/>
      <c r="BH2188" s="77"/>
      <c r="BI2188" s="77"/>
    </row>
    <row r="2189" spans="1:61" x14ac:dyDescent="0.25">
      <c r="A2189" s="62" t="s">
        <v>387</v>
      </c>
      <c r="B2189" s="62" t="s">
        <v>387</v>
      </c>
      <c r="C2189" s="63"/>
      <c r="D2189" s="64"/>
      <c r="E2189" s="65"/>
      <c r="F2189" s="66"/>
      <c r="G2189" s="63"/>
      <c r="H2189" s="67"/>
      <c r="I2189" s="68"/>
      <c r="J2189" s="68"/>
      <c r="K2189" s="32"/>
      <c r="L2189" s="75">
        <v>2189</v>
      </c>
      <c r="M2189" s="75"/>
      <c r="N2189" s="70"/>
      <c r="O2189" s="77" t="s">
        <v>179</v>
      </c>
      <c r="P2189" s="79">
        <v>45129.020833333336</v>
      </c>
      <c r="Q2189" s="77" t="s">
        <v>2861</v>
      </c>
      <c r="R2189" s="77">
        <v>0</v>
      </c>
      <c r="S2189" s="77">
        <v>3</v>
      </c>
      <c r="T2189" s="77">
        <v>1</v>
      </c>
      <c r="U2189" s="77">
        <v>1</v>
      </c>
      <c r="V2189" s="77">
        <v>1157</v>
      </c>
      <c r="W2189" s="82" t="s">
        <v>5928</v>
      </c>
      <c r="X2189" s="80" t="str">
        <f>HYPERLINK("https://mla.bs/8ce7ef49")</f>
        <v>https://mla.bs/8ce7ef49</v>
      </c>
      <c r="Y2189" s="77" t="s">
        <v>6506</v>
      </c>
      <c r="Z2189" s="77"/>
      <c r="AA2189" s="77"/>
      <c r="AB2189" s="77"/>
      <c r="AC2189" s="82" t="s">
        <v>7754</v>
      </c>
      <c r="AD2189" s="77" t="s">
        <v>7788</v>
      </c>
      <c r="AE2189" s="80" t="str">
        <f>HYPERLINK("https://twitter.com/einvestidor/status/1682548513467408384")</f>
        <v>https://twitter.com/einvestidor/status/1682548513467408384</v>
      </c>
      <c r="AF2189" s="79">
        <v>45129.020833333336</v>
      </c>
      <c r="AG2189" s="85">
        <v>45129</v>
      </c>
      <c r="AH2189" s="82" t="s">
        <v>8088</v>
      </c>
      <c r="AI2189" s="77" t="b">
        <v>0</v>
      </c>
      <c r="AJ2189" s="77"/>
      <c r="AK2189" s="77"/>
      <c r="AL2189" s="77"/>
      <c r="AM2189" s="77"/>
      <c r="AN2189" s="77"/>
      <c r="AO2189" s="77"/>
      <c r="AP2189" s="77"/>
      <c r="AQ2189" s="77"/>
      <c r="AR2189" s="77"/>
      <c r="AS2189" s="77"/>
      <c r="AT2189" s="77"/>
      <c r="AU2189" s="77"/>
      <c r="AV2189" s="80" t="str">
        <f>HYPERLINK("https://pbs.twimg.com/profile_images/1241147984924082183/gZgx_hL-_normal.jpg")</f>
        <v>https://pbs.twimg.com/profile_images/1241147984924082183/gZgx_hL-_normal.jpg</v>
      </c>
      <c r="AW2189" s="82" t="s">
        <v>13785</v>
      </c>
      <c r="AX2189" s="82" t="s">
        <v>13785</v>
      </c>
      <c r="AY2189" s="77"/>
      <c r="AZ2189" s="82" t="s">
        <v>15984</v>
      </c>
      <c r="BA2189" s="82" t="s">
        <v>15984</v>
      </c>
      <c r="BB2189" s="82" t="s">
        <v>15984</v>
      </c>
      <c r="BC2189" s="82" t="s">
        <v>13785</v>
      </c>
      <c r="BD2189" s="82" t="s">
        <v>15979</v>
      </c>
      <c r="BE2189" s="77"/>
      <c r="BF2189" s="77"/>
      <c r="BG2189" s="77"/>
      <c r="BH2189" s="77"/>
      <c r="BI2189" s="77"/>
    </row>
    <row r="2190" spans="1:61" x14ac:dyDescent="0.25">
      <c r="A2190" s="62" t="s">
        <v>387</v>
      </c>
      <c r="B2190" s="62" t="s">
        <v>387</v>
      </c>
      <c r="C2190" s="63"/>
      <c r="D2190" s="64"/>
      <c r="E2190" s="65"/>
      <c r="F2190" s="66"/>
      <c r="G2190" s="63"/>
      <c r="H2190" s="67"/>
      <c r="I2190" s="68"/>
      <c r="J2190" s="68"/>
      <c r="K2190" s="32"/>
      <c r="L2190" s="75">
        <v>2190</v>
      </c>
      <c r="M2190" s="75"/>
      <c r="N2190" s="70"/>
      <c r="O2190" s="77" t="s">
        <v>179</v>
      </c>
      <c r="P2190" s="79">
        <v>45129.010416666664</v>
      </c>
      <c r="Q2190" s="77" t="s">
        <v>2862</v>
      </c>
      <c r="R2190" s="77">
        <v>0</v>
      </c>
      <c r="S2190" s="77">
        <v>2</v>
      </c>
      <c r="T2190" s="77">
        <v>0</v>
      </c>
      <c r="U2190" s="77">
        <v>0</v>
      </c>
      <c r="V2190" s="77">
        <v>745</v>
      </c>
      <c r="W2190" s="82" t="s">
        <v>4833</v>
      </c>
      <c r="X2190" s="80" t="str">
        <f>HYPERLINK("https://mla.bs/243b8268")</f>
        <v>https://mla.bs/243b8268</v>
      </c>
      <c r="Y2190" s="77" t="s">
        <v>6506</v>
      </c>
      <c r="Z2190" s="77"/>
      <c r="AA2190" s="77"/>
      <c r="AB2190" s="77"/>
      <c r="AC2190" s="82" t="s">
        <v>7754</v>
      </c>
      <c r="AD2190" s="77" t="s">
        <v>7788</v>
      </c>
      <c r="AE2190" s="80" t="str">
        <f>HYPERLINK("https://twitter.com/einvestidor/status/1682544737243332609")</f>
        <v>https://twitter.com/einvestidor/status/1682544737243332609</v>
      </c>
      <c r="AF2190" s="79">
        <v>45129.010416666664</v>
      </c>
      <c r="AG2190" s="85">
        <v>45129</v>
      </c>
      <c r="AH2190" s="82" t="s">
        <v>8119</v>
      </c>
      <c r="AI2190" s="77" t="b">
        <v>0</v>
      </c>
      <c r="AJ2190" s="77"/>
      <c r="AK2190" s="77"/>
      <c r="AL2190" s="77"/>
      <c r="AM2190" s="77"/>
      <c r="AN2190" s="77"/>
      <c r="AO2190" s="77"/>
      <c r="AP2190" s="77"/>
      <c r="AQ2190" s="77"/>
      <c r="AR2190" s="77"/>
      <c r="AS2190" s="77"/>
      <c r="AT2190" s="77"/>
      <c r="AU2190" s="77"/>
      <c r="AV2190" s="80" t="str">
        <f>HYPERLINK("https://pbs.twimg.com/profile_images/1241147984924082183/gZgx_hL-_normal.jpg")</f>
        <v>https://pbs.twimg.com/profile_images/1241147984924082183/gZgx_hL-_normal.jpg</v>
      </c>
      <c r="AW2190" s="82" t="s">
        <v>13786</v>
      </c>
      <c r="AX2190" s="82" t="s">
        <v>13786</v>
      </c>
      <c r="AY2190" s="77"/>
      <c r="AZ2190" s="82" t="s">
        <v>15984</v>
      </c>
      <c r="BA2190" s="82" t="s">
        <v>15984</v>
      </c>
      <c r="BB2190" s="82" t="s">
        <v>15984</v>
      </c>
      <c r="BC2190" s="82" t="s">
        <v>13786</v>
      </c>
      <c r="BD2190" s="82" t="s">
        <v>15979</v>
      </c>
      <c r="BE2190" s="77"/>
      <c r="BF2190" s="77"/>
      <c r="BG2190" s="77"/>
      <c r="BH2190" s="77"/>
      <c r="BI2190" s="77"/>
    </row>
    <row r="2191" spans="1:61" x14ac:dyDescent="0.25">
      <c r="A2191" s="62" t="s">
        <v>387</v>
      </c>
      <c r="B2191" s="62" t="s">
        <v>387</v>
      </c>
      <c r="C2191" s="63"/>
      <c r="D2191" s="64"/>
      <c r="E2191" s="65"/>
      <c r="F2191" s="66"/>
      <c r="G2191" s="63"/>
      <c r="H2191" s="67"/>
      <c r="I2191" s="68"/>
      <c r="J2191" s="68"/>
      <c r="K2191" s="32"/>
      <c r="L2191" s="75">
        <v>2191</v>
      </c>
      <c r="M2191" s="75"/>
      <c r="N2191" s="70"/>
      <c r="O2191" s="77" t="s">
        <v>179</v>
      </c>
      <c r="P2191" s="79">
        <v>45129</v>
      </c>
      <c r="Q2191" s="77" t="s">
        <v>2863</v>
      </c>
      <c r="R2191" s="77">
        <v>0</v>
      </c>
      <c r="S2191" s="77">
        <v>1</v>
      </c>
      <c r="T2191" s="77">
        <v>0</v>
      </c>
      <c r="U2191" s="77">
        <v>1</v>
      </c>
      <c r="V2191" s="77">
        <v>897</v>
      </c>
      <c r="W2191" s="82" t="s">
        <v>4833</v>
      </c>
      <c r="X2191" s="80" t="str">
        <f>HYPERLINK("https://mla.bs/5642ed92")</f>
        <v>https://mla.bs/5642ed92</v>
      </c>
      <c r="Y2191" s="77" t="s">
        <v>6506</v>
      </c>
      <c r="Z2191" s="77"/>
      <c r="AA2191" s="77"/>
      <c r="AB2191" s="77"/>
      <c r="AC2191" s="82" t="s">
        <v>7754</v>
      </c>
      <c r="AD2191" s="77" t="s">
        <v>7788</v>
      </c>
      <c r="AE2191" s="80" t="str">
        <f>HYPERLINK("https://twitter.com/einvestidor/status/1682540964638851072")</f>
        <v>https://twitter.com/einvestidor/status/1682540964638851072</v>
      </c>
      <c r="AF2191" s="79">
        <v>45129</v>
      </c>
      <c r="AG2191" s="85">
        <v>45129</v>
      </c>
      <c r="AH2191" s="82" t="s">
        <v>9300</v>
      </c>
      <c r="AI2191" s="77" t="b">
        <v>0</v>
      </c>
      <c r="AJ2191" s="77"/>
      <c r="AK2191" s="77"/>
      <c r="AL2191" s="77"/>
      <c r="AM2191" s="77"/>
      <c r="AN2191" s="77"/>
      <c r="AO2191" s="77"/>
      <c r="AP2191" s="77"/>
      <c r="AQ2191" s="77"/>
      <c r="AR2191" s="77"/>
      <c r="AS2191" s="77"/>
      <c r="AT2191" s="77"/>
      <c r="AU2191" s="77"/>
      <c r="AV2191" s="80" t="str">
        <f>HYPERLINK("https://pbs.twimg.com/profile_images/1241147984924082183/gZgx_hL-_normal.jpg")</f>
        <v>https://pbs.twimg.com/profile_images/1241147984924082183/gZgx_hL-_normal.jpg</v>
      </c>
      <c r="AW2191" s="82" t="s">
        <v>13787</v>
      </c>
      <c r="AX2191" s="82" t="s">
        <v>13787</v>
      </c>
      <c r="AY2191" s="77"/>
      <c r="AZ2191" s="82" t="s">
        <v>15984</v>
      </c>
      <c r="BA2191" s="82" t="s">
        <v>15984</v>
      </c>
      <c r="BB2191" s="82" t="s">
        <v>15984</v>
      </c>
      <c r="BC2191" s="82" t="s">
        <v>13787</v>
      </c>
      <c r="BD2191" s="82" t="s">
        <v>15979</v>
      </c>
      <c r="BE2191" s="77"/>
      <c r="BF2191" s="77"/>
      <c r="BG2191" s="77"/>
      <c r="BH2191" s="77"/>
      <c r="BI2191" s="77"/>
    </row>
    <row r="2192" spans="1:61" x14ac:dyDescent="0.25">
      <c r="A2192" s="62" t="s">
        <v>387</v>
      </c>
      <c r="B2192" s="62" t="s">
        <v>387</v>
      </c>
      <c r="C2192" s="63"/>
      <c r="D2192" s="64"/>
      <c r="E2192" s="65"/>
      <c r="F2192" s="66"/>
      <c r="G2192" s="63"/>
      <c r="H2192" s="67"/>
      <c r="I2192" s="68"/>
      <c r="J2192" s="68"/>
      <c r="K2192" s="32"/>
      <c r="L2192" s="75">
        <v>2192</v>
      </c>
      <c r="M2192" s="75"/>
      <c r="N2192" s="70"/>
      <c r="O2192" s="77" t="s">
        <v>179</v>
      </c>
      <c r="P2192" s="79">
        <v>45128.989583333336</v>
      </c>
      <c r="Q2192" s="77" t="s">
        <v>2864</v>
      </c>
      <c r="R2192" s="77">
        <v>0</v>
      </c>
      <c r="S2192" s="77">
        <v>0</v>
      </c>
      <c r="T2192" s="77">
        <v>0</v>
      </c>
      <c r="U2192" s="77">
        <v>0</v>
      </c>
      <c r="V2192" s="77">
        <v>779</v>
      </c>
      <c r="W2192" s="82" t="s">
        <v>5929</v>
      </c>
      <c r="X2192" s="80" t="str">
        <f>HYPERLINK("https://mla.bs/34dacfd9")</f>
        <v>https://mla.bs/34dacfd9</v>
      </c>
      <c r="Y2192" s="77" t="s">
        <v>6506</v>
      </c>
      <c r="Z2192" s="77"/>
      <c r="AA2192" s="77"/>
      <c r="AB2192" s="77"/>
      <c r="AC2192" s="82" t="s">
        <v>7754</v>
      </c>
      <c r="AD2192" s="77" t="s">
        <v>7788</v>
      </c>
      <c r="AE2192" s="80" t="str">
        <f>HYPERLINK("https://twitter.com/einvestidor/status/1682537187475181574")</f>
        <v>https://twitter.com/einvestidor/status/1682537187475181574</v>
      </c>
      <c r="AF2192" s="79">
        <v>45128.989583333336</v>
      </c>
      <c r="AG2192" s="85">
        <v>45128</v>
      </c>
      <c r="AH2192" s="82" t="s">
        <v>9620</v>
      </c>
      <c r="AI2192" s="77" t="b">
        <v>0</v>
      </c>
      <c r="AJ2192" s="77"/>
      <c r="AK2192" s="77"/>
      <c r="AL2192" s="77"/>
      <c r="AM2192" s="77"/>
      <c r="AN2192" s="77"/>
      <c r="AO2192" s="77"/>
      <c r="AP2192" s="77"/>
      <c r="AQ2192" s="77"/>
      <c r="AR2192" s="77"/>
      <c r="AS2192" s="77"/>
      <c r="AT2192" s="77"/>
      <c r="AU2192" s="77"/>
      <c r="AV2192" s="80" t="str">
        <f>HYPERLINK("https://pbs.twimg.com/profile_images/1241147984924082183/gZgx_hL-_normal.jpg")</f>
        <v>https://pbs.twimg.com/profile_images/1241147984924082183/gZgx_hL-_normal.jpg</v>
      </c>
      <c r="AW2192" s="82" t="s">
        <v>13788</v>
      </c>
      <c r="AX2192" s="82" t="s">
        <v>13788</v>
      </c>
      <c r="AY2192" s="77"/>
      <c r="AZ2192" s="82" t="s">
        <v>15984</v>
      </c>
      <c r="BA2192" s="82" t="s">
        <v>15984</v>
      </c>
      <c r="BB2192" s="82" t="s">
        <v>15984</v>
      </c>
      <c r="BC2192" s="82" t="s">
        <v>13788</v>
      </c>
      <c r="BD2192" s="82" t="s">
        <v>15979</v>
      </c>
      <c r="BE2192" s="77"/>
      <c r="BF2192" s="77"/>
      <c r="BG2192" s="77"/>
      <c r="BH2192" s="77"/>
      <c r="BI2192" s="77"/>
    </row>
    <row r="2193" spans="1:61" x14ac:dyDescent="0.25">
      <c r="A2193" s="62" t="s">
        <v>387</v>
      </c>
      <c r="B2193" s="62" t="s">
        <v>387</v>
      </c>
      <c r="C2193" s="63"/>
      <c r="D2193" s="64"/>
      <c r="E2193" s="65"/>
      <c r="F2193" s="66"/>
      <c r="G2193" s="63"/>
      <c r="H2193" s="67"/>
      <c r="I2193" s="68"/>
      <c r="J2193" s="68"/>
      <c r="K2193" s="32"/>
      <c r="L2193" s="75">
        <v>2193</v>
      </c>
      <c r="M2193" s="75"/>
      <c r="N2193" s="70"/>
      <c r="O2193" s="77" t="s">
        <v>179</v>
      </c>
      <c r="P2193" s="79">
        <v>45128.979166666664</v>
      </c>
      <c r="Q2193" s="77" t="s">
        <v>2865</v>
      </c>
      <c r="R2193" s="77">
        <v>1</v>
      </c>
      <c r="S2193" s="77">
        <v>5</v>
      </c>
      <c r="T2193" s="77">
        <v>0</v>
      </c>
      <c r="U2193" s="77">
        <v>1</v>
      </c>
      <c r="V2193" s="77">
        <v>893</v>
      </c>
      <c r="W2193" s="82" t="s">
        <v>5930</v>
      </c>
      <c r="X2193" s="80" t="str">
        <f>HYPERLINK("https://mla.bs/324a00f9")</f>
        <v>https://mla.bs/324a00f9</v>
      </c>
      <c r="Y2193" s="77" t="s">
        <v>6506</v>
      </c>
      <c r="Z2193" s="77"/>
      <c r="AA2193" s="77"/>
      <c r="AB2193" s="77"/>
      <c r="AC2193" s="82" t="s">
        <v>7754</v>
      </c>
      <c r="AD2193" s="77" t="s">
        <v>7788</v>
      </c>
      <c r="AE2193" s="80" t="str">
        <f>HYPERLINK("https://twitter.com/einvestidor/status/1682533412618289155")</f>
        <v>https://twitter.com/einvestidor/status/1682533412618289155</v>
      </c>
      <c r="AF2193" s="79">
        <v>45128.979166666664</v>
      </c>
      <c r="AG2193" s="85">
        <v>45128</v>
      </c>
      <c r="AH2193" s="82" t="s">
        <v>7928</v>
      </c>
      <c r="AI2193" s="77" t="b">
        <v>0</v>
      </c>
      <c r="AJ2193" s="77"/>
      <c r="AK2193" s="77"/>
      <c r="AL2193" s="77"/>
      <c r="AM2193" s="77"/>
      <c r="AN2193" s="77"/>
      <c r="AO2193" s="77"/>
      <c r="AP2193" s="77"/>
      <c r="AQ2193" s="77"/>
      <c r="AR2193" s="77"/>
      <c r="AS2193" s="77"/>
      <c r="AT2193" s="77"/>
      <c r="AU2193" s="77"/>
      <c r="AV2193" s="80" t="str">
        <f>HYPERLINK("https://pbs.twimg.com/profile_images/1241147984924082183/gZgx_hL-_normal.jpg")</f>
        <v>https://pbs.twimg.com/profile_images/1241147984924082183/gZgx_hL-_normal.jpg</v>
      </c>
      <c r="AW2193" s="82" t="s">
        <v>13789</v>
      </c>
      <c r="AX2193" s="82" t="s">
        <v>13789</v>
      </c>
      <c r="AY2193" s="77"/>
      <c r="AZ2193" s="82" t="s">
        <v>15984</v>
      </c>
      <c r="BA2193" s="82" t="s">
        <v>15984</v>
      </c>
      <c r="BB2193" s="82" t="s">
        <v>15984</v>
      </c>
      <c r="BC2193" s="82" t="s">
        <v>13789</v>
      </c>
      <c r="BD2193" s="82" t="s">
        <v>15979</v>
      </c>
      <c r="BE2193" s="77"/>
      <c r="BF2193" s="77"/>
      <c r="BG2193" s="77"/>
      <c r="BH2193" s="77"/>
      <c r="BI2193" s="77"/>
    </row>
    <row r="2194" spans="1:61" x14ac:dyDescent="0.25">
      <c r="A2194" s="62" t="s">
        <v>387</v>
      </c>
      <c r="B2194" s="62" t="s">
        <v>387</v>
      </c>
      <c r="C2194" s="63"/>
      <c r="D2194" s="64"/>
      <c r="E2194" s="65"/>
      <c r="F2194" s="66"/>
      <c r="G2194" s="63"/>
      <c r="H2194" s="67"/>
      <c r="I2194" s="68"/>
      <c r="J2194" s="68"/>
      <c r="K2194" s="32"/>
      <c r="L2194" s="75">
        <v>2194</v>
      </c>
      <c r="M2194" s="75"/>
      <c r="N2194" s="70"/>
      <c r="O2194" s="77" t="s">
        <v>179</v>
      </c>
      <c r="P2194" s="79">
        <v>45128.96875</v>
      </c>
      <c r="Q2194" s="77" t="s">
        <v>2866</v>
      </c>
      <c r="R2194" s="77">
        <v>0</v>
      </c>
      <c r="S2194" s="77">
        <v>3</v>
      </c>
      <c r="T2194" s="77">
        <v>0</v>
      </c>
      <c r="U2194" s="77">
        <v>0</v>
      </c>
      <c r="V2194" s="77">
        <v>803</v>
      </c>
      <c r="W2194" s="82" t="s">
        <v>4833</v>
      </c>
      <c r="X2194" s="80" t="str">
        <f>HYPERLINK("https://mla.bs/5f60fc87")</f>
        <v>https://mla.bs/5f60fc87</v>
      </c>
      <c r="Y2194" s="77" t="s">
        <v>6506</v>
      </c>
      <c r="Z2194" s="77"/>
      <c r="AA2194" s="77"/>
      <c r="AB2194" s="77"/>
      <c r="AC2194" s="82" t="s">
        <v>7754</v>
      </c>
      <c r="AD2194" s="77" t="s">
        <v>7788</v>
      </c>
      <c r="AE2194" s="80" t="str">
        <f>HYPERLINK("https://twitter.com/einvestidor/status/1682529637807603714")</f>
        <v>https://twitter.com/einvestidor/status/1682529637807603714</v>
      </c>
      <c r="AF2194" s="79">
        <v>45128.96875</v>
      </c>
      <c r="AG2194" s="85">
        <v>45128</v>
      </c>
      <c r="AH2194" s="82" t="s">
        <v>9621</v>
      </c>
      <c r="AI2194" s="77" t="b">
        <v>0</v>
      </c>
      <c r="AJ2194" s="77"/>
      <c r="AK2194" s="77"/>
      <c r="AL2194" s="77"/>
      <c r="AM2194" s="77"/>
      <c r="AN2194" s="77"/>
      <c r="AO2194" s="77"/>
      <c r="AP2194" s="77"/>
      <c r="AQ2194" s="77"/>
      <c r="AR2194" s="77"/>
      <c r="AS2194" s="77"/>
      <c r="AT2194" s="77"/>
      <c r="AU2194" s="77"/>
      <c r="AV2194" s="80" t="str">
        <f>HYPERLINK("https://pbs.twimg.com/profile_images/1241147984924082183/gZgx_hL-_normal.jpg")</f>
        <v>https://pbs.twimg.com/profile_images/1241147984924082183/gZgx_hL-_normal.jpg</v>
      </c>
      <c r="AW2194" s="82" t="s">
        <v>13790</v>
      </c>
      <c r="AX2194" s="82" t="s">
        <v>13790</v>
      </c>
      <c r="AY2194" s="77"/>
      <c r="AZ2194" s="82" t="s">
        <v>15984</v>
      </c>
      <c r="BA2194" s="82" t="s">
        <v>15984</v>
      </c>
      <c r="BB2194" s="82" t="s">
        <v>15984</v>
      </c>
      <c r="BC2194" s="82" t="s">
        <v>13790</v>
      </c>
      <c r="BD2194" s="82" t="s">
        <v>15979</v>
      </c>
      <c r="BE2194" s="77"/>
      <c r="BF2194" s="77"/>
      <c r="BG2194" s="77"/>
      <c r="BH2194" s="77"/>
      <c r="BI2194" s="77"/>
    </row>
    <row r="2195" spans="1:61" x14ac:dyDescent="0.25">
      <c r="A2195" s="62" t="s">
        <v>387</v>
      </c>
      <c r="B2195" s="62" t="s">
        <v>387</v>
      </c>
      <c r="C2195" s="63"/>
      <c r="D2195" s="64"/>
      <c r="E2195" s="65"/>
      <c r="F2195" s="66"/>
      <c r="G2195" s="63"/>
      <c r="H2195" s="67"/>
      <c r="I2195" s="68"/>
      <c r="J2195" s="68"/>
      <c r="K2195" s="32"/>
      <c r="L2195" s="75">
        <v>2195</v>
      </c>
      <c r="M2195" s="75"/>
      <c r="N2195" s="70"/>
      <c r="O2195" s="77" t="s">
        <v>179</v>
      </c>
      <c r="P2195" s="79">
        <v>45128.958333333336</v>
      </c>
      <c r="Q2195" s="77" t="s">
        <v>2867</v>
      </c>
      <c r="R2195" s="77">
        <v>0</v>
      </c>
      <c r="S2195" s="77">
        <v>2</v>
      </c>
      <c r="T2195" s="77">
        <v>0</v>
      </c>
      <c r="U2195" s="77">
        <v>0</v>
      </c>
      <c r="V2195" s="77">
        <v>675</v>
      </c>
      <c r="W2195" s="82" t="s">
        <v>4833</v>
      </c>
      <c r="X2195" s="80" t="str">
        <f>HYPERLINK("https://mla.bs/4144ab60")</f>
        <v>https://mla.bs/4144ab60</v>
      </c>
      <c r="Y2195" s="77" t="s">
        <v>6506</v>
      </c>
      <c r="Z2195" s="77"/>
      <c r="AA2195" s="77"/>
      <c r="AB2195" s="77"/>
      <c r="AC2195" s="82" t="s">
        <v>7754</v>
      </c>
      <c r="AD2195" s="77" t="s">
        <v>7788</v>
      </c>
      <c r="AE2195" s="80" t="str">
        <f>HYPERLINK("https://twitter.com/einvestidor/status/1682525863995379712")</f>
        <v>https://twitter.com/einvestidor/status/1682525863995379712</v>
      </c>
      <c r="AF2195" s="79">
        <v>45128.958333333336</v>
      </c>
      <c r="AG2195" s="85">
        <v>45128</v>
      </c>
      <c r="AH2195" s="82" t="s">
        <v>8279</v>
      </c>
      <c r="AI2195" s="77" t="b">
        <v>0</v>
      </c>
      <c r="AJ2195" s="77"/>
      <c r="AK2195" s="77"/>
      <c r="AL2195" s="77"/>
      <c r="AM2195" s="77"/>
      <c r="AN2195" s="77"/>
      <c r="AO2195" s="77"/>
      <c r="AP2195" s="77"/>
      <c r="AQ2195" s="77"/>
      <c r="AR2195" s="77"/>
      <c r="AS2195" s="77"/>
      <c r="AT2195" s="77"/>
      <c r="AU2195" s="77"/>
      <c r="AV2195" s="80" t="str">
        <f>HYPERLINK("https://pbs.twimg.com/profile_images/1241147984924082183/gZgx_hL-_normal.jpg")</f>
        <v>https://pbs.twimg.com/profile_images/1241147984924082183/gZgx_hL-_normal.jpg</v>
      </c>
      <c r="AW2195" s="82" t="s">
        <v>13791</v>
      </c>
      <c r="AX2195" s="82" t="s">
        <v>13791</v>
      </c>
      <c r="AY2195" s="77"/>
      <c r="AZ2195" s="82" t="s">
        <v>15984</v>
      </c>
      <c r="BA2195" s="82" t="s">
        <v>15984</v>
      </c>
      <c r="BB2195" s="82" t="s">
        <v>15984</v>
      </c>
      <c r="BC2195" s="82" t="s">
        <v>13791</v>
      </c>
      <c r="BD2195" s="82" t="s">
        <v>15979</v>
      </c>
      <c r="BE2195" s="77"/>
      <c r="BF2195" s="77"/>
      <c r="BG2195" s="77"/>
      <c r="BH2195" s="77"/>
      <c r="BI2195" s="77"/>
    </row>
    <row r="2196" spans="1:61" x14ac:dyDescent="0.25">
      <c r="A2196" s="62" t="s">
        <v>387</v>
      </c>
      <c r="B2196" s="62" t="s">
        <v>387</v>
      </c>
      <c r="C2196" s="63"/>
      <c r="D2196" s="64"/>
      <c r="E2196" s="65"/>
      <c r="F2196" s="66"/>
      <c r="G2196" s="63"/>
      <c r="H2196" s="67"/>
      <c r="I2196" s="68"/>
      <c r="J2196" s="68"/>
      <c r="K2196" s="32"/>
      <c r="L2196" s="75">
        <v>2196</v>
      </c>
      <c r="M2196" s="75"/>
      <c r="N2196" s="70"/>
      <c r="O2196" s="77" t="s">
        <v>179</v>
      </c>
      <c r="P2196" s="79">
        <v>45128.9375</v>
      </c>
      <c r="Q2196" s="77" t="s">
        <v>2868</v>
      </c>
      <c r="R2196" s="77">
        <v>0</v>
      </c>
      <c r="S2196" s="77">
        <v>0</v>
      </c>
      <c r="T2196" s="77">
        <v>0</v>
      </c>
      <c r="U2196" s="77">
        <v>0</v>
      </c>
      <c r="V2196" s="77">
        <v>721</v>
      </c>
      <c r="W2196" s="82" t="s">
        <v>4833</v>
      </c>
      <c r="X2196" s="80" t="str">
        <f>HYPERLINK("https://mla.bs/71cafe34")</f>
        <v>https://mla.bs/71cafe34</v>
      </c>
      <c r="Y2196" s="77" t="s">
        <v>6506</v>
      </c>
      <c r="Z2196" s="77"/>
      <c r="AA2196" s="77"/>
      <c r="AB2196" s="77"/>
      <c r="AC2196" s="82" t="s">
        <v>7754</v>
      </c>
      <c r="AD2196" s="77" t="s">
        <v>7788</v>
      </c>
      <c r="AE2196" s="80" t="str">
        <f>HYPERLINK("https://twitter.com/einvestidor/status/1682518315460349952")</f>
        <v>https://twitter.com/einvestidor/status/1682518315460349952</v>
      </c>
      <c r="AF2196" s="79">
        <v>45128.9375</v>
      </c>
      <c r="AG2196" s="85">
        <v>45128</v>
      </c>
      <c r="AH2196" s="82" t="s">
        <v>7926</v>
      </c>
      <c r="AI2196" s="77" t="b">
        <v>0</v>
      </c>
      <c r="AJ2196" s="77"/>
      <c r="AK2196" s="77"/>
      <c r="AL2196" s="77"/>
      <c r="AM2196" s="77"/>
      <c r="AN2196" s="77"/>
      <c r="AO2196" s="77"/>
      <c r="AP2196" s="77"/>
      <c r="AQ2196" s="77"/>
      <c r="AR2196" s="77"/>
      <c r="AS2196" s="77"/>
      <c r="AT2196" s="77"/>
      <c r="AU2196" s="77"/>
      <c r="AV2196" s="80" t="str">
        <f>HYPERLINK("https://pbs.twimg.com/profile_images/1241147984924082183/gZgx_hL-_normal.jpg")</f>
        <v>https://pbs.twimg.com/profile_images/1241147984924082183/gZgx_hL-_normal.jpg</v>
      </c>
      <c r="AW2196" s="82" t="s">
        <v>13792</v>
      </c>
      <c r="AX2196" s="82" t="s">
        <v>13792</v>
      </c>
      <c r="AY2196" s="77"/>
      <c r="AZ2196" s="82" t="s">
        <v>15984</v>
      </c>
      <c r="BA2196" s="82" t="s">
        <v>15984</v>
      </c>
      <c r="BB2196" s="82" t="s">
        <v>15984</v>
      </c>
      <c r="BC2196" s="82" t="s">
        <v>13792</v>
      </c>
      <c r="BD2196" s="82" t="s">
        <v>15979</v>
      </c>
      <c r="BE2196" s="77"/>
      <c r="BF2196" s="77"/>
      <c r="BG2196" s="77"/>
      <c r="BH2196" s="77"/>
      <c r="BI2196" s="77"/>
    </row>
    <row r="2197" spans="1:61" x14ac:dyDescent="0.25">
      <c r="A2197" s="62" t="s">
        <v>387</v>
      </c>
      <c r="B2197" s="62" t="s">
        <v>387</v>
      </c>
      <c r="C2197" s="63"/>
      <c r="D2197" s="64"/>
      <c r="E2197" s="65"/>
      <c r="F2197" s="66"/>
      <c r="G2197" s="63"/>
      <c r="H2197" s="67"/>
      <c r="I2197" s="68"/>
      <c r="J2197" s="68"/>
      <c r="K2197" s="32"/>
      <c r="L2197" s="75">
        <v>2197</v>
      </c>
      <c r="M2197" s="75"/>
      <c r="N2197" s="70"/>
      <c r="O2197" s="77" t="s">
        <v>179</v>
      </c>
      <c r="P2197" s="79">
        <v>45119.041886574072</v>
      </c>
      <c r="Q2197" s="77" t="s">
        <v>2869</v>
      </c>
      <c r="R2197" s="77">
        <v>1</v>
      </c>
      <c r="S2197" s="77">
        <v>3</v>
      </c>
      <c r="T2197" s="77">
        <v>0</v>
      </c>
      <c r="U2197" s="77">
        <v>0</v>
      </c>
      <c r="V2197" s="77">
        <v>838</v>
      </c>
      <c r="W2197" s="82" t="s">
        <v>5931</v>
      </c>
      <c r="X2197" s="80" t="str">
        <f>HYPERLINK("https://mla.bs/1ccdfaf8")</f>
        <v>https://mla.bs/1ccdfaf8</v>
      </c>
      <c r="Y2197" s="77" t="s">
        <v>6506</v>
      </c>
      <c r="Z2197" s="77"/>
      <c r="AA2197" s="77"/>
      <c r="AB2197" s="77"/>
      <c r="AC2197" s="82" t="s">
        <v>7757</v>
      </c>
      <c r="AD2197" s="77" t="s">
        <v>7788</v>
      </c>
      <c r="AE2197" s="80" t="str">
        <f>HYPERLINK("https://twitter.com/einvestidor/status/1678932265382948864")</f>
        <v>https://twitter.com/einvestidor/status/1678932265382948864</v>
      </c>
      <c r="AF2197" s="79">
        <v>45119.041886574072</v>
      </c>
      <c r="AG2197" s="85">
        <v>45119</v>
      </c>
      <c r="AH2197" s="82" t="s">
        <v>9629</v>
      </c>
      <c r="AI2197" s="77" t="b">
        <v>0</v>
      </c>
      <c r="AJ2197" s="77"/>
      <c r="AK2197" s="77"/>
      <c r="AL2197" s="77"/>
      <c r="AM2197" s="77"/>
      <c r="AN2197" s="77"/>
      <c r="AO2197" s="77"/>
      <c r="AP2197" s="77"/>
      <c r="AQ2197" s="77"/>
      <c r="AR2197" s="77"/>
      <c r="AS2197" s="77"/>
      <c r="AT2197" s="77"/>
      <c r="AU2197" s="77"/>
      <c r="AV2197" s="80" t="str">
        <f>HYPERLINK("https://pbs.twimg.com/profile_images/1241147984924082183/gZgx_hL-_normal.jpg")</f>
        <v>https://pbs.twimg.com/profile_images/1241147984924082183/gZgx_hL-_normal.jpg</v>
      </c>
      <c r="AW2197" s="82" t="s">
        <v>13793</v>
      </c>
      <c r="AX2197" s="82" t="s">
        <v>13793</v>
      </c>
      <c r="AY2197" s="77"/>
      <c r="AZ2197" s="82" t="s">
        <v>15984</v>
      </c>
      <c r="BA2197" s="82" t="s">
        <v>15984</v>
      </c>
      <c r="BB2197" s="82" t="s">
        <v>15984</v>
      </c>
      <c r="BC2197" s="82" t="s">
        <v>13793</v>
      </c>
      <c r="BD2197" s="82" t="s">
        <v>15979</v>
      </c>
      <c r="BE2197" s="77"/>
      <c r="BF2197" s="77"/>
      <c r="BG2197" s="77"/>
      <c r="BH2197" s="77"/>
      <c r="BI2197" s="77"/>
    </row>
    <row r="2198" spans="1:61" x14ac:dyDescent="0.25">
      <c r="A2198" s="62" t="s">
        <v>387</v>
      </c>
      <c r="B2198" s="62" t="s">
        <v>387</v>
      </c>
      <c r="C2198" s="63"/>
      <c r="D2198" s="64"/>
      <c r="E2198" s="65"/>
      <c r="F2198" s="66"/>
      <c r="G2198" s="63"/>
      <c r="H2198" s="67"/>
      <c r="I2198" s="68"/>
      <c r="J2198" s="68"/>
      <c r="K2198" s="32"/>
      <c r="L2198" s="75">
        <v>2198</v>
      </c>
      <c r="M2198" s="75"/>
      <c r="N2198" s="70"/>
      <c r="O2198" s="77" t="s">
        <v>179</v>
      </c>
      <c r="P2198" s="79">
        <v>45119.027800925927</v>
      </c>
      <c r="Q2198" s="77" t="s">
        <v>2870</v>
      </c>
      <c r="R2198" s="77">
        <v>0</v>
      </c>
      <c r="S2198" s="77">
        <v>3</v>
      </c>
      <c r="T2198" s="77">
        <v>0</v>
      </c>
      <c r="U2198" s="77">
        <v>0</v>
      </c>
      <c r="V2198" s="77">
        <v>838</v>
      </c>
      <c r="W2198" s="82" t="s">
        <v>4833</v>
      </c>
      <c r="X2198" s="80" t="str">
        <f>HYPERLINK("https://mla.bs/e64185e5")</f>
        <v>https://mla.bs/e64185e5</v>
      </c>
      <c r="Y2198" s="77" t="s">
        <v>6506</v>
      </c>
      <c r="Z2198" s="77"/>
      <c r="AA2198" s="77"/>
      <c r="AB2198" s="77"/>
      <c r="AC2198" s="82" t="s">
        <v>7757</v>
      </c>
      <c r="AD2198" s="77" t="s">
        <v>7788</v>
      </c>
      <c r="AE2198" s="80" t="str">
        <f>HYPERLINK("https://twitter.com/einvestidor/status/1678927161363668992")</f>
        <v>https://twitter.com/einvestidor/status/1678927161363668992</v>
      </c>
      <c r="AF2198" s="79">
        <v>45119.027800925927</v>
      </c>
      <c r="AG2198" s="85">
        <v>45119</v>
      </c>
      <c r="AH2198" s="82" t="s">
        <v>9630</v>
      </c>
      <c r="AI2198" s="77" t="b">
        <v>0</v>
      </c>
      <c r="AJ2198" s="77"/>
      <c r="AK2198" s="77"/>
      <c r="AL2198" s="77"/>
      <c r="AM2198" s="77"/>
      <c r="AN2198" s="77"/>
      <c r="AO2198" s="77"/>
      <c r="AP2198" s="77"/>
      <c r="AQ2198" s="77"/>
      <c r="AR2198" s="77"/>
      <c r="AS2198" s="77"/>
      <c r="AT2198" s="77"/>
      <c r="AU2198" s="77"/>
      <c r="AV2198" s="80" t="str">
        <f>HYPERLINK("https://pbs.twimg.com/profile_images/1241147984924082183/gZgx_hL-_normal.jpg")</f>
        <v>https://pbs.twimg.com/profile_images/1241147984924082183/gZgx_hL-_normal.jpg</v>
      </c>
      <c r="AW2198" s="82" t="s">
        <v>13794</v>
      </c>
      <c r="AX2198" s="82" t="s">
        <v>13794</v>
      </c>
      <c r="AY2198" s="77"/>
      <c r="AZ2198" s="82" t="s">
        <v>15984</v>
      </c>
      <c r="BA2198" s="82" t="s">
        <v>15984</v>
      </c>
      <c r="BB2198" s="82" t="s">
        <v>15984</v>
      </c>
      <c r="BC2198" s="82" t="s">
        <v>13794</v>
      </c>
      <c r="BD2198" s="82" t="s">
        <v>15979</v>
      </c>
      <c r="BE2198" s="77"/>
      <c r="BF2198" s="77"/>
      <c r="BG2198" s="77"/>
      <c r="BH2198" s="77"/>
      <c r="BI2198" s="77"/>
    </row>
    <row r="2199" spans="1:61" x14ac:dyDescent="0.25">
      <c r="A2199" s="62" t="s">
        <v>387</v>
      </c>
      <c r="B2199" s="62" t="s">
        <v>387</v>
      </c>
      <c r="C2199" s="63"/>
      <c r="D2199" s="64"/>
      <c r="E2199" s="65"/>
      <c r="F2199" s="66"/>
      <c r="G2199" s="63"/>
      <c r="H2199" s="67"/>
      <c r="I2199" s="68"/>
      <c r="J2199" s="68"/>
      <c r="K2199" s="32"/>
      <c r="L2199" s="75">
        <v>2199</v>
      </c>
      <c r="M2199" s="75"/>
      <c r="N2199" s="70"/>
      <c r="O2199" s="77" t="s">
        <v>179</v>
      </c>
      <c r="P2199" s="79">
        <v>45168.911562499998</v>
      </c>
      <c r="Q2199" s="77" t="s">
        <v>2871</v>
      </c>
      <c r="R2199" s="77">
        <v>0</v>
      </c>
      <c r="S2199" s="77">
        <v>0</v>
      </c>
      <c r="T2199" s="77">
        <v>0</v>
      </c>
      <c r="U2199" s="77">
        <v>0</v>
      </c>
      <c r="V2199" s="77">
        <v>618</v>
      </c>
      <c r="W2199" s="82" t="s">
        <v>5932</v>
      </c>
      <c r="X2199" s="80" t="str">
        <f>HYPERLINK("https://einvestidor.estadao.com.br/mercado/ibovespa-hoje-fechamento-piores-acoes/?utm_source=twitter&amp;utm_medium=organic&amp;utm_campaign=&amp;utm_content=materia")</f>
        <v>https://einvestidor.estadao.com.br/mercado/ibovespa-hoje-fechamento-piores-acoes/?utm_source=twitter&amp;utm_medium=organic&amp;utm_campaign=&amp;utm_content=materia</v>
      </c>
      <c r="Y2199" s="77" t="s">
        <v>6470</v>
      </c>
      <c r="Z2199" s="77"/>
      <c r="AA2199" s="77"/>
      <c r="AB2199" s="77"/>
      <c r="AC2199" s="82" t="s">
        <v>7750</v>
      </c>
      <c r="AD2199" s="77" t="s">
        <v>7788</v>
      </c>
      <c r="AE2199" s="80" t="str">
        <f>HYPERLINK("https://twitter.com/einvestidor/status/1697004428073533697")</f>
        <v>https://twitter.com/einvestidor/status/1697004428073533697</v>
      </c>
      <c r="AF2199" s="79">
        <v>45168.911562499998</v>
      </c>
      <c r="AG2199" s="85">
        <v>45168</v>
      </c>
      <c r="AH2199" s="82" t="s">
        <v>9631</v>
      </c>
      <c r="AI2199" s="77" t="b">
        <v>0</v>
      </c>
      <c r="AJ2199" s="77"/>
      <c r="AK2199" s="77"/>
      <c r="AL2199" s="77"/>
      <c r="AM2199" s="77"/>
      <c r="AN2199" s="77"/>
      <c r="AO2199" s="77"/>
      <c r="AP2199" s="77"/>
      <c r="AQ2199" s="77"/>
      <c r="AR2199" s="77"/>
      <c r="AS2199" s="77"/>
      <c r="AT2199" s="77"/>
      <c r="AU2199" s="77"/>
      <c r="AV2199" s="80" t="str">
        <f>HYPERLINK("https://pbs.twimg.com/profile_images/1241147984924082183/gZgx_hL-_normal.jpg")</f>
        <v>https://pbs.twimg.com/profile_images/1241147984924082183/gZgx_hL-_normal.jpg</v>
      </c>
      <c r="AW2199" s="82" t="s">
        <v>13795</v>
      </c>
      <c r="AX2199" s="82" t="s">
        <v>13795</v>
      </c>
      <c r="AY2199" s="77"/>
      <c r="AZ2199" s="82" t="s">
        <v>15984</v>
      </c>
      <c r="BA2199" s="82" t="s">
        <v>15984</v>
      </c>
      <c r="BB2199" s="82" t="s">
        <v>15984</v>
      </c>
      <c r="BC2199" s="82" t="s">
        <v>13795</v>
      </c>
      <c r="BD2199" s="82" t="s">
        <v>15979</v>
      </c>
      <c r="BE2199" s="77"/>
      <c r="BF2199" s="77"/>
      <c r="BG2199" s="77"/>
      <c r="BH2199" s="77"/>
      <c r="BI2199" s="77"/>
    </row>
    <row r="2200" spans="1:61" x14ac:dyDescent="0.25">
      <c r="A2200" s="62" t="s">
        <v>387</v>
      </c>
      <c r="B2200" s="62" t="s">
        <v>387</v>
      </c>
      <c r="C2200" s="63"/>
      <c r="D2200" s="64"/>
      <c r="E2200" s="65"/>
      <c r="F2200" s="66"/>
      <c r="G2200" s="63"/>
      <c r="H2200" s="67"/>
      <c r="I2200" s="68"/>
      <c r="J2200" s="68"/>
      <c r="K2200" s="32"/>
      <c r="L2200" s="75">
        <v>2200</v>
      </c>
      <c r="M2200" s="75"/>
      <c r="N2200" s="70"/>
      <c r="O2200" s="77" t="s">
        <v>179</v>
      </c>
      <c r="P2200" s="79">
        <v>45168.491956018515</v>
      </c>
      <c r="Q2200" s="77" t="s">
        <v>2872</v>
      </c>
      <c r="R2200" s="77">
        <v>0</v>
      </c>
      <c r="S2200" s="77">
        <v>0</v>
      </c>
      <c r="T2200" s="77">
        <v>1</v>
      </c>
      <c r="U2200" s="77">
        <v>0</v>
      </c>
      <c r="V2200" s="77">
        <v>683</v>
      </c>
      <c r="W2200" s="82" t="s">
        <v>5933</v>
      </c>
      <c r="X2200" s="80" t="str">
        <f>HYPERLINK("https://einvestidor.estadao.com.br/mercado/mercado-hoje-safra-saneamento-cvc-eletrobras/?utm_source=twitter&amp;utm_medium=organic&amp;utm_campaign=mercado-hoje&amp;utm_content=materia")</f>
        <v>https://einvestidor.estadao.com.br/mercado/mercado-hoje-safra-saneamento-cvc-eletrobras/?utm_source=twitter&amp;utm_medium=organic&amp;utm_campaign=mercado-hoje&amp;utm_content=materia</v>
      </c>
      <c r="Y2200" s="77" t="s">
        <v>6470</v>
      </c>
      <c r="Z2200" s="77"/>
      <c r="AA2200" s="77"/>
      <c r="AB2200" s="77"/>
      <c r="AC2200" s="82" t="s">
        <v>7750</v>
      </c>
      <c r="AD2200" s="77" t="s">
        <v>7788</v>
      </c>
      <c r="AE2200" s="80" t="str">
        <f>HYPERLINK("https://twitter.com/einvestidor/status/1696852370515222914")</f>
        <v>https://twitter.com/einvestidor/status/1696852370515222914</v>
      </c>
      <c r="AF2200" s="79">
        <v>45168.491956018515</v>
      </c>
      <c r="AG2200" s="85">
        <v>45168</v>
      </c>
      <c r="AH2200" s="82" t="s">
        <v>9632</v>
      </c>
      <c r="AI2200" s="77" t="b">
        <v>0</v>
      </c>
      <c r="AJ2200" s="77"/>
      <c r="AK2200" s="77"/>
      <c r="AL2200" s="77"/>
      <c r="AM2200" s="77"/>
      <c r="AN2200" s="77"/>
      <c r="AO2200" s="77"/>
      <c r="AP2200" s="77"/>
      <c r="AQ2200" s="77"/>
      <c r="AR2200" s="77"/>
      <c r="AS2200" s="77"/>
      <c r="AT2200" s="77"/>
      <c r="AU2200" s="77"/>
      <c r="AV2200" s="80" t="str">
        <f>HYPERLINK("https://pbs.twimg.com/profile_images/1241147984924082183/gZgx_hL-_normal.jpg")</f>
        <v>https://pbs.twimg.com/profile_images/1241147984924082183/gZgx_hL-_normal.jpg</v>
      </c>
      <c r="AW2200" s="82" t="s">
        <v>13796</v>
      </c>
      <c r="AX2200" s="82" t="s">
        <v>13796</v>
      </c>
      <c r="AY2200" s="77"/>
      <c r="AZ2200" s="82" t="s">
        <v>15984</v>
      </c>
      <c r="BA2200" s="82" t="s">
        <v>15984</v>
      </c>
      <c r="BB2200" s="82" t="s">
        <v>15984</v>
      </c>
      <c r="BC2200" s="82" t="s">
        <v>13796</v>
      </c>
      <c r="BD2200" s="82" t="s">
        <v>15979</v>
      </c>
      <c r="BE2200" s="77"/>
      <c r="BF2200" s="77"/>
      <c r="BG2200" s="77"/>
      <c r="BH2200" s="77"/>
      <c r="BI2200" s="77"/>
    </row>
    <row r="2201" spans="1:61" x14ac:dyDescent="0.25">
      <c r="A2201" s="62" t="s">
        <v>387</v>
      </c>
      <c r="B2201" s="62" t="s">
        <v>387</v>
      </c>
      <c r="C2201" s="63"/>
      <c r="D2201" s="64"/>
      <c r="E2201" s="65"/>
      <c r="F2201" s="66"/>
      <c r="G2201" s="63"/>
      <c r="H2201" s="67"/>
      <c r="I2201" s="68"/>
      <c r="J2201" s="68"/>
      <c r="K2201" s="32"/>
      <c r="L2201" s="75">
        <v>2201</v>
      </c>
      <c r="M2201" s="75"/>
      <c r="N2201" s="70"/>
      <c r="O2201" s="77" t="s">
        <v>179</v>
      </c>
      <c r="P2201" s="79">
        <v>45168.487361111111</v>
      </c>
      <c r="Q2201" s="77" t="s">
        <v>2873</v>
      </c>
      <c r="R2201" s="77">
        <v>0</v>
      </c>
      <c r="S2201" s="77">
        <v>0</v>
      </c>
      <c r="T2201" s="77">
        <v>0</v>
      </c>
      <c r="U2201" s="77">
        <v>0</v>
      </c>
      <c r="V2201" s="77">
        <v>517</v>
      </c>
      <c r="W2201" s="82" t="s">
        <v>4839</v>
      </c>
      <c r="X2201" s="80" t="str">
        <f>HYPERLINK("https://einvestidor.estadao.com.br/mercado/mercado-hoje-pib-emprego-eua-inflacao-brasil/?utm_source=twitter&amp;utm_medium=organic&amp;utm_campaign=mercado-hoje&amp;utm_content=materia")</f>
        <v>https://einvestidor.estadao.com.br/mercado/mercado-hoje-pib-emprego-eua-inflacao-brasil/?utm_source=twitter&amp;utm_medium=organic&amp;utm_campaign=mercado-hoje&amp;utm_content=materia</v>
      </c>
      <c r="Y2201" s="77" t="s">
        <v>6470</v>
      </c>
      <c r="Z2201" s="77"/>
      <c r="AA2201" s="77"/>
      <c r="AB2201" s="77"/>
      <c r="AC2201" s="82" t="s">
        <v>7750</v>
      </c>
      <c r="AD2201" s="77" t="s">
        <v>7788</v>
      </c>
      <c r="AE2201" s="80" t="str">
        <f>HYPERLINK("https://twitter.com/einvestidor/status/1696850702725783708")</f>
        <v>https://twitter.com/einvestidor/status/1696850702725783708</v>
      </c>
      <c r="AF2201" s="79">
        <v>45168.487361111111</v>
      </c>
      <c r="AG2201" s="85">
        <v>45168</v>
      </c>
      <c r="AH2201" s="82" t="s">
        <v>9633</v>
      </c>
      <c r="AI2201" s="77" t="b">
        <v>0</v>
      </c>
      <c r="AJ2201" s="77"/>
      <c r="AK2201" s="77"/>
      <c r="AL2201" s="77"/>
      <c r="AM2201" s="77"/>
      <c r="AN2201" s="77"/>
      <c r="AO2201" s="77"/>
      <c r="AP2201" s="77"/>
      <c r="AQ2201" s="77"/>
      <c r="AR2201" s="77"/>
      <c r="AS2201" s="77"/>
      <c r="AT2201" s="77"/>
      <c r="AU2201" s="77"/>
      <c r="AV2201" s="80" t="str">
        <f>HYPERLINK("https://pbs.twimg.com/profile_images/1241147984924082183/gZgx_hL-_normal.jpg")</f>
        <v>https://pbs.twimg.com/profile_images/1241147984924082183/gZgx_hL-_normal.jpg</v>
      </c>
      <c r="AW2201" s="82" t="s">
        <v>13797</v>
      </c>
      <c r="AX2201" s="82" t="s">
        <v>13797</v>
      </c>
      <c r="AY2201" s="77"/>
      <c r="AZ2201" s="82" t="s">
        <v>15984</v>
      </c>
      <c r="BA2201" s="82" t="s">
        <v>15984</v>
      </c>
      <c r="BB2201" s="82" t="s">
        <v>15984</v>
      </c>
      <c r="BC2201" s="82" t="s">
        <v>13797</v>
      </c>
      <c r="BD2201" s="82" t="s">
        <v>15979</v>
      </c>
      <c r="BE2201" s="77"/>
      <c r="BF2201" s="77"/>
      <c r="BG2201" s="77"/>
      <c r="BH2201" s="77"/>
      <c r="BI2201" s="77"/>
    </row>
    <row r="2202" spans="1:61" x14ac:dyDescent="0.25">
      <c r="A2202" s="62" t="s">
        <v>387</v>
      </c>
      <c r="B2202" s="62" t="s">
        <v>387</v>
      </c>
      <c r="C2202" s="63"/>
      <c r="D2202" s="64"/>
      <c r="E2202" s="65"/>
      <c r="F2202" s="66"/>
      <c r="G2202" s="63"/>
      <c r="H2202" s="67"/>
      <c r="I2202" s="68"/>
      <c r="J2202" s="68"/>
      <c r="K2202" s="32"/>
      <c r="L2202" s="75">
        <v>2202</v>
      </c>
      <c r="M2202" s="75"/>
      <c r="N2202" s="70"/>
      <c r="O2202" s="77" t="s">
        <v>179</v>
      </c>
      <c r="P2202" s="79">
        <v>45167.778599537036</v>
      </c>
      <c r="Q2202" s="77" t="s">
        <v>2874</v>
      </c>
      <c r="R2202" s="77">
        <v>0</v>
      </c>
      <c r="S2202" s="77">
        <v>1</v>
      </c>
      <c r="T2202" s="77">
        <v>0</v>
      </c>
      <c r="U2202" s="77">
        <v>0</v>
      </c>
      <c r="V2202" s="77">
        <v>490</v>
      </c>
      <c r="W2202" s="82" t="s">
        <v>4833</v>
      </c>
      <c r="X2202" s="80" t="str">
        <f>HYPERLINK("https://einvestidor.estadao.com.br/ultimas/ubs-corta-preco-alvo-braskem-brkm5/?utm_source=twitter&amp;utm_medium=organic&amp;utm_campaign=ubs-recomendacao-braskem&amp;utm_content=materia")</f>
        <v>https://einvestidor.estadao.com.br/ultimas/ubs-corta-preco-alvo-braskem-brkm5/?utm_source=twitter&amp;utm_medium=organic&amp;utm_campaign=ubs-recomendacao-braskem&amp;utm_content=materia</v>
      </c>
      <c r="Y2202" s="77" t="s">
        <v>6470</v>
      </c>
      <c r="Z2202" s="77"/>
      <c r="AA2202" s="77"/>
      <c r="AB2202" s="77"/>
      <c r="AC2202" s="82" t="s">
        <v>7750</v>
      </c>
      <c r="AD2202" s="77" t="s">
        <v>7788</v>
      </c>
      <c r="AE2202" s="80" t="str">
        <f>HYPERLINK("https://twitter.com/einvestidor/status/1696593855867412508")</f>
        <v>https://twitter.com/einvestidor/status/1696593855867412508</v>
      </c>
      <c r="AF2202" s="79">
        <v>45167.778599537036</v>
      </c>
      <c r="AG2202" s="85">
        <v>45167</v>
      </c>
      <c r="AH2202" s="82" t="s">
        <v>9634</v>
      </c>
      <c r="AI2202" s="77" t="b">
        <v>0</v>
      </c>
      <c r="AJ2202" s="77"/>
      <c r="AK2202" s="77"/>
      <c r="AL2202" s="77"/>
      <c r="AM2202" s="77"/>
      <c r="AN2202" s="77"/>
      <c r="AO2202" s="77"/>
      <c r="AP2202" s="77"/>
      <c r="AQ2202" s="77"/>
      <c r="AR2202" s="77"/>
      <c r="AS2202" s="77"/>
      <c r="AT2202" s="77"/>
      <c r="AU2202" s="77"/>
      <c r="AV2202" s="80" t="str">
        <f>HYPERLINK("https://pbs.twimg.com/profile_images/1241147984924082183/gZgx_hL-_normal.jpg")</f>
        <v>https://pbs.twimg.com/profile_images/1241147984924082183/gZgx_hL-_normal.jpg</v>
      </c>
      <c r="AW2202" s="82" t="s">
        <v>13798</v>
      </c>
      <c r="AX2202" s="82" t="s">
        <v>13798</v>
      </c>
      <c r="AY2202" s="77"/>
      <c r="AZ2202" s="82" t="s">
        <v>15984</v>
      </c>
      <c r="BA2202" s="82" t="s">
        <v>15984</v>
      </c>
      <c r="BB2202" s="82" t="s">
        <v>15984</v>
      </c>
      <c r="BC2202" s="82" t="s">
        <v>13798</v>
      </c>
      <c r="BD2202" s="82" t="s">
        <v>15979</v>
      </c>
      <c r="BE2202" s="77"/>
      <c r="BF2202" s="77"/>
      <c r="BG2202" s="77"/>
      <c r="BH2202" s="77"/>
      <c r="BI2202" s="77"/>
    </row>
    <row r="2203" spans="1:61" x14ac:dyDescent="0.25">
      <c r="A2203" s="62" t="s">
        <v>387</v>
      </c>
      <c r="B2203" s="62" t="s">
        <v>387</v>
      </c>
      <c r="C2203" s="63"/>
      <c r="D2203" s="64"/>
      <c r="E2203" s="65"/>
      <c r="F2203" s="66"/>
      <c r="G2203" s="63"/>
      <c r="H2203" s="67"/>
      <c r="I2203" s="68"/>
      <c r="J2203" s="68"/>
      <c r="K2203" s="32"/>
      <c r="L2203" s="75">
        <v>2203</v>
      </c>
      <c r="M2203" s="75"/>
      <c r="N2203" s="70"/>
      <c r="O2203" s="77" t="s">
        <v>179</v>
      </c>
      <c r="P2203" s="79">
        <v>45167.750011574077</v>
      </c>
      <c r="Q2203" s="77" t="s">
        <v>2875</v>
      </c>
      <c r="R2203" s="77">
        <v>0</v>
      </c>
      <c r="S2203" s="77">
        <v>2</v>
      </c>
      <c r="T2203" s="77">
        <v>0</v>
      </c>
      <c r="U2203" s="77">
        <v>0</v>
      </c>
      <c r="V2203" s="77">
        <v>518</v>
      </c>
      <c r="W2203" s="82" t="s">
        <v>5590</v>
      </c>
      <c r="X2203" s="80" t="str">
        <f>HYPERLINK("https://einvestidor.estadao.com.br/ultimas/o-que-e-o-ibovespa-saiba-como-o-indice-funciona-e-qual-o-impacto-na-sua-vida/?utm_source=twitter&amp;utm_medium=organic&amp;utm_campaign=&amp;utm_content=materia")</f>
        <v>https://einvestidor.estadao.com.br/ultimas/o-que-e-o-ibovespa-saiba-como-o-indice-funciona-e-qual-o-impacto-na-sua-vida/?utm_source=twitter&amp;utm_medium=organic&amp;utm_campaign=&amp;utm_content=materia</v>
      </c>
      <c r="Y2203" s="77" t="s">
        <v>6470</v>
      </c>
      <c r="Z2203" s="77"/>
      <c r="AA2203" s="77"/>
      <c r="AB2203" s="77"/>
      <c r="AC2203" s="82" t="s">
        <v>7750</v>
      </c>
      <c r="AD2203" s="77" t="s">
        <v>7788</v>
      </c>
      <c r="AE2203" s="80" t="str">
        <f>HYPERLINK("https://twitter.com/einvestidor/status/1696583497954234469")</f>
        <v>https://twitter.com/einvestidor/status/1696583497954234469</v>
      </c>
      <c r="AF2203" s="79">
        <v>45167.750011574077</v>
      </c>
      <c r="AG2203" s="85">
        <v>45167</v>
      </c>
      <c r="AH2203" s="82" t="s">
        <v>9625</v>
      </c>
      <c r="AI2203" s="77" t="b">
        <v>0</v>
      </c>
      <c r="AJ2203" s="77"/>
      <c r="AK2203" s="77"/>
      <c r="AL2203" s="77"/>
      <c r="AM2203" s="77"/>
      <c r="AN2203" s="77"/>
      <c r="AO2203" s="77"/>
      <c r="AP2203" s="77"/>
      <c r="AQ2203" s="77"/>
      <c r="AR2203" s="77"/>
      <c r="AS2203" s="77"/>
      <c r="AT2203" s="77"/>
      <c r="AU2203" s="77"/>
      <c r="AV2203" s="80" t="str">
        <f>HYPERLINK("https://pbs.twimg.com/profile_images/1241147984924082183/gZgx_hL-_normal.jpg")</f>
        <v>https://pbs.twimg.com/profile_images/1241147984924082183/gZgx_hL-_normal.jpg</v>
      </c>
      <c r="AW2203" s="82" t="s">
        <v>13799</v>
      </c>
      <c r="AX2203" s="82" t="s">
        <v>13799</v>
      </c>
      <c r="AY2203" s="77"/>
      <c r="AZ2203" s="82" t="s">
        <v>15984</v>
      </c>
      <c r="BA2203" s="82" t="s">
        <v>15984</v>
      </c>
      <c r="BB2203" s="82" t="s">
        <v>15984</v>
      </c>
      <c r="BC2203" s="82" t="s">
        <v>13799</v>
      </c>
      <c r="BD2203" s="82" t="s">
        <v>15979</v>
      </c>
      <c r="BE2203" s="77"/>
      <c r="BF2203" s="77"/>
      <c r="BG2203" s="77"/>
      <c r="BH2203" s="77"/>
      <c r="BI2203" s="77"/>
    </row>
    <row r="2204" spans="1:61" x14ac:dyDescent="0.25">
      <c r="A2204" s="62" t="s">
        <v>387</v>
      </c>
      <c r="B2204" s="62" t="s">
        <v>387</v>
      </c>
      <c r="C2204" s="63"/>
      <c r="D2204" s="64"/>
      <c r="E2204" s="65"/>
      <c r="F2204" s="66"/>
      <c r="G2204" s="63"/>
      <c r="H2204" s="67"/>
      <c r="I2204" s="68"/>
      <c r="J2204" s="68"/>
      <c r="K2204" s="32"/>
      <c r="L2204" s="75">
        <v>2204</v>
      </c>
      <c r="M2204" s="75"/>
      <c r="N2204" s="70"/>
      <c r="O2204" s="77" t="s">
        <v>179</v>
      </c>
      <c r="P2204" s="79">
        <v>45163.989583333336</v>
      </c>
      <c r="Q2204" s="77" t="s">
        <v>2876</v>
      </c>
      <c r="R2204" s="77">
        <v>0</v>
      </c>
      <c r="S2204" s="77">
        <v>3</v>
      </c>
      <c r="T2204" s="77">
        <v>1</v>
      </c>
      <c r="U2204" s="77">
        <v>0</v>
      </c>
      <c r="V2204" s="77">
        <v>858</v>
      </c>
      <c r="W2204" s="82" t="s">
        <v>4833</v>
      </c>
      <c r="X2204" s="80" t="str">
        <f>HYPERLINK("https://einvestidor.estadao.com.br/ultimas/bolsas-nova-york-fecham-alta-powell-cautela-decisoes-fed/?utm_source=twitter&amp;utm_medium=organic&amp;utm_campaign=&amp;utm_content=materia")</f>
        <v>https://einvestidor.estadao.com.br/ultimas/bolsas-nova-york-fecham-alta-powell-cautela-decisoes-fed/?utm_source=twitter&amp;utm_medium=organic&amp;utm_campaign=&amp;utm_content=materia</v>
      </c>
      <c r="Y2204" s="77" t="s">
        <v>6470</v>
      </c>
      <c r="Z2204" s="77"/>
      <c r="AA2204" s="77"/>
      <c r="AB2204" s="77"/>
      <c r="AC2204" s="82" t="s">
        <v>7750</v>
      </c>
      <c r="AD2204" s="77" t="s">
        <v>7788</v>
      </c>
      <c r="AE2204" s="80" t="str">
        <f>HYPERLINK("https://twitter.com/einvestidor/status/1695220762884370565")</f>
        <v>https://twitter.com/einvestidor/status/1695220762884370565</v>
      </c>
      <c r="AF2204" s="79">
        <v>45163.989583333336</v>
      </c>
      <c r="AG2204" s="85">
        <v>45163</v>
      </c>
      <c r="AH2204" s="82" t="s">
        <v>9620</v>
      </c>
      <c r="AI2204" s="77" t="b">
        <v>0</v>
      </c>
      <c r="AJ2204" s="77"/>
      <c r="AK2204" s="77"/>
      <c r="AL2204" s="77"/>
      <c r="AM2204" s="77"/>
      <c r="AN2204" s="77"/>
      <c r="AO2204" s="77"/>
      <c r="AP2204" s="77"/>
      <c r="AQ2204" s="77"/>
      <c r="AR2204" s="77"/>
      <c r="AS2204" s="77"/>
      <c r="AT2204" s="77"/>
      <c r="AU2204" s="77"/>
      <c r="AV2204" s="80" t="str">
        <f>HYPERLINK("https://pbs.twimg.com/profile_images/1241147984924082183/gZgx_hL-_normal.jpg")</f>
        <v>https://pbs.twimg.com/profile_images/1241147984924082183/gZgx_hL-_normal.jpg</v>
      </c>
      <c r="AW2204" s="82" t="s">
        <v>13800</v>
      </c>
      <c r="AX2204" s="82" t="s">
        <v>13800</v>
      </c>
      <c r="AY2204" s="77"/>
      <c r="AZ2204" s="82" t="s">
        <v>15984</v>
      </c>
      <c r="BA2204" s="82" t="s">
        <v>15984</v>
      </c>
      <c r="BB2204" s="82" t="s">
        <v>15984</v>
      </c>
      <c r="BC2204" s="82" t="s">
        <v>13800</v>
      </c>
      <c r="BD2204" s="82" t="s">
        <v>15979</v>
      </c>
      <c r="BE2204" s="77"/>
      <c r="BF2204" s="77"/>
      <c r="BG2204" s="77"/>
      <c r="BH2204" s="77"/>
      <c r="BI2204" s="77"/>
    </row>
    <row r="2205" spans="1:61" x14ac:dyDescent="0.25">
      <c r="A2205" s="62" t="s">
        <v>387</v>
      </c>
      <c r="B2205" s="62" t="s">
        <v>387</v>
      </c>
      <c r="C2205" s="63"/>
      <c r="D2205" s="64"/>
      <c r="E2205" s="65"/>
      <c r="F2205" s="66"/>
      <c r="G2205" s="63"/>
      <c r="H2205" s="67"/>
      <c r="I2205" s="68"/>
      <c r="J2205" s="68"/>
      <c r="K2205" s="32"/>
      <c r="L2205" s="75">
        <v>2205</v>
      </c>
      <c r="M2205" s="75"/>
      <c r="N2205" s="70"/>
      <c r="O2205" s="77" t="s">
        <v>179</v>
      </c>
      <c r="P2205" s="79">
        <v>45163.979166666664</v>
      </c>
      <c r="Q2205" s="77" t="s">
        <v>2877</v>
      </c>
      <c r="R2205" s="77">
        <v>0</v>
      </c>
      <c r="S2205" s="77">
        <v>1</v>
      </c>
      <c r="T2205" s="77">
        <v>2</v>
      </c>
      <c r="U2205" s="77">
        <v>0</v>
      </c>
      <c r="V2205" s="77">
        <v>701</v>
      </c>
      <c r="W2205" s="82" t="s">
        <v>4833</v>
      </c>
      <c r="X2205" s="80" t="str">
        <f>HYPERLINK("https://einvestidor.estadao.com.br/ultimas/moedas-globais-dolar-avanca-ante-rivais-mas-perde-forca/?utm_source=twitter&amp;utm_medium=organic&amp;utm_campaign=&amp;utm_content=materia")</f>
        <v>https://einvestidor.estadao.com.br/ultimas/moedas-globais-dolar-avanca-ante-rivais-mas-perde-forca/?utm_source=twitter&amp;utm_medium=organic&amp;utm_campaign=&amp;utm_content=materia</v>
      </c>
      <c r="Y2205" s="77" t="s">
        <v>6470</v>
      </c>
      <c r="Z2205" s="77"/>
      <c r="AA2205" s="77"/>
      <c r="AB2205" s="77"/>
      <c r="AC2205" s="82" t="s">
        <v>7750</v>
      </c>
      <c r="AD2205" s="77" t="s">
        <v>7788</v>
      </c>
      <c r="AE2205" s="80" t="str">
        <f>HYPERLINK("https://twitter.com/einvestidor/status/1695216988547645486")</f>
        <v>https://twitter.com/einvestidor/status/1695216988547645486</v>
      </c>
      <c r="AF2205" s="79">
        <v>45163.979166666664</v>
      </c>
      <c r="AG2205" s="85">
        <v>45163</v>
      </c>
      <c r="AH2205" s="82" t="s">
        <v>7928</v>
      </c>
      <c r="AI2205" s="77" t="b">
        <v>0</v>
      </c>
      <c r="AJ2205" s="77"/>
      <c r="AK2205" s="77"/>
      <c r="AL2205" s="77"/>
      <c r="AM2205" s="77"/>
      <c r="AN2205" s="77"/>
      <c r="AO2205" s="77"/>
      <c r="AP2205" s="77"/>
      <c r="AQ2205" s="77"/>
      <c r="AR2205" s="77"/>
      <c r="AS2205" s="77"/>
      <c r="AT2205" s="77"/>
      <c r="AU2205" s="77"/>
      <c r="AV2205" s="80" t="str">
        <f>HYPERLINK("https://pbs.twimg.com/profile_images/1241147984924082183/gZgx_hL-_normal.jpg")</f>
        <v>https://pbs.twimg.com/profile_images/1241147984924082183/gZgx_hL-_normal.jpg</v>
      </c>
      <c r="AW2205" s="82" t="s">
        <v>13801</v>
      </c>
      <c r="AX2205" s="82" t="s">
        <v>13801</v>
      </c>
      <c r="AY2205" s="77"/>
      <c r="AZ2205" s="82" t="s">
        <v>15984</v>
      </c>
      <c r="BA2205" s="82" t="s">
        <v>15984</v>
      </c>
      <c r="BB2205" s="82" t="s">
        <v>15984</v>
      </c>
      <c r="BC2205" s="82" t="s">
        <v>13801</v>
      </c>
      <c r="BD2205" s="82" t="s">
        <v>15979</v>
      </c>
      <c r="BE2205" s="77"/>
      <c r="BF2205" s="77"/>
      <c r="BG2205" s="77"/>
      <c r="BH2205" s="77"/>
      <c r="BI2205" s="77"/>
    </row>
    <row r="2206" spans="1:61" x14ac:dyDescent="0.25">
      <c r="A2206" s="62" t="s">
        <v>387</v>
      </c>
      <c r="B2206" s="62" t="s">
        <v>387</v>
      </c>
      <c r="C2206" s="63"/>
      <c r="D2206" s="64"/>
      <c r="E2206" s="65"/>
      <c r="F2206" s="66"/>
      <c r="G2206" s="63"/>
      <c r="H2206" s="67"/>
      <c r="I2206" s="68"/>
      <c r="J2206" s="68"/>
      <c r="K2206" s="32"/>
      <c r="L2206" s="75">
        <v>2206</v>
      </c>
      <c r="M2206" s="75"/>
      <c r="N2206" s="70"/>
      <c r="O2206" s="77" t="s">
        <v>179</v>
      </c>
      <c r="P2206" s="79">
        <v>45163.96875</v>
      </c>
      <c r="Q2206" s="77" t="s">
        <v>2878</v>
      </c>
      <c r="R2206" s="77">
        <v>0</v>
      </c>
      <c r="S2206" s="77">
        <v>0</v>
      </c>
      <c r="T2206" s="77">
        <v>0</v>
      </c>
      <c r="U2206" s="77">
        <v>0</v>
      </c>
      <c r="V2206" s="77">
        <v>725</v>
      </c>
      <c r="W2206" s="82" t="s">
        <v>4833</v>
      </c>
      <c r="X2206" s="80" t="str">
        <f>HYPERLINK("https://einvestidor.estadao.com.br/ultimas/juros-sobem-ipca-15-agosto/?utm_source=twitter&amp;utm_medium=organic&amp;utm_campaign=&amp;utm_content=materia")</f>
        <v>https://einvestidor.estadao.com.br/ultimas/juros-sobem-ipca-15-agosto/?utm_source=twitter&amp;utm_medium=organic&amp;utm_campaign=&amp;utm_content=materia</v>
      </c>
      <c r="Y2206" s="77" t="s">
        <v>6470</v>
      </c>
      <c r="Z2206" s="77"/>
      <c r="AA2206" s="77"/>
      <c r="AB2206" s="77"/>
      <c r="AC2206" s="82" t="s">
        <v>7750</v>
      </c>
      <c r="AD2206" s="77" t="s">
        <v>7788</v>
      </c>
      <c r="AE2206" s="80" t="str">
        <f>HYPERLINK("https://twitter.com/einvestidor/status/1695213213229420843")</f>
        <v>https://twitter.com/einvestidor/status/1695213213229420843</v>
      </c>
      <c r="AF2206" s="79">
        <v>45163.96875</v>
      </c>
      <c r="AG2206" s="85">
        <v>45163</v>
      </c>
      <c r="AH2206" s="82" t="s">
        <v>9621</v>
      </c>
      <c r="AI2206" s="77" t="b">
        <v>0</v>
      </c>
      <c r="AJ2206" s="77"/>
      <c r="AK2206" s="77"/>
      <c r="AL2206" s="77"/>
      <c r="AM2206" s="77"/>
      <c r="AN2206" s="77"/>
      <c r="AO2206" s="77"/>
      <c r="AP2206" s="77"/>
      <c r="AQ2206" s="77"/>
      <c r="AR2206" s="77"/>
      <c r="AS2206" s="77"/>
      <c r="AT2206" s="77"/>
      <c r="AU2206" s="77"/>
      <c r="AV2206" s="80" t="str">
        <f>HYPERLINK("https://pbs.twimg.com/profile_images/1241147984924082183/gZgx_hL-_normal.jpg")</f>
        <v>https://pbs.twimg.com/profile_images/1241147984924082183/gZgx_hL-_normal.jpg</v>
      </c>
      <c r="AW2206" s="82" t="s">
        <v>13802</v>
      </c>
      <c r="AX2206" s="82" t="s">
        <v>13802</v>
      </c>
      <c r="AY2206" s="77"/>
      <c r="AZ2206" s="82" t="s">
        <v>15984</v>
      </c>
      <c r="BA2206" s="82" t="s">
        <v>15984</v>
      </c>
      <c r="BB2206" s="82" t="s">
        <v>15984</v>
      </c>
      <c r="BC2206" s="82" t="s">
        <v>13802</v>
      </c>
      <c r="BD2206" s="82" t="s">
        <v>15979</v>
      </c>
      <c r="BE2206" s="77"/>
      <c r="BF2206" s="77"/>
      <c r="BG2206" s="77"/>
      <c r="BH2206" s="77"/>
      <c r="BI2206" s="77"/>
    </row>
    <row r="2207" spans="1:61" x14ac:dyDescent="0.25">
      <c r="A2207" s="62" t="s">
        <v>387</v>
      </c>
      <c r="B2207" s="62" t="s">
        <v>387</v>
      </c>
      <c r="C2207" s="63"/>
      <c r="D2207" s="64"/>
      <c r="E2207" s="65"/>
      <c r="F2207" s="66"/>
      <c r="G2207" s="63"/>
      <c r="H2207" s="67"/>
      <c r="I2207" s="68"/>
      <c r="J2207" s="68"/>
      <c r="K2207" s="32"/>
      <c r="L2207" s="75">
        <v>2207</v>
      </c>
      <c r="M2207" s="75"/>
      <c r="N2207" s="70"/>
      <c r="O2207" s="77" t="s">
        <v>179</v>
      </c>
      <c r="P2207" s="79">
        <v>45163.958344907405</v>
      </c>
      <c r="Q2207" s="77" t="s">
        <v>2879</v>
      </c>
      <c r="R2207" s="77">
        <v>1</v>
      </c>
      <c r="S2207" s="77">
        <v>1</v>
      </c>
      <c r="T2207" s="77">
        <v>0</v>
      </c>
      <c r="U2207" s="77">
        <v>0</v>
      </c>
      <c r="V2207" s="77">
        <v>664</v>
      </c>
      <c r="W2207" s="82" t="s">
        <v>4833</v>
      </c>
      <c r="X2207" s="80" t="str">
        <f>HYPERLINK("https://einvestidor.estadao.com.br/ultimas/aneel-mantem-bandeira-verde-setembro-como-ficam-contas-de-luz/?utm_source=twitter&amp;utm_medium=organic&amp;utm_campaign=&amp;utm_content=materia")</f>
        <v>https://einvestidor.estadao.com.br/ultimas/aneel-mantem-bandeira-verde-setembro-como-ficam-contas-de-luz/?utm_source=twitter&amp;utm_medium=organic&amp;utm_campaign=&amp;utm_content=materia</v>
      </c>
      <c r="Y2207" s="77" t="s">
        <v>6470</v>
      </c>
      <c r="Z2207" s="77"/>
      <c r="AA2207" s="77"/>
      <c r="AB2207" s="77"/>
      <c r="AC2207" s="82" t="s">
        <v>7750</v>
      </c>
      <c r="AD2207" s="77" t="s">
        <v>7788</v>
      </c>
      <c r="AE2207" s="80" t="str">
        <f>HYPERLINK("https://twitter.com/einvestidor/status/1695209444802711985")</f>
        <v>https://twitter.com/einvestidor/status/1695209444802711985</v>
      </c>
      <c r="AF2207" s="79">
        <v>45163.958344907405</v>
      </c>
      <c r="AG2207" s="85">
        <v>45163</v>
      </c>
      <c r="AH2207" s="82" t="s">
        <v>9241</v>
      </c>
      <c r="AI2207" s="77" t="b">
        <v>0</v>
      </c>
      <c r="AJ2207" s="77"/>
      <c r="AK2207" s="77"/>
      <c r="AL2207" s="77"/>
      <c r="AM2207" s="77"/>
      <c r="AN2207" s="77"/>
      <c r="AO2207" s="77"/>
      <c r="AP2207" s="77"/>
      <c r="AQ2207" s="77"/>
      <c r="AR2207" s="77"/>
      <c r="AS2207" s="77"/>
      <c r="AT2207" s="77"/>
      <c r="AU2207" s="77"/>
      <c r="AV2207" s="80" t="str">
        <f>HYPERLINK("https://pbs.twimg.com/profile_images/1241147984924082183/gZgx_hL-_normal.jpg")</f>
        <v>https://pbs.twimg.com/profile_images/1241147984924082183/gZgx_hL-_normal.jpg</v>
      </c>
      <c r="AW2207" s="82" t="s">
        <v>13803</v>
      </c>
      <c r="AX2207" s="82" t="s">
        <v>13803</v>
      </c>
      <c r="AY2207" s="77"/>
      <c r="AZ2207" s="82" t="s">
        <v>15984</v>
      </c>
      <c r="BA2207" s="82" t="s">
        <v>15984</v>
      </c>
      <c r="BB2207" s="82" t="s">
        <v>15984</v>
      </c>
      <c r="BC2207" s="82" t="s">
        <v>13803</v>
      </c>
      <c r="BD2207" s="82" t="s">
        <v>15979</v>
      </c>
      <c r="BE2207" s="77"/>
      <c r="BF2207" s="77"/>
      <c r="BG2207" s="77"/>
      <c r="BH2207" s="77"/>
      <c r="BI2207" s="77"/>
    </row>
    <row r="2208" spans="1:61" x14ac:dyDescent="0.25">
      <c r="A2208" s="62" t="s">
        <v>387</v>
      </c>
      <c r="B2208" s="62" t="s">
        <v>387</v>
      </c>
      <c r="C2208" s="63"/>
      <c r="D2208" s="64"/>
      <c r="E2208" s="65"/>
      <c r="F2208" s="66"/>
      <c r="G2208" s="63"/>
      <c r="H2208" s="67"/>
      <c r="I2208" s="68"/>
      <c r="J2208" s="68"/>
      <c r="K2208" s="32"/>
      <c r="L2208" s="75">
        <v>2208</v>
      </c>
      <c r="M2208" s="75"/>
      <c r="N2208" s="70"/>
      <c r="O2208" s="77" t="s">
        <v>179</v>
      </c>
      <c r="P2208" s="79">
        <v>45161.03125</v>
      </c>
      <c r="Q2208" s="77" t="s">
        <v>2880</v>
      </c>
      <c r="R2208" s="77">
        <v>0</v>
      </c>
      <c r="S2208" s="77">
        <v>0</v>
      </c>
      <c r="T2208" s="77">
        <v>0</v>
      </c>
      <c r="U2208" s="77">
        <v>0</v>
      </c>
      <c r="V2208" s="77">
        <v>888</v>
      </c>
      <c r="W2208" s="82" t="s">
        <v>5934</v>
      </c>
      <c r="X2208" s="80" t="str">
        <f>HYPERLINK("https://mla.bs/f53caab5")</f>
        <v>https://mla.bs/f53caab5</v>
      </c>
      <c r="Y2208" s="77" t="s">
        <v>6506</v>
      </c>
      <c r="Z2208" s="77"/>
      <c r="AA2208" s="77"/>
      <c r="AB2208" s="77"/>
      <c r="AC2208" s="82" t="s">
        <v>7750</v>
      </c>
      <c r="AD2208" s="77" t="s">
        <v>7788</v>
      </c>
      <c r="AE2208" s="80" t="str">
        <f>HYPERLINK("https://twitter.com/einvestidor/status/1694148698706784445")</f>
        <v>https://twitter.com/einvestidor/status/1694148698706784445</v>
      </c>
      <c r="AF2208" s="79">
        <v>45161.03125</v>
      </c>
      <c r="AG2208" s="85">
        <v>45161</v>
      </c>
      <c r="AH2208" s="82" t="s">
        <v>9602</v>
      </c>
      <c r="AI2208" s="77" t="b">
        <v>0</v>
      </c>
      <c r="AJ2208" s="77"/>
      <c r="AK2208" s="77"/>
      <c r="AL2208" s="77"/>
      <c r="AM2208" s="77"/>
      <c r="AN2208" s="77"/>
      <c r="AO2208" s="77"/>
      <c r="AP2208" s="77"/>
      <c r="AQ2208" s="77"/>
      <c r="AR2208" s="77"/>
      <c r="AS2208" s="77"/>
      <c r="AT2208" s="77"/>
      <c r="AU2208" s="77"/>
      <c r="AV2208" s="80" t="str">
        <f>HYPERLINK("https://pbs.twimg.com/profile_images/1241147984924082183/gZgx_hL-_normal.jpg")</f>
        <v>https://pbs.twimg.com/profile_images/1241147984924082183/gZgx_hL-_normal.jpg</v>
      </c>
      <c r="AW2208" s="82" t="s">
        <v>13804</v>
      </c>
      <c r="AX2208" s="82" t="s">
        <v>13804</v>
      </c>
      <c r="AY2208" s="77"/>
      <c r="AZ2208" s="82" t="s">
        <v>15984</v>
      </c>
      <c r="BA2208" s="82" t="s">
        <v>15984</v>
      </c>
      <c r="BB2208" s="82" t="s">
        <v>15984</v>
      </c>
      <c r="BC2208" s="82" t="s">
        <v>13804</v>
      </c>
      <c r="BD2208" s="82" t="s">
        <v>15979</v>
      </c>
      <c r="BE2208" s="77"/>
      <c r="BF2208" s="77"/>
      <c r="BG2208" s="77"/>
      <c r="BH2208" s="77"/>
      <c r="BI2208" s="77"/>
    </row>
    <row r="2209" spans="1:61" x14ac:dyDescent="0.25">
      <c r="A2209" s="62" t="s">
        <v>387</v>
      </c>
      <c r="B2209" s="62" t="s">
        <v>387</v>
      </c>
      <c r="C2209" s="63"/>
      <c r="D2209" s="64"/>
      <c r="E2209" s="65"/>
      <c r="F2209" s="66"/>
      <c r="G2209" s="63"/>
      <c r="H2209" s="67"/>
      <c r="I2209" s="68"/>
      <c r="J2209" s="68"/>
      <c r="K2209" s="32"/>
      <c r="L2209" s="75">
        <v>2209</v>
      </c>
      <c r="M2209" s="75"/>
      <c r="N2209" s="70"/>
      <c r="O2209" s="77" t="s">
        <v>179</v>
      </c>
      <c r="P2209" s="79">
        <v>45161.020833333336</v>
      </c>
      <c r="Q2209" s="77" t="s">
        <v>2881</v>
      </c>
      <c r="R2209" s="77">
        <v>0</v>
      </c>
      <c r="S2209" s="77">
        <v>1</v>
      </c>
      <c r="T2209" s="77">
        <v>0</v>
      </c>
      <c r="U2209" s="77">
        <v>0</v>
      </c>
      <c r="V2209" s="77">
        <v>634</v>
      </c>
      <c r="W2209" s="82" t="s">
        <v>4833</v>
      </c>
      <c r="X2209" s="80" t="str">
        <f>HYPERLINK("https://mla.bs/2b90a9f2")</f>
        <v>https://mla.bs/2b90a9f2</v>
      </c>
      <c r="Y2209" s="77" t="s">
        <v>6506</v>
      </c>
      <c r="Z2209" s="77"/>
      <c r="AA2209" s="77"/>
      <c r="AB2209" s="77"/>
      <c r="AC2209" s="82" t="s">
        <v>7750</v>
      </c>
      <c r="AD2209" s="77" t="s">
        <v>7788</v>
      </c>
      <c r="AE2209" s="80" t="str">
        <f>HYPERLINK("https://twitter.com/einvestidor/status/1694144925917663735")</f>
        <v>https://twitter.com/einvestidor/status/1694144925917663735</v>
      </c>
      <c r="AF2209" s="79">
        <v>45161.020833333336</v>
      </c>
      <c r="AG2209" s="85">
        <v>45161</v>
      </c>
      <c r="AH2209" s="82" t="s">
        <v>8088</v>
      </c>
      <c r="AI2209" s="77" t="b">
        <v>0</v>
      </c>
      <c r="AJ2209" s="77"/>
      <c r="AK2209" s="77"/>
      <c r="AL2209" s="77"/>
      <c r="AM2209" s="77"/>
      <c r="AN2209" s="77"/>
      <c r="AO2209" s="77"/>
      <c r="AP2209" s="77"/>
      <c r="AQ2209" s="77"/>
      <c r="AR2209" s="77"/>
      <c r="AS2209" s="77"/>
      <c r="AT2209" s="77"/>
      <c r="AU2209" s="77"/>
      <c r="AV2209" s="80" t="str">
        <f>HYPERLINK("https://pbs.twimg.com/profile_images/1241147984924082183/gZgx_hL-_normal.jpg")</f>
        <v>https://pbs.twimg.com/profile_images/1241147984924082183/gZgx_hL-_normal.jpg</v>
      </c>
      <c r="AW2209" s="82" t="s">
        <v>13805</v>
      </c>
      <c r="AX2209" s="82" t="s">
        <v>13805</v>
      </c>
      <c r="AY2209" s="77"/>
      <c r="AZ2209" s="82" t="s">
        <v>15984</v>
      </c>
      <c r="BA2209" s="82" t="s">
        <v>15984</v>
      </c>
      <c r="BB2209" s="82" t="s">
        <v>15984</v>
      </c>
      <c r="BC2209" s="82" t="s">
        <v>13805</v>
      </c>
      <c r="BD2209" s="82" t="s">
        <v>15979</v>
      </c>
      <c r="BE2209" s="77"/>
      <c r="BF2209" s="77"/>
      <c r="BG2209" s="77"/>
      <c r="BH2209" s="77"/>
      <c r="BI2209" s="77"/>
    </row>
    <row r="2210" spans="1:61" x14ac:dyDescent="0.25">
      <c r="A2210" s="62" t="s">
        <v>387</v>
      </c>
      <c r="B2210" s="62" t="s">
        <v>387</v>
      </c>
      <c r="C2210" s="63"/>
      <c r="D2210" s="64"/>
      <c r="E2210" s="65"/>
      <c r="F2210" s="66"/>
      <c r="G2210" s="63"/>
      <c r="H2210" s="67"/>
      <c r="I2210" s="68"/>
      <c r="J2210" s="68"/>
      <c r="K2210" s="32"/>
      <c r="L2210" s="75">
        <v>2210</v>
      </c>
      <c r="M2210" s="75"/>
      <c r="N2210" s="70"/>
      <c r="O2210" s="77" t="s">
        <v>179</v>
      </c>
      <c r="P2210" s="79">
        <v>45161.010416666664</v>
      </c>
      <c r="Q2210" s="77" t="s">
        <v>2882</v>
      </c>
      <c r="R2210" s="77">
        <v>0</v>
      </c>
      <c r="S2210" s="77">
        <v>0</v>
      </c>
      <c r="T2210" s="77">
        <v>0</v>
      </c>
      <c r="U2210" s="77">
        <v>0</v>
      </c>
      <c r="V2210" s="77">
        <v>659</v>
      </c>
      <c r="W2210" s="82" t="s">
        <v>4833</v>
      </c>
      <c r="X2210" s="80" t="str">
        <f>HYPERLINK("https://mla.bs/f80a2439")</f>
        <v>https://mla.bs/f80a2439</v>
      </c>
      <c r="Y2210" s="77" t="s">
        <v>6506</v>
      </c>
      <c r="Z2210" s="77"/>
      <c r="AA2210" s="77"/>
      <c r="AB2210" s="77"/>
      <c r="AC2210" s="82" t="s">
        <v>7750</v>
      </c>
      <c r="AD2210" s="77" t="s">
        <v>7788</v>
      </c>
      <c r="AE2210" s="80" t="str">
        <f>HYPERLINK("https://twitter.com/einvestidor/status/1694141148988854336")</f>
        <v>https://twitter.com/einvestidor/status/1694141148988854336</v>
      </c>
      <c r="AF2210" s="79">
        <v>45161.010416666664</v>
      </c>
      <c r="AG2210" s="85">
        <v>45161</v>
      </c>
      <c r="AH2210" s="82" t="s">
        <v>8119</v>
      </c>
      <c r="AI2210" s="77" t="b">
        <v>0</v>
      </c>
      <c r="AJ2210" s="77"/>
      <c r="AK2210" s="77"/>
      <c r="AL2210" s="77"/>
      <c r="AM2210" s="77"/>
      <c r="AN2210" s="77"/>
      <c r="AO2210" s="77"/>
      <c r="AP2210" s="77"/>
      <c r="AQ2210" s="77"/>
      <c r="AR2210" s="77"/>
      <c r="AS2210" s="77"/>
      <c r="AT2210" s="77"/>
      <c r="AU2210" s="77"/>
      <c r="AV2210" s="80" t="str">
        <f>HYPERLINK("https://pbs.twimg.com/profile_images/1241147984924082183/gZgx_hL-_normal.jpg")</f>
        <v>https://pbs.twimg.com/profile_images/1241147984924082183/gZgx_hL-_normal.jpg</v>
      </c>
      <c r="AW2210" s="82" t="s">
        <v>13806</v>
      </c>
      <c r="AX2210" s="82" t="s">
        <v>13806</v>
      </c>
      <c r="AY2210" s="77"/>
      <c r="AZ2210" s="82" t="s">
        <v>15984</v>
      </c>
      <c r="BA2210" s="82" t="s">
        <v>15984</v>
      </c>
      <c r="BB2210" s="82" t="s">
        <v>15984</v>
      </c>
      <c r="BC2210" s="82" t="s">
        <v>13806</v>
      </c>
      <c r="BD2210" s="82" t="s">
        <v>15979</v>
      </c>
      <c r="BE2210" s="77"/>
      <c r="BF2210" s="77"/>
      <c r="BG2210" s="77"/>
      <c r="BH2210" s="77"/>
      <c r="BI2210" s="77"/>
    </row>
    <row r="2211" spans="1:61" x14ac:dyDescent="0.25">
      <c r="A2211" s="62" t="s">
        <v>387</v>
      </c>
      <c r="B2211" s="62" t="s">
        <v>387</v>
      </c>
      <c r="C2211" s="63"/>
      <c r="D2211" s="64"/>
      <c r="E2211" s="65"/>
      <c r="F2211" s="66"/>
      <c r="G2211" s="63"/>
      <c r="H2211" s="67"/>
      <c r="I2211" s="68"/>
      <c r="J2211" s="68"/>
      <c r="K2211" s="32"/>
      <c r="L2211" s="75">
        <v>2211</v>
      </c>
      <c r="M2211" s="75"/>
      <c r="N2211" s="70"/>
      <c r="O2211" s="77" t="s">
        <v>179</v>
      </c>
      <c r="P2211" s="79">
        <v>45155.864583333336</v>
      </c>
      <c r="Q2211" s="77" t="s">
        <v>2883</v>
      </c>
      <c r="R2211" s="77">
        <v>0</v>
      </c>
      <c r="S2211" s="77">
        <v>0</v>
      </c>
      <c r="T2211" s="77">
        <v>0</v>
      </c>
      <c r="U2211" s="77">
        <v>0</v>
      </c>
      <c r="V2211" s="77">
        <v>514</v>
      </c>
      <c r="W2211" s="82" t="s">
        <v>5908</v>
      </c>
      <c r="X2211" s="80" t="str">
        <f>HYPERLINK("https://mla.bs/5cedbb93")</f>
        <v>https://mla.bs/5cedbb93</v>
      </c>
      <c r="Y2211" s="77" t="s">
        <v>6506</v>
      </c>
      <c r="Z2211" s="77"/>
      <c r="AA2211" s="77"/>
      <c r="AB2211" s="77"/>
      <c r="AC2211" s="82" t="s">
        <v>7750</v>
      </c>
      <c r="AD2211" s="77" t="s">
        <v>7788</v>
      </c>
      <c r="AE2211" s="80" t="str">
        <f>HYPERLINK("https://twitter.com/einvestidor/status/1692276361656680845")</f>
        <v>https://twitter.com/einvestidor/status/1692276361656680845</v>
      </c>
      <c r="AF2211" s="79">
        <v>45155.864583333336</v>
      </c>
      <c r="AG2211" s="85">
        <v>45155</v>
      </c>
      <c r="AH2211" s="82" t="s">
        <v>9596</v>
      </c>
      <c r="AI2211" s="77" t="b">
        <v>0</v>
      </c>
      <c r="AJ2211" s="77"/>
      <c r="AK2211" s="77"/>
      <c r="AL2211" s="77"/>
      <c r="AM2211" s="77"/>
      <c r="AN2211" s="77"/>
      <c r="AO2211" s="77"/>
      <c r="AP2211" s="77"/>
      <c r="AQ2211" s="77"/>
      <c r="AR2211" s="77"/>
      <c r="AS2211" s="77"/>
      <c r="AT2211" s="77"/>
      <c r="AU2211" s="77"/>
      <c r="AV2211" s="80" t="str">
        <f>HYPERLINK("https://pbs.twimg.com/profile_images/1241147984924082183/gZgx_hL-_normal.jpg")</f>
        <v>https://pbs.twimg.com/profile_images/1241147984924082183/gZgx_hL-_normal.jpg</v>
      </c>
      <c r="AW2211" s="82" t="s">
        <v>13807</v>
      </c>
      <c r="AX2211" s="82" t="s">
        <v>13807</v>
      </c>
      <c r="AY2211" s="77"/>
      <c r="AZ2211" s="82" t="s">
        <v>15984</v>
      </c>
      <c r="BA2211" s="82" t="s">
        <v>15984</v>
      </c>
      <c r="BB2211" s="82" t="s">
        <v>15984</v>
      </c>
      <c r="BC2211" s="82" t="s">
        <v>13807</v>
      </c>
      <c r="BD2211" s="82" t="s">
        <v>15979</v>
      </c>
      <c r="BE2211" s="77"/>
      <c r="BF2211" s="77"/>
      <c r="BG2211" s="77"/>
      <c r="BH2211" s="77"/>
      <c r="BI2211" s="77"/>
    </row>
    <row r="2212" spans="1:61" x14ac:dyDescent="0.25">
      <c r="A2212" s="62" t="s">
        <v>387</v>
      </c>
      <c r="B2212" s="62" t="s">
        <v>387</v>
      </c>
      <c r="C2212" s="63"/>
      <c r="D2212" s="64"/>
      <c r="E2212" s="65"/>
      <c r="F2212" s="66"/>
      <c r="G2212" s="63"/>
      <c r="H2212" s="67"/>
      <c r="I2212" s="68"/>
      <c r="J2212" s="68"/>
      <c r="K2212" s="32"/>
      <c r="L2212" s="75">
        <v>2212</v>
      </c>
      <c r="M2212" s="75"/>
      <c r="N2212" s="70"/>
      <c r="O2212" s="77" t="s">
        <v>179</v>
      </c>
      <c r="P2212" s="79">
        <v>45147.88008101852</v>
      </c>
      <c r="Q2212" s="77" t="s">
        <v>2884</v>
      </c>
      <c r="R2212" s="77">
        <v>0</v>
      </c>
      <c r="S2212" s="77">
        <v>0</v>
      </c>
      <c r="T2212" s="77">
        <v>0</v>
      </c>
      <c r="U2212" s="77">
        <v>0</v>
      </c>
      <c r="V2212" s="77">
        <v>574</v>
      </c>
      <c r="W2212" s="82" t="s">
        <v>5935</v>
      </c>
      <c r="X2212" s="80" t="str">
        <f>HYPERLINK("https://mla.bs/ecaacd99")</f>
        <v>https://mla.bs/ecaacd99</v>
      </c>
      <c r="Y2212" s="77" t="s">
        <v>6506</v>
      </c>
      <c r="Z2212" s="77"/>
      <c r="AA2212" s="77"/>
      <c r="AB2212" s="77"/>
      <c r="AC2212" s="82" t="s">
        <v>7754</v>
      </c>
      <c r="AD2212" s="77" t="s">
        <v>7788</v>
      </c>
      <c r="AE2212" s="80" t="str">
        <f>HYPERLINK("https://twitter.com/einvestidor/status/1689382877668982785")</f>
        <v>https://twitter.com/einvestidor/status/1689382877668982785</v>
      </c>
      <c r="AF2212" s="79">
        <v>45147.88008101852</v>
      </c>
      <c r="AG2212" s="85">
        <v>45147</v>
      </c>
      <c r="AH2212" s="82" t="s">
        <v>9635</v>
      </c>
      <c r="AI2212" s="77" t="b">
        <v>0</v>
      </c>
      <c r="AJ2212" s="77"/>
      <c r="AK2212" s="77"/>
      <c r="AL2212" s="77"/>
      <c r="AM2212" s="77"/>
      <c r="AN2212" s="77"/>
      <c r="AO2212" s="77"/>
      <c r="AP2212" s="77"/>
      <c r="AQ2212" s="77"/>
      <c r="AR2212" s="77"/>
      <c r="AS2212" s="77"/>
      <c r="AT2212" s="77"/>
      <c r="AU2212" s="77"/>
      <c r="AV2212" s="80" t="str">
        <f>HYPERLINK("https://pbs.twimg.com/profile_images/1241147984924082183/gZgx_hL-_normal.jpg")</f>
        <v>https://pbs.twimg.com/profile_images/1241147984924082183/gZgx_hL-_normal.jpg</v>
      </c>
      <c r="AW2212" s="82" t="s">
        <v>13808</v>
      </c>
      <c r="AX2212" s="82" t="s">
        <v>13808</v>
      </c>
      <c r="AY2212" s="77"/>
      <c r="AZ2212" s="82" t="s">
        <v>15984</v>
      </c>
      <c r="BA2212" s="82" t="s">
        <v>15984</v>
      </c>
      <c r="BB2212" s="82" t="s">
        <v>15984</v>
      </c>
      <c r="BC2212" s="82" t="s">
        <v>13808</v>
      </c>
      <c r="BD2212" s="82" t="s">
        <v>15979</v>
      </c>
      <c r="BE2212" s="77"/>
      <c r="BF2212" s="77"/>
      <c r="BG2212" s="77"/>
      <c r="BH2212" s="77"/>
      <c r="BI2212" s="77"/>
    </row>
    <row r="2213" spans="1:61" x14ac:dyDescent="0.25">
      <c r="A2213" s="62" t="s">
        <v>387</v>
      </c>
      <c r="B2213" s="62" t="s">
        <v>387</v>
      </c>
      <c r="C2213" s="63"/>
      <c r="D2213" s="64"/>
      <c r="E2213" s="65"/>
      <c r="F2213" s="66"/>
      <c r="G2213" s="63"/>
      <c r="H2213" s="67"/>
      <c r="I2213" s="68"/>
      <c r="J2213" s="68"/>
      <c r="K2213" s="32"/>
      <c r="L2213" s="75">
        <v>2213</v>
      </c>
      <c r="M2213" s="75"/>
      <c r="N2213" s="70"/>
      <c r="O2213" s="77" t="s">
        <v>179</v>
      </c>
      <c r="P2213" s="79">
        <v>45147.878113425926</v>
      </c>
      <c r="Q2213" s="77" t="s">
        <v>2885</v>
      </c>
      <c r="R2213" s="77">
        <v>0</v>
      </c>
      <c r="S2213" s="77">
        <v>0</v>
      </c>
      <c r="T2213" s="77">
        <v>0</v>
      </c>
      <c r="U2213" s="77">
        <v>0</v>
      </c>
      <c r="V2213" s="77">
        <v>575</v>
      </c>
      <c r="W2213" s="82" t="s">
        <v>5936</v>
      </c>
      <c r="X2213" s="80" t="str">
        <f>HYPERLINK("https://mla.bs/02371c7a")</f>
        <v>https://mla.bs/02371c7a</v>
      </c>
      <c r="Y2213" s="77" t="s">
        <v>6506</v>
      </c>
      <c r="Z2213" s="77"/>
      <c r="AA2213" s="77"/>
      <c r="AB2213" s="77"/>
      <c r="AC2213" s="82" t="s">
        <v>7754</v>
      </c>
      <c r="AD2213" s="77" t="s">
        <v>7788</v>
      </c>
      <c r="AE2213" s="80" t="str">
        <f>HYPERLINK("https://twitter.com/einvestidor/status/1689382162481504256")</f>
        <v>https://twitter.com/einvestidor/status/1689382162481504256</v>
      </c>
      <c r="AF2213" s="79">
        <v>45147.878113425926</v>
      </c>
      <c r="AG2213" s="85">
        <v>45147</v>
      </c>
      <c r="AH2213" s="82" t="s">
        <v>9636</v>
      </c>
      <c r="AI2213" s="77" t="b">
        <v>0</v>
      </c>
      <c r="AJ2213" s="77"/>
      <c r="AK2213" s="77"/>
      <c r="AL2213" s="77"/>
      <c r="AM2213" s="77"/>
      <c r="AN2213" s="77"/>
      <c r="AO2213" s="77"/>
      <c r="AP2213" s="77"/>
      <c r="AQ2213" s="77"/>
      <c r="AR2213" s="77"/>
      <c r="AS2213" s="77"/>
      <c r="AT2213" s="77"/>
      <c r="AU2213" s="77"/>
      <c r="AV2213" s="80" t="str">
        <f>HYPERLINK("https://pbs.twimg.com/profile_images/1241147984924082183/gZgx_hL-_normal.jpg")</f>
        <v>https://pbs.twimg.com/profile_images/1241147984924082183/gZgx_hL-_normal.jpg</v>
      </c>
      <c r="AW2213" s="82" t="s">
        <v>13809</v>
      </c>
      <c r="AX2213" s="82" t="s">
        <v>13809</v>
      </c>
      <c r="AY2213" s="77"/>
      <c r="AZ2213" s="82" t="s">
        <v>15984</v>
      </c>
      <c r="BA2213" s="82" t="s">
        <v>15984</v>
      </c>
      <c r="BB2213" s="82" t="s">
        <v>15984</v>
      </c>
      <c r="BC2213" s="82" t="s">
        <v>13809</v>
      </c>
      <c r="BD2213" s="82" t="s">
        <v>15979</v>
      </c>
      <c r="BE2213" s="77"/>
      <c r="BF2213" s="77"/>
      <c r="BG2213" s="77"/>
      <c r="BH2213" s="77"/>
      <c r="BI2213" s="77"/>
    </row>
    <row r="2214" spans="1:61" x14ac:dyDescent="0.25">
      <c r="A2214" s="62" t="s">
        <v>387</v>
      </c>
      <c r="B2214" s="62" t="s">
        <v>387</v>
      </c>
      <c r="C2214" s="63"/>
      <c r="D2214" s="64"/>
      <c r="E2214" s="65"/>
      <c r="F2214" s="66"/>
      <c r="G2214" s="63"/>
      <c r="H2214" s="67"/>
      <c r="I2214" s="68"/>
      <c r="J2214" s="68"/>
      <c r="K2214" s="32"/>
      <c r="L2214" s="75">
        <v>2214</v>
      </c>
      <c r="M2214" s="75"/>
      <c r="N2214" s="70"/>
      <c r="O2214" s="77" t="s">
        <v>179</v>
      </c>
      <c r="P2214" s="79">
        <v>45147.875011574077</v>
      </c>
      <c r="Q2214" s="77" t="s">
        <v>2886</v>
      </c>
      <c r="R2214" s="77">
        <v>0</v>
      </c>
      <c r="S2214" s="77">
        <v>0</v>
      </c>
      <c r="T2214" s="77">
        <v>0</v>
      </c>
      <c r="U2214" s="77">
        <v>0</v>
      </c>
      <c r="V2214" s="77">
        <v>394</v>
      </c>
      <c r="W2214" s="82" t="s">
        <v>4833</v>
      </c>
      <c r="X2214" s="80" t="str">
        <f>HYPERLINK("https://mla.bs/8bac3415")</f>
        <v>https://mla.bs/8bac3415</v>
      </c>
      <c r="Y2214" s="77" t="s">
        <v>6506</v>
      </c>
      <c r="Z2214" s="77"/>
      <c r="AA2214" s="77"/>
      <c r="AB2214" s="77"/>
      <c r="AC2214" s="82" t="s">
        <v>7754</v>
      </c>
      <c r="AD2214" s="77" t="s">
        <v>7788</v>
      </c>
      <c r="AE2214" s="80" t="str">
        <f>HYPERLINK("https://twitter.com/einvestidor/status/1689381039809167365")</f>
        <v>https://twitter.com/einvestidor/status/1689381039809167365</v>
      </c>
      <c r="AF2214" s="79">
        <v>45147.875011574077</v>
      </c>
      <c r="AG2214" s="85">
        <v>45147</v>
      </c>
      <c r="AH2214" s="82" t="s">
        <v>7871</v>
      </c>
      <c r="AI2214" s="77" t="b">
        <v>0</v>
      </c>
      <c r="AJ2214" s="77"/>
      <c r="AK2214" s="77"/>
      <c r="AL2214" s="77"/>
      <c r="AM2214" s="77"/>
      <c r="AN2214" s="77"/>
      <c r="AO2214" s="77"/>
      <c r="AP2214" s="77"/>
      <c r="AQ2214" s="77"/>
      <c r="AR2214" s="77"/>
      <c r="AS2214" s="77"/>
      <c r="AT2214" s="77"/>
      <c r="AU2214" s="77"/>
      <c r="AV2214" s="80" t="str">
        <f>HYPERLINK("https://pbs.twimg.com/profile_images/1241147984924082183/gZgx_hL-_normal.jpg")</f>
        <v>https://pbs.twimg.com/profile_images/1241147984924082183/gZgx_hL-_normal.jpg</v>
      </c>
      <c r="AW2214" s="82" t="s">
        <v>13810</v>
      </c>
      <c r="AX2214" s="82" t="s">
        <v>13810</v>
      </c>
      <c r="AY2214" s="77"/>
      <c r="AZ2214" s="82" t="s">
        <v>15984</v>
      </c>
      <c r="BA2214" s="82" t="s">
        <v>15984</v>
      </c>
      <c r="BB2214" s="82" t="s">
        <v>15984</v>
      </c>
      <c r="BC2214" s="82" t="s">
        <v>13810</v>
      </c>
      <c r="BD2214" s="82" t="s">
        <v>15979</v>
      </c>
      <c r="BE2214" s="77"/>
      <c r="BF2214" s="77"/>
      <c r="BG2214" s="77"/>
      <c r="BH2214" s="77"/>
      <c r="BI2214" s="77"/>
    </row>
    <row r="2215" spans="1:61" x14ac:dyDescent="0.25">
      <c r="A2215" s="62" t="s">
        <v>387</v>
      </c>
      <c r="B2215" s="62" t="s">
        <v>387</v>
      </c>
      <c r="C2215" s="63"/>
      <c r="D2215" s="64"/>
      <c r="E2215" s="65"/>
      <c r="F2215" s="66"/>
      <c r="G2215" s="63"/>
      <c r="H2215" s="67"/>
      <c r="I2215" s="68"/>
      <c r="J2215" s="68"/>
      <c r="K2215" s="32"/>
      <c r="L2215" s="75">
        <v>2215</v>
      </c>
      <c r="M2215" s="75"/>
      <c r="N2215" s="70"/>
      <c r="O2215" s="77" t="s">
        <v>179</v>
      </c>
      <c r="P2215" s="79">
        <v>45147.864583333336</v>
      </c>
      <c r="Q2215" s="77" t="s">
        <v>2887</v>
      </c>
      <c r="R2215" s="77">
        <v>0</v>
      </c>
      <c r="S2215" s="77">
        <v>2</v>
      </c>
      <c r="T2215" s="77">
        <v>0</v>
      </c>
      <c r="U2215" s="77">
        <v>0</v>
      </c>
      <c r="V2215" s="77">
        <v>439</v>
      </c>
      <c r="W2215" s="82" t="s">
        <v>4833</v>
      </c>
      <c r="X2215" s="80" t="str">
        <f>HYPERLINK("https://mla.bs/8049dc0c")</f>
        <v>https://mla.bs/8049dc0c</v>
      </c>
      <c r="Y2215" s="77" t="s">
        <v>6506</v>
      </c>
      <c r="Z2215" s="77"/>
      <c r="AA2215" s="77"/>
      <c r="AB2215" s="77"/>
      <c r="AC2215" s="82" t="s">
        <v>7754</v>
      </c>
      <c r="AD2215" s="77" t="s">
        <v>7788</v>
      </c>
      <c r="AE2215" s="80" t="str">
        <f>HYPERLINK("https://twitter.com/einvestidor/status/1689377258925129730")</f>
        <v>https://twitter.com/einvestidor/status/1689377258925129730</v>
      </c>
      <c r="AF2215" s="79">
        <v>45147.864583333336</v>
      </c>
      <c r="AG2215" s="85">
        <v>45147</v>
      </c>
      <c r="AH2215" s="82" t="s">
        <v>9596</v>
      </c>
      <c r="AI2215" s="77" t="b">
        <v>0</v>
      </c>
      <c r="AJ2215" s="77"/>
      <c r="AK2215" s="77"/>
      <c r="AL2215" s="77"/>
      <c r="AM2215" s="77"/>
      <c r="AN2215" s="77"/>
      <c r="AO2215" s="77"/>
      <c r="AP2215" s="77"/>
      <c r="AQ2215" s="77"/>
      <c r="AR2215" s="77"/>
      <c r="AS2215" s="77"/>
      <c r="AT2215" s="77"/>
      <c r="AU2215" s="77"/>
      <c r="AV2215" s="80" t="str">
        <f>HYPERLINK("https://pbs.twimg.com/profile_images/1241147984924082183/gZgx_hL-_normal.jpg")</f>
        <v>https://pbs.twimg.com/profile_images/1241147984924082183/gZgx_hL-_normal.jpg</v>
      </c>
      <c r="AW2215" s="82" t="s">
        <v>13811</v>
      </c>
      <c r="AX2215" s="82" t="s">
        <v>13811</v>
      </c>
      <c r="AY2215" s="77"/>
      <c r="AZ2215" s="82" t="s">
        <v>15984</v>
      </c>
      <c r="BA2215" s="82" t="s">
        <v>15984</v>
      </c>
      <c r="BB2215" s="82" t="s">
        <v>15984</v>
      </c>
      <c r="BC2215" s="82" t="s">
        <v>13811</v>
      </c>
      <c r="BD2215" s="82" t="s">
        <v>15979</v>
      </c>
      <c r="BE2215" s="77"/>
      <c r="BF2215" s="77"/>
      <c r="BG2215" s="77"/>
      <c r="BH2215" s="77"/>
      <c r="BI2215" s="77"/>
    </row>
    <row r="2216" spans="1:61" x14ac:dyDescent="0.25">
      <c r="A2216" s="62" t="s">
        <v>387</v>
      </c>
      <c r="B2216" s="62" t="s">
        <v>387</v>
      </c>
      <c r="C2216" s="63"/>
      <c r="D2216" s="64"/>
      <c r="E2216" s="65"/>
      <c r="F2216" s="66"/>
      <c r="G2216" s="63"/>
      <c r="H2216" s="67"/>
      <c r="I2216" s="68"/>
      <c r="J2216" s="68"/>
      <c r="K2216" s="32"/>
      <c r="L2216" s="75">
        <v>2216</v>
      </c>
      <c r="M2216" s="75"/>
      <c r="N2216" s="70"/>
      <c r="O2216" s="77" t="s">
        <v>179</v>
      </c>
      <c r="P2216" s="79">
        <v>45147.854166666664</v>
      </c>
      <c r="Q2216" s="77" t="s">
        <v>2888</v>
      </c>
      <c r="R2216" s="77">
        <v>0</v>
      </c>
      <c r="S2216" s="77">
        <v>0</v>
      </c>
      <c r="T2216" s="77">
        <v>0</v>
      </c>
      <c r="U2216" s="77">
        <v>0</v>
      </c>
      <c r="V2216" s="77">
        <v>444</v>
      </c>
      <c r="W2216" s="82" t="s">
        <v>4833</v>
      </c>
      <c r="X2216" s="80" t="str">
        <f>HYPERLINK("https://mla.bs/3b3325d9")</f>
        <v>https://mla.bs/3b3325d9</v>
      </c>
      <c r="Y2216" s="77" t="s">
        <v>6506</v>
      </c>
      <c r="Z2216" s="77"/>
      <c r="AA2216" s="77"/>
      <c r="AB2216" s="77"/>
      <c r="AC2216" s="82" t="s">
        <v>7754</v>
      </c>
      <c r="AD2216" s="77" t="s">
        <v>7788</v>
      </c>
      <c r="AE2216" s="80" t="str">
        <f>HYPERLINK("https://twitter.com/einvestidor/status/1689373484563005440")</f>
        <v>https://twitter.com/einvestidor/status/1689373484563005440</v>
      </c>
      <c r="AF2216" s="79">
        <v>45147.854166666664</v>
      </c>
      <c r="AG2216" s="85">
        <v>45147</v>
      </c>
      <c r="AH2216" s="82" t="s">
        <v>8090</v>
      </c>
      <c r="AI2216" s="77" t="b">
        <v>0</v>
      </c>
      <c r="AJ2216" s="77"/>
      <c r="AK2216" s="77"/>
      <c r="AL2216" s="77"/>
      <c r="AM2216" s="77"/>
      <c r="AN2216" s="77"/>
      <c r="AO2216" s="77"/>
      <c r="AP2216" s="77"/>
      <c r="AQ2216" s="77"/>
      <c r="AR2216" s="77"/>
      <c r="AS2216" s="77"/>
      <c r="AT2216" s="77"/>
      <c r="AU2216" s="77"/>
      <c r="AV2216" s="80" t="str">
        <f>HYPERLINK("https://pbs.twimg.com/profile_images/1241147984924082183/gZgx_hL-_normal.jpg")</f>
        <v>https://pbs.twimg.com/profile_images/1241147984924082183/gZgx_hL-_normal.jpg</v>
      </c>
      <c r="AW2216" s="82" t="s">
        <v>13812</v>
      </c>
      <c r="AX2216" s="82" t="s">
        <v>13812</v>
      </c>
      <c r="AY2216" s="77"/>
      <c r="AZ2216" s="82" t="s">
        <v>15984</v>
      </c>
      <c r="BA2216" s="82" t="s">
        <v>15984</v>
      </c>
      <c r="BB2216" s="82" t="s">
        <v>15984</v>
      </c>
      <c r="BC2216" s="82" t="s">
        <v>13812</v>
      </c>
      <c r="BD2216" s="82" t="s">
        <v>15979</v>
      </c>
      <c r="BE2216" s="77"/>
      <c r="BF2216" s="77"/>
      <c r="BG2216" s="77"/>
      <c r="BH2216" s="77"/>
      <c r="BI2216" s="77"/>
    </row>
    <row r="2217" spans="1:61" x14ac:dyDescent="0.25">
      <c r="A2217" s="62" t="s">
        <v>387</v>
      </c>
      <c r="B2217" s="62" t="s">
        <v>387</v>
      </c>
      <c r="C2217" s="63"/>
      <c r="D2217" s="64"/>
      <c r="E2217" s="65"/>
      <c r="F2217" s="66"/>
      <c r="G2217" s="63"/>
      <c r="H2217" s="67"/>
      <c r="I2217" s="68"/>
      <c r="J2217" s="68"/>
      <c r="K2217" s="32"/>
      <c r="L2217" s="75">
        <v>2217</v>
      </c>
      <c r="M2217" s="75"/>
      <c r="N2217" s="70"/>
      <c r="O2217" s="77" t="s">
        <v>179</v>
      </c>
      <c r="P2217" s="79">
        <v>45147.84375</v>
      </c>
      <c r="Q2217" s="77" t="s">
        <v>2889</v>
      </c>
      <c r="R2217" s="77">
        <v>0</v>
      </c>
      <c r="S2217" s="77">
        <v>2</v>
      </c>
      <c r="T2217" s="77">
        <v>1</v>
      </c>
      <c r="U2217" s="77">
        <v>0</v>
      </c>
      <c r="V2217" s="77">
        <v>1054</v>
      </c>
      <c r="W2217" s="82" t="s">
        <v>5937</v>
      </c>
      <c r="X2217" s="80" t="str">
        <f>HYPERLINK("https://mla.bs/91ed335f")</f>
        <v>https://mla.bs/91ed335f</v>
      </c>
      <c r="Y2217" s="77" t="s">
        <v>6506</v>
      </c>
      <c r="Z2217" s="77"/>
      <c r="AA2217" s="77"/>
      <c r="AB2217" s="77"/>
      <c r="AC2217" s="82" t="s">
        <v>7754</v>
      </c>
      <c r="AD2217" s="77" t="s">
        <v>7788</v>
      </c>
      <c r="AE2217" s="80" t="str">
        <f>HYPERLINK("https://twitter.com/einvestidor/status/1689369708926259200")</f>
        <v>https://twitter.com/einvestidor/status/1689369708926259200</v>
      </c>
      <c r="AF2217" s="79">
        <v>45147.84375</v>
      </c>
      <c r="AG2217" s="85">
        <v>45147</v>
      </c>
      <c r="AH2217" s="82" t="s">
        <v>9296</v>
      </c>
      <c r="AI2217" s="77" t="b">
        <v>0</v>
      </c>
      <c r="AJ2217" s="77"/>
      <c r="AK2217" s="77"/>
      <c r="AL2217" s="77"/>
      <c r="AM2217" s="77"/>
      <c r="AN2217" s="77"/>
      <c r="AO2217" s="77"/>
      <c r="AP2217" s="77"/>
      <c r="AQ2217" s="77"/>
      <c r="AR2217" s="77"/>
      <c r="AS2217" s="77"/>
      <c r="AT2217" s="77"/>
      <c r="AU2217" s="77"/>
      <c r="AV2217" s="80" t="str">
        <f>HYPERLINK("https://pbs.twimg.com/profile_images/1241147984924082183/gZgx_hL-_normal.jpg")</f>
        <v>https://pbs.twimg.com/profile_images/1241147984924082183/gZgx_hL-_normal.jpg</v>
      </c>
      <c r="AW2217" s="82" t="s">
        <v>13813</v>
      </c>
      <c r="AX2217" s="82" t="s">
        <v>13813</v>
      </c>
      <c r="AY2217" s="77"/>
      <c r="AZ2217" s="82" t="s">
        <v>15984</v>
      </c>
      <c r="BA2217" s="82" t="s">
        <v>15984</v>
      </c>
      <c r="BB2217" s="82" t="s">
        <v>15984</v>
      </c>
      <c r="BC2217" s="82" t="s">
        <v>13813</v>
      </c>
      <c r="BD2217" s="82" t="s">
        <v>15979</v>
      </c>
      <c r="BE2217" s="77"/>
      <c r="BF2217" s="77"/>
      <c r="BG2217" s="77"/>
      <c r="BH2217" s="77"/>
      <c r="BI2217" s="77"/>
    </row>
    <row r="2218" spans="1:61" x14ac:dyDescent="0.25">
      <c r="A2218" s="62" t="s">
        <v>387</v>
      </c>
      <c r="B2218" s="62" t="s">
        <v>387</v>
      </c>
      <c r="C2218" s="63"/>
      <c r="D2218" s="64"/>
      <c r="E2218" s="65"/>
      <c r="F2218" s="66"/>
      <c r="G2218" s="63"/>
      <c r="H2218" s="67"/>
      <c r="I2218" s="68"/>
      <c r="J2218" s="68"/>
      <c r="K2218" s="32"/>
      <c r="L2218" s="75">
        <v>2218</v>
      </c>
      <c r="M2218" s="75"/>
      <c r="N2218" s="70"/>
      <c r="O2218" s="77" t="s">
        <v>179</v>
      </c>
      <c r="P2218" s="79">
        <v>45147.833344907405</v>
      </c>
      <c r="Q2218" s="77" t="s">
        <v>2890</v>
      </c>
      <c r="R2218" s="77">
        <v>1</v>
      </c>
      <c r="S2218" s="77">
        <v>1</v>
      </c>
      <c r="T2218" s="77">
        <v>0</v>
      </c>
      <c r="U2218" s="77">
        <v>0</v>
      </c>
      <c r="V2218" s="77">
        <v>367</v>
      </c>
      <c r="W2218" s="82" t="s">
        <v>4833</v>
      </c>
      <c r="X2218" s="80" t="str">
        <f>HYPERLINK("https://mla.bs/771a17aa")</f>
        <v>https://mla.bs/771a17aa</v>
      </c>
      <c r="Y2218" s="77" t="s">
        <v>6506</v>
      </c>
      <c r="Z2218" s="77"/>
      <c r="AA2218" s="77"/>
      <c r="AB2218" s="77"/>
      <c r="AC2218" s="82" t="s">
        <v>7754</v>
      </c>
      <c r="AD2218" s="77" t="s">
        <v>7788</v>
      </c>
      <c r="AE2218" s="80" t="str">
        <f>HYPERLINK("https://twitter.com/einvestidor/status/1689365938385420288")</f>
        <v>https://twitter.com/einvestidor/status/1689365938385420288</v>
      </c>
      <c r="AF2218" s="79">
        <v>45147.833344907405</v>
      </c>
      <c r="AG2218" s="85">
        <v>45147</v>
      </c>
      <c r="AH2218" s="82" t="s">
        <v>8284</v>
      </c>
      <c r="AI2218" s="77" t="b">
        <v>0</v>
      </c>
      <c r="AJ2218" s="77"/>
      <c r="AK2218" s="77"/>
      <c r="AL2218" s="77"/>
      <c r="AM2218" s="77"/>
      <c r="AN2218" s="77"/>
      <c r="AO2218" s="77"/>
      <c r="AP2218" s="77"/>
      <c r="AQ2218" s="77"/>
      <c r="AR2218" s="77"/>
      <c r="AS2218" s="77"/>
      <c r="AT2218" s="77"/>
      <c r="AU2218" s="77"/>
      <c r="AV2218" s="80" t="str">
        <f>HYPERLINK("https://pbs.twimg.com/profile_images/1241147984924082183/gZgx_hL-_normal.jpg")</f>
        <v>https://pbs.twimg.com/profile_images/1241147984924082183/gZgx_hL-_normal.jpg</v>
      </c>
      <c r="AW2218" s="82" t="s">
        <v>13814</v>
      </c>
      <c r="AX2218" s="82" t="s">
        <v>13814</v>
      </c>
      <c r="AY2218" s="77"/>
      <c r="AZ2218" s="82" t="s">
        <v>15984</v>
      </c>
      <c r="BA2218" s="82" t="s">
        <v>15984</v>
      </c>
      <c r="BB2218" s="82" t="s">
        <v>15984</v>
      </c>
      <c r="BC2218" s="82" t="s">
        <v>13814</v>
      </c>
      <c r="BD2218" s="82" t="s">
        <v>15979</v>
      </c>
      <c r="BE2218" s="77"/>
      <c r="BF2218" s="77"/>
      <c r="BG2218" s="77"/>
      <c r="BH2218" s="77"/>
      <c r="BI2218" s="77"/>
    </row>
    <row r="2219" spans="1:61" x14ac:dyDescent="0.25">
      <c r="A2219" s="62" t="s">
        <v>387</v>
      </c>
      <c r="B2219" s="62" t="s">
        <v>387</v>
      </c>
      <c r="C2219" s="63"/>
      <c r="D2219" s="64"/>
      <c r="E2219" s="65"/>
      <c r="F2219" s="66"/>
      <c r="G2219" s="63"/>
      <c r="H2219" s="67"/>
      <c r="I2219" s="68"/>
      <c r="J2219" s="68"/>
      <c r="K2219" s="32"/>
      <c r="L2219" s="75">
        <v>2219</v>
      </c>
      <c r="M2219" s="75"/>
      <c r="N2219" s="70"/>
      <c r="O2219" s="77" t="s">
        <v>179</v>
      </c>
      <c r="P2219" s="79">
        <v>45144.500023148146</v>
      </c>
      <c r="Q2219" s="77" t="s">
        <v>2891</v>
      </c>
      <c r="R2219" s="77">
        <v>1</v>
      </c>
      <c r="S2219" s="77">
        <v>5</v>
      </c>
      <c r="T2219" s="77">
        <v>0</v>
      </c>
      <c r="U2219" s="77">
        <v>0</v>
      </c>
      <c r="V2219" s="77">
        <v>913</v>
      </c>
      <c r="W2219" s="82" t="s">
        <v>5189</v>
      </c>
      <c r="X2219" s="80" t="str">
        <f>HYPERLINK("https://mla.bs/7ce3e2d5")</f>
        <v>https://mla.bs/7ce3e2d5</v>
      </c>
      <c r="Y2219" s="77" t="s">
        <v>6506</v>
      </c>
      <c r="Z2219" s="77"/>
      <c r="AA2219" s="77"/>
      <c r="AB2219" s="77"/>
      <c r="AC2219" s="82" t="s">
        <v>7754</v>
      </c>
      <c r="AD2219" s="77" t="s">
        <v>7788</v>
      </c>
      <c r="AE2219" s="80" t="str">
        <f>HYPERLINK("https://twitter.com/einvestidor/status/1688157984235360257")</f>
        <v>https://twitter.com/einvestidor/status/1688157984235360257</v>
      </c>
      <c r="AF2219" s="79">
        <v>45144.500023148146</v>
      </c>
      <c r="AG2219" s="85">
        <v>45144</v>
      </c>
      <c r="AH2219" s="82" t="s">
        <v>8525</v>
      </c>
      <c r="AI2219" s="77" t="b">
        <v>0</v>
      </c>
      <c r="AJ2219" s="77"/>
      <c r="AK2219" s="77"/>
      <c r="AL2219" s="77"/>
      <c r="AM2219" s="77"/>
      <c r="AN2219" s="77"/>
      <c r="AO2219" s="77"/>
      <c r="AP2219" s="77"/>
      <c r="AQ2219" s="77"/>
      <c r="AR2219" s="77"/>
      <c r="AS2219" s="77"/>
      <c r="AT2219" s="77"/>
      <c r="AU2219" s="77"/>
      <c r="AV2219" s="80" t="str">
        <f>HYPERLINK("https://pbs.twimg.com/profile_images/1241147984924082183/gZgx_hL-_normal.jpg")</f>
        <v>https://pbs.twimg.com/profile_images/1241147984924082183/gZgx_hL-_normal.jpg</v>
      </c>
      <c r="AW2219" s="82" t="s">
        <v>13815</v>
      </c>
      <c r="AX2219" s="82" t="s">
        <v>13815</v>
      </c>
      <c r="AY2219" s="77"/>
      <c r="AZ2219" s="82" t="s">
        <v>15984</v>
      </c>
      <c r="BA2219" s="82" t="s">
        <v>15984</v>
      </c>
      <c r="BB2219" s="82" t="s">
        <v>15984</v>
      </c>
      <c r="BC2219" s="82" t="s">
        <v>13815</v>
      </c>
      <c r="BD2219" s="82" t="s">
        <v>15979</v>
      </c>
      <c r="BE2219" s="77"/>
      <c r="BF2219" s="77"/>
      <c r="BG2219" s="77"/>
      <c r="BH2219" s="77"/>
      <c r="BI2219" s="77"/>
    </row>
    <row r="2220" spans="1:61" x14ac:dyDescent="0.25">
      <c r="A2220" s="62" t="s">
        <v>387</v>
      </c>
      <c r="B2220" s="62" t="s">
        <v>387</v>
      </c>
      <c r="C2220" s="63"/>
      <c r="D2220" s="64"/>
      <c r="E2220" s="65"/>
      <c r="F2220" s="66"/>
      <c r="G2220" s="63"/>
      <c r="H2220" s="67"/>
      <c r="I2220" s="68"/>
      <c r="J2220" s="68"/>
      <c r="K2220" s="32"/>
      <c r="L2220" s="75">
        <v>2220</v>
      </c>
      <c r="M2220" s="75"/>
      <c r="N2220" s="70"/>
      <c r="O2220" s="77" t="s">
        <v>179</v>
      </c>
      <c r="P2220" s="79">
        <v>45144.083344907405</v>
      </c>
      <c r="Q2220" s="77" t="s">
        <v>2892</v>
      </c>
      <c r="R2220" s="77">
        <v>0</v>
      </c>
      <c r="S2220" s="77">
        <v>0</v>
      </c>
      <c r="T2220" s="77">
        <v>0</v>
      </c>
      <c r="U2220" s="77">
        <v>0</v>
      </c>
      <c r="V2220" s="77">
        <v>912</v>
      </c>
      <c r="W2220" s="82" t="s">
        <v>4833</v>
      </c>
      <c r="X2220" s="80" t="str">
        <f>HYPERLINK("https://einvestidor.estadao.com.br/colunas/erich-decat/reforma-tributaria-renda-dividendos-congresso/?utm_source=twitter&amp;utm_medium=organic&amp;utm_campaign=&amp;utm_content=materia")</f>
        <v>https://einvestidor.estadao.com.br/colunas/erich-decat/reforma-tributaria-renda-dividendos-congresso/?utm_source=twitter&amp;utm_medium=organic&amp;utm_campaign=&amp;utm_content=materia</v>
      </c>
      <c r="Y2220" s="77" t="s">
        <v>6470</v>
      </c>
      <c r="Z2220" s="77"/>
      <c r="AA2220" s="77"/>
      <c r="AB2220" s="77"/>
      <c r="AC2220" s="82" t="s">
        <v>7754</v>
      </c>
      <c r="AD2220" s="77" t="s">
        <v>7788</v>
      </c>
      <c r="AE2220" s="80" t="str">
        <f>HYPERLINK("https://twitter.com/einvestidor/status/1688006983973232640")</f>
        <v>https://twitter.com/einvestidor/status/1688006983973232640</v>
      </c>
      <c r="AF2220" s="79">
        <v>45144.083344907405</v>
      </c>
      <c r="AG2220" s="85">
        <v>45144</v>
      </c>
      <c r="AH2220" s="82" t="s">
        <v>9637</v>
      </c>
      <c r="AI2220" s="77" t="b">
        <v>0</v>
      </c>
      <c r="AJ2220" s="77"/>
      <c r="AK2220" s="77"/>
      <c r="AL2220" s="77"/>
      <c r="AM2220" s="77"/>
      <c r="AN2220" s="77"/>
      <c r="AO2220" s="77"/>
      <c r="AP2220" s="77"/>
      <c r="AQ2220" s="77"/>
      <c r="AR2220" s="77"/>
      <c r="AS2220" s="77"/>
      <c r="AT2220" s="77"/>
      <c r="AU2220" s="77"/>
      <c r="AV2220" s="80" t="str">
        <f>HYPERLINK("https://pbs.twimg.com/profile_images/1241147984924082183/gZgx_hL-_normal.jpg")</f>
        <v>https://pbs.twimg.com/profile_images/1241147984924082183/gZgx_hL-_normal.jpg</v>
      </c>
      <c r="AW2220" s="82" t="s">
        <v>13816</v>
      </c>
      <c r="AX2220" s="82" t="s">
        <v>13816</v>
      </c>
      <c r="AY2220" s="77"/>
      <c r="AZ2220" s="82" t="s">
        <v>15984</v>
      </c>
      <c r="BA2220" s="82" t="s">
        <v>15984</v>
      </c>
      <c r="BB2220" s="82" t="s">
        <v>15984</v>
      </c>
      <c r="BC2220" s="82" t="s">
        <v>13816</v>
      </c>
      <c r="BD2220" s="82" t="s">
        <v>15979</v>
      </c>
      <c r="BE2220" s="77"/>
      <c r="BF2220" s="77"/>
      <c r="BG2220" s="77"/>
      <c r="BH2220" s="77"/>
      <c r="BI2220" s="77"/>
    </row>
    <row r="2221" spans="1:61" x14ac:dyDescent="0.25">
      <c r="A2221" s="62" t="s">
        <v>387</v>
      </c>
      <c r="B2221" s="62" t="s">
        <v>387</v>
      </c>
      <c r="C2221" s="63"/>
      <c r="D2221" s="64"/>
      <c r="E2221" s="65"/>
      <c r="F2221" s="66"/>
      <c r="G2221" s="63"/>
      <c r="H2221" s="67"/>
      <c r="I2221" s="68"/>
      <c r="J2221" s="68"/>
      <c r="K2221" s="32"/>
      <c r="L2221" s="75">
        <v>2221</v>
      </c>
      <c r="M2221" s="75"/>
      <c r="N2221" s="70"/>
      <c r="O2221" s="77" t="s">
        <v>179</v>
      </c>
      <c r="P2221" s="79">
        <v>45144.041666666664</v>
      </c>
      <c r="Q2221" s="77" t="s">
        <v>2893</v>
      </c>
      <c r="R2221" s="77">
        <v>0</v>
      </c>
      <c r="S2221" s="77">
        <v>0</v>
      </c>
      <c r="T2221" s="77">
        <v>1</v>
      </c>
      <c r="U2221" s="77">
        <v>0</v>
      </c>
      <c r="V2221" s="77">
        <v>1075</v>
      </c>
      <c r="W2221" s="82" t="s">
        <v>4833</v>
      </c>
      <c r="X2221" s="80" t="str">
        <f>HYPERLINK("https://einvestidor.estadao.com.br/radar-einvestidor/apos-acertar-previsao-bitcoin-analista-preve-aumento-criptomoeda/?utm_source=twitter&amp;utm_medium=organic&amp;utm_campaign=&amp;utm_content=materia")</f>
        <v>https://einvestidor.estadao.com.br/radar-einvestidor/apos-acertar-previsao-bitcoin-analista-preve-aumento-criptomoeda/?utm_source=twitter&amp;utm_medium=organic&amp;utm_campaign=&amp;utm_content=materia</v>
      </c>
      <c r="Y2221" s="77" t="s">
        <v>6470</v>
      </c>
      <c r="Z2221" s="77"/>
      <c r="AA2221" s="77"/>
      <c r="AB2221" s="77"/>
      <c r="AC2221" s="82" t="s">
        <v>7754</v>
      </c>
      <c r="AD2221" s="77" t="s">
        <v>7788</v>
      </c>
      <c r="AE2221" s="80" t="str">
        <f>HYPERLINK("https://twitter.com/einvestidor/status/1687991881878343680")</f>
        <v>https://twitter.com/einvestidor/status/1687991881878343680</v>
      </c>
      <c r="AF2221" s="79">
        <v>45144.041666666664</v>
      </c>
      <c r="AG2221" s="85">
        <v>45144</v>
      </c>
      <c r="AH2221" s="82" t="s">
        <v>8283</v>
      </c>
      <c r="AI2221" s="77" t="b">
        <v>0</v>
      </c>
      <c r="AJ2221" s="77"/>
      <c r="AK2221" s="77"/>
      <c r="AL2221" s="77"/>
      <c r="AM2221" s="77"/>
      <c r="AN2221" s="77"/>
      <c r="AO2221" s="77"/>
      <c r="AP2221" s="77"/>
      <c r="AQ2221" s="77"/>
      <c r="AR2221" s="77"/>
      <c r="AS2221" s="77"/>
      <c r="AT2221" s="77"/>
      <c r="AU2221" s="77"/>
      <c r="AV2221" s="80" t="str">
        <f>HYPERLINK("https://pbs.twimg.com/profile_images/1241147984924082183/gZgx_hL-_normal.jpg")</f>
        <v>https://pbs.twimg.com/profile_images/1241147984924082183/gZgx_hL-_normal.jpg</v>
      </c>
      <c r="AW2221" s="82" t="s">
        <v>13817</v>
      </c>
      <c r="AX2221" s="82" t="s">
        <v>13817</v>
      </c>
      <c r="AY2221" s="77"/>
      <c r="AZ2221" s="82" t="s">
        <v>15984</v>
      </c>
      <c r="BA2221" s="82" t="s">
        <v>15984</v>
      </c>
      <c r="BB2221" s="82" t="s">
        <v>15984</v>
      </c>
      <c r="BC2221" s="82" t="s">
        <v>13817</v>
      </c>
      <c r="BD2221" s="82" t="s">
        <v>15979</v>
      </c>
      <c r="BE2221" s="77"/>
      <c r="BF2221" s="77"/>
      <c r="BG2221" s="77"/>
      <c r="BH2221" s="77"/>
      <c r="BI2221" s="77"/>
    </row>
    <row r="2222" spans="1:61" x14ac:dyDescent="0.25">
      <c r="A2222" s="62" t="s">
        <v>387</v>
      </c>
      <c r="B2222" s="62" t="s">
        <v>387</v>
      </c>
      <c r="C2222" s="63"/>
      <c r="D2222" s="64"/>
      <c r="E2222" s="65"/>
      <c r="F2222" s="66"/>
      <c r="G2222" s="63"/>
      <c r="H2222" s="67"/>
      <c r="I2222" s="68"/>
      <c r="J2222" s="68"/>
      <c r="K2222" s="32"/>
      <c r="L2222" s="75">
        <v>2222</v>
      </c>
      <c r="M2222" s="75"/>
      <c r="N2222" s="70"/>
      <c r="O2222" s="77" t="s">
        <v>179</v>
      </c>
      <c r="P2222" s="79">
        <v>45144</v>
      </c>
      <c r="Q2222" s="77" t="s">
        <v>2894</v>
      </c>
      <c r="R2222" s="77">
        <v>0</v>
      </c>
      <c r="S2222" s="77">
        <v>1</v>
      </c>
      <c r="T2222" s="77">
        <v>0</v>
      </c>
      <c r="U2222" s="77">
        <v>0</v>
      </c>
      <c r="V2222" s="77">
        <v>832</v>
      </c>
      <c r="W2222" s="82" t="s">
        <v>4833</v>
      </c>
      <c r="X2222" s="80" t="str">
        <f>HYPERLINK("https://einvestidor.estadao.com.br/radar-einvestidor/qual-criptomoeda-crescera-com-inteligencia-artificial-arthur-hayes/?utm_source=twitter&amp;utm_medium=organic&amp;utm_campaign=&amp;utm_content=materia")</f>
        <v>https://einvestidor.estadao.com.br/radar-einvestidor/qual-criptomoeda-crescera-com-inteligencia-artificial-arthur-hayes/?utm_source=twitter&amp;utm_medium=organic&amp;utm_campaign=&amp;utm_content=materia</v>
      </c>
      <c r="Y2222" s="77" t="s">
        <v>6470</v>
      </c>
      <c r="Z2222" s="77"/>
      <c r="AA2222" s="77"/>
      <c r="AB2222" s="77"/>
      <c r="AC2222" s="82" t="s">
        <v>7754</v>
      </c>
      <c r="AD2222" s="77" t="s">
        <v>7788</v>
      </c>
      <c r="AE2222" s="80" t="str">
        <f>HYPERLINK("https://twitter.com/einvestidor/status/1687976781666799616")</f>
        <v>https://twitter.com/einvestidor/status/1687976781666799616</v>
      </c>
      <c r="AF2222" s="79">
        <v>45144</v>
      </c>
      <c r="AG2222" s="85">
        <v>45144</v>
      </c>
      <c r="AH2222" s="82" t="s">
        <v>9300</v>
      </c>
      <c r="AI2222" s="77" t="b">
        <v>0</v>
      </c>
      <c r="AJ2222" s="77"/>
      <c r="AK2222" s="77"/>
      <c r="AL2222" s="77"/>
      <c r="AM2222" s="77"/>
      <c r="AN2222" s="77"/>
      <c r="AO2222" s="77"/>
      <c r="AP2222" s="77"/>
      <c r="AQ2222" s="77"/>
      <c r="AR2222" s="77"/>
      <c r="AS2222" s="77"/>
      <c r="AT2222" s="77"/>
      <c r="AU2222" s="77"/>
      <c r="AV2222" s="80" t="str">
        <f>HYPERLINK("https://pbs.twimg.com/profile_images/1241147984924082183/gZgx_hL-_normal.jpg")</f>
        <v>https://pbs.twimg.com/profile_images/1241147984924082183/gZgx_hL-_normal.jpg</v>
      </c>
      <c r="AW2222" s="82" t="s">
        <v>13818</v>
      </c>
      <c r="AX2222" s="82" t="s">
        <v>13818</v>
      </c>
      <c r="AY2222" s="77"/>
      <c r="AZ2222" s="82" t="s">
        <v>15984</v>
      </c>
      <c r="BA2222" s="82" t="s">
        <v>15984</v>
      </c>
      <c r="BB2222" s="82" t="s">
        <v>15984</v>
      </c>
      <c r="BC2222" s="82" t="s">
        <v>13818</v>
      </c>
      <c r="BD2222" s="82" t="s">
        <v>15979</v>
      </c>
      <c r="BE2222" s="77"/>
      <c r="BF2222" s="77"/>
      <c r="BG2222" s="77"/>
      <c r="BH2222" s="77"/>
      <c r="BI2222" s="77"/>
    </row>
    <row r="2223" spans="1:61" x14ac:dyDescent="0.25">
      <c r="A2223" s="62" t="s">
        <v>387</v>
      </c>
      <c r="B2223" s="62" t="s">
        <v>387</v>
      </c>
      <c r="C2223" s="63"/>
      <c r="D2223" s="64"/>
      <c r="E2223" s="65"/>
      <c r="F2223" s="66"/>
      <c r="G2223" s="63"/>
      <c r="H2223" s="67"/>
      <c r="I2223" s="68"/>
      <c r="J2223" s="68"/>
      <c r="K2223" s="32"/>
      <c r="L2223" s="75">
        <v>2223</v>
      </c>
      <c r="M2223" s="75"/>
      <c r="N2223" s="70"/>
      <c r="O2223" s="77" t="s">
        <v>179</v>
      </c>
      <c r="P2223" s="79">
        <v>45143.958344907405</v>
      </c>
      <c r="Q2223" s="77" t="s">
        <v>2895</v>
      </c>
      <c r="R2223" s="77">
        <v>0</v>
      </c>
      <c r="S2223" s="77">
        <v>5</v>
      </c>
      <c r="T2223" s="77">
        <v>0</v>
      </c>
      <c r="U2223" s="77">
        <v>0</v>
      </c>
      <c r="V2223" s="77">
        <v>1174</v>
      </c>
      <c r="W2223" s="82" t="s">
        <v>4833</v>
      </c>
      <c r="X2223" s="80" t="str">
        <f>HYPERLINK("https://einvestidor.estadao.com.br/ultimas/banco-do-brasil-bbas3-esg-bolsa-londres/?utm_source=twitter&amp;utm_medium=organic&amp;utm_campaign=&amp;utm_content=materia")</f>
        <v>https://einvestidor.estadao.com.br/ultimas/banco-do-brasil-bbas3-esg-bolsa-londres/?utm_source=twitter&amp;utm_medium=organic&amp;utm_campaign=&amp;utm_content=materia</v>
      </c>
      <c r="Y2223" s="77" t="s">
        <v>6470</v>
      </c>
      <c r="Z2223" s="77"/>
      <c r="AA2223" s="77"/>
      <c r="AB2223" s="77"/>
      <c r="AC2223" s="82" t="s">
        <v>7754</v>
      </c>
      <c r="AD2223" s="77" t="s">
        <v>7788</v>
      </c>
      <c r="AE2223" s="80" t="str">
        <f>HYPERLINK("https://twitter.com/einvestidor/status/1687961685552672768")</f>
        <v>https://twitter.com/einvestidor/status/1687961685552672768</v>
      </c>
      <c r="AF2223" s="79">
        <v>45143.958344907405</v>
      </c>
      <c r="AG2223" s="85">
        <v>45143</v>
      </c>
      <c r="AH2223" s="82" t="s">
        <v>9241</v>
      </c>
      <c r="AI2223" s="77" t="b">
        <v>0</v>
      </c>
      <c r="AJ2223" s="77"/>
      <c r="AK2223" s="77"/>
      <c r="AL2223" s="77"/>
      <c r="AM2223" s="77"/>
      <c r="AN2223" s="77"/>
      <c r="AO2223" s="77"/>
      <c r="AP2223" s="77"/>
      <c r="AQ2223" s="77"/>
      <c r="AR2223" s="77"/>
      <c r="AS2223" s="77"/>
      <c r="AT2223" s="77"/>
      <c r="AU2223" s="77"/>
      <c r="AV2223" s="80" t="str">
        <f>HYPERLINK("https://pbs.twimg.com/profile_images/1241147984924082183/gZgx_hL-_normal.jpg")</f>
        <v>https://pbs.twimg.com/profile_images/1241147984924082183/gZgx_hL-_normal.jpg</v>
      </c>
      <c r="AW2223" s="82" t="s">
        <v>13819</v>
      </c>
      <c r="AX2223" s="82" t="s">
        <v>13819</v>
      </c>
      <c r="AY2223" s="77"/>
      <c r="AZ2223" s="82" t="s">
        <v>15984</v>
      </c>
      <c r="BA2223" s="82" t="s">
        <v>15984</v>
      </c>
      <c r="BB2223" s="82" t="s">
        <v>15984</v>
      </c>
      <c r="BC2223" s="82" t="s">
        <v>13819</v>
      </c>
      <c r="BD2223" s="82" t="s">
        <v>15979</v>
      </c>
      <c r="BE2223" s="77"/>
      <c r="BF2223" s="77"/>
      <c r="BG2223" s="77"/>
      <c r="BH2223" s="77"/>
      <c r="BI2223" s="77"/>
    </row>
    <row r="2224" spans="1:61" x14ac:dyDescent="0.25">
      <c r="A2224" s="62" t="s">
        <v>387</v>
      </c>
      <c r="B2224" s="62" t="s">
        <v>387</v>
      </c>
      <c r="C2224" s="63"/>
      <c r="D2224" s="64"/>
      <c r="E2224" s="65"/>
      <c r="F2224" s="66"/>
      <c r="G2224" s="63"/>
      <c r="H2224" s="67"/>
      <c r="I2224" s="68"/>
      <c r="J2224" s="68"/>
      <c r="K2224" s="32"/>
      <c r="L2224" s="75">
        <v>2224</v>
      </c>
      <c r="M2224" s="75"/>
      <c r="N2224" s="70"/>
      <c r="O2224" s="77" t="s">
        <v>179</v>
      </c>
      <c r="P2224" s="79">
        <v>45143.916678240741</v>
      </c>
      <c r="Q2224" s="77" t="s">
        <v>2896</v>
      </c>
      <c r="R2224" s="77">
        <v>0</v>
      </c>
      <c r="S2224" s="77">
        <v>1</v>
      </c>
      <c r="T2224" s="77">
        <v>0</v>
      </c>
      <c r="U2224" s="77">
        <v>0</v>
      </c>
      <c r="V2224" s="77">
        <v>844</v>
      </c>
      <c r="W2224" s="82" t="s">
        <v>4833</v>
      </c>
      <c r="X2224" s="80" t="str">
        <f>HYPERLINK("https://einvestidor.estadao.com.br/ultimas/b3-b3sa3-lanca-plataforma-negociacao-renda-fixa/?utm_source=twitter&amp;utm_medium=organic&amp;utm_campaign=&amp;utm_content=materia")</f>
        <v>https://einvestidor.estadao.com.br/ultimas/b3-b3sa3-lanca-plataforma-negociacao-renda-fixa/?utm_source=twitter&amp;utm_medium=organic&amp;utm_campaign=&amp;utm_content=materia</v>
      </c>
      <c r="Y2224" s="77" t="s">
        <v>6470</v>
      </c>
      <c r="Z2224" s="77"/>
      <c r="AA2224" s="77"/>
      <c r="AB2224" s="77"/>
      <c r="AC2224" s="82" t="s">
        <v>7754</v>
      </c>
      <c r="AD2224" s="77" t="s">
        <v>7788</v>
      </c>
      <c r="AE2224" s="80" t="str">
        <f>HYPERLINK("https://twitter.com/einvestidor/status/1687946586901364736")</f>
        <v>https://twitter.com/einvestidor/status/1687946586901364736</v>
      </c>
      <c r="AF2224" s="79">
        <v>45143.916678240741</v>
      </c>
      <c r="AG2224" s="85">
        <v>45143</v>
      </c>
      <c r="AH2224" s="82" t="s">
        <v>8052</v>
      </c>
      <c r="AI2224" s="77" t="b">
        <v>0</v>
      </c>
      <c r="AJ2224" s="77"/>
      <c r="AK2224" s="77"/>
      <c r="AL2224" s="77"/>
      <c r="AM2224" s="77"/>
      <c r="AN2224" s="77"/>
      <c r="AO2224" s="77"/>
      <c r="AP2224" s="77"/>
      <c r="AQ2224" s="77"/>
      <c r="AR2224" s="77"/>
      <c r="AS2224" s="77"/>
      <c r="AT2224" s="77"/>
      <c r="AU2224" s="77"/>
      <c r="AV2224" s="80" t="str">
        <f>HYPERLINK("https://pbs.twimg.com/profile_images/1241147984924082183/gZgx_hL-_normal.jpg")</f>
        <v>https://pbs.twimg.com/profile_images/1241147984924082183/gZgx_hL-_normal.jpg</v>
      </c>
      <c r="AW2224" s="82" t="s">
        <v>13820</v>
      </c>
      <c r="AX2224" s="82" t="s">
        <v>13820</v>
      </c>
      <c r="AY2224" s="77"/>
      <c r="AZ2224" s="82" t="s">
        <v>15984</v>
      </c>
      <c r="BA2224" s="82" t="s">
        <v>15984</v>
      </c>
      <c r="BB2224" s="82" t="s">
        <v>15984</v>
      </c>
      <c r="BC2224" s="82" t="s">
        <v>13820</v>
      </c>
      <c r="BD2224" s="82" t="s">
        <v>15979</v>
      </c>
      <c r="BE2224" s="77"/>
      <c r="BF2224" s="77"/>
      <c r="BG2224" s="77"/>
      <c r="BH2224" s="77"/>
      <c r="BI2224" s="77"/>
    </row>
    <row r="2225" spans="1:61" x14ac:dyDescent="0.25">
      <c r="A2225" s="62" t="s">
        <v>387</v>
      </c>
      <c r="B2225" s="62" t="s">
        <v>387</v>
      </c>
      <c r="C2225" s="63"/>
      <c r="D2225" s="64"/>
      <c r="E2225" s="65"/>
      <c r="F2225" s="66"/>
      <c r="G2225" s="63"/>
      <c r="H2225" s="67"/>
      <c r="I2225" s="68"/>
      <c r="J2225" s="68"/>
      <c r="K2225" s="32"/>
      <c r="L2225" s="75">
        <v>2225</v>
      </c>
      <c r="M2225" s="75"/>
      <c r="N2225" s="70"/>
      <c r="O2225" s="77" t="s">
        <v>179</v>
      </c>
      <c r="P2225" s="79">
        <v>45138.083333333336</v>
      </c>
      <c r="Q2225" s="77" t="s">
        <v>2897</v>
      </c>
      <c r="R2225" s="77">
        <v>0</v>
      </c>
      <c r="S2225" s="77">
        <v>0</v>
      </c>
      <c r="T2225" s="77">
        <v>0</v>
      </c>
      <c r="U2225" s="77">
        <v>0</v>
      </c>
      <c r="V2225" s="77">
        <v>945</v>
      </c>
      <c r="W2225" s="82" t="s">
        <v>4833</v>
      </c>
      <c r="X2225" s="80" t="str">
        <f>HYPERLINK("https://einvestidor.estadao.com.br/comportamento/bancos-brasileiros-maior-numero-reclamacoes-2023/?utm_source=twitter&amp;utm_medium=organic&amp;utm_campaign=&amp;utm_content=materia")</f>
        <v>https://einvestidor.estadao.com.br/comportamento/bancos-brasileiros-maior-numero-reclamacoes-2023/?utm_source=twitter&amp;utm_medium=organic&amp;utm_campaign=&amp;utm_content=materia</v>
      </c>
      <c r="Y2225" s="77" t="s">
        <v>6470</v>
      </c>
      <c r="Z2225" s="77"/>
      <c r="AA2225" s="77"/>
      <c r="AB2225" s="77"/>
      <c r="AC2225" s="82" t="s">
        <v>7754</v>
      </c>
      <c r="AD2225" s="77" t="s">
        <v>7788</v>
      </c>
      <c r="AE2225" s="80" t="str">
        <f>HYPERLINK("https://twitter.com/einvestidor/status/1685832654825107457")</f>
        <v>https://twitter.com/einvestidor/status/1685832654825107457</v>
      </c>
      <c r="AF2225" s="79">
        <v>45138.083333333336</v>
      </c>
      <c r="AG2225" s="85">
        <v>45138</v>
      </c>
      <c r="AH2225" s="82" t="s">
        <v>9638</v>
      </c>
      <c r="AI2225" s="77" t="b">
        <v>0</v>
      </c>
      <c r="AJ2225" s="77"/>
      <c r="AK2225" s="77"/>
      <c r="AL2225" s="77"/>
      <c r="AM2225" s="77"/>
      <c r="AN2225" s="77"/>
      <c r="AO2225" s="77"/>
      <c r="AP2225" s="77"/>
      <c r="AQ2225" s="77"/>
      <c r="AR2225" s="77"/>
      <c r="AS2225" s="77"/>
      <c r="AT2225" s="77"/>
      <c r="AU2225" s="77"/>
      <c r="AV2225" s="80" t="str">
        <f>HYPERLINK("https://pbs.twimg.com/profile_images/1241147984924082183/gZgx_hL-_normal.jpg")</f>
        <v>https://pbs.twimg.com/profile_images/1241147984924082183/gZgx_hL-_normal.jpg</v>
      </c>
      <c r="AW2225" s="82" t="s">
        <v>13821</v>
      </c>
      <c r="AX2225" s="82" t="s">
        <v>13821</v>
      </c>
      <c r="AY2225" s="77"/>
      <c r="AZ2225" s="82" t="s">
        <v>15984</v>
      </c>
      <c r="BA2225" s="82" t="s">
        <v>15984</v>
      </c>
      <c r="BB2225" s="82" t="s">
        <v>15984</v>
      </c>
      <c r="BC2225" s="82" t="s">
        <v>13821</v>
      </c>
      <c r="BD2225" s="82" t="s">
        <v>15979</v>
      </c>
      <c r="BE2225" s="77"/>
      <c r="BF2225" s="77"/>
      <c r="BG2225" s="77"/>
      <c r="BH2225" s="77"/>
      <c r="BI2225" s="77"/>
    </row>
    <row r="2226" spans="1:61" x14ac:dyDescent="0.25">
      <c r="A2226" s="62" t="s">
        <v>387</v>
      </c>
      <c r="B2226" s="62" t="s">
        <v>387</v>
      </c>
      <c r="C2226" s="63"/>
      <c r="D2226" s="64"/>
      <c r="E2226" s="65"/>
      <c r="F2226" s="66"/>
      <c r="G2226" s="63"/>
      <c r="H2226" s="67"/>
      <c r="I2226" s="68"/>
      <c r="J2226" s="68"/>
      <c r="K2226" s="32"/>
      <c r="L2226" s="75">
        <v>2226</v>
      </c>
      <c r="M2226" s="75"/>
      <c r="N2226" s="70"/>
      <c r="O2226" s="77" t="s">
        <v>179</v>
      </c>
      <c r="P2226" s="79">
        <v>45138</v>
      </c>
      <c r="Q2226" s="77" t="s">
        <v>2898</v>
      </c>
      <c r="R2226" s="77">
        <v>0</v>
      </c>
      <c r="S2226" s="77">
        <v>5</v>
      </c>
      <c r="T2226" s="77">
        <v>0</v>
      </c>
      <c r="U2226" s="77">
        <v>0</v>
      </c>
      <c r="V2226" s="77">
        <v>1033</v>
      </c>
      <c r="W2226" s="82" t="s">
        <v>5938</v>
      </c>
      <c r="X2226" s="80" t="str">
        <f>HYPERLINK("https://einvestidor.estadao.com.br/ultimas/nubank-numero-de-clientes/?utm_source=twitter&amp;utm_medium=organic&amp;utm_campaign=&amp;utm_content=materia")</f>
        <v>https://einvestidor.estadao.com.br/ultimas/nubank-numero-de-clientes/?utm_source=twitter&amp;utm_medium=organic&amp;utm_campaign=&amp;utm_content=materia</v>
      </c>
      <c r="Y2226" s="77" t="s">
        <v>6470</v>
      </c>
      <c r="Z2226" s="77"/>
      <c r="AA2226" s="77"/>
      <c r="AB2226" s="77"/>
      <c r="AC2226" s="82" t="s">
        <v>7754</v>
      </c>
      <c r="AD2226" s="77" t="s">
        <v>7788</v>
      </c>
      <c r="AE2226" s="80" t="str">
        <f>HYPERLINK("https://twitter.com/einvestidor/status/1685802453026099200")</f>
        <v>https://twitter.com/einvestidor/status/1685802453026099200</v>
      </c>
      <c r="AF2226" s="79">
        <v>45138</v>
      </c>
      <c r="AG2226" s="85">
        <v>45138</v>
      </c>
      <c r="AH2226" s="82" t="s">
        <v>9300</v>
      </c>
      <c r="AI2226" s="77" t="b">
        <v>0</v>
      </c>
      <c r="AJ2226" s="77"/>
      <c r="AK2226" s="77"/>
      <c r="AL2226" s="77"/>
      <c r="AM2226" s="77"/>
      <c r="AN2226" s="77"/>
      <c r="AO2226" s="77"/>
      <c r="AP2226" s="77"/>
      <c r="AQ2226" s="77"/>
      <c r="AR2226" s="77"/>
      <c r="AS2226" s="77"/>
      <c r="AT2226" s="77"/>
      <c r="AU2226" s="77"/>
      <c r="AV2226" s="80" t="str">
        <f>HYPERLINK("https://pbs.twimg.com/profile_images/1241147984924082183/gZgx_hL-_normal.jpg")</f>
        <v>https://pbs.twimg.com/profile_images/1241147984924082183/gZgx_hL-_normal.jpg</v>
      </c>
      <c r="AW2226" s="82" t="s">
        <v>13822</v>
      </c>
      <c r="AX2226" s="82" t="s">
        <v>13822</v>
      </c>
      <c r="AY2226" s="77"/>
      <c r="AZ2226" s="82" t="s">
        <v>15984</v>
      </c>
      <c r="BA2226" s="82" t="s">
        <v>15984</v>
      </c>
      <c r="BB2226" s="82" t="s">
        <v>15984</v>
      </c>
      <c r="BC2226" s="82" t="s">
        <v>13822</v>
      </c>
      <c r="BD2226" s="82" t="s">
        <v>15979</v>
      </c>
      <c r="BE2226" s="77"/>
      <c r="BF2226" s="77"/>
      <c r="BG2226" s="77"/>
      <c r="BH2226" s="77"/>
      <c r="BI2226" s="77"/>
    </row>
    <row r="2227" spans="1:61" x14ac:dyDescent="0.25">
      <c r="A2227" s="62" t="s">
        <v>387</v>
      </c>
      <c r="B2227" s="62" t="s">
        <v>387</v>
      </c>
      <c r="C2227" s="63"/>
      <c r="D2227" s="64"/>
      <c r="E2227" s="65"/>
      <c r="F2227" s="66"/>
      <c r="G2227" s="63"/>
      <c r="H2227" s="67"/>
      <c r="I2227" s="68"/>
      <c r="J2227" s="68"/>
      <c r="K2227" s="32"/>
      <c r="L2227" s="75">
        <v>2227</v>
      </c>
      <c r="M2227" s="75"/>
      <c r="N2227" s="70"/>
      <c r="O2227" s="77" t="s">
        <v>179</v>
      </c>
      <c r="P2227" s="79">
        <v>45137.916689814818</v>
      </c>
      <c r="Q2227" s="77" t="s">
        <v>2899</v>
      </c>
      <c r="R2227" s="77">
        <v>0</v>
      </c>
      <c r="S2227" s="77">
        <v>2</v>
      </c>
      <c r="T2227" s="77">
        <v>0</v>
      </c>
      <c r="U2227" s="77">
        <v>0</v>
      </c>
      <c r="V2227" s="77">
        <v>1013</v>
      </c>
      <c r="W2227" s="82" t="s">
        <v>4833</v>
      </c>
      <c r="X2227" s="80" t="str">
        <f>HYPERLINK("https://einvestidor.estadao.com.br/colunas/artigos-especialistas/o-que-e-tokenizacao-importancia-para-os-investimentos/?utm_source=twitter&amp;utm_medium=organic&amp;utm_campaign=&amp;utm_content=materia")</f>
        <v>https://einvestidor.estadao.com.br/colunas/artigos-especialistas/o-que-e-tokenizacao-importancia-para-os-investimentos/?utm_source=twitter&amp;utm_medium=organic&amp;utm_campaign=&amp;utm_content=materia</v>
      </c>
      <c r="Y2227" s="77" t="s">
        <v>6470</v>
      </c>
      <c r="Z2227" s="77"/>
      <c r="AA2227" s="77"/>
      <c r="AB2227" s="77"/>
      <c r="AC2227" s="82" t="s">
        <v>7754</v>
      </c>
      <c r="AD2227" s="77" t="s">
        <v>7788</v>
      </c>
      <c r="AE2227" s="80" t="str">
        <f>HYPERLINK("https://twitter.com/einvestidor/status/1685772262157541376")</f>
        <v>https://twitter.com/einvestidor/status/1685772262157541376</v>
      </c>
      <c r="AF2227" s="79">
        <v>45137.916689814818</v>
      </c>
      <c r="AG2227" s="85">
        <v>45137</v>
      </c>
      <c r="AH2227" s="82" t="s">
        <v>8627</v>
      </c>
      <c r="AI2227" s="77" t="b">
        <v>0</v>
      </c>
      <c r="AJ2227" s="77"/>
      <c r="AK2227" s="77"/>
      <c r="AL2227" s="77"/>
      <c r="AM2227" s="77"/>
      <c r="AN2227" s="77"/>
      <c r="AO2227" s="77"/>
      <c r="AP2227" s="77"/>
      <c r="AQ2227" s="77"/>
      <c r="AR2227" s="77"/>
      <c r="AS2227" s="77"/>
      <c r="AT2227" s="77"/>
      <c r="AU2227" s="77"/>
      <c r="AV2227" s="80" t="str">
        <f>HYPERLINK("https://pbs.twimg.com/profile_images/1241147984924082183/gZgx_hL-_normal.jpg")</f>
        <v>https://pbs.twimg.com/profile_images/1241147984924082183/gZgx_hL-_normal.jpg</v>
      </c>
      <c r="AW2227" s="82" t="s">
        <v>13823</v>
      </c>
      <c r="AX2227" s="82" t="s">
        <v>13823</v>
      </c>
      <c r="AY2227" s="77"/>
      <c r="AZ2227" s="82" t="s">
        <v>15984</v>
      </c>
      <c r="BA2227" s="82" t="s">
        <v>15984</v>
      </c>
      <c r="BB2227" s="82" t="s">
        <v>15984</v>
      </c>
      <c r="BC2227" s="82" t="s">
        <v>13823</v>
      </c>
      <c r="BD2227" s="82" t="s">
        <v>15979</v>
      </c>
      <c r="BE2227" s="77"/>
      <c r="BF2227" s="77"/>
      <c r="BG2227" s="77"/>
      <c r="BH2227" s="77"/>
      <c r="BI2227" s="77"/>
    </row>
    <row r="2228" spans="1:61" x14ac:dyDescent="0.25">
      <c r="A2228" s="62" t="s">
        <v>387</v>
      </c>
      <c r="B2228" s="62" t="s">
        <v>387</v>
      </c>
      <c r="C2228" s="63"/>
      <c r="D2228" s="64"/>
      <c r="E2228" s="65"/>
      <c r="F2228" s="66"/>
      <c r="G2228" s="63"/>
      <c r="H2228" s="67"/>
      <c r="I2228" s="68"/>
      <c r="J2228" s="68"/>
      <c r="K2228" s="32"/>
      <c r="L2228" s="75">
        <v>2228</v>
      </c>
      <c r="M2228" s="75"/>
      <c r="N2228" s="70"/>
      <c r="O2228" s="77" t="s">
        <v>179</v>
      </c>
      <c r="P2228" s="79">
        <v>45137.750011574077</v>
      </c>
      <c r="Q2228" s="77" t="s">
        <v>2900</v>
      </c>
      <c r="R2228" s="77">
        <v>0</v>
      </c>
      <c r="S2228" s="77">
        <v>2</v>
      </c>
      <c r="T2228" s="77">
        <v>0</v>
      </c>
      <c r="U2228" s="77">
        <v>0</v>
      </c>
      <c r="V2228" s="77">
        <v>1103</v>
      </c>
      <c r="W2228" s="82" t="s">
        <v>4833</v>
      </c>
      <c r="X2228" s="80" t="str">
        <f>HYPERLINK("https://einvestidor.estadao.com.br/investimentos/fundos-imobiliarios-fiis-recomendacao-queda-selic/?utm_source=twitter&amp;utm_medium=organic&amp;utm_campaign=fundo-imobiliario&amp;utm_content=materia")</f>
        <v>https://einvestidor.estadao.com.br/investimentos/fundos-imobiliarios-fiis-recomendacao-queda-selic/?utm_source=twitter&amp;utm_medium=organic&amp;utm_campaign=fundo-imobiliario&amp;utm_content=materia</v>
      </c>
      <c r="Y2228" s="77" t="s">
        <v>6470</v>
      </c>
      <c r="Z2228" s="77"/>
      <c r="AA2228" s="77"/>
      <c r="AB2228" s="77"/>
      <c r="AC2228" s="82" t="s">
        <v>7754</v>
      </c>
      <c r="AD2228" s="77" t="s">
        <v>7788</v>
      </c>
      <c r="AE2228" s="80" t="str">
        <f>HYPERLINK("https://twitter.com/einvestidor/status/1685711860228587521")</f>
        <v>https://twitter.com/einvestidor/status/1685711860228587521</v>
      </c>
      <c r="AF2228" s="79">
        <v>45137.750011574077</v>
      </c>
      <c r="AG2228" s="85">
        <v>45137</v>
      </c>
      <c r="AH2228" s="82" t="s">
        <v>9625</v>
      </c>
      <c r="AI2228" s="77" t="b">
        <v>0</v>
      </c>
      <c r="AJ2228" s="77"/>
      <c r="AK2228" s="77"/>
      <c r="AL2228" s="77"/>
      <c r="AM2228" s="77"/>
      <c r="AN2228" s="77"/>
      <c r="AO2228" s="77"/>
      <c r="AP2228" s="77"/>
      <c r="AQ2228" s="77"/>
      <c r="AR2228" s="77"/>
      <c r="AS2228" s="77"/>
      <c r="AT2228" s="77"/>
      <c r="AU2228" s="77"/>
      <c r="AV2228" s="80" t="str">
        <f>HYPERLINK("https://pbs.twimg.com/profile_images/1241147984924082183/gZgx_hL-_normal.jpg")</f>
        <v>https://pbs.twimg.com/profile_images/1241147984924082183/gZgx_hL-_normal.jpg</v>
      </c>
      <c r="AW2228" s="82" t="s">
        <v>13824</v>
      </c>
      <c r="AX2228" s="82" t="s">
        <v>13824</v>
      </c>
      <c r="AY2228" s="77"/>
      <c r="AZ2228" s="82" t="s">
        <v>15984</v>
      </c>
      <c r="BA2228" s="82" t="s">
        <v>15984</v>
      </c>
      <c r="BB2228" s="82" t="s">
        <v>15984</v>
      </c>
      <c r="BC2228" s="82" t="s">
        <v>13824</v>
      </c>
      <c r="BD2228" s="82" t="s">
        <v>15979</v>
      </c>
      <c r="BE2228" s="77"/>
      <c r="BF2228" s="77"/>
      <c r="BG2228" s="77"/>
      <c r="BH2228" s="77"/>
      <c r="BI2228" s="77"/>
    </row>
    <row r="2229" spans="1:61" x14ac:dyDescent="0.25">
      <c r="A2229" s="62" t="s">
        <v>387</v>
      </c>
      <c r="B2229" s="62" t="s">
        <v>387</v>
      </c>
      <c r="C2229" s="63"/>
      <c r="D2229" s="64"/>
      <c r="E2229" s="65"/>
      <c r="F2229" s="66"/>
      <c r="G2229" s="63"/>
      <c r="H2229" s="67"/>
      <c r="I2229" s="68"/>
      <c r="J2229" s="68"/>
      <c r="K2229" s="32"/>
      <c r="L2229" s="75">
        <v>2229</v>
      </c>
      <c r="M2229" s="75"/>
      <c r="N2229" s="70"/>
      <c r="O2229" s="77" t="s">
        <v>179</v>
      </c>
      <c r="P2229" s="79">
        <v>45137.708344907405</v>
      </c>
      <c r="Q2229" s="77" t="s">
        <v>2901</v>
      </c>
      <c r="R2229" s="77">
        <v>0</v>
      </c>
      <c r="S2229" s="77">
        <v>0</v>
      </c>
      <c r="T2229" s="77">
        <v>1</v>
      </c>
      <c r="U2229" s="77">
        <v>0</v>
      </c>
      <c r="V2229" s="77">
        <v>910</v>
      </c>
      <c r="W2229" s="82" t="s">
        <v>4833</v>
      </c>
      <c r="X2229" s="80" t="str">
        <f>HYPERLINK("https://einvestidor.estadao.com.br/ultimas/paulo-guedes-presidente-investimentos/?utm_source=twitter&amp;utm_medium=organic&amp;utm_campaign=paulo-guedes&amp;utm_content=materia")</f>
        <v>https://einvestidor.estadao.com.br/ultimas/paulo-guedes-presidente-investimentos/?utm_source=twitter&amp;utm_medium=organic&amp;utm_campaign=paulo-guedes&amp;utm_content=materia</v>
      </c>
      <c r="Y2229" s="77" t="s">
        <v>6470</v>
      </c>
      <c r="Z2229" s="77"/>
      <c r="AA2229" s="77"/>
      <c r="AB2229" s="77"/>
      <c r="AC2229" s="82" t="s">
        <v>7754</v>
      </c>
      <c r="AD2229" s="77" t="s">
        <v>7788</v>
      </c>
      <c r="AE2229" s="80" t="str">
        <f>HYPERLINK("https://twitter.com/einvestidor/status/1685696761040629760")</f>
        <v>https://twitter.com/einvestidor/status/1685696761040629760</v>
      </c>
      <c r="AF2229" s="79">
        <v>45137.708344907405</v>
      </c>
      <c r="AG2229" s="85">
        <v>45137</v>
      </c>
      <c r="AH2229" s="82" t="s">
        <v>7882</v>
      </c>
      <c r="AI2229" s="77" t="b">
        <v>0</v>
      </c>
      <c r="AJ2229" s="77"/>
      <c r="AK2229" s="77"/>
      <c r="AL2229" s="77"/>
      <c r="AM2229" s="77"/>
      <c r="AN2229" s="77"/>
      <c r="AO2229" s="77"/>
      <c r="AP2229" s="77"/>
      <c r="AQ2229" s="77"/>
      <c r="AR2229" s="77"/>
      <c r="AS2229" s="77"/>
      <c r="AT2229" s="77"/>
      <c r="AU2229" s="77"/>
      <c r="AV2229" s="80" t="str">
        <f>HYPERLINK("https://pbs.twimg.com/profile_images/1241147984924082183/gZgx_hL-_normal.jpg")</f>
        <v>https://pbs.twimg.com/profile_images/1241147984924082183/gZgx_hL-_normal.jpg</v>
      </c>
      <c r="AW2229" s="82" t="s">
        <v>13825</v>
      </c>
      <c r="AX2229" s="82" t="s">
        <v>13825</v>
      </c>
      <c r="AY2229" s="77"/>
      <c r="AZ2229" s="82" t="s">
        <v>15984</v>
      </c>
      <c r="BA2229" s="82" t="s">
        <v>15984</v>
      </c>
      <c r="BB2229" s="82" t="s">
        <v>15984</v>
      </c>
      <c r="BC2229" s="82" t="s">
        <v>13825</v>
      </c>
      <c r="BD2229" s="82" t="s">
        <v>15979</v>
      </c>
      <c r="BE2229" s="77"/>
      <c r="BF2229" s="77"/>
      <c r="BG2229" s="77"/>
      <c r="BH2229" s="77"/>
      <c r="BI2229" s="77"/>
    </row>
    <row r="2230" spans="1:61" x14ac:dyDescent="0.25">
      <c r="A2230" s="62" t="s">
        <v>387</v>
      </c>
      <c r="B2230" s="62" t="s">
        <v>387</v>
      </c>
      <c r="C2230" s="63"/>
      <c r="D2230" s="64"/>
      <c r="E2230" s="65"/>
      <c r="F2230" s="66"/>
      <c r="G2230" s="63"/>
      <c r="H2230" s="67"/>
      <c r="I2230" s="68"/>
      <c r="J2230" s="68"/>
      <c r="K2230" s="32"/>
      <c r="L2230" s="75">
        <v>2230</v>
      </c>
      <c r="M2230" s="75"/>
      <c r="N2230" s="70"/>
      <c r="O2230" s="77" t="s">
        <v>179</v>
      </c>
      <c r="P2230" s="79">
        <v>45137.666678240741</v>
      </c>
      <c r="Q2230" s="77" t="s">
        <v>2902</v>
      </c>
      <c r="R2230" s="77">
        <v>1</v>
      </c>
      <c r="S2230" s="77">
        <v>2</v>
      </c>
      <c r="T2230" s="77">
        <v>0</v>
      </c>
      <c r="U2230" s="77">
        <v>0</v>
      </c>
      <c r="V2230" s="77">
        <v>834</v>
      </c>
      <c r="W2230" s="82" t="s">
        <v>4833</v>
      </c>
      <c r="X2230" s="80" t="str">
        <f>HYPERLINK("https://mla.bs/3105f8d1")</f>
        <v>https://mla.bs/3105f8d1</v>
      </c>
      <c r="Y2230" s="77" t="s">
        <v>6506</v>
      </c>
      <c r="Z2230" s="77"/>
      <c r="AA2230" s="77"/>
      <c r="AB2230" s="77"/>
      <c r="AC2230" s="82" t="s">
        <v>7754</v>
      </c>
      <c r="AD2230" s="77" t="s">
        <v>7788</v>
      </c>
      <c r="AE2230" s="80" t="str">
        <f>HYPERLINK("https://twitter.com/einvestidor/status/1685681663529869314")</f>
        <v>https://twitter.com/einvestidor/status/1685681663529869314</v>
      </c>
      <c r="AF2230" s="79">
        <v>45137.666678240741</v>
      </c>
      <c r="AG2230" s="85">
        <v>45137</v>
      </c>
      <c r="AH2230" s="82" t="s">
        <v>9639</v>
      </c>
      <c r="AI2230" s="77" t="b">
        <v>0</v>
      </c>
      <c r="AJ2230" s="77"/>
      <c r="AK2230" s="77"/>
      <c r="AL2230" s="77"/>
      <c r="AM2230" s="77"/>
      <c r="AN2230" s="77"/>
      <c r="AO2230" s="77"/>
      <c r="AP2230" s="77"/>
      <c r="AQ2230" s="77"/>
      <c r="AR2230" s="77"/>
      <c r="AS2230" s="77"/>
      <c r="AT2230" s="77"/>
      <c r="AU2230" s="77"/>
      <c r="AV2230" s="80" t="str">
        <f>HYPERLINK("https://pbs.twimg.com/profile_images/1241147984924082183/gZgx_hL-_normal.jpg")</f>
        <v>https://pbs.twimg.com/profile_images/1241147984924082183/gZgx_hL-_normal.jpg</v>
      </c>
      <c r="AW2230" s="82" t="s">
        <v>13826</v>
      </c>
      <c r="AX2230" s="82" t="s">
        <v>13826</v>
      </c>
      <c r="AY2230" s="77"/>
      <c r="AZ2230" s="82" t="s">
        <v>15984</v>
      </c>
      <c r="BA2230" s="82" t="s">
        <v>15984</v>
      </c>
      <c r="BB2230" s="82" t="s">
        <v>15984</v>
      </c>
      <c r="BC2230" s="82" t="s">
        <v>13826</v>
      </c>
      <c r="BD2230" s="82" t="s">
        <v>15979</v>
      </c>
      <c r="BE2230" s="77"/>
      <c r="BF2230" s="77"/>
      <c r="BG2230" s="77"/>
      <c r="BH2230" s="77"/>
      <c r="BI2230" s="77"/>
    </row>
    <row r="2231" spans="1:61" x14ac:dyDescent="0.25">
      <c r="A2231" s="62" t="s">
        <v>387</v>
      </c>
      <c r="B2231" s="62" t="s">
        <v>387</v>
      </c>
      <c r="C2231" s="63"/>
      <c r="D2231" s="64"/>
      <c r="E2231" s="65"/>
      <c r="F2231" s="66"/>
      <c r="G2231" s="63"/>
      <c r="H2231" s="67"/>
      <c r="I2231" s="68"/>
      <c r="J2231" s="68"/>
      <c r="K2231" s="32"/>
      <c r="L2231" s="75">
        <v>2231</v>
      </c>
      <c r="M2231" s="75"/>
      <c r="N2231" s="70"/>
      <c r="O2231" s="77" t="s">
        <v>179</v>
      </c>
      <c r="P2231" s="79">
        <v>45137.625023148146</v>
      </c>
      <c r="Q2231" s="77" t="s">
        <v>2903</v>
      </c>
      <c r="R2231" s="77">
        <v>0</v>
      </c>
      <c r="S2231" s="77">
        <v>2</v>
      </c>
      <c r="T2231" s="77">
        <v>0</v>
      </c>
      <c r="U2231" s="77">
        <v>0</v>
      </c>
      <c r="V2231" s="77">
        <v>812</v>
      </c>
      <c r="W2231" s="82" t="s">
        <v>5939</v>
      </c>
      <c r="X2231" s="77"/>
      <c r="Y2231" s="77"/>
      <c r="Z2231" s="77"/>
      <c r="AA2231" s="77" t="s">
        <v>7608</v>
      </c>
      <c r="AB2231" s="77" t="s">
        <v>7743</v>
      </c>
      <c r="AC2231" s="82" t="s">
        <v>7785</v>
      </c>
      <c r="AD2231" s="77" t="s">
        <v>7788</v>
      </c>
      <c r="AE2231" s="80" t="str">
        <f>HYPERLINK("https://twitter.com/einvestidor/status/1685666568003534848")</f>
        <v>https://twitter.com/einvestidor/status/1685666568003534848</v>
      </c>
      <c r="AF2231" s="79">
        <v>45137.625023148146</v>
      </c>
      <c r="AG2231" s="85">
        <v>45137</v>
      </c>
      <c r="AH2231" s="82" t="s">
        <v>7869</v>
      </c>
      <c r="AI2231" s="77" t="b">
        <v>0</v>
      </c>
      <c r="AJ2231" s="77"/>
      <c r="AK2231" s="77"/>
      <c r="AL2231" s="77"/>
      <c r="AM2231" s="77"/>
      <c r="AN2231" s="77"/>
      <c r="AO2231" s="77"/>
      <c r="AP2231" s="77"/>
      <c r="AQ2231" s="77" t="s">
        <v>11580</v>
      </c>
      <c r="AR2231" s="77">
        <v>77578</v>
      </c>
      <c r="AS2231" s="77"/>
      <c r="AT2231" s="77"/>
      <c r="AU2231" s="77"/>
      <c r="AV2231" s="80" t="str">
        <f>HYPERLINK("https://pbs.twimg.com/ext_tw_video_thumb/1685037595556753408/pu/img/1x-mNmJ_Qg57jDNq.jpg")</f>
        <v>https://pbs.twimg.com/ext_tw_video_thumb/1685037595556753408/pu/img/1x-mNmJ_Qg57jDNq.jpg</v>
      </c>
      <c r="AW2231" s="82" t="s">
        <v>13827</v>
      </c>
      <c r="AX2231" s="82" t="s">
        <v>13827</v>
      </c>
      <c r="AY2231" s="77"/>
      <c r="AZ2231" s="82" t="s">
        <v>15984</v>
      </c>
      <c r="BA2231" s="82" t="s">
        <v>15984</v>
      </c>
      <c r="BB2231" s="82" t="s">
        <v>15984</v>
      </c>
      <c r="BC2231" s="82" t="s">
        <v>13827</v>
      </c>
      <c r="BD2231" s="82" t="s">
        <v>15979</v>
      </c>
      <c r="BE2231" s="77"/>
      <c r="BF2231" s="77"/>
      <c r="BG2231" s="77"/>
      <c r="BH2231" s="77"/>
      <c r="BI2231" s="77"/>
    </row>
    <row r="2232" spans="1:61" x14ac:dyDescent="0.25">
      <c r="A2232" s="62" t="s">
        <v>387</v>
      </c>
      <c r="B2232" s="62" t="s">
        <v>387</v>
      </c>
      <c r="C2232" s="63"/>
      <c r="D2232" s="64"/>
      <c r="E2232" s="65"/>
      <c r="F2232" s="66"/>
      <c r="G2232" s="63"/>
      <c r="H2232" s="67"/>
      <c r="I2232" s="68"/>
      <c r="J2232" s="68"/>
      <c r="K2232" s="32"/>
      <c r="L2232" s="75">
        <v>2232</v>
      </c>
      <c r="M2232" s="75"/>
      <c r="N2232" s="70"/>
      <c r="O2232" s="77" t="s">
        <v>179</v>
      </c>
      <c r="P2232" s="79">
        <v>45128.927083333336</v>
      </c>
      <c r="Q2232" s="77" t="s">
        <v>2904</v>
      </c>
      <c r="R2232" s="77">
        <v>0</v>
      </c>
      <c r="S2232" s="77">
        <v>0</v>
      </c>
      <c r="T2232" s="77">
        <v>0</v>
      </c>
      <c r="U2232" s="77">
        <v>0</v>
      </c>
      <c r="V2232" s="77">
        <v>655</v>
      </c>
      <c r="W2232" s="82" t="s">
        <v>5940</v>
      </c>
      <c r="X2232" s="80" t="str">
        <f>HYPERLINK("https://mla.bs/b9378099")</f>
        <v>https://mla.bs/b9378099</v>
      </c>
      <c r="Y2232" s="77" t="s">
        <v>6506</v>
      </c>
      <c r="Z2232" s="77"/>
      <c r="AA2232" s="77"/>
      <c r="AB2232" s="77"/>
      <c r="AC2232" s="82" t="s">
        <v>7754</v>
      </c>
      <c r="AD2232" s="77" t="s">
        <v>7788</v>
      </c>
      <c r="AE2232" s="80" t="str">
        <f>HYPERLINK("https://twitter.com/einvestidor/status/1682514538716073984")</f>
        <v>https://twitter.com/einvestidor/status/1682514538716073984</v>
      </c>
      <c r="AF2232" s="79">
        <v>45128.927083333336</v>
      </c>
      <c r="AG2232" s="85">
        <v>45128</v>
      </c>
      <c r="AH2232" s="82" t="s">
        <v>9576</v>
      </c>
      <c r="AI2232" s="77" t="b">
        <v>0</v>
      </c>
      <c r="AJ2232" s="77"/>
      <c r="AK2232" s="77"/>
      <c r="AL2232" s="77"/>
      <c r="AM2232" s="77"/>
      <c r="AN2232" s="77"/>
      <c r="AO2232" s="77"/>
      <c r="AP2232" s="77"/>
      <c r="AQ2232" s="77"/>
      <c r="AR2232" s="77"/>
      <c r="AS2232" s="77"/>
      <c r="AT2232" s="77"/>
      <c r="AU2232" s="77"/>
      <c r="AV2232" s="80" t="str">
        <f>HYPERLINK("https://pbs.twimg.com/profile_images/1241147984924082183/gZgx_hL-_normal.jpg")</f>
        <v>https://pbs.twimg.com/profile_images/1241147984924082183/gZgx_hL-_normal.jpg</v>
      </c>
      <c r="AW2232" s="82" t="s">
        <v>13828</v>
      </c>
      <c r="AX2232" s="82" t="s">
        <v>13828</v>
      </c>
      <c r="AY2232" s="77"/>
      <c r="AZ2232" s="82" t="s">
        <v>15984</v>
      </c>
      <c r="BA2232" s="82" t="s">
        <v>15984</v>
      </c>
      <c r="BB2232" s="82" t="s">
        <v>15984</v>
      </c>
      <c r="BC2232" s="82" t="s">
        <v>13828</v>
      </c>
      <c r="BD2232" s="82" t="s">
        <v>15979</v>
      </c>
      <c r="BE2232" s="77"/>
      <c r="BF2232" s="77"/>
      <c r="BG2232" s="77"/>
      <c r="BH2232" s="77"/>
      <c r="BI2232" s="77"/>
    </row>
    <row r="2233" spans="1:61" x14ac:dyDescent="0.25">
      <c r="A2233" s="62" t="s">
        <v>387</v>
      </c>
      <c r="B2233" s="62" t="s">
        <v>387</v>
      </c>
      <c r="C2233" s="63"/>
      <c r="D2233" s="64"/>
      <c r="E2233" s="65"/>
      <c r="F2233" s="66"/>
      <c r="G2233" s="63"/>
      <c r="H2233" s="67"/>
      <c r="I2233" s="68"/>
      <c r="J2233" s="68"/>
      <c r="K2233" s="32"/>
      <c r="L2233" s="75">
        <v>2233</v>
      </c>
      <c r="M2233" s="75"/>
      <c r="N2233" s="70"/>
      <c r="O2233" s="77" t="s">
        <v>179</v>
      </c>
      <c r="P2233" s="79">
        <v>45128.916689814818</v>
      </c>
      <c r="Q2233" s="77" t="s">
        <v>2905</v>
      </c>
      <c r="R2233" s="77">
        <v>0</v>
      </c>
      <c r="S2233" s="77">
        <v>0</v>
      </c>
      <c r="T2233" s="77">
        <v>0</v>
      </c>
      <c r="U2233" s="77">
        <v>0</v>
      </c>
      <c r="V2233" s="77">
        <v>553</v>
      </c>
      <c r="W2233" s="82" t="s">
        <v>5941</v>
      </c>
      <c r="X2233" s="80" t="str">
        <f>HYPERLINK("https://mla.bs/34950f5e")</f>
        <v>https://mla.bs/34950f5e</v>
      </c>
      <c r="Y2233" s="77" t="s">
        <v>6506</v>
      </c>
      <c r="Z2233" s="77"/>
      <c r="AA2233" s="77"/>
      <c r="AB2233" s="77"/>
      <c r="AC2233" s="82" t="s">
        <v>7754</v>
      </c>
      <c r="AD2233" s="77" t="s">
        <v>7788</v>
      </c>
      <c r="AE2233" s="80" t="str">
        <f>HYPERLINK("https://twitter.com/einvestidor/status/1682510771773927424")</f>
        <v>https://twitter.com/einvestidor/status/1682510771773927424</v>
      </c>
      <c r="AF2233" s="79">
        <v>45128.916689814818</v>
      </c>
      <c r="AG2233" s="85">
        <v>45128</v>
      </c>
      <c r="AH2233" s="82" t="s">
        <v>8627</v>
      </c>
      <c r="AI2233" s="77" t="b">
        <v>0</v>
      </c>
      <c r="AJ2233" s="77"/>
      <c r="AK2233" s="77"/>
      <c r="AL2233" s="77"/>
      <c r="AM2233" s="77"/>
      <c r="AN2233" s="77"/>
      <c r="AO2233" s="77"/>
      <c r="AP2233" s="77"/>
      <c r="AQ2233" s="77"/>
      <c r="AR2233" s="77"/>
      <c r="AS2233" s="77"/>
      <c r="AT2233" s="77"/>
      <c r="AU2233" s="77"/>
      <c r="AV2233" s="80" t="str">
        <f>HYPERLINK("https://pbs.twimg.com/profile_images/1241147984924082183/gZgx_hL-_normal.jpg")</f>
        <v>https://pbs.twimg.com/profile_images/1241147984924082183/gZgx_hL-_normal.jpg</v>
      </c>
      <c r="AW2233" s="82" t="s">
        <v>13829</v>
      </c>
      <c r="AX2233" s="82" t="s">
        <v>13829</v>
      </c>
      <c r="AY2233" s="77"/>
      <c r="AZ2233" s="82" t="s">
        <v>15984</v>
      </c>
      <c r="BA2233" s="82" t="s">
        <v>15984</v>
      </c>
      <c r="BB2233" s="82" t="s">
        <v>15984</v>
      </c>
      <c r="BC2233" s="82" t="s">
        <v>13829</v>
      </c>
      <c r="BD2233" s="82" t="s">
        <v>15979</v>
      </c>
      <c r="BE2233" s="77"/>
      <c r="BF2233" s="77"/>
      <c r="BG2233" s="77"/>
      <c r="BH2233" s="77"/>
      <c r="BI2233" s="77"/>
    </row>
    <row r="2234" spans="1:61" x14ac:dyDescent="0.25">
      <c r="A2234" s="62" t="s">
        <v>387</v>
      </c>
      <c r="B2234" s="62" t="s">
        <v>387</v>
      </c>
      <c r="C2234" s="63"/>
      <c r="D2234" s="64"/>
      <c r="E2234" s="65"/>
      <c r="F2234" s="66"/>
      <c r="G2234" s="63"/>
      <c r="H2234" s="67"/>
      <c r="I2234" s="68"/>
      <c r="J2234" s="68"/>
      <c r="K2234" s="32"/>
      <c r="L2234" s="75">
        <v>2234</v>
      </c>
      <c r="M2234" s="75"/>
      <c r="N2234" s="70"/>
      <c r="O2234" s="77" t="s">
        <v>179</v>
      </c>
      <c r="P2234" s="79">
        <v>45128.90625</v>
      </c>
      <c r="Q2234" s="77" t="s">
        <v>2906</v>
      </c>
      <c r="R2234" s="77">
        <v>0</v>
      </c>
      <c r="S2234" s="77">
        <v>0</v>
      </c>
      <c r="T2234" s="77">
        <v>0</v>
      </c>
      <c r="U2234" s="77">
        <v>0</v>
      </c>
      <c r="V2234" s="77">
        <v>626</v>
      </c>
      <c r="W2234" s="82" t="s">
        <v>5942</v>
      </c>
      <c r="X2234" s="80" t="str">
        <f>HYPERLINK("https://mla.bs/2787b493")</f>
        <v>https://mla.bs/2787b493</v>
      </c>
      <c r="Y2234" s="77" t="s">
        <v>6506</v>
      </c>
      <c r="Z2234" s="77"/>
      <c r="AA2234" s="77"/>
      <c r="AB2234" s="77"/>
      <c r="AC2234" s="82" t="s">
        <v>7754</v>
      </c>
      <c r="AD2234" s="77" t="s">
        <v>7788</v>
      </c>
      <c r="AE2234" s="80" t="str">
        <f>HYPERLINK("https://twitter.com/einvestidor/status/1682506989254098945")</f>
        <v>https://twitter.com/einvestidor/status/1682506989254098945</v>
      </c>
      <c r="AF2234" s="79">
        <v>45128.90625</v>
      </c>
      <c r="AG2234" s="85">
        <v>45128</v>
      </c>
      <c r="AH2234" s="82" t="s">
        <v>9578</v>
      </c>
      <c r="AI2234" s="77" t="b">
        <v>0</v>
      </c>
      <c r="AJ2234" s="77"/>
      <c r="AK2234" s="77"/>
      <c r="AL2234" s="77"/>
      <c r="AM2234" s="77"/>
      <c r="AN2234" s="77"/>
      <c r="AO2234" s="77"/>
      <c r="AP2234" s="77"/>
      <c r="AQ2234" s="77"/>
      <c r="AR2234" s="77"/>
      <c r="AS2234" s="77"/>
      <c r="AT2234" s="77"/>
      <c r="AU2234" s="77"/>
      <c r="AV2234" s="80" t="str">
        <f>HYPERLINK("https://pbs.twimg.com/profile_images/1241147984924082183/gZgx_hL-_normal.jpg")</f>
        <v>https://pbs.twimg.com/profile_images/1241147984924082183/gZgx_hL-_normal.jpg</v>
      </c>
      <c r="AW2234" s="82" t="s">
        <v>13830</v>
      </c>
      <c r="AX2234" s="82" t="s">
        <v>13830</v>
      </c>
      <c r="AY2234" s="77"/>
      <c r="AZ2234" s="82" t="s">
        <v>15984</v>
      </c>
      <c r="BA2234" s="82" t="s">
        <v>15984</v>
      </c>
      <c r="BB2234" s="82" t="s">
        <v>15984</v>
      </c>
      <c r="BC2234" s="82" t="s">
        <v>13830</v>
      </c>
      <c r="BD2234" s="82" t="s">
        <v>15979</v>
      </c>
      <c r="BE2234" s="77"/>
      <c r="BF2234" s="77"/>
      <c r="BG2234" s="77"/>
      <c r="BH2234" s="77"/>
      <c r="BI2234" s="77"/>
    </row>
    <row r="2235" spans="1:61" x14ac:dyDescent="0.25">
      <c r="A2235" s="62" t="s">
        <v>387</v>
      </c>
      <c r="B2235" s="62" t="s">
        <v>387</v>
      </c>
      <c r="C2235" s="63"/>
      <c r="D2235" s="64"/>
      <c r="E2235" s="65"/>
      <c r="F2235" s="66"/>
      <c r="G2235" s="63"/>
      <c r="H2235" s="67"/>
      <c r="I2235" s="68"/>
      <c r="J2235" s="68"/>
      <c r="K2235" s="32"/>
      <c r="L2235" s="75">
        <v>2235</v>
      </c>
      <c r="M2235" s="75"/>
      <c r="N2235" s="70"/>
      <c r="O2235" s="77" t="s">
        <v>179</v>
      </c>
      <c r="P2235" s="79">
        <v>45128.895833333336</v>
      </c>
      <c r="Q2235" s="77" t="s">
        <v>2907</v>
      </c>
      <c r="R2235" s="77">
        <v>0</v>
      </c>
      <c r="S2235" s="77">
        <v>0</v>
      </c>
      <c r="T2235" s="77">
        <v>0</v>
      </c>
      <c r="U2235" s="77">
        <v>0</v>
      </c>
      <c r="V2235" s="77">
        <v>552</v>
      </c>
      <c r="W2235" s="82" t="s">
        <v>4833</v>
      </c>
      <c r="X2235" s="80" t="str">
        <f>HYPERLINK("https://mla.bs/d690d94e")</f>
        <v>https://mla.bs/d690d94e</v>
      </c>
      <c r="Y2235" s="77" t="s">
        <v>6506</v>
      </c>
      <c r="Z2235" s="77"/>
      <c r="AA2235" s="77"/>
      <c r="AB2235" s="77"/>
      <c r="AC2235" s="82" t="s">
        <v>7754</v>
      </c>
      <c r="AD2235" s="77" t="s">
        <v>7788</v>
      </c>
      <c r="AE2235" s="80" t="str">
        <f>HYPERLINK("https://twitter.com/einvestidor/status/1682503214262886402")</f>
        <v>https://twitter.com/einvestidor/status/1682503214262886402</v>
      </c>
      <c r="AF2235" s="79">
        <v>45128.895833333336</v>
      </c>
      <c r="AG2235" s="85">
        <v>45128</v>
      </c>
      <c r="AH2235" s="82" t="s">
        <v>8089</v>
      </c>
      <c r="AI2235" s="77" t="b">
        <v>0</v>
      </c>
      <c r="AJ2235" s="77"/>
      <c r="AK2235" s="77"/>
      <c r="AL2235" s="77"/>
      <c r="AM2235" s="77"/>
      <c r="AN2235" s="77"/>
      <c r="AO2235" s="77"/>
      <c r="AP2235" s="77"/>
      <c r="AQ2235" s="77"/>
      <c r="AR2235" s="77"/>
      <c r="AS2235" s="77"/>
      <c r="AT2235" s="77"/>
      <c r="AU2235" s="77"/>
      <c r="AV2235" s="80" t="str">
        <f>HYPERLINK("https://pbs.twimg.com/profile_images/1241147984924082183/gZgx_hL-_normal.jpg")</f>
        <v>https://pbs.twimg.com/profile_images/1241147984924082183/gZgx_hL-_normal.jpg</v>
      </c>
      <c r="AW2235" s="82" t="s">
        <v>13831</v>
      </c>
      <c r="AX2235" s="82" t="s">
        <v>13831</v>
      </c>
      <c r="AY2235" s="77"/>
      <c r="AZ2235" s="82" t="s">
        <v>15984</v>
      </c>
      <c r="BA2235" s="82" t="s">
        <v>15984</v>
      </c>
      <c r="BB2235" s="82" t="s">
        <v>15984</v>
      </c>
      <c r="BC2235" s="82" t="s">
        <v>13831</v>
      </c>
      <c r="BD2235" s="82" t="s">
        <v>15979</v>
      </c>
      <c r="BE2235" s="77"/>
      <c r="BF2235" s="77"/>
      <c r="BG2235" s="77"/>
      <c r="BH2235" s="77"/>
      <c r="BI2235" s="77"/>
    </row>
    <row r="2236" spans="1:61" x14ac:dyDescent="0.25">
      <c r="A2236" s="62" t="s">
        <v>387</v>
      </c>
      <c r="B2236" s="62" t="s">
        <v>387</v>
      </c>
      <c r="C2236" s="63"/>
      <c r="D2236" s="64"/>
      <c r="E2236" s="65"/>
      <c r="F2236" s="66"/>
      <c r="G2236" s="63"/>
      <c r="H2236" s="67"/>
      <c r="I2236" s="68"/>
      <c r="J2236" s="68"/>
      <c r="K2236" s="32"/>
      <c r="L2236" s="75">
        <v>2236</v>
      </c>
      <c r="M2236" s="75"/>
      <c r="N2236" s="70"/>
      <c r="O2236" s="77" t="s">
        <v>179</v>
      </c>
      <c r="P2236" s="79">
        <v>45128.885416666664</v>
      </c>
      <c r="Q2236" s="77" t="s">
        <v>2908</v>
      </c>
      <c r="R2236" s="77">
        <v>0</v>
      </c>
      <c r="S2236" s="77">
        <v>1</v>
      </c>
      <c r="T2236" s="77">
        <v>0</v>
      </c>
      <c r="U2236" s="77">
        <v>1</v>
      </c>
      <c r="V2236" s="77">
        <v>678</v>
      </c>
      <c r="W2236" s="82" t="s">
        <v>4833</v>
      </c>
      <c r="X2236" s="80" t="str">
        <f>HYPERLINK("https://mla.bs/6ba7039e")</f>
        <v>https://mla.bs/6ba7039e</v>
      </c>
      <c r="Y2236" s="77" t="s">
        <v>6506</v>
      </c>
      <c r="Z2236" s="77"/>
      <c r="AA2236" s="77"/>
      <c r="AB2236" s="77"/>
      <c r="AC2236" s="82" t="s">
        <v>7754</v>
      </c>
      <c r="AD2236" s="77" t="s">
        <v>7788</v>
      </c>
      <c r="AE2236" s="80" t="str">
        <f>HYPERLINK("https://twitter.com/einvestidor/status/1682499438894538753")</f>
        <v>https://twitter.com/einvestidor/status/1682499438894538753</v>
      </c>
      <c r="AF2236" s="79">
        <v>45128.885416666664</v>
      </c>
      <c r="AG2236" s="85">
        <v>45128</v>
      </c>
      <c r="AH2236" s="82" t="s">
        <v>8206</v>
      </c>
      <c r="AI2236" s="77" t="b">
        <v>0</v>
      </c>
      <c r="AJ2236" s="77"/>
      <c r="AK2236" s="77"/>
      <c r="AL2236" s="77"/>
      <c r="AM2236" s="77"/>
      <c r="AN2236" s="77"/>
      <c r="AO2236" s="77"/>
      <c r="AP2236" s="77"/>
      <c r="AQ2236" s="77"/>
      <c r="AR2236" s="77"/>
      <c r="AS2236" s="77"/>
      <c r="AT2236" s="77"/>
      <c r="AU2236" s="77"/>
      <c r="AV2236" s="80" t="str">
        <f>HYPERLINK("https://pbs.twimg.com/profile_images/1241147984924082183/gZgx_hL-_normal.jpg")</f>
        <v>https://pbs.twimg.com/profile_images/1241147984924082183/gZgx_hL-_normal.jpg</v>
      </c>
      <c r="AW2236" s="82" t="s">
        <v>13832</v>
      </c>
      <c r="AX2236" s="82" t="s">
        <v>13832</v>
      </c>
      <c r="AY2236" s="77"/>
      <c r="AZ2236" s="82" t="s">
        <v>15984</v>
      </c>
      <c r="BA2236" s="82" t="s">
        <v>15984</v>
      </c>
      <c r="BB2236" s="82" t="s">
        <v>15984</v>
      </c>
      <c r="BC2236" s="82" t="s">
        <v>13832</v>
      </c>
      <c r="BD2236" s="82" t="s">
        <v>15979</v>
      </c>
      <c r="BE2236" s="77"/>
      <c r="BF2236" s="77"/>
      <c r="BG2236" s="77"/>
      <c r="BH2236" s="77"/>
      <c r="BI2236" s="77"/>
    </row>
    <row r="2237" spans="1:61" x14ac:dyDescent="0.25">
      <c r="A2237" s="62" t="s">
        <v>387</v>
      </c>
      <c r="B2237" s="62" t="s">
        <v>387</v>
      </c>
      <c r="C2237" s="63"/>
      <c r="D2237" s="64"/>
      <c r="E2237" s="65"/>
      <c r="F2237" s="66"/>
      <c r="G2237" s="63"/>
      <c r="H2237" s="67"/>
      <c r="I2237" s="68"/>
      <c r="J2237" s="68"/>
      <c r="K2237" s="32"/>
      <c r="L2237" s="75">
        <v>2237</v>
      </c>
      <c r="M2237" s="75"/>
      <c r="N2237" s="70"/>
      <c r="O2237" s="77" t="s">
        <v>179</v>
      </c>
      <c r="P2237" s="79">
        <v>45128.882523148146</v>
      </c>
      <c r="Q2237" s="77" t="s">
        <v>2909</v>
      </c>
      <c r="R2237" s="77">
        <v>0</v>
      </c>
      <c r="S2237" s="77">
        <v>1</v>
      </c>
      <c r="T2237" s="77">
        <v>0</v>
      </c>
      <c r="U2237" s="77">
        <v>0</v>
      </c>
      <c r="V2237" s="77">
        <v>758</v>
      </c>
      <c r="W2237" s="82" t="s">
        <v>5943</v>
      </c>
      <c r="X2237" s="80" t="str">
        <f>HYPERLINK("https://mla.bs/f565f604")</f>
        <v>https://mla.bs/f565f604</v>
      </c>
      <c r="Y2237" s="77" t="s">
        <v>6506</v>
      </c>
      <c r="Z2237" s="77"/>
      <c r="AA2237" s="77"/>
      <c r="AB2237" s="77"/>
      <c r="AC2237" s="82" t="s">
        <v>7754</v>
      </c>
      <c r="AD2237" s="77" t="s">
        <v>7788</v>
      </c>
      <c r="AE2237" s="80" t="str">
        <f>HYPERLINK("https://twitter.com/einvestidor/status/1682498391442374657")</f>
        <v>https://twitter.com/einvestidor/status/1682498391442374657</v>
      </c>
      <c r="AF2237" s="79">
        <v>45128.882523148146</v>
      </c>
      <c r="AG2237" s="85">
        <v>45128</v>
      </c>
      <c r="AH2237" s="82" t="s">
        <v>9640</v>
      </c>
      <c r="AI2237" s="77" t="b">
        <v>0</v>
      </c>
      <c r="AJ2237" s="77"/>
      <c r="AK2237" s="77"/>
      <c r="AL2237" s="77"/>
      <c r="AM2237" s="77"/>
      <c r="AN2237" s="77"/>
      <c r="AO2237" s="77"/>
      <c r="AP2237" s="77"/>
      <c r="AQ2237" s="77"/>
      <c r="AR2237" s="77"/>
      <c r="AS2237" s="77"/>
      <c r="AT2237" s="77"/>
      <c r="AU2237" s="77"/>
      <c r="AV2237" s="80" t="str">
        <f>HYPERLINK("https://pbs.twimg.com/profile_images/1241147984924082183/gZgx_hL-_normal.jpg")</f>
        <v>https://pbs.twimg.com/profile_images/1241147984924082183/gZgx_hL-_normal.jpg</v>
      </c>
      <c r="AW2237" s="82" t="s">
        <v>13833</v>
      </c>
      <c r="AX2237" s="82" t="s">
        <v>13833</v>
      </c>
      <c r="AY2237" s="77"/>
      <c r="AZ2237" s="82" t="s">
        <v>15984</v>
      </c>
      <c r="BA2237" s="82" t="s">
        <v>15984</v>
      </c>
      <c r="BB2237" s="82" t="s">
        <v>15984</v>
      </c>
      <c r="BC2237" s="82" t="s">
        <v>13833</v>
      </c>
      <c r="BD2237" s="82" t="s">
        <v>15979</v>
      </c>
      <c r="BE2237" s="77"/>
      <c r="BF2237" s="77"/>
      <c r="BG2237" s="77"/>
      <c r="BH2237" s="77"/>
      <c r="BI2237" s="77"/>
    </row>
    <row r="2238" spans="1:61" x14ac:dyDescent="0.25">
      <c r="A2238" s="62" t="s">
        <v>387</v>
      </c>
      <c r="B2238" s="62" t="s">
        <v>387</v>
      </c>
      <c r="C2238" s="63"/>
      <c r="D2238" s="64"/>
      <c r="E2238" s="65"/>
      <c r="F2238" s="66"/>
      <c r="G2238" s="63"/>
      <c r="H2238" s="67"/>
      <c r="I2238" s="68"/>
      <c r="J2238" s="68"/>
      <c r="K2238" s="32"/>
      <c r="L2238" s="75">
        <v>2238</v>
      </c>
      <c r="M2238" s="75"/>
      <c r="N2238" s="70"/>
      <c r="O2238" s="77" t="s">
        <v>179</v>
      </c>
      <c r="P2238" s="79">
        <v>45128.881469907406</v>
      </c>
      <c r="Q2238" s="77" t="s">
        <v>2910</v>
      </c>
      <c r="R2238" s="77">
        <v>0</v>
      </c>
      <c r="S2238" s="77">
        <v>3</v>
      </c>
      <c r="T2238" s="77">
        <v>0</v>
      </c>
      <c r="U2238" s="77">
        <v>0</v>
      </c>
      <c r="V2238" s="77">
        <v>704</v>
      </c>
      <c r="W2238" s="82" t="s">
        <v>5944</v>
      </c>
      <c r="X2238" s="80" t="str">
        <f>HYPERLINK("https://mla.bs/04af76d9")</f>
        <v>https://mla.bs/04af76d9</v>
      </c>
      <c r="Y2238" s="77" t="s">
        <v>6506</v>
      </c>
      <c r="Z2238" s="77"/>
      <c r="AA2238" s="77"/>
      <c r="AB2238" s="77"/>
      <c r="AC2238" s="82" t="s">
        <v>7754</v>
      </c>
      <c r="AD2238" s="77" t="s">
        <v>7788</v>
      </c>
      <c r="AE2238" s="80" t="str">
        <f>HYPERLINK("https://twitter.com/einvestidor/status/1682498009458696193")</f>
        <v>https://twitter.com/einvestidor/status/1682498009458696193</v>
      </c>
      <c r="AF2238" s="79">
        <v>45128.881469907406</v>
      </c>
      <c r="AG2238" s="85">
        <v>45128</v>
      </c>
      <c r="AH2238" s="82" t="s">
        <v>9641</v>
      </c>
      <c r="AI2238" s="77" t="b">
        <v>0</v>
      </c>
      <c r="AJ2238" s="77"/>
      <c r="AK2238" s="77"/>
      <c r="AL2238" s="77"/>
      <c r="AM2238" s="77"/>
      <c r="AN2238" s="77"/>
      <c r="AO2238" s="77"/>
      <c r="AP2238" s="77"/>
      <c r="AQ2238" s="77"/>
      <c r="AR2238" s="77"/>
      <c r="AS2238" s="77"/>
      <c r="AT2238" s="77"/>
      <c r="AU2238" s="77"/>
      <c r="AV2238" s="80" t="str">
        <f>HYPERLINK("https://pbs.twimg.com/profile_images/1241147984924082183/gZgx_hL-_normal.jpg")</f>
        <v>https://pbs.twimg.com/profile_images/1241147984924082183/gZgx_hL-_normal.jpg</v>
      </c>
      <c r="AW2238" s="82" t="s">
        <v>13834</v>
      </c>
      <c r="AX2238" s="82" t="s">
        <v>13834</v>
      </c>
      <c r="AY2238" s="77"/>
      <c r="AZ2238" s="82" t="s">
        <v>15984</v>
      </c>
      <c r="BA2238" s="82" t="s">
        <v>15984</v>
      </c>
      <c r="BB2238" s="82" t="s">
        <v>15984</v>
      </c>
      <c r="BC2238" s="82" t="s">
        <v>13834</v>
      </c>
      <c r="BD2238" s="82" t="s">
        <v>15979</v>
      </c>
      <c r="BE2238" s="77"/>
      <c r="BF2238" s="77"/>
      <c r="BG2238" s="77"/>
      <c r="BH2238" s="77"/>
      <c r="BI2238" s="77"/>
    </row>
    <row r="2239" spans="1:61" x14ac:dyDescent="0.25">
      <c r="A2239" s="62" t="s">
        <v>387</v>
      </c>
      <c r="B2239" s="62" t="s">
        <v>387</v>
      </c>
      <c r="C2239" s="63"/>
      <c r="D2239" s="64"/>
      <c r="E2239" s="65"/>
      <c r="F2239" s="66"/>
      <c r="G2239" s="63"/>
      <c r="H2239" s="67"/>
      <c r="I2239" s="68"/>
      <c r="J2239" s="68"/>
      <c r="K2239" s="32"/>
      <c r="L2239" s="75">
        <v>2239</v>
      </c>
      <c r="M2239" s="75"/>
      <c r="N2239" s="70"/>
      <c r="O2239" s="77" t="s">
        <v>179</v>
      </c>
      <c r="P2239" s="79">
        <v>45128.879479166666</v>
      </c>
      <c r="Q2239" s="77" t="s">
        <v>2911</v>
      </c>
      <c r="R2239" s="77">
        <v>0</v>
      </c>
      <c r="S2239" s="77">
        <v>0</v>
      </c>
      <c r="T2239" s="77">
        <v>0</v>
      </c>
      <c r="U2239" s="77">
        <v>0</v>
      </c>
      <c r="V2239" s="77">
        <v>618</v>
      </c>
      <c r="W2239" s="82" t="s">
        <v>5945</v>
      </c>
      <c r="X2239" s="80" t="str">
        <f>HYPERLINK("https://mla.bs/948d476f")</f>
        <v>https://mla.bs/948d476f</v>
      </c>
      <c r="Y2239" s="77" t="s">
        <v>6506</v>
      </c>
      <c r="Z2239" s="77"/>
      <c r="AA2239" s="77"/>
      <c r="AB2239" s="77"/>
      <c r="AC2239" s="82" t="s">
        <v>7754</v>
      </c>
      <c r="AD2239" s="77" t="s">
        <v>7788</v>
      </c>
      <c r="AE2239" s="80" t="str">
        <f>HYPERLINK("https://twitter.com/einvestidor/status/1682497290282455045")</f>
        <v>https://twitter.com/einvestidor/status/1682497290282455045</v>
      </c>
      <c r="AF2239" s="79">
        <v>45128.879479166666</v>
      </c>
      <c r="AG2239" s="85">
        <v>45128</v>
      </c>
      <c r="AH2239" s="82" t="s">
        <v>9642</v>
      </c>
      <c r="AI2239" s="77" t="b">
        <v>0</v>
      </c>
      <c r="AJ2239" s="77"/>
      <c r="AK2239" s="77"/>
      <c r="AL2239" s="77"/>
      <c r="AM2239" s="77"/>
      <c r="AN2239" s="77"/>
      <c r="AO2239" s="77"/>
      <c r="AP2239" s="77"/>
      <c r="AQ2239" s="77"/>
      <c r="AR2239" s="77"/>
      <c r="AS2239" s="77"/>
      <c r="AT2239" s="77"/>
      <c r="AU2239" s="77"/>
      <c r="AV2239" s="80" t="str">
        <f>HYPERLINK("https://pbs.twimg.com/profile_images/1241147984924082183/gZgx_hL-_normal.jpg")</f>
        <v>https://pbs.twimg.com/profile_images/1241147984924082183/gZgx_hL-_normal.jpg</v>
      </c>
      <c r="AW2239" s="82" t="s">
        <v>13835</v>
      </c>
      <c r="AX2239" s="82" t="s">
        <v>13835</v>
      </c>
      <c r="AY2239" s="77"/>
      <c r="AZ2239" s="82" t="s">
        <v>15984</v>
      </c>
      <c r="BA2239" s="82" t="s">
        <v>15984</v>
      </c>
      <c r="BB2239" s="82" t="s">
        <v>15984</v>
      </c>
      <c r="BC2239" s="82" t="s">
        <v>13835</v>
      </c>
      <c r="BD2239" s="82" t="s">
        <v>15979</v>
      </c>
      <c r="BE2239" s="77"/>
      <c r="BF2239" s="77"/>
      <c r="BG2239" s="77"/>
      <c r="BH2239" s="77"/>
      <c r="BI2239" s="77"/>
    </row>
    <row r="2240" spans="1:61" x14ac:dyDescent="0.25">
      <c r="A2240" s="62" t="s">
        <v>387</v>
      </c>
      <c r="B2240" s="62" t="s">
        <v>387</v>
      </c>
      <c r="C2240" s="63"/>
      <c r="D2240" s="64"/>
      <c r="E2240" s="65"/>
      <c r="F2240" s="66"/>
      <c r="G2240" s="63"/>
      <c r="H2240" s="67"/>
      <c r="I2240" s="68"/>
      <c r="J2240" s="68"/>
      <c r="K2240" s="32"/>
      <c r="L2240" s="75">
        <v>2240</v>
      </c>
      <c r="M2240" s="75"/>
      <c r="N2240" s="70"/>
      <c r="O2240" s="77" t="s">
        <v>179</v>
      </c>
      <c r="P2240" s="79">
        <v>45128.878368055557</v>
      </c>
      <c r="Q2240" s="77" t="s">
        <v>2912</v>
      </c>
      <c r="R2240" s="77">
        <v>0</v>
      </c>
      <c r="S2240" s="77">
        <v>0</v>
      </c>
      <c r="T2240" s="77">
        <v>0</v>
      </c>
      <c r="U2240" s="77">
        <v>0</v>
      </c>
      <c r="V2240" s="77">
        <v>551</v>
      </c>
      <c r="W2240" s="82" t="s">
        <v>5946</v>
      </c>
      <c r="X2240" s="80" t="str">
        <f>HYPERLINK("https://mla.bs/b83947ff")</f>
        <v>https://mla.bs/b83947ff</v>
      </c>
      <c r="Y2240" s="77" t="s">
        <v>6506</v>
      </c>
      <c r="Z2240" s="77"/>
      <c r="AA2240" s="77"/>
      <c r="AB2240" s="77"/>
      <c r="AC2240" s="82" t="s">
        <v>7754</v>
      </c>
      <c r="AD2240" s="77" t="s">
        <v>7788</v>
      </c>
      <c r="AE2240" s="80" t="str">
        <f>HYPERLINK("https://twitter.com/einvestidor/status/1682496887251693568")</f>
        <v>https://twitter.com/einvestidor/status/1682496887251693568</v>
      </c>
      <c r="AF2240" s="79">
        <v>45128.878368055557</v>
      </c>
      <c r="AG2240" s="85">
        <v>45128</v>
      </c>
      <c r="AH2240" s="82" t="s">
        <v>9643</v>
      </c>
      <c r="AI2240" s="77" t="b">
        <v>0</v>
      </c>
      <c r="AJ2240" s="77"/>
      <c r="AK2240" s="77"/>
      <c r="AL2240" s="77"/>
      <c r="AM2240" s="77"/>
      <c r="AN2240" s="77"/>
      <c r="AO2240" s="77"/>
      <c r="AP2240" s="77"/>
      <c r="AQ2240" s="77"/>
      <c r="AR2240" s="77"/>
      <c r="AS2240" s="77"/>
      <c r="AT2240" s="77"/>
      <c r="AU2240" s="77"/>
      <c r="AV2240" s="80" t="str">
        <f>HYPERLINK("https://pbs.twimg.com/profile_images/1241147984924082183/gZgx_hL-_normal.jpg")</f>
        <v>https://pbs.twimg.com/profile_images/1241147984924082183/gZgx_hL-_normal.jpg</v>
      </c>
      <c r="AW2240" s="82" t="s">
        <v>13836</v>
      </c>
      <c r="AX2240" s="82" t="s">
        <v>13836</v>
      </c>
      <c r="AY2240" s="77"/>
      <c r="AZ2240" s="82" t="s">
        <v>15984</v>
      </c>
      <c r="BA2240" s="82" t="s">
        <v>15984</v>
      </c>
      <c r="BB2240" s="82" t="s">
        <v>15984</v>
      </c>
      <c r="BC2240" s="82" t="s">
        <v>13836</v>
      </c>
      <c r="BD2240" s="82" t="s">
        <v>15979</v>
      </c>
      <c r="BE2240" s="77"/>
      <c r="BF2240" s="77"/>
      <c r="BG2240" s="77"/>
      <c r="BH2240" s="77"/>
      <c r="BI2240" s="77"/>
    </row>
    <row r="2241" spans="1:61" x14ac:dyDescent="0.25">
      <c r="A2241" s="62" t="s">
        <v>387</v>
      </c>
      <c r="B2241" s="62" t="s">
        <v>387</v>
      </c>
      <c r="C2241" s="63"/>
      <c r="D2241" s="64"/>
      <c r="E2241" s="65"/>
      <c r="F2241" s="66"/>
      <c r="G2241" s="63"/>
      <c r="H2241" s="67"/>
      <c r="I2241" s="68"/>
      <c r="J2241" s="68"/>
      <c r="K2241" s="32"/>
      <c r="L2241" s="75">
        <v>2241</v>
      </c>
      <c r="M2241" s="75"/>
      <c r="N2241" s="70"/>
      <c r="O2241" s="77" t="s">
        <v>179</v>
      </c>
      <c r="P2241" s="79">
        <v>45128.864583333336</v>
      </c>
      <c r="Q2241" s="77" t="s">
        <v>2913</v>
      </c>
      <c r="R2241" s="77">
        <v>1</v>
      </c>
      <c r="S2241" s="77">
        <v>4</v>
      </c>
      <c r="T2241" s="77">
        <v>0</v>
      </c>
      <c r="U2241" s="77">
        <v>0</v>
      </c>
      <c r="V2241" s="77">
        <v>716</v>
      </c>
      <c r="W2241" s="82" t="s">
        <v>4833</v>
      </c>
      <c r="X2241" s="80" t="str">
        <f>HYPERLINK("https://mla.bs/0c073aeb")</f>
        <v>https://mla.bs/0c073aeb</v>
      </c>
      <c r="Y2241" s="77" t="s">
        <v>6506</v>
      </c>
      <c r="Z2241" s="77"/>
      <c r="AA2241" s="77"/>
      <c r="AB2241" s="77"/>
      <c r="AC2241" s="82" t="s">
        <v>7754</v>
      </c>
      <c r="AD2241" s="77" t="s">
        <v>7788</v>
      </c>
      <c r="AE2241" s="80" t="str">
        <f>HYPERLINK("https://twitter.com/einvestidor/status/1682491889046396928")</f>
        <v>https://twitter.com/einvestidor/status/1682491889046396928</v>
      </c>
      <c r="AF2241" s="79">
        <v>45128.864583333336</v>
      </c>
      <c r="AG2241" s="85">
        <v>45128</v>
      </c>
      <c r="AH2241" s="82" t="s">
        <v>9596</v>
      </c>
      <c r="AI2241" s="77" t="b">
        <v>0</v>
      </c>
      <c r="AJ2241" s="77"/>
      <c r="AK2241" s="77"/>
      <c r="AL2241" s="77"/>
      <c r="AM2241" s="77"/>
      <c r="AN2241" s="77"/>
      <c r="AO2241" s="77"/>
      <c r="AP2241" s="77"/>
      <c r="AQ2241" s="77"/>
      <c r="AR2241" s="77"/>
      <c r="AS2241" s="77"/>
      <c r="AT2241" s="77"/>
      <c r="AU2241" s="77"/>
      <c r="AV2241" s="80" t="str">
        <f>HYPERLINK("https://pbs.twimg.com/profile_images/1241147984924082183/gZgx_hL-_normal.jpg")</f>
        <v>https://pbs.twimg.com/profile_images/1241147984924082183/gZgx_hL-_normal.jpg</v>
      </c>
      <c r="AW2241" s="82" t="s">
        <v>13837</v>
      </c>
      <c r="AX2241" s="82" t="s">
        <v>13837</v>
      </c>
      <c r="AY2241" s="77"/>
      <c r="AZ2241" s="82" t="s">
        <v>15984</v>
      </c>
      <c r="BA2241" s="82" t="s">
        <v>15984</v>
      </c>
      <c r="BB2241" s="82" t="s">
        <v>15984</v>
      </c>
      <c r="BC2241" s="82" t="s">
        <v>13837</v>
      </c>
      <c r="BD2241" s="82" t="s">
        <v>15979</v>
      </c>
      <c r="BE2241" s="77"/>
      <c r="BF2241" s="77"/>
      <c r="BG2241" s="77"/>
      <c r="BH2241" s="77"/>
      <c r="BI2241" s="77"/>
    </row>
    <row r="2242" spans="1:61" x14ac:dyDescent="0.25">
      <c r="A2242" s="62" t="s">
        <v>387</v>
      </c>
      <c r="B2242" s="62" t="s">
        <v>387</v>
      </c>
      <c r="C2242" s="63"/>
      <c r="D2242" s="64"/>
      <c r="E2242" s="65"/>
      <c r="F2242" s="66"/>
      <c r="G2242" s="63"/>
      <c r="H2242" s="67"/>
      <c r="I2242" s="68"/>
      <c r="J2242" s="68"/>
      <c r="K2242" s="32"/>
      <c r="L2242" s="75">
        <v>2242</v>
      </c>
      <c r="M2242" s="75"/>
      <c r="N2242" s="70"/>
      <c r="O2242" s="77" t="s">
        <v>179</v>
      </c>
      <c r="P2242" s="79">
        <v>45128.854166666664</v>
      </c>
      <c r="Q2242" s="77" t="s">
        <v>2914</v>
      </c>
      <c r="R2242" s="77">
        <v>0</v>
      </c>
      <c r="S2242" s="77">
        <v>2</v>
      </c>
      <c r="T2242" s="77">
        <v>0</v>
      </c>
      <c r="U2242" s="77">
        <v>0</v>
      </c>
      <c r="V2242" s="77">
        <v>1139</v>
      </c>
      <c r="W2242" s="82" t="s">
        <v>4833</v>
      </c>
      <c r="X2242" s="80" t="str">
        <f>HYPERLINK("https://mla.bs/3831c195")</f>
        <v>https://mla.bs/3831c195</v>
      </c>
      <c r="Y2242" s="77" t="s">
        <v>6506</v>
      </c>
      <c r="Z2242" s="77"/>
      <c r="AA2242" s="77"/>
      <c r="AB2242" s="77"/>
      <c r="AC2242" s="82" t="s">
        <v>7754</v>
      </c>
      <c r="AD2242" s="77" t="s">
        <v>7788</v>
      </c>
      <c r="AE2242" s="80" t="str">
        <f>HYPERLINK("https://twitter.com/einvestidor/status/1682488115628494848")</f>
        <v>https://twitter.com/einvestidor/status/1682488115628494848</v>
      </c>
      <c r="AF2242" s="79">
        <v>45128.854166666664</v>
      </c>
      <c r="AG2242" s="85">
        <v>45128</v>
      </c>
      <c r="AH2242" s="82" t="s">
        <v>8090</v>
      </c>
      <c r="AI2242" s="77" t="b">
        <v>0</v>
      </c>
      <c r="AJ2242" s="77"/>
      <c r="AK2242" s="77"/>
      <c r="AL2242" s="77"/>
      <c r="AM2242" s="77"/>
      <c r="AN2242" s="77"/>
      <c r="AO2242" s="77"/>
      <c r="AP2242" s="77"/>
      <c r="AQ2242" s="77"/>
      <c r="AR2242" s="77"/>
      <c r="AS2242" s="77"/>
      <c r="AT2242" s="77"/>
      <c r="AU2242" s="77"/>
      <c r="AV2242" s="80" t="str">
        <f>HYPERLINK("https://pbs.twimg.com/profile_images/1241147984924082183/gZgx_hL-_normal.jpg")</f>
        <v>https://pbs.twimg.com/profile_images/1241147984924082183/gZgx_hL-_normal.jpg</v>
      </c>
      <c r="AW2242" s="82" t="s">
        <v>13838</v>
      </c>
      <c r="AX2242" s="82" t="s">
        <v>13838</v>
      </c>
      <c r="AY2242" s="77"/>
      <c r="AZ2242" s="82" t="s">
        <v>15984</v>
      </c>
      <c r="BA2242" s="82" t="s">
        <v>15984</v>
      </c>
      <c r="BB2242" s="82" t="s">
        <v>15984</v>
      </c>
      <c r="BC2242" s="82" t="s">
        <v>13838</v>
      </c>
      <c r="BD2242" s="82" t="s">
        <v>15979</v>
      </c>
      <c r="BE2242" s="77"/>
      <c r="BF2242" s="77"/>
      <c r="BG2242" s="77"/>
      <c r="BH2242" s="77"/>
      <c r="BI2242" s="77"/>
    </row>
    <row r="2243" spans="1:61" x14ac:dyDescent="0.25">
      <c r="A2243" s="62" t="s">
        <v>387</v>
      </c>
      <c r="B2243" s="62" t="s">
        <v>387</v>
      </c>
      <c r="C2243" s="63"/>
      <c r="D2243" s="64"/>
      <c r="E2243" s="65"/>
      <c r="F2243" s="66"/>
      <c r="G2243" s="63"/>
      <c r="H2243" s="67"/>
      <c r="I2243" s="68"/>
      <c r="J2243" s="68"/>
      <c r="K2243" s="32"/>
      <c r="L2243" s="75">
        <v>2243</v>
      </c>
      <c r="M2243" s="75"/>
      <c r="N2243" s="70"/>
      <c r="O2243" s="77" t="s">
        <v>179</v>
      </c>
      <c r="P2243" s="79">
        <v>45128.84375</v>
      </c>
      <c r="Q2243" s="77" t="s">
        <v>2915</v>
      </c>
      <c r="R2243" s="77">
        <v>1</v>
      </c>
      <c r="S2243" s="77">
        <v>1</v>
      </c>
      <c r="T2243" s="77">
        <v>0</v>
      </c>
      <c r="U2243" s="77">
        <v>0</v>
      </c>
      <c r="V2243" s="77">
        <v>453</v>
      </c>
      <c r="W2243" s="82" t="s">
        <v>4833</v>
      </c>
      <c r="X2243" s="80" t="str">
        <f>HYPERLINK("https://mla.bs/8b717fb1")</f>
        <v>https://mla.bs/8b717fb1</v>
      </c>
      <c r="Y2243" s="77" t="s">
        <v>6506</v>
      </c>
      <c r="Z2243" s="77"/>
      <c r="AA2243" s="77"/>
      <c r="AB2243" s="77"/>
      <c r="AC2243" s="82" t="s">
        <v>7754</v>
      </c>
      <c r="AD2243" s="77" t="s">
        <v>7788</v>
      </c>
      <c r="AE2243" s="80" t="str">
        <f>HYPERLINK("https://twitter.com/einvestidor/status/1682484339521536002")</f>
        <v>https://twitter.com/einvestidor/status/1682484339521536002</v>
      </c>
      <c r="AF2243" s="79">
        <v>45128.84375</v>
      </c>
      <c r="AG2243" s="85">
        <v>45128</v>
      </c>
      <c r="AH2243" s="82" t="s">
        <v>9296</v>
      </c>
      <c r="AI2243" s="77" t="b">
        <v>0</v>
      </c>
      <c r="AJ2243" s="77"/>
      <c r="AK2243" s="77"/>
      <c r="AL2243" s="77"/>
      <c r="AM2243" s="77"/>
      <c r="AN2243" s="77"/>
      <c r="AO2243" s="77"/>
      <c r="AP2243" s="77"/>
      <c r="AQ2243" s="77"/>
      <c r="AR2243" s="77"/>
      <c r="AS2243" s="77"/>
      <c r="AT2243" s="77"/>
      <c r="AU2243" s="77"/>
      <c r="AV2243" s="80" t="str">
        <f>HYPERLINK("https://pbs.twimg.com/profile_images/1241147984924082183/gZgx_hL-_normal.jpg")</f>
        <v>https://pbs.twimg.com/profile_images/1241147984924082183/gZgx_hL-_normal.jpg</v>
      </c>
      <c r="AW2243" s="82" t="s">
        <v>13839</v>
      </c>
      <c r="AX2243" s="82" t="s">
        <v>13839</v>
      </c>
      <c r="AY2243" s="77"/>
      <c r="AZ2243" s="82" t="s">
        <v>15984</v>
      </c>
      <c r="BA2243" s="82" t="s">
        <v>15984</v>
      </c>
      <c r="BB2243" s="82" t="s">
        <v>15984</v>
      </c>
      <c r="BC2243" s="82" t="s">
        <v>13839</v>
      </c>
      <c r="BD2243" s="82" t="s">
        <v>15979</v>
      </c>
      <c r="BE2243" s="77"/>
      <c r="BF2243" s="77"/>
      <c r="BG2243" s="77"/>
      <c r="BH2243" s="77"/>
      <c r="BI2243" s="77"/>
    </row>
    <row r="2244" spans="1:61" x14ac:dyDescent="0.25">
      <c r="A2244" s="62" t="s">
        <v>387</v>
      </c>
      <c r="B2244" s="62" t="s">
        <v>387</v>
      </c>
      <c r="C2244" s="63"/>
      <c r="D2244" s="64"/>
      <c r="E2244" s="65"/>
      <c r="F2244" s="66"/>
      <c r="G2244" s="63"/>
      <c r="H2244" s="67"/>
      <c r="I2244" s="68"/>
      <c r="J2244" s="68"/>
      <c r="K2244" s="32"/>
      <c r="L2244" s="75">
        <v>2244</v>
      </c>
      <c r="M2244" s="75"/>
      <c r="N2244" s="70"/>
      <c r="O2244" s="77" t="s">
        <v>179</v>
      </c>
      <c r="P2244" s="79">
        <v>45118.868287037039</v>
      </c>
      <c r="Q2244" s="77" t="s">
        <v>2916</v>
      </c>
      <c r="R2244" s="77">
        <v>0</v>
      </c>
      <c r="S2244" s="77">
        <v>3</v>
      </c>
      <c r="T2244" s="77">
        <v>0</v>
      </c>
      <c r="U2244" s="77">
        <v>0</v>
      </c>
      <c r="V2244" s="77">
        <v>547</v>
      </c>
      <c r="W2244" s="82" t="s">
        <v>4833</v>
      </c>
      <c r="X2244" s="80" t="str">
        <f>HYPERLINK("https://mla.bs/97f2a44e")</f>
        <v>https://mla.bs/97f2a44e</v>
      </c>
      <c r="Y2244" s="77" t="s">
        <v>6506</v>
      </c>
      <c r="Z2244" s="77"/>
      <c r="AA2244" s="77"/>
      <c r="AB2244" s="77"/>
      <c r="AC2244" s="82" t="s">
        <v>7757</v>
      </c>
      <c r="AD2244" s="77" t="s">
        <v>7788</v>
      </c>
      <c r="AE2244" s="80" t="str">
        <f>HYPERLINK("https://twitter.com/einvestidor/status/1678869353763094532")</f>
        <v>https://twitter.com/einvestidor/status/1678869353763094532</v>
      </c>
      <c r="AF2244" s="79">
        <v>45118.868287037039</v>
      </c>
      <c r="AG2244" s="85">
        <v>45118</v>
      </c>
      <c r="AH2244" s="82" t="s">
        <v>9644</v>
      </c>
      <c r="AI2244" s="77" t="b">
        <v>0</v>
      </c>
      <c r="AJ2244" s="77"/>
      <c r="AK2244" s="77"/>
      <c r="AL2244" s="77"/>
      <c r="AM2244" s="77"/>
      <c r="AN2244" s="77"/>
      <c r="AO2244" s="77"/>
      <c r="AP2244" s="77"/>
      <c r="AQ2244" s="77"/>
      <c r="AR2244" s="77"/>
      <c r="AS2244" s="77"/>
      <c r="AT2244" s="77"/>
      <c r="AU2244" s="77"/>
      <c r="AV2244" s="80" t="str">
        <f>HYPERLINK("https://pbs.twimg.com/profile_images/1241147984924082183/gZgx_hL-_normal.jpg")</f>
        <v>https://pbs.twimg.com/profile_images/1241147984924082183/gZgx_hL-_normal.jpg</v>
      </c>
      <c r="AW2244" s="82" t="s">
        <v>13840</v>
      </c>
      <c r="AX2244" s="82" t="s">
        <v>13840</v>
      </c>
      <c r="AY2244" s="77"/>
      <c r="AZ2244" s="82" t="s">
        <v>15984</v>
      </c>
      <c r="BA2244" s="82" t="s">
        <v>15984</v>
      </c>
      <c r="BB2244" s="82" t="s">
        <v>15984</v>
      </c>
      <c r="BC2244" s="82" t="s">
        <v>13840</v>
      </c>
      <c r="BD2244" s="82" t="s">
        <v>15979</v>
      </c>
      <c r="BE2244" s="77"/>
      <c r="BF2244" s="77"/>
      <c r="BG2244" s="77"/>
      <c r="BH2244" s="77"/>
      <c r="BI2244" s="77"/>
    </row>
    <row r="2245" spans="1:61" x14ac:dyDescent="0.25">
      <c r="A2245" s="62" t="s">
        <v>387</v>
      </c>
      <c r="B2245" s="62" t="s">
        <v>387</v>
      </c>
      <c r="C2245" s="63"/>
      <c r="D2245" s="64"/>
      <c r="E2245" s="65"/>
      <c r="F2245" s="66"/>
      <c r="G2245" s="63"/>
      <c r="H2245" s="67"/>
      <c r="I2245" s="68"/>
      <c r="J2245" s="68"/>
      <c r="K2245" s="32"/>
      <c r="L2245" s="75">
        <v>2245</v>
      </c>
      <c r="M2245" s="75"/>
      <c r="N2245" s="70"/>
      <c r="O2245" s="77" t="s">
        <v>179</v>
      </c>
      <c r="P2245" s="79">
        <v>45118.847349537034</v>
      </c>
      <c r="Q2245" s="77" t="s">
        <v>2917</v>
      </c>
      <c r="R2245" s="77">
        <v>0</v>
      </c>
      <c r="S2245" s="77">
        <v>1</v>
      </c>
      <c r="T2245" s="77">
        <v>0</v>
      </c>
      <c r="U2245" s="77">
        <v>0</v>
      </c>
      <c r="V2245" s="77">
        <v>449</v>
      </c>
      <c r="W2245" s="82" t="s">
        <v>4833</v>
      </c>
      <c r="X2245" s="80" t="str">
        <f>HYPERLINK("https://mla.bs/8ae92e39")</f>
        <v>https://mla.bs/8ae92e39</v>
      </c>
      <c r="Y2245" s="77" t="s">
        <v>6506</v>
      </c>
      <c r="Z2245" s="77"/>
      <c r="AA2245" s="77"/>
      <c r="AB2245" s="77"/>
      <c r="AC2245" s="82" t="s">
        <v>7757</v>
      </c>
      <c r="AD2245" s="77" t="s">
        <v>7788</v>
      </c>
      <c r="AE2245" s="80" t="str">
        <f>HYPERLINK("https://twitter.com/einvestidor/status/1678861766309052419")</f>
        <v>https://twitter.com/einvestidor/status/1678861766309052419</v>
      </c>
      <c r="AF2245" s="79">
        <v>45118.847349537034</v>
      </c>
      <c r="AG2245" s="85">
        <v>45118</v>
      </c>
      <c r="AH2245" s="82" t="s">
        <v>9645</v>
      </c>
      <c r="AI2245" s="77" t="b">
        <v>0</v>
      </c>
      <c r="AJ2245" s="77"/>
      <c r="AK2245" s="77"/>
      <c r="AL2245" s="77"/>
      <c r="AM2245" s="77"/>
      <c r="AN2245" s="77"/>
      <c r="AO2245" s="77"/>
      <c r="AP2245" s="77"/>
      <c r="AQ2245" s="77"/>
      <c r="AR2245" s="77"/>
      <c r="AS2245" s="77"/>
      <c r="AT2245" s="77"/>
      <c r="AU2245" s="77"/>
      <c r="AV2245" s="80" t="str">
        <f>HYPERLINK("https://pbs.twimg.com/profile_images/1241147984924082183/gZgx_hL-_normal.jpg")</f>
        <v>https://pbs.twimg.com/profile_images/1241147984924082183/gZgx_hL-_normal.jpg</v>
      </c>
      <c r="AW2245" s="82" t="s">
        <v>13841</v>
      </c>
      <c r="AX2245" s="82" t="s">
        <v>13841</v>
      </c>
      <c r="AY2245" s="77"/>
      <c r="AZ2245" s="82" t="s">
        <v>15984</v>
      </c>
      <c r="BA2245" s="82" t="s">
        <v>15984</v>
      </c>
      <c r="BB2245" s="82" t="s">
        <v>15984</v>
      </c>
      <c r="BC2245" s="82" t="s">
        <v>13841</v>
      </c>
      <c r="BD2245" s="82" t="s">
        <v>15979</v>
      </c>
      <c r="BE2245" s="77"/>
      <c r="BF2245" s="77"/>
      <c r="BG2245" s="77"/>
      <c r="BH2245" s="77"/>
      <c r="BI2245" s="77"/>
    </row>
    <row r="2246" spans="1:61" x14ac:dyDescent="0.25">
      <c r="A2246" s="62" t="s">
        <v>387</v>
      </c>
      <c r="B2246" s="62" t="s">
        <v>387</v>
      </c>
      <c r="C2246" s="63"/>
      <c r="D2246" s="64"/>
      <c r="E2246" s="65"/>
      <c r="F2246" s="66"/>
      <c r="G2246" s="63"/>
      <c r="H2246" s="67"/>
      <c r="I2246" s="68"/>
      <c r="J2246" s="68"/>
      <c r="K2246" s="32"/>
      <c r="L2246" s="75">
        <v>2246</v>
      </c>
      <c r="M2246" s="75"/>
      <c r="N2246" s="70"/>
      <c r="O2246" s="77" t="s">
        <v>179</v>
      </c>
      <c r="P2246" s="79">
        <v>45118.819560185184</v>
      </c>
      <c r="Q2246" s="77" t="s">
        <v>2918</v>
      </c>
      <c r="R2246" s="77">
        <v>0</v>
      </c>
      <c r="S2246" s="77">
        <v>9</v>
      </c>
      <c r="T2246" s="77">
        <v>0</v>
      </c>
      <c r="U2246" s="77">
        <v>0</v>
      </c>
      <c r="V2246" s="77">
        <v>1050</v>
      </c>
      <c r="W2246" s="82" t="s">
        <v>4833</v>
      </c>
      <c r="X2246" s="80" t="str">
        <f>HYPERLINK("https://mla.bs/220ad99a")</f>
        <v>https://mla.bs/220ad99a</v>
      </c>
      <c r="Y2246" s="77" t="s">
        <v>6506</v>
      </c>
      <c r="Z2246" s="77"/>
      <c r="AA2246" s="77"/>
      <c r="AB2246" s="77"/>
      <c r="AC2246" s="82" t="s">
        <v>7757</v>
      </c>
      <c r="AD2246" s="77" t="s">
        <v>7788</v>
      </c>
      <c r="AE2246" s="80" t="str">
        <f>HYPERLINK("https://twitter.com/einvestidor/status/1678851696095633409")</f>
        <v>https://twitter.com/einvestidor/status/1678851696095633409</v>
      </c>
      <c r="AF2246" s="79">
        <v>45118.819560185184</v>
      </c>
      <c r="AG2246" s="85">
        <v>45118</v>
      </c>
      <c r="AH2246" s="82" t="s">
        <v>9646</v>
      </c>
      <c r="AI2246" s="77" t="b">
        <v>0</v>
      </c>
      <c r="AJ2246" s="77"/>
      <c r="AK2246" s="77"/>
      <c r="AL2246" s="77"/>
      <c r="AM2246" s="77"/>
      <c r="AN2246" s="77"/>
      <c r="AO2246" s="77"/>
      <c r="AP2246" s="77"/>
      <c r="AQ2246" s="77"/>
      <c r="AR2246" s="77"/>
      <c r="AS2246" s="77"/>
      <c r="AT2246" s="77"/>
      <c r="AU2246" s="77"/>
      <c r="AV2246" s="80" t="str">
        <f>HYPERLINK("https://pbs.twimg.com/profile_images/1241147984924082183/gZgx_hL-_normal.jpg")</f>
        <v>https://pbs.twimg.com/profile_images/1241147984924082183/gZgx_hL-_normal.jpg</v>
      </c>
      <c r="AW2246" s="82" t="s">
        <v>13842</v>
      </c>
      <c r="AX2246" s="82" t="s">
        <v>13842</v>
      </c>
      <c r="AY2246" s="77"/>
      <c r="AZ2246" s="82" t="s">
        <v>15984</v>
      </c>
      <c r="BA2246" s="82" t="s">
        <v>15984</v>
      </c>
      <c r="BB2246" s="82" t="s">
        <v>15984</v>
      </c>
      <c r="BC2246" s="82" t="s">
        <v>13842</v>
      </c>
      <c r="BD2246" s="82" t="s">
        <v>15979</v>
      </c>
      <c r="BE2246" s="77"/>
      <c r="BF2246" s="77"/>
      <c r="BG2246" s="77"/>
      <c r="BH2246" s="77"/>
      <c r="BI2246" s="77"/>
    </row>
    <row r="2247" spans="1:61" x14ac:dyDescent="0.25">
      <c r="A2247" s="62" t="s">
        <v>387</v>
      </c>
      <c r="B2247" s="62" t="s">
        <v>387</v>
      </c>
      <c r="C2247" s="63"/>
      <c r="D2247" s="64"/>
      <c r="E2247" s="65"/>
      <c r="F2247" s="66"/>
      <c r="G2247" s="63"/>
      <c r="H2247" s="67"/>
      <c r="I2247" s="68"/>
      <c r="J2247" s="68"/>
      <c r="K2247" s="32"/>
      <c r="L2247" s="75">
        <v>2247</v>
      </c>
      <c r="M2247" s="75"/>
      <c r="N2247" s="70"/>
      <c r="O2247" s="77" t="s">
        <v>179</v>
      </c>
      <c r="P2247" s="79">
        <v>45169.947916666664</v>
      </c>
      <c r="Q2247" s="77" t="s">
        <v>2919</v>
      </c>
      <c r="R2247" s="77">
        <v>0</v>
      </c>
      <c r="S2247" s="77">
        <v>0</v>
      </c>
      <c r="T2247" s="77">
        <v>0</v>
      </c>
      <c r="U2247" s="77">
        <v>0</v>
      </c>
      <c r="V2247" s="77">
        <v>629</v>
      </c>
      <c r="W2247" s="82" t="s">
        <v>4833</v>
      </c>
      <c r="X2247" s="80" t="str">
        <f>HYPERLINK("https://einvestidor.estadao.com.br/ultimas/bolsas-nova-york-fecham-mistas-pressao-setor-saude//?utm_source=twitter&amp;utm_medium=organic&amp;utm_campaign=&amp;utm_content=materia")</f>
        <v>https://einvestidor.estadao.com.br/ultimas/bolsas-nova-york-fecham-mistas-pressao-setor-saude//?utm_source=twitter&amp;utm_medium=organic&amp;utm_campaign=&amp;utm_content=materia</v>
      </c>
      <c r="Y2247" s="77" t="s">
        <v>6470</v>
      </c>
      <c r="Z2247" s="77"/>
      <c r="AA2247" s="77"/>
      <c r="AB2247" s="77"/>
      <c r="AC2247" s="82" t="s">
        <v>7750</v>
      </c>
      <c r="AD2247" s="77" t="s">
        <v>7788</v>
      </c>
      <c r="AE2247" s="80" t="str">
        <f>HYPERLINK("https://twitter.com/einvestidor/status/1697379990629966110")</f>
        <v>https://twitter.com/einvestidor/status/1697379990629966110</v>
      </c>
      <c r="AF2247" s="79">
        <v>45169.947916666664</v>
      </c>
      <c r="AG2247" s="85">
        <v>45169</v>
      </c>
      <c r="AH2247" s="82" t="s">
        <v>9595</v>
      </c>
      <c r="AI2247" s="77" t="b">
        <v>0</v>
      </c>
      <c r="AJ2247" s="77"/>
      <c r="AK2247" s="77"/>
      <c r="AL2247" s="77"/>
      <c r="AM2247" s="77"/>
      <c r="AN2247" s="77"/>
      <c r="AO2247" s="77"/>
      <c r="AP2247" s="77"/>
      <c r="AQ2247" s="77"/>
      <c r="AR2247" s="77"/>
      <c r="AS2247" s="77"/>
      <c r="AT2247" s="77"/>
      <c r="AU2247" s="77"/>
      <c r="AV2247" s="80" t="str">
        <f>HYPERLINK("https://pbs.twimg.com/profile_images/1241147984924082183/gZgx_hL-_normal.jpg")</f>
        <v>https://pbs.twimg.com/profile_images/1241147984924082183/gZgx_hL-_normal.jpg</v>
      </c>
      <c r="AW2247" s="82" t="s">
        <v>13843</v>
      </c>
      <c r="AX2247" s="82" t="s">
        <v>13843</v>
      </c>
      <c r="AY2247" s="77"/>
      <c r="AZ2247" s="82" t="s">
        <v>15984</v>
      </c>
      <c r="BA2247" s="82" t="s">
        <v>15984</v>
      </c>
      <c r="BB2247" s="82" t="s">
        <v>15984</v>
      </c>
      <c r="BC2247" s="82" t="s">
        <v>13843</v>
      </c>
      <c r="BD2247" s="82" t="s">
        <v>15979</v>
      </c>
      <c r="BE2247" s="77"/>
      <c r="BF2247" s="77"/>
      <c r="BG2247" s="77"/>
      <c r="BH2247" s="77"/>
      <c r="BI2247" s="77"/>
    </row>
    <row r="2248" spans="1:61" x14ac:dyDescent="0.25">
      <c r="A2248" s="62" t="s">
        <v>387</v>
      </c>
      <c r="B2248" s="62" t="s">
        <v>387</v>
      </c>
      <c r="C2248" s="63"/>
      <c r="D2248" s="64"/>
      <c r="E2248" s="65"/>
      <c r="F2248" s="66"/>
      <c r="G2248" s="63"/>
      <c r="H2248" s="67"/>
      <c r="I2248" s="68"/>
      <c r="J2248" s="68"/>
      <c r="K2248" s="32"/>
      <c r="L2248" s="75">
        <v>2248</v>
      </c>
      <c r="M2248" s="75"/>
      <c r="N2248" s="70"/>
      <c r="O2248" s="77" t="s">
        <v>179</v>
      </c>
      <c r="P2248" s="79">
        <v>45169.9375</v>
      </c>
      <c r="Q2248" s="77" t="s">
        <v>2920</v>
      </c>
      <c r="R2248" s="77">
        <v>0</v>
      </c>
      <c r="S2248" s="77">
        <v>0</v>
      </c>
      <c r="T2248" s="77">
        <v>0</v>
      </c>
      <c r="U2248" s="77">
        <v>0</v>
      </c>
      <c r="V2248" s="77">
        <v>645</v>
      </c>
      <c r="W2248" s="82" t="s">
        <v>4833</v>
      </c>
      <c r="X2248" s="80" t="str">
        <f>HYPERLINK("https://einvestidor.estadao.com.br/ultimas/juros-treasuries-queda-dados-inflacao-atividade-eua/?utm_source=twitter&amp;utm_medium=organic&amp;utm_campaign=&amp;utm_content=materia")</f>
        <v>https://einvestidor.estadao.com.br/ultimas/juros-treasuries-queda-dados-inflacao-atividade-eua/?utm_source=twitter&amp;utm_medium=organic&amp;utm_campaign=&amp;utm_content=materia</v>
      </c>
      <c r="Y2248" s="77" t="s">
        <v>6470</v>
      </c>
      <c r="Z2248" s="77"/>
      <c r="AA2248" s="77"/>
      <c r="AB2248" s="77"/>
      <c r="AC2248" s="82" t="s">
        <v>7750</v>
      </c>
      <c r="AD2248" s="77" t="s">
        <v>7788</v>
      </c>
      <c r="AE2248" s="80" t="str">
        <f>HYPERLINK("https://twitter.com/einvestidor/status/1697376218205585845")</f>
        <v>https://twitter.com/einvestidor/status/1697376218205585845</v>
      </c>
      <c r="AF2248" s="79">
        <v>45169.9375</v>
      </c>
      <c r="AG2248" s="85">
        <v>45169</v>
      </c>
      <c r="AH2248" s="82" t="s">
        <v>7926</v>
      </c>
      <c r="AI2248" s="77" t="b">
        <v>0</v>
      </c>
      <c r="AJ2248" s="77"/>
      <c r="AK2248" s="77"/>
      <c r="AL2248" s="77"/>
      <c r="AM2248" s="77"/>
      <c r="AN2248" s="77"/>
      <c r="AO2248" s="77"/>
      <c r="AP2248" s="77"/>
      <c r="AQ2248" s="77"/>
      <c r="AR2248" s="77"/>
      <c r="AS2248" s="77"/>
      <c r="AT2248" s="77"/>
      <c r="AU2248" s="77"/>
      <c r="AV2248" s="80" t="str">
        <f>HYPERLINK("https://pbs.twimg.com/profile_images/1241147984924082183/gZgx_hL-_normal.jpg")</f>
        <v>https://pbs.twimg.com/profile_images/1241147984924082183/gZgx_hL-_normal.jpg</v>
      </c>
      <c r="AW2248" s="82" t="s">
        <v>13844</v>
      </c>
      <c r="AX2248" s="82" t="s">
        <v>13844</v>
      </c>
      <c r="AY2248" s="77"/>
      <c r="AZ2248" s="82" t="s">
        <v>15984</v>
      </c>
      <c r="BA2248" s="82" t="s">
        <v>15984</v>
      </c>
      <c r="BB2248" s="82" t="s">
        <v>15984</v>
      </c>
      <c r="BC2248" s="82" t="s">
        <v>13844</v>
      </c>
      <c r="BD2248" s="82" t="s">
        <v>15979</v>
      </c>
      <c r="BE2248" s="77"/>
      <c r="BF2248" s="77"/>
      <c r="BG2248" s="77"/>
      <c r="BH2248" s="77"/>
      <c r="BI2248" s="77"/>
    </row>
    <row r="2249" spans="1:61" x14ac:dyDescent="0.25">
      <c r="A2249" s="62" t="s">
        <v>387</v>
      </c>
      <c r="B2249" s="62" t="s">
        <v>387</v>
      </c>
      <c r="C2249" s="63"/>
      <c r="D2249" s="64"/>
      <c r="E2249" s="65"/>
      <c r="F2249" s="66"/>
      <c r="G2249" s="63"/>
      <c r="H2249" s="67"/>
      <c r="I2249" s="68"/>
      <c r="J2249" s="68"/>
      <c r="K2249" s="32"/>
      <c r="L2249" s="75">
        <v>2249</v>
      </c>
      <c r="M2249" s="75"/>
      <c r="N2249" s="70"/>
      <c r="O2249" s="77" t="s">
        <v>179</v>
      </c>
      <c r="P2249" s="79">
        <v>45168.875</v>
      </c>
      <c r="Q2249" s="77" t="s">
        <v>2921</v>
      </c>
      <c r="R2249" s="77">
        <v>0</v>
      </c>
      <c r="S2249" s="77">
        <v>1</v>
      </c>
      <c r="T2249" s="77">
        <v>0</v>
      </c>
      <c r="U2249" s="77">
        <v>0</v>
      </c>
      <c r="V2249" s="77">
        <v>697</v>
      </c>
      <c r="W2249" s="82" t="s">
        <v>5947</v>
      </c>
      <c r="X2249" s="80" t="str">
        <f>HYPERLINK("https://einvestidor.estadao.com.br/ultimas/santander-nova-tributacao-fiis/?utm_source=twitter&amp;utm_medium=organic&amp;utm_campaign=&amp;utm_content=materia")</f>
        <v>https://einvestidor.estadao.com.br/ultimas/santander-nova-tributacao-fiis/?utm_source=twitter&amp;utm_medium=organic&amp;utm_campaign=&amp;utm_content=materia</v>
      </c>
      <c r="Y2249" s="77" t="s">
        <v>6470</v>
      </c>
      <c r="Z2249" s="77"/>
      <c r="AA2249" s="77"/>
      <c r="AB2249" s="77"/>
      <c r="AC2249" s="82" t="s">
        <v>7750</v>
      </c>
      <c r="AD2249" s="77" t="s">
        <v>7788</v>
      </c>
      <c r="AE2249" s="80" t="str">
        <f>HYPERLINK("https://twitter.com/einvestidor/status/1696991180565680540")</f>
        <v>https://twitter.com/einvestidor/status/1696991180565680540</v>
      </c>
      <c r="AF2249" s="79">
        <v>45168.875</v>
      </c>
      <c r="AG2249" s="85">
        <v>45168</v>
      </c>
      <c r="AH2249" s="82" t="s">
        <v>9647</v>
      </c>
      <c r="AI2249" s="77" t="b">
        <v>0</v>
      </c>
      <c r="AJ2249" s="77"/>
      <c r="AK2249" s="77"/>
      <c r="AL2249" s="77"/>
      <c r="AM2249" s="77"/>
      <c r="AN2249" s="77"/>
      <c r="AO2249" s="77"/>
      <c r="AP2249" s="77"/>
      <c r="AQ2249" s="77"/>
      <c r="AR2249" s="77"/>
      <c r="AS2249" s="77"/>
      <c r="AT2249" s="77"/>
      <c r="AU2249" s="77"/>
      <c r="AV2249" s="80" t="str">
        <f>HYPERLINK("https://pbs.twimg.com/profile_images/1241147984924082183/gZgx_hL-_normal.jpg")</f>
        <v>https://pbs.twimg.com/profile_images/1241147984924082183/gZgx_hL-_normal.jpg</v>
      </c>
      <c r="AW2249" s="82" t="s">
        <v>13845</v>
      </c>
      <c r="AX2249" s="82" t="s">
        <v>13845</v>
      </c>
      <c r="AY2249" s="77"/>
      <c r="AZ2249" s="82" t="s">
        <v>15984</v>
      </c>
      <c r="BA2249" s="82" t="s">
        <v>15984</v>
      </c>
      <c r="BB2249" s="82" t="s">
        <v>15984</v>
      </c>
      <c r="BC2249" s="82" t="s">
        <v>13845</v>
      </c>
      <c r="BD2249" s="82" t="s">
        <v>15979</v>
      </c>
      <c r="BE2249" s="77"/>
      <c r="BF2249" s="77"/>
      <c r="BG2249" s="77"/>
      <c r="BH2249" s="77"/>
      <c r="BI2249" s="77"/>
    </row>
    <row r="2250" spans="1:61" x14ac:dyDescent="0.25">
      <c r="A2250" s="62" t="s">
        <v>387</v>
      </c>
      <c r="B2250" s="62" t="s">
        <v>387</v>
      </c>
      <c r="C2250" s="63"/>
      <c r="D2250" s="64"/>
      <c r="E2250" s="65"/>
      <c r="F2250" s="66"/>
      <c r="G2250" s="63"/>
      <c r="H2250" s="67"/>
      <c r="I2250" s="68"/>
      <c r="J2250" s="68"/>
      <c r="K2250" s="32"/>
      <c r="L2250" s="75">
        <v>2250</v>
      </c>
      <c r="M2250" s="75"/>
      <c r="N2250" s="70"/>
      <c r="O2250" s="77" t="s">
        <v>179</v>
      </c>
      <c r="P2250" s="79">
        <v>45161.889062499999</v>
      </c>
      <c r="Q2250" s="77" t="s">
        <v>2922</v>
      </c>
      <c r="R2250" s="77">
        <v>1</v>
      </c>
      <c r="S2250" s="77">
        <v>0</v>
      </c>
      <c r="T2250" s="77">
        <v>0</v>
      </c>
      <c r="U2250" s="77">
        <v>0</v>
      </c>
      <c r="V2250" s="77">
        <v>492</v>
      </c>
      <c r="W2250" s="82" t="s">
        <v>5948</v>
      </c>
      <c r="X2250" s="80" t="str">
        <f>HYPERLINK("https://mla.bs/e14d3ff5")</f>
        <v>https://mla.bs/e14d3ff5</v>
      </c>
      <c r="Y2250" s="77" t="s">
        <v>6506</v>
      </c>
      <c r="Z2250" s="77"/>
      <c r="AA2250" s="77"/>
      <c r="AB2250" s="77"/>
      <c r="AC2250" s="82" t="s">
        <v>7750</v>
      </c>
      <c r="AD2250" s="77" t="s">
        <v>7788</v>
      </c>
      <c r="AE2250" s="80" t="str">
        <f>HYPERLINK("https://twitter.com/einvestidor/status/1694459559333544385")</f>
        <v>https://twitter.com/einvestidor/status/1694459559333544385</v>
      </c>
      <c r="AF2250" s="79">
        <v>45161.889062499999</v>
      </c>
      <c r="AG2250" s="85">
        <v>45161</v>
      </c>
      <c r="AH2250" s="82" t="s">
        <v>9648</v>
      </c>
      <c r="AI2250" s="77" t="b">
        <v>0</v>
      </c>
      <c r="AJ2250" s="77"/>
      <c r="AK2250" s="77"/>
      <c r="AL2250" s="77"/>
      <c r="AM2250" s="77"/>
      <c r="AN2250" s="77"/>
      <c r="AO2250" s="77"/>
      <c r="AP2250" s="77"/>
      <c r="AQ2250" s="77"/>
      <c r="AR2250" s="77"/>
      <c r="AS2250" s="77"/>
      <c r="AT2250" s="77"/>
      <c r="AU2250" s="77"/>
      <c r="AV2250" s="80" t="str">
        <f>HYPERLINK("https://pbs.twimg.com/profile_images/1241147984924082183/gZgx_hL-_normal.jpg")</f>
        <v>https://pbs.twimg.com/profile_images/1241147984924082183/gZgx_hL-_normal.jpg</v>
      </c>
      <c r="AW2250" s="82" t="s">
        <v>13846</v>
      </c>
      <c r="AX2250" s="82" t="s">
        <v>13846</v>
      </c>
      <c r="AY2250" s="77"/>
      <c r="AZ2250" s="82" t="s">
        <v>15984</v>
      </c>
      <c r="BA2250" s="82" t="s">
        <v>15984</v>
      </c>
      <c r="BB2250" s="82" t="s">
        <v>15984</v>
      </c>
      <c r="BC2250" s="82" t="s">
        <v>13846</v>
      </c>
      <c r="BD2250" s="82" t="s">
        <v>15979</v>
      </c>
      <c r="BE2250" s="77"/>
      <c r="BF2250" s="77"/>
      <c r="BG2250" s="77"/>
      <c r="BH2250" s="77"/>
      <c r="BI2250" s="77"/>
    </row>
    <row r="2251" spans="1:61" x14ac:dyDescent="0.25">
      <c r="A2251" s="62" t="s">
        <v>387</v>
      </c>
      <c r="B2251" s="62" t="s">
        <v>387</v>
      </c>
      <c r="C2251" s="63"/>
      <c r="D2251" s="64"/>
      <c r="E2251" s="65"/>
      <c r="F2251" s="66"/>
      <c r="G2251" s="63"/>
      <c r="H2251" s="67"/>
      <c r="I2251" s="68"/>
      <c r="J2251" s="68"/>
      <c r="K2251" s="32"/>
      <c r="L2251" s="75">
        <v>2251</v>
      </c>
      <c r="M2251" s="75"/>
      <c r="N2251" s="70"/>
      <c r="O2251" s="77" t="s">
        <v>179</v>
      </c>
      <c r="P2251" s="79">
        <v>45160.760416666664</v>
      </c>
      <c r="Q2251" s="77" t="s">
        <v>2923</v>
      </c>
      <c r="R2251" s="77">
        <v>0</v>
      </c>
      <c r="S2251" s="77">
        <v>3</v>
      </c>
      <c r="T2251" s="77">
        <v>1</v>
      </c>
      <c r="U2251" s="77">
        <v>0</v>
      </c>
      <c r="V2251" s="77">
        <v>711</v>
      </c>
      <c r="W2251" s="82" t="s">
        <v>5949</v>
      </c>
      <c r="X2251" s="80" t="str">
        <f>HYPERLINK("https://mla.bs/c080a643")</f>
        <v>https://mla.bs/c080a643</v>
      </c>
      <c r="Y2251" s="77" t="s">
        <v>6506</v>
      </c>
      <c r="Z2251" s="77"/>
      <c r="AA2251" s="77"/>
      <c r="AB2251" s="77"/>
      <c r="AC2251" s="82" t="s">
        <v>7750</v>
      </c>
      <c r="AD2251" s="77" t="s">
        <v>7788</v>
      </c>
      <c r="AE2251" s="80" t="str">
        <f>HYPERLINK("https://twitter.com/einvestidor/status/1694050552626450600")</f>
        <v>https://twitter.com/einvestidor/status/1694050552626450600</v>
      </c>
      <c r="AF2251" s="79">
        <v>45160.760416666664</v>
      </c>
      <c r="AG2251" s="85">
        <v>45160</v>
      </c>
      <c r="AH2251" s="82" t="s">
        <v>9582</v>
      </c>
      <c r="AI2251" s="77" t="b">
        <v>0</v>
      </c>
      <c r="AJ2251" s="77"/>
      <c r="AK2251" s="77"/>
      <c r="AL2251" s="77"/>
      <c r="AM2251" s="77"/>
      <c r="AN2251" s="77"/>
      <c r="AO2251" s="77"/>
      <c r="AP2251" s="77"/>
      <c r="AQ2251" s="77"/>
      <c r="AR2251" s="77"/>
      <c r="AS2251" s="77"/>
      <c r="AT2251" s="77"/>
      <c r="AU2251" s="77"/>
      <c r="AV2251" s="80" t="str">
        <f>HYPERLINK("https://pbs.twimg.com/profile_images/1241147984924082183/gZgx_hL-_normal.jpg")</f>
        <v>https://pbs.twimg.com/profile_images/1241147984924082183/gZgx_hL-_normal.jpg</v>
      </c>
      <c r="AW2251" s="82" t="s">
        <v>13847</v>
      </c>
      <c r="AX2251" s="82" t="s">
        <v>13847</v>
      </c>
      <c r="AY2251" s="77"/>
      <c r="AZ2251" s="82" t="s">
        <v>15984</v>
      </c>
      <c r="BA2251" s="82" t="s">
        <v>15984</v>
      </c>
      <c r="BB2251" s="82" t="s">
        <v>15984</v>
      </c>
      <c r="BC2251" s="82" t="s">
        <v>13847</v>
      </c>
      <c r="BD2251" s="82" t="s">
        <v>15979</v>
      </c>
      <c r="BE2251" s="77"/>
      <c r="BF2251" s="77"/>
      <c r="BG2251" s="77"/>
      <c r="BH2251" s="77"/>
      <c r="BI2251" s="77"/>
    </row>
    <row r="2252" spans="1:61" x14ac:dyDescent="0.25">
      <c r="A2252" s="62" t="s">
        <v>387</v>
      </c>
      <c r="B2252" s="62" t="s">
        <v>387</v>
      </c>
      <c r="C2252" s="63"/>
      <c r="D2252" s="64"/>
      <c r="E2252" s="65"/>
      <c r="F2252" s="66"/>
      <c r="G2252" s="63"/>
      <c r="H2252" s="67"/>
      <c r="I2252" s="68"/>
      <c r="J2252" s="68"/>
      <c r="K2252" s="32"/>
      <c r="L2252" s="75">
        <v>2252</v>
      </c>
      <c r="M2252" s="75"/>
      <c r="N2252" s="70"/>
      <c r="O2252" s="77" t="s">
        <v>179</v>
      </c>
      <c r="P2252" s="79">
        <v>45160.75</v>
      </c>
      <c r="Q2252" s="77" t="s">
        <v>2924</v>
      </c>
      <c r="R2252" s="77">
        <v>0</v>
      </c>
      <c r="S2252" s="77">
        <v>1</v>
      </c>
      <c r="T2252" s="77">
        <v>0</v>
      </c>
      <c r="U2252" s="77">
        <v>0</v>
      </c>
      <c r="V2252" s="77">
        <v>525</v>
      </c>
      <c r="W2252" s="82" t="s">
        <v>5950</v>
      </c>
      <c r="X2252" s="80" t="str">
        <f>HYPERLINK("https://mla.bs/cd0893ee")</f>
        <v>https://mla.bs/cd0893ee</v>
      </c>
      <c r="Y2252" s="77" t="s">
        <v>6506</v>
      </c>
      <c r="Z2252" s="77"/>
      <c r="AA2252" s="77"/>
      <c r="AB2252" s="77"/>
      <c r="AC2252" s="82" t="s">
        <v>7750</v>
      </c>
      <c r="AD2252" s="77" t="s">
        <v>7788</v>
      </c>
      <c r="AE2252" s="80" t="str">
        <f>HYPERLINK("https://twitter.com/einvestidor/status/1694046777278705690")</f>
        <v>https://twitter.com/einvestidor/status/1694046777278705690</v>
      </c>
      <c r="AF2252" s="79">
        <v>45160.75</v>
      </c>
      <c r="AG2252" s="85">
        <v>45160</v>
      </c>
      <c r="AH2252" s="82" t="s">
        <v>7934</v>
      </c>
      <c r="AI2252" s="77" t="b">
        <v>0</v>
      </c>
      <c r="AJ2252" s="77"/>
      <c r="AK2252" s="77"/>
      <c r="AL2252" s="77"/>
      <c r="AM2252" s="77"/>
      <c r="AN2252" s="77"/>
      <c r="AO2252" s="77"/>
      <c r="AP2252" s="77"/>
      <c r="AQ2252" s="77"/>
      <c r="AR2252" s="77"/>
      <c r="AS2252" s="77"/>
      <c r="AT2252" s="77"/>
      <c r="AU2252" s="77"/>
      <c r="AV2252" s="80" t="str">
        <f>HYPERLINK("https://pbs.twimg.com/profile_images/1241147984924082183/gZgx_hL-_normal.jpg")</f>
        <v>https://pbs.twimg.com/profile_images/1241147984924082183/gZgx_hL-_normal.jpg</v>
      </c>
      <c r="AW2252" s="82" t="s">
        <v>13848</v>
      </c>
      <c r="AX2252" s="82" t="s">
        <v>13848</v>
      </c>
      <c r="AY2252" s="77"/>
      <c r="AZ2252" s="82" t="s">
        <v>15984</v>
      </c>
      <c r="BA2252" s="82" t="s">
        <v>15984</v>
      </c>
      <c r="BB2252" s="82" t="s">
        <v>15984</v>
      </c>
      <c r="BC2252" s="82" t="s">
        <v>13848</v>
      </c>
      <c r="BD2252" s="82" t="s">
        <v>15979</v>
      </c>
      <c r="BE2252" s="77"/>
      <c r="BF2252" s="77"/>
      <c r="BG2252" s="77"/>
      <c r="BH2252" s="77"/>
      <c r="BI2252" s="77"/>
    </row>
    <row r="2253" spans="1:61" x14ac:dyDescent="0.25">
      <c r="A2253" s="62" t="s">
        <v>387</v>
      </c>
      <c r="B2253" s="62" t="s">
        <v>387</v>
      </c>
      <c r="C2253" s="63"/>
      <c r="D2253" s="64"/>
      <c r="E2253" s="65"/>
      <c r="F2253" s="66"/>
      <c r="G2253" s="63"/>
      <c r="H2253" s="67"/>
      <c r="I2253" s="68"/>
      <c r="J2253" s="68"/>
      <c r="K2253" s="32"/>
      <c r="L2253" s="75">
        <v>2253</v>
      </c>
      <c r="M2253" s="75"/>
      <c r="N2253" s="70"/>
      <c r="O2253" s="77" t="s">
        <v>179</v>
      </c>
      <c r="P2253" s="79">
        <v>45160.739583333336</v>
      </c>
      <c r="Q2253" s="77" t="s">
        <v>2925</v>
      </c>
      <c r="R2253" s="77">
        <v>0</v>
      </c>
      <c r="S2253" s="77">
        <v>2</v>
      </c>
      <c r="T2253" s="77">
        <v>0</v>
      </c>
      <c r="U2253" s="77">
        <v>0</v>
      </c>
      <c r="V2253" s="77">
        <v>536</v>
      </c>
      <c r="W2253" s="82" t="s">
        <v>5951</v>
      </c>
      <c r="X2253" s="80" t="str">
        <f>HYPERLINK("https://mla.bs/97e4e425")</f>
        <v>https://mla.bs/97e4e425</v>
      </c>
      <c r="Y2253" s="77" t="s">
        <v>6506</v>
      </c>
      <c r="Z2253" s="77"/>
      <c r="AA2253" s="77"/>
      <c r="AB2253" s="77"/>
      <c r="AC2253" s="82" t="s">
        <v>7750</v>
      </c>
      <c r="AD2253" s="77" t="s">
        <v>7788</v>
      </c>
      <c r="AE2253" s="80" t="str">
        <f>HYPERLINK("https://twitter.com/einvestidor/status/1694043002816065567")</f>
        <v>https://twitter.com/einvestidor/status/1694043002816065567</v>
      </c>
      <c r="AF2253" s="79">
        <v>45160.739583333336</v>
      </c>
      <c r="AG2253" s="85">
        <v>45160</v>
      </c>
      <c r="AH2253" s="82" t="s">
        <v>9626</v>
      </c>
      <c r="AI2253" s="77" t="b">
        <v>0</v>
      </c>
      <c r="AJ2253" s="77"/>
      <c r="AK2253" s="77"/>
      <c r="AL2253" s="77"/>
      <c r="AM2253" s="77"/>
      <c r="AN2253" s="77"/>
      <c r="AO2253" s="77"/>
      <c r="AP2253" s="77"/>
      <c r="AQ2253" s="77"/>
      <c r="AR2253" s="77"/>
      <c r="AS2253" s="77"/>
      <c r="AT2253" s="77"/>
      <c r="AU2253" s="77"/>
      <c r="AV2253" s="80" t="str">
        <f>HYPERLINK("https://pbs.twimg.com/profile_images/1241147984924082183/gZgx_hL-_normal.jpg")</f>
        <v>https://pbs.twimg.com/profile_images/1241147984924082183/gZgx_hL-_normal.jpg</v>
      </c>
      <c r="AW2253" s="82" t="s">
        <v>13849</v>
      </c>
      <c r="AX2253" s="82" t="s">
        <v>13849</v>
      </c>
      <c r="AY2253" s="77"/>
      <c r="AZ2253" s="82" t="s">
        <v>15984</v>
      </c>
      <c r="BA2253" s="82" t="s">
        <v>15984</v>
      </c>
      <c r="BB2253" s="82" t="s">
        <v>15984</v>
      </c>
      <c r="BC2253" s="82" t="s">
        <v>13849</v>
      </c>
      <c r="BD2253" s="82" t="s">
        <v>15979</v>
      </c>
      <c r="BE2253" s="77"/>
      <c r="BF2253" s="77"/>
      <c r="BG2253" s="77"/>
      <c r="BH2253" s="77"/>
      <c r="BI2253" s="77"/>
    </row>
    <row r="2254" spans="1:61" x14ac:dyDescent="0.25">
      <c r="A2254" s="62" t="s">
        <v>387</v>
      </c>
      <c r="B2254" s="62" t="s">
        <v>387</v>
      </c>
      <c r="C2254" s="63"/>
      <c r="D2254" s="64"/>
      <c r="E2254" s="65"/>
      <c r="F2254" s="66"/>
      <c r="G2254" s="63"/>
      <c r="H2254" s="67"/>
      <c r="I2254" s="68"/>
      <c r="J2254" s="68"/>
      <c r="K2254" s="32"/>
      <c r="L2254" s="75">
        <v>2254</v>
      </c>
      <c r="M2254" s="75"/>
      <c r="N2254" s="70"/>
      <c r="O2254" s="77" t="s">
        <v>179</v>
      </c>
      <c r="P2254" s="79">
        <v>45160.723564814813</v>
      </c>
      <c r="Q2254" s="77" t="s">
        <v>2926</v>
      </c>
      <c r="R2254" s="77">
        <v>0</v>
      </c>
      <c r="S2254" s="77">
        <v>0</v>
      </c>
      <c r="T2254" s="77">
        <v>0</v>
      </c>
      <c r="U2254" s="77">
        <v>0</v>
      </c>
      <c r="V2254" s="77">
        <v>534</v>
      </c>
      <c r="W2254" s="82" t="s">
        <v>4833</v>
      </c>
      <c r="X2254" s="80" t="str">
        <f>HYPERLINK("https://mla.bs/c076e473")</f>
        <v>https://mla.bs/c076e473</v>
      </c>
      <c r="Y2254" s="77" t="s">
        <v>6506</v>
      </c>
      <c r="Z2254" s="77"/>
      <c r="AA2254" s="77"/>
      <c r="AB2254" s="77"/>
      <c r="AC2254" s="82" t="s">
        <v>7750</v>
      </c>
      <c r="AD2254" s="77" t="s">
        <v>7788</v>
      </c>
      <c r="AE2254" s="80" t="str">
        <f>HYPERLINK("https://twitter.com/einvestidor/status/1694037199761612939")</f>
        <v>https://twitter.com/einvestidor/status/1694037199761612939</v>
      </c>
      <c r="AF2254" s="79">
        <v>45160.723564814813</v>
      </c>
      <c r="AG2254" s="85">
        <v>45160</v>
      </c>
      <c r="AH2254" s="82" t="s">
        <v>9649</v>
      </c>
      <c r="AI2254" s="77" t="b">
        <v>0</v>
      </c>
      <c r="AJ2254" s="77"/>
      <c r="AK2254" s="77"/>
      <c r="AL2254" s="77"/>
      <c r="AM2254" s="77"/>
      <c r="AN2254" s="77"/>
      <c r="AO2254" s="77"/>
      <c r="AP2254" s="77"/>
      <c r="AQ2254" s="77"/>
      <c r="AR2254" s="77"/>
      <c r="AS2254" s="77"/>
      <c r="AT2254" s="77"/>
      <c r="AU2254" s="77"/>
      <c r="AV2254" s="80" t="str">
        <f>HYPERLINK("https://pbs.twimg.com/profile_images/1241147984924082183/gZgx_hL-_normal.jpg")</f>
        <v>https://pbs.twimg.com/profile_images/1241147984924082183/gZgx_hL-_normal.jpg</v>
      </c>
      <c r="AW2254" s="82" t="s">
        <v>13850</v>
      </c>
      <c r="AX2254" s="82" t="s">
        <v>13850</v>
      </c>
      <c r="AY2254" s="77"/>
      <c r="AZ2254" s="82" t="s">
        <v>15984</v>
      </c>
      <c r="BA2254" s="82" t="s">
        <v>15984</v>
      </c>
      <c r="BB2254" s="82" t="s">
        <v>15984</v>
      </c>
      <c r="BC2254" s="82" t="s">
        <v>13850</v>
      </c>
      <c r="BD2254" s="82" t="s">
        <v>15979</v>
      </c>
      <c r="BE2254" s="77"/>
      <c r="BF2254" s="77"/>
      <c r="BG2254" s="77"/>
      <c r="BH2254" s="77"/>
      <c r="BI2254" s="77"/>
    </row>
    <row r="2255" spans="1:61" x14ac:dyDescent="0.25">
      <c r="A2255" s="62" t="s">
        <v>387</v>
      </c>
      <c r="B2255" s="62" t="s">
        <v>387</v>
      </c>
      <c r="C2255" s="63"/>
      <c r="D2255" s="64"/>
      <c r="E2255" s="65"/>
      <c r="F2255" s="66"/>
      <c r="G2255" s="63"/>
      <c r="H2255" s="67"/>
      <c r="I2255" s="68"/>
      <c r="J2255" s="68"/>
      <c r="K2255" s="32"/>
      <c r="L2255" s="75">
        <v>2255</v>
      </c>
      <c r="M2255" s="75"/>
      <c r="N2255" s="70"/>
      <c r="O2255" s="77" t="s">
        <v>179</v>
      </c>
      <c r="P2255" s="79">
        <v>45160.710729166669</v>
      </c>
      <c r="Q2255" s="77" t="s">
        <v>2927</v>
      </c>
      <c r="R2255" s="77">
        <v>0</v>
      </c>
      <c r="S2255" s="77">
        <v>1</v>
      </c>
      <c r="T2255" s="77">
        <v>0</v>
      </c>
      <c r="U2255" s="77">
        <v>0</v>
      </c>
      <c r="V2255" s="77">
        <v>573</v>
      </c>
      <c r="W2255" s="82" t="s">
        <v>4833</v>
      </c>
      <c r="X2255" s="80" t="str">
        <f>HYPERLINK("https://mla.bs/dc43ce47")</f>
        <v>https://mla.bs/dc43ce47</v>
      </c>
      <c r="Y2255" s="77" t="s">
        <v>6506</v>
      </c>
      <c r="Z2255" s="77"/>
      <c r="AA2255" s="77"/>
      <c r="AB2255" s="77"/>
      <c r="AC2255" s="82" t="s">
        <v>7750</v>
      </c>
      <c r="AD2255" s="77" t="s">
        <v>7788</v>
      </c>
      <c r="AE2255" s="80" t="str">
        <f>HYPERLINK("https://twitter.com/einvestidor/status/1694032548949528931")</f>
        <v>https://twitter.com/einvestidor/status/1694032548949528931</v>
      </c>
      <c r="AF2255" s="79">
        <v>45160.710729166669</v>
      </c>
      <c r="AG2255" s="85">
        <v>45160</v>
      </c>
      <c r="AH2255" s="82" t="s">
        <v>9650</v>
      </c>
      <c r="AI2255" s="77" t="b">
        <v>0</v>
      </c>
      <c r="AJ2255" s="77"/>
      <c r="AK2255" s="77"/>
      <c r="AL2255" s="77"/>
      <c r="AM2255" s="77"/>
      <c r="AN2255" s="77"/>
      <c r="AO2255" s="77"/>
      <c r="AP2255" s="77"/>
      <c r="AQ2255" s="77"/>
      <c r="AR2255" s="77"/>
      <c r="AS2255" s="77"/>
      <c r="AT2255" s="77"/>
      <c r="AU2255" s="77"/>
      <c r="AV2255" s="80" t="str">
        <f>HYPERLINK("https://pbs.twimg.com/profile_images/1241147984924082183/gZgx_hL-_normal.jpg")</f>
        <v>https://pbs.twimg.com/profile_images/1241147984924082183/gZgx_hL-_normal.jpg</v>
      </c>
      <c r="AW2255" s="82" t="s">
        <v>13851</v>
      </c>
      <c r="AX2255" s="82" t="s">
        <v>13851</v>
      </c>
      <c r="AY2255" s="77"/>
      <c r="AZ2255" s="82" t="s">
        <v>15984</v>
      </c>
      <c r="BA2255" s="82" t="s">
        <v>15984</v>
      </c>
      <c r="BB2255" s="82" t="s">
        <v>15984</v>
      </c>
      <c r="BC2255" s="82" t="s">
        <v>13851</v>
      </c>
      <c r="BD2255" s="82" t="s">
        <v>15979</v>
      </c>
      <c r="BE2255" s="77"/>
      <c r="BF2255" s="77"/>
      <c r="BG2255" s="77"/>
      <c r="BH2255" s="77"/>
      <c r="BI2255" s="77"/>
    </row>
    <row r="2256" spans="1:61" x14ac:dyDescent="0.25">
      <c r="A2256" s="62" t="s">
        <v>387</v>
      </c>
      <c r="B2256" s="62" t="s">
        <v>387</v>
      </c>
      <c r="C2256" s="63"/>
      <c r="D2256" s="64"/>
      <c r="E2256" s="65"/>
      <c r="F2256" s="66"/>
      <c r="G2256" s="63"/>
      <c r="H2256" s="67"/>
      <c r="I2256" s="68"/>
      <c r="J2256" s="68"/>
      <c r="K2256" s="32"/>
      <c r="L2256" s="75">
        <v>2256</v>
      </c>
      <c r="M2256" s="75"/>
      <c r="N2256" s="70"/>
      <c r="O2256" s="77" t="s">
        <v>179</v>
      </c>
      <c r="P2256" s="79">
        <v>45156.500011574077</v>
      </c>
      <c r="Q2256" s="77" t="s">
        <v>2928</v>
      </c>
      <c r="R2256" s="77">
        <v>0</v>
      </c>
      <c r="S2256" s="77">
        <v>0</v>
      </c>
      <c r="T2256" s="77">
        <v>0</v>
      </c>
      <c r="U2256" s="77">
        <v>0</v>
      </c>
      <c r="V2256" s="77">
        <v>519</v>
      </c>
      <c r="W2256" s="82" t="s">
        <v>5952</v>
      </c>
      <c r="X2256" s="80" t="str">
        <f>HYPERLINK("https://einvestidor.estadao.com.br/ultimas/petrobras-petr3-petr4-braskem-brkm5-2/?utm_source=twitter&amp;utm_medium=organic&amp;utm_campaign=petrobras&amp;utm_content=materia")</f>
        <v>https://einvestidor.estadao.com.br/ultimas/petrobras-petr3-petr4-braskem-brkm5-2/?utm_source=twitter&amp;utm_medium=organic&amp;utm_campaign=petrobras&amp;utm_content=materia</v>
      </c>
      <c r="Y2256" s="77" t="s">
        <v>6470</v>
      </c>
      <c r="Z2256" s="77"/>
      <c r="AA2256" s="77"/>
      <c r="AB2256" s="77"/>
      <c r="AC2256" s="82" t="s">
        <v>7750</v>
      </c>
      <c r="AD2256" s="77" t="s">
        <v>7788</v>
      </c>
      <c r="AE2256" s="80" t="str">
        <f>HYPERLINK("https://twitter.com/einvestidor/status/1692506632285265943")</f>
        <v>https://twitter.com/einvestidor/status/1692506632285265943</v>
      </c>
      <c r="AF2256" s="79">
        <v>45156.500011574077</v>
      </c>
      <c r="AG2256" s="85">
        <v>45156</v>
      </c>
      <c r="AH2256" s="82" t="s">
        <v>9002</v>
      </c>
      <c r="AI2256" s="77" t="b">
        <v>0</v>
      </c>
      <c r="AJ2256" s="77"/>
      <c r="AK2256" s="77"/>
      <c r="AL2256" s="77"/>
      <c r="AM2256" s="77"/>
      <c r="AN2256" s="77"/>
      <c r="AO2256" s="77"/>
      <c r="AP2256" s="77"/>
      <c r="AQ2256" s="77"/>
      <c r="AR2256" s="77"/>
      <c r="AS2256" s="77"/>
      <c r="AT2256" s="77"/>
      <c r="AU2256" s="77"/>
      <c r="AV2256" s="80" t="str">
        <f>HYPERLINK("https://pbs.twimg.com/profile_images/1241147984924082183/gZgx_hL-_normal.jpg")</f>
        <v>https://pbs.twimg.com/profile_images/1241147984924082183/gZgx_hL-_normal.jpg</v>
      </c>
      <c r="AW2256" s="82" t="s">
        <v>13852</v>
      </c>
      <c r="AX2256" s="82" t="s">
        <v>13852</v>
      </c>
      <c r="AY2256" s="77"/>
      <c r="AZ2256" s="82" t="s">
        <v>15984</v>
      </c>
      <c r="BA2256" s="82" t="s">
        <v>15984</v>
      </c>
      <c r="BB2256" s="82" t="s">
        <v>15984</v>
      </c>
      <c r="BC2256" s="82" t="s">
        <v>13852</v>
      </c>
      <c r="BD2256" s="82" t="s">
        <v>15979</v>
      </c>
      <c r="BE2256" s="77"/>
      <c r="BF2256" s="77"/>
      <c r="BG2256" s="77"/>
      <c r="BH2256" s="77"/>
      <c r="BI2256" s="77"/>
    </row>
    <row r="2257" spans="1:61" x14ac:dyDescent="0.25">
      <c r="A2257" s="62" t="s">
        <v>387</v>
      </c>
      <c r="B2257" s="62" t="s">
        <v>387</v>
      </c>
      <c r="C2257" s="63"/>
      <c r="D2257" s="64"/>
      <c r="E2257" s="65"/>
      <c r="F2257" s="66"/>
      <c r="G2257" s="63"/>
      <c r="H2257" s="67"/>
      <c r="I2257" s="68"/>
      <c r="J2257" s="68"/>
      <c r="K2257" s="32"/>
      <c r="L2257" s="75">
        <v>2257</v>
      </c>
      <c r="M2257" s="75"/>
      <c r="N2257" s="70"/>
      <c r="O2257" s="77" t="s">
        <v>179</v>
      </c>
      <c r="P2257" s="79">
        <v>45156.479027777779</v>
      </c>
      <c r="Q2257" s="77" t="s">
        <v>2929</v>
      </c>
      <c r="R2257" s="77">
        <v>1</v>
      </c>
      <c r="S2257" s="77">
        <v>5</v>
      </c>
      <c r="T2257" s="77">
        <v>0</v>
      </c>
      <c r="U2257" s="77">
        <v>0</v>
      </c>
      <c r="V2257" s="77">
        <v>625</v>
      </c>
      <c r="W2257" s="82" t="s">
        <v>4839</v>
      </c>
      <c r="X2257" s="80" t="str">
        <f>HYPERLINK("https://einvestidor.estadao.com.br/mercado/mercado-hoje-abertura-reforma-ministerial-exterior-pessimismo/?utm_source=twitter&amp;utm_medium=organic&amp;utm_campaign=mercado-hoje&amp;utm_content=materia")</f>
        <v>https://einvestidor.estadao.com.br/mercado/mercado-hoje-abertura-reforma-ministerial-exterior-pessimismo/?utm_source=twitter&amp;utm_medium=organic&amp;utm_campaign=mercado-hoje&amp;utm_content=materia</v>
      </c>
      <c r="Y2257" s="77" t="s">
        <v>6470</v>
      </c>
      <c r="Z2257" s="77"/>
      <c r="AA2257" s="77"/>
      <c r="AB2257" s="77"/>
      <c r="AC2257" s="82" t="s">
        <v>7750</v>
      </c>
      <c r="AD2257" s="77" t="s">
        <v>7788</v>
      </c>
      <c r="AE2257" s="80" t="str">
        <f>HYPERLINK("https://twitter.com/einvestidor/status/1692499028406305278")</f>
        <v>https://twitter.com/einvestidor/status/1692499028406305278</v>
      </c>
      <c r="AF2257" s="79">
        <v>45156.479027777779</v>
      </c>
      <c r="AG2257" s="85">
        <v>45156</v>
      </c>
      <c r="AH2257" s="82" t="s">
        <v>9651</v>
      </c>
      <c r="AI2257" s="77" t="b">
        <v>0</v>
      </c>
      <c r="AJ2257" s="77"/>
      <c r="AK2257" s="77"/>
      <c r="AL2257" s="77"/>
      <c r="AM2257" s="77"/>
      <c r="AN2257" s="77"/>
      <c r="AO2257" s="77"/>
      <c r="AP2257" s="77"/>
      <c r="AQ2257" s="77"/>
      <c r="AR2257" s="77"/>
      <c r="AS2257" s="77"/>
      <c r="AT2257" s="77"/>
      <c r="AU2257" s="77"/>
      <c r="AV2257" s="80" t="str">
        <f>HYPERLINK("https://pbs.twimg.com/profile_images/1241147984924082183/gZgx_hL-_normal.jpg")</f>
        <v>https://pbs.twimg.com/profile_images/1241147984924082183/gZgx_hL-_normal.jpg</v>
      </c>
      <c r="AW2257" s="82" t="s">
        <v>13853</v>
      </c>
      <c r="AX2257" s="82" t="s">
        <v>13853</v>
      </c>
      <c r="AY2257" s="77"/>
      <c r="AZ2257" s="82" t="s">
        <v>15984</v>
      </c>
      <c r="BA2257" s="82" t="s">
        <v>15984</v>
      </c>
      <c r="BB2257" s="82" t="s">
        <v>15984</v>
      </c>
      <c r="BC2257" s="82" t="s">
        <v>13853</v>
      </c>
      <c r="BD2257" s="82" t="s">
        <v>15979</v>
      </c>
      <c r="BE2257" s="77"/>
      <c r="BF2257" s="77"/>
      <c r="BG2257" s="77"/>
      <c r="BH2257" s="77"/>
      <c r="BI2257" s="77"/>
    </row>
    <row r="2258" spans="1:61" x14ac:dyDescent="0.25">
      <c r="A2258" s="62" t="s">
        <v>387</v>
      </c>
      <c r="B2258" s="62" t="s">
        <v>387</v>
      </c>
      <c r="C2258" s="63"/>
      <c r="D2258" s="64"/>
      <c r="E2258" s="65"/>
      <c r="F2258" s="66"/>
      <c r="G2258" s="63"/>
      <c r="H2258" s="67"/>
      <c r="I2258" s="68"/>
      <c r="J2258" s="68"/>
      <c r="K2258" s="32"/>
      <c r="L2258" s="75">
        <v>2258</v>
      </c>
      <c r="M2258" s="75"/>
      <c r="N2258" s="70"/>
      <c r="O2258" s="77" t="s">
        <v>179</v>
      </c>
      <c r="P2258" s="79">
        <v>45156.439722222225</v>
      </c>
      <c r="Q2258" s="77" t="s">
        <v>2930</v>
      </c>
      <c r="R2258" s="77">
        <v>0</v>
      </c>
      <c r="S2258" s="77">
        <v>3</v>
      </c>
      <c r="T2258" s="77">
        <v>0</v>
      </c>
      <c r="U2258" s="77">
        <v>0</v>
      </c>
      <c r="V2258" s="77">
        <v>623</v>
      </c>
      <c r="W2258" s="82" t="s">
        <v>5577</v>
      </c>
      <c r="X2258" s="80" t="str">
        <f>HYPERLINK("https://einvestidor.estadao.com.br/mercado/ibovespa-queda-em-agosto-veja-projecoes-para-2023/?utm_source=twitter&amp;utm_medium=organic&amp;utm_campaign=ibovespa&amp;utm_content=materia")</f>
        <v>https://einvestidor.estadao.com.br/mercado/ibovespa-queda-em-agosto-veja-projecoes-para-2023/?utm_source=twitter&amp;utm_medium=organic&amp;utm_campaign=ibovespa&amp;utm_content=materia</v>
      </c>
      <c r="Y2258" s="77" t="s">
        <v>6470</v>
      </c>
      <c r="Z2258" s="77"/>
      <c r="AA2258" s="77"/>
      <c r="AB2258" s="77"/>
      <c r="AC2258" s="82" t="s">
        <v>7750</v>
      </c>
      <c r="AD2258" s="77" t="s">
        <v>7788</v>
      </c>
      <c r="AE2258" s="80" t="str">
        <f>HYPERLINK("https://twitter.com/einvestidor/status/1692484785090740305")</f>
        <v>https://twitter.com/einvestidor/status/1692484785090740305</v>
      </c>
      <c r="AF2258" s="79">
        <v>45156.439722222225</v>
      </c>
      <c r="AG2258" s="85">
        <v>45156</v>
      </c>
      <c r="AH2258" s="82" t="s">
        <v>9652</v>
      </c>
      <c r="AI2258" s="77" t="b">
        <v>0</v>
      </c>
      <c r="AJ2258" s="77"/>
      <c r="AK2258" s="77"/>
      <c r="AL2258" s="77"/>
      <c r="AM2258" s="77"/>
      <c r="AN2258" s="77"/>
      <c r="AO2258" s="77"/>
      <c r="AP2258" s="77"/>
      <c r="AQ2258" s="77"/>
      <c r="AR2258" s="77"/>
      <c r="AS2258" s="77"/>
      <c r="AT2258" s="77"/>
      <c r="AU2258" s="77"/>
      <c r="AV2258" s="80" t="str">
        <f>HYPERLINK("https://pbs.twimg.com/profile_images/1241147984924082183/gZgx_hL-_normal.jpg")</f>
        <v>https://pbs.twimg.com/profile_images/1241147984924082183/gZgx_hL-_normal.jpg</v>
      </c>
      <c r="AW2258" s="82" t="s">
        <v>13854</v>
      </c>
      <c r="AX2258" s="82" t="s">
        <v>13854</v>
      </c>
      <c r="AY2258" s="77"/>
      <c r="AZ2258" s="82" t="s">
        <v>15984</v>
      </c>
      <c r="BA2258" s="82" t="s">
        <v>15984</v>
      </c>
      <c r="BB2258" s="82" t="s">
        <v>15984</v>
      </c>
      <c r="BC2258" s="82" t="s">
        <v>13854</v>
      </c>
      <c r="BD2258" s="82" t="s">
        <v>15979</v>
      </c>
      <c r="BE2258" s="77"/>
      <c r="BF2258" s="77"/>
      <c r="BG2258" s="77"/>
      <c r="BH2258" s="77"/>
      <c r="BI2258" s="77"/>
    </row>
    <row r="2259" spans="1:61" x14ac:dyDescent="0.25">
      <c r="A2259" s="62" t="s">
        <v>387</v>
      </c>
      <c r="B2259" s="62" t="s">
        <v>387</v>
      </c>
      <c r="C2259" s="63"/>
      <c r="D2259" s="64"/>
      <c r="E2259" s="65"/>
      <c r="F2259" s="66"/>
      <c r="G2259" s="63"/>
      <c r="H2259" s="67"/>
      <c r="I2259" s="68"/>
      <c r="J2259" s="68"/>
      <c r="K2259" s="32"/>
      <c r="L2259" s="75">
        <v>2259</v>
      </c>
      <c r="M2259" s="75"/>
      <c r="N2259" s="70"/>
      <c r="O2259" s="77" t="s">
        <v>179</v>
      </c>
      <c r="P2259" s="79">
        <v>45149.953009259261</v>
      </c>
      <c r="Q2259" s="77" t="s">
        <v>2931</v>
      </c>
      <c r="R2259" s="77">
        <v>0</v>
      </c>
      <c r="S2259" s="77">
        <v>1</v>
      </c>
      <c r="T2259" s="77">
        <v>0</v>
      </c>
      <c r="U2259" s="77">
        <v>0</v>
      </c>
      <c r="V2259" s="77">
        <v>723</v>
      </c>
      <c r="W2259" s="82" t="s">
        <v>4833</v>
      </c>
      <c r="X2259" s="80" t="str">
        <f>HYPERLINK("https://mla.bs/98a7a1d6")</f>
        <v>https://mla.bs/98a7a1d6</v>
      </c>
      <c r="Y2259" s="77" t="s">
        <v>6506</v>
      </c>
      <c r="Z2259" s="77"/>
      <c r="AA2259" s="77"/>
      <c r="AB2259" s="77"/>
      <c r="AC2259" s="82" t="s">
        <v>7754</v>
      </c>
      <c r="AD2259" s="77" t="s">
        <v>7788</v>
      </c>
      <c r="AE2259" s="80" t="str">
        <f>HYPERLINK("https://twitter.com/einvestidor/status/1690134081739038720")</f>
        <v>https://twitter.com/einvestidor/status/1690134081739038720</v>
      </c>
      <c r="AF2259" s="79">
        <v>45149.953009259261</v>
      </c>
      <c r="AG2259" s="85">
        <v>45149</v>
      </c>
      <c r="AH2259" s="82" t="s">
        <v>9653</v>
      </c>
      <c r="AI2259" s="77" t="b">
        <v>0</v>
      </c>
      <c r="AJ2259" s="77"/>
      <c r="AK2259" s="77"/>
      <c r="AL2259" s="77"/>
      <c r="AM2259" s="77"/>
      <c r="AN2259" s="77"/>
      <c r="AO2259" s="77"/>
      <c r="AP2259" s="77"/>
      <c r="AQ2259" s="77"/>
      <c r="AR2259" s="77"/>
      <c r="AS2259" s="77"/>
      <c r="AT2259" s="77"/>
      <c r="AU2259" s="77"/>
      <c r="AV2259" s="80" t="str">
        <f>HYPERLINK("https://pbs.twimg.com/profile_images/1241147984924082183/gZgx_hL-_normal.jpg")</f>
        <v>https://pbs.twimg.com/profile_images/1241147984924082183/gZgx_hL-_normal.jpg</v>
      </c>
      <c r="AW2259" s="82" t="s">
        <v>13855</v>
      </c>
      <c r="AX2259" s="82" t="s">
        <v>13855</v>
      </c>
      <c r="AY2259" s="77"/>
      <c r="AZ2259" s="82" t="s">
        <v>15984</v>
      </c>
      <c r="BA2259" s="82" t="s">
        <v>15984</v>
      </c>
      <c r="BB2259" s="82" t="s">
        <v>15984</v>
      </c>
      <c r="BC2259" s="82" t="s">
        <v>13855</v>
      </c>
      <c r="BD2259" s="82" t="s">
        <v>15979</v>
      </c>
      <c r="BE2259" s="77"/>
      <c r="BF2259" s="77"/>
      <c r="BG2259" s="77"/>
      <c r="BH2259" s="77"/>
      <c r="BI2259" s="77"/>
    </row>
    <row r="2260" spans="1:61" x14ac:dyDescent="0.25">
      <c r="A2260" s="62" t="s">
        <v>387</v>
      </c>
      <c r="B2260" s="62" t="s">
        <v>387</v>
      </c>
      <c r="C2260" s="63"/>
      <c r="D2260" s="64"/>
      <c r="E2260" s="65"/>
      <c r="F2260" s="66"/>
      <c r="G2260" s="63"/>
      <c r="H2260" s="67"/>
      <c r="I2260" s="68"/>
      <c r="J2260" s="68"/>
      <c r="K2260" s="32"/>
      <c r="L2260" s="75">
        <v>2260</v>
      </c>
      <c r="M2260" s="75"/>
      <c r="N2260" s="70"/>
      <c r="O2260" s="77" t="s">
        <v>179</v>
      </c>
      <c r="P2260" s="79">
        <v>45149.916689814818</v>
      </c>
      <c r="Q2260" s="77" t="s">
        <v>2932</v>
      </c>
      <c r="R2260" s="77">
        <v>0</v>
      </c>
      <c r="S2260" s="77">
        <v>1</v>
      </c>
      <c r="T2260" s="77">
        <v>1</v>
      </c>
      <c r="U2260" s="77">
        <v>0</v>
      </c>
      <c r="V2260" s="77">
        <v>569</v>
      </c>
      <c r="W2260" s="82" t="s">
        <v>4833</v>
      </c>
      <c r="X2260" s="80" t="str">
        <f>HYPERLINK("https://mla.bs/d7aeffc4")</f>
        <v>https://mla.bs/d7aeffc4</v>
      </c>
      <c r="Y2260" s="77" t="s">
        <v>6506</v>
      </c>
      <c r="Z2260" s="77"/>
      <c r="AA2260" s="77"/>
      <c r="AB2260" s="77"/>
      <c r="AC2260" s="82" t="s">
        <v>7754</v>
      </c>
      <c r="AD2260" s="77" t="s">
        <v>7788</v>
      </c>
      <c r="AE2260" s="80" t="str">
        <f>HYPERLINK("https://twitter.com/einvestidor/status/1690120916368592899")</f>
        <v>https://twitter.com/einvestidor/status/1690120916368592899</v>
      </c>
      <c r="AF2260" s="79">
        <v>45149.916689814818</v>
      </c>
      <c r="AG2260" s="85">
        <v>45149</v>
      </c>
      <c r="AH2260" s="82" t="s">
        <v>8627</v>
      </c>
      <c r="AI2260" s="77" t="b">
        <v>0</v>
      </c>
      <c r="AJ2260" s="77"/>
      <c r="AK2260" s="77"/>
      <c r="AL2260" s="77"/>
      <c r="AM2260" s="77"/>
      <c r="AN2260" s="77"/>
      <c r="AO2260" s="77"/>
      <c r="AP2260" s="77"/>
      <c r="AQ2260" s="77"/>
      <c r="AR2260" s="77"/>
      <c r="AS2260" s="77"/>
      <c r="AT2260" s="77"/>
      <c r="AU2260" s="77"/>
      <c r="AV2260" s="80" t="str">
        <f>HYPERLINK("https://pbs.twimg.com/profile_images/1241147984924082183/gZgx_hL-_normal.jpg")</f>
        <v>https://pbs.twimg.com/profile_images/1241147984924082183/gZgx_hL-_normal.jpg</v>
      </c>
      <c r="AW2260" s="82" t="s">
        <v>13856</v>
      </c>
      <c r="AX2260" s="82" t="s">
        <v>13856</v>
      </c>
      <c r="AY2260" s="77"/>
      <c r="AZ2260" s="82" t="s">
        <v>15984</v>
      </c>
      <c r="BA2260" s="82" t="s">
        <v>15984</v>
      </c>
      <c r="BB2260" s="82" t="s">
        <v>15984</v>
      </c>
      <c r="BC2260" s="82" t="s">
        <v>13856</v>
      </c>
      <c r="BD2260" s="82" t="s">
        <v>15979</v>
      </c>
      <c r="BE2260" s="77"/>
      <c r="BF2260" s="77"/>
      <c r="BG2260" s="77"/>
      <c r="BH2260" s="77"/>
      <c r="BI2260" s="77"/>
    </row>
    <row r="2261" spans="1:61" x14ac:dyDescent="0.25">
      <c r="A2261" s="62" t="s">
        <v>387</v>
      </c>
      <c r="B2261" s="62" t="s">
        <v>387</v>
      </c>
      <c r="C2261" s="63"/>
      <c r="D2261" s="64"/>
      <c r="E2261" s="65"/>
      <c r="F2261" s="66"/>
      <c r="G2261" s="63"/>
      <c r="H2261" s="67"/>
      <c r="I2261" s="68"/>
      <c r="J2261" s="68"/>
      <c r="K2261" s="32"/>
      <c r="L2261" s="75">
        <v>2261</v>
      </c>
      <c r="M2261" s="75"/>
      <c r="N2261" s="70"/>
      <c r="O2261" s="77" t="s">
        <v>179</v>
      </c>
      <c r="P2261" s="79">
        <v>45149.90625</v>
      </c>
      <c r="Q2261" s="77" t="s">
        <v>2933</v>
      </c>
      <c r="R2261" s="77">
        <v>1</v>
      </c>
      <c r="S2261" s="77">
        <v>1</v>
      </c>
      <c r="T2261" s="77">
        <v>0</v>
      </c>
      <c r="U2261" s="77">
        <v>0</v>
      </c>
      <c r="V2261" s="77">
        <v>567</v>
      </c>
      <c r="W2261" s="82" t="s">
        <v>4833</v>
      </c>
      <c r="X2261" s="80" t="str">
        <f>HYPERLINK("https://mla.bs/7f384851")</f>
        <v>https://mla.bs/7f384851</v>
      </c>
      <c r="Y2261" s="77" t="s">
        <v>6506</v>
      </c>
      <c r="Z2261" s="77"/>
      <c r="AA2261" s="77"/>
      <c r="AB2261" s="77"/>
      <c r="AC2261" s="82" t="s">
        <v>7754</v>
      </c>
      <c r="AD2261" s="77" t="s">
        <v>7788</v>
      </c>
      <c r="AE2261" s="80" t="str">
        <f>HYPERLINK("https://twitter.com/einvestidor/status/1690117134003965953")</f>
        <v>https://twitter.com/einvestidor/status/1690117134003965953</v>
      </c>
      <c r="AF2261" s="79">
        <v>45149.90625</v>
      </c>
      <c r="AG2261" s="85">
        <v>45149</v>
      </c>
      <c r="AH2261" s="82" t="s">
        <v>9578</v>
      </c>
      <c r="AI2261" s="77" t="b">
        <v>0</v>
      </c>
      <c r="AJ2261" s="77"/>
      <c r="AK2261" s="77"/>
      <c r="AL2261" s="77"/>
      <c r="AM2261" s="77"/>
      <c r="AN2261" s="77"/>
      <c r="AO2261" s="77"/>
      <c r="AP2261" s="77"/>
      <c r="AQ2261" s="77"/>
      <c r="AR2261" s="77"/>
      <c r="AS2261" s="77"/>
      <c r="AT2261" s="77"/>
      <c r="AU2261" s="77"/>
      <c r="AV2261" s="80" t="str">
        <f>HYPERLINK("https://pbs.twimg.com/profile_images/1241147984924082183/gZgx_hL-_normal.jpg")</f>
        <v>https://pbs.twimg.com/profile_images/1241147984924082183/gZgx_hL-_normal.jpg</v>
      </c>
      <c r="AW2261" s="82" t="s">
        <v>13857</v>
      </c>
      <c r="AX2261" s="82" t="s">
        <v>13857</v>
      </c>
      <c r="AY2261" s="77"/>
      <c r="AZ2261" s="82" t="s">
        <v>15984</v>
      </c>
      <c r="BA2261" s="82" t="s">
        <v>15984</v>
      </c>
      <c r="BB2261" s="82" t="s">
        <v>15984</v>
      </c>
      <c r="BC2261" s="82" t="s">
        <v>13857</v>
      </c>
      <c r="BD2261" s="82" t="s">
        <v>15979</v>
      </c>
      <c r="BE2261" s="77"/>
      <c r="BF2261" s="77"/>
      <c r="BG2261" s="77"/>
      <c r="BH2261" s="77"/>
      <c r="BI2261" s="77"/>
    </row>
    <row r="2262" spans="1:61" x14ac:dyDescent="0.25">
      <c r="A2262" s="62" t="s">
        <v>387</v>
      </c>
      <c r="B2262" s="62" t="s">
        <v>387</v>
      </c>
      <c r="C2262" s="63"/>
      <c r="D2262" s="64"/>
      <c r="E2262" s="65"/>
      <c r="F2262" s="66"/>
      <c r="G2262" s="63"/>
      <c r="H2262" s="67"/>
      <c r="I2262" s="68"/>
      <c r="J2262" s="68"/>
      <c r="K2262" s="32"/>
      <c r="L2262" s="75">
        <v>2262</v>
      </c>
      <c r="M2262" s="75"/>
      <c r="N2262" s="70"/>
      <c r="O2262" s="77" t="s">
        <v>179</v>
      </c>
      <c r="P2262" s="79">
        <v>45149.884004629632</v>
      </c>
      <c r="Q2262" s="77" t="s">
        <v>2934</v>
      </c>
      <c r="R2262" s="77">
        <v>0</v>
      </c>
      <c r="S2262" s="77">
        <v>0</v>
      </c>
      <c r="T2262" s="77">
        <v>0</v>
      </c>
      <c r="U2262" s="77">
        <v>0</v>
      </c>
      <c r="V2262" s="77">
        <v>688</v>
      </c>
      <c r="W2262" s="82" t="s">
        <v>5953</v>
      </c>
      <c r="X2262" s="80" t="str">
        <f>HYPERLINK("https://mla.bs/e1d2ce12")</f>
        <v>https://mla.bs/e1d2ce12</v>
      </c>
      <c r="Y2262" s="77" t="s">
        <v>6506</v>
      </c>
      <c r="Z2262" s="77"/>
      <c r="AA2262" s="77"/>
      <c r="AB2262" s="77"/>
      <c r="AC2262" s="82" t="s">
        <v>7754</v>
      </c>
      <c r="AD2262" s="77" t="s">
        <v>7788</v>
      </c>
      <c r="AE2262" s="80" t="str">
        <f>HYPERLINK("https://twitter.com/einvestidor/status/1690109073977384960")</f>
        <v>https://twitter.com/einvestidor/status/1690109073977384960</v>
      </c>
      <c r="AF2262" s="79">
        <v>45149.884004629632</v>
      </c>
      <c r="AG2262" s="85">
        <v>45149</v>
      </c>
      <c r="AH2262" s="82" t="s">
        <v>9654</v>
      </c>
      <c r="AI2262" s="77" t="b">
        <v>0</v>
      </c>
      <c r="AJ2262" s="77"/>
      <c r="AK2262" s="77"/>
      <c r="AL2262" s="77"/>
      <c r="AM2262" s="77"/>
      <c r="AN2262" s="77"/>
      <c r="AO2262" s="77"/>
      <c r="AP2262" s="77"/>
      <c r="AQ2262" s="77"/>
      <c r="AR2262" s="77"/>
      <c r="AS2262" s="77"/>
      <c r="AT2262" s="77"/>
      <c r="AU2262" s="77"/>
      <c r="AV2262" s="80" t="str">
        <f>HYPERLINK("https://pbs.twimg.com/profile_images/1241147984924082183/gZgx_hL-_normal.jpg")</f>
        <v>https://pbs.twimg.com/profile_images/1241147984924082183/gZgx_hL-_normal.jpg</v>
      </c>
      <c r="AW2262" s="82" t="s">
        <v>13858</v>
      </c>
      <c r="AX2262" s="82" t="s">
        <v>13858</v>
      </c>
      <c r="AY2262" s="77"/>
      <c r="AZ2262" s="82" t="s">
        <v>15984</v>
      </c>
      <c r="BA2262" s="82" t="s">
        <v>15984</v>
      </c>
      <c r="BB2262" s="82" t="s">
        <v>15984</v>
      </c>
      <c r="BC2262" s="82" t="s">
        <v>13858</v>
      </c>
      <c r="BD2262" s="82" t="s">
        <v>15979</v>
      </c>
      <c r="BE2262" s="77"/>
      <c r="BF2262" s="77"/>
      <c r="BG2262" s="77"/>
      <c r="BH2262" s="77"/>
      <c r="BI2262" s="77"/>
    </row>
    <row r="2263" spans="1:61" x14ac:dyDescent="0.25">
      <c r="A2263" s="62" t="s">
        <v>387</v>
      </c>
      <c r="B2263" s="62" t="s">
        <v>387</v>
      </c>
      <c r="C2263" s="63"/>
      <c r="D2263" s="64"/>
      <c r="E2263" s="65"/>
      <c r="F2263" s="66"/>
      <c r="G2263" s="63"/>
      <c r="H2263" s="67"/>
      <c r="I2263" s="68"/>
      <c r="J2263" s="68"/>
      <c r="K2263" s="32"/>
      <c r="L2263" s="75">
        <v>2263</v>
      </c>
      <c r="M2263" s="75"/>
      <c r="N2263" s="70"/>
      <c r="O2263" s="77" t="s">
        <v>179</v>
      </c>
      <c r="P2263" s="79">
        <v>45149.883148148147</v>
      </c>
      <c r="Q2263" s="77" t="s">
        <v>2935</v>
      </c>
      <c r="R2263" s="77">
        <v>0</v>
      </c>
      <c r="S2263" s="77">
        <v>1</v>
      </c>
      <c r="T2263" s="77">
        <v>0</v>
      </c>
      <c r="U2263" s="77">
        <v>0</v>
      </c>
      <c r="V2263" s="77">
        <v>558</v>
      </c>
      <c r="W2263" s="82" t="s">
        <v>5954</v>
      </c>
      <c r="X2263" s="80" t="str">
        <f>HYPERLINK("https://mla.bs/e212e31d")</f>
        <v>https://mla.bs/e212e31d</v>
      </c>
      <c r="Y2263" s="77" t="s">
        <v>6506</v>
      </c>
      <c r="Z2263" s="77"/>
      <c r="AA2263" s="77"/>
      <c r="AB2263" s="77"/>
      <c r="AC2263" s="82" t="s">
        <v>7754</v>
      </c>
      <c r="AD2263" s="77" t="s">
        <v>7788</v>
      </c>
      <c r="AE2263" s="80" t="str">
        <f>HYPERLINK("https://twitter.com/einvestidor/status/1690108762105786370")</f>
        <v>https://twitter.com/einvestidor/status/1690108762105786370</v>
      </c>
      <c r="AF2263" s="79">
        <v>45149.883148148147</v>
      </c>
      <c r="AG2263" s="85">
        <v>45149</v>
      </c>
      <c r="AH2263" s="82" t="s">
        <v>9655</v>
      </c>
      <c r="AI2263" s="77" t="b">
        <v>0</v>
      </c>
      <c r="AJ2263" s="77"/>
      <c r="AK2263" s="77"/>
      <c r="AL2263" s="77"/>
      <c r="AM2263" s="77"/>
      <c r="AN2263" s="77"/>
      <c r="AO2263" s="77"/>
      <c r="AP2263" s="77"/>
      <c r="AQ2263" s="77"/>
      <c r="AR2263" s="77"/>
      <c r="AS2263" s="77"/>
      <c r="AT2263" s="77"/>
      <c r="AU2263" s="77"/>
      <c r="AV2263" s="80" t="str">
        <f>HYPERLINK("https://pbs.twimg.com/profile_images/1241147984924082183/gZgx_hL-_normal.jpg")</f>
        <v>https://pbs.twimg.com/profile_images/1241147984924082183/gZgx_hL-_normal.jpg</v>
      </c>
      <c r="AW2263" s="82" t="s">
        <v>13859</v>
      </c>
      <c r="AX2263" s="82" t="s">
        <v>13859</v>
      </c>
      <c r="AY2263" s="77"/>
      <c r="AZ2263" s="82" t="s">
        <v>15984</v>
      </c>
      <c r="BA2263" s="82" t="s">
        <v>15984</v>
      </c>
      <c r="BB2263" s="82" t="s">
        <v>15984</v>
      </c>
      <c r="BC2263" s="82" t="s">
        <v>13859</v>
      </c>
      <c r="BD2263" s="82" t="s">
        <v>15979</v>
      </c>
      <c r="BE2263" s="77"/>
      <c r="BF2263" s="77"/>
      <c r="BG2263" s="77"/>
      <c r="BH2263" s="77"/>
      <c r="BI2263" s="77"/>
    </row>
    <row r="2264" spans="1:61" x14ac:dyDescent="0.25">
      <c r="A2264" s="62" t="s">
        <v>387</v>
      </c>
      <c r="B2264" s="62" t="s">
        <v>387</v>
      </c>
      <c r="C2264" s="63"/>
      <c r="D2264" s="64"/>
      <c r="E2264" s="65"/>
      <c r="F2264" s="66"/>
      <c r="G2264" s="63"/>
      <c r="H2264" s="67"/>
      <c r="I2264" s="68"/>
      <c r="J2264" s="68"/>
      <c r="K2264" s="32"/>
      <c r="L2264" s="75">
        <v>2264</v>
      </c>
      <c r="M2264" s="75"/>
      <c r="N2264" s="70"/>
      <c r="O2264" s="77" t="s">
        <v>179</v>
      </c>
      <c r="P2264" s="79">
        <v>45149.880439814813</v>
      </c>
      <c r="Q2264" s="77" t="s">
        <v>2936</v>
      </c>
      <c r="R2264" s="77">
        <v>0</v>
      </c>
      <c r="S2264" s="77">
        <v>0</v>
      </c>
      <c r="T2264" s="77">
        <v>0</v>
      </c>
      <c r="U2264" s="77">
        <v>0</v>
      </c>
      <c r="V2264" s="77">
        <v>612</v>
      </c>
      <c r="W2264" s="82" t="s">
        <v>5955</v>
      </c>
      <c r="X2264" s="80" t="str">
        <f>HYPERLINK("https://mla.bs/073c02dc")</f>
        <v>https://mla.bs/073c02dc</v>
      </c>
      <c r="Y2264" s="77" t="s">
        <v>6506</v>
      </c>
      <c r="Z2264" s="77"/>
      <c r="AA2264" s="77"/>
      <c r="AB2264" s="77"/>
      <c r="AC2264" s="82" t="s">
        <v>7754</v>
      </c>
      <c r="AD2264" s="77" t="s">
        <v>7788</v>
      </c>
      <c r="AE2264" s="80" t="str">
        <f>HYPERLINK("https://twitter.com/einvestidor/status/1690107782349889536")</f>
        <v>https://twitter.com/einvestidor/status/1690107782349889536</v>
      </c>
      <c r="AF2264" s="79">
        <v>45149.880439814813</v>
      </c>
      <c r="AG2264" s="85">
        <v>45149</v>
      </c>
      <c r="AH2264" s="82" t="s">
        <v>9656</v>
      </c>
      <c r="AI2264" s="77" t="b">
        <v>0</v>
      </c>
      <c r="AJ2264" s="77"/>
      <c r="AK2264" s="77"/>
      <c r="AL2264" s="77"/>
      <c r="AM2264" s="77"/>
      <c r="AN2264" s="77"/>
      <c r="AO2264" s="77"/>
      <c r="AP2264" s="77"/>
      <c r="AQ2264" s="77"/>
      <c r="AR2264" s="77"/>
      <c r="AS2264" s="77"/>
      <c r="AT2264" s="77"/>
      <c r="AU2264" s="77"/>
      <c r="AV2264" s="80" t="str">
        <f>HYPERLINK("https://pbs.twimg.com/profile_images/1241147984924082183/gZgx_hL-_normal.jpg")</f>
        <v>https://pbs.twimg.com/profile_images/1241147984924082183/gZgx_hL-_normal.jpg</v>
      </c>
      <c r="AW2264" s="82" t="s">
        <v>13860</v>
      </c>
      <c r="AX2264" s="82" t="s">
        <v>13860</v>
      </c>
      <c r="AY2264" s="77"/>
      <c r="AZ2264" s="82" t="s">
        <v>15984</v>
      </c>
      <c r="BA2264" s="82" t="s">
        <v>15984</v>
      </c>
      <c r="BB2264" s="82" t="s">
        <v>15984</v>
      </c>
      <c r="BC2264" s="82" t="s">
        <v>13860</v>
      </c>
      <c r="BD2264" s="82" t="s">
        <v>15979</v>
      </c>
      <c r="BE2264" s="77"/>
      <c r="BF2264" s="77"/>
      <c r="BG2264" s="77"/>
      <c r="BH2264" s="77"/>
      <c r="BI2264" s="77"/>
    </row>
    <row r="2265" spans="1:61" x14ac:dyDescent="0.25">
      <c r="A2265" s="62" t="s">
        <v>387</v>
      </c>
      <c r="B2265" s="62" t="s">
        <v>387</v>
      </c>
      <c r="C2265" s="63"/>
      <c r="D2265" s="64"/>
      <c r="E2265" s="65"/>
      <c r="F2265" s="66"/>
      <c r="G2265" s="63"/>
      <c r="H2265" s="67"/>
      <c r="I2265" s="68"/>
      <c r="J2265" s="68"/>
      <c r="K2265" s="32"/>
      <c r="L2265" s="75">
        <v>2265</v>
      </c>
      <c r="M2265" s="75"/>
      <c r="N2265" s="70"/>
      <c r="O2265" s="77" t="s">
        <v>179</v>
      </c>
      <c r="P2265" s="79">
        <v>45149.87572916667</v>
      </c>
      <c r="Q2265" s="77" t="s">
        <v>2937</v>
      </c>
      <c r="R2265" s="77">
        <v>0</v>
      </c>
      <c r="S2265" s="77">
        <v>1</v>
      </c>
      <c r="T2265" s="77">
        <v>0</v>
      </c>
      <c r="U2265" s="77">
        <v>0</v>
      </c>
      <c r="V2265" s="77">
        <v>584</v>
      </c>
      <c r="W2265" s="82" t="s">
        <v>5956</v>
      </c>
      <c r="X2265" s="80" t="str">
        <f>HYPERLINK("https://mla.bs/74d9b5e4")</f>
        <v>https://mla.bs/74d9b5e4</v>
      </c>
      <c r="Y2265" s="77" t="s">
        <v>6506</v>
      </c>
      <c r="Z2265" s="77"/>
      <c r="AA2265" s="77"/>
      <c r="AB2265" s="77"/>
      <c r="AC2265" s="82" t="s">
        <v>7754</v>
      </c>
      <c r="AD2265" s="77" t="s">
        <v>7788</v>
      </c>
      <c r="AE2265" s="80" t="str">
        <f>HYPERLINK("https://twitter.com/einvestidor/status/1690106073800142848")</f>
        <v>https://twitter.com/einvestidor/status/1690106073800142848</v>
      </c>
      <c r="AF2265" s="79">
        <v>45149.87572916667</v>
      </c>
      <c r="AG2265" s="85">
        <v>45149</v>
      </c>
      <c r="AH2265" s="82" t="s">
        <v>9657</v>
      </c>
      <c r="AI2265" s="77" t="b">
        <v>0</v>
      </c>
      <c r="AJ2265" s="77"/>
      <c r="AK2265" s="77"/>
      <c r="AL2265" s="77"/>
      <c r="AM2265" s="77"/>
      <c r="AN2265" s="77"/>
      <c r="AO2265" s="77"/>
      <c r="AP2265" s="77"/>
      <c r="AQ2265" s="77"/>
      <c r="AR2265" s="77"/>
      <c r="AS2265" s="77"/>
      <c r="AT2265" s="77"/>
      <c r="AU2265" s="77"/>
      <c r="AV2265" s="80" t="str">
        <f>HYPERLINK("https://pbs.twimg.com/profile_images/1241147984924082183/gZgx_hL-_normal.jpg")</f>
        <v>https://pbs.twimg.com/profile_images/1241147984924082183/gZgx_hL-_normal.jpg</v>
      </c>
      <c r="AW2265" s="82" t="s">
        <v>13861</v>
      </c>
      <c r="AX2265" s="82" t="s">
        <v>13861</v>
      </c>
      <c r="AY2265" s="77"/>
      <c r="AZ2265" s="82" t="s">
        <v>15984</v>
      </c>
      <c r="BA2265" s="82" t="s">
        <v>15984</v>
      </c>
      <c r="BB2265" s="82" t="s">
        <v>15984</v>
      </c>
      <c r="BC2265" s="82" t="s">
        <v>13861</v>
      </c>
      <c r="BD2265" s="82" t="s">
        <v>15979</v>
      </c>
      <c r="BE2265" s="77"/>
      <c r="BF2265" s="77"/>
      <c r="BG2265" s="77"/>
      <c r="BH2265" s="77"/>
      <c r="BI2265" s="77"/>
    </row>
    <row r="2266" spans="1:61" x14ac:dyDescent="0.25">
      <c r="A2266" s="62" t="s">
        <v>387</v>
      </c>
      <c r="B2266" s="62" t="s">
        <v>387</v>
      </c>
      <c r="C2266" s="63"/>
      <c r="D2266" s="64"/>
      <c r="E2266" s="65"/>
      <c r="F2266" s="66"/>
      <c r="G2266" s="63"/>
      <c r="H2266" s="67"/>
      <c r="I2266" s="68"/>
      <c r="J2266" s="68"/>
      <c r="K2266" s="32"/>
      <c r="L2266" s="75">
        <v>2266</v>
      </c>
      <c r="M2266" s="75"/>
      <c r="N2266" s="70"/>
      <c r="O2266" s="77" t="s">
        <v>179</v>
      </c>
      <c r="P2266" s="79">
        <v>45149.854166666664</v>
      </c>
      <c r="Q2266" s="77" t="s">
        <v>2938</v>
      </c>
      <c r="R2266" s="77">
        <v>0</v>
      </c>
      <c r="S2266" s="77">
        <v>2</v>
      </c>
      <c r="T2266" s="77">
        <v>0</v>
      </c>
      <c r="U2266" s="77">
        <v>0</v>
      </c>
      <c r="V2266" s="77">
        <v>563</v>
      </c>
      <c r="W2266" s="82" t="s">
        <v>5957</v>
      </c>
      <c r="X2266" s="80" t="str">
        <f>HYPERLINK("https://mla.bs/47e3e41d")</f>
        <v>https://mla.bs/47e3e41d</v>
      </c>
      <c r="Y2266" s="77" t="s">
        <v>6506</v>
      </c>
      <c r="Z2266" s="77"/>
      <c r="AA2266" s="77"/>
      <c r="AB2266" s="77"/>
      <c r="AC2266" s="82" t="s">
        <v>7754</v>
      </c>
      <c r="AD2266" s="77" t="s">
        <v>7788</v>
      </c>
      <c r="AE2266" s="80" t="str">
        <f>HYPERLINK("https://twitter.com/einvestidor/status/1690098260105420800")</f>
        <v>https://twitter.com/einvestidor/status/1690098260105420800</v>
      </c>
      <c r="AF2266" s="79">
        <v>45149.854166666664</v>
      </c>
      <c r="AG2266" s="85">
        <v>45149</v>
      </c>
      <c r="AH2266" s="82" t="s">
        <v>8090</v>
      </c>
      <c r="AI2266" s="77" t="b">
        <v>0</v>
      </c>
      <c r="AJ2266" s="77"/>
      <c r="AK2266" s="77"/>
      <c r="AL2266" s="77"/>
      <c r="AM2266" s="77"/>
      <c r="AN2266" s="77"/>
      <c r="AO2266" s="77"/>
      <c r="AP2266" s="77"/>
      <c r="AQ2266" s="77"/>
      <c r="AR2266" s="77"/>
      <c r="AS2266" s="77"/>
      <c r="AT2266" s="77"/>
      <c r="AU2266" s="77"/>
      <c r="AV2266" s="80" t="str">
        <f>HYPERLINK("https://pbs.twimg.com/profile_images/1241147984924082183/gZgx_hL-_normal.jpg")</f>
        <v>https://pbs.twimg.com/profile_images/1241147984924082183/gZgx_hL-_normal.jpg</v>
      </c>
      <c r="AW2266" s="82" t="s">
        <v>13862</v>
      </c>
      <c r="AX2266" s="82" t="s">
        <v>13862</v>
      </c>
      <c r="AY2266" s="77"/>
      <c r="AZ2266" s="82" t="s">
        <v>15984</v>
      </c>
      <c r="BA2266" s="82" t="s">
        <v>15984</v>
      </c>
      <c r="BB2266" s="82" t="s">
        <v>15984</v>
      </c>
      <c r="BC2266" s="82" t="s">
        <v>13862</v>
      </c>
      <c r="BD2266" s="82" t="s">
        <v>15979</v>
      </c>
      <c r="BE2266" s="77"/>
      <c r="BF2266" s="77"/>
      <c r="BG2266" s="77"/>
      <c r="BH2266" s="77"/>
      <c r="BI2266" s="77"/>
    </row>
    <row r="2267" spans="1:61" x14ac:dyDescent="0.25">
      <c r="A2267" s="62" t="s">
        <v>387</v>
      </c>
      <c r="B2267" s="62" t="s">
        <v>387</v>
      </c>
      <c r="C2267" s="63"/>
      <c r="D2267" s="64"/>
      <c r="E2267" s="65"/>
      <c r="F2267" s="66"/>
      <c r="G2267" s="63"/>
      <c r="H2267" s="67"/>
      <c r="I2267" s="68"/>
      <c r="J2267" s="68"/>
      <c r="K2267" s="32"/>
      <c r="L2267" s="75">
        <v>2267</v>
      </c>
      <c r="M2267" s="75"/>
      <c r="N2267" s="70"/>
      <c r="O2267" s="77" t="s">
        <v>179</v>
      </c>
      <c r="P2267" s="79">
        <v>45141.743009259262</v>
      </c>
      <c r="Q2267" s="77" t="s">
        <v>2939</v>
      </c>
      <c r="R2267" s="77">
        <v>0</v>
      </c>
      <c r="S2267" s="77">
        <v>2</v>
      </c>
      <c r="T2267" s="77">
        <v>0</v>
      </c>
      <c r="U2267" s="77">
        <v>0</v>
      </c>
      <c r="V2267" s="77">
        <v>462</v>
      </c>
      <c r="W2267" s="82" t="s">
        <v>4833</v>
      </c>
      <c r="X2267" s="80" t="str">
        <f>HYPERLINK("https://mla.bs/06e8a4c9")</f>
        <v>https://mla.bs/06e8a4c9</v>
      </c>
      <c r="Y2267" s="77" t="s">
        <v>6506</v>
      </c>
      <c r="Z2267" s="77"/>
      <c r="AA2267" s="77"/>
      <c r="AB2267" s="77"/>
      <c r="AC2267" s="82" t="s">
        <v>7754</v>
      </c>
      <c r="AD2267" s="77" t="s">
        <v>7788</v>
      </c>
      <c r="AE2267" s="80" t="str">
        <f>HYPERLINK("https://twitter.com/einvestidor/status/1687158873893806080")</f>
        <v>https://twitter.com/einvestidor/status/1687158873893806080</v>
      </c>
      <c r="AF2267" s="79">
        <v>45141.743009259262</v>
      </c>
      <c r="AG2267" s="85">
        <v>45141</v>
      </c>
      <c r="AH2267" s="82" t="s">
        <v>9658</v>
      </c>
      <c r="AI2267" s="77" t="b">
        <v>0</v>
      </c>
      <c r="AJ2267" s="77"/>
      <c r="AK2267" s="77"/>
      <c r="AL2267" s="77"/>
      <c r="AM2267" s="77"/>
      <c r="AN2267" s="77"/>
      <c r="AO2267" s="77"/>
      <c r="AP2267" s="77"/>
      <c r="AQ2267" s="77"/>
      <c r="AR2267" s="77"/>
      <c r="AS2267" s="77"/>
      <c r="AT2267" s="77"/>
      <c r="AU2267" s="77"/>
      <c r="AV2267" s="80" t="str">
        <f>HYPERLINK("https://pbs.twimg.com/profile_images/1241147984924082183/gZgx_hL-_normal.jpg")</f>
        <v>https://pbs.twimg.com/profile_images/1241147984924082183/gZgx_hL-_normal.jpg</v>
      </c>
      <c r="AW2267" s="82" t="s">
        <v>13863</v>
      </c>
      <c r="AX2267" s="82" t="s">
        <v>13863</v>
      </c>
      <c r="AY2267" s="77"/>
      <c r="AZ2267" s="82" t="s">
        <v>15984</v>
      </c>
      <c r="BA2267" s="82" t="s">
        <v>15984</v>
      </c>
      <c r="BB2267" s="82" t="s">
        <v>15984</v>
      </c>
      <c r="BC2267" s="82" t="s">
        <v>13863</v>
      </c>
      <c r="BD2267" s="82" t="s">
        <v>15979</v>
      </c>
      <c r="BE2267" s="77"/>
      <c r="BF2267" s="77"/>
      <c r="BG2267" s="77"/>
      <c r="BH2267" s="77"/>
      <c r="BI2267" s="77"/>
    </row>
    <row r="2268" spans="1:61" x14ac:dyDescent="0.25">
      <c r="A2268" s="62" t="s">
        <v>387</v>
      </c>
      <c r="B2268" s="62" t="s">
        <v>387</v>
      </c>
      <c r="C2268" s="63"/>
      <c r="D2268" s="64"/>
      <c r="E2268" s="65"/>
      <c r="F2268" s="66"/>
      <c r="G2268" s="63"/>
      <c r="H2268" s="67"/>
      <c r="I2268" s="68"/>
      <c r="J2268" s="68"/>
      <c r="K2268" s="32"/>
      <c r="L2268" s="75">
        <v>2268</v>
      </c>
      <c r="M2268" s="75"/>
      <c r="N2268" s="70"/>
      <c r="O2268" s="77" t="s">
        <v>179</v>
      </c>
      <c r="P2268" s="79">
        <v>45141.729166666664</v>
      </c>
      <c r="Q2268" s="77" t="s">
        <v>2940</v>
      </c>
      <c r="R2268" s="77">
        <v>0</v>
      </c>
      <c r="S2268" s="77">
        <v>3</v>
      </c>
      <c r="T2268" s="77">
        <v>0</v>
      </c>
      <c r="U2268" s="77">
        <v>0</v>
      </c>
      <c r="V2268" s="77">
        <v>474</v>
      </c>
      <c r="W2268" s="82" t="s">
        <v>4833</v>
      </c>
      <c r="X2268" s="80" t="str">
        <f>HYPERLINK("https://einvestidor.estadao.com.br/radar-einvestidor/mercado-acionario-china-sobe-pesquisa-aponta-motivo/?utm_source=twitter&amp;utm_medium=organic&amp;utm_campaign=china&amp;utm_content=materia")</f>
        <v>https://einvestidor.estadao.com.br/radar-einvestidor/mercado-acionario-china-sobe-pesquisa-aponta-motivo/?utm_source=twitter&amp;utm_medium=organic&amp;utm_campaign=china&amp;utm_content=materia</v>
      </c>
      <c r="Y2268" s="77" t="s">
        <v>6470</v>
      </c>
      <c r="Z2268" s="77"/>
      <c r="AA2268" s="77"/>
      <c r="AB2268" s="77"/>
      <c r="AC2268" s="82" t="s">
        <v>7754</v>
      </c>
      <c r="AD2268" s="77" t="s">
        <v>7788</v>
      </c>
      <c r="AE2268" s="80" t="str">
        <f>HYPERLINK("https://twitter.com/einvestidor/status/1687153860161257478")</f>
        <v>https://twitter.com/einvestidor/status/1687153860161257478</v>
      </c>
      <c r="AF2268" s="79">
        <v>45141.729166666664</v>
      </c>
      <c r="AG2268" s="85">
        <v>45141</v>
      </c>
      <c r="AH2268" s="82" t="s">
        <v>8091</v>
      </c>
      <c r="AI2268" s="77" t="b">
        <v>0</v>
      </c>
      <c r="AJ2268" s="77"/>
      <c r="AK2268" s="77"/>
      <c r="AL2268" s="77"/>
      <c r="AM2268" s="77"/>
      <c r="AN2268" s="77"/>
      <c r="AO2268" s="77"/>
      <c r="AP2268" s="77"/>
      <c r="AQ2268" s="77"/>
      <c r="AR2268" s="77"/>
      <c r="AS2268" s="77"/>
      <c r="AT2268" s="77"/>
      <c r="AU2268" s="77"/>
      <c r="AV2268" s="80" t="str">
        <f>HYPERLINK("https://pbs.twimg.com/profile_images/1241147984924082183/gZgx_hL-_normal.jpg")</f>
        <v>https://pbs.twimg.com/profile_images/1241147984924082183/gZgx_hL-_normal.jpg</v>
      </c>
      <c r="AW2268" s="82" t="s">
        <v>13864</v>
      </c>
      <c r="AX2268" s="82" t="s">
        <v>13864</v>
      </c>
      <c r="AY2268" s="77"/>
      <c r="AZ2268" s="82" t="s">
        <v>15984</v>
      </c>
      <c r="BA2268" s="82" t="s">
        <v>15984</v>
      </c>
      <c r="BB2268" s="82" t="s">
        <v>15984</v>
      </c>
      <c r="BC2268" s="82" t="s">
        <v>13864</v>
      </c>
      <c r="BD2268" s="82" t="s">
        <v>15979</v>
      </c>
      <c r="BE2268" s="77"/>
      <c r="BF2268" s="77"/>
      <c r="BG2268" s="77"/>
      <c r="BH2268" s="77"/>
      <c r="BI2268" s="77"/>
    </row>
    <row r="2269" spans="1:61" x14ac:dyDescent="0.25">
      <c r="A2269" s="62" t="s">
        <v>387</v>
      </c>
      <c r="B2269" s="62" t="s">
        <v>387</v>
      </c>
      <c r="C2269" s="63"/>
      <c r="D2269" s="64"/>
      <c r="E2269" s="65"/>
      <c r="F2269" s="66"/>
      <c r="G2269" s="63"/>
      <c r="H2269" s="67"/>
      <c r="I2269" s="68"/>
      <c r="J2269" s="68"/>
      <c r="K2269" s="32"/>
      <c r="L2269" s="75">
        <v>2269</v>
      </c>
      <c r="M2269" s="75"/>
      <c r="N2269" s="70"/>
      <c r="O2269" s="77" t="s">
        <v>179</v>
      </c>
      <c r="P2269" s="79">
        <v>45141.697916666664</v>
      </c>
      <c r="Q2269" s="77" t="s">
        <v>2941</v>
      </c>
      <c r="R2269" s="77">
        <v>0</v>
      </c>
      <c r="S2269" s="77">
        <v>1</v>
      </c>
      <c r="T2269" s="77">
        <v>0</v>
      </c>
      <c r="U2269" s="77">
        <v>0</v>
      </c>
      <c r="V2269" s="77">
        <v>555</v>
      </c>
      <c r="W2269" s="82" t="s">
        <v>4833</v>
      </c>
      <c r="X2269" s="80" t="str">
        <f>HYPERLINK("https://einvestidor.estadao.com.br/ultimas/irani-rani3-dividendos-milionarios/?utm_source=twitter&amp;utm_medium=organic&amp;utm_campaign=irani-dividendos&amp;utm_content=materia")</f>
        <v>https://einvestidor.estadao.com.br/ultimas/irani-rani3-dividendos-milionarios/?utm_source=twitter&amp;utm_medium=organic&amp;utm_campaign=irani-dividendos&amp;utm_content=materia</v>
      </c>
      <c r="Y2269" s="77" t="s">
        <v>6470</v>
      </c>
      <c r="Z2269" s="77"/>
      <c r="AA2269" s="77"/>
      <c r="AB2269" s="77"/>
      <c r="AC2269" s="82" t="s">
        <v>7754</v>
      </c>
      <c r="AD2269" s="77" t="s">
        <v>7788</v>
      </c>
      <c r="AE2269" s="80" t="str">
        <f>HYPERLINK("https://twitter.com/einvestidor/status/1687142533338386433")</f>
        <v>https://twitter.com/einvestidor/status/1687142533338386433</v>
      </c>
      <c r="AF2269" s="79">
        <v>45141.697916666664</v>
      </c>
      <c r="AG2269" s="85">
        <v>45141</v>
      </c>
      <c r="AH2269" s="82" t="s">
        <v>9659</v>
      </c>
      <c r="AI2269" s="77" t="b">
        <v>0</v>
      </c>
      <c r="AJ2269" s="77"/>
      <c r="AK2269" s="77"/>
      <c r="AL2269" s="77"/>
      <c r="AM2269" s="77"/>
      <c r="AN2269" s="77"/>
      <c r="AO2269" s="77"/>
      <c r="AP2269" s="77"/>
      <c r="AQ2269" s="77"/>
      <c r="AR2269" s="77"/>
      <c r="AS2269" s="77"/>
      <c r="AT2269" s="77"/>
      <c r="AU2269" s="77"/>
      <c r="AV2269" s="80" t="str">
        <f>HYPERLINK("https://pbs.twimg.com/profile_images/1241147984924082183/gZgx_hL-_normal.jpg")</f>
        <v>https://pbs.twimg.com/profile_images/1241147984924082183/gZgx_hL-_normal.jpg</v>
      </c>
      <c r="AW2269" s="82" t="s">
        <v>13865</v>
      </c>
      <c r="AX2269" s="82" t="s">
        <v>13865</v>
      </c>
      <c r="AY2269" s="77"/>
      <c r="AZ2269" s="82" t="s">
        <v>15984</v>
      </c>
      <c r="BA2269" s="82" t="s">
        <v>15984</v>
      </c>
      <c r="BB2269" s="82" t="s">
        <v>15984</v>
      </c>
      <c r="BC2269" s="82" t="s">
        <v>13865</v>
      </c>
      <c r="BD2269" s="82" t="s">
        <v>15979</v>
      </c>
      <c r="BE2269" s="77"/>
      <c r="BF2269" s="77"/>
      <c r="BG2269" s="77"/>
      <c r="BH2269" s="77"/>
      <c r="BI2269" s="77"/>
    </row>
    <row r="2270" spans="1:61" x14ac:dyDescent="0.25">
      <c r="A2270" s="62" t="s">
        <v>387</v>
      </c>
      <c r="B2270" s="62" t="s">
        <v>387</v>
      </c>
      <c r="C2270" s="63"/>
      <c r="D2270" s="64"/>
      <c r="E2270" s="65"/>
      <c r="F2270" s="66"/>
      <c r="G2270" s="63"/>
      <c r="H2270" s="67"/>
      <c r="I2270" s="68"/>
      <c r="J2270" s="68"/>
      <c r="K2270" s="32"/>
      <c r="L2270" s="75">
        <v>2270</v>
      </c>
      <c r="M2270" s="75"/>
      <c r="N2270" s="70"/>
      <c r="O2270" s="77" t="s">
        <v>179</v>
      </c>
      <c r="P2270" s="79">
        <v>45141.666678240741</v>
      </c>
      <c r="Q2270" s="77" t="s">
        <v>2942</v>
      </c>
      <c r="R2270" s="77">
        <v>1</v>
      </c>
      <c r="S2270" s="77">
        <v>5</v>
      </c>
      <c r="T2270" s="77">
        <v>0</v>
      </c>
      <c r="U2270" s="77">
        <v>0</v>
      </c>
      <c r="V2270" s="77">
        <v>500</v>
      </c>
      <c r="W2270" s="82" t="s">
        <v>4833</v>
      </c>
      <c r="X2270" s="80" t="str">
        <f>HYPERLINK("https://einvestidor.estadao.com.br/ultimas/bank-of-america-recessao-eua-corte-juros/?utm_source=twitter&amp;utm_medium=organic&amp;utm_campaign=bank-of-americana&amp;utm_content=materia")</f>
        <v>https://einvestidor.estadao.com.br/ultimas/bank-of-america-recessao-eua-corte-juros/?utm_source=twitter&amp;utm_medium=organic&amp;utm_campaign=bank-of-americana&amp;utm_content=materia</v>
      </c>
      <c r="Y2270" s="77" t="s">
        <v>6470</v>
      </c>
      <c r="Z2270" s="77"/>
      <c r="AA2270" s="77"/>
      <c r="AB2270" s="77"/>
      <c r="AC2270" s="82" t="s">
        <v>7754</v>
      </c>
      <c r="AD2270" s="77" t="s">
        <v>7788</v>
      </c>
      <c r="AE2270" s="80" t="str">
        <f>HYPERLINK("https://twitter.com/einvestidor/status/1687131213906202624")</f>
        <v>https://twitter.com/einvestidor/status/1687131213906202624</v>
      </c>
      <c r="AF2270" s="79">
        <v>45141.666678240741</v>
      </c>
      <c r="AG2270" s="85">
        <v>45141</v>
      </c>
      <c r="AH2270" s="82" t="s">
        <v>9639</v>
      </c>
      <c r="AI2270" s="77" t="b">
        <v>0</v>
      </c>
      <c r="AJ2270" s="77"/>
      <c r="AK2270" s="77"/>
      <c r="AL2270" s="77"/>
      <c r="AM2270" s="77"/>
      <c r="AN2270" s="77"/>
      <c r="AO2270" s="77"/>
      <c r="AP2270" s="77"/>
      <c r="AQ2270" s="77"/>
      <c r="AR2270" s="77"/>
      <c r="AS2270" s="77"/>
      <c r="AT2270" s="77"/>
      <c r="AU2270" s="77"/>
      <c r="AV2270" s="80" t="str">
        <f>HYPERLINK("https://pbs.twimg.com/profile_images/1241147984924082183/gZgx_hL-_normal.jpg")</f>
        <v>https://pbs.twimg.com/profile_images/1241147984924082183/gZgx_hL-_normal.jpg</v>
      </c>
      <c r="AW2270" s="82" t="s">
        <v>13866</v>
      </c>
      <c r="AX2270" s="82" t="s">
        <v>13866</v>
      </c>
      <c r="AY2270" s="77"/>
      <c r="AZ2270" s="82" t="s">
        <v>15984</v>
      </c>
      <c r="BA2270" s="82" t="s">
        <v>15984</v>
      </c>
      <c r="BB2270" s="82" t="s">
        <v>15984</v>
      </c>
      <c r="BC2270" s="82" t="s">
        <v>13866</v>
      </c>
      <c r="BD2270" s="82" t="s">
        <v>15979</v>
      </c>
      <c r="BE2270" s="77"/>
      <c r="BF2270" s="77"/>
      <c r="BG2270" s="77"/>
      <c r="BH2270" s="77"/>
      <c r="BI2270" s="77"/>
    </row>
    <row r="2271" spans="1:61" x14ac:dyDescent="0.25">
      <c r="A2271" s="62" t="s">
        <v>387</v>
      </c>
      <c r="B2271" s="62" t="s">
        <v>387</v>
      </c>
      <c r="C2271" s="63"/>
      <c r="D2271" s="64"/>
      <c r="E2271" s="65"/>
      <c r="F2271" s="66"/>
      <c r="G2271" s="63"/>
      <c r="H2271" s="67"/>
      <c r="I2271" s="68"/>
      <c r="J2271" s="68"/>
      <c r="K2271" s="32"/>
      <c r="L2271" s="75">
        <v>2271</v>
      </c>
      <c r="M2271" s="75"/>
      <c r="N2271" s="70"/>
      <c r="O2271" s="77" t="s">
        <v>179</v>
      </c>
      <c r="P2271" s="79">
        <v>45141.645532407405</v>
      </c>
      <c r="Q2271" s="77" t="s">
        <v>2943</v>
      </c>
      <c r="R2271" s="77">
        <v>0</v>
      </c>
      <c r="S2271" s="77">
        <v>2</v>
      </c>
      <c r="T2271" s="77">
        <v>0</v>
      </c>
      <c r="U2271" s="77">
        <v>0</v>
      </c>
      <c r="V2271" s="77">
        <v>548</v>
      </c>
      <c r="W2271" s="82" t="s">
        <v>4833</v>
      </c>
      <c r="X2271" s="80" t="str">
        <f>HYPERLINK("https://einvestidor.estadao.com.br/ultimas/acoes-em-alta-corte-selic/?utm_source=twitter&amp;utm_medium=organic&amp;utm_campaign=acoes-selic&amp;utm_content=materia")</f>
        <v>https://einvestidor.estadao.com.br/ultimas/acoes-em-alta-corte-selic/?utm_source=twitter&amp;utm_medium=organic&amp;utm_campaign=acoes-selic&amp;utm_content=materia</v>
      </c>
      <c r="Y2271" s="77" t="s">
        <v>6470</v>
      </c>
      <c r="Z2271" s="77"/>
      <c r="AA2271" s="77"/>
      <c r="AB2271" s="77"/>
      <c r="AC2271" s="82" t="s">
        <v>7754</v>
      </c>
      <c r="AD2271" s="77" t="s">
        <v>7788</v>
      </c>
      <c r="AE2271" s="80" t="str">
        <f>HYPERLINK("https://twitter.com/einvestidor/status/1687123552216948736")</f>
        <v>https://twitter.com/einvestidor/status/1687123552216948736</v>
      </c>
      <c r="AF2271" s="79">
        <v>45141.645532407405</v>
      </c>
      <c r="AG2271" s="85">
        <v>45141</v>
      </c>
      <c r="AH2271" s="82" t="s">
        <v>9660</v>
      </c>
      <c r="AI2271" s="77" t="b">
        <v>0</v>
      </c>
      <c r="AJ2271" s="77"/>
      <c r="AK2271" s="77"/>
      <c r="AL2271" s="77"/>
      <c r="AM2271" s="77"/>
      <c r="AN2271" s="77"/>
      <c r="AO2271" s="77"/>
      <c r="AP2271" s="77"/>
      <c r="AQ2271" s="77"/>
      <c r="AR2271" s="77"/>
      <c r="AS2271" s="77"/>
      <c r="AT2271" s="77"/>
      <c r="AU2271" s="77"/>
      <c r="AV2271" s="80" t="str">
        <f>HYPERLINK("https://pbs.twimg.com/profile_images/1241147984924082183/gZgx_hL-_normal.jpg")</f>
        <v>https://pbs.twimg.com/profile_images/1241147984924082183/gZgx_hL-_normal.jpg</v>
      </c>
      <c r="AW2271" s="82" t="s">
        <v>13867</v>
      </c>
      <c r="AX2271" s="82" t="s">
        <v>13867</v>
      </c>
      <c r="AY2271" s="77"/>
      <c r="AZ2271" s="82" t="s">
        <v>15984</v>
      </c>
      <c r="BA2271" s="82" t="s">
        <v>15984</v>
      </c>
      <c r="BB2271" s="82" t="s">
        <v>15984</v>
      </c>
      <c r="BC2271" s="82" t="s">
        <v>13867</v>
      </c>
      <c r="BD2271" s="82" t="s">
        <v>15979</v>
      </c>
      <c r="BE2271" s="77"/>
      <c r="BF2271" s="77"/>
      <c r="BG2271" s="77"/>
      <c r="BH2271" s="77"/>
      <c r="BI2271" s="77"/>
    </row>
    <row r="2272" spans="1:61" x14ac:dyDescent="0.25">
      <c r="A2272" s="62" t="s">
        <v>387</v>
      </c>
      <c r="B2272" s="62" t="s">
        <v>387</v>
      </c>
      <c r="C2272" s="63"/>
      <c r="D2272" s="64"/>
      <c r="E2272" s="65"/>
      <c r="F2272" s="66"/>
      <c r="G2272" s="63"/>
      <c r="H2272" s="67"/>
      <c r="I2272" s="68"/>
      <c r="J2272" s="68"/>
      <c r="K2272" s="32"/>
      <c r="L2272" s="75">
        <v>2272</v>
      </c>
      <c r="M2272" s="75"/>
      <c r="N2272" s="70"/>
      <c r="O2272" s="77" t="s">
        <v>179</v>
      </c>
      <c r="P2272" s="79">
        <v>45132.434560185182</v>
      </c>
      <c r="Q2272" s="77" t="s">
        <v>2944</v>
      </c>
      <c r="R2272" s="77">
        <v>0</v>
      </c>
      <c r="S2272" s="77">
        <v>4</v>
      </c>
      <c r="T2272" s="77">
        <v>0</v>
      </c>
      <c r="U2272" s="77">
        <v>0</v>
      </c>
      <c r="V2272" s="77">
        <v>774</v>
      </c>
      <c r="W2272" s="82" t="s">
        <v>5076</v>
      </c>
      <c r="X2272" s="80" t="str">
        <f>HYPERLINK("https://mla.bs/367d87d5")</f>
        <v>https://mla.bs/367d87d5</v>
      </c>
      <c r="Y2272" s="77" t="s">
        <v>6506</v>
      </c>
      <c r="Z2272" s="77"/>
      <c r="AA2272" s="77"/>
      <c r="AB2272" s="77"/>
      <c r="AC2272" s="82" t="s">
        <v>7754</v>
      </c>
      <c r="AD2272" s="77" t="s">
        <v>7788</v>
      </c>
      <c r="AE2272" s="80" t="str">
        <f>HYPERLINK("https://twitter.com/einvestidor/status/1683785606009176065")</f>
        <v>https://twitter.com/einvestidor/status/1683785606009176065</v>
      </c>
      <c r="AF2272" s="79">
        <v>45132.434560185182</v>
      </c>
      <c r="AG2272" s="85">
        <v>45132</v>
      </c>
      <c r="AH2272" s="82" t="s">
        <v>9661</v>
      </c>
      <c r="AI2272" s="77" t="b">
        <v>0</v>
      </c>
      <c r="AJ2272" s="77"/>
      <c r="AK2272" s="77"/>
      <c r="AL2272" s="77"/>
      <c r="AM2272" s="77"/>
      <c r="AN2272" s="77"/>
      <c r="AO2272" s="77"/>
      <c r="AP2272" s="77"/>
      <c r="AQ2272" s="77"/>
      <c r="AR2272" s="77"/>
      <c r="AS2272" s="77"/>
      <c r="AT2272" s="77"/>
      <c r="AU2272" s="77"/>
      <c r="AV2272" s="80" t="str">
        <f>HYPERLINK("https://pbs.twimg.com/profile_images/1241147984924082183/gZgx_hL-_normal.jpg")</f>
        <v>https://pbs.twimg.com/profile_images/1241147984924082183/gZgx_hL-_normal.jpg</v>
      </c>
      <c r="AW2272" s="82" t="s">
        <v>13868</v>
      </c>
      <c r="AX2272" s="82" t="s">
        <v>13868</v>
      </c>
      <c r="AY2272" s="77"/>
      <c r="AZ2272" s="82" t="s">
        <v>15984</v>
      </c>
      <c r="BA2272" s="82" t="s">
        <v>15984</v>
      </c>
      <c r="BB2272" s="82" t="s">
        <v>15984</v>
      </c>
      <c r="BC2272" s="82" t="s">
        <v>13868</v>
      </c>
      <c r="BD2272" s="82" t="s">
        <v>15979</v>
      </c>
      <c r="BE2272" s="77"/>
      <c r="BF2272" s="77"/>
      <c r="BG2272" s="77"/>
      <c r="BH2272" s="77"/>
      <c r="BI2272" s="77"/>
    </row>
    <row r="2273" spans="1:61" x14ac:dyDescent="0.25">
      <c r="A2273" s="62" t="s">
        <v>387</v>
      </c>
      <c r="B2273" s="62" t="s">
        <v>387</v>
      </c>
      <c r="C2273" s="63"/>
      <c r="D2273" s="64"/>
      <c r="E2273" s="65"/>
      <c r="F2273" s="66"/>
      <c r="G2273" s="63"/>
      <c r="H2273" s="67"/>
      <c r="I2273" s="68"/>
      <c r="J2273" s="68"/>
      <c r="K2273" s="32"/>
      <c r="L2273" s="75">
        <v>2273</v>
      </c>
      <c r="M2273" s="75"/>
      <c r="N2273" s="70"/>
      <c r="O2273" s="77" t="s">
        <v>179</v>
      </c>
      <c r="P2273" s="79">
        <v>45132.052083333336</v>
      </c>
      <c r="Q2273" s="77" t="s">
        <v>2945</v>
      </c>
      <c r="R2273" s="77">
        <v>0</v>
      </c>
      <c r="S2273" s="77">
        <v>5</v>
      </c>
      <c r="T2273" s="77">
        <v>1</v>
      </c>
      <c r="U2273" s="77">
        <v>0</v>
      </c>
      <c r="V2273" s="77">
        <v>886</v>
      </c>
      <c r="W2273" s="82" t="s">
        <v>4833</v>
      </c>
      <c r="X2273" s="80" t="str">
        <f>HYPERLINK("https://mla.bs/7c1a008c")</f>
        <v>https://mla.bs/7c1a008c</v>
      </c>
      <c r="Y2273" s="77" t="s">
        <v>6506</v>
      </c>
      <c r="Z2273" s="77"/>
      <c r="AA2273" s="77"/>
      <c r="AB2273" s="77"/>
      <c r="AC2273" s="82" t="s">
        <v>7754</v>
      </c>
      <c r="AD2273" s="77" t="s">
        <v>7788</v>
      </c>
      <c r="AE2273" s="80" t="str">
        <f>HYPERLINK("https://twitter.com/einvestidor/status/1683647000464719873")</f>
        <v>https://twitter.com/einvestidor/status/1683647000464719873</v>
      </c>
      <c r="AF2273" s="79">
        <v>45132.052083333336</v>
      </c>
      <c r="AG2273" s="85">
        <v>45132</v>
      </c>
      <c r="AH2273" s="82" t="s">
        <v>9297</v>
      </c>
      <c r="AI2273" s="77" t="b">
        <v>0</v>
      </c>
      <c r="AJ2273" s="77"/>
      <c r="AK2273" s="77"/>
      <c r="AL2273" s="77"/>
      <c r="AM2273" s="77"/>
      <c r="AN2273" s="77"/>
      <c r="AO2273" s="77"/>
      <c r="AP2273" s="77"/>
      <c r="AQ2273" s="77"/>
      <c r="AR2273" s="77"/>
      <c r="AS2273" s="77"/>
      <c r="AT2273" s="77"/>
      <c r="AU2273" s="77"/>
      <c r="AV2273" s="80" t="str">
        <f>HYPERLINK("https://pbs.twimg.com/profile_images/1241147984924082183/gZgx_hL-_normal.jpg")</f>
        <v>https://pbs.twimg.com/profile_images/1241147984924082183/gZgx_hL-_normal.jpg</v>
      </c>
      <c r="AW2273" s="82" t="s">
        <v>13869</v>
      </c>
      <c r="AX2273" s="82" t="s">
        <v>13869</v>
      </c>
      <c r="AY2273" s="77"/>
      <c r="AZ2273" s="82" t="s">
        <v>15984</v>
      </c>
      <c r="BA2273" s="82" t="s">
        <v>15984</v>
      </c>
      <c r="BB2273" s="82" t="s">
        <v>15984</v>
      </c>
      <c r="BC2273" s="82" t="s">
        <v>13869</v>
      </c>
      <c r="BD2273" s="82" t="s">
        <v>15979</v>
      </c>
      <c r="BE2273" s="77"/>
      <c r="BF2273" s="77"/>
      <c r="BG2273" s="77"/>
      <c r="BH2273" s="77"/>
      <c r="BI2273" s="77"/>
    </row>
    <row r="2274" spans="1:61" x14ac:dyDescent="0.25">
      <c r="A2274" s="62" t="s">
        <v>387</v>
      </c>
      <c r="B2274" s="62" t="s">
        <v>387</v>
      </c>
      <c r="C2274" s="63"/>
      <c r="D2274" s="64"/>
      <c r="E2274" s="65"/>
      <c r="F2274" s="66"/>
      <c r="G2274" s="63"/>
      <c r="H2274" s="67"/>
      <c r="I2274" s="68"/>
      <c r="J2274" s="68"/>
      <c r="K2274" s="32"/>
      <c r="L2274" s="75">
        <v>2274</v>
      </c>
      <c r="M2274" s="75"/>
      <c r="N2274" s="70"/>
      <c r="O2274" s="77" t="s">
        <v>179</v>
      </c>
      <c r="P2274" s="79">
        <v>45132.03125</v>
      </c>
      <c r="Q2274" s="77" t="s">
        <v>2946</v>
      </c>
      <c r="R2274" s="77">
        <v>1</v>
      </c>
      <c r="S2274" s="77">
        <v>2</v>
      </c>
      <c r="T2274" s="77">
        <v>1</v>
      </c>
      <c r="U2274" s="77">
        <v>0</v>
      </c>
      <c r="V2274" s="77">
        <v>1005</v>
      </c>
      <c r="W2274" s="82" t="s">
        <v>4833</v>
      </c>
      <c r="X2274" s="80" t="str">
        <f>HYPERLINK("https://mla.bs/43386e4f")</f>
        <v>https://mla.bs/43386e4f</v>
      </c>
      <c r="Y2274" s="77" t="s">
        <v>6506</v>
      </c>
      <c r="Z2274" s="77"/>
      <c r="AA2274" s="77"/>
      <c r="AB2274" s="77"/>
      <c r="AC2274" s="82" t="s">
        <v>7754</v>
      </c>
      <c r="AD2274" s="77" t="s">
        <v>7788</v>
      </c>
      <c r="AE2274" s="80" t="str">
        <f>HYPERLINK("https://twitter.com/einvestidor/status/1683639450633662464")</f>
        <v>https://twitter.com/einvestidor/status/1683639450633662464</v>
      </c>
      <c r="AF2274" s="79">
        <v>45132.03125</v>
      </c>
      <c r="AG2274" s="85">
        <v>45132</v>
      </c>
      <c r="AH2274" s="82" t="s">
        <v>9602</v>
      </c>
      <c r="AI2274" s="77" t="b">
        <v>0</v>
      </c>
      <c r="AJ2274" s="77"/>
      <c r="AK2274" s="77"/>
      <c r="AL2274" s="77"/>
      <c r="AM2274" s="77"/>
      <c r="AN2274" s="77"/>
      <c r="AO2274" s="77"/>
      <c r="AP2274" s="77"/>
      <c r="AQ2274" s="77"/>
      <c r="AR2274" s="77"/>
      <c r="AS2274" s="77"/>
      <c r="AT2274" s="77"/>
      <c r="AU2274" s="77"/>
      <c r="AV2274" s="80" t="str">
        <f>HYPERLINK("https://pbs.twimg.com/profile_images/1241147984924082183/gZgx_hL-_normal.jpg")</f>
        <v>https://pbs.twimg.com/profile_images/1241147984924082183/gZgx_hL-_normal.jpg</v>
      </c>
      <c r="AW2274" s="82" t="s">
        <v>13870</v>
      </c>
      <c r="AX2274" s="82" t="s">
        <v>13870</v>
      </c>
      <c r="AY2274" s="77"/>
      <c r="AZ2274" s="82" t="s">
        <v>15984</v>
      </c>
      <c r="BA2274" s="82" t="s">
        <v>15984</v>
      </c>
      <c r="BB2274" s="82" t="s">
        <v>15984</v>
      </c>
      <c r="BC2274" s="82" t="s">
        <v>13870</v>
      </c>
      <c r="BD2274" s="82" t="s">
        <v>15979</v>
      </c>
      <c r="BE2274" s="77"/>
      <c r="BF2274" s="77"/>
      <c r="BG2274" s="77"/>
      <c r="BH2274" s="77"/>
      <c r="BI2274" s="77"/>
    </row>
    <row r="2275" spans="1:61" x14ac:dyDescent="0.25">
      <c r="A2275" s="62" t="s">
        <v>387</v>
      </c>
      <c r="B2275" s="62" t="s">
        <v>387</v>
      </c>
      <c r="C2275" s="63"/>
      <c r="D2275" s="64"/>
      <c r="E2275" s="65"/>
      <c r="F2275" s="66"/>
      <c r="G2275" s="63"/>
      <c r="H2275" s="67"/>
      <c r="I2275" s="68"/>
      <c r="J2275" s="68"/>
      <c r="K2275" s="32"/>
      <c r="L2275" s="75">
        <v>2275</v>
      </c>
      <c r="M2275" s="75"/>
      <c r="N2275" s="70"/>
      <c r="O2275" s="77" t="s">
        <v>179</v>
      </c>
      <c r="P2275" s="79">
        <v>45132.020833333336</v>
      </c>
      <c r="Q2275" s="77" t="s">
        <v>2947</v>
      </c>
      <c r="R2275" s="77">
        <v>0</v>
      </c>
      <c r="S2275" s="77">
        <v>2</v>
      </c>
      <c r="T2275" s="77">
        <v>0</v>
      </c>
      <c r="U2275" s="77">
        <v>0</v>
      </c>
      <c r="V2275" s="77">
        <v>807</v>
      </c>
      <c r="W2275" s="82" t="s">
        <v>4833</v>
      </c>
      <c r="X2275" s="80" t="str">
        <f>HYPERLINK("https://mla.bs/d2f314ff")</f>
        <v>https://mla.bs/d2f314ff</v>
      </c>
      <c r="Y2275" s="77" t="s">
        <v>6506</v>
      </c>
      <c r="Z2275" s="77"/>
      <c r="AA2275" s="77"/>
      <c r="AB2275" s="77"/>
      <c r="AC2275" s="82" t="s">
        <v>7754</v>
      </c>
      <c r="AD2275" s="77" t="s">
        <v>7788</v>
      </c>
      <c r="AE2275" s="80" t="str">
        <f>HYPERLINK("https://twitter.com/einvestidor/status/1683635676569554945")</f>
        <v>https://twitter.com/einvestidor/status/1683635676569554945</v>
      </c>
      <c r="AF2275" s="79">
        <v>45132.020833333336</v>
      </c>
      <c r="AG2275" s="85">
        <v>45132</v>
      </c>
      <c r="AH2275" s="82" t="s">
        <v>8088</v>
      </c>
      <c r="AI2275" s="77" t="b">
        <v>0</v>
      </c>
      <c r="AJ2275" s="77"/>
      <c r="AK2275" s="77"/>
      <c r="AL2275" s="77"/>
      <c r="AM2275" s="77"/>
      <c r="AN2275" s="77"/>
      <c r="AO2275" s="77"/>
      <c r="AP2275" s="77"/>
      <c r="AQ2275" s="77"/>
      <c r="AR2275" s="77"/>
      <c r="AS2275" s="77"/>
      <c r="AT2275" s="77"/>
      <c r="AU2275" s="77"/>
      <c r="AV2275" s="80" t="str">
        <f>HYPERLINK("https://pbs.twimg.com/profile_images/1241147984924082183/gZgx_hL-_normal.jpg")</f>
        <v>https://pbs.twimg.com/profile_images/1241147984924082183/gZgx_hL-_normal.jpg</v>
      </c>
      <c r="AW2275" s="82" t="s">
        <v>13871</v>
      </c>
      <c r="AX2275" s="82" t="s">
        <v>13871</v>
      </c>
      <c r="AY2275" s="77"/>
      <c r="AZ2275" s="82" t="s">
        <v>15984</v>
      </c>
      <c r="BA2275" s="82" t="s">
        <v>15984</v>
      </c>
      <c r="BB2275" s="82" t="s">
        <v>15984</v>
      </c>
      <c r="BC2275" s="82" t="s">
        <v>13871</v>
      </c>
      <c r="BD2275" s="82" t="s">
        <v>15979</v>
      </c>
      <c r="BE2275" s="77"/>
      <c r="BF2275" s="77"/>
      <c r="BG2275" s="77"/>
      <c r="BH2275" s="77"/>
      <c r="BI2275" s="77"/>
    </row>
    <row r="2276" spans="1:61" x14ac:dyDescent="0.25">
      <c r="A2276" s="62" t="s">
        <v>387</v>
      </c>
      <c r="B2276" s="62" t="s">
        <v>387</v>
      </c>
      <c r="C2276" s="63"/>
      <c r="D2276" s="64"/>
      <c r="E2276" s="65"/>
      <c r="F2276" s="66"/>
      <c r="G2276" s="63"/>
      <c r="H2276" s="67"/>
      <c r="I2276" s="68"/>
      <c r="J2276" s="68"/>
      <c r="K2276" s="32"/>
      <c r="L2276" s="75">
        <v>2276</v>
      </c>
      <c r="M2276" s="75"/>
      <c r="N2276" s="70"/>
      <c r="O2276" s="77" t="s">
        <v>179</v>
      </c>
      <c r="P2276" s="79">
        <v>45132.010416666664</v>
      </c>
      <c r="Q2276" s="77" t="s">
        <v>2948</v>
      </c>
      <c r="R2276" s="77">
        <v>0</v>
      </c>
      <c r="S2276" s="77">
        <v>0</v>
      </c>
      <c r="T2276" s="77">
        <v>0</v>
      </c>
      <c r="U2276" s="77">
        <v>0</v>
      </c>
      <c r="V2276" s="77">
        <v>849</v>
      </c>
      <c r="W2276" s="82" t="s">
        <v>4833</v>
      </c>
      <c r="X2276" s="80" t="str">
        <f>HYPERLINK("https://mla.bs/004d3c51")</f>
        <v>https://mla.bs/004d3c51</v>
      </c>
      <c r="Y2276" s="77" t="s">
        <v>6506</v>
      </c>
      <c r="Z2276" s="77"/>
      <c r="AA2276" s="77"/>
      <c r="AB2276" s="77"/>
      <c r="AC2276" s="82" t="s">
        <v>7754</v>
      </c>
      <c r="AD2276" s="77" t="s">
        <v>7788</v>
      </c>
      <c r="AE2276" s="80" t="str">
        <f>HYPERLINK("https://twitter.com/einvestidor/status/1683631901343641601")</f>
        <v>https://twitter.com/einvestidor/status/1683631901343641601</v>
      </c>
      <c r="AF2276" s="79">
        <v>45132.010416666664</v>
      </c>
      <c r="AG2276" s="85">
        <v>45132</v>
      </c>
      <c r="AH2276" s="82" t="s">
        <v>8119</v>
      </c>
      <c r="AI2276" s="77" t="b">
        <v>0</v>
      </c>
      <c r="AJ2276" s="77"/>
      <c r="AK2276" s="77"/>
      <c r="AL2276" s="77"/>
      <c r="AM2276" s="77"/>
      <c r="AN2276" s="77"/>
      <c r="AO2276" s="77"/>
      <c r="AP2276" s="77"/>
      <c r="AQ2276" s="77"/>
      <c r="AR2276" s="77"/>
      <c r="AS2276" s="77"/>
      <c r="AT2276" s="77"/>
      <c r="AU2276" s="77"/>
      <c r="AV2276" s="80" t="str">
        <f>HYPERLINK("https://pbs.twimg.com/profile_images/1241147984924082183/gZgx_hL-_normal.jpg")</f>
        <v>https://pbs.twimg.com/profile_images/1241147984924082183/gZgx_hL-_normal.jpg</v>
      </c>
      <c r="AW2276" s="82" t="s">
        <v>13872</v>
      </c>
      <c r="AX2276" s="82" t="s">
        <v>13872</v>
      </c>
      <c r="AY2276" s="77"/>
      <c r="AZ2276" s="82" t="s">
        <v>15984</v>
      </c>
      <c r="BA2276" s="82" t="s">
        <v>15984</v>
      </c>
      <c r="BB2276" s="82" t="s">
        <v>15984</v>
      </c>
      <c r="BC2276" s="82" t="s">
        <v>13872</v>
      </c>
      <c r="BD2276" s="82" t="s">
        <v>15979</v>
      </c>
      <c r="BE2276" s="77"/>
      <c r="BF2276" s="77"/>
      <c r="BG2276" s="77"/>
      <c r="BH2276" s="77"/>
      <c r="BI2276" s="77"/>
    </row>
    <row r="2277" spans="1:61" x14ac:dyDescent="0.25">
      <c r="A2277" s="62" t="s">
        <v>387</v>
      </c>
      <c r="B2277" s="62" t="s">
        <v>387</v>
      </c>
      <c r="C2277" s="63"/>
      <c r="D2277" s="64"/>
      <c r="E2277" s="65"/>
      <c r="F2277" s="66"/>
      <c r="G2277" s="63"/>
      <c r="H2277" s="67"/>
      <c r="I2277" s="68"/>
      <c r="J2277" s="68"/>
      <c r="K2277" s="32"/>
      <c r="L2277" s="75">
        <v>2277</v>
      </c>
      <c r="M2277" s="75"/>
      <c r="N2277" s="70"/>
      <c r="O2277" s="77" t="s">
        <v>179</v>
      </c>
      <c r="P2277" s="79">
        <v>45132.000011574077</v>
      </c>
      <c r="Q2277" s="77" t="s">
        <v>2949</v>
      </c>
      <c r="R2277" s="77">
        <v>0</v>
      </c>
      <c r="S2277" s="77">
        <v>0</v>
      </c>
      <c r="T2277" s="77">
        <v>0</v>
      </c>
      <c r="U2277" s="77">
        <v>0</v>
      </c>
      <c r="V2277" s="77">
        <v>694</v>
      </c>
      <c r="W2277" s="82" t="s">
        <v>4833</v>
      </c>
      <c r="X2277" s="80" t="str">
        <f>HYPERLINK("https://mla.bs/1df63551")</f>
        <v>https://mla.bs/1df63551</v>
      </c>
      <c r="Y2277" s="77" t="s">
        <v>6506</v>
      </c>
      <c r="Z2277" s="77"/>
      <c r="AA2277" s="77"/>
      <c r="AB2277" s="77"/>
      <c r="AC2277" s="82" t="s">
        <v>7754</v>
      </c>
      <c r="AD2277" s="77" t="s">
        <v>7788</v>
      </c>
      <c r="AE2277" s="80" t="str">
        <f>HYPERLINK("https://twitter.com/einvestidor/status/1683628130647384067")</f>
        <v>https://twitter.com/einvestidor/status/1683628130647384067</v>
      </c>
      <c r="AF2277" s="79">
        <v>45132.000011574077</v>
      </c>
      <c r="AG2277" s="85">
        <v>45132</v>
      </c>
      <c r="AH2277" s="82" t="s">
        <v>7883</v>
      </c>
      <c r="AI2277" s="77" t="b">
        <v>0</v>
      </c>
      <c r="AJ2277" s="77"/>
      <c r="AK2277" s="77"/>
      <c r="AL2277" s="77"/>
      <c r="AM2277" s="77"/>
      <c r="AN2277" s="77"/>
      <c r="AO2277" s="77"/>
      <c r="AP2277" s="77"/>
      <c r="AQ2277" s="77"/>
      <c r="AR2277" s="77"/>
      <c r="AS2277" s="77"/>
      <c r="AT2277" s="77"/>
      <c r="AU2277" s="77"/>
      <c r="AV2277" s="80" t="str">
        <f>HYPERLINK("https://pbs.twimg.com/profile_images/1241147984924082183/gZgx_hL-_normal.jpg")</f>
        <v>https://pbs.twimg.com/profile_images/1241147984924082183/gZgx_hL-_normal.jpg</v>
      </c>
      <c r="AW2277" s="82" t="s">
        <v>13873</v>
      </c>
      <c r="AX2277" s="82" t="s">
        <v>13873</v>
      </c>
      <c r="AY2277" s="77"/>
      <c r="AZ2277" s="82" t="s">
        <v>15984</v>
      </c>
      <c r="BA2277" s="82" t="s">
        <v>15984</v>
      </c>
      <c r="BB2277" s="82" t="s">
        <v>15984</v>
      </c>
      <c r="BC2277" s="82" t="s">
        <v>13873</v>
      </c>
      <c r="BD2277" s="82" t="s">
        <v>15979</v>
      </c>
      <c r="BE2277" s="77"/>
      <c r="BF2277" s="77"/>
      <c r="BG2277" s="77"/>
      <c r="BH2277" s="77"/>
      <c r="BI2277" s="77"/>
    </row>
    <row r="2278" spans="1:61" x14ac:dyDescent="0.25">
      <c r="A2278" s="62" t="s">
        <v>387</v>
      </c>
      <c r="B2278" s="62" t="s">
        <v>387</v>
      </c>
      <c r="C2278" s="63"/>
      <c r="D2278" s="64"/>
      <c r="E2278" s="65"/>
      <c r="F2278" s="66"/>
      <c r="G2278" s="63"/>
      <c r="H2278" s="67"/>
      <c r="I2278" s="68"/>
      <c r="J2278" s="68"/>
      <c r="K2278" s="32"/>
      <c r="L2278" s="75">
        <v>2278</v>
      </c>
      <c r="M2278" s="75"/>
      <c r="N2278" s="70"/>
      <c r="O2278" s="77" t="s">
        <v>179</v>
      </c>
      <c r="P2278" s="79">
        <v>45131.989583333336</v>
      </c>
      <c r="Q2278" s="77" t="s">
        <v>2950</v>
      </c>
      <c r="R2278" s="77">
        <v>0</v>
      </c>
      <c r="S2278" s="77">
        <v>1</v>
      </c>
      <c r="T2278" s="77">
        <v>0</v>
      </c>
      <c r="U2278" s="77">
        <v>0</v>
      </c>
      <c r="V2278" s="77">
        <v>795</v>
      </c>
      <c r="W2278" s="82" t="s">
        <v>5958</v>
      </c>
      <c r="X2278" s="80" t="str">
        <f>HYPERLINK("https://mla.bs/38fc648b")</f>
        <v>https://mla.bs/38fc648b</v>
      </c>
      <c r="Y2278" s="77" t="s">
        <v>6506</v>
      </c>
      <c r="Z2278" s="77"/>
      <c r="AA2278" s="77"/>
      <c r="AB2278" s="77"/>
      <c r="AC2278" s="82" t="s">
        <v>7754</v>
      </c>
      <c r="AD2278" s="77" t="s">
        <v>7788</v>
      </c>
      <c r="AE2278" s="80" t="str">
        <f>HYPERLINK("https://twitter.com/einvestidor/status/1683624351290236928")</f>
        <v>https://twitter.com/einvestidor/status/1683624351290236928</v>
      </c>
      <c r="AF2278" s="79">
        <v>45131.989583333336</v>
      </c>
      <c r="AG2278" s="85">
        <v>45131</v>
      </c>
      <c r="AH2278" s="82" t="s">
        <v>9620</v>
      </c>
      <c r="AI2278" s="77" t="b">
        <v>0</v>
      </c>
      <c r="AJ2278" s="77"/>
      <c r="AK2278" s="77"/>
      <c r="AL2278" s="77"/>
      <c r="AM2278" s="77"/>
      <c r="AN2278" s="77"/>
      <c r="AO2278" s="77"/>
      <c r="AP2278" s="77"/>
      <c r="AQ2278" s="77"/>
      <c r="AR2278" s="77"/>
      <c r="AS2278" s="77"/>
      <c r="AT2278" s="77"/>
      <c r="AU2278" s="77"/>
      <c r="AV2278" s="80" t="str">
        <f>HYPERLINK("https://pbs.twimg.com/profile_images/1241147984924082183/gZgx_hL-_normal.jpg")</f>
        <v>https://pbs.twimg.com/profile_images/1241147984924082183/gZgx_hL-_normal.jpg</v>
      </c>
      <c r="AW2278" s="82" t="s">
        <v>13874</v>
      </c>
      <c r="AX2278" s="82" t="s">
        <v>13874</v>
      </c>
      <c r="AY2278" s="77"/>
      <c r="AZ2278" s="82" t="s">
        <v>15984</v>
      </c>
      <c r="BA2278" s="82" t="s">
        <v>15984</v>
      </c>
      <c r="BB2278" s="82" t="s">
        <v>15984</v>
      </c>
      <c r="BC2278" s="82" t="s">
        <v>13874</v>
      </c>
      <c r="BD2278" s="82" t="s">
        <v>15979</v>
      </c>
      <c r="BE2278" s="77"/>
      <c r="BF2278" s="77"/>
      <c r="BG2278" s="77"/>
      <c r="BH2278" s="77"/>
      <c r="BI2278" s="77"/>
    </row>
    <row r="2279" spans="1:61" x14ac:dyDescent="0.25">
      <c r="A2279" s="62" t="s">
        <v>387</v>
      </c>
      <c r="B2279" s="62" t="s">
        <v>387</v>
      </c>
      <c r="C2279" s="63"/>
      <c r="D2279" s="64"/>
      <c r="E2279" s="65"/>
      <c r="F2279" s="66"/>
      <c r="G2279" s="63"/>
      <c r="H2279" s="67"/>
      <c r="I2279" s="68"/>
      <c r="J2279" s="68"/>
      <c r="K2279" s="32"/>
      <c r="L2279" s="75">
        <v>2279</v>
      </c>
      <c r="M2279" s="75"/>
      <c r="N2279" s="70"/>
      <c r="O2279" s="77" t="s">
        <v>179</v>
      </c>
      <c r="P2279" s="79">
        <v>45131.979166666664</v>
      </c>
      <c r="Q2279" s="77" t="s">
        <v>2951</v>
      </c>
      <c r="R2279" s="77">
        <v>0</v>
      </c>
      <c r="S2279" s="77">
        <v>3</v>
      </c>
      <c r="T2279" s="77">
        <v>1</v>
      </c>
      <c r="U2279" s="77">
        <v>0</v>
      </c>
      <c r="V2279" s="77">
        <v>785</v>
      </c>
      <c r="W2279" s="82" t="s">
        <v>4833</v>
      </c>
      <c r="X2279" s="80" t="str">
        <f>HYPERLINK("https://mla.bs/c07a7c02")</f>
        <v>https://mla.bs/c07a7c02</v>
      </c>
      <c r="Y2279" s="77" t="s">
        <v>6506</v>
      </c>
      <c r="Z2279" s="77"/>
      <c r="AA2279" s="77"/>
      <c r="AB2279" s="77"/>
      <c r="AC2279" s="82" t="s">
        <v>7754</v>
      </c>
      <c r="AD2279" s="77" t="s">
        <v>7788</v>
      </c>
      <c r="AE2279" s="80" t="str">
        <f>HYPERLINK("https://twitter.com/einvestidor/status/1683620578740035586")</f>
        <v>https://twitter.com/einvestidor/status/1683620578740035586</v>
      </c>
      <c r="AF2279" s="79">
        <v>45131.979166666664</v>
      </c>
      <c r="AG2279" s="85">
        <v>45131</v>
      </c>
      <c r="AH2279" s="82" t="s">
        <v>7928</v>
      </c>
      <c r="AI2279" s="77" t="b">
        <v>0</v>
      </c>
      <c r="AJ2279" s="77"/>
      <c r="AK2279" s="77"/>
      <c r="AL2279" s="77"/>
      <c r="AM2279" s="77"/>
      <c r="AN2279" s="77"/>
      <c r="AO2279" s="77"/>
      <c r="AP2279" s="77"/>
      <c r="AQ2279" s="77"/>
      <c r="AR2279" s="77"/>
      <c r="AS2279" s="77"/>
      <c r="AT2279" s="77"/>
      <c r="AU2279" s="77"/>
      <c r="AV2279" s="80" t="str">
        <f>HYPERLINK("https://pbs.twimg.com/profile_images/1241147984924082183/gZgx_hL-_normal.jpg")</f>
        <v>https://pbs.twimg.com/profile_images/1241147984924082183/gZgx_hL-_normal.jpg</v>
      </c>
      <c r="AW2279" s="82" t="s">
        <v>13875</v>
      </c>
      <c r="AX2279" s="82" t="s">
        <v>13875</v>
      </c>
      <c r="AY2279" s="77"/>
      <c r="AZ2279" s="82" t="s">
        <v>15984</v>
      </c>
      <c r="BA2279" s="82" t="s">
        <v>15984</v>
      </c>
      <c r="BB2279" s="82" t="s">
        <v>15984</v>
      </c>
      <c r="BC2279" s="82" t="s">
        <v>13875</v>
      </c>
      <c r="BD2279" s="82" t="s">
        <v>15979</v>
      </c>
      <c r="BE2279" s="77"/>
      <c r="BF2279" s="77"/>
      <c r="BG2279" s="77"/>
      <c r="BH2279" s="77"/>
      <c r="BI2279" s="77"/>
    </row>
    <row r="2280" spans="1:61" x14ac:dyDescent="0.25">
      <c r="A2280" s="62" t="s">
        <v>387</v>
      </c>
      <c r="B2280" s="62" t="s">
        <v>387</v>
      </c>
      <c r="C2280" s="63"/>
      <c r="D2280" s="64"/>
      <c r="E2280" s="65"/>
      <c r="F2280" s="66"/>
      <c r="G2280" s="63"/>
      <c r="H2280" s="67"/>
      <c r="I2280" s="68"/>
      <c r="J2280" s="68"/>
      <c r="K2280" s="32"/>
      <c r="L2280" s="75">
        <v>2280</v>
      </c>
      <c r="M2280" s="75"/>
      <c r="N2280" s="70"/>
      <c r="O2280" s="77" t="s">
        <v>179</v>
      </c>
      <c r="P2280" s="79">
        <v>45131.96875</v>
      </c>
      <c r="Q2280" s="77" t="s">
        <v>2952</v>
      </c>
      <c r="R2280" s="77">
        <v>0</v>
      </c>
      <c r="S2280" s="77">
        <v>4</v>
      </c>
      <c r="T2280" s="77">
        <v>0</v>
      </c>
      <c r="U2280" s="77">
        <v>0</v>
      </c>
      <c r="V2280" s="77">
        <v>815</v>
      </c>
      <c r="W2280" s="82" t="s">
        <v>4833</v>
      </c>
      <c r="X2280" s="80" t="str">
        <f>HYPERLINK("https://mla.bs/7f79e142")</f>
        <v>https://mla.bs/7f79e142</v>
      </c>
      <c r="Y2280" s="77" t="s">
        <v>6506</v>
      </c>
      <c r="Z2280" s="77"/>
      <c r="AA2280" s="77"/>
      <c r="AB2280" s="77"/>
      <c r="AC2280" s="82" t="s">
        <v>7754</v>
      </c>
      <c r="AD2280" s="77" t="s">
        <v>7788</v>
      </c>
      <c r="AE2280" s="80" t="str">
        <f>HYPERLINK("https://twitter.com/einvestidor/status/1683616801588932608")</f>
        <v>https://twitter.com/einvestidor/status/1683616801588932608</v>
      </c>
      <c r="AF2280" s="79">
        <v>45131.96875</v>
      </c>
      <c r="AG2280" s="85">
        <v>45131</v>
      </c>
      <c r="AH2280" s="82" t="s">
        <v>9621</v>
      </c>
      <c r="AI2280" s="77" t="b">
        <v>0</v>
      </c>
      <c r="AJ2280" s="77"/>
      <c r="AK2280" s="77"/>
      <c r="AL2280" s="77"/>
      <c r="AM2280" s="77"/>
      <c r="AN2280" s="77"/>
      <c r="AO2280" s="77"/>
      <c r="AP2280" s="77"/>
      <c r="AQ2280" s="77"/>
      <c r="AR2280" s="77"/>
      <c r="AS2280" s="77"/>
      <c r="AT2280" s="77"/>
      <c r="AU2280" s="77"/>
      <c r="AV2280" s="80" t="str">
        <f>HYPERLINK("https://pbs.twimg.com/profile_images/1241147984924082183/gZgx_hL-_normal.jpg")</f>
        <v>https://pbs.twimg.com/profile_images/1241147984924082183/gZgx_hL-_normal.jpg</v>
      </c>
      <c r="AW2280" s="82" t="s">
        <v>13876</v>
      </c>
      <c r="AX2280" s="82" t="s">
        <v>13876</v>
      </c>
      <c r="AY2280" s="77"/>
      <c r="AZ2280" s="82" t="s">
        <v>15984</v>
      </c>
      <c r="BA2280" s="82" t="s">
        <v>15984</v>
      </c>
      <c r="BB2280" s="82" t="s">
        <v>15984</v>
      </c>
      <c r="BC2280" s="82" t="s">
        <v>13876</v>
      </c>
      <c r="BD2280" s="82" t="s">
        <v>15979</v>
      </c>
      <c r="BE2280" s="77"/>
      <c r="BF2280" s="77"/>
      <c r="BG2280" s="77"/>
      <c r="BH2280" s="77"/>
      <c r="BI2280" s="77"/>
    </row>
    <row r="2281" spans="1:61" x14ac:dyDescent="0.25">
      <c r="A2281" s="62" t="s">
        <v>387</v>
      </c>
      <c r="B2281" s="62" t="s">
        <v>387</v>
      </c>
      <c r="C2281" s="63"/>
      <c r="D2281" s="64"/>
      <c r="E2281" s="65"/>
      <c r="F2281" s="66"/>
      <c r="G2281" s="63"/>
      <c r="H2281" s="67"/>
      <c r="I2281" s="68"/>
      <c r="J2281" s="68"/>
      <c r="K2281" s="32"/>
      <c r="L2281" s="75">
        <v>2281</v>
      </c>
      <c r="M2281" s="75"/>
      <c r="N2281" s="70"/>
      <c r="O2281" s="77" t="s">
        <v>179</v>
      </c>
      <c r="P2281" s="79">
        <v>45131.958344907405</v>
      </c>
      <c r="Q2281" s="77" t="s">
        <v>2953</v>
      </c>
      <c r="R2281" s="77">
        <v>1</v>
      </c>
      <c r="S2281" s="77">
        <v>4</v>
      </c>
      <c r="T2281" s="77">
        <v>0</v>
      </c>
      <c r="U2281" s="77">
        <v>0</v>
      </c>
      <c r="V2281" s="77">
        <v>1057</v>
      </c>
      <c r="W2281" s="82" t="s">
        <v>4833</v>
      </c>
      <c r="X2281" s="80" t="str">
        <f>HYPERLINK("https://mla.bs/469187bd")</f>
        <v>https://mla.bs/469187bd</v>
      </c>
      <c r="Y2281" s="77" t="s">
        <v>6506</v>
      </c>
      <c r="Z2281" s="77"/>
      <c r="AA2281" s="77"/>
      <c r="AB2281" s="77"/>
      <c r="AC2281" s="82" t="s">
        <v>7754</v>
      </c>
      <c r="AD2281" s="77" t="s">
        <v>7788</v>
      </c>
      <c r="AE2281" s="80" t="str">
        <f>HYPERLINK("https://twitter.com/einvestidor/status/1683613032352743424")</f>
        <v>https://twitter.com/einvestidor/status/1683613032352743424</v>
      </c>
      <c r="AF2281" s="79">
        <v>45131.958344907405</v>
      </c>
      <c r="AG2281" s="85">
        <v>45131</v>
      </c>
      <c r="AH2281" s="82" t="s">
        <v>9241</v>
      </c>
      <c r="AI2281" s="77" t="b">
        <v>0</v>
      </c>
      <c r="AJ2281" s="77"/>
      <c r="AK2281" s="77"/>
      <c r="AL2281" s="77"/>
      <c r="AM2281" s="77"/>
      <c r="AN2281" s="77"/>
      <c r="AO2281" s="77"/>
      <c r="AP2281" s="77"/>
      <c r="AQ2281" s="77"/>
      <c r="AR2281" s="77"/>
      <c r="AS2281" s="77"/>
      <c r="AT2281" s="77"/>
      <c r="AU2281" s="77"/>
      <c r="AV2281" s="80" t="str">
        <f>HYPERLINK("https://pbs.twimg.com/profile_images/1241147984924082183/gZgx_hL-_normal.jpg")</f>
        <v>https://pbs.twimg.com/profile_images/1241147984924082183/gZgx_hL-_normal.jpg</v>
      </c>
      <c r="AW2281" s="82" t="s">
        <v>13877</v>
      </c>
      <c r="AX2281" s="82" t="s">
        <v>13877</v>
      </c>
      <c r="AY2281" s="77"/>
      <c r="AZ2281" s="82" t="s">
        <v>15984</v>
      </c>
      <c r="BA2281" s="82" t="s">
        <v>15984</v>
      </c>
      <c r="BB2281" s="82" t="s">
        <v>15984</v>
      </c>
      <c r="BC2281" s="82" t="s">
        <v>13877</v>
      </c>
      <c r="BD2281" s="82" t="s">
        <v>15979</v>
      </c>
      <c r="BE2281" s="77"/>
      <c r="BF2281" s="77"/>
      <c r="BG2281" s="77"/>
      <c r="BH2281" s="77"/>
      <c r="BI2281" s="77"/>
    </row>
    <row r="2282" spans="1:61" x14ac:dyDescent="0.25">
      <c r="A2282" s="62" t="s">
        <v>387</v>
      </c>
      <c r="B2282" s="62" t="s">
        <v>387</v>
      </c>
      <c r="C2282" s="63"/>
      <c r="D2282" s="64"/>
      <c r="E2282" s="65"/>
      <c r="F2282" s="66"/>
      <c r="G2282" s="63"/>
      <c r="H2282" s="67"/>
      <c r="I2282" s="68"/>
      <c r="J2282" s="68"/>
      <c r="K2282" s="32"/>
      <c r="L2282" s="75">
        <v>2282</v>
      </c>
      <c r="M2282" s="75"/>
      <c r="N2282" s="70"/>
      <c r="O2282" s="77" t="s">
        <v>179</v>
      </c>
      <c r="P2282" s="79">
        <v>45123.834305555552</v>
      </c>
      <c r="Q2282" s="77" t="s">
        <v>2954</v>
      </c>
      <c r="R2282" s="77">
        <v>0</v>
      </c>
      <c r="S2282" s="77">
        <v>1</v>
      </c>
      <c r="T2282" s="77">
        <v>0</v>
      </c>
      <c r="U2282" s="77">
        <v>0</v>
      </c>
      <c r="V2282" s="77">
        <v>911</v>
      </c>
      <c r="W2282" s="82" t="s">
        <v>4833</v>
      </c>
      <c r="X2282" s="80" t="str">
        <f>HYPERLINK("https://mla.bs/1a06bc09")</f>
        <v>https://mla.bs/1a06bc09</v>
      </c>
      <c r="Y2282" s="77" t="s">
        <v>6506</v>
      </c>
      <c r="Z2282" s="77"/>
      <c r="AA2282" s="77"/>
      <c r="AB2282" s="77"/>
      <c r="AC2282" s="82" t="s">
        <v>7757</v>
      </c>
      <c r="AD2282" s="77" t="s">
        <v>7788</v>
      </c>
      <c r="AE2282" s="80" t="str">
        <f>HYPERLINK("https://twitter.com/einvestidor/status/1680668980325806082")</f>
        <v>https://twitter.com/einvestidor/status/1680668980325806082</v>
      </c>
      <c r="AF2282" s="79">
        <v>45123.834305555552</v>
      </c>
      <c r="AG2282" s="85">
        <v>45123</v>
      </c>
      <c r="AH2282" s="82" t="s">
        <v>9662</v>
      </c>
      <c r="AI2282" s="77" t="b">
        <v>0</v>
      </c>
      <c r="AJ2282" s="77"/>
      <c r="AK2282" s="77"/>
      <c r="AL2282" s="77"/>
      <c r="AM2282" s="77"/>
      <c r="AN2282" s="77"/>
      <c r="AO2282" s="77"/>
      <c r="AP2282" s="77"/>
      <c r="AQ2282" s="77"/>
      <c r="AR2282" s="77"/>
      <c r="AS2282" s="77"/>
      <c r="AT2282" s="77"/>
      <c r="AU2282" s="77"/>
      <c r="AV2282" s="80" t="str">
        <f>HYPERLINK("https://pbs.twimg.com/profile_images/1241147984924082183/gZgx_hL-_normal.jpg")</f>
        <v>https://pbs.twimg.com/profile_images/1241147984924082183/gZgx_hL-_normal.jpg</v>
      </c>
      <c r="AW2282" s="82" t="s">
        <v>13878</v>
      </c>
      <c r="AX2282" s="82" t="s">
        <v>13878</v>
      </c>
      <c r="AY2282" s="77"/>
      <c r="AZ2282" s="82" t="s">
        <v>15984</v>
      </c>
      <c r="BA2282" s="82" t="s">
        <v>15984</v>
      </c>
      <c r="BB2282" s="82" t="s">
        <v>15984</v>
      </c>
      <c r="BC2282" s="82" t="s">
        <v>13878</v>
      </c>
      <c r="BD2282" s="82" t="s">
        <v>15979</v>
      </c>
      <c r="BE2282" s="77"/>
      <c r="BF2282" s="77"/>
      <c r="BG2282" s="77"/>
      <c r="BH2282" s="77"/>
      <c r="BI2282" s="77"/>
    </row>
    <row r="2283" spans="1:61" x14ac:dyDescent="0.25">
      <c r="A2283" s="62" t="s">
        <v>387</v>
      </c>
      <c r="B2283" s="62" t="s">
        <v>387</v>
      </c>
      <c r="C2283" s="63"/>
      <c r="D2283" s="64"/>
      <c r="E2283" s="65"/>
      <c r="F2283" s="66"/>
      <c r="G2283" s="63"/>
      <c r="H2283" s="67"/>
      <c r="I2283" s="68"/>
      <c r="J2283" s="68"/>
      <c r="K2283" s="32"/>
      <c r="L2283" s="75">
        <v>2283</v>
      </c>
      <c r="M2283" s="75"/>
      <c r="N2283" s="70"/>
      <c r="O2283" s="77" t="s">
        <v>179</v>
      </c>
      <c r="P2283" s="79">
        <v>45122.834050925929</v>
      </c>
      <c r="Q2283" s="77" t="s">
        <v>2955</v>
      </c>
      <c r="R2283" s="77">
        <v>1</v>
      </c>
      <c r="S2283" s="77">
        <v>1</v>
      </c>
      <c r="T2283" s="77">
        <v>0</v>
      </c>
      <c r="U2283" s="77">
        <v>0</v>
      </c>
      <c r="V2283" s="77">
        <v>831</v>
      </c>
      <c r="W2283" s="82" t="s">
        <v>5959</v>
      </c>
      <c r="X2283" s="80" t="str">
        <f>HYPERLINK("https://mla.bs/1abffd10")</f>
        <v>https://mla.bs/1abffd10</v>
      </c>
      <c r="Y2283" s="77" t="s">
        <v>6506</v>
      </c>
      <c r="Z2283" s="77"/>
      <c r="AA2283" s="77"/>
      <c r="AB2283" s="77"/>
      <c r="AC2283" s="82" t="s">
        <v>7757</v>
      </c>
      <c r="AD2283" s="77" t="s">
        <v>7788</v>
      </c>
      <c r="AE2283" s="80" t="str">
        <f>HYPERLINK("https://twitter.com/einvestidor/status/1680306499682172935")</f>
        <v>https://twitter.com/einvestidor/status/1680306499682172935</v>
      </c>
      <c r="AF2283" s="79">
        <v>45122.834050925929</v>
      </c>
      <c r="AG2283" s="85">
        <v>45122</v>
      </c>
      <c r="AH2283" s="82" t="s">
        <v>9663</v>
      </c>
      <c r="AI2283" s="77" t="b">
        <v>0</v>
      </c>
      <c r="AJ2283" s="77"/>
      <c r="AK2283" s="77"/>
      <c r="AL2283" s="77"/>
      <c r="AM2283" s="77"/>
      <c r="AN2283" s="77"/>
      <c r="AO2283" s="77"/>
      <c r="AP2283" s="77"/>
      <c r="AQ2283" s="77"/>
      <c r="AR2283" s="77"/>
      <c r="AS2283" s="77"/>
      <c r="AT2283" s="77"/>
      <c r="AU2283" s="77"/>
      <c r="AV2283" s="80" t="str">
        <f>HYPERLINK("https://pbs.twimg.com/profile_images/1241147984924082183/gZgx_hL-_normal.jpg")</f>
        <v>https://pbs.twimg.com/profile_images/1241147984924082183/gZgx_hL-_normal.jpg</v>
      </c>
      <c r="AW2283" s="82" t="s">
        <v>13879</v>
      </c>
      <c r="AX2283" s="82" t="s">
        <v>13879</v>
      </c>
      <c r="AY2283" s="77"/>
      <c r="AZ2283" s="82" t="s">
        <v>15984</v>
      </c>
      <c r="BA2283" s="82" t="s">
        <v>15984</v>
      </c>
      <c r="BB2283" s="82" t="s">
        <v>15984</v>
      </c>
      <c r="BC2283" s="82" t="s">
        <v>13879</v>
      </c>
      <c r="BD2283" s="82" t="s">
        <v>15979</v>
      </c>
      <c r="BE2283" s="77"/>
      <c r="BF2283" s="77"/>
      <c r="BG2283" s="77"/>
      <c r="BH2283" s="77"/>
      <c r="BI2283" s="77"/>
    </row>
    <row r="2284" spans="1:61" x14ac:dyDescent="0.25">
      <c r="A2284" s="62" t="s">
        <v>387</v>
      </c>
      <c r="B2284" s="62" t="s">
        <v>387</v>
      </c>
      <c r="C2284" s="63"/>
      <c r="D2284" s="64"/>
      <c r="E2284" s="65"/>
      <c r="F2284" s="66"/>
      <c r="G2284" s="63"/>
      <c r="H2284" s="67"/>
      <c r="I2284" s="68"/>
      <c r="J2284" s="68"/>
      <c r="K2284" s="32"/>
      <c r="L2284" s="75">
        <v>2284</v>
      </c>
      <c r="M2284" s="75"/>
      <c r="N2284" s="70"/>
      <c r="O2284" s="77" t="s">
        <v>179</v>
      </c>
      <c r="P2284" s="79">
        <v>45122.667129629626</v>
      </c>
      <c r="Q2284" s="77" t="s">
        <v>2956</v>
      </c>
      <c r="R2284" s="77">
        <v>1</v>
      </c>
      <c r="S2284" s="77">
        <v>1</v>
      </c>
      <c r="T2284" s="77">
        <v>0</v>
      </c>
      <c r="U2284" s="77">
        <v>0</v>
      </c>
      <c r="V2284" s="77">
        <v>693</v>
      </c>
      <c r="W2284" s="82" t="s">
        <v>5960</v>
      </c>
      <c r="X2284" s="80" t="str">
        <f>HYPERLINK("https://mla.bs/a2bc145a")</f>
        <v>https://mla.bs/a2bc145a</v>
      </c>
      <c r="Y2284" s="77" t="s">
        <v>6506</v>
      </c>
      <c r="Z2284" s="77"/>
      <c r="AA2284" s="77"/>
      <c r="AB2284" s="77"/>
      <c r="AC2284" s="82" t="s">
        <v>7757</v>
      </c>
      <c r="AD2284" s="77" t="s">
        <v>7788</v>
      </c>
      <c r="AE2284" s="80" t="str">
        <f>HYPERLINK("https://twitter.com/einvestidor/status/1680246007920041984")</f>
        <v>https://twitter.com/einvestidor/status/1680246007920041984</v>
      </c>
      <c r="AF2284" s="79">
        <v>45122.667129629626</v>
      </c>
      <c r="AG2284" s="85">
        <v>45122</v>
      </c>
      <c r="AH2284" s="82" t="s">
        <v>9664</v>
      </c>
      <c r="AI2284" s="77" t="b">
        <v>0</v>
      </c>
      <c r="AJ2284" s="77"/>
      <c r="AK2284" s="77"/>
      <c r="AL2284" s="77"/>
      <c r="AM2284" s="77"/>
      <c r="AN2284" s="77"/>
      <c r="AO2284" s="77"/>
      <c r="AP2284" s="77"/>
      <c r="AQ2284" s="77"/>
      <c r="AR2284" s="77"/>
      <c r="AS2284" s="77"/>
      <c r="AT2284" s="77"/>
      <c r="AU2284" s="77"/>
      <c r="AV2284" s="80" t="str">
        <f>HYPERLINK("https://pbs.twimg.com/profile_images/1241147984924082183/gZgx_hL-_normal.jpg")</f>
        <v>https://pbs.twimg.com/profile_images/1241147984924082183/gZgx_hL-_normal.jpg</v>
      </c>
      <c r="AW2284" s="82" t="s">
        <v>13880</v>
      </c>
      <c r="AX2284" s="82" t="s">
        <v>13880</v>
      </c>
      <c r="AY2284" s="77"/>
      <c r="AZ2284" s="82" t="s">
        <v>15984</v>
      </c>
      <c r="BA2284" s="82" t="s">
        <v>15984</v>
      </c>
      <c r="BB2284" s="82" t="s">
        <v>15984</v>
      </c>
      <c r="BC2284" s="82" t="s">
        <v>13880</v>
      </c>
      <c r="BD2284" s="82" t="s">
        <v>15979</v>
      </c>
      <c r="BE2284" s="77"/>
      <c r="BF2284" s="77"/>
      <c r="BG2284" s="77"/>
      <c r="BH2284" s="77"/>
      <c r="BI2284" s="77"/>
    </row>
    <row r="2285" spans="1:61" x14ac:dyDescent="0.25">
      <c r="A2285" s="62" t="s">
        <v>387</v>
      </c>
      <c r="B2285" s="62" t="s">
        <v>387</v>
      </c>
      <c r="C2285" s="63"/>
      <c r="D2285" s="64"/>
      <c r="E2285" s="65"/>
      <c r="F2285" s="66"/>
      <c r="G2285" s="63"/>
      <c r="H2285" s="67"/>
      <c r="I2285" s="68"/>
      <c r="J2285" s="68"/>
      <c r="K2285" s="32"/>
      <c r="L2285" s="75">
        <v>2285</v>
      </c>
      <c r="M2285" s="75"/>
      <c r="N2285" s="70"/>
      <c r="O2285" s="77" t="s">
        <v>179</v>
      </c>
      <c r="P2285" s="79">
        <v>45122.500497685185</v>
      </c>
      <c r="Q2285" s="77" t="s">
        <v>2957</v>
      </c>
      <c r="R2285" s="77">
        <v>1</v>
      </c>
      <c r="S2285" s="77">
        <v>1</v>
      </c>
      <c r="T2285" s="77">
        <v>0</v>
      </c>
      <c r="U2285" s="77">
        <v>0</v>
      </c>
      <c r="V2285" s="77">
        <v>672</v>
      </c>
      <c r="W2285" s="82" t="s">
        <v>4833</v>
      </c>
      <c r="X2285" s="80" t="str">
        <f>HYPERLINK("https://mla.bs/168cbc07")</f>
        <v>https://mla.bs/168cbc07</v>
      </c>
      <c r="Y2285" s="77" t="s">
        <v>6506</v>
      </c>
      <c r="Z2285" s="77"/>
      <c r="AA2285" s="77"/>
      <c r="AB2285" s="77"/>
      <c r="AC2285" s="82" t="s">
        <v>7757</v>
      </c>
      <c r="AD2285" s="77" t="s">
        <v>7788</v>
      </c>
      <c r="AE2285" s="80" t="str">
        <f>HYPERLINK("https://twitter.com/einvestidor/status/1680185620902158342")</f>
        <v>https://twitter.com/einvestidor/status/1680185620902158342</v>
      </c>
      <c r="AF2285" s="79">
        <v>45122.500497685185</v>
      </c>
      <c r="AG2285" s="85">
        <v>45122</v>
      </c>
      <c r="AH2285" s="82" t="s">
        <v>9129</v>
      </c>
      <c r="AI2285" s="77" t="b">
        <v>0</v>
      </c>
      <c r="AJ2285" s="77"/>
      <c r="AK2285" s="77"/>
      <c r="AL2285" s="77"/>
      <c r="AM2285" s="77"/>
      <c r="AN2285" s="77"/>
      <c r="AO2285" s="77"/>
      <c r="AP2285" s="77"/>
      <c r="AQ2285" s="77"/>
      <c r="AR2285" s="77"/>
      <c r="AS2285" s="77"/>
      <c r="AT2285" s="77"/>
      <c r="AU2285" s="77"/>
      <c r="AV2285" s="80" t="str">
        <f>HYPERLINK("https://pbs.twimg.com/profile_images/1241147984924082183/gZgx_hL-_normal.jpg")</f>
        <v>https://pbs.twimg.com/profile_images/1241147984924082183/gZgx_hL-_normal.jpg</v>
      </c>
      <c r="AW2285" s="82" t="s">
        <v>13881</v>
      </c>
      <c r="AX2285" s="82" t="s">
        <v>13881</v>
      </c>
      <c r="AY2285" s="77"/>
      <c r="AZ2285" s="82" t="s">
        <v>15984</v>
      </c>
      <c r="BA2285" s="82" t="s">
        <v>15984</v>
      </c>
      <c r="BB2285" s="82" t="s">
        <v>15984</v>
      </c>
      <c r="BC2285" s="82" t="s">
        <v>13881</v>
      </c>
      <c r="BD2285" s="82" t="s">
        <v>15979</v>
      </c>
      <c r="BE2285" s="77"/>
      <c r="BF2285" s="77"/>
      <c r="BG2285" s="77"/>
      <c r="BH2285" s="77"/>
      <c r="BI2285" s="77"/>
    </row>
    <row r="2286" spans="1:61" x14ac:dyDescent="0.25">
      <c r="A2286" s="62" t="s">
        <v>387</v>
      </c>
      <c r="B2286" s="62" t="s">
        <v>387</v>
      </c>
      <c r="C2286" s="63"/>
      <c r="D2286" s="64"/>
      <c r="E2286" s="65"/>
      <c r="F2286" s="66"/>
      <c r="G2286" s="63"/>
      <c r="H2286" s="67"/>
      <c r="I2286" s="68"/>
      <c r="J2286" s="68"/>
      <c r="K2286" s="32"/>
      <c r="L2286" s="75">
        <v>2286</v>
      </c>
      <c r="M2286" s="75"/>
      <c r="N2286" s="70"/>
      <c r="O2286" s="77" t="s">
        <v>179</v>
      </c>
      <c r="P2286" s="79">
        <v>45122.111111111109</v>
      </c>
      <c r="Q2286" s="77" t="s">
        <v>2958</v>
      </c>
      <c r="R2286" s="77">
        <v>0</v>
      </c>
      <c r="S2286" s="77">
        <v>4</v>
      </c>
      <c r="T2286" s="77">
        <v>1</v>
      </c>
      <c r="U2286" s="77">
        <v>0</v>
      </c>
      <c r="V2286" s="77">
        <v>825</v>
      </c>
      <c r="W2286" s="82" t="s">
        <v>5959</v>
      </c>
      <c r="X2286" s="80" t="str">
        <f>HYPERLINK("https://mla.bs/5249e8f2")</f>
        <v>https://mla.bs/5249e8f2</v>
      </c>
      <c r="Y2286" s="77" t="s">
        <v>6506</v>
      </c>
      <c r="Z2286" s="77"/>
      <c r="AA2286" s="77"/>
      <c r="AB2286" s="77"/>
      <c r="AC2286" s="82" t="s">
        <v>7757</v>
      </c>
      <c r="AD2286" s="77" t="s">
        <v>7788</v>
      </c>
      <c r="AE2286" s="80" t="str">
        <f>HYPERLINK("https://twitter.com/einvestidor/status/1680044514604449793")</f>
        <v>https://twitter.com/einvestidor/status/1680044514604449793</v>
      </c>
      <c r="AF2286" s="79">
        <v>45122.111111111109</v>
      </c>
      <c r="AG2286" s="85">
        <v>45122</v>
      </c>
      <c r="AH2286" s="82" t="s">
        <v>9665</v>
      </c>
      <c r="AI2286" s="77" t="b">
        <v>0</v>
      </c>
      <c r="AJ2286" s="77"/>
      <c r="AK2286" s="77"/>
      <c r="AL2286" s="77"/>
      <c r="AM2286" s="77"/>
      <c r="AN2286" s="77"/>
      <c r="AO2286" s="77"/>
      <c r="AP2286" s="77"/>
      <c r="AQ2286" s="77"/>
      <c r="AR2286" s="77"/>
      <c r="AS2286" s="77"/>
      <c r="AT2286" s="77"/>
      <c r="AU2286" s="77"/>
      <c r="AV2286" s="80" t="str">
        <f>HYPERLINK("https://pbs.twimg.com/profile_images/1241147984924082183/gZgx_hL-_normal.jpg")</f>
        <v>https://pbs.twimg.com/profile_images/1241147984924082183/gZgx_hL-_normal.jpg</v>
      </c>
      <c r="AW2286" s="82" t="s">
        <v>13882</v>
      </c>
      <c r="AX2286" s="82" t="s">
        <v>13882</v>
      </c>
      <c r="AY2286" s="77"/>
      <c r="AZ2286" s="82" t="s">
        <v>15984</v>
      </c>
      <c r="BA2286" s="82" t="s">
        <v>15984</v>
      </c>
      <c r="BB2286" s="82" t="s">
        <v>15984</v>
      </c>
      <c r="BC2286" s="82" t="s">
        <v>13882</v>
      </c>
      <c r="BD2286" s="82" t="s">
        <v>15979</v>
      </c>
      <c r="BE2286" s="77"/>
      <c r="BF2286" s="77"/>
      <c r="BG2286" s="77"/>
      <c r="BH2286" s="77"/>
      <c r="BI2286" s="77"/>
    </row>
    <row r="2287" spans="1:61" x14ac:dyDescent="0.25">
      <c r="A2287" s="62" t="s">
        <v>387</v>
      </c>
      <c r="B2287" s="62" t="s">
        <v>387</v>
      </c>
      <c r="C2287" s="63"/>
      <c r="D2287" s="64"/>
      <c r="E2287" s="65"/>
      <c r="F2287" s="66"/>
      <c r="G2287" s="63"/>
      <c r="H2287" s="67"/>
      <c r="I2287" s="68"/>
      <c r="J2287" s="68"/>
      <c r="K2287" s="32"/>
      <c r="L2287" s="75">
        <v>2287</v>
      </c>
      <c r="M2287" s="75"/>
      <c r="N2287" s="70"/>
      <c r="O2287" s="77" t="s">
        <v>179</v>
      </c>
      <c r="P2287" s="79">
        <v>45122.097222222219</v>
      </c>
      <c r="Q2287" s="77" t="s">
        <v>2959</v>
      </c>
      <c r="R2287" s="77">
        <v>0</v>
      </c>
      <c r="S2287" s="77">
        <v>4</v>
      </c>
      <c r="T2287" s="77">
        <v>0</v>
      </c>
      <c r="U2287" s="77">
        <v>0</v>
      </c>
      <c r="V2287" s="77">
        <v>867</v>
      </c>
      <c r="W2287" s="82" t="s">
        <v>4833</v>
      </c>
      <c r="X2287" s="80" t="str">
        <f>HYPERLINK("https://mla.bs/c4785396")</f>
        <v>https://mla.bs/c4785396</v>
      </c>
      <c r="Y2287" s="77" t="s">
        <v>6506</v>
      </c>
      <c r="Z2287" s="77"/>
      <c r="AA2287" s="77"/>
      <c r="AB2287" s="77"/>
      <c r="AC2287" s="82" t="s">
        <v>7757</v>
      </c>
      <c r="AD2287" s="77" t="s">
        <v>7788</v>
      </c>
      <c r="AE2287" s="80" t="str">
        <f>HYPERLINK("https://twitter.com/einvestidor/status/1680039480969895936")</f>
        <v>https://twitter.com/einvestidor/status/1680039480969895936</v>
      </c>
      <c r="AF2287" s="79">
        <v>45122.097222222219</v>
      </c>
      <c r="AG2287" s="85">
        <v>45122</v>
      </c>
      <c r="AH2287" s="82" t="s">
        <v>9666</v>
      </c>
      <c r="AI2287" s="77" t="b">
        <v>0</v>
      </c>
      <c r="AJ2287" s="77"/>
      <c r="AK2287" s="77"/>
      <c r="AL2287" s="77"/>
      <c r="AM2287" s="77"/>
      <c r="AN2287" s="77"/>
      <c r="AO2287" s="77"/>
      <c r="AP2287" s="77"/>
      <c r="AQ2287" s="77"/>
      <c r="AR2287" s="77"/>
      <c r="AS2287" s="77"/>
      <c r="AT2287" s="77"/>
      <c r="AU2287" s="77"/>
      <c r="AV2287" s="80" t="str">
        <f>HYPERLINK("https://pbs.twimg.com/profile_images/1241147984924082183/gZgx_hL-_normal.jpg")</f>
        <v>https://pbs.twimg.com/profile_images/1241147984924082183/gZgx_hL-_normal.jpg</v>
      </c>
      <c r="AW2287" s="82" t="s">
        <v>13883</v>
      </c>
      <c r="AX2287" s="82" t="s">
        <v>13883</v>
      </c>
      <c r="AY2287" s="77"/>
      <c r="AZ2287" s="82" t="s">
        <v>15984</v>
      </c>
      <c r="BA2287" s="82" t="s">
        <v>15984</v>
      </c>
      <c r="BB2287" s="82" t="s">
        <v>15984</v>
      </c>
      <c r="BC2287" s="82" t="s">
        <v>13883</v>
      </c>
      <c r="BD2287" s="82" t="s">
        <v>15979</v>
      </c>
      <c r="BE2287" s="77"/>
      <c r="BF2287" s="77"/>
      <c r="BG2287" s="77"/>
      <c r="BH2287" s="77"/>
      <c r="BI2287" s="77"/>
    </row>
    <row r="2288" spans="1:61" x14ac:dyDescent="0.25">
      <c r="A2288" s="62" t="s">
        <v>387</v>
      </c>
      <c r="B2288" s="62" t="s">
        <v>387</v>
      </c>
      <c r="C2288" s="63"/>
      <c r="D2288" s="64"/>
      <c r="E2288" s="65"/>
      <c r="F2288" s="66"/>
      <c r="G2288" s="63"/>
      <c r="H2288" s="67"/>
      <c r="I2288" s="68"/>
      <c r="J2288" s="68"/>
      <c r="K2288" s="32"/>
      <c r="L2288" s="75">
        <v>2288</v>
      </c>
      <c r="M2288" s="75"/>
      <c r="N2288" s="70"/>
      <c r="O2288" s="77" t="s">
        <v>179</v>
      </c>
      <c r="P2288" s="79">
        <v>45122.08353009259</v>
      </c>
      <c r="Q2288" s="77" t="s">
        <v>2960</v>
      </c>
      <c r="R2288" s="77">
        <v>0</v>
      </c>
      <c r="S2288" s="77">
        <v>6</v>
      </c>
      <c r="T2288" s="77">
        <v>0</v>
      </c>
      <c r="U2288" s="77">
        <v>0</v>
      </c>
      <c r="V2288" s="77">
        <v>878</v>
      </c>
      <c r="W2288" s="82" t="s">
        <v>4833</v>
      </c>
      <c r="X2288" s="80" t="str">
        <f>HYPERLINK("https://mla.bs/a7244066")</f>
        <v>https://mla.bs/a7244066</v>
      </c>
      <c r="Y2288" s="77" t="s">
        <v>6506</v>
      </c>
      <c r="Z2288" s="77"/>
      <c r="AA2288" s="77"/>
      <c r="AB2288" s="77"/>
      <c r="AC2288" s="82" t="s">
        <v>7757</v>
      </c>
      <c r="AD2288" s="77" t="s">
        <v>7788</v>
      </c>
      <c r="AE2288" s="80" t="str">
        <f>HYPERLINK("https://twitter.com/einvestidor/status/1680034520861483008")</f>
        <v>https://twitter.com/einvestidor/status/1680034520861483008</v>
      </c>
      <c r="AF2288" s="79">
        <v>45122.08353009259</v>
      </c>
      <c r="AG2288" s="85">
        <v>45122</v>
      </c>
      <c r="AH2288" s="82" t="s">
        <v>9667</v>
      </c>
      <c r="AI2288" s="77" t="b">
        <v>0</v>
      </c>
      <c r="AJ2288" s="77"/>
      <c r="AK2288" s="77"/>
      <c r="AL2288" s="77"/>
      <c r="AM2288" s="77"/>
      <c r="AN2288" s="77"/>
      <c r="AO2288" s="77"/>
      <c r="AP2288" s="77"/>
      <c r="AQ2288" s="77"/>
      <c r="AR2288" s="77"/>
      <c r="AS2288" s="77"/>
      <c r="AT2288" s="77"/>
      <c r="AU2288" s="77"/>
      <c r="AV2288" s="80" t="str">
        <f>HYPERLINK("https://pbs.twimg.com/profile_images/1241147984924082183/gZgx_hL-_normal.jpg")</f>
        <v>https://pbs.twimg.com/profile_images/1241147984924082183/gZgx_hL-_normal.jpg</v>
      </c>
      <c r="AW2288" s="82" t="s">
        <v>13884</v>
      </c>
      <c r="AX2288" s="82" t="s">
        <v>13884</v>
      </c>
      <c r="AY2288" s="77"/>
      <c r="AZ2288" s="82" t="s">
        <v>15984</v>
      </c>
      <c r="BA2288" s="82" t="s">
        <v>15984</v>
      </c>
      <c r="BB2288" s="82" t="s">
        <v>15984</v>
      </c>
      <c r="BC2288" s="82" t="s">
        <v>13884</v>
      </c>
      <c r="BD2288" s="82" t="s">
        <v>15979</v>
      </c>
      <c r="BE2288" s="77"/>
      <c r="BF2288" s="77"/>
      <c r="BG2288" s="77"/>
      <c r="BH2288" s="77"/>
      <c r="BI2288" s="77"/>
    </row>
    <row r="2289" spans="1:61" x14ac:dyDescent="0.25">
      <c r="A2289" s="62" t="s">
        <v>387</v>
      </c>
      <c r="B2289" s="62" t="s">
        <v>387</v>
      </c>
      <c r="C2289" s="63"/>
      <c r="D2289" s="64"/>
      <c r="E2289" s="65"/>
      <c r="F2289" s="66"/>
      <c r="G2289" s="63"/>
      <c r="H2289" s="67"/>
      <c r="I2289" s="68"/>
      <c r="J2289" s="68"/>
      <c r="K2289" s="32"/>
      <c r="L2289" s="75">
        <v>2289</v>
      </c>
      <c r="M2289" s="75"/>
      <c r="N2289" s="70"/>
      <c r="O2289" s="77" t="s">
        <v>179</v>
      </c>
      <c r="P2289" s="79">
        <v>45122.069560185184</v>
      </c>
      <c r="Q2289" s="77" t="s">
        <v>2961</v>
      </c>
      <c r="R2289" s="77">
        <v>0</v>
      </c>
      <c r="S2289" s="77">
        <v>2</v>
      </c>
      <c r="T2289" s="77">
        <v>1</v>
      </c>
      <c r="U2289" s="77">
        <v>0</v>
      </c>
      <c r="V2289" s="77">
        <v>832</v>
      </c>
      <c r="W2289" s="82" t="s">
        <v>4833</v>
      </c>
      <c r="X2289" s="80" t="str">
        <f>HYPERLINK("https://mla.bs/0b46df27")</f>
        <v>https://mla.bs/0b46df27</v>
      </c>
      <c r="Y2289" s="77" t="s">
        <v>6506</v>
      </c>
      <c r="Z2289" s="77"/>
      <c r="AA2289" s="77"/>
      <c r="AB2289" s="77"/>
      <c r="AC2289" s="82" t="s">
        <v>7757</v>
      </c>
      <c r="AD2289" s="77" t="s">
        <v>7788</v>
      </c>
      <c r="AE2289" s="80" t="str">
        <f>HYPERLINK("https://twitter.com/einvestidor/status/1680029455442378754")</f>
        <v>https://twitter.com/einvestidor/status/1680029455442378754</v>
      </c>
      <c r="AF2289" s="79">
        <v>45122.069560185184</v>
      </c>
      <c r="AG2289" s="85">
        <v>45122</v>
      </c>
      <c r="AH2289" s="82" t="s">
        <v>9668</v>
      </c>
      <c r="AI2289" s="77" t="b">
        <v>0</v>
      </c>
      <c r="AJ2289" s="77"/>
      <c r="AK2289" s="77"/>
      <c r="AL2289" s="77"/>
      <c r="AM2289" s="77"/>
      <c r="AN2289" s="77"/>
      <c r="AO2289" s="77"/>
      <c r="AP2289" s="77"/>
      <c r="AQ2289" s="77"/>
      <c r="AR2289" s="77"/>
      <c r="AS2289" s="77"/>
      <c r="AT2289" s="77"/>
      <c r="AU2289" s="77"/>
      <c r="AV2289" s="80" t="str">
        <f>HYPERLINK("https://pbs.twimg.com/profile_images/1241147984924082183/gZgx_hL-_normal.jpg")</f>
        <v>https://pbs.twimg.com/profile_images/1241147984924082183/gZgx_hL-_normal.jpg</v>
      </c>
      <c r="AW2289" s="82" t="s">
        <v>13885</v>
      </c>
      <c r="AX2289" s="82" t="s">
        <v>13885</v>
      </c>
      <c r="AY2289" s="77"/>
      <c r="AZ2289" s="82" t="s">
        <v>15984</v>
      </c>
      <c r="BA2289" s="82" t="s">
        <v>15984</v>
      </c>
      <c r="BB2289" s="82" t="s">
        <v>15984</v>
      </c>
      <c r="BC2289" s="82" t="s">
        <v>13885</v>
      </c>
      <c r="BD2289" s="82" t="s">
        <v>15979</v>
      </c>
      <c r="BE2289" s="77"/>
      <c r="BF2289" s="77"/>
      <c r="BG2289" s="77"/>
      <c r="BH2289" s="77"/>
      <c r="BI2289" s="77"/>
    </row>
    <row r="2290" spans="1:61" x14ac:dyDescent="0.25">
      <c r="A2290" s="62" t="s">
        <v>387</v>
      </c>
      <c r="B2290" s="62" t="s">
        <v>387</v>
      </c>
      <c r="C2290" s="63"/>
      <c r="D2290" s="64"/>
      <c r="E2290" s="65"/>
      <c r="F2290" s="66"/>
      <c r="G2290" s="63"/>
      <c r="H2290" s="67"/>
      <c r="I2290" s="68"/>
      <c r="J2290" s="68"/>
      <c r="K2290" s="32"/>
      <c r="L2290" s="75">
        <v>2290</v>
      </c>
      <c r="M2290" s="75"/>
      <c r="N2290" s="70"/>
      <c r="O2290" s="77" t="s">
        <v>179</v>
      </c>
      <c r="P2290" s="79">
        <v>45122.055578703701</v>
      </c>
      <c r="Q2290" s="77" t="s">
        <v>2962</v>
      </c>
      <c r="R2290" s="77">
        <v>0</v>
      </c>
      <c r="S2290" s="77">
        <v>4</v>
      </c>
      <c r="T2290" s="77">
        <v>1</v>
      </c>
      <c r="U2290" s="77">
        <v>0</v>
      </c>
      <c r="V2290" s="77">
        <v>1030</v>
      </c>
      <c r="W2290" s="82" t="s">
        <v>5961</v>
      </c>
      <c r="X2290" s="80" t="str">
        <f>HYPERLINK("https://mla.bs/3f38e4a1")</f>
        <v>https://mla.bs/3f38e4a1</v>
      </c>
      <c r="Y2290" s="77" t="s">
        <v>6506</v>
      </c>
      <c r="Z2290" s="77"/>
      <c r="AA2290" s="77"/>
      <c r="AB2290" s="77"/>
      <c r="AC2290" s="82" t="s">
        <v>7757</v>
      </c>
      <c r="AD2290" s="77" t="s">
        <v>7788</v>
      </c>
      <c r="AE2290" s="80" t="str">
        <f>HYPERLINK("https://twitter.com/einvestidor/status/1680024389859921922")</f>
        <v>https://twitter.com/einvestidor/status/1680024389859921922</v>
      </c>
      <c r="AF2290" s="79">
        <v>45122.055578703701</v>
      </c>
      <c r="AG2290" s="85">
        <v>45122</v>
      </c>
      <c r="AH2290" s="82" t="s">
        <v>9669</v>
      </c>
      <c r="AI2290" s="77" t="b">
        <v>0</v>
      </c>
      <c r="AJ2290" s="77"/>
      <c r="AK2290" s="77"/>
      <c r="AL2290" s="77"/>
      <c r="AM2290" s="77"/>
      <c r="AN2290" s="77"/>
      <c r="AO2290" s="77"/>
      <c r="AP2290" s="77"/>
      <c r="AQ2290" s="77"/>
      <c r="AR2290" s="77"/>
      <c r="AS2290" s="77"/>
      <c r="AT2290" s="77"/>
      <c r="AU2290" s="77"/>
      <c r="AV2290" s="80" t="str">
        <f>HYPERLINK("https://pbs.twimg.com/profile_images/1241147984924082183/gZgx_hL-_normal.jpg")</f>
        <v>https://pbs.twimg.com/profile_images/1241147984924082183/gZgx_hL-_normal.jpg</v>
      </c>
      <c r="AW2290" s="82" t="s">
        <v>13886</v>
      </c>
      <c r="AX2290" s="82" t="s">
        <v>13886</v>
      </c>
      <c r="AY2290" s="77"/>
      <c r="AZ2290" s="82" t="s">
        <v>15984</v>
      </c>
      <c r="BA2290" s="82" t="s">
        <v>15984</v>
      </c>
      <c r="BB2290" s="82" t="s">
        <v>15984</v>
      </c>
      <c r="BC2290" s="82" t="s">
        <v>13886</v>
      </c>
      <c r="BD2290" s="82" t="s">
        <v>15979</v>
      </c>
      <c r="BE2290" s="77"/>
      <c r="BF2290" s="77"/>
      <c r="BG2290" s="77"/>
      <c r="BH2290" s="77"/>
      <c r="BI2290" s="77"/>
    </row>
    <row r="2291" spans="1:61" x14ac:dyDescent="0.25">
      <c r="A2291" s="62" t="s">
        <v>387</v>
      </c>
      <c r="B2291" s="62" t="s">
        <v>387</v>
      </c>
      <c r="C2291" s="63"/>
      <c r="D2291" s="64"/>
      <c r="E2291" s="65"/>
      <c r="F2291" s="66"/>
      <c r="G2291" s="63"/>
      <c r="H2291" s="67"/>
      <c r="I2291" s="68"/>
      <c r="J2291" s="68"/>
      <c r="K2291" s="32"/>
      <c r="L2291" s="75">
        <v>2291</v>
      </c>
      <c r="M2291" s="75"/>
      <c r="N2291" s="70"/>
      <c r="O2291" s="77" t="s">
        <v>179</v>
      </c>
      <c r="P2291" s="79">
        <v>45122.041932870372</v>
      </c>
      <c r="Q2291" s="77" t="s">
        <v>2963</v>
      </c>
      <c r="R2291" s="77">
        <v>0</v>
      </c>
      <c r="S2291" s="77">
        <v>4</v>
      </c>
      <c r="T2291" s="77">
        <v>0</v>
      </c>
      <c r="U2291" s="77">
        <v>0</v>
      </c>
      <c r="V2291" s="77">
        <v>863</v>
      </c>
      <c r="W2291" s="82" t="s">
        <v>5959</v>
      </c>
      <c r="X2291" s="80" t="str">
        <f>HYPERLINK("https://mla.bs/52703ea4")</f>
        <v>https://mla.bs/52703ea4</v>
      </c>
      <c r="Y2291" s="77" t="s">
        <v>6506</v>
      </c>
      <c r="Z2291" s="77"/>
      <c r="AA2291" s="77"/>
      <c r="AB2291" s="77"/>
      <c r="AC2291" s="82" t="s">
        <v>7757</v>
      </c>
      <c r="AD2291" s="77" t="s">
        <v>7788</v>
      </c>
      <c r="AE2291" s="80" t="str">
        <f>HYPERLINK("https://twitter.com/einvestidor/status/1680019443248758784")</f>
        <v>https://twitter.com/einvestidor/status/1680019443248758784</v>
      </c>
      <c r="AF2291" s="79">
        <v>45122.041932870372</v>
      </c>
      <c r="AG2291" s="85">
        <v>45122</v>
      </c>
      <c r="AH2291" s="82" t="s">
        <v>9670</v>
      </c>
      <c r="AI2291" s="77" t="b">
        <v>0</v>
      </c>
      <c r="AJ2291" s="77"/>
      <c r="AK2291" s="77"/>
      <c r="AL2291" s="77"/>
      <c r="AM2291" s="77"/>
      <c r="AN2291" s="77"/>
      <c r="AO2291" s="77"/>
      <c r="AP2291" s="77"/>
      <c r="AQ2291" s="77"/>
      <c r="AR2291" s="77"/>
      <c r="AS2291" s="77"/>
      <c r="AT2291" s="77"/>
      <c r="AU2291" s="77"/>
      <c r="AV2291" s="80" t="str">
        <f>HYPERLINK("https://pbs.twimg.com/profile_images/1241147984924082183/gZgx_hL-_normal.jpg")</f>
        <v>https://pbs.twimg.com/profile_images/1241147984924082183/gZgx_hL-_normal.jpg</v>
      </c>
      <c r="AW2291" s="82" t="s">
        <v>13887</v>
      </c>
      <c r="AX2291" s="82" t="s">
        <v>13887</v>
      </c>
      <c r="AY2291" s="77"/>
      <c r="AZ2291" s="82" t="s">
        <v>15984</v>
      </c>
      <c r="BA2291" s="82" t="s">
        <v>15984</v>
      </c>
      <c r="BB2291" s="82" t="s">
        <v>15984</v>
      </c>
      <c r="BC2291" s="82" t="s">
        <v>13887</v>
      </c>
      <c r="BD2291" s="82" t="s">
        <v>15979</v>
      </c>
      <c r="BE2291" s="77"/>
      <c r="BF2291" s="77"/>
      <c r="BG2291" s="77"/>
      <c r="BH2291" s="77"/>
      <c r="BI2291" s="77"/>
    </row>
    <row r="2292" spans="1:61" x14ac:dyDescent="0.25">
      <c r="A2292" s="62" t="s">
        <v>387</v>
      </c>
      <c r="B2292" s="62" t="s">
        <v>387</v>
      </c>
      <c r="C2292" s="63"/>
      <c r="D2292" s="64"/>
      <c r="E2292" s="65"/>
      <c r="F2292" s="66"/>
      <c r="G2292" s="63"/>
      <c r="H2292" s="67"/>
      <c r="I2292" s="68"/>
      <c r="J2292" s="68"/>
      <c r="K2292" s="32"/>
      <c r="L2292" s="75">
        <v>2292</v>
      </c>
      <c r="M2292" s="75"/>
      <c r="N2292" s="70"/>
      <c r="O2292" s="77" t="s">
        <v>179</v>
      </c>
      <c r="P2292" s="79">
        <v>45170.459918981483</v>
      </c>
      <c r="Q2292" s="77" t="s">
        <v>2964</v>
      </c>
      <c r="R2292" s="77">
        <v>0</v>
      </c>
      <c r="S2292" s="77">
        <v>1</v>
      </c>
      <c r="T2292" s="77">
        <v>0</v>
      </c>
      <c r="U2292" s="77">
        <v>0</v>
      </c>
      <c r="V2292" s="77">
        <v>609</v>
      </c>
      <c r="W2292" s="82" t="s">
        <v>4839</v>
      </c>
      <c r="X2292" s="80" t="str">
        <f>HYPERLINK("https://einvestidor.estadao.com.br/mercado/mercado-hoje-pib-payroll-estimulos-china/?utm_source=twitter&amp;utm_medium=organic&amp;utm_campaign=mercado-hoje&amp;utm_content=materia")</f>
        <v>https://einvestidor.estadao.com.br/mercado/mercado-hoje-pib-payroll-estimulos-china/?utm_source=twitter&amp;utm_medium=organic&amp;utm_campaign=mercado-hoje&amp;utm_content=materia</v>
      </c>
      <c r="Y2292" s="77" t="s">
        <v>6470</v>
      </c>
      <c r="Z2292" s="77"/>
      <c r="AA2292" s="77"/>
      <c r="AB2292" s="77"/>
      <c r="AC2292" s="82" t="s">
        <v>7750</v>
      </c>
      <c r="AD2292" s="77" t="s">
        <v>7788</v>
      </c>
      <c r="AE2292" s="80" t="str">
        <f>HYPERLINK("https://twitter.com/einvestidor/status/1697565533321806232")</f>
        <v>https://twitter.com/einvestidor/status/1697565533321806232</v>
      </c>
      <c r="AF2292" s="79">
        <v>45170.459918981483</v>
      </c>
      <c r="AG2292" s="85">
        <v>45170</v>
      </c>
      <c r="AH2292" s="82" t="s">
        <v>9671</v>
      </c>
      <c r="AI2292" s="77" t="b">
        <v>0</v>
      </c>
      <c r="AJ2292" s="77"/>
      <c r="AK2292" s="77"/>
      <c r="AL2292" s="77"/>
      <c r="AM2292" s="77"/>
      <c r="AN2292" s="77"/>
      <c r="AO2292" s="77"/>
      <c r="AP2292" s="77"/>
      <c r="AQ2292" s="77"/>
      <c r="AR2292" s="77"/>
      <c r="AS2292" s="77"/>
      <c r="AT2292" s="77"/>
      <c r="AU2292" s="77"/>
      <c r="AV2292" s="80" t="str">
        <f>HYPERLINK("https://pbs.twimg.com/profile_images/1241147984924082183/gZgx_hL-_normal.jpg")</f>
        <v>https://pbs.twimg.com/profile_images/1241147984924082183/gZgx_hL-_normal.jpg</v>
      </c>
      <c r="AW2292" s="82" t="s">
        <v>13888</v>
      </c>
      <c r="AX2292" s="82" t="s">
        <v>13888</v>
      </c>
      <c r="AY2292" s="77"/>
      <c r="AZ2292" s="82" t="s">
        <v>15984</v>
      </c>
      <c r="BA2292" s="82" t="s">
        <v>15984</v>
      </c>
      <c r="BB2292" s="82" t="s">
        <v>15984</v>
      </c>
      <c r="BC2292" s="82" t="s">
        <v>13888</v>
      </c>
      <c r="BD2292" s="82" t="s">
        <v>15979</v>
      </c>
      <c r="BE2292" s="77"/>
      <c r="BF2292" s="77"/>
      <c r="BG2292" s="77"/>
      <c r="BH2292" s="77"/>
      <c r="BI2292" s="77"/>
    </row>
    <row r="2293" spans="1:61" x14ac:dyDescent="0.25">
      <c r="A2293" s="62" t="s">
        <v>387</v>
      </c>
      <c r="B2293" s="62" t="s">
        <v>387</v>
      </c>
      <c r="C2293" s="63"/>
      <c r="D2293" s="64"/>
      <c r="E2293" s="65"/>
      <c r="F2293" s="66"/>
      <c r="G2293" s="63"/>
      <c r="H2293" s="67"/>
      <c r="I2293" s="68"/>
      <c r="J2293" s="68"/>
      <c r="K2293" s="32"/>
      <c r="L2293" s="75">
        <v>2293</v>
      </c>
      <c r="M2293" s="75"/>
      <c r="N2293" s="70"/>
      <c r="O2293" s="77" t="s">
        <v>179</v>
      </c>
      <c r="P2293" s="79">
        <v>45169.84375</v>
      </c>
      <c r="Q2293" s="77" t="s">
        <v>2965</v>
      </c>
      <c r="R2293" s="77">
        <v>0</v>
      </c>
      <c r="S2293" s="77">
        <v>1</v>
      </c>
      <c r="T2293" s="77">
        <v>0</v>
      </c>
      <c r="U2293" s="77">
        <v>0</v>
      </c>
      <c r="V2293" s="77">
        <v>632</v>
      </c>
      <c r="W2293" s="82" t="s">
        <v>5913</v>
      </c>
      <c r="X2293" s="80" t="str">
        <f>HYPERLINK("https://einvestidor.estadao.com.br/mercado/terceira-previa-ibovespa-meliuz-cash3-petroreconcavo-recv3-vamos-vamo3/?utm_source=twitter&amp;utm_medium=organic&amp;utm_campaign=&amp;utm_content=materia")</f>
        <v>https://einvestidor.estadao.com.br/mercado/terceira-previa-ibovespa-meliuz-cash3-petroreconcavo-recv3-vamos-vamo3/?utm_source=twitter&amp;utm_medium=organic&amp;utm_campaign=&amp;utm_content=materia</v>
      </c>
      <c r="Y2293" s="77" t="s">
        <v>6470</v>
      </c>
      <c r="Z2293" s="77"/>
      <c r="AA2293" s="77"/>
      <c r="AB2293" s="77"/>
      <c r="AC2293" s="82" t="s">
        <v>7750</v>
      </c>
      <c r="AD2293" s="77" t="s">
        <v>7788</v>
      </c>
      <c r="AE2293" s="80" t="str">
        <f>HYPERLINK("https://twitter.com/einvestidor/status/1697342242040524822")</f>
        <v>https://twitter.com/einvestidor/status/1697342242040524822</v>
      </c>
      <c r="AF2293" s="79">
        <v>45169.84375</v>
      </c>
      <c r="AG2293" s="85">
        <v>45169</v>
      </c>
      <c r="AH2293" s="82" t="s">
        <v>9296</v>
      </c>
      <c r="AI2293" s="77" t="b">
        <v>0</v>
      </c>
      <c r="AJ2293" s="77"/>
      <c r="AK2293" s="77"/>
      <c r="AL2293" s="77"/>
      <c r="AM2293" s="77"/>
      <c r="AN2293" s="77"/>
      <c r="AO2293" s="77"/>
      <c r="AP2293" s="77"/>
      <c r="AQ2293" s="77"/>
      <c r="AR2293" s="77"/>
      <c r="AS2293" s="77"/>
      <c r="AT2293" s="77"/>
      <c r="AU2293" s="77"/>
      <c r="AV2293" s="80" t="str">
        <f>HYPERLINK("https://pbs.twimg.com/profile_images/1241147984924082183/gZgx_hL-_normal.jpg")</f>
        <v>https://pbs.twimg.com/profile_images/1241147984924082183/gZgx_hL-_normal.jpg</v>
      </c>
      <c r="AW2293" s="82" t="s">
        <v>13889</v>
      </c>
      <c r="AX2293" s="82" t="s">
        <v>13889</v>
      </c>
      <c r="AY2293" s="77"/>
      <c r="AZ2293" s="82" t="s">
        <v>15984</v>
      </c>
      <c r="BA2293" s="82" t="s">
        <v>15984</v>
      </c>
      <c r="BB2293" s="82" t="s">
        <v>15984</v>
      </c>
      <c r="BC2293" s="82" t="s">
        <v>13889</v>
      </c>
      <c r="BD2293" s="82" t="s">
        <v>15979</v>
      </c>
      <c r="BE2293" s="77"/>
      <c r="BF2293" s="77"/>
      <c r="BG2293" s="77"/>
      <c r="BH2293" s="77"/>
      <c r="BI2293" s="77"/>
    </row>
    <row r="2294" spans="1:61" x14ac:dyDescent="0.25">
      <c r="A2294" s="62" t="s">
        <v>387</v>
      </c>
      <c r="B2294" s="62" t="s">
        <v>387</v>
      </c>
      <c r="C2294" s="63"/>
      <c r="D2294" s="64"/>
      <c r="E2294" s="65"/>
      <c r="F2294" s="66"/>
      <c r="G2294" s="63"/>
      <c r="H2294" s="67"/>
      <c r="I2294" s="68"/>
      <c r="J2294" s="68"/>
      <c r="K2294" s="32"/>
      <c r="L2294" s="75">
        <v>2294</v>
      </c>
      <c r="M2294" s="75"/>
      <c r="N2294" s="70"/>
      <c r="O2294" s="77" t="s">
        <v>179</v>
      </c>
      <c r="P2294" s="79">
        <v>45169.03125</v>
      </c>
      <c r="Q2294" s="77" t="s">
        <v>2966</v>
      </c>
      <c r="R2294" s="77">
        <v>0</v>
      </c>
      <c r="S2294" s="77">
        <v>1</v>
      </c>
      <c r="T2294" s="77">
        <v>0</v>
      </c>
      <c r="U2294" s="77">
        <v>0</v>
      </c>
      <c r="V2294" s="77">
        <v>1183</v>
      </c>
      <c r="W2294" s="82" t="s">
        <v>4833</v>
      </c>
      <c r="X2294" s="80" t="str">
        <f>HYPERLINK("https://einvestidor.estadao.com.br/comportamento/lotofacil-independencia-mais-facil-mega-sena/?utm_source=twitter&amp;utm_medium=organic&amp;utm_campaign=&amp;utm_content=materia")</f>
        <v>https://einvestidor.estadao.com.br/comportamento/lotofacil-independencia-mais-facil-mega-sena/?utm_source=twitter&amp;utm_medium=organic&amp;utm_campaign=&amp;utm_content=materia</v>
      </c>
      <c r="Y2294" s="77" t="s">
        <v>6470</v>
      </c>
      <c r="Z2294" s="77"/>
      <c r="AA2294" s="77"/>
      <c r="AB2294" s="77"/>
      <c r="AC2294" s="82" t="s">
        <v>7750</v>
      </c>
      <c r="AD2294" s="77" t="s">
        <v>7788</v>
      </c>
      <c r="AE2294" s="80" t="str">
        <f>HYPERLINK("https://twitter.com/einvestidor/status/1697047801752932593")</f>
        <v>https://twitter.com/einvestidor/status/1697047801752932593</v>
      </c>
      <c r="AF2294" s="79">
        <v>45169.03125</v>
      </c>
      <c r="AG2294" s="85">
        <v>45169</v>
      </c>
      <c r="AH2294" s="82" t="s">
        <v>9602</v>
      </c>
      <c r="AI2294" s="77" t="b">
        <v>0</v>
      </c>
      <c r="AJ2294" s="77"/>
      <c r="AK2294" s="77"/>
      <c r="AL2294" s="77"/>
      <c r="AM2294" s="77"/>
      <c r="AN2294" s="77"/>
      <c r="AO2294" s="77"/>
      <c r="AP2294" s="77"/>
      <c r="AQ2294" s="77"/>
      <c r="AR2294" s="77"/>
      <c r="AS2294" s="77"/>
      <c r="AT2294" s="77"/>
      <c r="AU2294" s="77"/>
      <c r="AV2294" s="80" t="str">
        <f>HYPERLINK("https://pbs.twimg.com/profile_images/1241147984924082183/gZgx_hL-_normal.jpg")</f>
        <v>https://pbs.twimg.com/profile_images/1241147984924082183/gZgx_hL-_normal.jpg</v>
      </c>
      <c r="AW2294" s="82" t="s">
        <v>13890</v>
      </c>
      <c r="AX2294" s="82" t="s">
        <v>13890</v>
      </c>
      <c r="AY2294" s="77"/>
      <c r="AZ2294" s="82" t="s">
        <v>15984</v>
      </c>
      <c r="BA2294" s="82" t="s">
        <v>15984</v>
      </c>
      <c r="BB2294" s="82" t="s">
        <v>15984</v>
      </c>
      <c r="BC2294" s="82" t="s">
        <v>13890</v>
      </c>
      <c r="BD2294" s="82" t="s">
        <v>15979</v>
      </c>
      <c r="BE2294" s="77"/>
      <c r="BF2294" s="77"/>
      <c r="BG2294" s="77"/>
      <c r="BH2294" s="77"/>
      <c r="BI2294" s="77"/>
    </row>
    <row r="2295" spans="1:61" x14ac:dyDescent="0.25">
      <c r="A2295" s="62" t="s">
        <v>387</v>
      </c>
      <c r="B2295" s="62" t="s">
        <v>387</v>
      </c>
      <c r="C2295" s="63"/>
      <c r="D2295" s="64"/>
      <c r="E2295" s="65"/>
      <c r="F2295" s="66"/>
      <c r="G2295" s="63"/>
      <c r="H2295" s="67"/>
      <c r="I2295" s="68"/>
      <c r="J2295" s="68"/>
      <c r="K2295" s="32"/>
      <c r="L2295" s="75">
        <v>2295</v>
      </c>
      <c r="M2295" s="75"/>
      <c r="N2295" s="70"/>
      <c r="O2295" s="77" t="s">
        <v>179</v>
      </c>
      <c r="P2295" s="79">
        <v>45169.020833333336</v>
      </c>
      <c r="Q2295" s="77" t="s">
        <v>2967</v>
      </c>
      <c r="R2295" s="77">
        <v>0</v>
      </c>
      <c r="S2295" s="77">
        <v>1</v>
      </c>
      <c r="T2295" s="77">
        <v>1</v>
      </c>
      <c r="U2295" s="77">
        <v>0</v>
      </c>
      <c r="V2295" s="77">
        <v>813</v>
      </c>
      <c r="W2295" s="82" t="s">
        <v>4833</v>
      </c>
      <c r="X2295" s="80" t="str">
        <f>HYPERLINK("https://einvestidor.estadao.com.br/ultimas/juros-treasuries-mistos-dados-emprego-leitura-pib-eua/?utm_source=twitter&amp;utm_medium=organic&amp;utm_campaign=&amp;utm_content=materia")</f>
        <v>https://einvestidor.estadao.com.br/ultimas/juros-treasuries-mistos-dados-emprego-leitura-pib-eua/?utm_source=twitter&amp;utm_medium=organic&amp;utm_campaign=&amp;utm_content=materia</v>
      </c>
      <c r="Y2295" s="77" t="s">
        <v>6470</v>
      </c>
      <c r="Z2295" s="77"/>
      <c r="AA2295" s="77"/>
      <c r="AB2295" s="77"/>
      <c r="AC2295" s="82" t="s">
        <v>7750</v>
      </c>
      <c r="AD2295" s="77" t="s">
        <v>7788</v>
      </c>
      <c r="AE2295" s="80" t="str">
        <f>HYPERLINK("https://twitter.com/einvestidor/status/1697044028607324360")</f>
        <v>https://twitter.com/einvestidor/status/1697044028607324360</v>
      </c>
      <c r="AF2295" s="79">
        <v>45169.020833333336</v>
      </c>
      <c r="AG2295" s="85">
        <v>45169</v>
      </c>
      <c r="AH2295" s="82" t="s">
        <v>8088</v>
      </c>
      <c r="AI2295" s="77" t="b">
        <v>0</v>
      </c>
      <c r="AJ2295" s="77"/>
      <c r="AK2295" s="77"/>
      <c r="AL2295" s="77"/>
      <c r="AM2295" s="77"/>
      <c r="AN2295" s="77"/>
      <c r="AO2295" s="77"/>
      <c r="AP2295" s="77"/>
      <c r="AQ2295" s="77"/>
      <c r="AR2295" s="77"/>
      <c r="AS2295" s="77"/>
      <c r="AT2295" s="77"/>
      <c r="AU2295" s="77"/>
      <c r="AV2295" s="80" t="str">
        <f>HYPERLINK("https://pbs.twimg.com/profile_images/1241147984924082183/gZgx_hL-_normal.jpg")</f>
        <v>https://pbs.twimg.com/profile_images/1241147984924082183/gZgx_hL-_normal.jpg</v>
      </c>
      <c r="AW2295" s="82" t="s">
        <v>13891</v>
      </c>
      <c r="AX2295" s="82" t="s">
        <v>13891</v>
      </c>
      <c r="AY2295" s="77"/>
      <c r="AZ2295" s="82" t="s">
        <v>15984</v>
      </c>
      <c r="BA2295" s="82" t="s">
        <v>15984</v>
      </c>
      <c r="BB2295" s="82" t="s">
        <v>15984</v>
      </c>
      <c r="BC2295" s="82" t="s">
        <v>13891</v>
      </c>
      <c r="BD2295" s="82" t="s">
        <v>15979</v>
      </c>
      <c r="BE2295" s="77"/>
      <c r="BF2295" s="77"/>
      <c r="BG2295" s="77"/>
      <c r="BH2295" s="77"/>
      <c r="BI2295" s="77"/>
    </row>
    <row r="2296" spans="1:61" x14ac:dyDescent="0.25">
      <c r="A2296" s="62" t="s">
        <v>387</v>
      </c>
      <c r="B2296" s="62" t="s">
        <v>387</v>
      </c>
      <c r="C2296" s="63"/>
      <c r="D2296" s="64"/>
      <c r="E2296" s="65"/>
      <c r="F2296" s="66"/>
      <c r="G2296" s="63"/>
      <c r="H2296" s="67"/>
      <c r="I2296" s="68"/>
      <c r="J2296" s="68"/>
      <c r="K2296" s="32"/>
      <c r="L2296" s="75">
        <v>2296</v>
      </c>
      <c r="M2296" s="75"/>
      <c r="N2296" s="70"/>
      <c r="O2296" s="77" t="s">
        <v>179</v>
      </c>
      <c r="P2296" s="79">
        <v>45168.864583333336</v>
      </c>
      <c r="Q2296" s="77" t="s">
        <v>2968</v>
      </c>
      <c r="R2296" s="77">
        <v>0</v>
      </c>
      <c r="S2296" s="77">
        <v>0</v>
      </c>
      <c r="T2296" s="77">
        <v>0</v>
      </c>
      <c r="U2296" s="77">
        <v>0</v>
      </c>
      <c r="V2296" s="77">
        <v>534</v>
      </c>
      <c r="W2296" s="82" t="s">
        <v>5962</v>
      </c>
      <c r="X2296" s="80" t="str">
        <f>HYPERLINK("https://einvestidor.estadao.com.br/educacao-financeira/seguro-desemprego-quem-tem-direito/?utm_source=twitter&amp;utm_medium=organic&amp;utm_campaign=&amp;utm_content=materia")</f>
        <v>https://einvestidor.estadao.com.br/educacao-financeira/seguro-desemprego-quem-tem-direito/?utm_source=twitter&amp;utm_medium=organic&amp;utm_campaign=&amp;utm_content=materia</v>
      </c>
      <c r="Y2296" s="77" t="s">
        <v>6470</v>
      </c>
      <c r="Z2296" s="77"/>
      <c r="AA2296" s="77"/>
      <c r="AB2296" s="77"/>
      <c r="AC2296" s="82" t="s">
        <v>7750</v>
      </c>
      <c r="AD2296" s="77" t="s">
        <v>7788</v>
      </c>
      <c r="AE2296" s="80" t="str">
        <f>HYPERLINK("https://twitter.com/einvestidor/status/1696987403867836803")</f>
        <v>https://twitter.com/einvestidor/status/1696987403867836803</v>
      </c>
      <c r="AF2296" s="79">
        <v>45168.864583333336</v>
      </c>
      <c r="AG2296" s="85">
        <v>45168</v>
      </c>
      <c r="AH2296" s="82" t="s">
        <v>9596</v>
      </c>
      <c r="AI2296" s="77" t="b">
        <v>0</v>
      </c>
      <c r="AJ2296" s="77"/>
      <c r="AK2296" s="77"/>
      <c r="AL2296" s="77"/>
      <c r="AM2296" s="77"/>
      <c r="AN2296" s="77"/>
      <c r="AO2296" s="77"/>
      <c r="AP2296" s="77"/>
      <c r="AQ2296" s="77"/>
      <c r="AR2296" s="77"/>
      <c r="AS2296" s="77"/>
      <c r="AT2296" s="77"/>
      <c r="AU2296" s="77"/>
      <c r="AV2296" s="80" t="str">
        <f>HYPERLINK("https://pbs.twimg.com/profile_images/1241147984924082183/gZgx_hL-_normal.jpg")</f>
        <v>https://pbs.twimg.com/profile_images/1241147984924082183/gZgx_hL-_normal.jpg</v>
      </c>
      <c r="AW2296" s="82" t="s">
        <v>13892</v>
      </c>
      <c r="AX2296" s="82" t="s">
        <v>13892</v>
      </c>
      <c r="AY2296" s="77"/>
      <c r="AZ2296" s="82" t="s">
        <v>15984</v>
      </c>
      <c r="BA2296" s="82" t="s">
        <v>15984</v>
      </c>
      <c r="BB2296" s="82" t="s">
        <v>15984</v>
      </c>
      <c r="BC2296" s="82" t="s">
        <v>13892</v>
      </c>
      <c r="BD2296" s="82" t="s">
        <v>15979</v>
      </c>
      <c r="BE2296" s="77"/>
      <c r="BF2296" s="77"/>
      <c r="BG2296" s="77"/>
      <c r="BH2296" s="77"/>
      <c r="BI2296" s="77"/>
    </row>
    <row r="2297" spans="1:61" x14ac:dyDescent="0.25">
      <c r="A2297" s="62" t="s">
        <v>387</v>
      </c>
      <c r="B2297" s="62" t="s">
        <v>387</v>
      </c>
      <c r="C2297" s="63"/>
      <c r="D2297" s="64"/>
      <c r="E2297" s="65"/>
      <c r="F2297" s="66"/>
      <c r="G2297" s="63"/>
      <c r="H2297" s="67"/>
      <c r="I2297" s="68"/>
      <c r="J2297" s="68"/>
      <c r="K2297" s="32"/>
      <c r="L2297" s="75">
        <v>2297</v>
      </c>
      <c r="M2297" s="75"/>
      <c r="N2297" s="70"/>
      <c r="O2297" s="77" t="s">
        <v>179</v>
      </c>
      <c r="P2297" s="79">
        <v>45168.854166666664</v>
      </c>
      <c r="Q2297" s="77" t="s">
        <v>2969</v>
      </c>
      <c r="R2297" s="77">
        <v>0</v>
      </c>
      <c r="S2297" s="77">
        <v>0</v>
      </c>
      <c r="T2297" s="77">
        <v>0</v>
      </c>
      <c r="U2297" s="77">
        <v>0</v>
      </c>
      <c r="V2297" s="77">
        <v>522</v>
      </c>
      <c r="W2297" s="82" t="s">
        <v>4833</v>
      </c>
      <c r="X2297" s="80" t="str">
        <f>HYPERLINK("https://einvestidor.estadao.com.br/mercado/quanto-rende-5-mil-tesouro-direto/?utm_source=twitter&amp;utm_medium=organic&amp;utm_campaign=&amp;utm_content=materia")</f>
        <v>https://einvestidor.estadao.com.br/mercado/quanto-rende-5-mil-tesouro-direto/?utm_source=twitter&amp;utm_medium=organic&amp;utm_campaign=&amp;utm_content=materia</v>
      </c>
      <c r="Y2297" s="77" t="s">
        <v>6470</v>
      </c>
      <c r="Z2297" s="77"/>
      <c r="AA2297" s="77"/>
      <c r="AB2297" s="77"/>
      <c r="AC2297" s="82" t="s">
        <v>7750</v>
      </c>
      <c r="AD2297" s="77" t="s">
        <v>7788</v>
      </c>
      <c r="AE2297" s="80" t="str">
        <f>HYPERLINK("https://twitter.com/einvestidor/status/1696983629203910663")</f>
        <v>https://twitter.com/einvestidor/status/1696983629203910663</v>
      </c>
      <c r="AF2297" s="79">
        <v>45168.854166666664</v>
      </c>
      <c r="AG2297" s="85">
        <v>45168</v>
      </c>
      <c r="AH2297" s="82" t="s">
        <v>8090</v>
      </c>
      <c r="AI2297" s="77" t="b">
        <v>0</v>
      </c>
      <c r="AJ2297" s="77"/>
      <c r="AK2297" s="77"/>
      <c r="AL2297" s="77"/>
      <c r="AM2297" s="77"/>
      <c r="AN2297" s="77"/>
      <c r="AO2297" s="77"/>
      <c r="AP2297" s="77"/>
      <c r="AQ2297" s="77"/>
      <c r="AR2297" s="77"/>
      <c r="AS2297" s="77"/>
      <c r="AT2297" s="77"/>
      <c r="AU2297" s="77"/>
      <c r="AV2297" s="80" t="str">
        <f>HYPERLINK("https://pbs.twimg.com/profile_images/1241147984924082183/gZgx_hL-_normal.jpg")</f>
        <v>https://pbs.twimg.com/profile_images/1241147984924082183/gZgx_hL-_normal.jpg</v>
      </c>
      <c r="AW2297" s="82" t="s">
        <v>13893</v>
      </c>
      <c r="AX2297" s="82" t="s">
        <v>13893</v>
      </c>
      <c r="AY2297" s="77"/>
      <c r="AZ2297" s="82" t="s">
        <v>15984</v>
      </c>
      <c r="BA2297" s="82" t="s">
        <v>15984</v>
      </c>
      <c r="BB2297" s="82" t="s">
        <v>15984</v>
      </c>
      <c r="BC2297" s="82" t="s">
        <v>13893</v>
      </c>
      <c r="BD2297" s="82" t="s">
        <v>15979</v>
      </c>
      <c r="BE2297" s="77"/>
      <c r="BF2297" s="77"/>
      <c r="BG2297" s="77"/>
      <c r="BH2297" s="77"/>
      <c r="BI2297" s="77"/>
    </row>
    <row r="2298" spans="1:61" x14ac:dyDescent="0.25">
      <c r="A2298" s="62" t="s">
        <v>387</v>
      </c>
      <c r="B2298" s="62" t="s">
        <v>387</v>
      </c>
      <c r="C2298" s="63"/>
      <c r="D2298" s="64"/>
      <c r="E2298" s="65"/>
      <c r="F2298" s="66"/>
      <c r="G2298" s="63"/>
      <c r="H2298" s="67"/>
      <c r="I2298" s="68"/>
      <c r="J2298" s="68"/>
      <c r="K2298" s="32"/>
      <c r="L2298" s="75">
        <v>2298</v>
      </c>
      <c r="M2298" s="75"/>
      <c r="N2298" s="70"/>
      <c r="O2298" s="77" t="s">
        <v>179</v>
      </c>
      <c r="P2298" s="79">
        <v>45163.916678240741</v>
      </c>
      <c r="Q2298" s="77" t="s">
        <v>2970</v>
      </c>
      <c r="R2298" s="77">
        <v>0</v>
      </c>
      <c r="S2298" s="77">
        <v>1</v>
      </c>
      <c r="T2298" s="77">
        <v>0</v>
      </c>
      <c r="U2298" s="77">
        <v>0</v>
      </c>
      <c r="V2298" s="77">
        <v>526</v>
      </c>
      <c r="W2298" s="82" t="s">
        <v>4833</v>
      </c>
      <c r="X2298" s="80" t="str">
        <f>HYPERLINK("https://einvestidor.estadao.com.br/ultimas/agora-bradesco-sobem-preco-alvo-btg-2024/?utm_source=twitter&amp;utm_medium=organic&amp;utm_campaign=&amp;utm_content=materia")</f>
        <v>https://einvestidor.estadao.com.br/ultimas/agora-bradesco-sobem-preco-alvo-btg-2024/?utm_source=twitter&amp;utm_medium=organic&amp;utm_campaign=&amp;utm_content=materia</v>
      </c>
      <c r="Y2298" s="77" t="s">
        <v>6470</v>
      </c>
      <c r="Z2298" s="77"/>
      <c r="AA2298" s="77"/>
      <c r="AB2298" s="77"/>
      <c r="AC2298" s="82" t="s">
        <v>7750</v>
      </c>
      <c r="AD2298" s="77" t="s">
        <v>7788</v>
      </c>
      <c r="AE2298" s="80" t="str">
        <f>HYPERLINK("https://twitter.com/einvestidor/status/1695194342741209321")</f>
        <v>https://twitter.com/einvestidor/status/1695194342741209321</v>
      </c>
      <c r="AF2298" s="79">
        <v>45163.916678240741</v>
      </c>
      <c r="AG2298" s="85">
        <v>45163</v>
      </c>
      <c r="AH2298" s="82" t="s">
        <v>8052</v>
      </c>
      <c r="AI2298" s="77" t="b">
        <v>0</v>
      </c>
      <c r="AJ2298" s="77"/>
      <c r="AK2298" s="77"/>
      <c r="AL2298" s="77"/>
      <c r="AM2298" s="77"/>
      <c r="AN2298" s="77"/>
      <c r="AO2298" s="77"/>
      <c r="AP2298" s="77"/>
      <c r="AQ2298" s="77"/>
      <c r="AR2298" s="77"/>
      <c r="AS2298" s="77"/>
      <c r="AT2298" s="77"/>
      <c r="AU2298" s="77"/>
      <c r="AV2298" s="80" t="str">
        <f>HYPERLINK("https://pbs.twimg.com/profile_images/1241147984924082183/gZgx_hL-_normal.jpg")</f>
        <v>https://pbs.twimg.com/profile_images/1241147984924082183/gZgx_hL-_normal.jpg</v>
      </c>
      <c r="AW2298" s="82" t="s">
        <v>13894</v>
      </c>
      <c r="AX2298" s="82" t="s">
        <v>13894</v>
      </c>
      <c r="AY2298" s="77"/>
      <c r="AZ2298" s="82" t="s">
        <v>15984</v>
      </c>
      <c r="BA2298" s="82" t="s">
        <v>15984</v>
      </c>
      <c r="BB2298" s="82" t="s">
        <v>15984</v>
      </c>
      <c r="BC2298" s="82" t="s">
        <v>13894</v>
      </c>
      <c r="BD2298" s="82" t="s">
        <v>15979</v>
      </c>
      <c r="BE2298" s="77"/>
      <c r="BF2298" s="77"/>
      <c r="BG2298" s="77"/>
      <c r="BH2298" s="77"/>
      <c r="BI2298" s="77"/>
    </row>
    <row r="2299" spans="1:61" x14ac:dyDescent="0.25">
      <c r="A2299" s="62" t="s">
        <v>387</v>
      </c>
      <c r="B2299" s="62" t="s">
        <v>387</v>
      </c>
      <c r="C2299" s="63"/>
      <c r="D2299" s="64"/>
      <c r="E2299" s="65"/>
      <c r="F2299" s="66"/>
      <c r="G2299" s="63"/>
      <c r="H2299" s="67"/>
      <c r="I2299" s="68"/>
      <c r="J2299" s="68"/>
      <c r="K2299" s="32"/>
      <c r="L2299" s="75">
        <v>2299</v>
      </c>
      <c r="M2299" s="75"/>
      <c r="N2299" s="70"/>
      <c r="O2299" s="77" t="s">
        <v>179</v>
      </c>
      <c r="P2299" s="79">
        <v>45163.916620370372</v>
      </c>
      <c r="Q2299" s="77" t="s">
        <v>2971</v>
      </c>
      <c r="R2299" s="77">
        <v>0</v>
      </c>
      <c r="S2299" s="77">
        <v>1</v>
      </c>
      <c r="T2299" s="77">
        <v>0</v>
      </c>
      <c r="U2299" s="77">
        <v>0</v>
      </c>
      <c r="V2299" s="77">
        <v>552</v>
      </c>
      <c r="W2299" s="82" t="s">
        <v>4833</v>
      </c>
      <c r="X2299" s="80" t="str">
        <f>HYPERLINK("https://einvestidor.estadao.com.br/mercado/fechamento-de-mercado-25-08-2023/?utm_source=twitter&amp;utm_medium=organic&amp;utm_campaign=&amp;utm_content=materia")</f>
        <v>https://einvestidor.estadao.com.br/mercado/fechamento-de-mercado-25-08-2023/?utm_source=twitter&amp;utm_medium=organic&amp;utm_campaign=&amp;utm_content=materia</v>
      </c>
      <c r="Y2299" s="77" t="s">
        <v>6470</v>
      </c>
      <c r="Z2299" s="77"/>
      <c r="AA2299" s="77"/>
      <c r="AB2299" s="77"/>
      <c r="AC2299" s="82" t="s">
        <v>7750</v>
      </c>
      <c r="AD2299" s="77" t="s">
        <v>7788</v>
      </c>
      <c r="AE2299" s="80" t="str">
        <f>HYPERLINK("https://twitter.com/einvestidor/status/1695194324667945223")</f>
        <v>https://twitter.com/einvestidor/status/1695194324667945223</v>
      </c>
      <c r="AF2299" s="79">
        <v>45163.916620370372</v>
      </c>
      <c r="AG2299" s="85">
        <v>45163</v>
      </c>
      <c r="AH2299" s="82" t="s">
        <v>9672</v>
      </c>
      <c r="AI2299" s="77" t="b">
        <v>0</v>
      </c>
      <c r="AJ2299" s="77"/>
      <c r="AK2299" s="77"/>
      <c r="AL2299" s="77"/>
      <c r="AM2299" s="77"/>
      <c r="AN2299" s="77"/>
      <c r="AO2299" s="77"/>
      <c r="AP2299" s="77"/>
      <c r="AQ2299" s="77"/>
      <c r="AR2299" s="77"/>
      <c r="AS2299" s="77"/>
      <c r="AT2299" s="77"/>
      <c r="AU2299" s="77"/>
      <c r="AV2299" s="80" t="str">
        <f>HYPERLINK("https://pbs.twimg.com/profile_images/1241147984924082183/gZgx_hL-_normal.jpg")</f>
        <v>https://pbs.twimg.com/profile_images/1241147984924082183/gZgx_hL-_normal.jpg</v>
      </c>
      <c r="AW2299" s="82" t="s">
        <v>13895</v>
      </c>
      <c r="AX2299" s="82" t="s">
        <v>13895</v>
      </c>
      <c r="AY2299" s="77"/>
      <c r="AZ2299" s="82" t="s">
        <v>15984</v>
      </c>
      <c r="BA2299" s="82" t="s">
        <v>15984</v>
      </c>
      <c r="BB2299" s="82" t="s">
        <v>15984</v>
      </c>
      <c r="BC2299" s="82" t="s">
        <v>13895</v>
      </c>
      <c r="BD2299" s="82" t="s">
        <v>15979</v>
      </c>
      <c r="BE2299" s="77"/>
      <c r="BF2299" s="77"/>
      <c r="BG2299" s="77"/>
      <c r="BH2299" s="77"/>
      <c r="BI2299" s="77"/>
    </row>
    <row r="2300" spans="1:61" x14ac:dyDescent="0.25">
      <c r="A2300" s="62" t="s">
        <v>387</v>
      </c>
      <c r="B2300" s="62" t="s">
        <v>387</v>
      </c>
      <c r="C2300" s="63"/>
      <c r="D2300" s="64"/>
      <c r="E2300" s="65"/>
      <c r="F2300" s="66"/>
      <c r="G2300" s="63"/>
      <c r="H2300" s="67"/>
      <c r="I2300" s="68"/>
      <c r="J2300" s="68"/>
      <c r="K2300" s="32"/>
      <c r="L2300" s="75">
        <v>2300</v>
      </c>
      <c r="M2300" s="75"/>
      <c r="N2300" s="70"/>
      <c r="O2300" s="77" t="s">
        <v>179</v>
      </c>
      <c r="P2300" s="79">
        <v>45163.91207175926</v>
      </c>
      <c r="Q2300" s="77" t="s">
        <v>2972</v>
      </c>
      <c r="R2300" s="77">
        <v>0</v>
      </c>
      <c r="S2300" s="77">
        <v>1</v>
      </c>
      <c r="T2300" s="77">
        <v>1</v>
      </c>
      <c r="U2300" s="77">
        <v>0</v>
      </c>
      <c r="V2300" s="77">
        <v>773</v>
      </c>
      <c r="W2300" s="82" t="s">
        <v>5963</v>
      </c>
      <c r="X2300" s="80" t="str">
        <f>HYPERLINK("https://einvestidor.estadao.com.br/mercado/piores-acoes-ibovespa-semana-pao-de-acucar-cvc-marfrig/?utm_source=twitter&amp;utm_medium=organic&amp;utm_campaign=&amp;utm_content=materia")</f>
        <v>https://einvestidor.estadao.com.br/mercado/piores-acoes-ibovespa-semana-pao-de-acucar-cvc-marfrig/?utm_source=twitter&amp;utm_medium=organic&amp;utm_campaign=&amp;utm_content=materia</v>
      </c>
      <c r="Y2300" s="77" t="s">
        <v>6470</v>
      </c>
      <c r="Z2300" s="77"/>
      <c r="AA2300" s="77"/>
      <c r="AB2300" s="77"/>
      <c r="AC2300" s="82" t="s">
        <v>7750</v>
      </c>
      <c r="AD2300" s="77" t="s">
        <v>7788</v>
      </c>
      <c r="AE2300" s="80" t="str">
        <f>HYPERLINK("https://twitter.com/einvestidor/status/1695192676306411936")</f>
        <v>https://twitter.com/einvestidor/status/1695192676306411936</v>
      </c>
      <c r="AF2300" s="79">
        <v>45163.91207175926</v>
      </c>
      <c r="AG2300" s="85">
        <v>45163</v>
      </c>
      <c r="AH2300" s="82" t="s">
        <v>9673</v>
      </c>
      <c r="AI2300" s="77" t="b">
        <v>0</v>
      </c>
      <c r="AJ2300" s="77"/>
      <c r="AK2300" s="77"/>
      <c r="AL2300" s="77"/>
      <c r="AM2300" s="77"/>
      <c r="AN2300" s="77"/>
      <c r="AO2300" s="77"/>
      <c r="AP2300" s="77"/>
      <c r="AQ2300" s="77"/>
      <c r="AR2300" s="77"/>
      <c r="AS2300" s="77"/>
      <c r="AT2300" s="77"/>
      <c r="AU2300" s="77"/>
      <c r="AV2300" s="80" t="str">
        <f>HYPERLINK("https://pbs.twimg.com/profile_images/1241147984924082183/gZgx_hL-_normal.jpg")</f>
        <v>https://pbs.twimg.com/profile_images/1241147984924082183/gZgx_hL-_normal.jpg</v>
      </c>
      <c r="AW2300" s="82" t="s">
        <v>13896</v>
      </c>
      <c r="AX2300" s="82" t="s">
        <v>13896</v>
      </c>
      <c r="AY2300" s="77"/>
      <c r="AZ2300" s="82" t="s">
        <v>15984</v>
      </c>
      <c r="BA2300" s="82" t="s">
        <v>15984</v>
      </c>
      <c r="BB2300" s="82" t="s">
        <v>15984</v>
      </c>
      <c r="BC2300" s="82" t="s">
        <v>13896</v>
      </c>
      <c r="BD2300" s="82" t="s">
        <v>15979</v>
      </c>
      <c r="BE2300" s="77"/>
      <c r="BF2300" s="77"/>
      <c r="BG2300" s="77"/>
      <c r="BH2300" s="77"/>
      <c r="BI2300" s="77"/>
    </row>
    <row r="2301" spans="1:61" x14ac:dyDescent="0.25">
      <c r="A2301" s="62" t="s">
        <v>387</v>
      </c>
      <c r="B2301" s="62" t="s">
        <v>387</v>
      </c>
      <c r="C2301" s="63"/>
      <c r="D2301" s="64"/>
      <c r="E2301" s="65"/>
      <c r="F2301" s="66"/>
      <c r="G2301" s="63"/>
      <c r="H2301" s="67"/>
      <c r="I2301" s="68"/>
      <c r="J2301" s="68"/>
      <c r="K2301" s="32"/>
      <c r="L2301" s="75">
        <v>2301</v>
      </c>
      <c r="M2301" s="75"/>
      <c r="N2301" s="70"/>
      <c r="O2301" s="77" t="s">
        <v>179</v>
      </c>
      <c r="P2301" s="79">
        <v>45160.947916666664</v>
      </c>
      <c r="Q2301" s="77" t="s">
        <v>2973</v>
      </c>
      <c r="R2301" s="77">
        <v>0</v>
      </c>
      <c r="S2301" s="77">
        <v>0</v>
      </c>
      <c r="T2301" s="77">
        <v>0</v>
      </c>
      <c r="U2301" s="77">
        <v>0</v>
      </c>
      <c r="V2301" s="77">
        <v>599</v>
      </c>
      <c r="W2301" s="82" t="s">
        <v>4833</v>
      </c>
      <c r="X2301" s="80" t="str">
        <f>HYPERLINK("https://mla.bs/a9e2de9a")</f>
        <v>https://mla.bs/a9e2de9a</v>
      </c>
      <c r="Y2301" s="77" t="s">
        <v>6506</v>
      </c>
      <c r="Z2301" s="77"/>
      <c r="AA2301" s="77"/>
      <c r="AB2301" s="77"/>
      <c r="AC2301" s="82" t="s">
        <v>7750</v>
      </c>
      <c r="AD2301" s="77" t="s">
        <v>7788</v>
      </c>
      <c r="AE2301" s="80" t="str">
        <f>HYPERLINK("https://twitter.com/einvestidor/status/1694118500023881884")</f>
        <v>https://twitter.com/einvestidor/status/1694118500023881884</v>
      </c>
      <c r="AF2301" s="79">
        <v>45160.947916666664</v>
      </c>
      <c r="AG2301" s="85">
        <v>45160</v>
      </c>
      <c r="AH2301" s="82" t="s">
        <v>9595</v>
      </c>
      <c r="AI2301" s="77" t="b">
        <v>0</v>
      </c>
      <c r="AJ2301" s="77"/>
      <c r="AK2301" s="77"/>
      <c r="AL2301" s="77"/>
      <c r="AM2301" s="77"/>
      <c r="AN2301" s="77"/>
      <c r="AO2301" s="77"/>
      <c r="AP2301" s="77"/>
      <c r="AQ2301" s="77"/>
      <c r="AR2301" s="77"/>
      <c r="AS2301" s="77"/>
      <c r="AT2301" s="77"/>
      <c r="AU2301" s="77"/>
      <c r="AV2301" s="80" t="str">
        <f>HYPERLINK("https://pbs.twimg.com/profile_images/1241147984924082183/gZgx_hL-_normal.jpg")</f>
        <v>https://pbs.twimg.com/profile_images/1241147984924082183/gZgx_hL-_normal.jpg</v>
      </c>
      <c r="AW2301" s="82" t="s">
        <v>13897</v>
      </c>
      <c r="AX2301" s="82" t="s">
        <v>13897</v>
      </c>
      <c r="AY2301" s="77"/>
      <c r="AZ2301" s="82" t="s">
        <v>15984</v>
      </c>
      <c r="BA2301" s="82" t="s">
        <v>15984</v>
      </c>
      <c r="BB2301" s="82" t="s">
        <v>15984</v>
      </c>
      <c r="BC2301" s="82" t="s">
        <v>13897</v>
      </c>
      <c r="BD2301" s="82" t="s">
        <v>15979</v>
      </c>
      <c r="BE2301" s="77"/>
      <c r="BF2301" s="77"/>
      <c r="BG2301" s="77"/>
      <c r="BH2301" s="77"/>
      <c r="BI2301" s="77"/>
    </row>
    <row r="2302" spans="1:61" x14ac:dyDescent="0.25">
      <c r="A2302" s="62" t="s">
        <v>387</v>
      </c>
      <c r="B2302" s="62" t="s">
        <v>387</v>
      </c>
      <c r="C2302" s="63"/>
      <c r="D2302" s="64"/>
      <c r="E2302" s="65"/>
      <c r="F2302" s="66"/>
      <c r="G2302" s="63"/>
      <c r="H2302" s="67"/>
      <c r="I2302" s="68"/>
      <c r="J2302" s="68"/>
      <c r="K2302" s="32"/>
      <c r="L2302" s="75">
        <v>2302</v>
      </c>
      <c r="M2302" s="75"/>
      <c r="N2302" s="70"/>
      <c r="O2302" s="77" t="s">
        <v>179</v>
      </c>
      <c r="P2302" s="79">
        <v>45160.938298611109</v>
      </c>
      <c r="Q2302" s="77" t="s">
        <v>2974</v>
      </c>
      <c r="R2302" s="77">
        <v>0</v>
      </c>
      <c r="S2302" s="77">
        <v>2</v>
      </c>
      <c r="T2302" s="77">
        <v>0</v>
      </c>
      <c r="U2302" s="77">
        <v>0</v>
      </c>
      <c r="V2302" s="77">
        <v>723</v>
      </c>
      <c r="W2302" s="82" t="s">
        <v>4833</v>
      </c>
      <c r="X2302" s="80" t="str">
        <f>HYPERLINK("https://mla.bs/4e8a5107")</f>
        <v>https://mla.bs/4e8a5107</v>
      </c>
      <c r="Y2302" s="77" t="s">
        <v>6506</v>
      </c>
      <c r="Z2302" s="77"/>
      <c r="AA2302" s="77"/>
      <c r="AB2302" s="77"/>
      <c r="AC2302" s="82" t="s">
        <v>7750</v>
      </c>
      <c r="AD2302" s="77" t="s">
        <v>7788</v>
      </c>
      <c r="AE2302" s="80" t="str">
        <f>HYPERLINK("https://twitter.com/einvestidor/status/1694115016205553673")</f>
        <v>https://twitter.com/einvestidor/status/1694115016205553673</v>
      </c>
      <c r="AF2302" s="79">
        <v>45160.938298611109</v>
      </c>
      <c r="AG2302" s="85">
        <v>45160</v>
      </c>
      <c r="AH2302" s="82" t="s">
        <v>9674</v>
      </c>
      <c r="AI2302" s="77" t="b">
        <v>0</v>
      </c>
      <c r="AJ2302" s="77"/>
      <c r="AK2302" s="77"/>
      <c r="AL2302" s="77"/>
      <c r="AM2302" s="77"/>
      <c r="AN2302" s="77"/>
      <c r="AO2302" s="77"/>
      <c r="AP2302" s="77"/>
      <c r="AQ2302" s="77"/>
      <c r="AR2302" s="77"/>
      <c r="AS2302" s="77"/>
      <c r="AT2302" s="77"/>
      <c r="AU2302" s="77"/>
      <c r="AV2302" s="80" t="str">
        <f>HYPERLINK("https://pbs.twimg.com/profile_images/1241147984924082183/gZgx_hL-_normal.jpg")</f>
        <v>https://pbs.twimg.com/profile_images/1241147984924082183/gZgx_hL-_normal.jpg</v>
      </c>
      <c r="AW2302" s="82" t="s">
        <v>13898</v>
      </c>
      <c r="AX2302" s="82" t="s">
        <v>13898</v>
      </c>
      <c r="AY2302" s="77"/>
      <c r="AZ2302" s="82" t="s">
        <v>15984</v>
      </c>
      <c r="BA2302" s="82" t="s">
        <v>15984</v>
      </c>
      <c r="BB2302" s="82" t="s">
        <v>15984</v>
      </c>
      <c r="BC2302" s="82" t="s">
        <v>13898</v>
      </c>
      <c r="BD2302" s="82" t="s">
        <v>15979</v>
      </c>
      <c r="BE2302" s="77"/>
      <c r="BF2302" s="77"/>
      <c r="BG2302" s="77"/>
      <c r="BH2302" s="77"/>
      <c r="BI2302" s="77"/>
    </row>
    <row r="2303" spans="1:61" x14ac:dyDescent="0.25">
      <c r="A2303" s="62" t="s">
        <v>387</v>
      </c>
      <c r="B2303" s="62" t="s">
        <v>387</v>
      </c>
      <c r="C2303" s="63"/>
      <c r="D2303" s="64"/>
      <c r="E2303" s="65"/>
      <c r="F2303" s="66"/>
      <c r="G2303" s="63"/>
      <c r="H2303" s="67"/>
      <c r="I2303" s="68"/>
      <c r="J2303" s="68"/>
      <c r="K2303" s="32"/>
      <c r="L2303" s="75">
        <v>2303</v>
      </c>
      <c r="M2303" s="75"/>
      <c r="N2303" s="70"/>
      <c r="O2303" s="77" t="s">
        <v>179</v>
      </c>
      <c r="P2303" s="79">
        <v>45160.9375</v>
      </c>
      <c r="Q2303" s="77" t="s">
        <v>2975</v>
      </c>
      <c r="R2303" s="77">
        <v>0</v>
      </c>
      <c r="S2303" s="77">
        <v>0</v>
      </c>
      <c r="T2303" s="77">
        <v>0</v>
      </c>
      <c r="U2303" s="77">
        <v>1</v>
      </c>
      <c r="V2303" s="77">
        <v>603</v>
      </c>
      <c r="W2303" s="82" t="s">
        <v>5964</v>
      </c>
      <c r="X2303" s="80" t="str">
        <f>HYPERLINK("https://mla.bs/24a457fa")</f>
        <v>https://mla.bs/24a457fa</v>
      </c>
      <c r="Y2303" s="77" t="s">
        <v>6506</v>
      </c>
      <c r="Z2303" s="77"/>
      <c r="AA2303" s="77"/>
      <c r="AB2303" s="77"/>
      <c r="AC2303" s="82" t="s">
        <v>7750</v>
      </c>
      <c r="AD2303" s="77" t="s">
        <v>7788</v>
      </c>
      <c r="AE2303" s="80" t="str">
        <f>HYPERLINK("https://twitter.com/einvestidor/status/1694114726740103259")</f>
        <v>https://twitter.com/einvestidor/status/1694114726740103259</v>
      </c>
      <c r="AF2303" s="79">
        <v>45160.9375</v>
      </c>
      <c r="AG2303" s="85">
        <v>45160</v>
      </c>
      <c r="AH2303" s="82" t="s">
        <v>7926</v>
      </c>
      <c r="AI2303" s="77" t="b">
        <v>0</v>
      </c>
      <c r="AJ2303" s="77"/>
      <c r="AK2303" s="77"/>
      <c r="AL2303" s="77"/>
      <c r="AM2303" s="77"/>
      <c r="AN2303" s="77"/>
      <c r="AO2303" s="77"/>
      <c r="AP2303" s="77"/>
      <c r="AQ2303" s="77"/>
      <c r="AR2303" s="77"/>
      <c r="AS2303" s="77"/>
      <c r="AT2303" s="77"/>
      <c r="AU2303" s="77"/>
      <c r="AV2303" s="80" t="str">
        <f>HYPERLINK("https://pbs.twimg.com/profile_images/1241147984924082183/gZgx_hL-_normal.jpg")</f>
        <v>https://pbs.twimg.com/profile_images/1241147984924082183/gZgx_hL-_normal.jpg</v>
      </c>
      <c r="AW2303" s="82" t="s">
        <v>13899</v>
      </c>
      <c r="AX2303" s="82" t="s">
        <v>13899</v>
      </c>
      <c r="AY2303" s="77"/>
      <c r="AZ2303" s="82" t="s">
        <v>15984</v>
      </c>
      <c r="BA2303" s="82" t="s">
        <v>15984</v>
      </c>
      <c r="BB2303" s="82" t="s">
        <v>15984</v>
      </c>
      <c r="BC2303" s="82" t="s">
        <v>13899</v>
      </c>
      <c r="BD2303" s="82" t="s">
        <v>15979</v>
      </c>
      <c r="BE2303" s="77"/>
      <c r="BF2303" s="77"/>
      <c r="BG2303" s="77"/>
      <c r="BH2303" s="77"/>
      <c r="BI2303" s="77"/>
    </row>
    <row r="2304" spans="1:61" x14ac:dyDescent="0.25">
      <c r="A2304" s="62" t="s">
        <v>387</v>
      </c>
      <c r="B2304" s="62" t="s">
        <v>387</v>
      </c>
      <c r="C2304" s="63"/>
      <c r="D2304" s="64"/>
      <c r="E2304" s="65"/>
      <c r="F2304" s="66"/>
      <c r="G2304" s="63"/>
      <c r="H2304" s="67"/>
      <c r="I2304" s="68"/>
      <c r="J2304" s="68"/>
      <c r="K2304" s="32"/>
      <c r="L2304" s="75">
        <v>2304</v>
      </c>
      <c r="M2304" s="75"/>
      <c r="N2304" s="70"/>
      <c r="O2304" s="77" t="s">
        <v>179</v>
      </c>
      <c r="P2304" s="79">
        <v>45160.927083333336</v>
      </c>
      <c r="Q2304" s="77" t="s">
        <v>2976</v>
      </c>
      <c r="R2304" s="77">
        <v>0</v>
      </c>
      <c r="S2304" s="77">
        <v>1</v>
      </c>
      <c r="T2304" s="77">
        <v>0</v>
      </c>
      <c r="U2304" s="77">
        <v>0</v>
      </c>
      <c r="V2304" s="77">
        <v>552</v>
      </c>
      <c r="W2304" s="82" t="s">
        <v>4833</v>
      </c>
      <c r="X2304" s="80" t="str">
        <f>HYPERLINK("https://mla.bs/7047348c")</f>
        <v>https://mla.bs/7047348c</v>
      </c>
      <c r="Y2304" s="77" t="s">
        <v>6506</v>
      </c>
      <c r="Z2304" s="77"/>
      <c r="AA2304" s="77"/>
      <c r="AB2304" s="77"/>
      <c r="AC2304" s="82" t="s">
        <v>7750</v>
      </c>
      <c r="AD2304" s="77" t="s">
        <v>7788</v>
      </c>
      <c r="AE2304" s="80" t="str">
        <f>HYPERLINK("https://twitter.com/einvestidor/status/1694110950175994283")</f>
        <v>https://twitter.com/einvestidor/status/1694110950175994283</v>
      </c>
      <c r="AF2304" s="79">
        <v>45160.927083333336</v>
      </c>
      <c r="AG2304" s="85">
        <v>45160</v>
      </c>
      <c r="AH2304" s="82" t="s">
        <v>9576</v>
      </c>
      <c r="AI2304" s="77" t="b">
        <v>0</v>
      </c>
      <c r="AJ2304" s="77"/>
      <c r="AK2304" s="77"/>
      <c r="AL2304" s="77"/>
      <c r="AM2304" s="77"/>
      <c r="AN2304" s="77"/>
      <c r="AO2304" s="77"/>
      <c r="AP2304" s="77"/>
      <c r="AQ2304" s="77"/>
      <c r="AR2304" s="77"/>
      <c r="AS2304" s="77"/>
      <c r="AT2304" s="77"/>
      <c r="AU2304" s="77"/>
      <c r="AV2304" s="80" t="str">
        <f>HYPERLINK("https://pbs.twimg.com/profile_images/1241147984924082183/gZgx_hL-_normal.jpg")</f>
        <v>https://pbs.twimg.com/profile_images/1241147984924082183/gZgx_hL-_normal.jpg</v>
      </c>
      <c r="AW2304" s="82" t="s">
        <v>13900</v>
      </c>
      <c r="AX2304" s="82" t="s">
        <v>13900</v>
      </c>
      <c r="AY2304" s="77"/>
      <c r="AZ2304" s="82" t="s">
        <v>15984</v>
      </c>
      <c r="BA2304" s="82" t="s">
        <v>15984</v>
      </c>
      <c r="BB2304" s="82" t="s">
        <v>15984</v>
      </c>
      <c r="BC2304" s="82" t="s">
        <v>13900</v>
      </c>
      <c r="BD2304" s="82" t="s">
        <v>15979</v>
      </c>
      <c r="BE2304" s="77"/>
      <c r="BF2304" s="77"/>
      <c r="BG2304" s="77"/>
      <c r="BH2304" s="77"/>
      <c r="BI2304" s="77"/>
    </row>
    <row r="2305" spans="1:61" x14ac:dyDescent="0.25">
      <c r="A2305" s="62" t="s">
        <v>387</v>
      </c>
      <c r="B2305" s="62" t="s">
        <v>387</v>
      </c>
      <c r="C2305" s="63"/>
      <c r="D2305" s="64"/>
      <c r="E2305" s="65"/>
      <c r="F2305" s="66"/>
      <c r="G2305" s="63"/>
      <c r="H2305" s="67"/>
      <c r="I2305" s="68"/>
      <c r="J2305" s="68"/>
      <c r="K2305" s="32"/>
      <c r="L2305" s="75">
        <v>2305</v>
      </c>
      <c r="M2305" s="75"/>
      <c r="N2305" s="70"/>
      <c r="O2305" s="77" t="s">
        <v>179</v>
      </c>
      <c r="P2305" s="79">
        <v>45160</v>
      </c>
      <c r="Q2305" s="77" t="s">
        <v>2977</v>
      </c>
      <c r="R2305" s="77">
        <v>0</v>
      </c>
      <c r="S2305" s="77">
        <v>1</v>
      </c>
      <c r="T2305" s="77">
        <v>0</v>
      </c>
      <c r="U2305" s="77">
        <v>0</v>
      </c>
      <c r="V2305" s="77">
        <v>787</v>
      </c>
      <c r="W2305" s="82" t="s">
        <v>5965</v>
      </c>
      <c r="X2305" s="80" t="str">
        <f>HYPERLINK("https://mla.bs/3728734a")</f>
        <v>https://mla.bs/3728734a</v>
      </c>
      <c r="Y2305" s="77" t="s">
        <v>6506</v>
      </c>
      <c r="Z2305" s="77"/>
      <c r="AA2305" s="77"/>
      <c r="AB2305" s="77"/>
      <c r="AC2305" s="82" t="s">
        <v>7750</v>
      </c>
      <c r="AD2305" s="77" t="s">
        <v>7788</v>
      </c>
      <c r="AE2305" s="80" t="str">
        <f>HYPERLINK("https://twitter.com/einvestidor/status/1693774986568413528")</f>
        <v>https://twitter.com/einvestidor/status/1693774986568413528</v>
      </c>
      <c r="AF2305" s="79">
        <v>45160</v>
      </c>
      <c r="AG2305" s="85">
        <v>45160</v>
      </c>
      <c r="AH2305" s="82" t="s">
        <v>9300</v>
      </c>
      <c r="AI2305" s="77" t="b">
        <v>0</v>
      </c>
      <c r="AJ2305" s="77"/>
      <c r="AK2305" s="77"/>
      <c r="AL2305" s="77"/>
      <c r="AM2305" s="77"/>
      <c r="AN2305" s="77"/>
      <c r="AO2305" s="77"/>
      <c r="AP2305" s="77"/>
      <c r="AQ2305" s="77"/>
      <c r="AR2305" s="77"/>
      <c r="AS2305" s="77"/>
      <c r="AT2305" s="77"/>
      <c r="AU2305" s="77"/>
      <c r="AV2305" s="80" t="str">
        <f>HYPERLINK("https://pbs.twimg.com/profile_images/1241147984924082183/gZgx_hL-_normal.jpg")</f>
        <v>https://pbs.twimg.com/profile_images/1241147984924082183/gZgx_hL-_normal.jpg</v>
      </c>
      <c r="AW2305" s="82" t="s">
        <v>13901</v>
      </c>
      <c r="AX2305" s="82" t="s">
        <v>13901</v>
      </c>
      <c r="AY2305" s="77"/>
      <c r="AZ2305" s="82" t="s">
        <v>15984</v>
      </c>
      <c r="BA2305" s="82" t="s">
        <v>15984</v>
      </c>
      <c r="BB2305" s="82" t="s">
        <v>15984</v>
      </c>
      <c r="BC2305" s="82" t="s">
        <v>13901</v>
      </c>
      <c r="BD2305" s="82" t="s">
        <v>15979</v>
      </c>
      <c r="BE2305" s="77"/>
      <c r="BF2305" s="77"/>
      <c r="BG2305" s="77"/>
      <c r="BH2305" s="77"/>
      <c r="BI2305" s="77"/>
    </row>
    <row r="2306" spans="1:61" x14ac:dyDescent="0.25">
      <c r="A2306" s="62" t="s">
        <v>387</v>
      </c>
      <c r="B2306" s="62" t="s">
        <v>387</v>
      </c>
      <c r="C2306" s="63"/>
      <c r="D2306" s="64"/>
      <c r="E2306" s="65"/>
      <c r="F2306" s="66"/>
      <c r="G2306" s="63"/>
      <c r="H2306" s="67"/>
      <c r="I2306" s="68"/>
      <c r="J2306" s="68"/>
      <c r="K2306" s="32"/>
      <c r="L2306" s="75">
        <v>2306</v>
      </c>
      <c r="M2306" s="75"/>
      <c r="N2306" s="70"/>
      <c r="O2306" s="77" t="s">
        <v>179</v>
      </c>
      <c r="P2306" s="79">
        <v>45159.979166666664</v>
      </c>
      <c r="Q2306" s="77" t="s">
        <v>2978</v>
      </c>
      <c r="R2306" s="77">
        <v>0</v>
      </c>
      <c r="S2306" s="77">
        <v>1</v>
      </c>
      <c r="T2306" s="77">
        <v>0</v>
      </c>
      <c r="U2306" s="77">
        <v>0</v>
      </c>
      <c r="V2306" s="77">
        <v>822</v>
      </c>
      <c r="W2306" s="82" t="s">
        <v>4833</v>
      </c>
      <c r="X2306" s="80" t="str">
        <f>HYPERLINK("https://mla.bs/d52b171b")</f>
        <v>https://mla.bs/d52b171b</v>
      </c>
      <c r="Y2306" s="77" t="s">
        <v>6506</v>
      </c>
      <c r="Z2306" s="77"/>
      <c r="AA2306" s="77"/>
      <c r="AB2306" s="77"/>
      <c r="AC2306" s="82" t="s">
        <v>7750</v>
      </c>
      <c r="AD2306" s="77" t="s">
        <v>7788</v>
      </c>
      <c r="AE2306" s="80" t="str">
        <f>HYPERLINK("https://twitter.com/einvestidor/status/1693767436473188450")</f>
        <v>https://twitter.com/einvestidor/status/1693767436473188450</v>
      </c>
      <c r="AF2306" s="79">
        <v>45159.979166666664</v>
      </c>
      <c r="AG2306" s="85">
        <v>45159</v>
      </c>
      <c r="AH2306" s="82" t="s">
        <v>7928</v>
      </c>
      <c r="AI2306" s="77" t="b">
        <v>0</v>
      </c>
      <c r="AJ2306" s="77"/>
      <c r="AK2306" s="77"/>
      <c r="AL2306" s="77"/>
      <c r="AM2306" s="77"/>
      <c r="AN2306" s="77"/>
      <c r="AO2306" s="77"/>
      <c r="AP2306" s="77"/>
      <c r="AQ2306" s="77"/>
      <c r="AR2306" s="77"/>
      <c r="AS2306" s="77"/>
      <c r="AT2306" s="77"/>
      <c r="AU2306" s="77"/>
      <c r="AV2306" s="80" t="str">
        <f>HYPERLINK("https://pbs.twimg.com/profile_images/1241147984924082183/gZgx_hL-_normal.jpg")</f>
        <v>https://pbs.twimg.com/profile_images/1241147984924082183/gZgx_hL-_normal.jpg</v>
      </c>
      <c r="AW2306" s="82" t="s">
        <v>13902</v>
      </c>
      <c r="AX2306" s="82" t="s">
        <v>13902</v>
      </c>
      <c r="AY2306" s="77"/>
      <c r="AZ2306" s="82" t="s">
        <v>15984</v>
      </c>
      <c r="BA2306" s="82" t="s">
        <v>15984</v>
      </c>
      <c r="BB2306" s="82" t="s">
        <v>15984</v>
      </c>
      <c r="BC2306" s="82" t="s">
        <v>13902</v>
      </c>
      <c r="BD2306" s="82" t="s">
        <v>15979</v>
      </c>
      <c r="BE2306" s="77"/>
      <c r="BF2306" s="77"/>
      <c r="BG2306" s="77"/>
      <c r="BH2306" s="77"/>
      <c r="BI2306" s="77"/>
    </row>
    <row r="2307" spans="1:61" x14ac:dyDescent="0.25">
      <c r="A2307" s="62" t="s">
        <v>387</v>
      </c>
      <c r="B2307" s="62" t="s">
        <v>387</v>
      </c>
      <c r="C2307" s="63"/>
      <c r="D2307" s="64"/>
      <c r="E2307" s="65"/>
      <c r="F2307" s="66"/>
      <c r="G2307" s="63"/>
      <c r="H2307" s="67"/>
      <c r="I2307" s="68"/>
      <c r="J2307" s="68"/>
      <c r="K2307" s="32"/>
      <c r="L2307" s="75">
        <v>2307</v>
      </c>
      <c r="M2307" s="75"/>
      <c r="N2307" s="70"/>
      <c r="O2307" s="77" t="s">
        <v>179</v>
      </c>
      <c r="P2307" s="79">
        <v>45159.96875</v>
      </c>
      <c r="Q2307" s="77" t="s">
        <v>2979</v>
      </c>
      <c r="R2307" s="77">
        <v>0</v>
      </c>
      <c r="S2307" s="77">
        <v>1</v>
      </c>
      <c r="T2307" s="77">
        <v>0</v>
      </c>
      <c r="U2307" s="77">
        <v>0</v>
      </c>
      <c r="V2307" s="77">
        <v>775</v>
      </c>
      <c r="W2307" s="82" t="s">
        <v>4833</v>
      </c>
      <c r="X2307" s="80" t="str">
        <f>HYPERLINK("https://mla.bs/d7f3d1d9")</f>
        <v>https://mla.bs/d7f3d1d9</v>
      </c>
      <c r="Y2307" s="77" t="s">
        <v>6506</v>
      </c>
      <c r="Z2307" s="77"/>
      <c r="AA2307" s="77"/>
      <c r="AB2307" s="77"/>
      <c r="AC2307" s="82" t="s">
        <v>7750</v>
      </c>
      <c r="AD2307" s="77" t="s">
        <v>7788</v>
      </c>
      <c r="AE2307" s="80" t="str">
        <f>HYPERLINK("https://twitter.com/einvestidor/status/1693763661767053512")</f>
        <v>https://twitter.com/einvestidor/status/1693763661767053512</v>
      </c>
      <c r="AF2307" s="79">
        <v>45159.96875</v>
      </c>
      <c r="AG2307" s="85">
        <v>45159</v>
      </c>
      <c r="AH2307" s="82" t="s">
        <v>9621</v>
      </c>
      <c r="AI2307" s="77" t="b">
        <v>0</v>
      </c>
      <c r="AJ2307" s="77"/>
      <c r="AK2307" s="77"/>
      <c r="AL2307" s="77"/>
      <c r="AM2307" s="77"/>
      <c r="AN2307" s="77"/>
      <c r="AO2307" s="77"/>
      <c r="AP2307" s="77"/>
      <c r="AQ2307" s="77"/>
      <c r="AR2307" s="77"/>
      <c r="AS2307" s="77"/>
      <c r="AT2307" s="77"/>
      <c r="AU2307" s="77"/>
      <c r="AV2307" s="80" t="str">
        <f>HYPERLINK("https://pbs.twimg.com/profile_images/1241147984924082183/gZgx_hL-_normal.jpg")</f>
        <v>https://pbs.twimg.com/profile_images/1241147984924082183/gZgx_hL-_normal.jpg</v>
      </c>
      <c r="AW2307" s="82" t="s">
        <v>13903</v>
      </c>
      <c r="AX2307" s="82" t="s">
        <v>13903</v>
      </c>
      <c r="AY2307" s="77"/>
      <c r="AZ2307" s="82" t="s">
        <v>15984</v>
      </c>
      <c r="BA2307" s="82" t="s">
        <v>15984</v>
      </c>
      <c r="BB2307" s="82" t="s">
        <v>15984</v>
      </c>
      <c r="BC2307" s="82" t="s">
        <v>13903</v>
      </c>
      <c r="BD2307" s="82" t="s">
        <v>15979</v>
      </c>
      <c r="BE2307" s="77"/>
      <c r="BF2307" s="77"/>
      <c r="BG2307" s="77"/>
      <c r="BH2307" s="77"/>
      <c r="BI2307" s="77"/>
    </row>
    <row r="2308" spans="1:61" x14ac:dyDescent="0.25">
      <c r="A2308" s="62" t="s">
        <v>387</v>
      </c>
      <c r="B2308" s="62" t="s">
        <v>387</v>
      </c>
      <c r="C2308" s="63"/>
      <c r="D2308" s="64"/>
      <c r="E2308" s="65"/>
      <c r="F2308" s="66"/>
      <c r="G2308" s="63"/>
      <c r="H2308" s="67"/>
      <c r="I2308" s="68"/>
      <c r="J2308" s="68"/>
      <c r="K2308" s="32"/>
      <c r="L2308" s="75">
        <v>2308</v>
      </c>
      <c r="M2308" s="75"/>
      <c r="N2308" s="70"/>
      <c r="O2308" s="77" t="s">
        <v>179</v>
      </c>
      <c r="P2308" s="79">
        <v>45159.958333333336</v>
      </c>
      <c r="Q2308" s="77" t="s">
        <v>2980</v>
      </c>
      <c r="R2308" s="77">
        <v>0</v>
      </c>
      <c r="S2308" s="77">
        <v>2</v>
      </c>
      <c r="T2308" s="77">
        <v>0</v>
      </c>
      <c r="U2308" s="77">
        <v>0</v>
      </c>
      <c r="V2308" s="77">
        <v>788</v>
      </c>
      <c r="W2308" s="82" t="s">
        <v>5966</v>
      </c>
      <c r="X2308" s="80" t="str">
        <f>HYPERLINK("https://mla.bs/d47f4ebb")</f>
        <v>https://mla.bs/d47f4ebb</v>
      </c>
      <c r="Y2308" s="77" t="s">
        <v>6506</v>
      </c>
      <c r="Z2308" s="77"/>
      <c r="AA2308" s="77"/>
      <c r="AB2308" s="77"/>
      <c r="AC2308" s="82" t="s">
        <v>7750</v>
      </c>
      <c r="AD2308" s="77" t="s">
        <v>7788</v>
      </c>
      <c r="AE2308" s="80" t="str">
        <f>HYPERLINK("https://twitter.com/einvestidor/status/1693759886990217531")</f>
        <v>https://twitter.com/einvestidor/status/1693759886990217531</v>
      </c>
      <c r="AF2308" s="79">
        <v>45159.958333333336</v>
      </c>
      <c r="AG2308" s="85">
        <v>45159</v>
      </c>
      <c r="AH2308" s="82" t="s">
        <v>8279</v>
      </c>
      <c r="AI2308" s="77" t="b">
        <v>0</v>
      </c>
      <c r="AJ2308" s="77"/>
      <c r="AK2308" s="77"/>
      <c r="AL2308" s="77"/>
      <c r="AM2308" s="77"/>
      <c r="AN2308" s="77"/>
      <c r="AO2308" s="77"/>
      <c r="AP2308" s="77"/>
      <c r="AQ2308" s="77"/>
      <c r="AR2308" s="77"/>
      <c r="AS2308" s="77"/>
      <c r="AT2308" s="77"/>
      <c r="AU2308" s="77"/>
      <c r="AV2308" s="80" t="str">
        <f>HYPERLINK("https://pbs.twimg.com/profile_images/1241147984924082183/gZgx_hL-_normal.jpg")</f>
        <v>https://pbs.twimg.com/profile_images/1241147984924082183/gZgx_hL-_normal.jpg</v>
      </c>
      <c r="AW2308" s="82" t="s">
        <v>13904</v>
      </c>
      <c r="AX2308" s="82" t="s">
        <v>13904</v>
      </c>
      <c r="AY2308" s="77"/>
      <c r="AZ2308" s="82" t="s">
        <v>15984</v>
      </c>
      <c r="BA2308" s="82" t="s">
        <v>15984</v>
      </c>
      <c r="BB2308" s="82" t="s">
        <v>15984</v>
      </c>
      <c r="BC2308" s="82" t="s">
        <v>13904</v>
      </c>
      <c r="BD2308" s="82" t="s">
        <v>15979</v>
      </c>
      <c r="BE2308" s="77"/>
      <c r="BF2308" s="77"/>
      <c r="BG2308" s="77"/>
      <c r="BH2308" s="77"/>
      <c r="BI2308" s="77"/>
    </row>
    <row r="2309" spans="1:61" x14ac:dyDescent="0.25">
      <c r="A2309" s="62" t="s">
        <v>387</v>
      </c>
      <c r="B2309" s="62" t="s">
        <v>387</v>
      </c>
      <c r="C2309" s="63"/>
      <c r="D2309" s="64"/>
      <c r="E2309" s="65"/>
      <c r="F2309" s="66"/>
      <c r="G2309" s="63"/>
      <c r="H2309" s="67"/>
      <c r="I2309" s="68"/>
      <c r="J2309" s="68"/>
      <c r="K2309" s="32"/>
      <c r="L2309" s="75">
        <v>2309</v>
      </c>
      <c r="M2309" s="75"/>
      <c r="N2309" s="70"/>
      <c r="O2309" s="77" t="s">
        <v>179</v>
      </c>
      <c r="P2309" s="79">
        <v>45159.947916666664</v>
      </c>
      <c r="Q2309" s="77" t="s">
        <v>2981</v>
      </c>
      <c r="R2309" s="77">
        <v>0</v>
      </c>
      <c r="S2309" s="77">
        <v>1</v>
      </c>
      <c r="T2309" s="77">
        <v>0</v>
      </c>
      <c r="U2309" s="77">
        <v>0</v>
      </c>
      <c r="V2309" s="77">
        <v>706</v>
      </c>
      <c r="W2309" s="82" t="s">
        <v>4833</v>
      </c>
      <c r="X2309" s="80" t="str">
        <f>HYPERLINK("https://mla.bs/9adde4d8")</f>
        <v>https://mla.bs/9adde4d8</v>
      </c>
      <c r="Y2309" s="77" t="s">
        <v>6506</v>
      </c>
      <c r="Z2309" s="77"/>
      <c r="AA2309" s="77"/>
      <c r="AB2309" s="77"/>
      <c r="AC2309" s="82" t="s">
        <v>7750</v>
      </c>
      <c r="AD2309" s="77" t="s">
        <v>7788</v>
      </c>
      <c r="AE2309" s="80" t="str">
        <f>HYPERLINK("https://twitter.com/einvestidor/status/1693756111822676301")</f>
        <v>https://twitter.com/einvestidor/status/1693756111822676301</v>
      </c>
      <c r="AF2309" s="79">
        <v>45159.947916666664</v>
      </c>
      <c r="AG2309" s="85">
        <v>45159</v>
      </c>
      <c r="AH2309" s="82" t="s">
        <v>9595</v>
      </c>
      <c r="AI2309" s="77" t="b">
        <v>0</v>
      </c>
      <c r="AJ2309" s="77"/>
      <c r="AK2309" s="77"/>
      <c r="AL2309" s="77"/>
      <c r="AM2309" s="77"/>
      <c r="AN2309" s="77"/>
      <c r="AO2309" s="77"/>
      <c r="AP2309" s="77"/>
      <c r="AQ2309" s="77"/>
      <c r="AR2309" s="77"/>
      <c r="AS2309" s="77"/>
      <c r="AT2309" s="77"/>
      <c r="AU2309" s="77"/>
      <c r="AV2309" s="80" t="str">
        <f>HYPERLINK("https://pbs.twimg.com/profile_images/1241147984924082183/gZgx_hL-_normal.jpg")</f>
        <v>https://pbs.twimg.com/profile_images/1241147984924082183/gZgx_hL-_normal.jpg</v>
      </c>
      <c r="AW2309" s="82" t="s">
        <v>13905</v>
      </c>
      <c r="AX2309" s="82" t="s">
        <v>13905</v>
      </c>
      <c r="AY2309" s="77"/>
      <c r="AZ2309" s="82" t="s">
        <v>15984</v>
      </c>
      <c r="BA2309" s="82" t="s">
        <v>15984</v>
      </c>
      <c r="BB2309" s="82" t="s">
        <v>15984</v>
      </c>
      <c r="BC2309" s="82" t="s">
        <v>13905</v>
      </c>
      <c r="BD2309" s="82" t="s">
        <v>15979</v>
      </c>
      <c r="BE2309" s="77"/>
      <c r="BF2309" s="77"/>
      <c r="BG2309" s="77"/>
      <c r="BH2309" s="77"/>
      <c r="BI2309" s="77"/>
    </row>
    <row r="2310" spans="1:61" x14ac:dyDescent="0.25">
      <c r="A2310" s="62" t="s">
        <v>387</v>
      </c>
      <c r="B2310" s="62" t="s">
        <v>387</v>
      </c>
      <c r="C2310" s="63"/>
      <c r="D2310" s="64"/>
      <c r="E2310" s="65"/>
      <c r="F2310" s="66"/>
      <c r="G2310" s="63"/>
      <c r="H2310" s="67"/>
      <c r="I2310" s="68"/>
      <c r="J2310" s="68"/>
      <c r="K2310" s="32"/>
      <c r="L2310" s="75">
        <v>2310</v>
      </c>
      <c r="M2310" s="75"/>
      <c r="N2310" s="70"/>
      <c r="O2310" s="77" t="s">
        <v>179</v>
      </c>
      <c r="P2310" s="79">
        <v>45152.791678240741</v>
      </c>
      <c r="Q2310" s="77" t="s">
        <v>2982</v>
      </c>
      <c r="R2310" s="77">
        <v>0</v>
      </c>
      <c r="S2310" s="77">
        <v>4</v>
      </c>
      <c r="T2310" s="77">
        <v>0</v>
      </c>
      <c r="U2310" s="77">
        <v>0</v>
      </c>
      <c r="V2310" s="77">
        <v>669</v>
      </c>
      <c r="W2310" s="82" t="s">
        <v>4833</v>
      </c>
      <c r="X2310" s="80" t="str">
        <f>HYPERLINK("https://mla.bs/8faf58d8")</f>
        <v>https://mla.bs/8faf58d8</v>
      </c>
      <c r="Y2310" s="77" t="s">
        <v>6506</v>
      </c>
      <c r="Z2310" s="77"/>
      <c r="AA2310" s="77"/>
      <c r="AB2310" s="77"/>
      <c r="AC2310" s="82" t="s">
        <v>7754</v>
      </c>
      <c r="AD2310" s="77" t="s">
        <v>7788</v>
      </c>
      <c r="AE2310" s="80" t="str">
        <f>HYPERLINK("https://twitter.com/einvestidor/status/1691162779821252608")</f>
        <v>https://twitter.com/einvestidor/status/1691162779821252608</v>
      </c>
      <c r="AF2310" s="79">
        <v>45152.791678240741</v>
      </c>
      <c r="AG2310" s="85">
        <v>45152</v>
      </c>
      <c r="AH2310" s="82" t="s">
        <v>7933</v>
      </c>
      <c r="AI2310" s="77" t="b">
        <v>0</v>
      </c>
      <c r="AJ2310" s="77"/>
      <c r="AK2310" s="77"/>
      <c r="AL2310" s="77"/>
      <c r="AM2310" s="77"/>
      <c r="AN2310" s="77"/>
      <c r="AO2310" s="77"/>
      <c r="AP2310" s="77"/>
      <c r="AQ2310" s="77"/>
      <c r="AR2310" s="77"/>
      <c r="AS2310" s="77"/>
      <c r="AT2310" s="77"/>
      <c r="AU2310" s="77"/>
      <c r="AV2310" s="80" t="str">
        <f>HYPERLINK("https://pbs.twimg.com/profile_images/1241147984924082183/gZgx_hL-_normal.jpg")</f>
        <v>https://pbs.twimg.com/profile_images/1241147984924082183/gZgx_hL-_normal.jpg</v>
      </c>
      <c r="AW2310" s="82" t="s">
        <v>13906</v>
      </c>
      <c r="AX2310" s="82" t="s">
        <v>13906</v>
      </c>
      <c r="AY2310" s="77"/>
      <c r="AZ2310" s="82" t="s">
        <v>15984</v>
      </c>
      <c r="BA2310" s="82" t="s">
        <v>15984</v>
      </c>
      <c r="BB2310" s="82" t="s">
        <v>15984</v>
      </c>
      <c r="BC2310" s="82" t="s">
        <v>13906</v>
      </c>
      <c r="BD2310" s="82" t="s">
        <v>15979</v>
      </c>
      <c r="BE2310" s="77"/>
      <c r="BF2310" s="77"/>
      <c r="BG2310" s="77"/>
      <c r="BH2310" s="77"/>
      <c r="BI2310" s="77"/>
    </row>
    <row r="2311" spans="1:61" x14ac:dyDescent="0.25">
      <c r="A2311" s="62" t="s">
        <v>387</v>
      </c>
      <c r="B2311" s="62" t="s">
        <v>387</v>
      </c>
      <c r="C2311" s="63"/>
      <c r="D2311" s="64"/>
      <c r="E2311" s="65"/>
      <c r="F2311" s="66"/>
      <c r="G2311" s="63"/>
      <c r="H2311" s="67"/>
      <c r="I2311" s="68"/>
      <c r="J2311" s="68"/>
      <c r="K2311" s="32"/>
      <c r="L2311" s="75">
        <v>2311</v>
      </c>
      <c r="M2311" s="75"/>
      <c r="N2311" s="70"/>
      <c r="O2311" s="77" t="s">
        <v>179</v>
      </c>
      <c r="P2311" s="79">
        <v>45152.78125</v>
      </c>
      <c r="Q2311" s="77" t="s">
        <v>2983</v>
      </c>
      <c r="R2311" s="77">
        <v>0</v>
      </c>
      <c r="S2311" s="77">
        <v>1</v>
      </c>
      <c r="T2311" s="77">
        <v>0</v>
      </c>
      <c r="U2311" s="77">
        <v>0</v>
      </c>
      <c r="V2311" s="77">
        <v>494</v>
      </c>
      <c r="W2311" s="82" t="s">
        <v>4833</v>
      </c>
      <c r="X2311" s="80" t="str">
        <f>HYPERLINK("https://mla.bs/5410b0e9")</f>
        <v>https://mla.bs/5410b0e9</v>
      </c>
      <c r="Y2311" s="77" t="s">
        <v>6506</v>
      </c>
      <c r="Z2311" s="77"/>
      <c r="AA2311" s="77"/>
      <c r="AB2311" s="77"/>
      <c r="AC2311" s="82" t="s">
        <v>7754</v>
      </c>
      <c r="AD2311" s="77" t="s">
        <v>7788</v>
      </c>
      <c r="AE2311" s="80" t="str">
        <f>HYPERLINK("https://twitter.com/einvestidor/status/1691158999125970944")</f>
        <v>https://twitter.com/einvestidor/status/1691158999125970944</v>
      </c>
      <c r="AF2311" s="79">
        <v>45152.78125</v>
      </c>
      <c r="AG2311" s="85">
        <v>45152</v>
      </c>
      <c r="AH2311" s="82" t="s">
        <v>9581</v>
      </c>
      <c r="AI2311" s="77" t="b">
        <v>0</v>
      </c>
      <c r="AJ2311" s="77"/>
      <c r="AK2311" s="77"/>
      <c r="AL2311" s="77"/>
      <c r="AM2311" s="77"/>
      <c r="AN2311" s="77"/>
      <c r="AO2311" s="77"/>
      <c r="AP2311" s="77"/>
      <c r="AQ2311" s="77"/>
      <c r="AR2311" s="77"/>
      <c r="AS2311" s="77"/>
      <c r="AT2311" s="77"/>
      <c r="AU2311" s="77"/>
      <c r="AV2311" s="80" t="str">
        <f>HYPERLINK("https://pbs.twimg.com/profile_images/1241147984924082183/gZgx_hL-_normal.jpg")</f>
        <v>https://pbs.twimg.com/profile_images/1241147984924082183/gZgx_hL-_normal.jpg</v>
      </c>
      <c r="AW2311" s="82" t="s">
        <v>13907</v>
      </c>
      <c r="AX2311" s="82" t="s">
        <v>13907</v>
      </c>
      <c r="AY2311" s="77"/>
      <c r="AZ2311" s="82" t="s">
        <v>15984</v>
      </c>
      <c r="BA2311" s="82" t="s">
        <v>15984</v>
      </c>
      <c r="BB2311" s="82" t="s">
        <v>15984</v>
      </c>
      <c r="BC2311" s="82" t="s">
        <v>13907</v>
      </c>
      <c r="BD2311" s="82" t="s">
        <v>15979</v>
      </c>
      <c r="BE2311" s="77"/>
      <c r="BF2311" s="77"/>
      <c r="BG2311" s="77"/>
      <c r="BH2311" s="77"/>
      <c r="BI2311" s="77"/>
    </row>
    <row r="2312" spans="1:61" x14ac:dyDescent="0.25">
      <c r="A2312" s="62" t="s">
        <v>387</v>
      </c>
      <c r="B2312" s="62" t="s">
        <v>387</v>
      </c>
      <c r="C2312" s="63"/>
      <c r="D2312" s="64"/>
      <c r="E2312" s="65"/>
      <c r="F2312" s="66"/>
      <c r="G2312" s="63"/>
      <c r="H2312" s="67"/>
      <c r="I2312" s="68"/>
      <c r="J2312" s="68"/>
      <c r="K2312" s="32"/>
      <c r="L2312" s="75">
        <v>2312</v>
      </c>
      <c r="M2312" s="75"/>
      <c r="N2312" s="70"/>
      <c r="O2312" s="77" t="s">
        <v>179</v>
      </c>
      <c r="P2312" s="79">
        <v>45152.770833333336</v>
      </c>
      <c r="Q2312" s="77" t="s">
        <v>2984</v>
      </c>
      <c r="R2312" s="77">
        <v>0</v>
      </c>
      <c r="S2312" s="77">
        <v>0</v>
      </c>
      <c r="T2312" s="77">
        <v>0</v>
      </c>
      <c r="U2312" s="77">
        <v>0</v>
      </c>
      <c r="V2312" s="77">
        <v>568</v>
      </c>
      <c r="W2312" s="82" t="s">
        <v>4833</v>
      </c>
      <c r="X2312" s="80" t="str">
        <f>HYPERLINK("https://mla.bs/8b5b3f38")</f>
        <v>https://mla.bs/8b5b3f38</v>
      </c>
      <c r="Y2312" s="77" t="s">
        <v>6506</v>
      </c>
      <c r="Z2312" s="77"/>
      <c r="AA2312" s="77"/>
      <c r="AB2312" s="77"/>
      <c r="AC2312" s="82" t="s">
        <v>7754</v>
      </c>
      <c r="AD2312" s="77" t="s">
        <v>7788</v>
      </c>
      <c r="AE2312" s="80" t="str">
        <f>HYPERLINK("https://twitter.com/einvestidor/status/1691155226525601794")</f>
        <v>https://twitter.com/einvestidor/status/1691155226525601794</v>
      </c>
      <c r="AF2312" s="79">
        <v>45152.770833333336</v>
      </c>
      <c r="AG2312" s="85">
        <v>45152</v>
      </c>
      <c r="AH2312" s="82" t="s">
        <v>7930</v>
      </c>
      <c r="AI2312" s="77" t="b">
        <v>0</v>
      </c>
      <c r="AJ2312" s="77"/>
      <c r="AK2312" s="77"/>
      <c r="AL2312" s="77"/>
      <c r="AM2312" s="77"/>
      <c r="AN2312" s="77"/>
      <c r="AO2312" s="77"/>
      <c r="AP2312" s="77"/>
      <c r="AQ2312" s="77"/>
      <c r="AR2312" s="77"/>
      <c r="AS2312" s="77"/>
      <c r="AT2312" s="77"/>
      <c r="AU2312" s="77"/>
      <c r="AV2312" s="80" t="str">
        <f>HYPERLINK("https://pbs.twimg.com/profile_images/1241147984924082183/gZgx_hL-_normal.jpg")</f>
        <v>https://pbs.twimg.com/profile_images/1241147984924082183/gZgx_hL-_normal.jpg</v>
      </c>
      <c r="AW2312" s="82" t="s">
        <v>13908</v>
      </c>
      <c r="AX2312" s="82" t="s">
        <v>13908</v>
      </c>
      <c r="AY2312" s="77"/>
      <c r="AZ2312" s="82" t="s">
        <v>15984</v>
      </c>
      <c r="BA2312" s="82" t="s">
        <v>15984</v>
      </c>
      <c r="BB2312" s="82" t="s">
        <v>15984</v>
      </c>
      <c r="BC2312" s="82" t="s">
        <v>13908</v>
      </c>
      <c r="BD2312" s="82" t="s">
        <v>15979</v>
      </c>
      <c r="BE2312" s="77"/>
      <c r="BF2312" s="77"/>
      <c r="BG2312" s="77"/>
      <c r="BH2312" s="77"/>
      <c r="BI2312" s="77"/>
    </row>
    <row r="2313" spans="1:61" x14ac:dyDescent="0.25">
      <c r="A2313" s="62" t="s">
        <v>387</v>
      </c>
      <c r="B2313" s="62" t="s">
        <v>387</v>
      </c>
      <c r="C2313" s="63"/>
      <c r="D2313" s="64"/>
      <c r="E2313" s="65"/>
      <c r="F2313" s="66"/>
      <c r="G2313" s="63"/>
      <c r="H2313" s="67"/>
      <c r="I2313" s="68"/>
      <c r="J2313" s="68"/>
      <c r="K2313" s="32"/>
      <c r="L2313" s="75">
        <v>2313</v>
      </c>
      <c r="M2313" s="75"/>
      <c r="N2313" s="70"/>
      <c r="O2313" s="77" t="s">
        <v>179</v>
      </c>
      <c r="P2313" s="79">
        <v>45152.760416666664</v>
      </c>
      <c r="Q2313" s="77" t="s">
        <v>2985</v>
      </c>
      <c r="R2313" s="77">
        <v>0</v>
      </c>
      <c r="S2313" s="77">
        <v>0</v>
      </c>
      <c r="T2313" s="77">
        <v>0</v>
      </c>
      <c r="U2313" s="77">
        <v>0</v>
      </c>
      <c r="V2313" s="77">
        <v>453</v>
      </c>
      <c r="W2313" s="82" t="s">
        <v>4833</v>
      </c>
      <c r="X2313" s="80" t="str">
        <f>HYPERLINK("https://mla.bs/112583e9")</f>
        <v>https://mla.bs/112583e9</v>
      </c>
      <c r="Y2313" s="77" t="s">
        <v>6506</v>
      </c>
      <c r="Z2313" s="77"/>
      <c r="AA2313" s="77"/>
      <c r="AB2313" s="77"/>
      <c r="AC2313" s="82" t="s">
        <v>7754</v>
      </c>
      <c r="AD2313" s="77" t="s">
        <v>7788</v>
      </c>
      <c r="AE2313" s="80" t="str">
        <f>HYPERLINK("https://twitter.com/einvestidor/status/1691151449055809536")</f>
        <v>https://twitter.com/einvestidor/status/1691151449055809536</v>
      </c>
      <c r="AF2313" s="79">
        <v>45152.760416666664</v>
      </c>
      <c r="AG2313" s="85">
        <v>45152</v>
      </c>
      <c r="AH2313" s="82" t="s">
        <v>9582</v>
      </c>
      <c r="AI2313" s="77" t="b">
        <v>0</v>
      </c>
      <c r="AJ2313" s="77"/>
      <c r="AK2313" s="77"/>
      <c r="AL2313" s="77"/>
      <c r="AM2313" s="77"/>
      <c r="AN2313" s="77"/>
      <c r="AO2313" s="77"/>
      <c r="AP2313" s="77"/>
      <c r="AQ2313" s="77"/>
      <c r="AR2313" s="77"/>
      <c r="AS2313" s="77"/>
      <c r="AT2313" s="77"/>
      <c r="AU2313" s="77"/>
      <c r="AV2313" s="80" t="str">
        <f>HYPERLINK("https://pbs.twimg.com/profile_images/1241147984924082183/gZgx_hL-_normal.jpg")</f>
        <v>https://pbs.twimg.com/profile_images/1241147984924082183/gZgx_hL-_normal.jpg</v>
      </c>
      <c r="AW2313" s="82" t="s">
        <v>13909</v>
      </c>
      <c r="AX2313" s="82" t="s">
        <v>13909</v>
      </c>
      <c r="AY2313" s="77"/>
      <c r="AZ2313" s="82" t="s">
        <v>15984</v>
      </c>
      <c r="BA2313" s="82" t="s">
        <v>15984</v>
      </c>
      <c r="BB2313" s="82" t="s">
        <v>15984</v>
      </c>
      <c r="BC2313" s="82" t="s">
        <v>13909</v>
      </c>
      <c r="BD2313" s="82" t="s">
        <v>15979</v>
      </c>
      <c r="BE2313" s="77"/>
      <c r="BF2313" s="77"/>
      <c r="BG2313" s="77"/>
      <c r="BH2313" s="77"/>
      <c r="BI2313" s="77"/>
    </row>
    <row r="2314" spans="1:61" x14ac:dyDescent="0.25">
      <c r="A2314" s="62" t="s">
        <v>387</v>
      </c>
      <c r="B2314" s="62" t="s">
        <v>387</v>
      </c>
      <c r="C2314" s="63"/>
      <c r="D2314" s="64"/>
      <c r="E2314" s="65"/>
      <c r="F2314" s="66"/>
      <c r="G2314" s="63"/>
      <c r="H2314" s="67"/>
      <c r="I2314" s="68"/>
      <c r="J2314" s="68"/>
      <c r="K2314" s="32"/>
      <c r="L2314" s="75">
        <v>2314</v>
      </c>
      <c r="M2314" s="75"/>
      <c r="N2314" s="70"/>
      <c r="O2314" s="77" t="s">
        <v>179</v>
      </c>
      <c r="P2314" s="79">
        <v>45152.750972222224</v>
      </c>
      <c r="Q2314" s="77" t="s">
        <v>2986</v>
      </c>
      <c r="R2314" s="77">
        <v>0</v>
      </c>
      <c r="S2314" s="77">
        <v>2</v>
      </c>
      <c r="T2314" s="77">
        <v>0</v>
      </c>
      <c r="U2314" s="77">
        <v>0</v>
      </c>
      <c r="V2314" s="77">
        <v>589</v>
      </c>
      <c r="W2314" s="82" t="s">
        <v>4833</v>
      </c>
      <c r="X2314" s="80" t="str">
        <f>HYPERLINK("https://mla.bs/20bf548c")</f>
        <v>https://mla.bs/20bf548c</v>
      </c>
      <c r="Y2314" s="77" t="s">
        <v>6506</v>
      </c>
      <c r="Z2314" s="77"/>
      <c r="AA2314" s="77"/>
      <c r="AB2314" s="77"/>
      <c r="AC2314" s="82" t="s">
        <v>7754</v>
      </c>
      <c r="AD2314" s="77" t="s">
        <v>7788</v>
      </c>
      <c r="AE2314" s="80" t="str">
        <f>HYPERLINK("https://twitter.com/einvestidor/status/1691148026637594641")</f>
        <v>https://twitter.com/einvestidor/status/1691148026637594641</v>
      </c>
      <c r="AF2314" s="79">
        <v>45152.750972222224</v>
      </c>
      <c r="AG2314" s="85">
        <v>45152</v>
      </c>
      <c r="AH2314" s="82" t="s">
        <v>9675</v>
      </c>
      <c r="AI2314" s="77" t="b">
        <v>0</v>
      </c>
      <c r="AJ2314" s="77"/>
      <c r="AK2314" s="77"/>
      <c r="AL2314" s="77"/>
      <c r="AM2314" s="77"/>
      <c r="AN2314" s="77"/>
      <c r="AO2314" s="77"/>
      <c r="AP2314" s="77"/>
      <c r="AQ2314" s="77"/>
      <c r="AR2314" s="77"/>
      <c r="AS2314" s="77"/>
      <c r="AT2314" s="77"/>
      <c r="AU2314" s="77"/>
      <c r="AV2314" s="80" t="str">
        <f>HYPERLINK("https://pbs.twimg.com/profile_images/1241147984924082183/gZgx_hL-_normal.jpg")</f>
        <v>https://pbs.twimg.com/profile_images/1241147984924082183/gZgx_hL-_normal.jpg</v>
      </c>
      <c r="AW2314" s="82" t="s">
        <v>13910</v>
      </c>
      <c r="AX2314" s="82" t="s">
        <v>13910</v>
      </c>
      <c r="AY2314" s="77"/>
      <c r="AZ2314" s="82" t="s">
        <v>15984</v>
      </c>
      <c r="BA2314" s="82" t="s">
        <v>15984</v>
      </c>
      <c r="BB2314" s="82" t="s">
        <v>15984</v>
      </c>
      <c r="BC2314" s="82" t="s">
        <v>13910</v>
      </c>
      <c r="BD2314" s="82" t="s">
        <v>15979</v>
      </c>
      <c r="BE2314" s="77"/>
      <c r="BF2314" s="77"/>
      <c r="BG2314" s="77"/>
      <c r="BH2314" s="77"/>
      <c r="BI2314" s="77"/>
    </row>
    <row r="2315" spans="1:61" x14ac:dyDescent="0.25">
      <c r="A2315" s="62" t="s">
        <v>387</v>
      </c>
      <c r="B2315" s="62" t="s">
        <v>387</v>
      </c>
      <c r="C2315" s="63"/>
      <c r="D2315" s="64"/>
      <c r="E2315" s="65"/>
      <c r="F2315" s="66"/>
      <c r="G2315" s="63"/>
      <c r="H2315" s="67"/>
      <c r="I2315" s="68"/>
      <c r="J2315" s="68"/>
      <c r="K2315" s="32"/>
      <c r="L2315" s="75">
        <v>2315</v>
      </c>
      <c r="M2315" s="75"/>
      <c r="N2315" s="70"/>
      <c r="O2315" s="77" t="s">
        <v>179</v>
      </c>
      <c r="P2315" s="79">
        <v>45152.750023148146</v>
      </c>
      <c r="Q2315" s="77" t="s">
        <v>2987</v>
      </c>
      <c r="R2315" s="77">
        <v>1</v>
      </c>
      <c r="S2315" s="77">
        <v>5</v>
      </c>
      <c r="T2315" s="77">
        <v>3</v>
      </c>
      <c r="U2315" s="77">
        <v>0</v>
      </c>
      <c r="V2315" s="77">
        <v>1450</v>
      </c>
      <c r="W2315" s="82" t="s">
        <v>5967</v>
      </c>
      <c r="X2315" s="80" t="str">
        <f>HYPERLINK("https://mla.bs/f9159bac")</f>
        <v>https://mla.bs/f9159bac</v>
      </c>
      <c r="Y2315" s="77" t="s">
        <v>6506</v>
      </c>
      <c r="Z2315" s="77"/>
      <c r="AA2315" s="77"/>
      <c r="AB2315" s="77"/>
      <c r="AC2315" s="82" t="s">
        <v>7754</v>
      </c>
      <c r="AD2315" s="77" t="s">
        <v>7788</v>
      </c>
      <c r="AE2315" s="80" t="str">
        <f>HYPERLINK("https://twitter.com/einvestidor/status/1691147683136962560")</f>
        <v>https://twitter.com/einvestidor/status/1691147683136962560</v>
      </c>
      <c r="AF2315" s="79">
        <v>45152.750023148146</v>
      </c>
      <c r="AG2315" s="85">
        <v>45152</v>
      </c>
      <c r="AH2315" s="82" t="s">
        <v>9676</v>
      </c>
      <c r="AI2315" s="77" t="b">
        <v>0</v>
      </c>
      <c r="AJ2315" s="77"/>
      <c r="AK2315" s="77"/>
      <c r="AL2315" s="77"/>
      <c r="AM2315" s="77"/>
      <c r="AN2315" s="77"/>
      <c r="AO2315" s="77"/>
      <c r="AP2315" s="77"/>
      <c r="AQ2315" s="77"/>
      <c r="AR2315" s="77"/>
      <c r="AS2315" s="77"/>
      <c r="AT2315" s="77"/>
      <c r="AU2315" s="77"/>
      <c r="AV2315" s="80" t="str">
        <f>HYPERLINK("https://pbs.twimg.com/profile_images/1241147984924082183/gZgx_hL-_normal.jpg")</f>
        <v>https://pbs.twimg.com/profile_images/1241147984924082183/gZgx_hL-_normal.jpg</v>
      </c>
      <c r="AW2315" s="82" t="s">
        <v>13911</v>
      </c>
      <c r="AX2315" s="82" t="s">
        <v>13911</v>
      </c>
      <c r="AY2315" s="77"/>
      <c r="AZ2315" s="82" t="s">
        <v>15984</v>
      </c>
      <c r="BA2315" s="82" t="s">
        <v>15984</v>
      </c>
      <c r="BB2315" s="82" t="s">
        <v>15984</v>
      </c>
      <c r="BC2315" s="82" t="s">
        <v>13911</v>
      </c>
      <c r="BD2315" s="82" t="s">
        <v>15979</v>
      </c>
      <c r="BE2315" s="77"/>
      <c r="BF2315" s="77"/>
      <c r="BG2315" s="77"/>
      <c r="BH2315" s="77"/>
      <c r="BI2315" s="77"/>
    </row>
    <row r="2316" spans="1:61" x14ac:dyDescent="0.25">
      <c r="A2316" s="62" t="s">
        <v>387</v>
      </c>
      <c r="B2316" s="62" t="s">
        <v>387</v>
      </c>
      <c r="C2316" s="63"/>
      <c r="D2316" s="64"/>
      <c r="E2316" s="65"/>
      <c r="F2316" s="66"/>
      <c r="G2316" s="63"/>
      <c r="H2316" s="67"/>
      <c r="I2316" s="68"/>
      <c r="J2316" s="68"/>
      <c r="K2316" s="32"/>
      <c r="L2316" s="75">
        <v>2316</v>
      </c>
      <c r="M2316" s="75"/>
      <c r="N2316" s="70"/>
      <c r="O2316" s="77" t="s">
        <v>179</v>
      </c>
      <c r="P2316" s="79">
        <v>45145.791678240741</v>
      </c>
      <c r="Q2316" s="77" t="s">
        <v>2988</v>
      </c>
      <c r="R2316" s="77">
        <v>0</v>
      </c>
      <c r="S2316" s="77">
        <v>0</v>
      </c>
      <c r="T2316" s="77">
        <v>0</v>
      </c>
      <c r="U2316" s="77">
        <v>0</v>
      </c>
      <c r="V2316" s="77">
        <v>447</v>
      </c>
      <c r="W2316" s="82" t="s">
        <v>5968</v>
      </c>
      <c r="X2316" s="80" t="str">
        <f>HYPERLINK("https://mla.bs/b97d5d4f")</f>
        <v>https://mla.bs/b97d5d4f</v>
      </c>
      <c r="Y2316" s="77" t="s">
        <v>6506</v>
      </c>
      <c r="Z2316" s="77"/>
      <c r="AA2316" s="77"/>
      <c r="AB2316" s="77"/>
      <c r="AC2316" s="82" t="s">
        <v>7754</v>
      </c>
      <c r="AD2316" s="77" t="s">
        <v>7788</v>
      </c>
      <c r="AE2316" s="80" t="str">
        <f>HYPERLINK("https://twitter.com/einvestidor/status/1688626065042976770")</f>
        <v>https://twitter.com/einvestidor/status/1688626065042976770</v>
      </c>
      <c r="AF2316" s="79">
        <v>45145.791678240741</v>
      </c>
      <c r="AG2316" s="85">
        <v>45145</v>
      </c>
      <c r="AH2316" s="82" t="s">
        <v>7933</v>
      </c>
      <c r="AI2316" s="77" t="b">
        <v>0</v>
      </c>
      <c r="AJ2316" s="77"/>
      <c r="AK2316" s="77"/>
      <c r="AL2316" s="77"/>
      <c r="AM2316" s="77"/>
      <c r="AN2316" s="77"/>
      <c r="AO2316" s="77"/>
      <c r="AP2316" s="77"/>
      <c r="AQ2316" s="77"/>
      <c r="AR2316" s="77"/>
      <c r="AS2316" s="77"/>
      <c r="AT2316" s="77"/>
      <c r="AU2316" s="77"/>
      <c r="AV2316" s="80" t="str">
        <f>HYPERLINK("https://pbs.twimg.com/profile_images/1241147984924082183/gZgx_hL-_normal.jpg")</f>
        <v>https://pbs.twimg.com/profile_images/1241147984924082183/gZgx_hL-_normal.jpg</v>
      </c>
      <c r="AW2316" s="82" t="s">
        <v>13912</v>
      </c>
      <c r="AX2316" s="82" t="s">
        <v>13912</v>
      </c>
      <c r="AY2316" s="77"/>
      <c r="AZ2316" s="82" t="s">
        <v>15984</v>
      </c>
      <c r="BA2316" s="82" t="s">
        <v>15984</v>
      </c>
      <c r="BB2316" s="82" t="s">
        <v>15984</v>
      </c>
      <c r="BC2316" s="82" t="s">
        <v>13912</v>
      </c>
      <c r="BD2316" s="82" t="s">
        <v>15979</v>
      </c>
      <c r="BE2316" s="77"/>
      <c r="BF2316" s="77"/>
      <c r="BG2316" s="77"/>
      <c r="BH2316" s="77"/>
      <c r="BI2316" s="77"/>
    </row>
    <row r="2317" spans="1:61" x14ac:dyDescent="0.25">
      <c r="A2317" s="62" t="s">
        <v>387</v>
      </c>
      <c r="B2317" s="62" t="s">
        <v>387</v>
      </c>
      <c r="C2317" s="63"/>
      <c r="D2317" s="64"/>
      <c r="E2317" s="65"/>
      <c r="F2317" s="66"/>
      <c r="G2317" s="63"/>
      <c r="H2317" s="67"/>
      <c r="I2317" s="68"/>
      <c r="J2317" s="68"/>
      <c r="K2317" s="32"/>
      <c r="L2317" s="75">
        <v>2317</v>
      </c>
      <c r="M2317" s="75"/>
      <c r="N2317" s="70"/>
      <c r="O2317" s="77" t="s">
        <v>179</v>
      </c>
      <c r="P2317" s="79">
        <v>45145.78125</v>
      </c>
      <c r="Q2317" s="77" t="s">
        <v>2989</v>
      </c>
      <c r="R2317" s="77">
        <v>0</v>
      </c>
      <c r="S2317" s="77">
        <v>0</v>
      </c>
      <c r="T2317" s="77">
        <v>0</v>
      </c>
      <c r="U2317" s="77">
        <v>0</v>
      </c>
      <c r="V2317" s="77">
        <v>619</v>
      </c>
      <c r="W2317" s="82" t="s">
        <v>5934</v>
      </c>
      <c r="X2317" s="80" t="str">
        <f>HYPERLINK("https://mla.bs/071b708b")</f>
        <v>https://mla.bs/071b708b</v>
      </c>
      <c r="Y2317" s="77" t="s">
        <v>6506</v>
      </c>
      <c r="Z2317" s="77"/>
      <c r="AA2317" s="77"/>
      <c r="AB2317" s="77"/>
      <c r="AC2317" s="82" t="s">
        <v>7754</v>
      </c>
      <c r="AD2317" s="77" t="s">
        <v>7788</v>
      </c>
      <c r="AE2317" s="80" t="str">
        <f>HYPERLINK("https://twitter.com/einvestidor/status/1688622284154515458")</f>
        <v>https://twitter.com/einvestidor/status/1688622284154515458</v>
      </c>
      <c r="AF2317" s="79">
        <v>45145.78125</v>
      </c>
      <c r="AG2317" s="85">
        <v>45145</v>
      </c>
      <c r="AH2317" s="82" t="s">
        <v>9581</v>
      </c>
      <c r="AI2317" s="77" t="b">
        <v>0</v>
      </c>
      <c r="AJ2317" s="77"/>
      <c r="AK2317" s="77"/>
      <c r="AL2317" s="77"/>
      <c r="AM2317" s="77"/>
      <c r="AN2317" s="77"/>
      <c r="AO2317" s="77"/>
      <c r="AP2317" s="77"/>
      <c r="AQ2317" s="77"/>
      <c r="AR2317" s="77"/>
      <c r="AS2317" s="77"/>
      <c r="AT2317" s="77"/>
      <c r="AU2317" s="77"/>
      <c r="AV2317" s="80" t="str">
        <f>HYPERLINK("https://pbs.twimg.com/profile_images/1241147984924082183/gZgx_hL-_normal.jpg")</f>
        <v>https://pbs.twimg.com/profile_images/1241147984924082183/gZgx_hL-_normal.jpg</v>
      </c>
      <c r="AW2317" s="82" t="s">
        <v>13913</v>
      </c>
      <c r="AX2317" s="82" t="s">
        <v>13913</v>
      </c>
      <c r="AY2317" s="77"/>
      <c r="AZ2317" s="82" t="s">
        <v>15984</v>
      </c>
      <c r="BA2317" s="82" t="s">
        <v>15984</v>
      </c>
      <c r="BB2317" s="82" t="s">
        <v>15984</v>
      </c>
      <c r="BC2317" s="82" t="s">
        <v>13913</v>
      </c>
      <c r="BD2317" s="82" t="s">
        <v>15979</v>
      </c>
      <c r="BE2317" s="77"/>
      <c r="BF2317" s="77"/>
      <c r="BG2317" s="77"/>
      <c r="BH2317" s="77"/>
      <c r="BI2317" s="77"/>
    </row>
    <row r="2318" spans="1:61" x14ac:dyDescent="0.25">
      <c r="A2318" s="62" t="s">
        <v>387</v>
      </c>
      <c r="B2318" s="62" t="s">
        <v>387</v>
      </c>
      <c r="C2318" s="63"/>
      <c r="D2318" s="64"/>
      <c r="E2318" s="65"/>
      <c r="F2318" s="66"/>
      <c r="G2318" s="63"/>
      <c r="H2318" s="67"/>
      <c r="I2318" s="68"/>
      <c r="J2318" s="68"/>
      <c r="K2318" s="32"/>
      <c r="L2318" s="75">
        <v>2318</v>
      </c>
      <c r="M2318" s="75"/>
      <c r="N2318" s="70"/>
      <c r="O2318" s="77" t="s">
        <v>179</v>
      </c>
      <c r="P2318" s="79">
        <v>45145.770833333336</v>
      </c>
      <c r="Q2318" s="77" t="s">
        <v>2990</v>
      </c>
      <c r="R2318" s="77">
        <v>0</v>
      </c>
      <c r="S2318" s="77">
        <v>1</v>
      </c>
      <c r="T2318" s="77">
        <v>0</v>
      </c>
      <c r="U2318" s="77">
        <v>0</v>
      </c>
      <c r="V2318" s="77">
        <v>446</v>
      </c>
      <c r="W2318" s="82" t="s">
        <v>4833</v>
      </c>
      <c r="X2318" s="80" t="str">
        <f>HYPERLINK("https://mla.bs/3581469c")</f>
        <v>https://mla.bs/3581469c</v>
      </c>
      <c r="Y2318" s="77" t="s">
        <v>6506</v>
      </c>
      <c r="Z2318" s="77"/>
      <c r="AA2318" s="77"/>
      <c r="AB2318" s="77"/>
      <c r="AC2318" s="82" t="s">
        <v>7754</v>
      </c>
      <c r="AD2318" s="77" t="s">
        <v>7788</v>
      </c>
      <c r="AE2318" s="80" t="str">
        <f>HYPERLINK("https://twitter.com/einvestidor/status/1688618508886650880")</f>
        <v>https://twitter.com/einvestidor/status/1688618508886650880</v>
      </c>
      <c r="AF2318" s="79">
        <v>45145.770833333336</v>
      </c>
      <c r="AG2318" s="85">
        <v>45145</v>
      </c>
      <c r="AH2318" s="82" t="s">
        <v>7930</v>
      </c>
      <c r="AI2318" s="77" t="b">
        <v>0</v>
      </c>
      <c r="AJ2318" s="77"/>
      <c r="AK2318" s="77"/>
      <c r="AL2318" s="77"/>
      <c r="AM2318" s="77"/>
      <c r="AN2318" s="77"/>
      <c r="AO2318" s="77"/>
      <c r="AP2318" s="77"/>
      <c r="AQ2318" s="77"/>
      <c r="AR2318" s="77"/>
      <c r="AS2318" s="77"/>
      <c r="AT2318" s="77"/>
      <c r="AU2318" s="77"/>
      <c r="AV2318" s="80" t="str">
        <f>HYPERLINK("https://pbs.twimg.com/profile_images/1241147984924082183/gZgx_hL-_normal.jpg")</f>
        <v>https://pbs.twimg.com/profile_images/1241147984924082183/gZgx_hL-_normal.jpg</v>
      </c>
      <c r="AW2318" s="82" t="s">
        <v>13914</v>
      </c>
      <c r="AX2318" s="82" t="s">
        <v>13914</v>
      </c>
      <c r="AY2318" s="77"/>
      <c r="AZ2318" s="82" t="s">
        <v>15984</v>
      </c>
      <c r="BA2318" s="82" t="s">
        <v>15984</v>
      </c>
      <c r="BB2318" s="82" t="s">
        <v>15984</v>
      </c>
      <c r="BC2318" s="82" t="s">
        <v>13914</v>
      </c>
      <c r="BD2318" s="82" t="s">
        <v>15979</v>
      </c>
      <c r="BE2318" s="77"/>
      <c r="BF2318" s="77"/>
      <c r="BG2318" s="77"/>
      <c r="BH2318" s="77"/>
      <c r="BI2318" s="77"/>
    </row>
    <row r="2319" spans="1:61" x14ac:dyDescent="0.25">
      <c r="A2319" s="62" t="s">
        <v>387</v>
      </c>
      <c r="B2319" s="62" t="s">
        <v>387</v>
      </c>
      <c r="C2319" s="63"/>
      <c r="D2319" s="64"/>
      <c r="E2319" s="65"/>
      <c r="F2319" s="66"/>
      <c r="G2319" s="63"/>
      <c r="H2319" s="67"/>
      <c r="I2319" s="68"/>
      <c r="J2319" s="68"/>
      <c r="K2319" s="32"/>
      <c r="L2319" s="75">
        <v>2319</v>
      </c>
      <c r="M2319" s="75"/>
      <c r="N2319" s="70"/>
      <c r="O2319" s="77" t="s">
        <v>179</v>
      </c>
      <c r="P2319" s="79">
        <v>45145.760416666664</v>
      </c>
      <c r="Q2319" s="77" t="s">
        <v>2991</v>
      </c>
      <c r="R2319" s="77">
        <v>0</v>
      </c>
      <c r="S2319" s="77">
        <v>0</v>
      </c>
      <c r="T2319" s="77">
        <v>0</v>
      </c>
      <c r="U2319" s="77">
        <v>0</v>
      </c>
      <c r="V2319" s="77">
        <v>424</v>
      </c>
      <c r="W2319" s="82" t="s">
        <v>4833</v>
      </c>
      <c r="X2319" s="80" t="str">
        <f>HYPERLINK("https://mla.bs/56036b5d")</f>
        <v>https://mla.bs/56036b5d</v>
      </c>
      <c r="Y2319" s="77" t="s">
        <v>6506</v>
      </c>
      <c r="Z2319" s="77"/>
      <c r="AA2319" s="77"/>
      <c r="AB2319" s="77"/>
      <c r="AC2319" s="82" t="s">
        <v>7754</v>
      </c>
      <c r="AD2319" s="77" t="s">
        <v>7788</v>
      </c>
      <c r="AE2319" s="80" t="str">
        <f>HYPERLINK("https://twitter.com/einvestidor/status/1688614734130544641")</f>
        <v>https://twitter.com/einvestidor/status/1688614734130544641</v>
      </c>
      <c r="AF2319" s="79">
        <v>45145.760416666664</v>
      </c>
      <c r="AG2319" s="85">
        <v>45145</v>
      </c>
      <c r="AH2319" s="82" t="s">
        <v>9582</v>
      </c>
      <c r="AI2319" s="77" t="b">
        <v>0</v>
      </c>
      <c r="AJ2319" s="77"/>
      <c r="AK2319" s="77"/>
      <c r="AL2319" s="77"/>
      <c r="AM2319" s="77"/>
      <c r="AN2319" s="77"/>
      <c r="AO2319" s="77"/>
      <c r="AP2319" s="77"/>
      <c r="AQ2319" s="77"/>
      <c r="AR2319" s="77"/>
      <c r="AS2319" s="77"/>
      <c r="AT2319" s="77"/>
      <c r="AU2319" s="77"/>
      <c r="AV2319" s="80" t="str">
        <f>HYPERLINK("https://pbs.twimg.com/profile_images/1241147984924082183/gZgx_hL-_normal.jpg")</f>
        <v>https://pbs.twimg.com/profile_images/1241147984924082183/gZgx_hL-_normal.jpg</v>
      </c>
      <c r="AW2319" s="82" t="s">
        <v>13915</v>
      </c>
      <c r="AX2319" s="82" t="s">
        <v>13915</v>
      </c>
      <c r="AY2319" s="77"/>
      <c r="AZ2319" s="82" t="s">
        <v>15984</v>
      </c>
      <c r="BA2319" s="82" t="s">
        <v>15984</v>
      </c>
      <c r="BB2319" s="82" t="s">
        <v>15984</v>
      </c>
      <c r="BC2319" s="82" t="s">
        <v>13915</v>
      </c>
      <c r="BD2319" s="82" t="s">
        <v>15979</v>
      </c>
      <c r="BE2319" s="77"/>
      <c r="BF2319" s="77"/>
      <c r="BG2319" s="77"/>
      <c r="BH2319" s="77"/>
      <c r="BI2319" s="77"/>
    </row>
    <row r="2320" spans="1:61" x14ac:dyDescent="0.25">
      <c r="A2320" s="62" t="s">
        <v>387</v>
      </c>
      <c r="B2320" s="62" t="s">
        <v>387</v>
      </c>
      <c r="C2320" s="63"/>
      <c r="D2320" s="64"/>
      <c r="E2320" s="65"/>
      <c r="F2320" s="66"/>
      <c r="G2320" s="63"/>
      <c r="H2320" s="67"/>
      <c r="I2320" s="68"/>
      <c r="J2320" s="68"/>
      <c r="K2320" s="32"/>
      <c r="L2320" s="75">
        <v>2320</v>
      </c>
      <c r="M2320" s="75"/>
      <c r="N2320" s="70"/>
      <c r="O2320" s="77" t="s">
        <v>179</v>
      </c>
      <c r="P2320" s="79">
        <v>45145.750011574077</v>
      </c>
      <c r="Q2320" s="77" t="s">
        <v>2992</v>
      </c>
      <c r="R2320" s="77">
        <v>0</v>
      </c>
      <c r="S2320" s="77">
        <v>8</v>
      </c>
      <c r="T2320" s="77">
        <v>1</v>
      </c>
      <c r="U2320" s="77">
        <v>0</v>
      </c>
      <c r="V2320" s="77">
        <v>860</v>
      </c>
      <c r="W2320" s="82" t="s">
        <v>4833</v>
      </c>
      <c r="X2320" s="80" t="str">
        <f>HYPERLINK("https://mla.bs/d94cfbb9")</f>
        <v>https://mla.bs/d94cfbb9</v>
      </c>
      <c r="Y2320" s="77" t="s">
        <v>6506</v>
      </c>
      <c r="Z2320" s="77"/>
      <c r="AA2320" s="77"/>
      <c r="AB2320" s="77"/>
      <c r="AC2320" s="82" t="s">
        <v>7754</v>
      </c>
      <c r="AD2320" s="77" t="s">
        <v>7788</v>
      </c>
      <c r="AE2320" s="80" t="str">
        <f>HYPERLINK("https://twitter.com/einvestidor/status/1688610965024346114")</f>
        <v>https://twitter.com/einvestidor/status/1688610965024346114</v>
      </c>
      <c r="AF2320" s="79">
        <v>45145.750011574077</v>
      </c>
      <c r="AG2320" s="85">
        <v>45145</v>
      </c>
      <c r="AH2320" s="82" t="s">
        <v>9625</v>
      </c>
      <c r="AI2320" s="77" t="b">
        <v>0</v>
      </c>
      <c r="AJ2320" s="77"/>
      <c r="AK2320" s="77"/>
      <c r="AL2320" s="77"/>
      <c r="AM2320" s="77"/>
      <c r="AN2320" s="77"/>
      <c r="AO2320" s="77"/>
      <c r="AP2320" s="77"/>
      <c r="AQ2320" s="77"/>
      <c r="AR2320" s="77"/>
      <c r="AS2320" s="77"/>
      <c r="AT2320" s="77"/>
      <c r="AU2320" s="77"/>
      <c r="AV2320" s="80" t="str">
        <f>HYPERLINK("https://pbs.twimg.com/profile_images/1241147984924082183/gZgx_hL-_normal.jpg")</f>
        <v>https://pbs.twimg.com/profile_images/1241147984924082183/gZgx_hL-_normal.jpg</v>
      </c>
      <c r="AW2320" s="82" t="s">
        <v>13916</v>
      </c>
      <c r="AX2320" s="82" t="s">
        <v>13916</v>
      </c>
      <c r="AY2320" s="77"/>
      <c r="AZ2320" s="82" t="s">
        <v>15984</v>
      </c>
      <c r="BA2320" s="82" t="s">
        <v>15984</v>
      </c>
      <c r="BB2320" s="82" t="s">
        <v>15984</v>
      </c>
      <c r="BC2320" s="82" t="s">
        <v>13916</v>
      </c>
      <c r="BD2320" s="82" t="s">
        <v>15979</v>
      </c>
      <c r="BE2320" s="77"/>
      <c r="BF2320" s="77"/>
      <c r="BG2320" s="77"/>
      <c r="BH2320" s="77"/>
      <c r="BI2320" s="77"/>
    </row>
    <row r="2321" spans="1:61" x14ac:dyDescent="0.25">
      <c r="A2321" s="62" t="s">
        <v>387</v>
      </c>
      <c r="B2321" s="62" t="s">
        <v>387</v>
      </c>
      <c r="C2321" s="63"/>
      <c r="D2321" s="64"/>
      <c r="E2321" s="65"/>
      <c r="F2321" s="66"/>
      <c r="G2321" s="63"/>
      <c r="H2321" s="67"/>
      <c r="I2321" s="68"/>
      <c r="J2321" s="68"/>
      <c r="K2321" s="32"/>
      <c r="L2321" s="75">
        <v>2321</v>
      </c>
      <c r="M2321" s="75"/>
      <c r="N2321" s="70"/>
      <c r="O2321" s="77" t="s">
        <v>179</v>
      </c>
      <c r="P2321" s="79">
        <v>45139.979166666664</v>
      </c>
      <c r="Q2321" s="77" t="s">
        <v>2993</v>
      </c>
      <c r="R2321" s="77">
        <v>0</v>
      </c>
      <c r="S2321" s="77">
        <v>1</v>
      </c>
      <c r="T2321" s="77">
        <v>0</v>
      </c>
      <c r="U2321" s="77">
        <v>0</v>
      </c>
      <c r="V2321" s="77">
        <v>659</v>
      </c>
      <c r="W2321" s="82" t="s">
        <v>4833</v>
      </c>
      <c r="X2321" s="80" t="str">
        <f>HYPERLINK("https://mla.bs/ca4c54e6")</f>
        <v>https://mla.bs/ca4c54e6</v>
      </c>
      <c r="Y2321" s="77" t="s">
        <v>6506</v>
      </c>
      <c r="Z2321" s="77"/>
      <c r="AA2321" s="77"/>
      <c r="AB2321" s="77"/>
      <c r="AC2321" s="82" t="s">
        <v>7754</v>
      </c>
      <c r="AD2321" s="77" t="s">
        <v>7788</v>
      </c>
      <c r="AE2321" s="80" t="str">
        <f>HYPERLINK("https://twitter.com/einvestidor/status/1686519679127601153")</f>
        <v>https://twitter.com/einvestidor/status/1686519679127601153</v>
      </c>
      <c r="AF2321" s="79">
        <v>45139.979166666664</v>
      </c>
      <c r="AG2321" s="85">
        <v>45139</v>
      </c>
      <c r="AH2321" s="82" t="s">
        <v>7928</v>
      </c>
      <c r="AI2321" s="77" t="b">
        <v>0</v>
      </c>
      <c r="AJ2321" s="77"/>
      <c r="AK2321" s="77"/>
      <c r="AL2321" s="77"/>
      <c r="AM2321" s="77"/>
      <c r="AN2321" s="77"/>
      <c r="AO2321" s="77"/>
      <c r="AP2321" s="77"/>
      <c r="AQ2321" s="77"/>
      <c r="AR2321" s="77"/>
      <c r="AS2321" s="77"/>
      <c r="AT2321" s="77"/>
      <c r="AU2321" s="77"/>
      <c r="AV2321" s="80" t="str">
        <f>HYPERLINK("https://pbs.twimg.com/profile_images/1241147984924082183/gZgx_hL-_normal.jpg")</f>
        <v>https://pbs.twimg.com/profile_images/1241147984924082183/gZgx_hL-_normal.jpg</v>
      </c>
      <c r="AW2321" s="82" t="s">
        <v>13917</v>
      </c>
      <c r="AX2321" s="82" t="s">
        <v>13917</v>
      </c>
      <c r="AY2321" s="77"/>
      <c r="AZ2321" s="82" t="s">
        <v>15984</v>
      </c>
      <c r="BA2321" s="82" t="s">
        <v>15984</v>
      </c>
      <c r="BB2321" s="82" t="s">
        <v>15984</v>
      </c>
      <c r="BC2321" s="82" t="s">
        <v>13917</v>
      </c>
      <c r="BD2321" s="82" t="s">
        <v>15979</v>
      </c>
      <c r="BE2321" s="77"/>
      <c r="BF2321" s="77"/>
      <c r="BG2321" s="77"/>
      <c r="BH2321" s="77"/>
      <c r="BI2321" s="77"/>
    </row>
    <row r="2322" spans="1:61" x14ac:dyDescent="0.25">
      <c r="A2322" s="62" t="s">
        <v>387</v>
      </c>
      <c r="B2322" s="62" t="s">
        <v>387</v>
      </c>
      <c r="C2322" s="63"/>
      <c r="D2322" s="64"/>
      <c r="E2322" s="65"/>
      <c r="F2322" s="66"/>
      <c r="G2322" s="63"/>
      <c r="H2322" s="67"/>
      <c r="I2322" s="68"/>
      <c r="J2322" s="68"/>
      <c r="K2322" s="32"/>
      <c r="L2322" s="75">
        <v>2322</v>
      </c>
      <c r="M2322" s="75"/>
      <c r="N2322" s="70"/>
      <c r="O2322" s="77" t="s">
        <v>179</v>
      </c>
      <c r="P2322" s="79">
        <v>45131.630150462966</v>
      </c>
      <c r="Q2322" s="77" t="s">
        <v>2994</v>
      </c>
      <c r="R2322" s="77">
        <v>0</v>
      </c>
      <c r="S2322" s="77">
        <v>1</v>
      </c>
      <c r="T2322" s="77">
        <v>0</v>
      </c>
      <c r="U2322" s="77">
        <v>0</v>
      </c>
      <c r="V2322" s="77">
        <v>577</v>
      </c>
      <c r="W2322" s="82" t="s">
        <v>4833</v>
      </c>
      <c r="X2322" s="80" t="str">
        <f>HYPERLINK("https://mla.bs/93ef63cc")</f>
        <v>https://mla.bs/93ef63cc</v>
      </c>
      <c r="Y2322" s="77" t="s">
        <v>6506</v>
      </c>
      <c r="Z2322" s="77"/>
      <c r="AA2322" s="77"/>
      <c r="AB2322" s="77"/>
      <c r="AC2322" s="82" t="s">
        <v>7757</v>
      </c>
      <c r="AD2322" s="77" t="s">
        <v>7788</v>
      </c>
      <c r="AE2322" s="80" t="str">
        <f>HYPERLINK("https://twitter.com/einvestidor/status/1683494096743063554")</f>
        <v>https://twitter.com/einvestidor/status/1683494096743063554</v>
      </c>
      <c r="AF2322" s="79">
        <v>45131.630150462966</v>
      </c>
      <c r="AG2322" s="85">
        <v>45131</v>
      </c>
      <c r="AH2322" s="82" t="s">
        <v>9677</v>
      </c>
      <c r="AI2322" s="77" t="b">
        <v>0</v>
      </c>
      <c r="AJ2322" s="77"/>
      <c r="AK2322" s="77"/>
      <c r="AL2322" s="77"/>
      <c r="AM2322" s="77"/>
      <c r="AN2322" s="77"/>
      <c r="AO2322" s="77"/>
      <c r="AP2322" s="77"/>
      <c r="AQ2322" s="77"/>
      <c r="AR2322" s="77"/>
      <c r="AS2322" s="77"/>
      <c r="AT2322" s="77"/>
      <c r="AU2322" s="77"/>
      <c r="AV2322" s="80" t="str">
        <f>HYPERLINK("https://pbs.twimg.com/profile_images/1241147984924082183/gZgx_hL-_normal.jpg")</f>
        <v>https://pbs.twimg.com/profile_images/1241147984924082183/gZgx_hL-_normal.jpg</v>
      </c>
      <c r="AW2322" s="82" t="s">
        <v>13918</v>
      </c>
      <c r="AX2322" s="82" t="s">
        <v>13918</v>
      </c>
      <c r="AY2322" s="77"/>
      <c r="AZ2322" s="82" t="s">
        <v>15984</v>
      </c>
      <c r="BA2322" s="82" t="s">
        <v>15984</v>
      </c>
      <c r="BB2322" s="82" t="s">
        <v>15984</v>
      </c>
      <c r="BC2322" s="82" t="s">
        <v>13918</v>
      </c>
      <c r="BD2322" s="82" t="s">
        <v>15979</v>
      </c>
      <c r="BE2322" s="77"/>
      <c r="BF2322" s="77"/>
      <c r="BG2322" s="77"/>
      <c r="BH2322" s="77"/>
      <c r="BI2322" s="77"/>
    </row>
    <row r="2323" spans="1:61" x14ac:dyDescent="0.25">
      <c r="A2323" s="62" t="s">
        <v>387</v>
      </c>
      <c r="B2323" s="62" t="s">
        <v>387</v>
      </c>
      <c r="C2323" s="63"/>
      <c r="D2323" s="64"/>
      <c r="E2323" s="65"/>
      <c r="F2323" s="66"/>
      <c r="G2323" s="63"/>
      <c r="H2323" s="67"/>
      <c r="I2323" s="68"/>
      <c r="J2323" s="68"/>
      <c r="K2323" s="32"/>
      <c r="L2323" s="75">
        <v>2323</v>
      </c>
      <c r="M2323" s="75"/>
      <c r="N2323" s="70"/>
      <c r="O2323" s="77" t="s">
        <v>179</v>
      </c>
      <c r="P2323" s="79">
        <v>45131.614351851851</v>
      </c>
      <c r="Q2323" s="77" t="s">
        <v>2995</v>
      </c>
      <c r="R2323" s="77">
        <v>1</v>
      </c>
      <c r="S2323" s="77">
        <v>2</v>
      </c>
      <c r="T2323" s="77">
        <v>0</v>
      </c>
      <c r="U2323" s="77">
        <v>0</v>
      </c>
      <c r="V2323" s="77">
        <v>568</v>
      </c>
      <c r="W2323" s="82" t="s">
        <v>4833</v>
      </c>
      <c r="X2323" s="80" t="str">
        <f>HYPERLINK("https://mla.bs/b9b9fec1")</f>
        <v>https://mla.bs/b9b9fec1</v>
      </c>
      <c r="Y2323" s="77" t="s">
        <v>6506</v>
      </c>
      <c r="Z2323" s="77"/>
      <c r="AA2323" s="77"/>
      <c r="AB2323" s="77"/>
      <c r="AC2323" s="82" t="s">
        <v>7757</v>
      </c>
      <c r="AD2323" s="77" t="s">
        <v>7788</v>
      </c>
      <c r="AE2323" s="80" t="str">
        <f>HYPERLINK("https://twitter.com/einvestidor/status/1683488372499595265")</f>
        <v>https://twitter.com/einvestidor/status/1683488372499595265</v>
      </c>
      <c r="AF2323" s="79">
        <v>45131.614351851851</v>
      </c>
      <c r="AG2323" s="85">
        <v>45131</v>
      </c>
      <c r="AH2323" s="82" t="s">
        <v>9678</v>
      </c>
      <c r="AI2323" s="77" t="b">
        <v>0</v>
      </c>
      <c r="AJ2323" s="77"/>
      <c r="AK2323" s="77"/>
      <c r="AL2323" s="77"/>
      <c r="AM2323" s="77"/>
      <c r="AN2323" s="77"/>
      <c r="AO2323" s="77"/>
      <c r="AP2323" s="77"/>
      <c r="AQ2323" s="77"/>
      <c r="AR2323" s="77"/>
      <c r="AS2323" s="77"/>
      <c r="AT2323" s="77"/>
      <c r="AU2323" s="77"/>
      <c r="AV2323" s="80" t="str">
        <f>HYPERLINK("https://pbs.twimg.com/profile_images/1241147984924082183/gZgx_hL-_normal.jpg")</f>
        <v>https://pbs.twimg.com/profile_images/1241147984924082183/gZgx_hL-_normal.jpg</v>
      </c>
      <c r="AW2323" s="82" t="s">
        <v>13919</v>
      </c>
      <c r="AX2323" s="82" t="s">
        <v>13919</v>
      </c>
      <c r="AY2323" s="77"/>
      <c r="AZ2323" s="82" t="s">
        <v>15984</v>
      </c>
      <c r="BA2323" s="82" t="s">
        <v>15984</v>
      </c>
      <c r="BB2323" s="82" t="s">
        <v>15984</v>
      </c>
      <c r="BC2323" s="82" t="s">
        <v>13919</v>
      </c>
      <c r="BD2323" s="82" t="s">
        <v>15979</v>
      </c>
      <c r="BE2323" s="77"/>
      <c r="BF2323" s="77"/>
      <c r="BG2323" s="77"/>
      <c r="BH2323" s="77"/>
      <c r="BI2323" s="77"/>
    </row>
    <row r="2324" spans="1:61" x14ac:dyDescent="0.25">
      <c r="A2324" s="62" t="s">
        <v>387</v>
      </c>
      <c r="B2324" s="62" t="s">
        <v>387</v>
      </c>
      <c r="C2324" s="63"/>
      <c r="D2324" s="64"/>
      <c r="E2324" s="65"/>
      <c r="F2324" s="66"/>
      <c r="G2324" s="63"/>
      <c r="H2324" s="67"/>
      <c r="I2324" s="68"/>
      <c r="J2324" s="68"/>
      <c r="K2324" s="32"/>
      <c r="L2324" s="75">
        <v>2324</v>
      </c>
      <c r="M2324" s="75"/>
      <c r="N2324" s="70"/>
      <c r="O2324" s="77" t="s">
        <v>179</v>
      </c>
      <c r="P2324" s="79">
        <v>45120.879513888889</v>
      </c>
      <c r="Q2324" s="77" t="s">
        <v>2996</v>
      </c>
      <c r="R2324" s="77">
        <v>0</v>
      </c>
      <c r="S2324" s="77">
        <v>1</v>
      </c>
      <c r="T2324" s="77">
        <v>0</v>
      </c>
      <c r="U2324" s="77">
        <v>0</v>
      </c>
      <c r="V2324" s="77">
        <v>616</v>
      </c>
      <c r="W2324" s="82" t="s">
        <v>4833</v>
      </c>
      <c r="X2324" s="80" t="str">
        <f>HYPERLINK("https://mla.bs/64a286da")</f>
        <v>https://mla.bs/64a286da</v>
      </c>
      <c r="Y2324" s="77" t="s">
        <v>6506</v>
      </c>
      <c r="Z2324" s="77"/>
      <c r="AA2324" s="77"/>
      <c r="AB2324" s="77"/>
      <c r="AC2324" s="82" t="s">
        <v>7757</v>
      </c>
      <c r="AD2324" s="77" t="s">
        <v>7788</v>
      </c>
      <c r="AE2324" s="80" t="str">
        <f>HYPERLINK("https://twitter.com/einvestidor/status/1679598196664815617")</f>
        <v>https://twitter.com/einvestidor/status/1679598196664815617</v>
      </c>
      <c r="AF2324" s="79">
        <v>45120.879513888889</v>
      </c>
      <c r="AG2324" s="85">
        <v>45120</v>
      </c>
      <c r="AH2324" s="82" t="s">
        <v>9679</v>
      </c>
      <c r="AI2324" s="77" t="b">
        <v>0</v>
      </c>
      <c r="AJ2324" s="77"/>
      <c r="AK2324" s="77"/>
      <c r="AL2324" s="77"/>
      <c r="AM2324" s="77"/>
      <c r="AN2324" s="77"/>
      <c r="AO2324" s="77"/>
      <c r="AP2324" s="77"/>
      <c r="AQ2324" s="77"/>
      <c r="AR2324" s="77"/>
      <c r="AS2324" s="77"/>
      <c r="AT2324" s="77"/>
      <c r="AU2324" s="77"/>
      <c r="AV2324" s="80" t="str">
        <f>HYPERLINK("https://pbs.twimg.com/profile_images/1241147984924082183/gZgx_hL-_normal.jpg")</f>
        <v>https://pbs.twimg.com/profile_images/1241147984924082183/gZgx_hL-_normal.jpg</v>
      </c>
      <c r="AW2324" s="82" t="s">
        <v>13920</v>
      </c>
      <c r="AX2324" s="82" t="s">
        <v>13920</v>
      </c>
      <c r="AY2324" s="77"/>
      <c r="AZ2324" s="82" t="s">
        <v>15984</v>
      </c>
      <c r="BA2324" s="82" t="s">
        <v>15984</v>
      </c>
      <c r="BB2324" s="82" t="s">
        <v>15984</v>
      </c>
      <c r="BC2324" s="82" t="s">
        <v>13920</v>
      </c>
      <c r="BD2324" s="82" t="s">
        <v>15979</v>
      </c>
      <c r="BE2324" s="77"/>
      <c r="BF2324" s="77"/>
      <c r="BG2324" s="77"/>
      <c r="BH2324" s="77"/>
      <c r="BI2324" s="77"/>
    </row>
    <row r="2325" spans="1:61" x14ac:dyDescent="0.25">
      <c r="A2325" s="62" t="s">
        <v>387</v>
      </c>
      <c r="B2325" s="62" t="s">
        <v>387</v>
      </c>
      <c r="C2325" s="63"/>
      <c r="D2325" s="64"/>
      <c r="E2325" s="65"/>
      <c r="F2325" s="66"/>
      <c r="G2325" s="63"/>
      <c r="H2325" s="67"/>
      <c r="I2325" s="68"/>
      <c r="J2325" s="68"/>
      <c r="K2325" s="32"/>
      <c r="L2325" s="75">
        <v>2325</v>
      </c>
      <c r="M2325" s="75"/>
      <c r="N2325" s="70"/>
      <c r="O2325" s="77" t="s">
        <v>179</v>
      </c>
      <c r="P2325" s="79">
        <v>45120.877430555556</v>
      </c>
      <c r="Q2325" s="77" t="s">
        <v>2997</v>
      </c>
      <c r="R2325" s="77">
        <v>1</v>
      </c>
      <c r="S2325" s="77">
        <v>3</v>
      </c>
      <c r="T2325" s="77">
        <v>0</v>
      </c>
      <c r="U2325" s="77">
        <v>0</v>
      </c>
      <c r="V2325" s="77">
        <v>851</v>
      </c>
      <c r="W2325" s="82" t="s">
        <v>5969</v>
      </c>
      <c r="X2325" s="80" t="str">
        <f>HYPERLINK("https://mla.bs/264198ba")</f>
        <v>https://mla.bs/264198ba</v>
      </c>
      <c r="Y2325" s="77" t="s">
        <v>6506</v>
      </c>
      <c r="Z2325" s="77"/>
      <c r="AA2325" s="77"/>
      <c r="AB2325" s="77"/>
      <c r="AC2325" s="82" t="s">
        <v>7757</v>
      </c>
      <c r="AD2325" s="77" t="s">
        <v>7788</v>
      </c>
      <c r="AE2325" s="80" t="str">
        <f>HYPERLINK("https://twitter.com/einvestidor/status/1679597442772115457")</f>
        <v>https://twitter.com/einvestidor/status/1679597442772115457</v>
      </c>
      <c r="AF2325" s="79">
        <v>45120.877430555556</v>
      </c>
      <c r="AG2325" s="85">
        <v>45120</v>
      </c>
      <c r="AH2325" s="82" t="s">
        <v>9680</v>
      </c>
      <c r="AI2325" s="77" t="b">
        <v>0</v>
      </c>
      <c r="AJ2325" s="77"/>
      <c r="AK2325" s="77"/>
      <c r="AL2325" s="77"/>
      <c r="AM2325" s="77"/>
      <c r="AN2325" s="77"/>
      <c r="AO2325" s="77"/>
      <c r="AP2325" s="77"/>
      <c r="AQ2325" s="77"/>
      <c r="AR2325" s="77"/>
      <c r="AS2325" s="77"/>
      <c r="AT2325" s="77"/>
      <c r="AU2325" s="77"/>
      <c r="AV2325" s="80" t="str">
        <f>HYPERLINK("https://pbs.twimg.com/profile_images/1241147984924082183/gZgx_hL-_normal.jpg")</f>
        <v>https://pbs.twimg.com/profile_images/1241147984924082183/gZgx_hL-_normal.jpg</v>
      </c>
      <c r="AW2325" s="82" t="s">
        <v>13921</v>
      </c>
      <c r="AX2325" s="82" t="s">
        <v>13921</v>
      </c>
      <c r="AY2325" s="77"/>
      <c r="AZ2325" s="82" t="s">
        <v>15984</v>
      </c>
      <c r="BA2325" s="82" t="s">
        <v>15984</v>
      </c>
      <c r="BB2325" s="82" t="s">
        <v>15984</v>
      </c>
      <c r="BC2325" s="82" t="s">
        <v>13921</v>
      </c>
      <c r="BD2325" s="82" t="s">
        <v>15979</v>
      </c>
      <c r="BE2325" s="77"/>
      <c r="BF2325" s="77"/>
      <c r="BG2325" s="77"/>
      <c r="BH2325" s="77"/>
      <c r="BI2325" s="77"/>
    </row>
    <row r="2326" spans="1:61" x14ac:dyDescent="0.25">
      <c r="A2326" s="62" t="s">
        <v>387</v>
      </c>
      <c r="B2326" s="62" t="s">
        <v>387</v>
      </c>
      <c r="C2326" s="63"/>
      <c r="D2326" s="64"/>
      <c r="E2326" s="65"/>
      <c r="F2326" s="66"/>
      <c r="G2326" s="63"/>
      <c r="H2326" s="67"/>
      <c r="I2326" s="68"/>
      <c r="J2326" s="68"/>
      <c r="K2326" s="32"/>
      <c r="L2326" s="75">
        <v>2326</v>
      </c>
      <c r="M2326" s="75"/>
      <c r="N2326" s="70"/>
      <c r="O2326" s="77" t="s">
        <v>179</v>
      </c>
      <c r="P2326" s="79">
        <v>45120.861250000002</v>
      </c>
      <c r="Q2326" s="77" t="s">
        <v>2998</v>
      </c>
      <c r="R2326" s="77">
        <v>0</v>
      </c>
      <c r="S2326" s="77">
        <v>1</v>
      </c>
      <c r="T2326" s="77">
        <v>0</v>
      </c>
      <c r="U2326" s="77">
        <v>0</v>
      </c>
      <c r="V2326" s="77">
        <v>532</v>
      </c>
      <c r="W2326" s="82" t="s">
        <v>4833</v>
      </c>
      <c r="X2326" s="80" t="str">
        <f>HYPERLINK("https://mla.bs/b70a2d2f")</f>
        <v>https://mla.bs/b70a2d2f</v>
      </c>
      <c r="Y2326" s="77" t="s">
        <v>6506</v>
      </c>
      <c r="Z2326" s="77"/>
      <c r="AA2326" s="77"/>
      <c r="AB2326" s="77"/>
      <c r="AC2326" s="82" t="s">
        <v>7757</v>
      </c>
      <c r="AD2326" s="77" t="s">
        <v>7788</v>
      </c>
      <c r="AE2326" s="80" t="str">
        <f>HYPERLINK("https://twitter.com/einvestidor/status/1679591580791971841")</f>
        <v>https://twitter.com/einvestidor/status/1679591580791971841</v>
      </c>
      <c r="AF2326" s="79">
        <v>45120.861250000002</v>
      </c>
      <c r="AG2326" s="85">
        <v>45120</v>
      </c>
      <c r="AH2326" s="82" t="s">
        <v>9681</v>
      </c>
      <c r="AI2326" s="77" t="b">
        <v>0</v>
      </c>
      <c r="AJ2326" s="77"/>
      <c r="AK2326" s="77"/>
      <c r="AL2326" s="77"/>
      <c r="AM2326" s="77"/>
      <c r="AN2326" s="77"/>
      <c r="AO2326" s="77"/>
      <c r="AP2326" s="77"/>
      <c r="AQ2326" s="77"/>
      <c r="AR2326" s="77"/>
      <c r="AS2326" s="77"/>
      <c r="AT2326" s="77"/>
      <c r="AU2326" s="77"/>
      <c r="AV2326" s="80" t="str">
        <f>HYPERLINK("https://pbs.twimg.com/profile_images/1241147984924082183/gZgx_hL-_normal.jpg")</f>
        <v>https://pbs.twimg.com/profile_images/1241147984924082183/gZgx_hL-_normal.jpg</v>
      </c>
      <c r="AW2326" s="82" t="s">
        <v>13922</v>
      </c>
      <c r="AX2326" s="82" t="s">
        <v>13922</v>
      </c>
      <c r="AY2326" s="77"/>
      <c r="AZ2326" s="82" t="s">
        <v>15984</v>
      </c>
      <c r="BA2326" s="82" t="s">
        <v>15984</v>
      </c>
      <c r="BB2326" s="82" t="s">
        <v>15984</v>
      </c>
      <c r="BC2326" s="82" t="s">
        <v>13922</v>
      </c>
      <c r="BD2326" s="82" t="s">
        <v>15979</v>
      </c>
      <c r="BE2326" s="77"/>
      <c r="BF2326" s="77"/>
      <c r="BG2326" s="77"/>
      <c r="BH2326" s="77"/>
      <c r="BI2326" s="77"/>
    </row>
    <row r="2327" spans="1:61" x14ac:dyDescent="0.25">
      <c r="A2327" s="62" t="s">
        <v>387</v>
      </c>
      <c r="B2327" s="62" t="s">
        <v>387</v>
      </c>
      <c r="C2327" s="63"/>
      <c r="D2327" s="64"/>
      <c r="E2327" s="65"/>
      <c r="F2327" s="66"/>
      <c r="G2327" s="63"/>
      <c r="H2327" s="67"/>
      <c r="I2327" s="68"/>
      <c r="J2327" s="68"/>
      <c r="K2327" s="32"/>
      <c r="L2327" s="75">
        <v>2327</v>
      </c>
      <c r="M2327" s="75"/>
      <c r="N2327" s="70"/>
      <c r="O2327" s="77" t="s">
        <v>179</v>
      </c>
      <c r="P2327" s="79">
        <v>45120.834027777775</v>
      </c>
      <c r="Q2327" s="77" t="s">
        <v>2999</v>
      </c>
      <c r="R2327" s="77">
        <v>2</v>
      </c>
      <c r="S2327" s="77">
        <v>5</v>
      </c>
      <c r="T2327" s="77">
        <v>0</v>
      </c>
      <c r="U2327" s="77">
        <v>1</v>
      </c>
      <c r="V2327" s="77">
        <v>916</v>
      </c>
      <c r="W2327" s="82" t="s">
        <v>4833</v>
      </c>
      <c r="X2327" s="80" t="str">
        <f>HYPERLINK("https://mla.bs/71f48a89")</f>
        <v>https://mla.bs/71f48a89</v>
      </c>
      <c r="Y2327" s="77" t="s">
        <v>6506</v>
      </c>
      <c r="Z2327" s="77"/>
      <c r="AA2327" s="77"/>
      <c r="AB2327" s="77"/>
      <c r="AC2327" s="82" t="s">
        <v>7757</v>
      </c>
      <c r="AD2327" s="77" t="s">
        <v>7788</v>
      </c>
      <c r="AE2327" s="80" t="str">
        <f>HYPERLINK("https://twitter.com/einvestidor/status/1679581714920747009")</f>
        <v>https://twitter.com/einvestidor/status/1679581714920747009</v>
      </c>
      <c r="AF2327" s="79">
        <v>45120.834027777775</v>
      </c>
      <c r="AG2327" s="85">
        <v>45120</v>
      </c>
      <c r="AH2327" s="82" t="s">
        <v>9682</v>
      </c>
      <c r="AI2327" s="77" t="b">
        <v>0</v>
      </c>
      <c r="AJ2327" s="77"/>
      <c r="AK2327" s="77"/>
      <c r="AL2327" s="77"/>
      <c r="AM2327" s="77"/>
      <c r="AN2327" s="77"/>
      <c r="AO2327" s="77"/>
      <c r="AP2327" s="77"/>
      <c r="AQ2327" s="77"/>
      <c r="AR2327" s="77"/>
      <c r="AS2327" s="77"/>
      <c r="AT2327" s="77"/>
      <c r="AU2327" s="77"/>
      <c r="AV2327" s="80" t="str">
        <f>HYPERLINK("https://pbs.twimg.com/profile_images/1241147984924082183/gZgx_hL-_normal.jpg")</f>
        <v>https://pbs.twimg.com/profile_images/1241147984924082183/gZgx_hL-_normal.jpg</v>
      </c>
      <c r="AW2327" s="82" t="s">
        <v>13923</v>
      </c>
      <c r="AX2327" s="82" t="s">
        <v>13923</v>
      </c>
      <c r="AY2327" s="77"/>
      <c r="AZ2327" s="82" t="s">
        <v>15984</v>
      </c>
      <c r="BA2327" s="82" t="s">
        <v>15984</v>
      </c>
      <c r="BB2327" s="82" t="s">
        <v>15984</v>
      </c>
      <c r="BC2327" s="82" t="s">
        <v>13923</v>
      </c>
      <c r="BD2327" s="82" t="s">
        <v>15979</v>
      </c>
      <c r="BE2327" s="77"/>
      <c r="BF2327" s="77"/>
      <c r="BG2327" s="77"/>
      <c r="BH2327" s="77"/>
      <c r="BI2327" s="77"/>
    </row>
    <row r="2328" spans="1:61" x14ac:dyDescent="0.25">
      <c r="A2328" s="62" t="s">
        <v>387</v>
      </c>
      <c r="B2328" s="62" t="s">
        <v>387</v>
      </c>
      <c r="C2328" s="63"/>
      <c r="D2328" s="64"/>
      <c r="E2328" s="65"/>
      <c r="F2328" s="66"/>
      <c r="G2328" s="63"/>
      <c r="H2328" s="67"/>
      <c r="I2328" s="68"/>
      <c r="J2328" s="68"/>
      <c r="K2328" s="32"/>
      <c r="L2328" s="75">
        <v>2328</v>
      </c>
      <c r="M2328" s="75"/>
      <c r="N2328" s="70"/>
      <c r="O2328" s="77" t="s">
        <v>179</v>
      </c>
      <c r="P2328" s="79">
        <v>45120.806111111109</v>
      </c>
      <c r="Q2328" s="77" t="s">
        <v>3000</v>
      </c>
      <c r="R2328" s="77">
        <v>0</v>
      </c>
      <c r="S2328" s="77">
        <v>0</v>
      </c>
      <c r="T2328" s="77">
        <v>0</v>
      </c>
      <c r="U2328" s="77">
        <v>0</v>
      </c>
      <c r="V2328" s="77">
        <v>504</v>
      </c>
      <c r="W2328" s="82" t="s">
        <v>4833</v>
      </c>
      <c r="X2328" s="80" t="str">
        <f>HYPERLINK("https://mla.bs/5d5501d1")</f>
        <v>https://mla.bs/5d5501d1</v>
      </c>
      <c r="Y2328" s="77" t="s">
        <v>6506</v>
      </c>
      <c r="Z2328" s="77"/>
      <c r="AA2328" s="77"/>
      <c r="AB2328" s="77"/>
      <c r="AC2328" s="82" t="s">
        <v>7757</v>
      </c>
      <c r="AD2328" s="77" t="s">
        <v>7788</v>
      </c>
      <c r="AE2328" s="80" t="str">
        <f>HYPERLINK("https://twitter.com/einvestidor/status/1679571597101879297")</f>
        <v>https://twitter.com/einvestidor/status/1679571597101879297</v>
      </c>
      <c r="AF2328" s="79">
        <v>45120.806111111109</v>
      </c>
      <c r="AG2328" s="85">
        <v>45120</v>
      </c>
      <c r="AH2328" s="82" t="s">
        <v>9683</v>
      </c>
      <c r="AI2328" s="77" t="b">
        <v>0</v>
      </c>
      <c r="AJ2328" s="77"/>
      <c r="AK2328" s="77"/>
      <c r="AL2328" s="77"/>
      <c r="AM2328" s="77"/>
      <c r="AN2328" s="77"/>
      <c r="AO2328" s="77"/>
      <c r="AP2328" s="77"/>
      <c r="AQ2328" s="77"/>
      <c r="AR2328" s="77"/>
      <c r="AS2328" s="77"/>
      <c r="AT2328" s="77"/>
      <c r="AU2328" s="77"/>
      <c r="AV2328" s="80" t="str">
        <f>HYPERLINK("https://pbs.twimg.com/profile_images/1241147984924082183/gZgx_hL-_normal.jpg")</f>
        <v>https://pbs.twimg.com/profile_images/1241147984924082183/gZgx_hL-_normal.jpg</v>
      </c>
      <c r="AW2328" s="82" t="s">
        <v>13924</v>
      </c>
      <c r="AX2328" s="82" t="s">
        <v>13924</v>
      </c>
      <c r="AY2328" s="77"/>
      <c r="AZ2328" s="82" t="s">
        <v>15984</v>
      </c>
      <c r="BA2328" s="82" t="s">
        <v>15984</v>
      </c>
      <c r="BB2328" s="82" t="s">
        <v>15984</v>
      </c>
      <c r="BC2328" s="82" t="s">
        <v>13924</v>
      </c>
      <c r="BD2328" s="82" t="s">
        <v>15979</v>
      </c>
      <c r="BE2328" s="77"/>
      <c r="BF2328" s="77"/>
      <c r="BG2328" s="77"/>
      <c r="BH2328" s="77"/>
      <c r="BI2328" s="77"/>
    </row>
    <row r="2329" spans="1:61" x14ac:dyDescent="0.25">
      <c r="A2329" s="62" t="s">
        <v>387</v>
      </c>
      <c r="B2329" s="62" t="s">
        <v>387</v>
      </c>
      <c r="C2329" s="63"/>
      <c r="D2329" s="64"/>
      <c r="E2329" s="65"/>
      <c r="F2329" s="66"/>
      <c r="G2329" s="63"/>
      <c r="H2329" s="67"/>
      <c r="I2329" s="68"/>
      <c r="J2329" s="68"/>
      <c r="K2329" s="32"/>
      <c r="L2329" s="75">
        <v>2329</v>
      </c>
      <c r="M2329" s="75"/>
      <c r="N2329" s="70"/>
      <c r="O2329" s="77" t="s">
        <v>179</v>
      </c>
      <c r="P2329" s="79">
        <v>45120.777858796297</v>
      </c>
      <c r="Q2329" s="77" t="s">
        <v>3001</v>
      </c>
      <c r="R2329" s="77">
        <v>1</v>
      </c>
      <c r="S2329" s="77">
        <v>1</v>
      </c>
      <c r="T2329" s="77">
        <v>0</v>
      </c>
      <c r="U2329" s="77">
        <v>1</v>
      </c>
      <c r="V2329" s="77">
        <v>644</v>
      </c>
      <c r="W2329" s="82" t="s">
        <v>4833</v>
      </c>
      <c r="X2329" s="80" t="str">
        <f>HYPERLINK("https://mla.bs/af87cddc")</f>
        <v>https://mla.bs/af87cddc</v>
      </c>
      <c r="Y2329" s="77" t="s">
        <v>6506</v>
      </c>
      <c r="Z2329" s="77"/>
      <c r="AA2329" s="77"/>
      <c r="AB2329" s="77"/>
      <c r="AC2329" s="82" t="s">
        <v>7757</v>
      </c>
      <c r="AD2329" s="77" t="s">
        <v>7788</v>
      </c>
      <c r="AE2329" s="80" t="str">
        <f>HYPERLINK("https://twitter.com/einvestidor/status/1679561359917195284")</f>
        <v>https://twitter.com/einvestidor/status/1679561359917195284</v>
      </c>
      <c r="AF2329" s="79">
        <v>45120.777858796297</v>
      </c>
      <c r="AG2329" s="85">
        <v>45120</v>
      </c>
      <c r="AH2329" s="82" t="s">
        <v>9684</v>
      </c>
      <c r="AI2329" s="77" t="b">
        <v>0</v>
      </c>
      <c r="AJ2329" s="77"/>
      <c r="AK2329" s="77"/>
      <c r="AL2329" s="77"/>
      <c r="AM2329" s="77"/>
      <c r="AN2329" s="77"/>
      <c r="AO2329" s="77"/>
      <c r="AP2329" s="77"/>
      <c r="AQ2329" s="77"/>
      <c r="AR2329" s="77"/>
      <c r="AS2329" s="77"/>
      <c r="AT2329" s="77"/>
      <c r="AU2329" s="77"/>
      <c r="AV2329" s="80" t="str">
        <f>HYPERLINK("https://pbs.twimg.com/profile_images/1241147984924082183/gZgx_hL-_normal.jpg")</f>
        <v>https://pbs.twimg.com/profile_images/1241147984924082183/gZgx_hL-_normal.jpg</v>
      </c>
      <c r="AW2329" s="82" t="s">
        <v>13925</v>
      </c>
      <c r="AX2329" s="82" t="s">
        <v>13925</v>
      </c>
      <c r="AY2329" s="77"/>
      <c r="AZ2329" s="82" t="s">
        <v>15984</v>
      </c>
      <c r="BA2329" s="82" t="s">
        <v>15984</v>
      </c>
      <c r="BB2329" s="82" t="s">
        <v>15984</v>
      </c>
      <c r="BC2329" s="82" t="s">
        <v>13925</v>
      </c>
      <c r="BD2329" s="82" t="s">
        <v>15979</v>
      </c>
      <c r="BE2329" s="77"/>
      <c r="BF2329" s="77"/>
      <c r="BG2329" s="77"/>
      <c r="BH2329" s="77"/>
      <c r="BI2329" s="77"/>
    </row>
    <row r="2330" spans="1:61" x14ac:dyDescent="0.25">
      <c r="A2330" s="62" t="s">
        <v>387</v>
      </c>
      <c r="B2330" s="62" t="s">
        <v>387</v>
      </c>
      <c r="C2330" s="63"/>
      <c r="D2330" s="64"/>
      <c r="E2330" s="65"/>
      <c r="F2330" s="66"/>
      <c r="G2330" s="63"/>
      <c r="H2330" s="67"/>
      <c r="I2330" s="68"/>
      <c r="J2330" s="68"/>
      <c r="K2330" s="32"/>
      <c r="L2330" s="75">
        <v>2330</v>
      </c>
      <c r="M2330" s="75"/>
      <c r="N2330" s="70"/>
      <c r="O2330" s="77" t="s">
        <v>179</v>
      </c>
      <c r="P2330" s="79">
        <v>45120.763981481483</v>
      </c>
      <c r="Q2330" s="77" t="s">
        <v>3002</v>
      </c>
      <c r="R2330" s="77">
        <v>0</v>
      </c>
      <c r="S2330" s="77">
        <v>4</v>
      </c>
      <c r="T2330" s="77">
        <v>0</v>
      </c>
      <c r="U2330" s="77">
        <v>0</v>
      </c>
      <c r="V2330" s="77">
        <v>549</v>
      </c>
      <c r="W2330" s="82" t="s">
        <v>4833</v>
      </c>
      <c r="X2330" s="80" t="str">
        <f>HYPERLINK("https://mla.bs/c72afaaf")</f>
        <v>https://mla.bs/c72afaaf</v>
      </c>
      <c r="Y2330" s="77" t="s">
        <v>6506</v>
      </c>
      <c r="Z2330" s="77"/>
      <c r="AA2330" s="77"/>
      <c r="AB2330" s="77"/>
      <c r="AC2330" s="82" t="s">
        <v>7757</v>
      </c>
      <c r="AD2330" s="77" t="s">
        <v>7788</v>
      </c>
      <c r="AE2330" s="80" t="str">
        <f>HYPERLINK("https://twitter.com/einvestidor/status/1679556330237861920")</f>
        <v>https://twitter.com/einvestidor/status/1679556330237861920</v>
      </c>
      <c r="AF2330" s="79">
        <v>45120.763981481483</v>
      </c>
      <c r="AG2330" s="85">
        <v>45120</v>
      </c>
      <c r="AH2330" s="82" t="s">
        <v>9685</v>
      </c>
      <c r="AI2330" s="77" t="b">
        <v>0</v>
      </c>
      <c r="AJ2330" s="77"/>
      <c r="AK2330" s="77"/>
      <c r="AL2330" s="77"/>
      <c r="AM2330" s="77"/>
      <c r="AN2330" s="77"/>
      <c r="AO2330" s="77"/>
      <c r="AP2330" s="77"/>
      <c r="AQ2330" s="77"/>
      <c r="AR2330" s="77"/>
      <c r="AS2330" s="77"/>
      <c r="AT2330" s="77"/>
      <c r="AU2330" s="77"/>
      <c r="AV2330" s="80" t="str">
        <f>HYPERLINK("https://pbs.twimg.com/profile_images/1241147984924082183/gZgx_hL-_normal.jpg")</f>
        <v>https://pbs.twimg.com/profile_images/1241147984924082183/gZgx_hL-_normal.jpg</v>
      </c>
      <c r="AW2330" s="82" t="s">
        <v>13926</v>
      </c>
      <c r="AX2330" s="82" t="s">
        <v>13926</v>
      </c>
      <c r="AY2330" s="77"/>
      <c r="AZ2330" s="82" t="s">
        <v>15984</v>
      </c>
      <c r="BA2330" s="82" t="s">
        <v>15984</v>
      </c>
      <c r="BB2330" s="82" t="s">
        <v>15984</v>
      </c>
      <c r="BC2330" s="82" t="s">
        <v>13926</v>
      </c>
      <c r="BD2330" s="82" t="s">
        <v>15979</v>
      </c>
      <c r="BE2330" s="77"/>
      <c r="BF2330" s="77"/>
      <c r="BG2330" s="77"/>
      <c r="BH2330" s="77"/>
      <c r="BI2330" s="77"/>
    </row>
    <row r="2331" spans="1:61" x14ac:dyDescent="0.25">
      <c r="A2331" s="62" t="s">
        <v>387</v>
      </c>
      <c r="B2331" s="62" t="s">
        <v>387</v>
      </c>
      <c r="C2331" s="63"/>
      <c r="D2331" s="64"/>
      <c r="E2331" s="65"/>
      <c r="F2331" s="66"/>
      <c r="G2331" s="63"/>
      <c r="H2331" s="67"/>
      <c r="I2331" s="68"/>
      <c r="J2331" s="68"/>
      <c r="K2331" s="32"/>
      <c r="L2331" s="75">
        <v>2331</v>
      </c>
      <c r="M2331" s="75"/>
      <c r="N2331" s="70"/>
      <c r="O2331" s="77" t="s">
        <v>179</v>
      </c>
      <c r="P2331" s="79">
        <v>45120.750497685185</v>
      </c>
      <c r="Q2331" s="77" t="s">
        <v>3003</v>
      </c>
      <c r="R2331" s="77">
        <v>0</v>
      </c>
      <c r="S2331" s="77">
        <v>0</v>
      </c>
      <c r="T2331" s="77">
        <v>0</v>
      </c>
      <c r="U2331" s="77">
        <v>0</v>
      </c>
      <c r="V2331" s="77">
        <v>496</v>
      </c>
      <c r="W2331" s="82" t="s">
        <v>4833</v>
      </c>
      <c r="X2331" s="80" t="str">
        <f>HYPERLINK("https://mla.bs/d1880321")</f>
        <v>https://mla.bs/d1880321</v>
      </c>
      <c r="Y2331" s="77" t="s">
        <v>6506</v>
      </c>
      <c r="Z2331" s="77"/>
      <c r="AA2331" s="77"/>
      <c r="AB2331" s="77"/>
      <c r="AC2331" s="82" t="s">
        <v>7757</v>
      </c>
      <c r="AD2331" s="77" t="s">
        <v>7788</v>
      </c>
      <c r="AE2331" s="80" t="str">
        <f>HYPERLINK("https://twitter.com/einvestidor/status/1679551445694029839")</f>
        <v>https://twitter.com/einvestidor/status/1679551445694029839</v>
      </c>
      <c r="AF2331" s="79">
        <v>45120.750497685185</v>
      </c>
      <c r="AG2331" s="85">
        <v>45120</v>
      </c>
      <c r="AH2331" s="82" t="s">
        <v>9686</v>
      </c>
      <c r="AI2331" s="77" t="b">
        <v>0</v>
      </c>
      <c r="AJ2331" s="77"/>
      <c r="AK2331" s="77"/>
      <c r="AL2331" s="77"/>
      <c r="AM2331" s="77"/>
      <c r="AN2331" s="77"/>
      <c r="AO2331" s="77"/>
      <c r="AP2331" s="77"/>
      <c r="AQ2331" s="77"/>
      <c r="AR2331" s="77"/>
      <c r="AS2331" s="77"/>
      <c r="AT2331" s="77"/>
      <c r="AU2331" s="77"/>
      <c r="AV2331" s="80" t="str">
        <f>HYPERLINK("https://pbs.twimg.com/profile_images/1241147984924082183/gZgx_hL-_normal.jpg")</f>
        <v>https://pbs.twimg.com/profile_images/1241147984924082183/gZgx_hL-_normal.jpg</v>
      </c>
      <c r="AW2331" s="82" t="s">
        <v>13927</v>
      </c>
      <c r="AX2331" s="82" t="s">
        <v>13927</v>
      </c>
      <c r="AY2331" s="77"/>
      <c r="AZ2331" s="82" t="s">
        <v>15984</v>
      </c>
      <c r="BA2331" s="82" t="s">
        <v>15984</v>
      </c>
      <c r="BB2331" s="82" t="s">
        <v>15984</v>
      </c>
      <c r="BC2331" s="82" t="s">
        <v>13927</v>
      </c>
      <c r="BD2331" s="82" t="s">
        <v>15979</v>
      </c>
      <c r="BE2331" s="77"/>
      <c r="BF2331" s="77"/>
      <c r="BG2331" s="77"/>
      <c r="BH2331" s="77"/>
      <c r="BI2331" s="77"/>
    </row>
    <row r="2332" spans="1:61" x14ac:dyDescent="0.25">
      <c r="A2332" s="62" t="s">
        <v>387</v>
      </c>
      <c r="B2332" s="62" t="s">
        <v>387</v>
      </c>
      <c r="C2332" s="63"/>
      <c r="D2332" s="64"/>
      <c r="E2332" s="65"/>
      <c r="F2332" s="66"/>
      <c r="G2332" s="63"/>
      <c r="H2332" s="67"/>
      <c r="I2332" s="68"/>
      <c r="J2332" s="68"/>
      <c r="K2332" s="32"/>
      <c r="L2332" s="75">
        <v>2332</v>
      </c>
      <c r="M2332" s="75"/>
      <c r="N2332" s="70"/>
      <c r="O2332" s="77" t="s">
        <v>179</v>
      </c>
      <c r="P2332" s="79">
        <v>45119.01390046296</v>
      </c>
      <c r="Q2332" s="77" t="s">
        <v>3004</v>
      </c>
      <c r="R2332" s="77">
        <v>0</v>
      </c>
      <c r="S2332" s="77">
        <v>2</v>
      </c>
      <c r="T2332" s="77">
        <v>0</v>
      </c>
      <c r="U2332" s="77">
        <v>0</v>
      </c>
      <c r="V2332" s="77">
        <v>892</v>
      </c>
      <c r="W2332" s="82" t="s">
        <v>5970</v>
      </c>
      <c r="X2332" s="80" t="str">
        <f>HYPERLINK("https://mla.bs/4a5bb4bb")</f>
        <v>https://mla.bs/4a5bb4bb</v>
      </c>
      <c r="Y2332" s="77" t="s">
        <v>6506</v>
      </c>
      <c r="Z2332" s="77"/>
      <c r="AA2332" s="77"/>
      <c r="AB2332" s="77"/>
      <c r="AC2332" s="82" t="s">
        <v>7757</v>
      </c>
      <c r="AD2332" s="77" t="s">
        <v>7788</v>
      </c>
      <c r="AE2332" s="80" t="str">
        <f>HYPERLINK("https://twitter.com/einvestidor/status/1678922120972124164")</f>
        <v>https://twitter.com/einvestidor/status/1678922120972124164</v>
      </c>
      <c r="AF2332" s="79">
        <v>45119.01390046296</v>
      </c>
      <c r="AG2332" s="85">
        <v>45119</v>
      </c>
      <c r="AH2332" s="82" t="s">
        <v>9687</v>
      </c>
      <c r="AI2332" s="77" t="b">
        <v>0</v>
      </c>
      <c r="AJ2332" s="77"/>
      <c r="AK2332" s="77"/>
      <c r="AL2332" s="77"/>
      <c r="AM2332" s="77"/>
      <c r="AN2332" s="77"/>
      <c r="AO2332" s="77"/>
      <c r="AP2332" s="77"/>
      <c r="AQ2332" s="77"/>
      <c r="AR2332" s="77"/>
      <c r="AS2332" s="77"/>
      <c r="AT2332" s="77"/>
      <c r="AU2332" s="77"/>
      <c r="AV2332" s="80" t="str">
        <f>HYPERLINK("https://pbs.twimg.com/profile_images/1241147984924082183/gZgx_hL-_normal.jpg")</f>
        <v>https://pbs.twimg.com/profile_images/1241147984924082183/gZgx_hL-_normal.jpg</v>
      </c>
      <c r="AW2332" s="82" t="s">
        <v>13928</v>
      </c>
      <c r="AX2332" s="82" t="s">
        <v>13928</v>
      </c>
      <c r="AY2332" s="77"/>
      <c r="AZ2332" s="82" t="s">
        <v>15984</v>
      </c>
      <c r="BA2332" s="82" t="s">
        <v>15984</v>
      </c>
      <c r="BB2332" s="82" t="s">
        <v>15984</v>
      </c>
      <c r="BC2332" s="82" t="s">
        <v>13928</v>
      </c>
      <c r="BD2332" s="82" t="s">
        <v>15979</v>
      </c>
      <c r="BE2332" s="77"/>
      <c r="BF2332" s="77"/>
      <c r="BG2332" s="77"/>
      <c r="BH2332" s="77"/>
      <c r="BI2332" s="77"/>
    </row>
    <row r="2333" spans="1:61" x14ac:dyDescent="0.25">
      <c r="A2333" s="62" t="s">
        <v>387</v>
      </c>
      <c r="B2333" s="62" t="s">
        <v>387</v>
      </c>
      <c r="C2333" s="63"/>
      <c r="D2333" s="64"/>
      <c r="E2333" s="65"/>
      <c r="F2333" s="66"/>
      <c r="G2333" s="63"/>
      <c r="H2333" s="67"/>
      <c r="I2333" s="68"/>
      <c r="J2333" s="68"/>
      <c r="K2333" s="32"/>
      <c r="L2333" s="75">
        <v>2333</v>
      </c>
      <c r="M2333" s="75"/>
      <c r="N2333" s="70"/>
      <c r="O2333" s="77" t="s">
        <v>179</v>
      </c>
      <c r="P2333" s="79">
        <v>45119.000439814816</v>
      </c>
      <c r="Q2333" s="77" t="s">
        <v>3005</v>
      </c>
      <c r="R2333" s="77">
        <v>0</v>
      </c>
      <c r="S2333" s="77">
        <v>0</v>
      </c>
      <c r="T2333" s="77">
        <v>0</v>
      </c>
      <c r="U2333" s="77">
        <v>0</v>
      </c>
      <c r="V2333" s="77">
        <v>732</v>
      </c>
      <c r="W2333" s="82" t="s">
        <v>4833</v>
      </c>
      <c r="X2333" s="80" t="str">
        <f>HYPERLINK("https://mla.bs/61f90d4b")</f>
        <v>https://mla.bs/61f90d4b</v>
      </c>
      <c r="Y2333" s="77" t="s">
        <v>6506</v>
      </c>
      <c r="Z2333" s="77"/>
      <c r="AA2333" s="77"/>
      <c r="AB2333" s="77"/>
      <c r="AC2333" s="82" t="s">
        <v>7757</v>
      </c>
      <c r="AD2333" s="77" t="s">
        <v>7788</v>
      </c>
      <c r="AE2333" s="80" t="str">
        <f>HYPERLINK("https://twitter.com/einvestidor/status/1678917244808581120")</f>
        <v>https://twitter.com/einvestidor/status/1678917244808581120</v>
      </c>
      <c r="AF2333" s="79">
        <v>45119.000439814816</v>
      </c>
      <c r="AG2333" s="85">
        <v>45119</v>
      </c>
      <c r="AH2333" s="82" t="s">
        <v>9688</v>
      </c>
      <c r="AI2333" s="77" t="b">
        <v>0</v>
      </c>
      <c r="AJ2333" s="77"/>
      <c r="AK2333" s="77"/>
      <c r="AL2333" s="77"/>
      <c r="AM2333" s="77"/>
      <c r="AN2333" s="77"/>
      <c r="AO2333" s="77"/>
      <c r="AP2333" s="77"/>
      <c r="AQ2333" s="77"/>
      <c r="AR2333" s="77"/>
      <c r="AS2333" s="77"/>
      <c r="AT2333" s="77"/>
      <c r="AU2333" s="77"/>
      <c r="AV2333" s="80" t="str">
        <f>HYPERLINK("https://pbs.twimg.com/profile_images/1241147984924082183/gZgx_hL-_normal.jpg")</f>
        <v>https://pbs.twimg.com/profile_images/1241147984924082183/gZgx_hL-_normal.jpg</v>
      </c>
      <c r="AW2333" s="82" t="s">
        <v>13929</v>
      </c>
      <c r="AX2333" s="82" t="s">
        <v>13929</v>
      </c>
      <c r="AY2333" s="77"/>
      <c r="AZ2333" s="82" t="s">
        <v>15984</v>
      </c>
      <c r="BA2333" s="82" t="s">
        <v>15984</v>
      </c>
      <c r="BB2333" s="82" t="s">
        <v>15984</v>
      </c>
      <c r="BC2333" s="82" t="s">
        <v>13929</v>
      </c>
      <c r="BD2333" s="82" t="s">
        <v>15979</v>
      </c>
      <c r="BE2333" s="77"/>
      <c r="BF2333" s="77"/>
      <c r="BG2333" s="77"/>
      <c r="BH2333" s="77"/>
      <c r="BI2333" s="77"/>
    </row>
    <row r="2334" spans="1:61" x14ac:dyDescent="0.25">
      <c r="A2334" s="62" t="s">
        <v>387</v>
      </c>
      <c r="B2334" s="62" t="s">
        <v>387</v>
      </c>
      <c r="C2334" s="63"/>
      <c r="D2334" s="64"/>
      <c r="E2334" s="65"/>
      <c r="F2334" s="66"/>
      <c r="G2334" s="63"/>
      <c r="H2334" s="67"/>
      <c r="I2334" s="68"/>
      <c r="J2334" s="68"/>
      <c r="K2334" s="32"/>
      <c r="L2334" s="75">
        <v>2334</v>
      </c>
      <c r="M2334" s="75"/>
      <c r="N2334" s="70"/>
      <c r="O2334" s="77" t="s">
        <v>179</v>
      </c>
      <c r="P2334" s="79">
        <v>45118.944479166668</v>
      </c>
      <c r="Q2334" s="77" t="s">
        <v>3006</v>
      </c>
      <c r="R2334" s="77">
        <v>0</v>
      </c>
      <c r="S2334" s="77">
        <v>0</v>
      </c>
      <c r="T2334" s="77">
        <v>0</v>
      </c>
      <c r="U2334" s="77">
        <v>0</v>
      </c>
      <c r="V2334" s="77">
        <v>630</v>
      </c>
      <c r="W2334" s="82" t="s">
        <v>4833</v>
      </c>
      <c r="X2334" s="80" t="str">
        <f>HYPERLINK("https://mla.bs/735e4967")</f>
        <v>https://mla.bs/735e4967</v>
      </c>
      <c r="Y2334" s="77" t="s">
        <v>6506</v>
      </c>
      <c r="Z2334" s="77"/>
      <c r="AA2334" s="77"/>
      <c r="AB2334" s="77"/>
      <c r="AC2334" s="82" t="s">
        <v>7757</v>
      </c>
      <c r="AD2334" s="77" t="s">
        <v>7788</v>
      </c>
      <c r="AE2334" s="80" t="str">
        <f>HYPERLINK("https://twitter.com/einvestidor/status/1678896965080195072")</f>
        <v>https://twitter.com/einvestidor/status/1678896965080195072</v>
      </c>
      <c r="AF2334" s="79">
        <v>45118.944479166668</v>
      </c>
      <c r="AG2334" s="85">
        <v>45118</v>
      </c>
      <c r="AH2334" s="82" t="s">
        <v>8715</v>
      </c>
      <c r="AI2334" s="77" t="b">
        <v>0</v>
      </c>
      <c r="AJ2334" s="77"/>
      <c r="AK2334" s="77"/>
      <c r="AL2334" s="77"/>
      <c r="AM2334" s="77"/>
      <c r="AN2334" s="77"/>
      <c r="AO2334" s="77"/>
      <c r="AP2334" s="77"/>
      <c r="AQ2334" s="77"/>
      <c r="AR2334" s="77"/>
      <c r="AS2334" s="77"/>
      <c r="AT2334" s="77"/>
      <c r="AU2334" s="77"/>
      <c r="AV2334" s="80" t="str">
        <f>HYPERLINK("https://pbs.twimg.com/profile_images/1241147984924082183/gZgx_hL-_normal.jpg")</f>
        <v>https://pbs.twimg.com/profile_images/1241147984924082183/gZgx_hL-_normal.jpg</v>
      </c>
      <c r="AW2334" s="82" t="s">
        <v>13930</v>
      </c>
      <c r="AX2334" s="82" t="s">
        <v>13930</v>
      </c>
      <c r="AY2334" s="77"/>
      <c r="AZ2334" s="82" t="s">
        <v>15984</v>
      </c>
      <c r="BA2334" s="82" t="s">
        <v>15984</v>
      </c>
      <c r="BB2334" s="82" t="s">
        <v>15984</v>
      </c>
      <c r="BC2334" s="82" t="s">
        <v>13930</v>
      </c>
      <c r="BD2334" s="82" t="s">
        <v>15979</v>
      </c>
      <c r="BE2334" s="77"/>
      <c r="BF2334" s="77"/>
      <c r="BG2334" s="77"/>
      <c r="BH2334" s="77"/>
      <c r="BI2334" s="77"/>
    </row>
    <row r="2335" spans="1:61" x14ac:dyDescent="0.25">
      <c r="A2335" s="62" t="s">
        <v>387</v>
      </c>
      <c r="B2335" s="62" t="s">
        <v>387</v>
      </c>
      <c r="C2335" s="63"/>
      <c r="D2335" s="64"/>
      <c r="E2335" s="65"/>
      <c r="F2335" s="66"/>
      <c r="G2335" s="63"/>
      <c r="H2335" s="67"/>
      <c r="I2335" s="68"/>
      <c r="J2335" s="68"/>
      <c r="K2335" s="32"/>
      <c r="L2335" s="75">
        <v>2335</v>
      </c>
      <c r="M2335" s="75"/>
      <c r="N2335" s="70"/>
      <c r="O2335" s="77" t="s">
        <v>179</v>
      </c>
      <c r="P2335" s="79">
        <v>45118.930810185186</v>
      </c>
      <c r="Q2335" s="77" t="s">
        <v>3007</v>
      </c>
      <c r="R2335" s="77">
        <v>1</v>
      </c>
      <c r="S2335" s="77">
        <v>2</v>
      </c>
      <c r="T2335" s="77">
        <v>0</v>
      </c>
      <c r="U2335" s="77">
        <v>0</v>
      </c>
      <c r="V2335" s="77">
        <v>684</v>
      </c>
      <c r="W2335" s="82" t="s">
        <v>5971</v>
      </c>
      <c r="X2335" s="80" t="str">
        <f>HYPERLINK("https://mla.bs/e9e25ec4")</f>
        <v>https://mla.bs/e9e25ec4</v>
      </c>
      <c r="Y2335" s="77" t="s">
        <v>6506</v>
      </c>
      <c r="Z2335" s="77"/>
      <c r="AA2335" s="77"/>
      <c r="AB2335" s="77"/>
      <c r="AC2335" s="82" t="s">
        <v>7757</v>
      </c>
      <c r="AD2335" s="77" t="s">
        <v>7788</v>
      </c>
      <c r="AE2335" s="80" t="str">
        <f>HYPERLINK("https://twitter.com/einvestidor/status/1678892012135759872")</f>
        <v>https://twitter.com/einvestidor/status/1678892012135759872</v>
      </c>
      <c r="AF2335" s="79">
        <v>45118.930810185186</v>
      </c>
      <c r="AG2335" s="85">
        <v>45118</v>
      </c>
      <c r="AH2335" s="82" t="s">
        <v>9689</v>
      </c>
      <c r="AI2335" s="77" t="b">
        <v>0</v>
      </c>
      <c r="AJ2335" s="77"/>
      <c r="AK2335" s="77"/>
      <c r="AL2335" s="77"/>
      <c r="AM2335" s="77"/>
      <c r="AN2335" s="77"/>
      <c r="AO2335" s="77"/>
      <c r="AP2335" s="77"/>
      <c r="AQ2335" s="77"/>
      <c r="AR2335" s="77"/>
      <c r="AS2335" s="77"/>
      <c r="AT2335" s="77"/>
      <c r="AU2335" s="77"/>
      <c r="AV2335" s="80" t="str">
        <f>HYPERLINK("https://pbs.twimg.com/profile_images/1241147984924082183/gZgx_hL-_normal.jpg")</f>
        <v>https://pbs.twimg.com/profile_images/1241147984924082183/gZgx_hL-_normal.jpg</v>
      </c>
      <c r="AW2335" s="82" t="s">
        <v>13931</v>
      </c>
      <c r="AX2335" s="82" t="s">
        <v>13931</v>
      </c>
      <c r="AY2335" s="77"/>
      <c r="AZ2335" s="82" t="s">
        <v>15984</v>
      </c>
      <c r="BA2335" s="82" t="s">
        <v>15984</v>
      </c>
      <c r="BB2335" s="82" t="s">
        <v>15984</v>
      </c>
      <c r="BC2335" s="82" t="s">
        <v>13931</v>
      </c>
      <c r="BD2335" s="82" t="s">
        <v>15979</v>
      </c>
      <c r="BE2335" s="77"/>
      <c r="BF2335" s="77"/>
      <c r="BG2335" s="77"/>
      <c r="BH2335" s="77"/>
      <c r="BI2335" s="77"/>
    </row>
    <row r="2336" spans="1:61" x14ac:dyDescent="0.25">
      <c r="A2336" s="62" t="s">
        <v>387</v>
      </c>
      <c r="B2336" s="62" t="s">
        <v>387</v>
      </c>
      <c r="C2336" s="63"/>
      <c r="D2336" s="64"/>
      <c r="E2336" s="65"/>
      <c r="F2336" s="66"/>
      <c r="G2336" s="63"/>
      <c r="H2336" s="67"/>
      <c r="I2336" s="68"/>
      <c r="J2336" s="68"/>
      <c r="K2336" s="32"/>
      <c r="L2336" s="75">
        <v>2336</v>
      </c>
      <c r="M2336" s="75"/>
      <c r="N2336" s="70"/>
      <c r="O2336" s="77" t="s">
        <v>179</v>
      </c>
      <c r="P2336" s="79">
        <v>45118.904537037037</v>
      </c>
      <c r="Q2336" s="77" t="s">
        <v>3008</v>
      </c>
      <c r="R2336" s="77">
        <v>0</v>
      </c>
      <c r="S2336" s="77">
        <v>3</v>
      </c>
      <c r="T2336" s="77">
        <v>0</v>
      </c>
      <c r="U2336" s="77">
        <v>0</v>
      </c>
      <c r="V2336" s="77">
        <v>816</v>
      </c>
      <c r="W2336" s="82" t="s">
        <v>5972</v>
      </c>
      <c r="X2336" s="80" t="str">
        <f>HYPERLINK("https://mla.bs/5de706fb")</f>
        <v>https://mla.bs/5de706fb</v>
      </c>
      <c r="Y2336" s="77" t="s">
        <v>6506</v>
      </c>
      <c r="Z2336" s="77"/>
      <c r="AA2336" s="77"/>
      <c r="AB2336" s="77"/>
      <c r="AC2336" s="82" t="s">
        <v>7752</v>
      </c>
      <c r="AD2336" s="77" t="s">
        <v>7788</v>
      </c>
      <c r="AE2336" s="80" t="str">
        <f>HYPERLINK("https://twitter.com/einvestidor/status/1678882491753480194")</f>
        <v>https://twitter.com/einvestidor/status/1678882491753480194</v>
      </c>
      <c r="AF2336" s="79">
        <v>45118.904537037037</v>
      </c>
      <c r="AG2336" s="85">
        <v>45118</v>
      </c>
      <c r="AH2336" s="82" t="s">
        <v>9690</v>
      </c>
      <c r="AI2336" s="77" t="b">
        <v>0</v>
      </c>
      <c r="AJ2336" s="77"/>
      <c r="AK2336" s="77"/>
      <c r="AL2336" s="77"/>
      <c r="AM2336" s="77"/>
      <c r="AN2336" s="77"/>
      <c r="AO2336" s="77"/>
      <c r="AP2336" s="77"/>
      <c r="AQ2336" s="77"/>
      <c r="AR2336" s="77"/>
      <c r="AS2336" s="77"/>
      <c r="AT2336" s="77"/>
      <c r="AU2336" s="77"/>
      <c r="AV2336" s="80" t="str">
        <f>HYPERLINK("https://pbs.twimg.com/profile_images/1241147984924082183/gZgx_hL-_normal.jpg")</f>
        <v>https://pbs.twimg.com/profile_images/1241147984924082183/gZgx_hL-_normal.jpg</v>
      </c>
      <c r="AW2336" s="82" t="s">
        <v>13932</v>
      </c>
      <c r="AX2336" s="82" t="s">
        <v>13932</v>
      </c>
      <c r="AY2336" s="77"/>
      <c r="AZ2336" s="82" t="s">
        <v>15984</v>
      </c>
      <c r="BA2336" s="82" t="s">
        <v>15984</v>
      </c>
      <c r="BB2336" s="82" t="s">
        <v>15984</v>
      </c>
      <c r="BC2336" s="82" t="s">
        <v>13932</v>
      </c>
      <c r="BD2336" s="82" t="s">
        <v>15979</v>
      </c>
      <c r="BE2336" s="77"/>
      <c r="BF2336" s="77"/>
      <c r="BG2336" s="77"/>
      <c r="BH2336" s="77"/>
      <c r="BI2336" s="77"/>
    </row>
    <row r="2337" spans="1:61" x14ac:dyDescent="0.25">
      <c r="A2337" s="62" t="s">
        <v>387</v>
      </c>
      <c r="B2337" s="62" t="s">
        <v>387</v>
      </c>
      <c r="C2337" s="63"/>
      <c r="D2337" s="64"/>
      <c r="E2337" s="65"/>
      <c r="F2337" s="66"/>
      <c r="G2337" s="63"/>
      <c r="H2337" s="67"/>
      <c r="I2337" s="68"/>
      <c r="J2337" s="68"/>
      <c r="K2337" s="32"/>
      <c r="L2337" s="75">
        <v>2337</v>
      </c>
      <c r="M2337" s="75"/>
      <c r="N2337" s="70"/>
      <c r="O2337" s="77" t="s">
        <v>179</v>
      </c>
      <c r="P2337" s="79">
        <v>45175.739583333336</v>
      </c>
      <c r="Q2337" s="77" t="s">
        <v>3009</v>
      </c>
      <c r="R2337" s="77">
        <v>0</v>
      </c>
      <c r="S2337" s="77">
        <v>2</v>
      </c>
      <c r="T2337" s="77">
        <v>0</v>
      </c>
      <c r="U2337" s="77">
        <v>0</v>
      </c>
      <c r="V2337" s="77">
        <v>558</v>
      </c>
      <c r="W2337" s="82" t="s">
        <v>4833</v>
      </c>
      <c r="X2337" s="80" t="str">
        <f>HYPERLINK("https://einvestidor.estadao.com.br/ultimas/prejuizo-c6-bank-2023//?utm_source=twitter&amp;utm_medium=organic&amp;utm_campaign=&amp;utm_content=materia")</f>
        <v>https://einvestidor.estadao.com.br/ultimas/prejuizo-c6-bank-2023//?utm_source=twitter&amp;utm_medium=organic&amp;utm_campaign=&amp;utm_content=materia</v>
      </c>
      <c r="Y2337" s="77" t="s">
        <v>6470</v>
      </c>
      <c r="Z2337" s="77"/>
      <c r="AA2337" s="77"/>
      <c r="AB2337" s="77"/>
      <c r="AC2337" s="82" t="s">
        <v>7750</v>
      </c>
      <c r="AD2337" s="77" t="s">
        <v>7788</v>
      </c>
      <c r="AE2337" s="80" t="str">
        <f>HYPERLINK("https://twitter.com/einvestidor/status/1699478820687077627")</f>
        <v>https://twitter.com/einvestidor/status/1699478820687077627</v>
      </c>
      <c r="AF2337" s="79">
        <v>45175.739583333336</v>
      </c>
      <c r="AG2337" s="85">
        <v>45175</v>
      </c>
      <c r="AH2337" s="82" t="s">
        <v>9626</v>
      </c>
      <c r="AI2337" s="77" t="b">
        <v>0</v>
      </c>
      <c r="AJ2337" s="77"/>
      <c r="AK2337" s="77"/>
      <c r="AL2337" s="77"/>
      <c r="AM2337" s="77"/>
      <c r="AN2337" s="77"/>
      <c r="AO2337" s="77"/>
      <c r="AP2337" s="77"/>
      <c r="AQ2337" s="77"/>
      <c r="AR2337" s="77"/>
      <c r="AS2337" s="77"/>
      <c r="AT2337" s="77"/>
      <c r="AU2337" s="77"/>
      <c r="AV2337" s="80" t="str">
        <f>HYPERLINK("https://pbs.twimg.com/profile_images/1241147984924082183/gZgx_hL-_normal.jpg")</f>
        <v>https://pbs.twimg.com/profile_images/1241147984924082183/gZgx_hL-_normal.jpg</v>
      </c>
      <c r="AW2337" s="82" t="s">
        <v>13933</v>
      </c>
      <c r="AX2337" s="82" t="s">
        <v>13933</v>
      </c>
      <c r="AY2337" s="77"/>
      <c r="AZ2337" s="82" t="s">
        <v>15984</v>
      </c>
      <c r="BA2337" s="82" t="s">
        <v>15984</v>
      </c>
      <c r="BB2337" s="82" t="s">
        <v>15984</v>
      </c>
      <c r="BC2337" s="82" t="s">
        <v>13933</v>
      </c>
      <c r="BD2337" s="82" t="s">
        <v>15979</v>
      </c>
      <c r="BE2337" s="77"/>
      <c r="BF2337" s="77"/>
      <c r="BG2337" s="77"/>
      <c r="BH2337" s="77"/>
      <c r="BI2337" s="77"/>
    </row>
    <row r="2338" spans="1:61" x14ac:dyDescent="0.25">
      <c r="A2338" s="62" t="s">
        <v>387</v>
      </c>
      <c r="B2338" s="62" t="s">
        <v>387</v>
      </c>
      <c r="C2338" s="63"/>
      <c r="D2338" s="64"/>
      <c r="E2338" s="65"/>
      <c r="F2338" s="66"/>
      <c r="G2338" s="63"/>
      <c r="H2338" s="67"/>
      <c r="I2338" s="68"/>
      <c r="J2338" s="68"/>
      <c r="K2338" s="32"/>
      <c r="L2338" s="75">
        <v>2338</v>
      </c>
      <c r="M2338" s="75"/>
      <c r="N2338" s="70"/>
      <c r="O2338" s="77" t="s">
        <v>179</v>
      </c>
      <c r="P2338" s="79">
        <v>45174.895474537036</v>
      </c>
      <c r="Q2338" s="77" t="s">
        <v>3010</v>
      </c>
      <c r="R2338" s="77">
        <v>0</v>
      </c>
      <c r="S2338" s="77">
        <v>0</v>
      </c>
      <c r="T2338" s="77">
        <v>0</v>
      </c>
      <c r="U2338" s="77">
        <v>0</v>
      </c>
      <c r="V2338" s="77">
        <v>457</v>
      </c>
      <c r="W2338" s="82" t="s">
        <v>4833</v>
      </c>
      <c r="X2338" s="80" t="str">
        <f>HYPERLINK("https://einvestidor.estadao.com.br/mercado/fechamento-de-mercado-05-09-2023/?utm_source=twitter&amp;utm_medium=organic&amp;utm_campaign=&amp;utm_content=materia")</f>
        <v>https://einvestidor.estadao.com.br/mercado/fechamento-de-mercado-05-09-2023/?utm_source=twitter&amp;utm_medium=organic&amp;utm_campaign=&amp;utm_content=materia</v>
      </c>
      <c r="Y2338" s="77" t="s">
        <v>6470</v>
      </c>
      <c r="Z2338" s="77"/>
      <c r="AA2338" s="77"/>
      <c r="AB2338" s="77"/>
      <c r="AC2338" s="82" t="s">
        <v>7750</v>
      </c>
      <c r="AD2338" s="77" t="s">
        <v>7788</v>
      </c>
      <c r="AE2338" s="80" t="str">
        <f>HYPERLINK("https://twitter.com/einvestidor/status/1699172926493282474")</f>
        <v>https://twitter.com/einvestidor/status/1699172926493282474</v>
      </c>
      <c r="AF2338" s="79">
        <v>45174.895474537036</v>
      </c>
      <c r="AG2338" s="85">
        <v>45174</v>
      </c>
      <c r="AH2338" s="82" t="s">
        <v>9691</v>
      </c>
      <c r="AI2338" s="77" t="b">
        <v>0</v>
      </c>
      <c r="AJ2338" s="77"/>
      <c r="AK2338" s="77"/>
      <c r="AL2338" s="77"/>
      <c r="AM2338" s="77"/>
      <c r="AN2338" s="77"/>
      <c r="AO2338" s="77"/>
      <c r="AP2338" s="77"/>
      <c r="AQ2338" s="77"/>
      <c r="AR2338" s="77"/>
      <c r="AS2338" s="77"/>
      <c r="AT2338" s="77"/>
      <c r="AU2338" s="77"/>
      <c r="AV2338" s="80" t="str">
        <f>HYPERLINK("https://pbs.twimg.com/profile_images/1241147984924082183/gZgx_hL-_normal.jpg")</f>
        <v>https://pbs.twimg.com/profile_images/1241147984924082183/gZgx_hL-_normal.jpg</v>
      </c>
      <c r="AW2338" s="82" t="s">
        <v>13934</v>
      </c>
      <c r="AX2338" s="82" t="s">
        <v>13934</v>
      </c>
      <c r="AY2338" s="77"/>
      <c r="AZ2338" s="82" t="s">
        <v>15984</v>
      </c>
      <c r="BA2338" s="82" t="s">
        <v>15984</v>
      </c>
      <c r="BB2338" s="82" t="s">
        <v>15984</v>
      </c>
      <c r="BC2338" s="82" t="s">
        <v>13934</v>
      </c>
      <c r="BD2338" s="82" t="s">
        <v>15979</v>
      </c>
      <c r="BE2338" s="77"/>
      <c r="BF2338" s="77"/>
      <c r="BG2338" s="77"/>
      <c r="BH2338" s="77"/>
      <c r="BI2338" s="77"/>
    </row>
    <row r="2339" spans="1:61" x14ac:dyDescent="0.25">
      <c r="A2339" s="62" t="s">
        <v>387</v>
      </c>
      <c r="B2339" s="62" t="s">
        <v>387</v>
      </c>
      <c r="C2339" s="63"/>
      <c r="D2339" s="64"/>
      <c r="E2339" s="65"/>
      <c r="F2339" s="66"/>
      <c r="G2339" s="63"/>
      <c r="H2339" s="67"/>
      <c r="I2339" s="68"/>
      <c r="J2339" s="68"/>
      <c r="K2339" s="32"/>
      <c r="L2339" s="75">
        <v>2339</v>
      </c>
      <c r="M2339" s="75"/>
      <c r="N2339" s="70"/>
      <c r="O2339" s="77" t="s">
        <v>179</v>
      </c>
      <c r="P2339" s="79">
        <v>45174.75</v>
      </c>
      <c r="Q2339" s="77" t="s">
        <v>3011</v>
      </c>
      <c r="R2339" s="77">
        <v>1</v>
      </c>
      <c r="S2339" s="77">
        <v>2</v>
      </c>
      <c r="T2339" s="77">
        <v>0</v>
      </c>
      <c r="U2339" s="77">
        <v>0</v>
      </c>
      <c r="V2339" s="77">
        <v>400</v>
      </c>
      <c r="W2339" s="82" t="s">
        <v>5973</v>
      </c>
      <c r="X2339" s="80" t="str">
        <f>HYPERLINK("https://einvestidor.estadao.com.br/ultimas/apple-nvidia-google-ipo-arm/?utm_source=twitter&amp;utm_medium=organic&amp;utm_campaign=&amp;utm_content=materia")</f>
        <v>https://einvestidor.estadao.com.br/ultimas/apple-nvidia-google-ipo-arm/?utm_source=twitter&amp;utm_medium=organic&amp;utm_campaign=&amp;utm_content=materia</v>
      </c>
      <c r="Y2339" s="77" t="s">
        <v>6470</v>
      </c>
      <c r="Z2339" s="77"/>
      <c r="AA2339" s="77"/>
      <c r="AB2339" s="77"/>
      <c r="AC2339" s="82" t="s">
        <v>7750</v>
      </c>
      <c r="AD2339" s="77" t="s">
        <v>7788</v>
      </c>
      <c r="AE2339" s="80" t="str">
        <f>HYPERLINK("https://twitter.com/einvestidor/status/1699120207514747128")</f>
        <v>https://twitter.com/einvestidor/status/1699120207514747128</v>
      </c>
      <c r="AF2339" s="79">
        <v>45174.75</v>
      </c>
      <c r="AG2339" s="85">
        <v>45174</v>
      </c>
      <c r="AH2339" s="82" t="s">
        <v>7934</v>
      </c>
      <c r="AI2339" s="77" t="b">
        <v>0</v>
      </c>
      <c r="AJ2339" s="77"/>
      <c r="AK2339" s="77"/>
      <c r="AL2339" s="77"/>
      <c r="AM2339" s="77"/>
      <c r="AN2339" s="77"/>
      <c r="AO2339" s="77"/>
      <c r="AP2339" s="77"/>
      <c r="AQ2339" s="77"/>
      <c r="AR2339" s="77"/>
      <c r="AS2339" s="77"/>
      <c r="AT2339" s="77"/>
      <c r="AU2339" s="77"/>
      <c r="AV2339" s="80" t="str">
        <f>HYPERLINK("https://pbs.twimg.com/profile_images/1241147984924082183/gZgx_hL-_normal.jpg")</f>
        <v>https://pbs.twimg.com/profile_images/1241147984924082183/gZgx_hL-_normal.jpg</v>
      </c>
      <c r="AW2339" s="82" t="s">
        <v>13935</v>
      </c>
      <c r="AX2339" s="82" t="s">
        <v>13935</v>
      </c>
      <c r="AY2339" s="77"/>
      <c r="AZ2339" s="82" t="s">
        <v>15984</v>
      </c>
      <c r="BA2339" s="82" t="s">
        <v>15984</v>
      </c>
      <c r="BB2339" s="82" t="s">
        <v>15984</v>
      </c>
      <c r="BC2339" s="82" t="s">
        <v>13935</v>
      </c>
      <c r="BD2339" s="82" t="s">
        <v>15979</v>
      </c>
      <c r="BE2339" s="77"/>
      <c r="BF2339" s="77"/>
      <c r="BG2339" s="77"/>
      <c r="BH2339" s="77"/>
      <c r="BI2339" s="77"/>
    </row>
    <row r="2340" spans="1:61" x14ac:dyDescent="0.25">
      <c r="A2340" s="62" t="s">
        <v>387</v>
      </c>
      <c r="B2340" s="62" t="s">
        <v>387</v>
      </c>
      <c r="C2340" s="63"/>
      <c r="D2340" s="64"/>
      <c r="E2340" s="65"/>
      <c r="F2340" s="66"/>
      <c r="G2340" s="63"/>
      <c r="H2340" s="67"/>
      <c r="I2340" s="68"/>
      <c r="J2340" s="68"/>
      <c r="K2340" s="32"/>
      <c r="L2340" s="75">
        <v>2340</v>
      </c>
      <c r="M2340" s="75"/>
      <c r="N2340" s="70"/>
      <c r="O2340" s="77" t="s">
        <v>179</v>
      </c>
      <c r="P2340" s="79">
        <v>45169.894675925927</v>
      </c>
      <c r="Q2340" s="77" t="s">
        <v>3012</v>
      </c>
      <c r="R2340" s="77">
        <v>0</v>
      </c>
      <c r="S2340" s="77">
        <v>3</v>
      </c>
      <c r="T2340" s="77">
        <v>0</v>
      </c>
      <c r="U2340" s="77">
        <v>0</v>
      </c>
      <c r="V2340" s="77">
        <v>682</v>
      </c>
      <c r="W2340" s="82" t="s">
        <v>4833</v>
      </c>
      <c r="X2340" s="80" t="str">
        <f>HYPERLINK("https://einvestidor.estadao.com.br/mercado/fechamento-de-mercado-31-08-2023/?utm_source=twitter&amp;utm_medium=organic&amp;utm_campaign=&amp;utm_content=materia")</f>
        <v>https://einvestidor.estadao.com.br/mercado/fechamento-de-mercado-31-08-2023/?utm_source=twitter&amp;utm_medium=organic&amp;utm_campaign=&amp;utm_content=materia</v>
      </c>
      <c r="Y2340" s="77" t="s">
        <v>6470</v>
      </c>
      <c r="Z2340" s="77"/>
      <c r="AA2340" s="77"/>
      <c r="AB2340" s="77"/>
      <c r="AC2340" s="82" t="s">
        <v>7750</v>
      </c>
      <c r="AD2340" s="77" t="s">
        <v>7788</v>
      </c>
      <c r="AE2340" s="80" t="str">
        <f>HYPERLINK("https://twitter.com/einvestidor/status/1697360698039242792")</f>
        <v>https://twitter.com/einvestidor/status/1697360698039242792</v>
      </c>
      <c r="AF2340" s="79">
        <v>45169.894675925927</v>
      </c>
      <c r="AG2340" s="85">
        <v>45169</v>
      </c>
      <c r="AH2340" s="82" t="s">
        <v>9692</v>
      </c>
      <c r="AI2340" s="77" t="b">
        <v>0</v>
      </c>
      <c r="AJ2340" s="77"/>
      <c r="AK2340" s="77"/>
      <c r="AL2340" s="77"/>
      <c r="AM2340" s="77"/>
      <c r="AN2340" s="77"/>
      <c r="AO2340" s="77"/>
      <c r="AP2340" s="77"/>
      <c r="AQ2340" s="77"/>
      <c r="AR2340" s="77"/>
      <c r="AS2340" s="77"/>
      <c r="AT2340" s="77"/>
      <c r="AU2340" s="77"/>
      <c r="AV2340" s="80" t="str">
        <f>HYPERLINK("https://pbs.twimg.com/profile_images/1241147984924082183/gZgx_hL-_normal.jpg")</f>
        <v>https://pbs.twimg.com/profile_images/1241147984924082183/gZgx_hL-_normal.jpg</v>
      </c>
      <c r="AW2340" s="82" t="s">
        <v>13936</v>
      </c>
      <c r="AX2340" s="82" t="s">
        <v>13936</v>
      </c>
      <c r="AY2340" s="77"/>
      <c r="AZ2340" s="82" t="s">
        <v>15984</v>
      </c>
      <c r="BA2340" s="82" t="s">
        <v>15984</v>
      </c>
      <c r="BB2340" s="82" t="s">
        <v>15984</v>
      </c>
      <c r="BC2340" s="82" t="s">
        <v>13936</v>
      </c>
      <c r="BD2340" s="82" t="s">
        <v>15979</v>
      </c>
      <c r="BE2340" s="77"/>
      <c r="BF2340" s="77"/>
      <c r="BG2340" s="77"/>
      <c r="BH2340" s="77"/>
      <c r="BI2340" s="77"/>
    </row>
    <row r="2341" spans="1:61" x14ac:dyDescent="0.25">
      <c r="A2341" s="62" t="s">
        <v>387</v>
      </c>
      <c r="B2341" s="62" t="s">
        <v>387</v>
      </c>
      <c r="C2341" s="63"/>
      <c r="D2341" s="64"/>
      <c r="E2341" s="65"/>
      <c r="F2341" s="66"/>
      <c r="G2341" s="63"/>
      <c r="H2341" s="67"/>
      <c r="I2341" s="68"/>
      <c r="J2341" s="68"/>
      <c r="K2341" s="32"/>
      <c r="L2341" s="75">
        <v>2341</v>
      </c>
      <c r="M2341" s="75"/>
      <c r="N2341" s="70"/>
      <c r="O2341" s="77" t="s">
        <v>179</v>
      </c>
      <c r="P2341" s="79">
        <v>45169.889849537038</v>
      </c>
      <c r="Q2341" s="77" t="s">
        <v>3013</v>
      </c>
      <c r="R2341" s="77">
        <v>0</v>
      </c>
      <c r="S2341" s="77">
        <v>1</v>
      </c>
      <c r="T2341" s="77">
        <v>0</v>
      </c>
      <c r="U2341" s="77">
        <v>0</v>
      </c>
      <c r="V2341" s="77">
        <v>629</v>
      </c>
      <c r="W2341" s="82" t="s">
        <v>5974</v>
      </c>
      <c r="X2341" s="80" t="str">
        <f>HYPERLINK("https://einvestidor.estadao.com.br/mercado/oes-ibovespa-piores-acoes-cvc-cvcb3-alpargatas-alpa4-grupo-pao-de-acucar-pcar3/?utm_source=twitter&amp;utm_medium=organic&amp;utm_campaign=&amp;utm_content=materia")</f>
        <v>https://einvestidor.estadao.com.br/mercado/oes-ibovespa-piores-acoes-cvc-cvcb3-alpargatas-alpa4-grupo-pao-de-acucar-pcar3/?utm_source=twitter&amp;utm_medium=organic&amp;utm_campaign=&amp;utm_content=materia</v>
      </c>
      <c r="Y2341" s="77" t="s">
        <v>6470</v>
      </c>
      <c r="Z2341" s="77"/>
      <c r="AA2341" s="77"/>
      <c r="AB2341" s="77"/>
      <c r="AC2341" s="82" t="s">
        <v>7750</v>
      </c>
      <c r="AD2341" s="77" t="s">
        <v>7788</v>
      </c>
      <c r="AE2341" s="80" t="str">
        <f>HYPERLINK("https://twitter.com/einvestidor/status/1697358949324869753")</f>
        <v>https://twitter.com/einvestidor/status/1697358949324869753</v>
      </c>
      <c r="AF2341" s="79">
        <v>45169.889849537038</v>
      </c>
      <c r="AG2341" s="85">
        <v>45169</v>
      </c>
      <c r="AH2341" s="82" t="s">
        <v>9693</v>
      </c>
      <c r="AI2341" s="77" t="b">
        <v>0</v>
      </c>
      <c r="AJ2341" s="77"/>
      <c r="AK2341" s="77"/>
      <c r="AL2341" s="77"/>
      <c r="AM2341" s="77"/>
      <c r="AN2341" s="77"/>
      <c r="AO2341" s="77"/>
      <c r="AP2341" s="77"/>
      <c r="AQ2341" s="77"/>
      <c r="AR2341" s="77"/>
      <c r="AS2341" s="77"/>
      <c r="AT2341" s="77"/>
      <c r="AU2341" s="77"/>
      <c r="AV2341" s="80" t="str">
        <f>HYPERLINK("https://pbs.twimg.com/profile_images/1241147984924082183/gZgx_hL-_normal.jpg")</f>
        <v>https://pbs.twimg.com/profile_images/1241147984924082183/gZgx_hL-_normal.jpg</v>
      </c>
      <c r="AW2341" s="82" t="s">
        <v>13937</v>
      </c>
      <c r="AX2341" s="82" t="s">
        <v>13937</v>
      </c>
      <c r="AY2341" s="77"/>
      <c r="AZ2341" s="82" t="s">
        <v>15984</v>
      </c>
      <c r="BA2341" s="82" t="s">
        <v>15984</v>
      </c>
      <c r="BB2341" s="82" t="s">
        <v>15984</v>
      </c>
      <c r="BC2341" s="82" t="s">
        <v>13937</v>
      </c>
      <c r="BD2341" s="82" t="s">
        <v>15979</v>
      </c>
      <c r="BE2341" s="77"/>
      <c r="BF2341" s="77"/>
      <c r="BG2341" s="77"/>
      <c r="BH2341" s="77"/>
      <c r="BI2341" s="77"/>
    </row>
    <row r="2342" spans="1:61" x14ac:dyDescent="0.25">
      <c r="A2342" s="62" t="s">
        <v>387</v>
      </c>
      <c r="B2342" s="62" t="s">
        <v>387</v>
      </c>
      <c r="C2342" s="63"/>
      <c r="D2342" s="64"/>
      <c r="E2342" s="65"/>
      <c r="F2342" s="66"/>
      <c r="G2342" s="63"/>
      <c r="H2342" s="67"/>
      <c r="I2342" s="68"/>
      <c r="J2342" s="68"/>
      <c r="K2342" s="32"/>
      <c r="L2342" s="75">
        <v>2342</v>
      </c>
      <c r="M2342" s="75"/>
      <c r="N2342" s="70"/>
      <c r="O2342" s="77" t="s">
        <v>179</v>
      </c>
      <c r="P2342" s="79">
        <v>45168.517106481479</v>
      </c>
      <c r="Q2342" s="77" t="s">
        <v>3014</v>
      </c>
      <c r="R2342" s="77">
        <v>0</v>
      </c>
      <c r="S2342" s="77">
        <v>2</v>
      </c>
      <c r="T2342" s="77">
        <v>0</v>
      </c>
      <c r="U2342" s="77">
        <v>0</v>
      </c>
      <c r="V2342" s="77">
        <v>683</v>
      </c>
      <c r="W2342" s="82" t="s">
        <v>5975</v>
      </c>
      <c r="X2342" s="80" t="str">
        <f>HYPERLINK("https://einvestidor.estadao.com.br/educacao-financeira/o-que-precisa-para-abrir-conta-no-banco-do-brasil/?utm_source=twitter&amp;utm_medium=organic&amp;utm_campaign=&amp;utm_content=materia")</f>
        <v>https://einvestidor.estadao.com.br/educacao-financeira/o-que-precisa-para-abrir-conta-no-banco-do-brasil/?utm_source=twitter&amp;utm_medium=organic&amp;utm_campaign=&amp;utm_content=materia</v>
      </c>
      <c r="Y2342" s="77" t="s">
        <v>6470</v>
      </c>
      <c r="Z2342" s="77"/>
      <c r="AA2342" s="77"/>
      <c r="AB2342" s="77"/>
      <c r="AC2342" s="82" t="s">
        <v>7750</v>
      </c>
      <c r="AD2342" s="77" t="s">
        <v>7788</v>
      </c>
      <c r="AE2342" s="80" t="str">
        <f>HYPERLINK("https://twitter.com/einvestidor/status/1696861484146426246")</f>
        <v>https://twitter.com/einvestidor/status/1696861484146426246</v>
      </c>
      <c r="AF2342" s="79">
        <v>45168.517106481479</v>
      </c>
      <c r="AG2342" s="85">
        <v>45168</v>
      </c>
      <c r="AH2342" s="82" t="s">
        <v>9694</v>
      </c>
      <c r="AI2342" s="77" t="b">
        <v>0</v>
      </c>
      <c r="AJ2342" s="77"/>
      <c r="AK2342" s="77"/>
      <c r="AL2342" s="77"/>
      <c r="AM2342" s="77"/>
      <c r="AN2342" s="77"/>
      <c r="AO2342" s="77"/>
      <c r="AP2342" s="77"/>
      <c r="AQ2342" s="77"/>
      <c r="AR2342" s="77"/>
      <c r="AS2342" s="77"/>
      <c r="AT2342" s="77"/>
      <c r="AU2342" s="77"/>
      <c r="AV2342" s="80" t="str">
        <f>HYPERLINK("https://pbs.twimg.com/profile_images/1241147984924082183/gZgx_hL-_normal.jpg")</f>
        <v>https://pbs.twimg.com/profile_images/1241147984924082183/gZgx_hL-_normal.jpg</v>
      </c>
      <c r="AW2342" s="82" t="s">
        <v>13938</v>
      </c>
      <c r="AX2342" s="82" t="s">
        <v>13938</v>
      </c>
      <c r="AY2342" s="77"/>
      <c r="AZ2342" s="82" t="s">
        <v>15984</v>
      </c>
      <c r="BA2342" s="82" t="s">
        <v>15984</v>
      </c>
      <c r="BB2342" s="82" t="s">
        <v>15984</v>
      </c>
      <c r="BC2342" s="82" t="s">
        <v>13938</v>
      </c>
      <c r="BD2342" s="82" t="s">
        <v>15979</v>
      </c>
      <c r="BE2342" s="77"/>
      <c r="BF2342" s="77"/>
      <c r="BG2342" s="77"/>
      <c r="BH2342" s="77"/>
      <c r="BI2342" s="77"/>
    </row>
    <row r="2343" spans="1:61" x14ac:dyDescent="0.25">
      <c r="A2343" s="62" t="s">
        <v>387</v>
      </c>
      <c r="B2343" s="62" t="s">
        <v>387</v>
      </c>
      <c r="C2343" s="63"/>
      <c r="D2343" s="64"/>
      <c r="E2343" s="65"/>
      <c r="F2343" s="66"/>
      <c r="G2343" s="63"/>
      <c r="H2343" s="67"/>
      <c r="I2343" s="68"/>
      <c r="J2343" s="68"/>
      <c r="K2343" s="32"/>
      <c r="L2343" s="75">
        <v>2343</v>
      </c>
      <c r="M2343" s="75"/>
      <c r="N2343" s="70"/>
      <c r="O2343" s="77" t="s">
        <v>179</v>
      </c>
      <c r="P2343" s="79">
        <v>45148.989583333336</v>
      </c>
      <c r="Q2343" s="77" t="s">
        <v>3015</v>
      </c>
      <c r="R2343" s="77">
        <v>0</v>
      </c>
      <c r="S2343" s="77">
        <v>1</v>
      </c>
      <c r="T2343" s="77">
        <v>0</v>
      </c>
      <c r="U2343" s="77">
        <v>0</v>
      </c>
      <c r="V2343" s="77">
        <v>635</v>
      </c>
      <c r="W2343" s="82" t="s">
        <v>5976</v>
      </c>
      <c r="X2343" s="80" t="str">
        <f>HYPERLINK("https://mla.bs/31c13bd3")</f>
        <v>https://mla.bs/31c13bd3</v>
      </c>
      <c r="Y2343" s="77" t="s">
        <v>6506</v>
      </c>
      <c r="Z2343" s="77"/>
      <c r="AA2343" s="77"/>
      <c r="AB2343" s="77"/>
      <c r="AC2343" s="82" t="s">
        <v>7754</v>
      </c>
      <c r="AD2343" s="77" t="s">
        <v>7788</v>
      </c>
      <c r="AE2343" s="80" t="str">
        <f>HYPERLINK("https://twitter.com/einvestidor/status/1689784944753537024")</f>
        <v>https://twitter.com/einvestidor/status/1689784944753537024</v>
      </c>
      <c r="AF2343" s="79">
        <v>45148.989583333336</v>
      </c>
      <c r="AG2343" s="85">
        <v>45148</v>
      </c>
      <c r="AH2343" s="82" t="s">
        <v>9620</v>
      </c>
      <c r="AI2343" s="77" t="b">
        <v>0</v>
      </c>
      <c r="AJ2343" s="77"/>
      <c r="AK2343" s="77"/>
      <c r="AL2343" s="77"/>
      <c r="AM2343" s="77"/>
      <c r="AN2343" s="77"/>
      <c r="AO2343" s="77"/>
      <c r="AP2343" s="77"/>
      <c r="AQ2343" s="77"/>
      <c r="AR2343" s="77"/>
      <c r="AS2343" s="77"/>
      <c r="AT2343" s="77"/>
      <c r="AU2343" s="77"/>
      <c r="AV2343" s="80" t="str">
        <f>HYPERLINK("https://pbs.twimg.com/profile_images/1241147984924082183/gZgx_hL-_normal.jpg")</f>
        <v>https://pbs.twimg.com/profile_images/1241147984924082183/gZgx_hL-_normal.jpg</v>
      </c>
      <c r="AW2343" s="82" t="s">
        <v>13939</v>
      </c>
      <c r="AX2343" s="82" t="s">
        <v>13939</v>
      </c>
      <c r="AY2343" s="77"/>
      <c r="AZ2343" s="82" t="s">
        <v>15984</v>
      </c>
      <c r="BA2343" s="82" t="s">
        <v>15984</v>
      </c>
      <c r="BB2343" s="82" t="s">
        <v>15984</v>
      </c>
      <c r="BC2343" s="82" t="s">
        <v>13939</v>
      </c>
      <c r="BD2343" s="82" t="s">
        <v>15979</v>
      </c>
      <c r="BE2343" s="77"/>
      <c r="BF2343" s="77"/>
      <c r="BG2343" s="77"/>
      <c r="BH2343" s="77"/>
      <c r="BI2343" s="77"/>
    </row>
    <row r="2344" spans="1:61" x14ac:dyDescent="0.25">
      <c r="A2344" s="62" t="s">
        <v>387</v>
      </c>
      <c r="B2344" s="62" t="s">
        <v>387</v>
      </c>
      <c r="C2344" s="63"/>
      <c r="D2344" s="64"/>
      <c r="E2344" s="65"/>
      <c r="F2344" s="66"/>
      <c r="G2344" s="63"/>
      <c r="H2344" s="67"/>
      <c r="I2344" s="68"/>
      <c r="J2344" s="68"/>
      <c r="K2344" s="32"/>
      <c r="L2344" s="75">
        <v>2344</v>
      </c>
      <c r="M2344" s="75"/>
      <c r="N2344" s="70"/>
      <c r="O2344" s="77" t="s">
        <v>179</v>
      </c>
      <c r="P2344" s="79">
        <v>45148.979166666664</v>
      </c>
      <c r="Q2344" s="77" t="s">
        <v>3016</v>
      </c>
      <c r="R2344" s="77">
        <v>0</v>
      </c>
      <c r="S2344" s="77">
        <v>1</v>
      </c>
      <c r="T2344" s="77">
        <v>0</v>
      </c>
      <c r="U2344" s="77">
        <v>0</v>
      </c>
      <c r="V2344" s="77">
        <v>507</v>
      </c>
      <c r="W2344" s="82" t="s">
        <v>4833</v>
      </c>
      <c r="X2344" s="80" t="str">
        <f>HYPERLINK("https://mla.bs/d822e2aa")</f>
        <v>https://mla.bs/d822e2aa</v>
      </c>
      <c r="Y2344" s="77" t="s">
        <v>6506</v>
      </c>
      <c r="Z2344" s="77"/>
      <c r="AA2344" s="77"/>
      <c r="AB2344" s="77"/>
      <c r="AC2344" s="82" t="s">
        <v>7754</v>
      </c>
      <c r="AD2344" s="77" t="s">
        <v>7788</v>
      </c>
      <c r="AE2344" s="80" t="str">
        <f>HYPERLINK("https://twitter.com/einvestidor/status/1689781171608342533")</f>
        <v>https://twitter.com/einvestidor/status/1689781171608342533</v>
      </c>
      <c r="AF2344" s="79">
        <v>45148.979166666664</v>
      </c>
      <c r="AG2344" s="85">
        <v>45148</v>
      </c>
      <c r="AH2344" s="82" t="s">
        <v>7928</v>
      </c>
      <c r="AI2344" s="77" t="b">
        <v>0</v>
      </c>
      <c r="AJ2344" s="77"/>
      <c r="AK2344" s="77"/>
      <c r="AL2344" s="77"/>
      <c r="AM2344" s="77"/>
      <c r="AN2344" s="77"/>
      <c r="AO2344" s="77"/>
      <c r="AP2344" s="77"/>
      <c r="AQ2344" s="77"/>
      <c r="AR2344" s="77"/>
      <c r="AS2344" s="77"/>
      <c r="AT2344" s="77"/>
      <c r="AU2344" s="77"/>
      <c r="AV2344" s="80" t="str">
        <f>HYPERLINK("https://pbs.twimg.com/profile_images/1241147984924082183/gZgx_hL-_normal.jpg")</f>
        <v>https://pbs.twimg.com/profile_images/1241147984924082183/gZgx_hL-_normal.jpg</v>
      </c>
      <c r="AW2344" s="82" t="s">
        <v>13940</v>
      </c>
      <c r="AX2344" s="82" t="s">
        <v>13940</v>
      </c>
      <c r="AY2344" s="77"/>
      <c r="AZ2344" s="82" t="s">
        <v>15984</v>
      </c>
      <c r="BA2344" s="82" t="s">
        <v>15984</v>
      </c>
      <c r="BB2344" s="82" t="s">
        <v>15984</v>
      </c>
      <c r="BC2344" s="82" t="s">
        <v>13940</v>
      </c>
      <c r="BD2344" s="82" t="s">
        <v>15979</v>
      </c>
      <c r="BE2344" s="77"/>
      <c r="BF2344" s="77"/>
      <c r="BG2344" s="77"/>
      <c r="BH2344" s="77"/>
      <c r="BI2344" s="77"/>
    </row>
    <row r="2345" spans="1:61" x14ac:dyDescent="0.25">
      <c r="A2345" s="62" t="s">
        <v>387</v>
      </c>
      <c r="B2345" s="62" t="s">
        <v>387</v>
      </c>
      <c r="C2345" s="63"/>
      <c r="D2345" s="64"/>
      <c r="E2345" s="65"/>
      <c r="F2345" s="66"/>
      <c r="G2345" s="63"/>
      <c r="H2345" s="67"/>
      <c r="I2345" s="68"/>
      <c r="J2345" s="68"/>
      <c r="K2345" s="32"/>
      <c r="L2345" s="75">
        <v>2345</v>
      </c>
      <c r="M2345" s="75"/>
      <c r="N2345" s="70"/>
      <c r="O2345" s="77" t="s">
        <v>179</v>
      </c>
      <c r="P2345" s="79">
        <v>45148.96875</v>
      </c>
      <c r="Q2345" s="77" t="s">
        <v>3017</v>
      </c>
      <c r="R2345" s="77">
        <v>0</v>
      </c>
      <c r="S2345" s="77">
        <v>0</v>
      </c>
      <c r="T2345" s="77">
        <v>0</v>
      </c>
      <c r="U2345" s="77">
        <v>0</v>
      </c>
      <c r="V2345" s="77">
        <v>566</v>
      </c>
      <c r="W2345" s="82" t="s">
        <v>5977</v>
      </c>
      <c r="X2345" s="80" t="str">
        <f>HYPERLINK("https://mla.bs/ab4a844e")</f>
        <v>https://mla.bs/ab4a844e</v>
      </c>
      <c r="Y2345" s="77" t="s">
        <v>6506</v>
      </c>
      <c r="Z2345" s="77"/>
      <c r="AA2345" s="77"/>
      <c r="AB2345" s="77"/>
      <c r="AC2345" s="82" t="s">
        <v>7754</v>
      </c>
      <c r="AD2345" s="77" t="s">
        <v>7788</v>
      </c>
      <c r="AE2345" s="80" t="str">
        <f>HYPERLINK("https://twitter.com/einvestidor/status/1689777395723915266")</f>
        <v>https://twitter.com/einvestidor/status/1689777395723915266</v>
      </c>
      <c r="AF2345" s="79">
        <v>45148.96875</v>
      </c>
      <c r="AG2345" s="85">
        <v>45148</v>
      </c>
      <c r="AH2345" s="82" t="s">
        <v>9621</v>
      </c>
      <c r="AI2345" s="77" t="b">
        <v>0</v>
      </c>
      <c r="AJ2345" s="77"/>
      <c r="AK2345" s="77"/>
      <c r="AL2345" s="77"/>
      <c r="AM2345" s="77"/>
      <c r="AN2345" s="77"/>
      <c r="AO2345" s="77"/>
      <c r="AP2345" s="77"/>
      <c r="AQ2345" s="77"/>
      <c r="AR2345" s="77"/>
      <c r="AS2345" s="77"/>
      <c r="AT2345" s="77"/>
      <c r="AU2345" s="77"/>
      <c r="AV2345" s="80" t="str">
        <f>HYPERLINK("https://pbs.twimg.com/profile_images/1241147984924082183/gZgx_hL-_normal.jpg")</f>
        <v>https://pbs.twimg.com/profile_images/1241147984924082183/gZgx_hL-_normal.jpg</v>
      </c>
      <c r="AW2345" s="82" t="s">
        <v>13941</v>
      </c>
      <c r="AX2345" s="82" t="s">
        <v>13941</v>
      </c>
      <c r="AY2345" s="77"/>
      <c r="AZ2345" s="82" t="s">
        <v>15984</v>
      </c>
      <c r="BA2345" s="82" t="s">
        <v>15984</v>
      </c>
      <c r="BB2345" s="82" t="s">
        <v>15984</v>
      </c>
      <c r="BC2345" s="82" t="s">
        <v>13941</v>
      </c>
      <c r="BD2345" s="82" t="s">
        <v>15979</v>
      </c>
      <c r="BE2345" s="77"/>
      <c r="BF2345" s="77"/>
      <c r="BG2345" s="77"/>
      <c r="BH2345" s="77"/>
      <c r="BI2345" s="77"/>
    </row>
    <row r="2346" spans="1:61" x14ac:dyDescent="0.25">
      <c r="A2346" s="62" t="s">
        <v>387</v>
      </c>
      <c r="B2346" s="62" t="s">
        <v>387</v>
      </c>
      <c r="C2346" s="63"/>
      <c r="D2346" s="64"/>
      <c r="E2346" s="65"/>
      <c r="F2346" s="66"/>
      <c r="G2346" s="63"/>
      <c r="H2346" s="67"/>
      <c r="I2346" s="68"/>
      <c r="J2346" s="68"/>
      <c r="K2346" s="32"/>
      <c r="L2346" s="75">
        <v>2346</v>
      </c>
      <c r="M2346" s="75"/>
      <c r="N2346" s="70"/>
      <c r="O2346" s="77" t="s">
        <v>179</v>
      </c>
      <c r="P2346" s="79">
        <v>45148.958333333336</v>
      </c>
      <c r="Q2346" s="77" t="s">
        <v>3018</v>
      </c>
      <c r="R2346" s="77">
        <v>0</v>
      </c>
      <c r="S2346" s="77">
        <v>1</v>
      </c>
      <c r="T2346" s="77">
        <v>0</v>
      </c>
      <c r="U2346" s="77">
        <v>0</v>
      </c>
      <c r="V2346" s="77">
        <v>545</v>
      </c>
      <c r="W2346" s="82" t="s">
        <v>5925</v>
      </c>
      <c r="X2346" s="80" t="str">
        <f>HYPERLINK("https://mla.bs/00c82dd5")</f>
        <v>https://mla.bs/00c82dd5</v>
      </c>
      <c r="Y2346" s="77" t="s">
        <v>6506</v>
      </c>
      <c r="Z2346" s="77"/>
      <c r="AA2346" s="77"/>
      <c r="AB2346" s="77"/>
      <c r="AC2346" s="82" t="s">
        <v>7754</v>
      </c>
      <c r="AD2346" s="77" t="s">
        <v>7788</v>
      </c>
      <c r="AE2346" s="80" t="str">
        <f>HYPERLINK("https://twitter.com/einvestidor/status/1689773621860823040")</f>
        <v>https://twitter.com/einvestidor/status/1689773621860823040</v>
      </c>
      <c r="AF2346" s="79">
        <v>45148.958333333336</v>
      </c>
      <c r="AG2346" s="85">
        <v>45148</v>
      </c>
      <c r="AH2346" s="82" t="s">
        <v>8279</v>
      </c>
      <c r="AI2346" s="77" t="b">
        <v>0</v>
      </c>
      <c r="AJ2346" s="77"/>
      <c r="AK2346" s="77"/>
      <c r="AL2346" s="77"/>
      <c r="AM2346" s="77"/>
      <c r="AN2346" s="77"/>
      <c r="AO2346" s="77"/>
      <c r="AP2346" s="77"/>
      <c r="AQ2346" s="77"/>
      <c r="AR2346" s="77"/>
      <c r="AS2346" s="77"/>
      <c r="AT2346" s="77"/>
      <c r="AU2346" s="77"/>
      <c r="AV2346" s="80" t="str">
        <f>HYPERLINK("https://pbs.twimg.com/profile_images/1241147984924082183/gZgx_hL-_normal.jpg")</f>
        <v>https://pbs.twimg.com/profile_images/1241147984924082183/gZgx_hL-_normal.jpg</v>
      </c>
      <c r="AW2346" s="82" t="s">
        <v>13942</v>
      </c>
      <c r="AX2346" s="82" t="s">
        <v>13942</v>
      </c>
      <c r="AY2346" s="77"/>
      <c r="AZ2346" s="82" t="s">
        <v>15984</v>
      </c>
      <c r="BA2346" s="82" t="s">
        <v>15984</v>
      </c>
      <c r="BB2346" s="82" t="s">
        <v>15984</v>
      </c>
      <c r="BC2346" s="82" t="s">
        <v>13942</v>
      </c>
      <c r="BD2346" s="82" t="s">
        <v>15979</v>
      </c>
      <c r="BE2346" s="77"/>
      <c r="BF2346" s="77"/>
      <c r="BG2346" s="77"/>
      <c r="BH2346" s="77"/>
      <c r="BI2346" s="77"/>
    </row>
    <row r="2347" spans="1:61" x14ac:dyDescent="0.25">
      <c r="A2347" s="62" t="s">
        <v>387</v>
      </c>
      <c r="B2347" s="62" t="s">
        <v>387</v>
      </c>
      <c r="C2347" s="63"/>
      <c r="D2347" s="64"/>
      <c r="E2347" s="65"/>
      <c r="F2347" s="66"/>
      <c r="G2347" s="63"/>
      <c r="H2347" s="67"/>
      <c r="I2347" s="68"/>
      <c r="J2347" s="68"/>
      <c r="K2347" s="32"/>
      <c r="L2347" s="75">
        <v>2347</v>
      </c>
      <c r="M2347" s="75"/>
      <c r="N2347" s="70"/>
      <c r="O2347" s="77" t="s">
        <v>179</v>
      </c>
      <c r="P2347" s="79">
        <v>45148.947916666664</v>
      </c>
      <c r="Q2347" s="77" t="s">
        <v>3019</v>
      </c>
      <c r="R2347" s="77">
        <v>0</v>
      </c>
      <c r="S2347" s="77">
        <v>0</v>
      </c>
      <c r="T2347" s="77">
        <v>0</v>
      </c>
      <c r="U2347" s="77">
        <v>0</v>
      </c>
      <c r="V2347" s="77">
        <v>523</v>
      </c>
      <c r="W2347" s="82" t="s">
        <v>4833</v>
      </c>
      <c r="X2347" s="80" t="str">
        <f>HYPERLINK("https://mla.bs/7d2c9314")</f>
        <v>https://mla.bs/7d2c9314</v>
      </c>
      <c r="Y2347" s="77" t="s">
        <v>6506</v>
      </c>
      <c r="Z2347" s="77"/>
      <c r="AA2347" s="77"/>
      <c r="AB2347" s="77"/>
      <c r="AC2347" s="82" t="s">
        <v>7754</v>
      </c>
      <c r="AD2347" s="77" t="s">
        <v>7788</v>
      </c>
      <c r="AE2347" s="80" t="str">
        <f>HYPERLINK("https://twitter.com/einvestidor/status/1689769846223908864")</f>
        <v>https://twitter.com/einvestidor/status/1689769846223908864</v>
      </c>
      <c r="AF2347" s="79">
        <v>45148.947916666664</v>
      </c>
      <c r="AG2347" s="85">
        <v>45148</v>
      </c>
      <c r="AH2347" s="82" t="s">
        <v>9595</v>
      </c>
      <c r="AI2347" s="77" t="b">
        <v>0</v>
      </c>
      <c r="AJ2347" s="77"/>
      <c r="AK2347" s="77"/>
      <c r="AL2347" s="77"/>
      <c r="AM2347" s="77"/>
      <c r="AN2347" s="77"/>
      <c r="AO2347" s="77"/>
      <c r="AP2347" s="77"/>
      <c r="AQ2347" s="77"/>
      <c r="AR2347" s="77"/>
      <c r="AS2347" s="77"/>
      <c r="AT2347" s="77"/>
      <c r="AU2347" s="77"/>
      <c r="AV2347" s="80" t="str">
        <f>HYPERLINK("https://pbs.twimg.com/profile_images/1241147984924082183/gZgx_hL-_normal.jpg")</f>
        <v>https://pbs.twimg.com/profile_images/1241147984924082183/gZgx_hL-_normal.jpg</v>
      </c>
      <c r="AW2347" s="82" t="s">
        <v>13943</v>
      </c>
      <c r="AX2347" s="82" t="s">
        <v>13943</v>
      </c>
      <c r="AY2347" s="77"/>
      <c r="AZ2347" s="82" t="s">
        <v>15984</v>
      </c>
      <c r="BA2347" s="82" t="s">
        <v>15984</v>
      </c>
      <c r="BB2347" s="82" t="s">
        <v>15984</v>
      </c>
      <c r="BC2347" s="82" t="s">
        <v>13943</v>
      </c>
      <c r="BD2347" s="82" t="s">
        <v>15979</v>
      </c>
      <c r="BE2347" s="77"/>
      <c r="BF2347" s="77"/>
      <c r="BG2347" s="77"/>
      <c r="BH2347" s="77"/>
      <c r="BI2347" s="77"/>
    </row>
    <row r="2348" spans="1:61" x14ac:dyDescent="0.25">
      <c r="A2348" s="62" t="s">
        <v>387</v>
      </c>
      <c r="B2348" s="62" t="s">
        <v>387</v>
      </c>
      <c r="C2348" s="63"/>
      <c r="D2348" s="64"/>
      <c r="E2348" s="65"/>
      <c r="F2348" s="66"/>
      <c r="G2348" s="63"/>
      <c r="H2348" s="67"/>
      <c r="I2348" s="68"/>
      <c r="J2348" s="68"/>
      <c r="K2348" s="32"/>
      <c r="L2348" s="75">
        <v>2348</v>
      </c>
      <c r="M2348" s="75"/>
      <c r="N2348" s="70"/>
      <c r="O2348" s="77" t="s">
        <v>179</v>
      </c>
      <c r="P2348" s="79">
        <v>45148.9375</v>
      </c>
      <c r="Q2348" s="77" t="s">
        <v>3020</v>
      </c>
      <c r="R2348" s="77">
        <v>0</v>
      </c>
      <c r="S2348" s="77">
        <v>1</v>
      </c>
      <c r="T2348" s="77">
        <v>0</v>
      </c>
      <c r="U2348" s="77">
        <v>0</v>
      </c>
      <c r="V2348" s="77">
        <v>555</v>
      </c>
      <c r="W2348" s="82" t="s">
        <v>4833</v>
      </c>
      <c r="X2348" s="80" t="str">
        <f>HYPERLINK("https://mla.bs/f885530d")</f>
        <v>https://mla.bs/f885530d</v>
      </c>
      <c r="Y2348" s="77" t="s">
        <v>6506</v>
      </c>
      <c r="Z2348" s="77"/>
      <c r="AA2348" s="77"/>
      <c r="AB2348" s="77"/>
      <c r="AC2348" s="82" t="s">
        <v>7754</v>
      </c>
      <c r="AD2348" s="77" t="s">
        <v>7788</v>
      </c>
      <c r="AE2348" s="80" t="str">
        <f>HYPERLINK("https://twitter.com/einvestidor/status/1689766072012947456")</f>
        <v>https://twitter.com/einvestidor/status/1689766072012947456</v>
      </c>
      <c r="AF2348" s="79">
        <v>45148.9375</v>
      </c>
      <c r="AG2348" s="85">
        <v>45148</v>
      </c>
      <c r="AH2348" s="82" t="s">
        <v>7926</v>
      </c>
      <c r="AI2348" s="77" t="b">
        <v>0</v>
      </c>
      <c r="AJ2348" s="77"/>
      <c r="AK2348" s="77"/>
      <c r="AL2348" s="77"/>
      <c r="AM2348" s="77"/>
      <c r="AN2348" s="77"/>
      <c r="AO2348" s="77"/>
      <c r="AP2348" s="77"/>
      <c r="AQ2348" s="77"/>
      <c r="AR2348" s="77"/>
      <c r="AS2348" s="77"/>
      <c r="AT2348" s="77"/>
      <c r="AU2348" s="77"/>
      <c r="AV2348" s="80" t="str">
        <f>HYPERLINK("https://pbs.twimg.com/profile_images/1241147984924082183/gZgx_hL-_normal.jpg")</f>
        <v>https://pbs.twimg.com/profile_images/1241147984924082183/gZgx_hL-_normal.jpg</v>
      </c>
      <c r="AW2348" s="82" t="s">
        <v>13944</v>
      </c>
      <c r="AX2348" s="82" t="s">
        <v>13944</v>
      </c>
      <c r="AY2348" s="77"/>
      <c r="AZ2348" s="82" t="s">
        <v>15984</v>
      </c>
      <c r="BA2348" s="82" t="s">
        <v>15984</v>
      </c>
      <c r="BB2348" s="82" t="s">
        <v>15984</v>
      </c>
      <c r="BC2348" s="82" t="s">
        <v>13944</v>
      </c>
      <c r="BD2348" s="82" t="s">
        <v>15979</v>
      </c>
      <c r="BE2348" s="77"/>
      <c r="BF2348" s="77"/>
      <c r="BG2348" s="77"/>
      <c r="BH2348" s="77"/>
      <c r="BI2348" s="77"/>
    </row>
    <row r="2349" spans="1:61" x14ac:dyDescent="0.25">
      <c r="A2349" s="62" t="s">
        <v>387</v>
      </c>
      <c r="B2349" s="62" t="s">
        <v>387</v>
      </c>
      <c r="C2349" s="63"/>
      <c r="D2349" s="64"/>
      <c r="E2349" s="65"/>
      <c r="F2349" s="66"/>
      <c r="G2349" s="63"/>
      <c r="H2349" s="67"/>
      <c r="I2349" s="68"/>
      <c r="J2349" s="68"/>
      <c r="K2349" s="32"/>
      <c r="L2349" s="75">
        <v>2349</v>
      </c>
      <c r="M2349" s="75"/>
      <c r="N2349" s="70"/>
      <c r="O2349" s="77" t="s">
        <v>179</v>
      </c>
      <c r="P2349" s="79">
        <v>45148.927083333336</v>
      </c>
      <c r="Q2349" s="77" t="s">
        <v>3021</v>
      </c>
      <c r="R2349" s="77">
        <v>0</v>
      </c>
      <c r="S2349" s="77">
        <v>0</v>
      </c>
      <c r="T2349" s="77">
        <v>0</v>
      </c>
      <c r="U2349" s="77">
        <v>0</v>
      </c>
      <c r="V2349" s="77">
        <v>511</v>
      </c>
      <c r="W2349" s="82" t="s">
        <v>4833</v>
      </c>
      <c r="X2349" s="80" t="str">
        <f>HYPERLINK("https://mla.bs/3cdcc117")</f>
        <v>https://mla.bs/3cdcc117</v>
      </c>
      <c r="Y2349" s="77" t="s">
        <v>6506</v>
      </c>
      <c r="Z2349" s="77"/>
      <c r="AA2349" s="77"/>
      <c r="AB2349" s="77"/>
      <c r="AC2349" s="82" t="s">
        <v>7754</v>
      </c>
      <c r="AD2349" s="77" t="s">
        <v>7788</v>
      </c>
      <c r="AE2349" s="80" t="str">
        <f>HYPERLINK("https://twitter.com/einvestidor/status/1689762295797227520")</f>
        <v>https://twitter.com/einvestidor/status/1689762295797227520</v>
      </c>
      <c r="AF2349" s="79">
        <v>45148.927083333336</v>
      </c>
      <c r="AG2349" s="85">
        <v>45148</v>
      </c>
      <c r="AH2349" s="82" t="s">
        <v>9576</v>
      </c>
      <c r="AI2349" s="77" t="b">
        <v>0</v>
      </c>
      <c r="AJ2349" s="77"/>
      <c r="AK2349" s="77"/>
      <c r="AL2349" s="77"/>
      <c r="AM2349" s="77"/>
      <c r="AN2349" s="77"/>
      <c r="AO2349" s="77"/>
      <c r="AP2349" s="77"/>
      <c r="AQ2349" s="77"/>
      <c r="AR2349" s="77"/>
      <c r="AS2349" s="77"/>
      <c r="AT2349" s="77"/>
      <c r="AU2349" s="77"/>
      <c r="AV2349" s="80" t="str">
        <f>HYPERLINK("https://pbs.twimg.com/profile_images/1241147984924082183/gZgx_hL-_normal.jpg")</f>
        <v>https://pbs.twimg.com/profile_images/1241147984924082183/gZgx_hL-_normal.jpg</v>
      </c>
      <c r="AW2349" s="82" t="s">
        <v>13945</v>
      </c>
      <c r="AX2349" s="82" t="s">
        <v>13945</v>
      </c>
      <c r="AY2349" s="77"/>
      <c r="AZ2349" s="82" t="s">
        <v>15984</v>
      </c>
      <c r="BA2349" s="82" t="s">
        <v>15984</v>
      </c>
      <c r="BB2349" s="82" t="s">
        <v>15984</v>
      </c>
      <c r="BC2349" s="82" t="s">
        <v>13945</v>
      </c>
      <c r="BD2349" s="82" t="s">
        <v>15979</v>
      </c>
      <c r="BE2349" s="77"/>
      <c r="BF2349" s="77"/>
      <c r="BG2349" s="77"/>
      <c r="BH2349" s="77"/>
      <c r="BI2349" s="77"/>
    </row>
    <row r="2350" spans="1:61" x14ac:dyDescent="0.25">
      <c r="A2350" s="62" t="s">
        <v>387</v>
      </c>
      <c r="B2350" s="62" t="s">
        <v>387</v>
      </c>
      <c r="C2350" s="63"/>
      <c r="D2350" s="64"/>
      <c r="E2350" s="65"/>
      <c r="F2350" s="66"/>
      <c r="G2350" s="63"/>
      <c r="H2350" s="67"/>
      <c r="I2350" s="68"/>
      <c r="J2350" s="68"/>
      <c r="K2350" s="32"/>
      <c r="L2350" s="75">
        <v>2350</v>
      </c>
      <c r="M2350" s="75"/>
      <c r="N2350" s="70"/>
      <c r="O2350" s="77" t="s">
        <v>179</v>
      </c>
      <c r="P2350" s="79">
        <v>45148.895833333336</v>
      </c>
      <c r="Q2350" s="77" t="s">
        <v>3022</v>
      </c>
      <c r="R2350" s="77">
        <v>1</v>
      </c>
      <c r="S2350" s="77">
        <v>1</v>
      </c>
      <c r="T2350" s="77">
        <v>0</v>
      </c>
      <c r="U2350" s="77">
        <v>0</v>
      </c>
      <c r="V2350" s="77">
        <v>488</v>
      </c>
      <c r="W2350" s="82" t="s">
        <v>4833</v>
      </c>
      <c r="X2350" s="80" t="str">
        <f>HYPERLINK("https://mla.bs/7b4972d0")</f>
        <v>https://mla.bs/7b4972d0</v>
      </c>
      <c r="Y2350" s="77" t="s">
        <v>6506</v>
      </c>
      <c r="Z2350" s="77"/>
      <c r="AA2350" s="77"/>
      <c r="AB2350" s="77"/>
      <c r="AC2350" s="82" t="s">
        <v>7754</v>
      </c>
      <c r="AD2350" s="77" t="s">
        <v>7788</v>
      </c>
      <c r="AE2350" s="80" t="str">
        <f>HYPERLINK("https://twitter.com/einvestidor/status/1689750971222773760")</f>
        <v>https://twitter.com/einvestidor/status/1689750971222773760</v>
      </c>
      <c r="AF2350" s="79">
        <v>45148.895833333336</v>
      </c>
      <c r="AG2350" s="85">
        <v>45148</v>
      </c>
      <c r="AH2350" s="82" t="s">
        <v>8089</v>
      </c>
      <c r="AI2350" s="77" t="b">
        <v>0</v>
      </c>
      <c r="AJ2350" s="77"/>
      <c r="AK2350" s="77"/>
      <c r="AL2350" s="77"/>
      <c r="AM2350" s="77"/>
      <c r="AN2350" s="77"/>
      <c r="AO2350" s="77"/>
      <c r="AP2350" s="77"/>
      <c r="AQ2350" s="77"/>
      <c r="AR2350" s="77"/>
      <c r="AS2350" s="77"/>
      <c r="AT2350" s="77"/>
      <c r="AU2350" s="77"/>
      <c r="AV2350" s="80" t="str">
        <f>HYPERLINK("https://pbs.twimg.com/profile_images/1241147984924082183/gZgx_hL-_normal.jpg")</f>
        <v>https://pbs.twimg.com/profile_images/1241147984924082183/gZgx_hL-_normal.jpg</v>
      </c>
      <c r="AW2350" s="82" t="s">
        <v>13946</v>
      </c>
      <c r="AX2350" s="82" t="s">
        <v>13946</v>
      </c>
      <c r="AY2350" s="77"/>
      <c r="AZ2350" s="82" t="s">
        <v>15984</v>
      </c>
      <c r="BA2350" s="82" t="s">
        <v>15984</v>
      </c>
      <c r="BB2350" s="82" t="s">
        <v>15984</v>
      </c>
      <c r="BC2350" s="82" t="s">
        <v>13946</v>
      </c>
      <c r="BD2350" s="82" t="s">
        <v>15979</v>
      </c>
      <c r="BE2350" s="77"/>
      <c r="BF2350" s="77"/>
      <c r="BG2350" s="77"/>
      <c r="BH2350" s="77"/>
      <c r="BI2350" s="77"/>
    </row>
    <row r="2351" spans="1:61" x14ac:dyDescent="0.25">
      <c r="A2351" s="62" t="s">
        <v>387</v>
      </c>
      <c r="B2351" s="62" t="s">
        <v>387</v>
      </c>
      <c r="C2351" s="63"/>
      <c r="D2351" s="64"/>
      <c r="E2351" s="65"/>
      <c r="F2351" s="66"/>
      <c r="G2351" s="63"/>
      <c r="H2351" s="67"/>
      <c r="I2351" s="68"/>
      <c r="J2351" s="68"/>
      <c r="K2351" s="32"/>
      <c r="L2351" s="75">
        <v>2351</v>
      </c>
      <c r="M2351" s="75"/>
      <c r="N2351" s="70"/>
      <c r="O2351" s="77" t="s">
        <v>179</v>
      </c>
      <c r="P2351" s="79">
        <v>45148.760416666664</v>
      </c>
      <c r="Q2351" s="77" t="s">
        <v>3023</v>
      </c>
      <c r="R2351" s="77">
        <v>0</v>
      </c>
      <c r="S2351" s="77">
        <v>3</v>
      </c>
      <c r="T2351" s="77">
        <v>0</v>
      </c>
      <c r="U2351" s="77">
        <v>0</v>
      </c>
      <c r="V2351" s="77">
        <v>540</v>
      </c>
      <c r="W2351" s="82" t="s">
        <v>5978</v>
      </c>
      <c r="X2351" s="80" t="str">
        <f>HYPERLINK("https://mla.bs/2fa042c1")</f>
        <v>https://mla.bs/2fa042c1</v>
      </c>
      <c r="Y2351" s="77" t="s">
        <v>6506</v>
      </c>
      <c r="Z2351" s="77"/>
      <c r="AA2351" s="77"/>
      <c r="AB2351" s="77"/>
      <c r="AC2351" s="82" t="s">
        <v>7754</v>
      </c>
      <c r="AD2351" s="77" t="s">
        <v>7788</v>
      </c>
      <c r="AE2351" s="80" t="str">
        <f>HYPERLINK("https://twitter.com/einvestidor/status/1689701897979203585")</f>
        <v>https://twitter.com/einvestidor/status/1689701897979203585</v>
      </c>
      <c r="AF2351" s="79">
        <v>45148.760416666664</v>
      </c>
      <c r="AG2351" s="85">
        <v>45148</v>
      </c>
      <c r="AH2351" s="82" t="s">
        <v>9582</v>
      </c>
      <c r="AI2351" s="77" t="b">
        <v>0</v>
      </c>
      <c r="AJ2351" s="77"/>
      <c r="AK2351" s="77"/>
      <c r="AL2351" s="77"/>
      <c r="AM2351" s="77"/>
      <c r="AN2351" s="77"/>
      <c r="AO2351" s="77"/>
      <c r="AP2351" s="77"/>
      <c r="AQ2351" s="77"/>
      <c r="AR2351" s="77"/>
      <c r="AS2351" s="77"/>
      <c r="AT2351" s="77"/>
      <c r="AU2351" s="77"/>
      <c r="AV2351" s="80" t="str">
        <f>HYPERLINK("https://pbs.twimg.com/profile_images/1241147984924082183/gZgx_hL-_normal.jpg")</f>
        <v>https://pbs.twimg.com/profile_images/1241147984924082183/gZgx_hL-_normal.jpg</v>
      </c>
      <c r="AW2351" s="82" t="s">
        <v>13947</v>
      </c>
      <c r="AX2351" s="82" t="s">
        <v>13947</v>
      </c>
      <c r="AY2351" s="77"/>
      <c r="AZ2351" s="82" t="s">
        <v>15984</v>
      </c>
      <c r="BA2351" s="82" t="s">
        <v>15984</v>
      </c>
      <c r="BB2351" s="82" t="s">
        <v>15984</v>
      </c>
      <c r="BC2351" s="82" t="s">
        <v>13947</v>
      </c>
      <c r="BD2351" s="82" t="s">
        <v>15979</v>
      </c>
      <c r="BE2351" s="77"/>
      <c r="BF2351" s="77"/>
      <c r="BG2351" s="77"/>
      <c r="BH2351" s="77"/>
      <c r="BI2351" s="77"/>
    </row>
    <row r="2352" spans="1:61" x14ac:dyDescent="0.25">
      <c r="A2352" s="62" t="s">
        <v>387</v>
      </c>
      <c r="B2352" s="62" t="s">
        <v>387</v>
      </c>
      <c r="C2352" s="63"/>
      <c r="D2352" s="64"/>
      <c r="E2352" s="65"/>
      <c r="F2352" s="66"/>
      <c r="G2352" s="63"/>
      <c r="H2352" s="67"/>
      <c r="I2352" s="68"/>
      <c r="J2352" s="68"/>
      <c r="K2352" s="32"/>
      <c r="L2352" s="75">
        <v>2352</v>
      </c>
      <c r="M2352" s="75"/>
      <c r="N2352" s="70"/>
      <c r="O2352" s="77" t="s">
        <v>179</v>
      </c>
      <c r="P2352" s="79">
        <v>45148.731354166666</v>
      </c>
      <c r="Q2352" s="77" t="s">
        <v>3024</v>
      </c>
      <c r="R2352" s="77">
        <v>0</v>
      </c>
      <c r="S2352" s="77">
        <v>2</v>
      </c>
      <c r="T2352" s="77">
        <v>0</v>
      </c>
      <c r="U2352" s="77">
        <v>0</v>
      </c>
      <c r="V2352" s="77">
        <v>511</v>
      </c>
      <c r="W2352" s="82" t="s">
        <v>4833</v>
      </c>
      <c r="X2352" s="80" t="str">
        <f>HYPERLINK("https://mla.bs/eb8f65d2")</f>
        <v>https://mla.bs/eb8f65d2</v>
      </c>
      <c r="Y2352" s="77" t="s">
        <v>6506</v>
      </c>
      <c r="Z2352" s="77"/>
      <c r="AA2352" s="77"/>
      <c r="AB2352" s="77"/>
      <c r="AC2352" s="82" t="s">
        <v>7754</v>
      </c>
      <c r="AD2352" s="77" t="s">
        <v>7788</v>
      </c>
      <c r="AE2352" s="80" t="str">
        <f>HYPERLINK("https://twitter.com/einvestidor/status/1689691365171412992")</f>
        <v>https://twitter.com/einvestidor/status/1689691365171412992</v>
      </c>
      <c r="AF2352" s="79">
        <v>45148.731354166666</v>
      </c>
      <c r="AG2352" s="85">
        <v>45148</v>
      </c>
      <c r="AH2352" s="82" t="s">
        <v>9695</v>
      </c>
      <c r="AI2352" s="77" t="b">
        <v>0</v>
      </c>
      <c r="AJ2352" s="77"/>
      <c r="AK2352" s="77"/>
      <c r="AL2352" s="77"/>
      <c r="AM2352" s="77"/>
      <c r="AN2352" s="77"/>
      <c r="AO2352" s="77"/>
      <c r="AP2352" s="77"/>
      <c r="AQ2352" s="77"/>
      <c r="AR2352" s="77"/>
      <c r="AS2352" s="77"/>
      <c r="AT2352" s="77"/>
      <c r="AU2352" s="77"/>
      <c r="AV2352" s="80" t="str">
        <f>HYPERLINK("https://pbs.twimg.com/profile_images/1241147984924082183/gZgx_hL-_normal.jpg")</f>
        <v>https://pbs.twimg.com/profile_images/1241147984924082183/gZgx_hL-_normal.jpg</v>
      </c>
      <c r="AW2352" s="82" t="s">
        <v>13948</v>
      </c>
      <c r="AX2352" s="82" t="s">
        <v>13948</v>
      </c>
      <c r="AY2352" s="77"/>
      <c r="AZ2352" s="82" t="s">
        <v>15984</v>
      </c>
      <c r="BA2352" s="82" t="s">
        <v>15984</v>
      </c>
      <c r="BB2352" s="82" t="s">
        <v>15984</v>
      </c>
      <c r="BC2352" s="82" t="s">
        <v>13948</v>
      </c>
      <c r="BD2352" s="82" t="s">
        <v>15979</v>
      </c>
      <c r="BE2352" s="77"/>
      <c r="BF2352" s="77"/>
      <c r="BG2352" s="77"/>
      <c r="BH2352" s="77"/>
      <c r="BI2352" s="77"/>
    </row>
    <row r="2353" spans="1:61" x14ac:dyDescent="0.25">
      <c r="A2353" s="62" t="s">
        <v>387</v>
      </c>
      <c r="B2353" s="62" t="s">
        <v>387</v>
      </c>
      <c r="C2353" s="63"/>
      <c r="D2353" s="64"/>
      <c r="E2353" s="65"/>
      <c r="F2353" s="66"/>
      <c r="G2353" s="63"/>
      <c r="H2353" s="67"/>
      <c r="I2353" s="68"/>
      <c r="J2353" s="68"/>
      <c r="K2353" s="32"/>
      <c r="L2353" s="75">
        <v>2353</v>
      </c>
      <c r="M2353" s="75"/>
      <c r="N2353" s="70"/>
      <c r="O2353" s="77" t="s">
        <v>179</v>
      </c>
      <c r="P2353" s="79">
        <v>45131.739583333336</v>
      </c>
      <c r="Q2353" s="77" t="s">
        <v>3025</v>
      </c>
      <c r="R2353" s="77">
        <v>0</v>
      </c>
      <c r="S2353" s="77">
        <v>0</v>
      </c>
      <c r="T2353" s="77">
        <v>0</v>
      </c>
      <c r="U2353" s="77">
        <v>0</v>
      </c>
      <c r="V2353" s="77">
        <v>531</v>
      </c>
      <c r="W2353" s="82" t="s">
        <v>4833</v>
      </c>
      <c r="X2353" s="80" t="str">
        <f>HYPERLINK("https://mla.bs/7e74f393")</f>
        <v>https://mla.bs/7e74f393</v>
      </c>
      <c r="Y2353" s="77" t="s">
        <v>6506</v>
      </c>
      <c r="Z2353" s="77"/>
      <c r="AA2353" s="77"/>
      <c r="AB2353" s="77"/>
      <c r="AC2353" s="82" t="s">
        <v>7754</v>
      </c>
      <c r="AD2353" s="77" t="s">
        <v>7788</v>
      </c>
      <c r="AE2353" s="80" t="str">
        <f>HYPERLINK("https://twitter.com/einvestidor/status/1683533754256486400")</f>
        <v>https://twitter.com/einvestidor/status/1683533754256486400</v>
      </c>
      <c r="AF2353" s="79">
        <v>45131.739583333336</v>
      </c>
      <c r="AG2353" s="85">
        <v>45131</v>
      </c>
      <c r="AH2353" s="82" t="s">
        <v>9626</v>
      </c>
      <c r="AI2353" s="77" t="b">
        <v>0</v>
      </c>
      <c r="AJ2353" s="77"/>
      <c r="AK2353" s="77"/>
      <c r="AL2353" s="77"/>
      <c r="AM2353" s="77"/>
      <c r="AN2353" s="77"/>
      <c r="AO2353" s="77"/>
      <c r="AP2353" s="77"/>
      <c r="AQ2353" s="77"/>
      <c r="AR2353" s="77"/>
      <c r="AS2353" s="77"/>
      <c r="AT2353" s="77"/>
      <c r="AU2353" s="77"/>
      <c r="AV2353" s="80" t="str">
        <f>HYPERLINK("https://pbs.twimg.com/profile_images/1241147984924082183/gZgx_hL-_normal.jpg")</f>
        <v>https://pbs.twimg.com/profile_images/1241147984924082183/gZgx_hL-_normal.jpg</v>
      </c>
      <c r="AW2353" s="82" t="s">
        <v>13949</v>
      </c>
      <c r="AX2353" s="82" t="s">
        <v>13949</v>
      </c>
      <c r="AY2353" s="77"/>
      <c r="AZ2353" s="82" t="s">
        <v>15984</v>
      </c>
      <c r="BA2353" s="82" t="s">
        <v>15984</v>
      </c>
      <c r="BB2353" s="82" t="s">
        <v>15984</v>
      </c>
      <c r="BC2353" s="82" t="s">
        <v>13949</v>
      </c>
      <c r="BD2353" s="82" t="s">
        <v>15979</v>
      </c>
      <c r="BE2353" s="77"/>
      <c r="BF2353" s="77"/>
      <c r="BG2353" s="77"/>
      <c r="BH2353" s="77"/>
      <c r="BI2353" s="77"/>
    </row>
    <row r="2354" spans="1:61" x14ac:dyDescent="0.25">
      <c r="A2354" s="62" t="s">
        <v>387</v>
      </c>
      <c r="B2354" s="62" t="s">
        <v>387</v>
      </c>
      <c r="C2354" s="63"/>
      <c r="D2354" s="64"/>
      <c r="E2354" s="65"/>
      <c r="F2354" s="66"/>
      <c r="G2354" s="63"/>
      <c r="H2354" s="67"/>
      <c r="I2354" s="68"/>
      <c r="J2354" s="68"/>
      <c r="K2354" s="32"/>
      <c r="L2354" s="75">
        <v>2354</v>
      </c>
      <c r="M2354" s="75"/>
      <c r="N2354" s="70"/>
      <c r="O2354" s="77" t="s">
        <v>898</v>
      </c>
      <c r="P2354" s="79">
        <v>45131.726863425924</v>
      </c>
      <c r="Q2354" s="77" t="s">
        <v>3026</v>
      </c>
      <c r="R2354" s="77">
        <v>1</v>
      </c>
      <c r="S2354" s="77">
        <v>1</v>
      </c>
      <c r="T2354" s="77">
        <v>1</v>
      </c>
      <c r="U2354" s="77">
        <v>0</v>
      </c>
      <c r="V2354" s="77">
        <v>787</v>
      </c>
      <c r="W2354" s="82" t="s">
        <v>4833</v>
      </c>
      <c r="X2354" s="80" t="str">
        <f>HYPERLINK("https://mla.bs/3325b474")</f>
        <v>https://mla.bs/3325b474</v>
      </c>
      <c r="Y2354" s="77" t="s">
        <v>6506</v>
      </c>
      <c r="Z2354" s="77"/>
      <c r="AA2354" s="77"/>
      <c r="AB2354" s="77"/>
      <c r="AC2354" s="82" t="s">
        <v>7750</v>
      </c>
      <c r="AD2354" s="77" t="s">
        <v>7788</v>
      </c>
      <c r="AE2354" s="80" t="str">
        <f>HYPERLINK("https://twitter.com/einvestidor/status/1683529146557710350")</f>
        <v>https://twitter.com/einvestidor/status/1683529146557710350</v>
      </c>
      <c r="AF2354" s="79">
        <v>45131.726863425924</v>
      </c>
      <c r="AG2354" s="85">
        <v>45131</v>
      </c>
      <c r="AH2354" s="82" t="s">
        <v>9696</v>
      </c>
      <c r="AI2354" s="77" t="b">
        <v>0</v>
      </c>
      <c r="AJ2354" s="77"/>
      <c r="AK2354" s="77"/>
      <c r="AL2354" s="77"/>
      <c r="AM2354" s="77"/>
      <c r="AN2354" s="77"/>
      <c r="AO2354" s="77"/>
      <c r="AP2354" s="77"/>
      <c r="AQ2354" s="77"/>
      <c r="AR2354" s="77"/>
      <c r="AS2354" s="77"/>
      <c r="AT2354" s="77"/>
      <c r="AU2354" s="77"/>
      <c r="AV2354" s="80" t="str">
        <f>HYPERLINK("https://pbs.twimg.com/profile_images/1241147984924082183/gZgx_hL-_normal.jpg")</f>
        <v>https://pbs.twimg.com/profile_images/1241147984924082183/gZgx_hL-_normal.jpg</v>
      </c>
      <c r="AW2354" s="82" t="s">
        <v>13950</v>
      </c>
      <c r="AX2354" s="82" t="s">
        <v>14436</v>
      </c>
      <c r="AY2354" s="82" t="s">
        <v>15979</v>
      </c>
      <c r="AZ2354" s="82" t="s">
        <v>14434</v>
      </c>
      <c r="BA2354" s="82" t="s">
        <v>15984</v>
      </c>
      <c r="BB2354" s="82" t="s">
        <v>15984</v>
      </c>
      <c r="BC2354" s="82" t="s">
        <v>14434</v>
      </c>
      <c r="BD2354" s="82" t="s">
        <v>15979</v>
      </c>
      <c r="BE2354" s="77"/>
      <c r="BF2354" s="77"/>
      <c r="BG2354" s="77"/>
      <c r="BH2354" s="77"/>
      <c r="BI2354" s="77"/>
    </row>
    <row r="2355" spans="1:61" x14ac:dyDescent="0.25">
      <c r="A2355" s="62" t="s">
        <v>387</v>
      </c>
      <c r="B2355" s="62" t="s">
        <v>387</v>
      </c>
      <c r="C2355" s="63"/>
      <c r="D2355" s="64"/>
      <c r="E2355" s="65"/>
      <c r="F2355" s="66"/>
      <c r="G2355" s="63"/>
      <c r="H2355" s="67"/>
      <c r="I2355" s="68"/>
      <c r="J2355" s="68"/>
      <c r="K2355" s="32"/>
      <c r="L2355" s="75">
        <v>2355</v>
      </c>
      <c r="M2355" s="75"/>
      <c r="N2355" s="70"/>
      <c r="O2355" s="77" t="s">
        <v>179</v>
      </c>
      <c r="P2355" s="79">
        <v>45131.708333333336</v>
      </c>
      <c r="Q2355" s="77" t="s">
        <v>3027</v>
      </c>
      <c r="R2355" s="77">
        <v>0</v>
      </c>
      <c r="S2355" s="77">
        <v>0</v>
      </c>
      <c r="T2355" s="77">
        <v>0</v>
      </c>
      <c r="U2355" s="77">
        <v>0</v>
      </c>
      <c r="V2355" s="77">
        <v>487</v>
      </c>
      <c r="W2355" s="82" t="s">
        <v>4833</v>
      </c>
      <c r="X2355" s="80" t="str">
        <f>HYPERLINK("https://mla.bs/781d8a3f")</f>
        <v>https://mla.bs/781d8a3f</v>
      </c>
      <c r="Y2355" s="77" t="s">
        <v>6506</v>
      </c>
      <c r="Z2355" s="77"/>
      <c r="AA2355" s="77"/>
      <c r="AB2355" s="77"/>
      <c r="AC2355" s="82" t="s">
        <v>7754</v>
      </c>
      <c r="AD2355" s="77" t="s">
        <v>7788</v>
      </c>
      <c r="AE2355" s="80" t="str">
        <f>HYPERLINK("https://twitter.com/einvestidor/status/1683522430843723798")</f>
        <v>https://twitter.com/einvestidor/status/1683522430843723798</v>
      </c>
      <c r="AF2355" s="79">
        <v>45131.708333333336</v>
      </c>
      <c r="AG2355" s="85">
        <v>45131</v>
      </c>
      <c r="AH2355" s="82" t="s">
        <v>9697</v>
      </c>
      <c r="AI2355" s="77" t="b">
        <v>0</v>
      </c>
      <c r="AJ2355" s="77"/>
      <c r="AK2355" s="77"/>
      <c r="AL2355" s="77"/>
      <c r="AM2355" s="77"/>
      <c r="AN2355" s="77"/>
      <c r="AO2355" s="77"/>
      <c r="AP2355" s="77"/>
      <c r="AQ2355" s="77"/>
      <c r="AR2355" s="77"/>
      <c r="AS2355" s="77"/>
      <c r="AT2355" s="77"/>
      <c r="AU2355" s="77"/>
      <c r="AV2355" s="80" t="str">
        <f>HYPERLINK("https://pbs.twimg.com/profile_images/1241147984924082183/gZgx_hL-_normal.jpg")</f>
        <v>https://pbs.twimg.com/profile_images/1241147984924082183/gZgx_hL-_normal.jpg</v>
      </c>
      <c r="AW2355" s="82" t="s">
        <v>13951</v>
      </c>
      <c r="AX2355" s="82" t="s">
        <v>13951</v>
      </c>
      <c r="AY2355" s="77"/>
      <c r="AZ2355" s="82" t="s">
        <v>15984</v>
      </c>
      <c r="BA2355" s="82" t="s">
        <v>15984</v>
      </c>
      <c r="BB2355" s="82" t="s">
        <v>15984</v>
      </c>
      <c r="BC2355" s="82" t="s">
        <v>13951</v>
      </c>
      <c r="BD2355" s="82" t="s">
        <v>15979</v>
      </c>
      <c r="BE2355" s="77"/>
      <c r="BF2355" s="77"/>
      <c r="BG2355" s="77"/>
      <c r="BH2355" s="77"/>
      <c r="BI2355" s="77"/>
    </row>
    <row r="2356" spans="1:61" x14ac:dyDescent="0.25">
      <c r="A2356" s="62" t="s">
        <v>387</v>
      </c>
      <c r="B2356" s="62" t="s">
        <v>387</v>
      </c>
      <c r="C2356" s="63"/>
      <c r="D2356" s="64"/>
      <c r="E2356" s="65"/>
      <c r="F2356" s="66"/>
      <c r="G2356" s="63"/>
      <c r="H2356" s="67"/>
      <c r="I2356" s="68"/>
      <c r="J2356" s="68"/>
      <c r="K2356" s="32"/>
      <c r="L2356" s="75">
        <v>2356</v>
      </c>
      <c r="M2356" s="75"/>
      <c r="N2356" s="70"/>
      <c r="O2356" s="77" t="s">
        <v>179</v>
      </c>
      <c r="P2356" s="79">
        <v>45131.701666666668</v>
      </c>
      <c r="Q2356" s="77" t="s">
        <v>3028</v>
      </c>
      <c r="R2356" s="77">
        <v>0</v>
      </c>
      <c r="S2356" s="77">
        <v>0</v>
      </c>
      <c r="T2356" s="77">
        <v>0</v>
      </c>
      <c r="U2356" s="77">
        <v>0</v>
      </c>
      <c r="V2356" s="77">
        <v>632</v>
      </c>
      <c r="W2356" s="82" t="s">
        <v>4833</v>
      </c>
      <c r="X2356" s="80" t="str">
        <f>HYPERLINK("https://mla.bs/8c06098d")</f>
        <v>https://mla.bs/8c06098d</v>
      </c>
      <c r="Y2356" s="77" t="s">
        <v>6506</v>
      </c>
      <c r="Z2356" s="77"/>
      <c r="AA2356" s="77"/>
      <c r="AB2356" s="77"/>
      <c r="AC2356" s="82" t="s">
        <v>7750</v>
      </c>
      <c r="AD2356" s="77" t="s">
        <v>7788</v>
      </c>
      <c r="AE2356" s="80" t="str">
        <f>HYPERLINK("https://twitter.com/einvestidor/status/1683520016333905921")</f>
        <v>https://twitter.com/einvestidor/status/1683520016333905921</v>
      </c>
      <c r="AF2356" s="79">
        <v>45131.701666666668</v>
      </c>
      <c r="AG2356" s="85">
        <v>45131</v>
      </c>
      <c r="AH2356" s="82" t="s">
        <v>9698</v>
      </c>
      <c r="AI2356" s="77" t="b">
        <v>0</v>
      </c>
      <c r="AJ2356" s="77"/>
      <c r="AK2356" s="77"/>
      <c r="AL2356" s="77"/>
      <c r="AM2356" s="77"/>
      <c r="AN2356" s="77"/>
      <c r="AO2356" s="77"/>
      <c r="AP2356" s="77"/>
      <c r="AQ2356" s="77"/>
      <c r="AR2356" s="77"/>
      <c r="AS2356" s="77"/>
      <c r="AT2356" s="77"/>
      <c r="AU2356" s="77"/>
      <c r="AV2356" s="80" t="str">
        <f>HYPERLINK("https://pbs.twimg.com/profile_images/1241147984924082183/gZgx_hL-_normal.jpg")</f>
        <v>https://pbs.twimg.com/profile_images/1241147984924082183/gZgx_hL-_normal.jpg</v>
      </c>
      <c r="AW2356" s="82" t="s">
        <v>13952</v>
      </c>
      <c r="AX2356" s="82" t="s">
        <v>13952</v>
      </c>
      <c r="AY2356" s="77"/>
      <c r="AZ2356" s="82" t="s">
        <v>15984</v>
      </c>
      <c r="BA2356" s="82" t="s">
        <v>15984</v>
      </c>
      <c r="BB2356" s="82" t="s">
        <v>15984</v>
      </c>
      <c r="BC2356" s="82" t="s">
        <v>13952</v>
      </c>
      <c r="BD2356" s="82" t="s">
        <v>15979</v>
      </c>
      <c r="BE2356" s="77"/>
      <c r="BF2356" s="77"/>
      <c r="BG2356" s="77"/>
      <c r="BH2356" s="77"/>
      <c r="BI2356" s="77"/>
    </row>
    <row r="2357" spans="1:61" x14ac:dyDescent="0.25">
      <c r="A2357" s="62" t="s">
        <v>387</v>
      </c>
      <c r="B2357" s="62" t="s">
        <v>387</v>
      </c>
      <c r="C2357" s="63"/>
      <c r="D2357" s="64"/>
      <c r="E2357" s="65"/>
      <c r="F2357" s="66"/>
      <c r="G2357" s="63"/>
      <c r="H2357" s="67"/>
      <c r="I2357" s="68"/>
      <c r="J2357" s="68"/>
      <c r="K2357" s="32"/>
      <c r="L2357" s="75">
        <v>2357</v>
      </c>
      <c r="M2357" s="75"/>
      <c r="N2357" s="70"/>
      <c r="O2357" s="77" t="s">
        <v>179</v>
      </c>
      <c r="P2357" s="79">
        <v>45131.70076388889</v>
      </c>
      <c r="Q2357" s="77" t="s">
        <v>3029</v>
      </c>
      <c r="R2357" s="77">
        <v>0</v>
      </c>
      <c r="S2357" s="77">
        <v>0</v>
      </c>
      <c r="T2357" s="77">
        <v>0</v>
      </c>
      <c r="U2357" s="77">
        <v>0</v>
      </c>
      <c r="V2357" s="77">
        <v>446</v>
      </c>
      <c r="W2357" s="82" t="s">
        <v>4833</v>
      </c>
      <c r="X2357" s="80" t="str">
        <f>HYPERLINK("https://mla.bs/bf87c42d")</f>
        <v>https://mla.bs/bf87c42d</v>
      </c>
      <c r="Y2357" s="77" t="s">
        <v>6506</v>
      </c>
      <c r="Z2357" s="77"/>
      <c r="AA2357" s="77"/>
      <c r="AB2357" s="77"/>
      <c r="AC2357" s="82" t="s">
        <v>7750</v>
      </c>
      <c r="AD2357" s="77" t="s">
        <v>7788</v>
      </c>
      <c r="AE2357" s="80" t="str">
        <f>HYPERLINK("https://twitter.com/einvestidor/status/1683519686267289600")</f>
        <v>https://twitter.com/einvestidor/status/1683519686267289600</v>
      </c>
      <c r="AF2357" s="79">
        <v>45131.70076388889</v>
      </c>
      <c r="AG2357" s="85">
        <v>45131</v>
      </c>
      <c r="AH2357" s="82" t="s">
        <v>9699</v>
      </c>
      <c r="AI2357" s="77" t="b">
        <v>0</v>
      </c>
      <c r="AJ2357" s="77"/>
      <c r="AK2357" s="77"/>
      <c r="AL2357" s="77"/>
      <c r="AM2357" s="77"/>
      <c r="AN2357" s="77"/>
      <c r="AO2357" s="77"/>
      <c r="AP2357" s="77"/>
      <c r="AQ2357" s="77"/>
      <c r="AR2357" s="77"/>
      <c r="AS2357" s="77"/>
      <c r="AT2357" s="77"/>
      <c r="AU2357" s="77"/>
      <c r="AV2357" s="80" t="str">
        <f>HYPERLINK("https://pbs.twimg.com/profile_images/1241147984924082183/gZgx_hL-_normal.jpg")</f>
        <v>https://pbs.twimg.com/profile_images/1241147984924082183/gZgx_hL-_normal.jpg</v>
      </c>
      <c r="AW2357" s="82" t="s">
        <v>13953</v>
      </c>
      <c r="AX2357" s="82" t="s">
        <v>13953</v>
      </c>
      <c r="AY2357" s="77"/>
      <c r="AZ2357" s="82" t="s">
        <v>15984</v>
      </c>
      <c r="BA2357" s="82" t="s">
        <v>15984</v>
      </c>
      <c r="BB2357" s="82" t="s">
        <v>15984</v>
      </c>
      <c r="BC2357" s="82" t="s">
        <v>13953</v>
      </c>
      <c r="BD2357" s="82" t="s">
        <v>15979</v>
      </c>
      <c r="BE2357" s="77"/>
      <c r="BF2357" s="77"/>
      <c r="BG2357" s="77"/>
      <c r="BH2357" s="77"/>
      <c r="BI2357" s="77"/>
    </row>
    <row r="2358" spans="1:61" x14ac:dyDescent="0.25">
      <c r="A2358" s="62" t="s">
        <v>387</v>
      </c>
      <c r="B2358" s="62" t="s">
        <v>387</v>
      </c>
      <c r="C2358" s="63"/>
      <c r="D2358" s="64"/>
      <c r="E2358" s="65"/>
      <c r="F2358" s="66"/>
      <c r="G2358" s="63"/>
      <c r="H2358" s="67"/>
      <c r="I2358" s="68"/>
      <c r="J2358" s="68"/>
      <c r="K2358" s="32"/>
      <c r="L2358" s="75">
        <v>2358</v>
      </c>
      <c r="M2358" s="75"/>
      <c r="N2358" s="70"/>
      <c r="O2358" s="77" t="s">
        <v>179</v>
      </c>
      <c r="P2358" s="79">
        <v>45122.027777777781</v>
      </c>
      <c r="Q2358" s="77" t="s">
        <v>3030</v>
      </c>
      <c r="R2358" s="77">
        <v>0</v>
      </c>
      <c r="S2358" s="77">
        <v>2</v>
      </c>
      <c r="T2358" s="77">
        <v>1</v>
      </c>
      <c r="U2358" s="77">
        <v>0</v>
      </c>
      <c r="V2358" s="77">
        <v>836</v>
      </c>
      <c r="W2358" s="82" t="s">
        <v>5925</v>
      </c>
      <c r="X2358" s="80" t="str">
        <f>HYPERLINK("https://mla.bs/2a1da19f")</f>
        <v>https://mla.bs/2a1da19f</v>
      </c>
      <c r="Y2358" s="77" t="s">
        <v>6506</v>
      </c>
      <c r="Z2358" s="77"/>
      <c r="AA2358" s="77"/>
      <c r="AB2358" s="77"/>
      <c r="AC2358" s="82" t="s">
        <v>7757</v>
      </c>
      <c r="AD2358" s="77" t="s">
        <v>7788</v>
      </c>
      <c r="AE2358" s="80" t="str">
        <f>HYPERLINK("https://twitter.com/einvestidor/status/1680014316274085888")</f>
        <v>https://twitter.com/einvestidor/status/1680014316274085888</v>
      </c>
      <c r="AF2358" s="79">
        <v>45122.027777777781</v>
      </c>
      <c r="AG2358" s="85">
        <v>45122</v>
      </c>
      <c r="AH2358" s="82" t="s">
        <v>9594</v>
      </c>
      <c r="AI2358" s="77" t="b">
        <v>0</v>
      </c>
      <c r="AJ2358" s="77"/>
      <c r="AK2358" s="77"/>
      <c r="AL2358" s="77"/>
      <c r="AM2358" s="77"/>
      <c r="AN2358" s="77"/>
      <c r="AO2358" s="77"/>
      <c r="AP2358" s="77"/>
      <c r="AQ2358" s="77"/>
      <c r="AR2358" s="77"/>
      <c r="AS2358" s="77"/>
      <c r="AT2358" s="77"/>
      <c r="AU2358" s="77"/>
      <c r="AV2358" s="80" t="str">
        <f>HYPERLINK("https://pbs.twimg.com/profile_images/1241147984924082183/gZgx_hL-_normal.jpg")</f>
        <v>https://pbs.twimg.com/profile_images/1241147984924082183/gZgx_hL-_normal.jpg</v>
      </c>
      <c r="AW2358" s="82" t="s">
        <v>13954</v>
      </c>
      <c r="AX2358" s="82" t="s">
        <v>13954</v>
      </c>
      <c r="AY2358" s="77"/>
      <c r="AZ2358" s="82" t="s">
        <v>15984</v>
      </c>
      <c r="BA2358" s="82" t="s">
        <v>15984</v>
      </c>
      <c r="BB2358" s="82" t="s">
        <v>15984</v>
      </c>
      <c r="BC2358" s="82" t="s">
        <v>13954</v>
      </c>
      <c r="BD2358" s="82" t="s">
        <v>15979</v>
      </c>
      <c r="BE2358" s="77"/>
      <c r="BF2358" s="77"/>
      <c r="BG2358" s="77"/>
      <c r="BH2358" s="77"/>
      <c r="BI2358" s="77"/>
    </row>
    <row r="2359" spans="1:61" x14ac:dyDescent="0.25">
      <c r="A2359" s="62" t="s">
        <v>387</v>
      </c>
      <c r="B2359" s="62" t="s">
        <v>387</v>
      </c>
      <c r="C2359" s="63"/>
      <c r="D2359" s="64"/>
      <c r="E2359" s="65"/>
      <c r="F2359" s="66"/>
      <c r="G2359" s="63"/>
      <c r="H2359" s="67"/>
      <c r="I2359" s="68"/>
      <c r="J2359" s="68"/>
      <c r="K2359" s="32"/>
      <c r="L2359" s="75">
        <v>2359</v>
      </c>
      <c r="M2359" s="75"/>
      <c r="N2359" s="70"/>
      <c r="O2359" s="77" t="s">
        <v>179</v>
      </c>
      <c r="P2359" s="79">
        <v>45122.013923611114</v>
      </c>
      <c r="Q2359" s="77" t="s">
        <v>3031</v>
      </c>
      <c r="R2359" s="77">
        <v>0</v>
      </c>
      <c r="S2359" s="77">
        <v>7</v>
      </c>
      <c r="T2359" s="77">
        <v>0</v>
      </c>
      <c r="U2359" s="77">
        <v>0</v>
      </c>
      <c r="V2359" s="77">
        <v>939</v>
      </c>
      <c r="W2359" s="82" t="s">
        <v>5979</v>
      </c>
      <c r="X2359" s="80" t="str">
        <f>HYPERLINK("https://mla.bs/000d0eb5")</f>
        <v>https://mla.bs/000d0eb5</v>
      </c>
      <c r="Y2359" s="77" t="s">
        <v>6506</v>
      </c>
      <c r="Z2359" s="77"/>
      <c r="AA2359" s="77"/>
      <c r="AB2359" s="77"/>
      <c r="AC2359" s="82" t="s">
        <v>7757</v>
      </c>
      <c r="AD2359" s="77" t="s">
        <v>7788</v>
      </c>
      <c r="AE2359" s="80" t="str">
        <f>HYPERLINK("https://twitter.com/einvestidor/status/1680009295432151040")</f>
        <v>https://twitter.com/einvestidor/status/1680009295432151040</v>
      </c>
      <c r="AF2359" s="79">
        <v>45122.013923611114</v>
      </c>
      <c r="AG2359" s="85">
        <v>45122</v>
      </c>
      <c r="AH2359" s="82" t="s">
        <v>9700</v>
      </c>
      <c r="AI2359" s="77" t="b">
        <v>0</v>
      </c>
      <c r="AJ2359" s="77"/>
      <c r="AK2359" s="77"/>
      <c r="AL2359" s="77"/>
      <c r="AM2359" s="77"/>
      <c r="AN2359" s="77"/>
      <c r="AO2359" s="77"/>
      <c r="AP2359" s="77"/>
      <c r="AQ2359" s="77"/>
      <c r="AR2359" s="77"/>
      <c r="AS2359" s="77"/>
      <c r="AT2359" s="77"/>
      <c r="AU2359" s="77"/>
      <c r="AV2359" s="80" t="str">
        <f>HYPERLINK("https://pbs.twimg.com/profile_images/1241147984924082183/gZgx_hL-_normal.jpg")</f>
        <v>https://pbs.twimg.com/profile_images/1241147984924082183/gZgx_hL-_normal.jpg</v>
      </c>
      <c r="AW2359" s="82" t="s">
        <v>13955</v>
      </c>
      <c r="AX2359" s="82" t="s">
        <v>13955</v>
      </c>
      <c r="AY2359" s="77"/>
      <c r="AZ2359" s="82" t="s">
        <v>15984</v>
      </c>
      <c r="BA2359" s="82" t="s">
        <v>15984</v>
      </c>
      <c r="BB2359" s="82" t="s">
        <v>15984</v>
      </c>
      <c r="BC2359" s="82" t="s">
        <v>13955</v>
      </c>
      <c r="BD2359" s="82" t="s">
        <v>15979</v>
      </c>
      <c r="BE2359" s="77"/>
      <c r="BF2359" s="77"/>
      <c r="BG2359" s="77"/>
      <c r="BH2359" s="77"/>
      <c r="BI2359" s="77"/>
    </row>
    <row r="2360" spans="1:61" x14ac:dyDescent="0.25">
      <c r="A2360" s="62" t="s">
        <v>387</v>
      </c>
      <c r="B2360" s="62" t="s">
        <v>387</v>
      </c>
      <c r="C2360" s="63"/>
      <c r="D2360" s="64"/>
      <c r="E2360" s="65"/>
      <c r="F2360" s="66"/>
      <c r="G2360" s="63"/>
      <c r="H2360" s="67"/>
      <c r="I2360" s="68"/>
      <c r="J2360" s="68"/>
      <c r="K2360" s="32"/>
      <c r="L2360" s="75">
        <v>2360</v>
      </c>
      <c r="M2360" s="75"/>
      <c r="N2360" s="70"/>
      <c r="O2360" s="77" t="s">
        <v>179</v>
      </c>
      <c r="P2360" s="79">
        <v>45122.000578703701</v>
      </c>
      <c r="Q2360" s="77" t="s">
        <v>3032</v>
      </c>
      <c r="R2360" s="77">
        <v>0</v>
      </c>
      <c r="S2360" s="77">
        <v>3</v>
      </c>
      <c r="T2360" s="77">
        <v>0</v>
      </c>
      <c r="U2360" s="77">
        <v>0</v>
      </c>
      <c r="V2360" s="77">
        <v>872</v>
      </c>
      <c r="W2360" s="82" t="s">
        <v>4833</v>
      </c>
      <c r="X2360" s="80" t="str">
        <f>HYPERLINK("https://mla.bs/205b4e97")</f>
        <v>https://mla.bs/205b4e97</v>
      </c>
      <c r="Y2360" s="77" t="s">
        <v>6506</v>
      </c>
      <c r="Z2360" s="77"/>
      <c r="AA2360" s="77"/>
      <c r="AB2360" s="77"/>
      <c r="AC2360" s="82" t="s">
        <v>7757</v>
      </c>
      <c r="AD2360" s="77" t="s">
        <v>7788</v>
      </c>
      <c r="AE2360" s="80" t="str">
        <f>HYPERLINK("https://twitter.com/einvestidor/status/1680004458967625729")</f>
        <v>https://twitter.com/einvestidor/status/1680004458967625729</v>
      </c>
      <c r="AF2360" s="79">
        <v>45122.000578703701</v>
      </c>
      <c r="AG2360" s="85">
        <v>45122</v>
      </c>
      <c r="AH2360" s="82" t="s">
        <v>9701</v>
      </c>
      <c r="AI2360" s="77" t="b">
        <v>0</v>
      </c>
      <c r="AJ2360" s="77"/>
      <c r="AK2360" s="77"/>
      <c r="AL2360" s="77"/>
      <c r="AM2360" s="77"/>
      <c r="AN2360" s="77"/>
      <c r="AO2360" s="77"/>
      <c r="AP2360" s="77"/>
      <c r="AQ2360" s="77"/>
      <c r="AR2360" s="77"/>
      <c r="AS2360" s="77"/>
      <c r="AT2360" s="77"/>
      <c r="AU2360" s="77"/>
      <c r="AV2360" s="80" t="str">
        <f>HYPERLINK("https://pbs.twimg.com/profile_images/1241147984924082183/gZgx_hL-_normal.jpg")</f>
        <v>https://pbs.twimg.com/profile_images/1241147984924082183/gZgx_hL-_normal.jpg</v>
      </c>
      <c r="AW2360" s="82" t="s">
        <v>13956</v>
      </c>
      <c r="AX2360" s="82" t="s">
        <v>13956</v>
      </c>
      <c r="AY2360" s="77"/>
      <c r="AZ2360" s="82" t="s">
        <v>15984</v>
      </c>
      <c r="BA2360" s="82" t="s">
        <v>15984</v>
      </c>
      <c r="BB2360" s="82" t="s">
        <v>15984</v>
      </c>
      <c r="BC2360" s="82" t="s">
        <v>13956</v>
      </c>
      <c r="BD2360" s="82" t="s">
        <v>15979</v>
      </c>
      <c r="BE2360" s="77"/>
      <c r="BF2360" s="77"/>
      <c r="BG2360" s="77"/>
      <c r="BH2360" s="77"/>
      <c r="BI2360" s="77"/>
    </row>
    <row r="2361" spans="1:61" x14ac:dyDescent="0.25">
      <c r="A2361" s="62" t="s">
        <v>387</v>
      </c>
      <c r="B2361" s="62" t="s">
        <v>387</v>
      </c>
      <c r="C2361" s="63"/>
      <c r="D2361" s="64"/>
      <c r="E2361" s="65"/>
      <c r="F2361" s="66"/>
      <c r="G2361" s="63"/>
      <c r="H2361" s="67"/>
      <c r="I2361" s="68"/>
      <c r="J2361" s="68"/>
      <c r="K2361" s="32"/>
      <c r="L2361" s="75">
        <v>2361</v>
      </c>
      <c r="M2361" s="75"/>
      <c r="N2361" s="70"/>
      <c r="O2361" s="77" t="s">
        <v>179</v>
      </c>
      <c r="P2361" s="79">
        <v>45121.972314814811</v>
      </c>
      <c r="Q2361" s="77" t="s">
        <v>3033</v>
      </c>
      <c r="R2361" s="77">
        <v>1</v>
      </c>
      <c r="S2361" s="77">
        <v>4</v>
      </c>
      <c r="T2361" s="77">
        <v>0</v>
      </c>
      <c r="U2361" s="77">
        <v>0</v>
      </c>
      <c r="V2361" s="77">
        <v>819</v>
      </c>
      <c r="W2361" s="82" t="s">
        <v>5980</v>
      </c>
      <c r="X2361" s="80" t="str">
        <f>HYPERLINK("https://mla.bs/dda28079")</f>
        <v>https://mla.bs/dda28079</v>
      </c>
      <c r="Y2361" s="77" t="s">
        <v>6506</v>
      </c>
      <c r="Z2361" s="77"/>
      <c r="AA2361" s="77"/>
      <c r="AB2361" s="77"/>
      <c r="AC2361" s="82" t="s">
        <v>7757</v>
      </c>
      <c r="AD2361" s="77" t="s">
        <v>7788</v>
      </c>
      <c r="AE2361" s="80" t="str">
        <f>HYPERLINK("https://twitter.com/einvestidor/status/1679994217345564673")</f>
        <v>https://twitter.com/einvestidor/status/1679994217345564673</v>
      </c>
      <c r="AF2361" s="79">
        <v>45121.972314814811</v>
      </c>
      <c r="AG2361" s="85">
        <v>45121</v>
      </c>
      <c r="AH2361" s="82" t="s">
        <v>9702</v>
      </c>
      <c r="AI2361" s="77" t="b">
        <v>0</v>
      </c>
      <c r="AJ2361" s="77"/>
      <c r="AK2361" s="77"/>
      <c r="AL2361" s="77"/>
      <c r="AM2361" s="77"/>
      <c r="AN2361" s="77"/>
      <c r="AO2361" s="77"/>
      <c r="AP2361" s="77"/>
      <c r="AQ2361" s="77"/>
      <c r="AR2361" s="77"/>
      <c r="AS2361" s="77"/>
      <c r="AT2361" s="77"/>
      <c r="AU2361" s="77"/>
      <c r="AV2361" s="80" t="str">
        <f>HYPERLINK("https://pbs.twimg.com/profile_images/1241147984924082183/gZgx_hL-_normal.jpg")</f>
        <v>https://pbs.twimg.com/profile_images/1241147984924082183/gZgx_hL-_normal.jpg</v>
      </c>
      <c r="AW2361" s="82" t="s">
        <v>13957</v>
      </c>
      <c r="AX2361" s="82" t="s">
        <v>13957</v>
      </c>
      <c r="AY2361" s="77"/>
      <c r="AZ2361" s="82" t="s">
        <v>15984</v>
      </c>
      <c r="BA2361" s="82" t="s">
        <v>15984</v>
      </c>
      <c r="BB2361" s="82" t="s">
        <v>15984</v>
      </c>
      <c r="BC2361" s="82" t="s">
        <v>13957</v>
      </c>
      <c r="BD2361" s="82" t="s">
        <v>15979</v>
      </c>
      <c r="BE2361" s="77"/>
      <c r="BF2361" s="77"/>
      <c r="BG2361" s="77"/>
      <c r="BH2361" s="77"/>
      <c r="BI2361" s="77"/>
    </row>
    <row r="2362" spans="1:61" x14ac:dyDescent="0.25">
      <c r="A2362" s="62" t="s">
        <v>387</v>
      </c>
      <c r="B2362" s="62" t="s">
        <v>387</v>
      </c>
      <c r="C2362" s="63"/>
      <c r="D2362" s="64"/>
      <c r="E2362" s="65"/>
      <c r="F2362" s="66"/>
      <c r="G2362" s="63"/>
      <c r="H2362" s="67"/>
      <c r="I2362" s="68"/>
      <c r="J2362" s="68"/>
      <c r="K2362" s="32"/>
      <c r="L2362" s="75">
        <v>2362</v>
      </c>
      <c r="M2362" s="75"/>
      <c r="N2362" s="70"/>
      <c r="O2362" s="77" t="s">
        <v>179</v>
      </c>
      <c r="P2362" s="79">
        <v>45121.958773148152</v>
      </c>
      <c r="Q2362" s="77" t="s">
        <v>3034</v>
      </c>
      <c r="R2362" s="77">
        <v>0</v>
      </c>
      <c r="S2362" s="77">
        <v>1</v>
      </c>
      <c r="T2362" s="77">
        <v>0</v>
      </c>
      <c r="U2362" s="77">
        <v>0</v>
      </c>
      <c r="V2362" s="77">
        <v>700</v>
      </c>
      <c r="W2362" s="82" t="s">
        <v>4833</v>
      </c>
      <c r="X2362" s="80" t="str">
        <f>HYPERLINK("https://mla.bs/04a34c2b")</f>
        <v>https://mla.bs/04a34c2b</v>
      </c>
      <c r="Y2362" s="77" t="s">
        <v>6506</v>
      </c>
      <c r="Z2362" s="77"/>
      <c r="AA2362" s="77"/>
      <c r="AB2362" s="77"/>
      <c r="AC2362" s="82" t="s">
        <v>7757</v>
      </c>
      <c r="AD2362" s="77" t="s">
        <v>7788</v>
      </c>
      <c r="AE2362" s="80" t="str">
        <f>HYPERLINK("https://twitter.com/einvestidor/status/1679989307325513736")</f>
        <v>https://twitter.com/einvestidor/status/1679989307325513736</v>
      </c>
      <c r="AF2362" s="79">
        <v>45121.958773148152</v>
      </c>
      <c r="AG2362" s="85">
        <v>45121</v>
      </c>
      <c r="AH2362" s="82" t="s">
        <v>9703</v>
      </c>
      <c r="AI2362" s="77" t="b">
        <v>0</v>
      </c>
      <c r="AJ2362" s="77"/>
      <c r="AK2362" s="77"/>
      <c r="AL2362" s="77"/>
      <c r="AM2362" s="77"/>
      <c r="AN2362" s="77"/>
      <c r="AO2362" s="77"/>
      <c r="AP2362" s="77"/>
      <c r="AQ2362" s="77"/>
      <c r="AR2362" s="77"/>
      <c r="AS2362" s="77"/>
      <c r="AT2362" s="77"/>
      <c r="AU2362" s="77"/>
      <c r="AV2362" s="80" t="str">
        <f>HYPERLINK("https://pbs.twimg.com/profile_images/1241147984924082183/gZgx_hL-_normal.jpg")</f>
        <v>https://pbs.twimg.com/profile_images/1241147984924082183/gZgx_hL-_normal.jpg</v>
      </c>
      <c r="AW2362" s="82" t="s">
        <v>13958</v>
      </c>
      <c r="AX2362" s="82" t="s">
        <v>13958</v>
      </c>
      <c r="AY2362" s="77"/>
      <c r="AZ2362" s="82" t="s">
        <v>15984</v>
      </c>
      <c r="BA2362" s="82" t="s">
        <v>15984</v>
      </c>
      <c r="BB2362" s="82" t="s">
        <v>15984</v>
      </c>
      <c r="BC2362" s="82" t="s">
        <v>13958</v>
      </c>
      <c r="BD2362" s="82" t="s">
        <v>15979</v>
      </c>
      <c r="BE2362" s="77"/>
      <c r="BF2362" s="77"/>
      <c r="BG2362" s="77"/>
      <c r="BH2362" s="77"/>
      <c r="BI2362" s="77"/>
    </row>
    <row r="2363" spans="1:61" x14ac:dyDescent="0.25">
      <c r="A2363" s="62" t="s">
        <v>387</v>
      </c>
      <c r="B2363" s="62" t="s">
        <v>387</v>
      </c>
      <c r="C2363" s="63"/>
      <c r="D2363" s="64"/>
      <c r="E2363" s="65"/>
      <c r="F2363" s="66"/>
      <c r="G2363" s="63"/>
      <c r="H2363" s="67"/>
      <c r="I2363" s="68"/>
      <c r="J2363" s="68"/>
      <c r="K2363" s="32"/>
      <c r="L2363" s="75">
        <v>2363</v>
      </c>
      <c r="M2363" s="75"/>
      <c r="N2363" s="70"/>
      <c r="O2363" s="77" t="s">
        <v>179</v>
      </c>
      <c r="P2363" s="79">
        <v>45121.944479166668</v>
      </c>
      <c r="Q2363" s="77" t="s">
        <v>3035</v>
      </c>
      <c r="R2363" s="77">
        <v>0</v>
      </c>
      <c r="S2363" s="77">
        <v>1</v>
      </c>
      <c r="T2363" s="77">
        <v>0</v>
      </c>
      <c r="U2363" s="77">
        <v>0</v>
      </c>
      <c r="V2363" s="77">
        <v>634</v>
      </c>
      <c r="W2363" s="82" t="s">
        <v>5981</v>
      </c>
      <c r="X2363" s="80" t="str">
        <f>HYPERLINK("https://mla.bs/34db0f06")</f>
        <v>https://mla.bs/34db0f06</v>
      </c>
      <c r="Y2363" s="77" t="s">
        <v>6506</v>
      </c>
      <c r="Z2363" s="77"/>
      <c r="AA2363" s="77"/>
      <c r="AB2363" s="77"/>
      <c r="AC2363" s="82" t="s">
        <v>7757</v>
      </c>
      <c r="AD2363" s="77" t="s">
        <v>7788</v>
      </c>
      <c r="AE2363" s="80" t="str">
        <f>HYPERLINK("https://twitter.com/einvestidor/status/1679984130145255424")</f>
        <v>https://twitter.com/einvestidor/status/1679984130145255424</v>
      </c>
      <c r="AF2363" s="79">
        <v>45121.944479166668</v>
      </c>
      <c r="AG2363" s="85">
        <v>45121</v>
      </c>
      <c r="AH2363" s="82" t="s">
        <v>8715</v>
      </c>
      <c r="AI2363" s="77" t="b">
        <v>0</v>
      </c>
      <c r="AJ2363" s="77"/>
      <c r="AK2363" s="77"/>
      <c r="AL2363" s="77"/>
      <c r="AM2363" s="77"/>
      <c r="AN2363" s="77"/>
      <c r="AO2363" s="77"/>
      <c r="AP2363" s="77"/>
      <c r="AQ2363" s="77"/>
      <c r="AR2363" s="77"/>
      <c r="AS2363" s="77"/>
      <c r="AT2363" s="77"/>
      <c r="AU2363" s="77"/>
      <c r="AV2363" s="80" t="str">
        <f>HYPERLINK("https://pbs.twimg.com/profile_images/1241147984924082183/gZgx_hL-_normal.jpg")</f>
        <v>https://pbs.twimg.com/profile_images/1241147984924082183/gZgx_hL-_normal.jpg</v>
      </c>
      <c r="AW2363" s="82" t="s">
        <v>13959</v>
      </c>
      <c r="AX2363" s="82" t="s">
        <v>13959</v>
      </c>
      <c r="AY2363" s="77"/>
      <c r="AZ2363" s="82" t="s">
        <v>15984</v>
      </c>
      <c r="BA2363" s="82" t="s">
        <v>15984</v>
      </c>
      <c r="BB2363" s="82" t="s">
        <v>15984</v>
      </c>
      <c r="BC2363" s="82" t="s">
        <v>13959</v>
      </c>
      <c r="BD2363" s="82" t="s">
        <v>15979</v>
      </c>
      <c r="BE2363" s="77"/>
      <c r="BF2363" s="77"/>
      <c r="BG2363" s="77"/>
      <c r="BH2363" s="77"/>
      <c r="BI2363" s="77"/>
    </row>
    <row r="2364" spans="1:61" x14ac:dyDescent="0.25">
      <c r="A2364" s="62" t="s">
        <v>387</v>
      </c>
      <c r="B2364" s="62" t="s">
        <v>387</v>
      </c>
      <c r="C2364" s="63"/>
      <c r="D2364" s="64"/>
      <c r="E2364" s="65"/>
      <c r="F2364" s="66"/>
      <c r="G2364" s="63"/>
      <c r="H2364" s="67"/>
      <c r="I2364" s="68"/>
      <c r="J2364" s="68"/>
      <c r="K2364" s="32"/>
      <c r="L2364" s="75">
        <v>2364</v>
      </c>
      <c r="M2364" s="75"/>
      <c r="N2364" s="70"/>
      <c r="O2364" s="77" t="s">
        <v>179</v>
      </c>
      <c r="P2364" s="79">
        <v>45121.930706018517</v>
      </c>
      <c r="Q2364" s="77" t="s">
        <v>3036</v>
      </c>
      <c r="R2364" s="77">
        <v>0</v>
      </c>
      <c r="S2364" s="77">
        <v>1</v>
      </c>
      <c r="T2364" s="77">
        <v>0</v>
      </c>
      <c r="U2364" s="77">
        <v>0</v>
      </c>
      <c r="V2364" s="77">
        <v>689</v>
      </c>
      <c r="W2364" s="82" t="s">
        <v>4833</v>
      </c>
      <c r="X2364" s="80" t="str">
        <f>HYPERLINK("https://mla.bs/239df1e2")</f>
        <v>https://mla.bs/239df1e2</v>
      </c>
      <c r="Y2364" s="77" t="s">
        <v>6506</v>
      </c>
      <c r="Z2364" s="77"/>
      <c r="AA2364" s="77"/>
      <c r="AB2364" s="77"/>
      <c r="AC2364" s="82" t="s">
        <v>7757</v>
      </c>
      <c r="AD2364" s="77" t="s">
        <v>7788</v>
      </c>
      <c r="AE2364" s="80" t="str">
        <f>HYPERLINK("https://twitter.com/einvestidor/status/1679979137107398660")</f>
        <v>https://twitter.com/einvestidor/status/1679979137107398660</v>
      </c>
      <c r="AF2364" s="79">
        <v>45121.930706018517</v>
      </c>
      <c r="AG2364" s="85">
        <v>45121</v>
      </c>
      <c r="AH2364" s="82" t="s">
        <v>9704</v>
      </c>
      <c r="AI2364" s="77" t="b">
        <v>0</v>
      </c>
      <c r="AJ2364" s="77"/>
      <c r="AK2364" s="77"/>
      <c r="AL2364" s="77"/>
      <c r="AM2364" s="77"/>
      <c r="AN2364" s="77"/>
      <c r="AO2364" s="77"/>
      <c r="AP2364" s="77"/>
      <c r="AQ2364" s="77"/>
      <c r="AR2364" s="77"/>
      <c r="AS2364" s="77"/>
      <c r="AT2364" s="77"/>
      <c r="AU2364" s="77"/>
      <c r="AV2364" s="80" t="str">
        <f>HYPERLINK("https://pbs.twimg.com/profile_images/1241147984924082183/gZgx_hL-_normal.jpg")</f>
        <v>https://pbs.twimg.com/profile_images/1241147984924082183/gZgx_hL-_normal.jpg</v>
      </c>
      <c r="AW2364" s="82" t="s">
        <v>13960</v>
      </c>
      <c r="AX2364" s="82" t="s">
        <v>13960</v>
      </c>
      <c r="AY2364" s="77"/>
      <c r="AZ2364" s="82" t="s">
        <v>15984</v>
      </c>
      <c r="BA2364" s="82" t="s">
        <v>15984</v>
      </c>
      <c r="BB2364" s="82" t="s">
        <v>15984</v>
      </c>
      <c r="BC2364" s="82" t="s">
        <v>13960</v>
      </c>
      <c r="BD2364" s="82" t="s">
        <v>15979</v>
      </c>
      <c r="BE2364" s="77"/>
      <c r="BF2364" s="77"/>
      <c r="BG2364" s="77"/>
      <c r="BH2364" s="77"/>
      <c r="BI2364" s="77"/>
    </row>
    <row r="2365" spans="1:61" x14ac:dyDescent="0.25">
      <c r="A2365" s="62" t="s">
        <v>387</v>
      </c>
      <c r="B2365" s="62" t="s">
        <v>387</v>
      </c>
      <c r="C2365" s="63"/>
      <c r="D2365" s="64"/>
      <c r="E2365" s="65"/>
      <c r="F2365" s="66"/>
      <c r="G2365" s="63"/>
      <c r="H2365" s="67"/>
      <c r="I2365" s="68"/>
      <c r="J2365" s="68"/>
      <c r="K2365" s="32"/>
      <c r="L2365" s="75">
        <v>2365</v>
      </c>
      <c r="M2365" s="75"/>
      <c r="N2365" s="70"/>
      <c r="O2365" s="77" t="s">
        <v>179</v>
      </c>
      <c r="P2365" s="79">
        <v>45121.917141203703</v>
      </c>
      <c r="Q2365" s="77" t="s">
        <v>3037</v>
      </c>
      <c r="R2365" s="77">
        <v>0</v>
      </c>
      <c r="S2365" s="77">
        <v>1</v>
      </c>
      <c r="T2365" s="77">
        <v>0</v>
      </c>
      <c r="U2365" s="77">
        <v>0</v>
      </c>
      <c r="V2365" s="77">
        <v>686</v>
      </c>
      <c r="W2365" s="82" t="s">
        <v>5982</v>
      </c>
      <c r="X2365" s="80" t="str">
        <f>HYPERLINK("https://mla.bs/efe4768c")</f>
        <v>https://mla.bs/efe4768c</v>
      </c>
      <c r="Y2365" s="77" t="s">
        <v>6506</v>
      </c>
      <c r="Z2365" s="77"/>
      <c r="AA2365" s="77"/>
      <c r="AB2365" s="77"/>
      <c r="AC2365" s="82" t="s">
        <v>7757</v>
      </c>
      <c r="AD2365" s="77" t="s">
        <v>7788</v>
      </c>
      <c r="AE2365" s="80" t="str">
        <f>HYPERLINK("https://twitter.com/einvestidor/status/1679974221605404672")</f>
        <v>https://twitter.com/einvestidor/status/1679974221605404672</v>
      </c>
      <c r="AF2365" s="79">
        <v>45121.917141203703</v>
      </c>
      <c r="AG2365" s="85">
        <v>45121</v>
      </c>
      <c r="AH2365" s="82" t="s">
        <v>9705</v>
      </c>
      <c r="AI2365" s="77" t="b">
        <v>0</v>
      </c>
      <c r="AJ2365" s="77"/>
      <c r="AK2365" s="77"/>
      <c r="AL2365" s="77"/>
      <c r="AM2365" s="77"/>
      <c r="AN2365" s="77"/>
      <c r="AO2365" s="77"/>
      <c r="AP2365" s="77"/>
      <c r="AQ2365" s="77"/>
      <c r="AR2365" s="77"/>
      <c r="AS2365" s="77"/>
      <c r="AT2365" s="77"/>
      <c r="AU2365" s="77"/>
      <c r="AV2365" s="80" t="str">
        <f>HYPERLINK("https://pbs.twimg.com/profile_images/1241147984924082183/gZgx_hL-_normal.jpg")</f>
        <v>https://pbs.twimg.com/profile_images/1241147984924082183/gZgx_hL-_normal.jpg</v>
      </c>
      <c r="AW2365" s="82" t="s">
        <v>13961</v>
      </c>
      <c r="AX2365" s="82" t="s">
        <v>13961</v>
      </c>
      <c r="AY2365" s="77"/>
      <c r="AZ2365" s="82" t="s">
        <v>15984</v>
      </c>
      <c r="BA2365" s="82" t="s">
        <v>15984</v>
      </c>
      <c r="BB2365" s="82" t="s">
        <v>15984</v>
      </c>
      <c r="BC2365" s="82" t="s">
        <v>13961</v>
      </c>
      <c r="BD2365" s="82" t="s">
        <v>15979</v>
      </c>
      <c r="BE2365" s="77"/>
      <c r="BF2365" s="77"/>
      <c r="BG2365" s="77"/>
      <c r="BH2365" s="77"/>
      <c r="BI2365" s="77"/>
    </row>
    <row r="2366" spans="1:61" x14ac:dyDescent="0.25">
      <c r="A2366" s="62" t="s">
        <v>387</v>
      </c>
      <c r="B2366" s="62" t="s">
        <v>387</v>
      </c>
      <c r="C2366" s="63"/>
      <c r="D2366" s="64"/>
      <c r="E2366" s="65"/>
      <c r="F2366" s="66"/>
      <c r="G2366" s="63"/>
      <c r="H2366" s="67"/>
      <c r="I2366" s="68"/>
      <c r="J2366" s="68"/>
      <c r="K2366" s="32"/>
      <c r="L2366" s="75">
        <v>2366</v>
      </c>
      <c r="M2366" s="75"/>
      <c r="N2366" s="70"/>
      <c r="O2366" s="77" t="s">
        <v>179</v>
      </c>
      <c r="P2366" s="79">
        <v>45121.902881944443</v>
      </c>
      <c r="Q2366" s="77" t="s">
        <v>3038</v>
      </c>
      <c r="R2366" s="77">
        <v>0</v>
      </c>
      <c r="S2366" s="77">
        <v>0</v>
      </c>
      <c r="T2366" s="77">
        <v>0</v>
      </c>
      <c r="U2366" s="77">
        <v>0</v>
      </c>
      <c r="V2366" s="77">
        <v>599</v>
      </c>
      <c r="W2366" s="82" t="s">
        <v>5942</v>
      </c>
      <c r="X2366" s="80" t="str">
        <f>HYPERLINK("https://mla.bs/8c5bb2b7")</f>
        <v>https://mla.bs/8c5bb2b7</v>
      </c>
      <c r="Y2366" s="77" t="s">
        <v>6506</v>
      </c>
      <c r="Z2366" s="77"/>
      <c r="AA2366" s="77"/>
      <c r="AB2366" s="77"/>
      <c r="AC2366" s="82" t="s">
        <v>7757</v>
      </c>
      <c r="AD2366" s="77" t="s">
        <v>7788</v>
      </c>
      <c r="AE2366" s="80" t="str">
        <f>HYPERLINK("https://twitter.com/einvestidor/status/1679969056034787330")</f>
        <v>https://twitter.com/einvestidor/status/1679969056034787330</v>
      </c>
      <c r="AF2366" s="79">
        <v>45121.902881944443</v>
      </c>
      <c r="AG2366" s="85">
        <v>45121</v>
      </c>
      <c r="AH2366" s="82" t="s">
        <v>9706</v>
      </c>
      <c r="AI2366" s="77" t="b">
        <v>0</v>
      </c>
      <c r="AJ2366" s="77"/>
      <c r="AK2366" s="77"/>
      <c r="AL2366" s="77"/>
      <c r="AM2366" s="77"/>
      <c r="AN2366" s="77"/>
      <c r="AO2366" s="77"/>
      <c r="AP2366" s="77"/>
      <c r="AQ2366" s="77"/>
      <c r="AR2366" s="77"/>
      <c r="AS2366" s="77"/>
      <c r="AT2366" s="77"/>
      <c r="AU2366" s="77"/>
      <c r="AV2366" s="80" t="str">
        <f>HYPERLINK("https://pbs.twimg.com/profile_images/1241147984924082183/gZgx_hL-_normal.jpg")</f>
        <v>https://pbs.twimg.com/profile_images/1241147984924082183/gZgx_hL-_normal.jpg</v>
      </c>
      <c r="AW2366" s="82" t="s">
        <v>13962</v>
      </c>
      <c r="AX2366" s="82" t="s">
        <v>13962</v>
      </c>
      <c r="AY2366" s="77"/>
      <c r="AZ2366" s="82" t="s">
        <v>15984</v>
      </c>
      <c r="BA2366" s="82" t="s">
        <v>15984</v>
      </c>
      <c r="BB2366" s="82" t="s">
        <v>15984</v>
      </c>
      <c r="BC2366" s="82" t="s">
        <v>13962</v>
      </c>
      <c r="BD2366" s="82" t="s">
        <v>15979</v>
      </c>
      <c r="BE2366" s="77"/>
      <c r="BF2366" s="77"/>
      <c r="BG2366" s="77"/>
      <c r="BH2366" s="77"/>
      <c r="BI2366" s="77"/>
    </row>
    <row r="2367" spans="1:61" x14ac:dyDescent="0.25">
      <c r="A2367" s="62" t="s">
        <v>387</v>
      </c>
      <c r="B2367" s="62" t="s">
        <v>387</v>
      </c>
      <c r="C2367" s="63"/>
      <c r="D2367" s="64"/>
      <c r="E2367" s="65"/>
      <c r="F2367" s="66"/>
      <c r="G2367" s="63"/>
      <c r="H2367" s="67"/>
      <c r="I2367" s="68"/>
      <c r="J2367" s="68"/>
      <c r="K2367" s="32"/>
      <c r="L2367" s="75">
        <v>2367</v>
      </c>
      <c r="M2367" s="75"/>
      <c r="N2367" s="70"/>
      <c r="O2367" s="77" t="s">
        <v>179</v>
      </c>
      <c r="P2367" s="79">
        <v>45121.889791666668</v>
      </c>
      <c r="Q2367" s="77" t="s">
        <v>3039</v>
      </c>
      <c r="R2367" s="77">
        <v>0</v>
      </c>
      <c r="S2367" s="77">
        <v>1</v>
      </c>
      <c r="T2367" s="77">
        <v>0</v>
      </c>
      <c r="U2367" s="77">
        <v>0</v>
      </c>
      <c r="V2367" s="77">
        <v>606</v>
      </c>
      <c r="W2367" s="82" t="s">
        <v>4833</v>
      </c>
      <c r="X2367" s="80" t="str">
        <f>HYPERLINK("https://mla.bs/87e769c0")</f>
        <v>https://mla.bs/87e769c0</v>
      </c>
      <c r="Y2367" s="77" t="s">
        <v>6506</v>
      </c>
      <c r="Z2367" s="77"/>
      <c r="AA2367" s="77"/>
      <c r="AB2367" s="77"/>
      <c r="AC2367" s="82" t="s">
        <v>7757</v>
      </c>
      <c r="AD2367" s="77" t="s">
        <v>7788</v>
      </c>
      <c r="AE2367" s="80" t="str">
        <f>HYPERLINK("https://twitter.com/einvestidor/status/1679964310741864448")</f>
        <v>https://twitter.com/einvestidor/status/1679964310741864448</v>
      </c>
      <c r="AF2367" s="79">
        <v>45121.889791666668</v>
      </c>
      <c r="AG2367" s="85">
        <v>45121</v>
      </c>
      <c r="AH2367" s="82" t="s">
        <v>9707</v>
      </c>
      <c r="AI2367" s="77" t="b">
        <v>0</v>
      </c>
      <c r="AJ2367" s="77"/>
      <c r="AK2367" s="77"/>
      <c r="AL2367" s="77"/>
      <c r="AM2367" s="77"/>
      <c r="AN2367" s="77"/>
      <c r="AO2367" s="77"/>
      <c r="AP2367" s="77"/>
      <c r="AQ2367" s="77"/>
      <c r="AR2367" s="77"/>
      <c r="AS2367" s="77"/>
      <c r="AT2367" s="77"/>
      <c r="AU2367" s="77"/>
      <c r="AV2367" s="80" t="str">
        <f>HYPERLINK("https://pbs.twimg.com/profile_images/1241147984924082183/gZgx_hL-_normal.jpg")</f>
        <v>https://pbs.twimg.com/profile_images/1241147984924082183/gZgx_hL-_normal.jpg</v>
      </c>
      <c r="AW2367" s="82" t="s">
        <v>13963</v>
      </c>
      <c r="AX2367" s="82" t="s">
        <v>13963</v>
      </c>
      <c r="AY2367" s="77"/>
      <c r="AZ2367" s="82" t="s">
        <v>15984</v>
      </c>
      <c r="BA2367" s="82" t="s">
        <v>15984</v>
      </c>
      <c r="BB2367" s="82" t="s">
        <v>15984</v>
      </c>
      <c r="BC2367" s="82" t="s">
        <v>13963</v>
      </c>
      <c r="BD2367" s="82" t="s">
        <v>15979</v>
      </c>
      <c r="BE2367" s="77"/>
      <c r="BF2367" s="77"/>
      <c r="BG2367" s="77"/>
      <c r="BH2367" s="77"/>
      <c r="BI2367" s="77"/>
    </row>
    <row r="2368" spans="1:61" x14ac:dyDescent="0.25">
      <c r="A2368" s="62" t="s">
        <v>387</v>
      </c>
      <c r="B2368" s="62" t="s">
        <v>387</v>
      </c>
      <c r="C2368" s="63"/>
      <c r="D2368" s="64"/>
      <c r="E2368" s="65"/>
      <c r="F2368" s="66"/>
      <c r="G2368" s="63"/>
      <c r="H2368" s="67"/>
      <c r="I2368" s="68"/>
      <c r="J2368" s="68"/>
      <c r="K2368" s="32"/>
      <c r="L2368" s="75">
        <v>2368</v>
      </c>
      <c r="M2368" s="75"/>
      <c r="N2368" s="70"/>
      <c r="O2368" s="77" t="s">
        <v>179</v>
      </c>
      <c r="P2368" s="79">
        <v>45121.889027777775</v>
      </c>
      <c r="Q2368" s="77" t="s">
        <v>3040</v>
      </c>
      <c r="R2368" s="77">
        <v>0</v>
      </c>
      <c r="S2368" s="77">
        <v>1</v>
      </c>
      <c r="T2368" s="77">
        <v>0</v>
      </c>
      <c r="U2368" s="77">
        <v>0</v>
      </c>
      <c r="V2368" s="77">
        <v>582</v>
      </c>
      <c r="W2368" s="82" t="s">
        <v>4833</v>
      </c>
      <c r="X2368" s="80" t="str">
        <f>HYPERLINK("https://mla.bs/fc66eac9")</f>
        <v>https://mla.bs/fc66eac9</v>
      </c>
      <c r="Y2368" s="77" t="s">
        <v>6506</v>
      </c>
      <c r="Z2368" s="77"/>
      <c r="AA2368" s="77"/>
      <c r="AB2368" s="77"/>
      <c r="AC2368" s="82" t="s">
        <v>7757</v>
      </c>
      <c r="AD2368" s="77" t="s">
        <v>7788</v>
      </c>
      <c r="AE2368" s="80" t="str">
        <f>HYPERLINK("https://twitter.com/einvestidor/status/1679964034416918528")</f>
        <v>https://twitter.com/einvestidor/status/1679964034416918528</v>
      </c>
      <c r="AF2368" s="79">
        <v>45121.889027777775</v>
      </c>
      <c r="AG2368" s="85">
        <v>45121</v>
      </c>
      <c r="AH2368" s="82" t="s">
        <v>9708</v>
      </c>
      <c r="AI2368" s="77" t="b">
        <v>0</v>
      </c>
      <c r="AJ2368" s="77"/>
      <c r="AK2368" s="77"/>
      <c r="AL2368" s="77"/>
      <c r="AM2368" s="77"/>
      <c r="AN2368" s="77"/>
      <c r="AO2368" s="77"/>
      <c r="AP2368" s="77"/>
      <c r="AQ2368" s="77"/>
      <c r="AR2368" s="77"/>
      <c r="AS2368" s="77"/>
      <c r="AT2368" s="77"/>
      <c r="AU2368" s="77"/>
      <c r="AV2368" s="80" t="str">
        <f>HYPERLINK("https://pbs.twimg.com/profile_images/1241147984924082183/gZgx_hL-_normal.jpg")</f>
        <v>https://pbs.twimg.com/profile_images/1241147984924082183/gZgx_hL-_normal.jpg</v>
      </c>
      <c r="AW2368" s="82" t="s">
        <v>13964</v>
      </c>
      <c r="AX2368" s="82" t="s">
        <v>13964</v>
      </c>
      <c r="AY2368" s="77"/>
      <c r="AZ2368" s="82" t="s">
        <v>15984</v>
      </c>
      <c r="BA2368" s="82" t="s">
        <v>15984</v>
      </c>
      <c r="BB2368" s="82" t="s">
        <v>15984</v>
      </c>
      <c r="BC2368" s="82" t="s">
        <v>13964</v>
      </c>
      <c r="BD2368" s="82" t="s">
        <v>15979</v>
      </c>
      <c r="BE2368" s="77"/>
      <c r="BF2368" s="77"/>
      <c r="BG2368" s="77"/>
      <c r="BH2368" s="77"/>
      <c r="BI2368" s="77"/>
    </row>
    <row r="2369" spans="1:61" x14ac:dyDescent="0.25">
      <c r="A2369" s="62" t="s">
        <v>387</v>
      </c>
      <c r="B2369" s="62" t="s">
        <v>387</v>
      </c>
      <c r="C2369" s="63"/>
      <c r="D2369" s="64"/>
      <c r="E2369" s="65"/>
      <c r="F2369" s="66"/>
      <c r="G2369" s="63"/>
      <c r="H2369" s="67"/>
      <c r="I2369" s="68"/>
      <c r="J2369" s="68"/>
      <c r="K2369" s="32"/>
      <c r="L2369" s="75">
        <v>2369</v>
      </c>
      <c r="M2369" s="75"/>
      <c r="N2369" s="70"/>
      <c r="O2369" s="77" t="s">
        <v>179</v>
      </c>
      <c r="P2369" s="79">
        <v>45121.887511574074</v>
      </c>
      <c r="Q2369" s="77" t="s">
        <v>3041</v>
      </c>
      <c r="R2369" s="77">
        <v>0</v>
      </c>
      <c r="S2369" s="77">
        <v>2</v>
      </c>
      <c r="T2369" s="77">
        <v>0</v>
      </c>
      <c r="U2369" s="77">
        <v>0</v>
      </c>
      <c r="V2369" s="77">
        <v>649</v>
      </c>
      <c r="W2369" s="82" t="s">
        <v>5983</v>
      </c>
      <c r="X2369" s="80" t="str">
        <f>HYPERLINK("https://mla.bs/74a87338")</f>
        <v>https://mla.bs/74a87338</v>
      </c>
      <c r="Y2369" s="77" t="s">
        <v>6506</v>
      </c>
      <c r="Z2369" s="77"/>
      <c r="AA2369" s="77"/>
      <c r="AB2369" s="77"/>
      <c r="AC2369" s="82" t="s">
        <v>7757</v>
      </c>
      <c r="AD2369" s="77" t="s">
        <v>7788</v>
      </c>
      <c r="AE2369" s="80" t="str">
        <f>HYPERLINK("https://twitter.com/einvestidor/status/1679963482232623110")</f>
        <v>https://twitter.com/einvestidor/status/1679963482232623110</v>
      </c>
      <c r="AF2369" s="79">
        <v>45121.887511574074</v>
      </c>
      <c r="AG2369" s="85">
        <v>45121</v>
      </c>
      <c r="AH2369" s="82" t="s">
        <v>9709</v>
      </c>
      <c r="AI2369" s="77" t="b">
        <v>0</v>
      </c>
      <c r="AJ2369" s="77"/>
      <c r="AK2369" s="77"/>
      <c r="AL2369" s="77"/>
      <c r="AM2369" s="77"/>
      <c r="AN2369" s="77"/>
      <c r="AO2369" s="77"/>
      <c r="AP2369" s="77"/>
      <c r="AQ2369" s="77"/>
      <c r="AR2369" s="77"/>
      <c r="AS2369" s="77"/>
      <c r="AT2369" s="77"/>
      <c r="AU2369" s="77"/>
      <c r="AV2369" s="80" t="str">
        <f>HYPERLINK("https://pbs.twimg.com/profile_images/1241147984924082183/gZgx_hL-_normal.jpg")</f>
        <v>https://pbs.twimg.com/profile_images/1241147984924082183/gZgx_hL-_normal.jpg</v>
      </c>
      <c r="AW2369" s="82" t="s">
        <v>13965</v>
      </c>
      <c r="AX2369" s="82" t="s">
        <v>13965</v>
      </c>
      <c r="AY2369" s="77"/>
      <c r="AZ2369" s="82" t="s">
        <v>15984</v>
      </c>
      <c r="BA2369" s="82" t="s">
        <v>15984</v>
      </c>
      <c r="BB2369" s="82" t="s">
        <v>15984</v>
      </c>
      <c r="BC2369" s="82" t="s">
        <v>13965</v>
      </c>
      <c r="BD2369" s="82" t="s">
        <v>15979</v>
      </c>
      <c r="BE2369" s="77"/>
      <c r="BF2369" s="77"/>
      <c r="BG2369" s="77"/>
      <c r="BH2369" s="77"/>
      <c r="BI2369" s="77"/>
    </row>
    <row r="2370" spans="1:61" x14ac:dyDescent="0.25">
      <c r="A2370" s="62" t="s">
        <v>387</v>
      </c>
      <c r="B2370" s="62" t="s">
        <v>387</v>
      </c>
      <c r="C2370" s="63"/>
      <c r="D2370" s="64"/>
      <c r="E2370" s="65"/>
      <c r="F2370" s="66"/>
      <c r="G2370" s="63"/>
      <c r="H2370" s="67"/>
      <c r="I2370" s="68"/>
      <c r="J2370" s="68"/>
      <c r="K2370" s="32"/>
      <c r="L2370" s="75">
        <v>2370</v>
      </c>
      <c r="M2370" s="75"/>
      <c r="N2370" s="70"/>
      <c r="O2370" s="77" t="s">
        <v>179</v>
      </c>
      <c r="P2370" s="79">
        <v>45121.885891203703</v>
      </c>
      <c r="Q2370" s="77" t="s">
        <v>3042</v>
      </c>
      <c r="R2370" s="77">
        <v>0</v>
      </c>
      <c r="S2370" s="77">
        <v>5</v>
      </c>
      <c r="T2370" s="77">
        <v>0</v>
      </c>
      <c r="U2370" s="77">
        <v>0</v>
      </c>
      <c r="V2370" s="77">
        <v>772</v>
      </c>
      <c r="W2370" s="82" t="s">
        <v>5984</v>
      </c>
      <c r="X2370" s="80" t="str">
        <f>HYPERLINK("https://mla.bs/476f9f90")</f>
        <v>https://mla.bs/476f9f90</v>
      </c>
      <c r="Y2370" s="77" t="s">
        <v>6506</v>
      </c>
      <c r="Z2370" s="77"/>
      <c r="AA2370" s="77"/>
      <c r="AB2370" s="77"/>
      <c r="AC2370" s="82" t="s">
        <v>7757</v>
      </c>
      <c r="AD2370" s="77" t="s">
        <v>7788</v>
      </c>
      <c r="AE2370" s="80" t="str">
        <f>HYPERLINK("https://twitter.com/einvestidor/status/1679962896485486593")</f>
        <v>https://twitter.com/einvestidor/status/1679962896485486593</v>
      </c>
      <c r="AF2370" s="79">
        <v>45121.885891203703</v>
      </c>
      <c r="AG2370" s="85">
        <v>45121</v>
      </c>
      <c r="AH2370" s="82" t="s">
        <v>9710</v>
      </c>
      <c r="AI2370" s="77" t="b">
        <v>0</v>
      </c>
      <c r="AJ2370" s="77"/>
      <c r="AK2370" s="77"/>
      <c r="AL2370" s="77"/>
      <c r="AM2370" s="77"/>
      <c r="AN2370" s="77"/>
      <c r="AO2370" s="77"/>
      <c r="AP2370" s="77"/>
      <c r="AQ2370" s="77"/>
      <c r="AR2370" s="77"/>
      <c r="AS2370" s="77"/>
      <c r="AT2370" s="77"/>
      <c r="AU2370" s="77"/>
      <c r="AV2370" s="80" t="str">
        <f>HYPERLINK("https://pbs.twimg.com/profile_images/1241147984924082183/gZgx_hL-_normal.jpg")</f>
        <v>https://pbs.twimg.com/profile_images/1241147984924082183/gZgx_hL-_normal.jpg</v>
      </c>
      <c r="AW2370" s="82" t="s">
        <v>13966</v>
      </c>
      <c r="AX2370" s="82" t="s">
        <v>13966</v>
      </c>
      <c r="AY2370" s="77"/>
      <c r="AZ2370" s="82" t="s">
        <v>15984</v>
      </c>
      <c r="BA2370" s="82" t="s">
        <v>15984</v>
      </c>
      <c r="BB2370" s="82" t="s">
        <v>15984</v>
      </c>
      <c r="BC2370" s="82" t="s">
        <v>13966</v>
      </c>
      <c r="BD2370" s="82" t="s">
        <v>15979</v>
      </c>
      <c r="BE2370" s="77"/>
      <c r="BF2370" s="77"/>
      <c r="BG2370" s="77"/>
      <c r="BH2370" s="77"/>
      <c r="BI2370" s="77"/>
    </row>
    <row r="2371" spans="1:61" x14ac:dyDescent="0.25">
      <c r="A2371" s="62" t="s">
        <v>387</v>
      </c>
      <c r="B2371" s="62" t="s">
        <v>387</v>
      </c>
      <c r="C2371" s="63"/>
      <c r="D2371" s="64"/>
      <c r="E2371" s="65"/>
      <c r="F2371" s="66"/>
      <c r="G2371" s="63"/>
      <c r="H2371" s="67"/>
      <c r="I2371" s="68"/>
      <c r="J2371" s="68"/>
      <c r="K2371" s="32"/>
      <c r="L2371" s="75">
        <v>2371</v>
      </c>
      <c r="M2371" s="75"/>
      <c r="N2371" s="70"/>
      <c r="O2371" s="77" t="s">
        <v>179</v>
      </c>
      <c r="P2371" s="79">
        <v>45121.883472222224</v>
      </c>
      <c r="Q2371" s="77" t="s">
        <v>3043</v>
      </c>
      <c r="R2371" s="77">
        <v>0</v>
      </c>
      <c r="S2371" s="77">
        <v>2</v>
      </c>
      <c r="T2371" s="77">
        <v>0</v>
      </c>
      <c r="U2371" s="77">
        <v>0</v>
      </c>
      <c r="V2371" s="77">
        <v>584</v>
      </c>
      <c r="W2371" s="82" t="s">
        <v>5985</v>
      </c>
      <c r="X2371" s="80" t="str">
        <f>HYPERLINK("https://mla.bs/73fb51d2")</f>
        <v>https://mla.bs/73fb51d2</v>
      </c>
      <c r="Y2371" s="77" t="s">
        <v>6506</v>
      </c>
      <c r="Z2371" s="77"/>
      <c r="AA2371" s="77"/>
      <c r="AB2371" s="77"/>
      <c r="AC2371" s="82" t="s">
        <v>7757</v>
      </c>
      <c r="AD2371" s="77" t="s">
        <v>7788</v>
      </c>
      <c r="AE2371" s="80" t="str">
        <f>HYPERLINK("https://twitter.com/einvestidor/status/1679962019708178435")</f>
        <v>https://twitter.com/einvestidor/status/1679962019708178435</v>
      </c>
      <c r="AF2371" s="79">
        <v>45121.883472222224</v>
      </c>
      <c r="AG2371" s="85">
        <v>45121</v>
      </c>
      <c r="AH2371" s="82" t="s">
        <v>9711</v>
      </c>
      <c r="AI2371" s="77" t="b">
        <v>0</v>
      </c>
      <c r="AJ2371" s="77"/>
      <c r="AK2371" s="77"/>
      <c r="AL2371" s="77"/>
      <c r="AM2371" s="77"/>
      <c r="AN2371" s="77"/>
      <c r="AO2371" s="77"/>
      <c r="AP2371" s="77"/>
      <c r="AQ2371" s="77"/>
      <c r="AR2371" s="77"/>
      <c r="AS2371" s="77"/>
      <c r="AT2371" s="77"/>
      <c r="AU2371" s="77"/>
      <c r="AV2371" s="80" t="str">
        <f>HYPERLINK("https://pbs.twimg.com/profile_images/1241147984924082183/gZgx_hL-_normal.jpg")</f>
        <v>https://pbs.twimg.com/profile_images/1241147984924082183/gZgx_hL-_normal.jpg</v>
      </c>
      <c r="AW2371" s="82" t="s">
        <v>13967</v>
      </c>
      <c r="AX2371" s="82" t="s">
        <v>13967</v>
      </c>
      <c r="AY2371" s="77"/>
      <c r="AZ2371" s="82" t="s">
        <v>15984</v>
      </c>
      <c r="BA2371" s="82" t="s">
        <v>15984</v>
      </c>
      <c r="BB2371" s="82" t="s">
        <v>15984</v>
      </c>
      <c r="BC2371" s="82" t="s">
        <v>13967</v>
      </c>
      <c r="BD2371" s="82" t="s">
        <v>15979</v>
      </c>
      <c r="BE2371" s="77"/>
      <c r="BF2371" s="77"/>
      <c r="BG2371" s="77"/>
      <c r="BH2371" s="77"/>
      <c r="BI2371" s="77"/>
    </row>
    <row r="2372" spans="1:61" x14ac:dyDescent="0.25">
      <c r="A2372" s="62" t="s">
        <v>387</v>
      </c>
      <c r="B2372" s="62" t="s">
        <v>387</v>
      </c>
      <c r="C2372" s="63"/>
      <c r="D2372" s="64"/>
      <c r="E2372" s="65"/>
      <c r="F2372" s="66"/>
      <c r="G2372" s="63"/>
      <c r="H2372" s="67"/>
      <c r="I2372" s="68"/>
      <c r="J2372" s="68"/>
      <c r="K2372" s="32"/>
      <c r="L2372" s="75">
        <v>2372</v>
      </c>
      <c r="M2372" s="75"/>
      <c r="N2372" s="70"/>
      <c r="O2372" s="77" t="s">
        <v>179</v>
      </c>
      <c r="P2372" s="79">
        <v>45121.882233796299</v>
      </c>
      <c r="Q2372" s="77" t="s">
        <v>3044</v>
      </c>
      <c r="R2372" s="77">
        <v>0</v>
      </c>
      <c r="S2372" s="77">
        <v>2</v>
      </c>
      <c r="T2372" s="77">
        <v>1</v>
      </c>
      <c r="U2372" s="77">
        <v>1</v>
      </c>
      <c r="V2372" s="77">
        <v>933</v>
      </c>
      <c r="W2372" s="82" t="s">
        <v>5986</v>
      </c>
      <c r="X2372" s="80" t="str">
        <f>HYPERLINK("https://mla.bs/12f8001e")</f>
        <v>https://mla.bs/12f8001e</v>
      </c>
      <c r="Y2372" s="77" t="s">
        <v>6506</v>
      </c>
      <c r="Z2372" s="77"/>
      <c r="AA2372" s="77"/>
      <c r="AB2372" s="77"/>
      <c r="AC2372" s="82" t="s">
        <v>7757</v>
      </c>
      <c r="AD2372" s="77" t="s">
        <v>7788</v>
      </c>
      <c r="AE2372" s="80" t="str">
        <f>HYPERLINK("https://twitter.com/einvestidor/status/1679961572083666945")</f>
        <v>https://twitter.com/einvestidor/status/1679961572083666945</v>
      </c>
      <c r="AF2372" s="79">
        <v>45121.882233796299</v>
      </c>
      <c r="AG2372" s="85">
        <v>45121</v>
      </c>
      <c r="AH2372" s="82" t="s">
        <v>9712</v>
      </c>
      <c r="AI2372" s="77" t="b">
        <v>0</v>
      </c>
      <c r="AJ2372" s="77"/>
      <c r="AK2372" s="77"/>
      <c r="AL2372" s="77"/>
      <c r="AM2372" s="77"/>
      <c r="AN2372" s="77"/>
      <c r="AO2372" s="77"/>
      <c r="AP2372" s="77"/>
      <c r="AQ2372" s="77"/>
      <c r="AR2372" s="77"/>
      <c r="AS2372" s="77"/>
      <c r="AT2372" s="77"/>
      <c r="AU2372" s="77"/>
      <c r="AV2372" s="80" t="str">
        <f>HYPERLINK("https://pbs.twimg.com/profile_images/1241147984924082183/gZgx_hL-_normal.jpg")</f>
        <v>https://pbs.twimg.com/profile_images/1241147984924082183/gZgx_hL-_normal.jpg</v>
      </c>
      <c r="AW2372" s="82" t="s">
        <v>13968</v>
      </c>
      <c r="AX2372" s="82" t="s">
        <v>13968</v>
      </c>
      <c r="AY2372" s="77"/>
      <c r="AZ2372" s="82" t="s">
        <v>15984</v>
      </c>
      <c r="BA2372" s="82" t="s">
        <v>15984</v>
      </c>
      <c r="BB2372" s="82" t="s">
        <v>15984</v>
      </c>
      <c r="BC2372" s="82" t="s">
        <v>13968</v>
      </c>
      <c r="BD2372" s="82" t="s">
        <v>15979</v>
      </c>
      <c r="BE2372" s="77"/>
      <c r="BF2372" s="77"/>
      <c r="BG2372" s="77"/>
      <c r="BH2372" s="77"/>
      <c r="BI2372" s="77"/>
    </row>
    <row r="2373" spans="1:61" x14ac:dyDescent="0.25">
      <c r="A2373" s="62" t="s">
        <v>387</v>
      </c>
      <c r="B2373" s="62" t="s">
        <v>387</v>
      </c>
      <c r="C2373" s="63"/>
      <c r="D2373" s="64"/>
      <c r="E2373" s="65"/>
      <c r="F2373" s="66"/>
      <c r="G2373" s="63"/>
      <c r="H2373" s="67"/>
      <c r="I2373" s="68"/>
      <c r="J2373" s="68"/>
      <c r="K2373" s="32"/>
      <c r="L2373" s="75">
        <v>2373</v>
      </c>
      <c r="M2373" s="75"/>
      <c r="N2373" s="70"/>
      <c r="O2373" s="77" t="s">
        <v>179</v>
      </c>
      <c r="P2373" s="79">
        <v>45121.861296296294</v>
      </c>
      <c r="Q2373" s="77" t="s">
        <v>3045</v>
      </c>
      <c r="R2373" s="77">
        <v>0</v>
      </c>
      <c r="S2373" s="77">
        <v>0</v>
      </c>
      <c r="T2373" s="77">
        <v>1</v>
      </c>
      <c r="U2373" s="77">
        <v>0</v>
      </c>
      <c r="V2373" s="77">
        <v>515</v>
      </c>
      <c r="W2373" s="82" t="s">
        <v>5987</v>
      </c>
      <c r="X2373" s="80" t="str">
        <f>HYPERLINK("https://mla.bs/681c1b80")</f>
        <v>https://mla.bs/681c1b80</v>
      </c>
      <c r="Y2373" s="77" t="s">
        <v>6506</v>
      </c>
      <c r="Z2373" s="77"/>
      <c r="AA2373" s="77"/>
      <c r="AB2373" s="77"/>
      <c r="AC2373" s="82" t="s">
        <v>7757</v>
      </c>
      <c r="AD2373" s="77" t="s">
        <v>7788</v>
      </c>
      <c r="AE2373" s="80" t="str">
        <f>HYPERLINK("https://twitter.com/einvestidor/status/1679953985556615168")</f>
        <v>https://twitter.com/einvestidor/status/1679953985556615168</v>
      </c>
      <c r="AF2373" s="79">
        <v>45121.861296296294</v>
      </c>
      <c r="AG2373" s="85">
        <v>45121</v>
      </c>
      <c r="AH2373" s="82" t="s">
        <v>9713</v>
      </c>
      <c r="AI2373" s="77" t="b">
        <v>0</v>
      </c>
      <c r="AJ2373" s="77"/>
      <c r="AK2373" s="77"/>
      <c r="AL2373" s="77"/>
      <c r="AM2373" s="77"/>
      <c r="AN2373" s="77"/>
      <c r="AO2373" s="77"/>
      <c r="AP2373" s="77"/>
      <c r="AQ2373" s="77"/>
      <c r="AR2373" s="77"/>
      <c r="AS2373" s="77"/>
      <c r="AT2373" s="77"/>
      <c r="AU2373" s="77"/>
      <c r="AV2373" s="80" t="str">
        <f>HYPERLINK("https://pbs.twimg.com/profile_images/1241147984924082183/gZgx_hL-_normal.jpg")</f>
        <v>https://pbs.twimg.com/profile_images/1241147984924082183/gZgx_hL-_normal.jpg</v>
      </c>
      <c r="AW2373" s="82" t="s">
        <v>13969</v>
      </c>
      <c r="AX2373" s="82" t="s">
        <v>13969</v>
      </c>
      <c r="AY2373" s="77"/>
      <c r="AZ2373" s="82" t="s">
        <v>15984</v>
      </c>
      <c r="BA2373" s="82" t="s">
        <v>15984</v>
      </c>
      <c r="BB2373" s="82" t="s">
        <v>15984</v>
      </c>
      <c r="BC2373" s="82" t="s">
        <v>13969</v>
      </c>
      <c r="BD2373" s="82" t="s">
        <v>15979</v>
      </c>
      <c r="BE2373" s="77"/>
      <c r="BF2373" s="77"/>
      <c r="BG2373" s="77"/>
      <c r="BH2373" s="77"/>
      <c r="BI2373" s="77"/>
    </row>
    <row r="2374" spans="1:61" x14ac:dyDescent="0.25">
      <c r="A2374" s="62" t="s">
        <v>387</v>
      </c>
      <c r="B2374" s="62" t="s">
        <v>387</v>
      </c>
      <c r="C2374" s="63"/>
      <c r="D2374" s="64"/>
      <c r="E2374" s="65"/>
      <c r="F2374" s="66"/>
      <c r="G2374" s="63"/>
      <c r="H2374" s="67"/>
      <c r="I2374" s="68"/>
      <c r="J2374" s="68"/>
      <c r="K2374" s="32"/>
      <c r="L2374" s="75">
        <v>2374</v>
      </c>
      <c r="M2374" s="75"/>
      <c r="N2374" s="70"/>
      <c r="O2374" s="77" t="s">
        <v>179</v>
      </c>
      <c r="P2374" s="79">
        <v>45121.848067129627</v>
      </c>
      <c r="Q2374" s="77" t="s">
        <v>3046</v>
      </c>
      <c r="R2374" s="77">
        <v>0</v>
      </c>
      <c r="S2374" s="77">
        <v>0</v>
      </c>
      <c r="T2374" s="77">
        <v>0</v>
      </c>
      <c r="U2374" s="77">
        <v>0</v>
      </c>
      <c r="V2374" s="77">
        <v>588</v>
      </c>
      <c r="W2374" s="82" t="s">
        <v>4833</v>
      </c>
      <c r="X2374" s="80" t="str">
        <f>HYPERLINK("https://mla.bs/0c4cc5d4")</f>
        <v>https://mla.bs/0c4cc5d4</v>
      </c>
      <c r="Y2374" s="77" t="s">
        <v>6506</v>
      </c>
      <c r="Z2374" s="77"/>
      <c r="AA2374" s="77"/>
      <c r="AB2374" s="77"/>
      <c r="AC2374" s="82" t="s">
        <v>7757</v>
      </c>
      <c r="AD2374" s="77" t="s">
        <v>7788</v>
      </c>
      <c r="AE2374" s="80" t="str">
        <f>HYPERLINK("https://twitter.com/einvestidor/status/1679949188552101890")</f>
        <v>https://twitter.com/einvestidor/status/1679949188552101890</v>
      </c>
      <c r="AF2374" s="79">
        <v>45121.848067129627</v>
      </c>
      <c r="AG2374" s="85">
        <v>45121</v>
      </c>
      <c r="AH2374" s="82" t="s">
        <v>9714</v>
      </c>
      <c r="AI2374" s="77" t="b">
        <v>0</v>
      </c>
      <c r="AJ2374" s="77"/>
      <c r="AK2374" s="77"/>
      <c r="AL2374" s="77"/>
      <c r="AM2374" s="77"/>
      <c r="AN2374" s="77"/>
      <c r="AO2374" s="77"/>
      <c r="AP2374" s="77"/>
      <c r="AQ2374" s="77"/>
      <c r="AR2374" s="77"/>
      <c r="AS2374" s="77"/>
      <c r="AT2374" s="77"/>
      <c r="AU2374" s="77"/>
      <c r="AV2374" s="80" t="str">
        <f>HYPERLINK("https://pbs.twimg.com/profile_images/1241147984924082183/gZgx_hL-_normal.jpg")</f>
        <v>https://pbs.twimg.com/profile_images/1241147984924082183/gZgx_hL-_normal.jpg</v>
      </c>
      <c r="AW2374" s="82" t="s">
        <v>13970</v>
      </c>
      <c r="AX2374" s="82" t="s">
        <v>13970</v>
      </c>
      <c r="AY2374" s="77"/>
      <c r="AZ2374" s="82" t="s">
        <v>15984</v>
      </c>
      <c r="BA2374" s="82" t="s">
        <v>15984</v>
      </c>
      <c r="BB2374" s="82" t="s">
        <v>15984</v>
      </c>
      <c r="BC2374" s="82" t="s">
        <v>13970</v>
      </c>
      <c r="BD2374" s="82" t="s">
        <v>15979</v>
      </c>
      <c r="BE2374" s="77"/>
      <c r="BF2374" s="77"/>
      <c r="BG2374" s="77"/>
      <c r="BH2374" s="77"/>
      <c r="BI2374" s="77"/>
    </row>
    <row r="2375" spans="1:61" x14ac:dyDescent="0.25">
      <c r="A2375" s="62" t="s">
        <v>387</v>
      </c>
      <c r="B2375" s="62" t="s">
        <v>387</v>
      </c>
      <c r="C2375" s="63"/>
      <c r="D2375" s="64"/>
      <c r="E2375" s="65"/>
      <c r="F2375" s="66"/>
      <c r="G2375" s="63"/>
      <c r="H2375" s="67"/>
      <c r="I2375" s="68"/>
      <c r="J2375" s="68"/>
      <c r="K2375" s="32"/>
      <c r="L2375" s="75">
        <v>2375</v>
      </c>
      <c r="M2375" s="75"/>
      <c r="N2375" s="70"/>
      <c r="O2375" s="77" t="s">
        <v>179</v>
      </c>
      <c r="P2375" s="79">
        <v>45121.833969907406</v>
      </c>
      <c r="Q2375" s="77" t="s">
        <v>3047</v>
      </c>
      <c r="R2375" s="77">
        <v>1</v>
      </c>
      <c r="S2375" s="77">
        <v>5</v>
      </c>
      <c r="T2375" s="77">
        <v>0</v>
      </c>
      <c r="U2375" s="77">
        <v>0</v>
      </c>
      <c r="V2375" s="77">
        <v>820</v>
      </c>
      <c r="W2375" s="82" t="s">
        <v>5988</v>
      </c>
      <c r="X2375" s="80" t="str">
        <f>HYPERLINK("https://mla.bs/20bc6aae")</f>
        <v>https://mla.bs/20bc6aae</v>
      </c>
      <c r="Y2375" s="77" t="s">
        <v>6506</v>
      </c>
      <c r="Z2375" s="77"/>
      <c r="AA2375" s="77"/>
      <c r="AB2375" s="77"/>
      <c r="AC2375" s="82" t="s">
        <v>7757</v>
      </c>
      <c r="AD2375" s="77" t="s">
        <v>7788</v>
      </c>
      <c r="AE2375" s="80" t="str">
        <f>HYPERLINK("https://twitter.com/einvestidor/status/1679944080196001792")</f>
        <v>https://twitter.com/einvestidor/status/1679944080196001792</v>
      </c>
      <c r="AF2375" s="79">
        <v>45121.833969907406</v>
      </c>
      <c r="AG2375" s="85">
        <v>45121</v>
      </c>
      <c r="AH2375" s="82" t="s">
        <v>9715</v>
      </c>
      <c r="AI2375" s="77" t="b">
        <v>0</v>
      </c>
      <c r="AJ2375" s="77"/>
      <c r="AK2375" s="77"/>
      <c r="AL2375" s="77"/>
      <c r="AM2375" s="77"/>
      <c r="AN2375" s="77"/>
      <c r="AO2375" s="77"/>
      <c r="AP2375" s="77"/>
      <c r="AQ2375" s="77"/>
      <c r="AR2375" s="77"/>
      <c r="AS2375" s="77"/>
      <c r="AT2375" s="77"/>
      <c r="AU2375" s="77"/>
      <c r="AV2375" s="80" t="str">
        <f>HYPERLINK("https://pbs.twimg.com/profile_images/1241147984924082183/gZgx_hL-_normal.jpg")</f>
        <v>https://pbs.twimg.com/profile_images/1241147984924082183/gZgx_hL-_normal.jpg</v>
      </c>
      <c r="AW2375" s="82" t="s">
        <v>13971</v>
      </c>
      <c r="AX2375" s="82" t="s">
        <v>13971</v>
      </c>
      <c r="AY2375" s="77"/>
      <c r="AZ2375" s="82" t="s">
        <v>15984</v>
      </c>
      <c r="BA2375" s="82" t="s">
        <v>15984</v>
      </c>
      <c r="BB2375" s="82" t="s">
        <v>15984</v>
      </c>
      <c r="BC2375" s="82" t="s">
        <v>13971</v>
      </c>
      <c r="BD2375" s="82" t="s">
        <v>15979</v>
      </c>
      <c r="BE2375" s="77"/>
      <c r="BF2375" s="77"/>
      <c r="BG2375" s="77"/>
      <c r="BH2375" s="77"/>
      <c r="BI2375" s="77"/>
    </row>
    <row r="2376" spans="1:61" x14ac:dyDescent="0.25">
      <c r="A2376" s="62" t="s">
        <v>387</v>
      </c>
      <c r="B2376" s="62" t="s">
        <v>387</v>
      </c>
      <c r="C2376" s="63"/>
      <c r="D2376" s="64"/>
      <c r="E2376" s="65"/>
      <c r="F2376" s="66"/>
      <c r="G2376" s="63"/>
      <c r="H2376" s="67"/>
      <c r="I2376" s="68"/>
      <c r="J2376" s="68"/>
      <c r="K2376" s="32"/>
      <c r="L2376" s="75">
        <v>2376</v>
      </c>
      <c r="M2376" s="75"/>
      <c r="N2376" s="70"/>
      <c r="O2376" s="77" t="s">
        <v>179</v>
      </c>
      <c r="P2376" s="79">
        <v>45121.80572916667</v>
      </c>
      <c r="Q2376" s="77" t="s">
        <v>3048</v>
      </c>
      <c r="R2376" s="77">
        <v>0</v>
      </c>
      <c r="S2376" s="77">
        <v>0</v>
      </c>
      <c r="T2376" s="77">
        <v>0</v>
      </c>
      <c r="U2376" s="77">
        <v>0</v>
      </c>
      <c r="V2376" s="77">
        <v>647</v>
      </c>
      <c r="W2376" s="82" t="s">
        <v>5918</v>
      </c>
      <c r="X2376" s="80" t="str">
        <f>HYPERLINK("https://mla.bs/888e3c52")</f>
        <v>https://mla.bs/888e3c52</v>
      </c>
      <c r="Y2376" s="77" t="s">
        <v>6506</v>
      </c>
      <c r="Z2376" s="77"/>
      <c r="AA2376" s="77"/>
      <c r="AB2376" s="77"/>
      <c r="AC2376" s="82" t="s">
        <v>7757</v>
      </c>
      <c r="AD2376" s="77" t="s">
        <v>7788</v>
      </c>
      <c r="AE2376" s="80" t="str">
        <f>HYPERLINK("https://twitter.com/einvestidor/status/1679933849076367361")</f>
        <v>https://twitter.com/einvestidor/status/1679933849076367361</v>
      </c>
      <c r="AF2376" s="79">
        <v>45121.80572916667</v>
      </c>
      <c r="AG2376" s="85">
        <v>45121</v>
      </c>
      <c r="AH2376" s="82" t="s">
        <v>9716</v>
      </c>
      <c r="AI2376" s="77" t="b">
        <v>0</v>
      </c>
      <c r="AJ2376" s="77"/>
      <c r="AK2376" s="77"/>
      <c r="AL2376" s="77"/>
      <c r="AM2376" s="77"/>
      <c r="AN2376" s="77"/>
      <c r="AO2376" s="77"/>
      <c r="AP2376" s="77"/>
      <c r="AQ2376" s="77"/>
      <c r="AR2376" s="77"/>
      <c r="AS2376" s="77"/>
      <c r="AT2376" s="77"/>
      <c r="AU2376" s="77"/>
      <c r="AV2376" s="80" t="str">
        <f>HYPERLINK("https://pbs.twimg.com/profile_images/1241147984924082183/gZgx_hL-_normal.jpg")</f>
        <v>https://pbs.twimg.com/profile_images/1241147984924082183/gZgx_hL-_normal.jpg</v>
      </c>
      <c r="AW2376" s="82" t="s">
        <v>13972</v>
      </c>
      <c r="AX2376" s="82" t="s">
        <v>13972</v>
      </c>
      <c r="AY2376" s="77"/>
      <c r="AZ2376" s="82" t="s">
        <v>15984</v>
      </c>
      <c r="BA2376" s="82" t="s">
        <v>15984</v>
      </c>
      <c r="BB2376" s="82" t="s">
        <v>15984</v>
      </c>
      <c r="BC2376" s="82" t="s">
        <v>13972</v>
      </c>
      <c r="BD2376" s="82" t="s">
        <v>15979</v>
      </c>
      <c r="BE2376" s="77"/>
      <c r="BF2376" s="77"/>
      <c r="BG2376" s="77"/>
      <c r="BH2376" s="77"/>
      <c r="BI2376" s="77"/>
    </row>
    <row r="2377" spans="1:61" x14ac:dyDescent="0.25">
      <c r="A2377" s="62" t="s">
        <v>387</v>
      </c>
      <c r="B2377" s="62" t="s">
        <v>387</v>
      </c>
      <c r="C2377" s="63"/>
      <c r="D2377" s="64"/>
      <c r="E2377" s="65"/>
      <c r="F2377" s="66"/>
      <c r="G2377" s="63"/>
      <c r="H2377" s="67"/>
      <c r="I2377" s="68"/>
      <c r="J2377" s="68"/>
      <c r="K2377" s="32"/>
      <c r="L2377" s="75">
        <v>2377</v>
      </c>
      <c r="M2377" s="75"/>
      <c r="N2377" s="70"/>
      <c r="O2377" s="77" t="s">
        <v>179</v>
      </c>
      <c r="P2377" s="79">
        <v>45121.792187500003</v>
      </c>
      <c r="Q2377" s="77" t="s">
        <v>3049</v>
      </c>
      <c r="R2377" s="77">
        <v>1</v>
      </c>
      <c r="S2377" s="77">
        <v>1</v>
      </c>
      <c r="T2377" s="77">
        <v>0</v>
      </c>
      <c r="U2377" s="77">
        <v>0</v>
      </c>
      <c r="V2377" s="77">
        <v>512</v>
      </c>
      <c r="W2377" s="82" t="s">
        <v>5989</v>
      </c>
      <c r="X2377" s="80" t="str">
        <f>HYPERLINK("https://mla.bs/1155b054")</f>
        <v>https://mla.bs/1155b054</v>
      </c>
      <c r="Y2377" s="77" t="s">
        <v>6506</v>
      </c>
      <c r="Z2377" s="77"/>
      <c r="AA2377" s="77"/>
      <c r="AB2377" s="77"/>
      <c r="AC2377" s="82" t="s">
        <v>7757</v>
      </c>
      <c r="AD2377" s="77" t="s">
        <v>7788</v>
      </c>
      <c r="AE2377" s="80" t="str">
        <f>HYPERLINK("https://twitter.com/einvestidor/status/1679928938305556480")</f>
        <v>https://twitter.com/einvestidor/status/1679928938305556480</v>
      </c>
      <c r="AF2377" s="79">
        <v>45121.792187500003</v>
      </c>
      <c r="AG2377" s="85">
        <v>45121</v>
      </c>
      <c r="AH2377" s="82" t="s">
        <v>9717</v>
      </c>
      <c r="AI2377" s="77" t="b">
        <v>0</v>
      </c>
      <c r="AJ2377" s="77"/>
      <c r="AK2377" s="77"/>
      <c r="AL2377" s="77"/>
      <c r="AM2377" s="77"/>
      <c r="AN2377" s="77"/>
      <c r="AO2377" s="77"/>
      <c r="AP2377" s="77"/>
      <c r="AQ2377" s="77"/>
      <c r="AR2377" s="77"/>
      <c r="AS2377" s="77"/>
      <c r="AT2377" s="77"/>
      <c r="AU2377" s="77"/>
      <c r="AV2377" s="80" t="str">
        <f>HYPERLINK("https://pbs.twimg.com/profile_images/1241147984924082183/gZgx_hL-_normal.jpg")</f>
        <v>https://pbs.twimg.com/profile_images/1241147984924082183/gZgx_hL-_normal.jpg</v>
      </c>
      <c r="AW2377" s="82" t="s">
        <v>13973</v>
      </c>
      <c r="AX2377" s="82" t="s">
        <v>13973</v>
      </c>
      <c r="AY2377" s="77"/>
      <c r="AZ2377" s="82" t="s">
        <v>15984</v>
      </c>
      <c r="BA2377" s="82" t="s">
        <v>15984</v>
      </c>
      <c r="BB2377" s="82" t="s">
        <v>15984</v>
      </c>
      <c r="BC2377" s="82" t="s">
        <v>13973</v>
      </c>
      <c r="BD2377" s="82" t="s">
        <v>15979</v>
      </c>
      <c r="BE2377" s="77"/>
      <c r="BF2377" s="77"/>
      <c r="BG2377" s="77"/>
      <c r="BH2377" s="77"/>
      <c r="BI2377" s="77"/>
    </row>
    <row r="2378" spans="1:61" x14ac:dyDescent="0.25">
      <c r="A2378" s="62" t="s">
        <v>387</v>
      </c>
      <c r="B2378" s="62" t="s">
        <v>387</v>
      </c>
      <c r="C2378" s="63"/>
      <c r="D2378" s="64"/>
      <c r="E2378" s="65"/>
      <c r="F2378" s="66"/>
      <c r="G2378" s="63"/>
      <c r="H2378" s="67"/>
      <c r="I2378" s="68"/>
      <c r="J2378" s="68"/>
      <c r="K2378" s="32"/>
      <c r="L2378" s="75">
        <v>2378</v>
      </c>
      <c r="M2378" s="75"/>
      <c r="N2378" s="70"/>
      <c r="O2378" s="77" t="s">
        <v>179</v>
      </c>
      <c r="P2378" s="79">
        <v>45175.875</v>
      </c>
      <c r="Q2378" s="77" t="s">
        <v>3050</v>
      </c>
      <c r="R2378" s="77">
        <v>0</v>
      </c>
      <c r="S2378" s="77">
        <v>0</v>
      </c>
      <c r="T2378" s="77">
        <v>0</v>
      </c>
      <c r="U2378" s="77">
        <v>0</v>
      </c>
      <c r="V2378" s="77">
        <v>563</v>
      </c>
      <c r="W2378" s="82" t="s">
        <v>5990</v>
      </c>
      <c r="X2378" s="80" t="str">
        <f>HYPERLINK("https://einvestidor.estadao.com.br/ultimas/infracommerce-ifcm3-desaba-oferta-acoes/?utm_source=twitter&amp;utm_medium=organic&amp;utm_campaign=&amp;utm_content=materia")</f>
        <v>https://einvestidor.estadao.com.br/ultimas/infracommerce-ifcm3-desaba-oferta-acoes/?utm_source=twitter&amp;utm_medium=organic&amp;utm_campaign=&amp;utm_content=materia</v>
      </c>
      <c r="Y2378" s="77" t="s">
        <v>6470</v>
      </c>
      <c r="Z2378" s="77"/>
      <c r="AA2378" s="77"/>
      <c r="AB2378" s="77"/>
      <c r="AC2378" s="82" t="s">
        <v>7750</v>
      </c>
      <c r="AD2378" s="77" t="s">
        <v>7788</v>
      </c>
      <c r="AE2378" s="80" t="str">
        <f>HYPERLINK("https://twitter.com/einvestidor/status/1699527893574168708")</f>
        <v>https://twitter.com/einvestidor/status/1699527893574168708</v>
      </c>
      <c r="AF2378" s="79">
        <v>45175.875</v>
      </c>
      <c r="AG2378" s="85">
        <v>45175</v>
      </c>
      <c r="AH2378" s="82" t="s">
        <v>9647</v>
      </c>
      <c r="AI2378" s="77" t="b">
        <v>0</v>
      </c>
      <c r="AJ2378" s="77"/>
      <c r="AK2378" s="77"/>
      <c r="AL2378" s="77"/>
      <c r="AM2378" s="77"/>
      <c r="AN2378" s="77"/>
      <c r="AO2378" s="77"/>
      <c r="AP2378" s="77"/>
      <c r="AQ2378" s="77"/>
      <c r="AR2378" s="77"/>
      <c r="AS2378" s="77"/>
      <c r="AT2378" s="77"/>
      <c r="AU2378" s="77"/>
      <c r="AV2378" s="80" t="str">
        <f>HYPERLINK("https://pbs.twimg.com/profile_images/1241147984924082183/gZgx_hL-_normal.jpg")</f>
        <v>https://pbs.twimg.com/profile_images/1241147984924082183/gZgx_hL-_normal.jpg</v>
      </c>
      <c r="AW2378" s="82" t="s">
        <v>13974</v>
      </c>
      <c r="AX2378" s="82" t="s">
        <v>13974</v>
      </c>
      <c r="AY2378" s="77"/>
      <c r="AZ2378" s="82" t="s">
        <v>15984</v>
      </c>
      <c r="BA2378" s="82" t="s">
        <v>15984</v>
      </c>
      <c r="BB2378" s="82" t="s">
        <v>15984</v>
      </c>
      <c r="BC2378" s="82" t="s">
        <v>13974</v>
      </c>
      <c r="BD2378" s="82" t="s">
        <v>15979</v>
      </c>
      <c r="BE2378" s="77"/>
      <c r="BF2378" s="77"/>
      <c r="BG2378" s="77"/>
      <c r="BH2378" s="77"/>
      <c r="BI2378" s="77"/>
    </row>
    <row r="2379" spans="1:61" x14ac:dyDescent="0.25">
      <c r="A2379" s="62" t="s">
        <v>387</v>
      </c>
      <c r="B2379" s="62" t="s">
        <v>387</v>
      </c>
      <c r="C2379" s="63"/>
      <c r="D2379" s="64"/>
      <c r="E2379" s="65"/>
      <c r="F2379" s="66"/>
      <c r="G2379" s="63"/>
      <c r="H2379" s="67"/>
      <c r="I2379" s="68"/>
      <c r="J2379" s="68"/>
      <c r="K2379" s="32"/>
      <c r="L2379" s="75">
        <v>2379</v>
      </c>
      <c r="M2379" s="75"/>
      <c r="N2379" s="70"/>
      <c r="O2379" s="77" t="s">
        <v>179</v>
      </c>
      <c r="P2379" s="79">
        <v>45175.770833333336</v>
      </c>
      <c r="Q2379" s="77" t="s">
        <v>3051</v>
      </c>
      <c r="R2379" s="77">
        <v>0</v>
      </c>
      <c r="S2379" s="77">
        <v>0</v>
      </c>
      <c r="T2379" s="77">
        <v>0</v>
      </c>
      <c r="U2379" s="77">
        <v>0</v>
      </c>
      <c r="V2379" s="77">
        <v>481</v>
      </c>
      <c r="W2379" s="82" t="s">
        <v>5961</v>
      </c>
      <c r="X2379" s="80" t="str">
        <f>HYPERLINK("https://einvestidor.estadao.com.br/radar-einvestidor/petrobras-petr3-petr4-operacoes-argentina-acoes-alta/?utm_source=twitter&amp;utm_medium=organic&amp;utm_campaign=&amp;utm_content=materia")</f>
        <v>https://einvestidor.estadao.com.br/radar-einvestidor/petrobras-petr3-petr4-operacoes-argentina-acoes-alta/?utm_source=twitter&amp;utm_medium=organic&amp;utm_campaign=&amp;utm_content=materia</v>
      </c>
      <c r="Y2379" s="77" t="s">
        <v>6470</v>
      </c>
      <c r="Z2379" s="77"/>
      <c r="AA2379" s="77"/>
      <c r="AB2379" s="77"/>
      <c r="AC2379" s="82" t="s">
        <v>7750</v>
      </c>
      <c r="AD2379" s="77" t="s">
        <v>7788</v>
      </c>
      <c r="AE2379" s="80" t="str">
        <f>HYPERLINK("https://twitter.com/einvestidor/status/1699490145656004768")</f>
        <v>https://twitter.com/einvestidor/status/1699490145656004768</v>
      </c>
      <c r="AF2379" s="79">
        <v>45175.770833333336</v>
      </c>
      <c r="AG2379" s="85">
        <v>45175</v>
      </c>
      <c r="AH2379" s="82" t="s">
        <v>7930</v>
      </c>
      <c r="AI2379" s="77" t="b">
        <v>0</v>
      </c>
      <c r="AJ2379" s="77"/>
      <c r="AK2379" s="77"/>
      <c r="AL2379" s="77"/>
      <c r="AM2379" s="77"/>
      <c r="AN2379" s="77"/>
      <c r="AO2379" s="77"/>
      <c r="AP2379" s="77"/>
      <c r="AQ2379" s="77"/>
      <c r="AR2379" s="77"/>
      <c r="AS2379" s="77"/>
      <c r="AT2379" s="77"/>
      <c r="AU2379" s="77"/>
      <c r="AV2379" s="80" t="str">
        <f>HYPERLINK("https://pbs.twimg.com/profile_images/1241147984924082183/gZgx_hL-_normal.jpg")</f>
        <v>https://pbs.twimg.com/profile_images/1241147984924082183/gZgx_hL-_normal.jpg</v>
      </c>
      <c r="AW2379" s="82" t="s">
        <v>13975</v>
      </c>
      <c r="AX2379" s="82" t="s">
        <v>13975</v>
      </c>
      <c r="AY2379" s="77"/>
      <c r="AZ2379" s="82" t="s">
        <v>15984</v>
      </c>
      <c r="BA2379" s="82" t="s">
        <v>15984</v>
      </c>
      <c r="BB2379" s="82" t="s">
        <v>15984</v>
      </c>
      <c r="BC2379" s="82" t="s">
        <v>13975</v>
      </c>
      <c r="BD2379" s="82" t="s">
        <v>15979</v>
      </c>
      <c r="BE2379" s="77"/>
      <c r="BF2379" s="77"/>
      <c r="BG2379" s="77"/>
      <c r="BH2379" s="77"/>
      <c r="BI2379" s="77"/>
    </row>
    <row r="2380" spans="1:61" x14ac:dyDescent="0.25">
      <c r="A2380" s="62" t="s">
        <v>387</v>
      </c>
      <c r="B2380" s="62" t="s">
        <v>387</v>
      </c>
      <c r="C2380" s="63"/>
      <c r="D2380" s="64"/>
      <c r="E2380" s="65"/>
      <c r="F2380" s="66"/>
      <c r="G2380" s="63"/>
      <c r="H2380" s="67"/>
      <c r="I2380" s="68"/>
      <c r="J2380" s="68"/>
      <c r="K2380" s="32"/>
      <c r="L2380" s="75">
        <v>2380</v>
      </c>
      <c r="M2380" s="75"/>
      <c r="N2380" s="70"/>
      <c r="O2380" s="77" t="s">
        <v>179</v>
      </c>
      <c r="P2380" s="79">
        <v>45175.491793981484</v>
      </c>
      <c r="Q2380" s="77" t="s">
        <v>3052</v>
      </c>
      <c r="R2380" s="77">
        <v>0</v>
      </c>
      <c r="S2380" s="77">
        <v>0</v>
      </c>
      <c r="T2380" s="77">
        <v>0</v>
      </c>
      <c r="U2380" s="77">
        <v>0</v>
      </c>
      <c r="V2380" s="77">
        <v>424</v>
      </c>
      <c r="W2380" s="82" t="s">
        <v>4839</v>
      </c>
      <c r="X2380" s="80" t="str">
        <f>HYPERLINK("https://einvestidor.estadao.com.br/mercado/mercado-hoje-falas-dirigentes-fed-dados-economicos-brasil-exterior-cauteloso/?utm_source=twitter&amp;utm_medium=organic&amp;utm_campaign=mercado-hoje&amp;utm_content=materia")</f>
        <v>https://einvestidor.estadao.com.br/mercado/mercado-hoje-falas-dirigentes-fed-dados-economicos-brasil-exterior-cauteloso/?utm_source=twitter&amp;utm_medium=organic&amp;utm_campaign=mercado-hoje&amp;utm_content=materia</v>
      </c>
      <c r="Y2380" s="77" t="s">
        <v>6470</v>
      </c>
      <c r="Z2380" s="77"/>
      <c r="AA2380" s="77"/>
      <c r="AB2380" s="77"/>
      <c r="AC2380" s="82" t="s">
        <v>7750</v>
      </c>
      <c r="AD2380" s="77" t="s">
        <v>7788</v>
      </c>
      <c r="AE2380" s="80" t="str">
        <f>HYPERLINK("https://twitter.com/einvestidor/status/1699389025797242965")</f>
        <v>https://twitter.com/einvestidor/status/1699389025797242965</v>
      </c>
      <c r="AF2380" s="79">
        <v>45175.491793981484</v>
      </c>
      <c r="AG2380" s="85">
        <v>45175</v>
      </c>
      <c r="AH2380" s="82" t="s">
        <v>9718</v>
      </c>
      <c r="AI2380" s="77" t="b">
        <v>0</v>
      </c>
      <c r="AJ2380" s="77"/>
      <c r="AK2380" s="77"/>
      <c r="AL2380" s="77"/>
      <c r="AM2380" s="77"/>
      <c r="AN2380" s="77"/>
      <c r="AO2380" s="77"/>
      <c r="AP2380" s="77"/>
      <c r="AQ2380" s="77"/>
      <c r="AR2380" s="77"/>
      <c r="AS2380" s="77"/>
      <c r="AT2380" s="77"/>
      <c r="AU2380" s="77"/>
      <c r="AV2380" s="80" t="str">
        <f>HYPERLINK("https://pbs.twimg.com/profile_images/1241147984924082183/gZgx_hL-_normal.jpg")</f>
        <v>https://pbs.twimg.com/profile_images/1241147984924082183/gZgx_hL-_normal.jpg</v>
      </c>
      <c r="AW2380" s="82" t="s">
        <v>13976</v>
      </c>
      <c r="AX2380" s="82" t="s">
        <v>13976</v>
      </c>
      <c r="AY2380" s="77"/>
      <c r="AZ2380" s="82" t="s">
        <v>15984</v>
      </c>
      <c r="BA2380" s="82" t="s">
        <v>15984</v>
      </c>
      <c r="BB2380" s="82" t="s">
        <v>15984</v>
      </c>
      <c r="BC2380" s="82" t="s">
        <v>13976</v>
      </c>
      <c r="BD2380" s="82" t="s">
        <v>15979</v>
      </c>
      <c r="BE2380" s="77"/>
      <c r="BF2380" s="77"/>
      <c r="BG2380" s="77"/>
      <c r="BH2380" s="77"/>
      <c r="BI2380" s="77"/>
    </row>
    <row r="2381" spans="1:61" x14ac:dyDescent="0.25">
      <c r="A2381" s="62" t="s">
        <v>387</v>
      </c>
      <c r="B2381" s="62" t="s">
        <v>387</v>
      </c>
      <c r="C2381" s="63"/>
      <c r="D2381" s="64"/>
      <c r="E2381" s="65"/>
      <c r="F2381" s="66"/>
      <c r="G2381" s="63"/>
      <c r="H2381" s="67"/>
      <c r="I2381" s="68"/>
      <c r="J2381" s="68"/>
      <c r="K2381" s="32"/>
      <c r="L2381" s="75">
        <v>2381</v>
      </c>
      <c r="M2381" s="75"/>
      <c r="N2381" s="70"/>
      <c r="O2381" s="77" t="s">
        <v>179</v>
      </c>
      <c r="P2381" s="79">
        <v>45173.914571759262</v>
      </c>
      <c r="Q2381" s="77" t="s">
        <v>3053</v>
      </c>
      <c r="R2381" s="77">
        <v>0</v>
      </c>
      <c r="S2381" s="77">
        <v>1</v>
      </c>
      <c r="T2381" s="77">
        <v>0</v>
      </c>
      <c r="U2381" s="77">
        <v>0</v>
      </c>
      <c r="V2381" s="77">
        <v>494</v>
      </c>
      <c r="W2381" s="82" t="s">
        <v>4833</v>
      </c>
      <c r="X2381" s="80" t="str">
        <f>HYPERLINK("https://einvestidor.estadao.com.br/mercado/fechamento-de-mercado-04-09-2023/?utm_source=twitter&amp;utm_medium=organic&amp;utm_campaign=&amp;utm_content=materia")</f>
        <v>https://einvestidor.estadao.com.br/mercado/fechamento-de-mercado-04-09-2023/?utm_source=twitter&amp;utm_medium=organic&amp;utm_campaign=&amp;utm_content=materia</v>
      </c>
      <c r="Y2381" s="77" t="s">
        <v>6470</v>
      </c>
      <c r="Z2381" s="77"/>
      <c r="AA2381" s="77"/>
      <c r="AB2381" s="77"/>
      <c r="AC2381" s="82" t="s">
        <v>7750</v>
      </c>
      <c r="AD2381" s="77" t="s">
        <v>7788</v>
      </c>
      <c r="AE2381" s="80" t="str">
        <f>HYPERLINK("https://twitter.com/einvestidor/status/1698817460495954216")</f>
        <v>https://twitter.com/einvestidor/status/1698817460495954216</v>
      </c>
      <c r="AF2381" s="79">
        <v>45173.914571759262</v>
      </c>
      <c r="AG2381" s="85">
        <v>45173</v>
      </c>
      <c r="AH2381" s="82" t="s">
        <v>9719</v>
      </c>
      <c r="AI2381" s="77" t="b">
        <v>0</v>
      </c>
      <c r="AJ2381" s="77"/>
      <c r="AK2381" s="77"/>
      <c r="AL2381" s="77"/>
      <c r="AM2381" s="77"/>
      <c r="AN2381" s="77"/>
      <c r="AO2381" s="77"/>
      <c r="AP2381" s="77"/>
      <c r="AQ2381" s="77"/>
      <c r="AR2381" s="77"/>
      <c r="AS2381" s="77"/>
      <c r="AT2381" s="77"/>
      <c r="AU2381" s="77"/>
      <c r="AV2381" s="80" t="str">
        <f>HYPERLINK("https://pbs.twimg.com/profile_images/1241147984924082183/gZgx_hL-_normal.jpg")</f>
        <v>https://pbs.twimg.com/profile_images/1241147984924082183/gZgx_hL-_normal.jpg</v>
      </c>
      <c r="AW2381" s="82" t="s">
        <v>13977</v>
      </c>
      <c r="AX2381" s="82" t="s">
        <v>13977</v>
      </c>
      <c r="AY2381" s="77"/>
      <c r="AZ2381" s="82" t="s">
        <v>15984</v>
      </c>
      <c r="BA2381" s="82" t="s">
        <v>15984</v>
      </c>
      <c r="BB2381" s="82" t="s">
        <v>15984</v>
      </c>
      <c r="BC2381" s="82" t="s">
        <v>13977</v>
      </c>
      <c r="BD2381" s="82" t="s">
        <v>15979</v>
      </c>
      <c r="BE2381" s="77"/>
      <c r="BF2381" s="77"/>
      <c r="BG2381" s="77"/>
      <c r="BH2381" s="77"/>
      <c r="BI2381" s="77"/>
    </row>
    <row r="2382" spans="1:61" x14ac:dyDescent="0.25">
      <c r="A2382" s="62" t="s">
        <v>387</v>
      </c>
      <c r="B2382" s="62" t="s">
        <v>387</v>
      </c>
      <c r="C2382" s="63"/>
      <c r="D2382" s="64"/>
      <c r="E2382" s="65"/>
      <c r="F2382" s="66"/>
      <c r="G2382" s="63"/>
      <c r="H2382" s="67"/>
      <c r="I2382" s="68"/>
      <c r="J2382" s="68"/>
      <c r="K2382" s="32"/>
      <c r="L2382" s="75">
        <v>2382</v>
      </c>
      <c r="M2382" s="75"/>
      <c r="N2382" s="70"/>
      <c r="O2382" s="77" t="s">
        <v>179</v>
      </c>
      <c r="P2382" s="79">
        <v>45173.909351851849</v>
      </c>
      <c r="Q2382" s="77" t="s">
        <v>3054</v>
      </c>
      <c r="R2382" s="77">
        <v>0</v>
      </c>
      <c r="S2382" s="77">
        <v>0</v>
      </c>
      <c r="T2382" s="77">
        <v>0</v>
      </c>
      <c r="U2382" s="77">
        <v>0</v>
      </c>
      <c r="V2382" s="77">
        <v>609</v>
      </c>
      <c r="W2382" s="82" t="s">
        <v>5991</v>
      </c>
      <c r="X2382" s="80" t="str">
        <f>HYPERLINK("https://einvestidor.estadao.com.br/mercado/piores-acoes-ibovespa-magazine-luiza-mglu3-yduqs-yduq3-cogna-cogn3/?utm_source=twitter&amp;utm_medium=organic&amp;utm_campaign=&amp;utm_content=materia")</f>
        <v>https://einvestidor.estadao.com.br/mercado/piores-acoes-ibovespa-magazine-luiza-mglu3-yduqs-yduq3-cogna-cogn3/?utm_source=twitter&amp;utm_medium=organic&amp;utm_campaign=&amp;utm_content=materia</v>
      </c>
      <c r="Y2382" s="77" t="s">
        <v>6470</v>
      </c>
      <c r="Z2382" s="77"/>
      <c r="AA2382" s="77"/>
      <c r="AB2382" s="77"/>
      <c r="AC2382" s="82" t="s">
        <v>7750</v>
      </c>
      <c r="AD2382" s="77" t="s">
        <v>7788</v>
      </c>
      <c r="AE2382" s="80" t="str">
        <f>HYPERLINK("https://twitter.com/einvestidor/status/1698815567417815354")</f>
        <v>https://twitter.com/einvestidor/status/1698815567417815354</v>
      </c>
      <c r="AF2382" s="79">
        <v>45173.909351851849</v>
      </c>
      <c r="AG2382" s="85">
        <v>45173</v>
      </c>
      <c r="AH2382" s="82" t="s">
        <v>9720</v>
      </c>
      <c r="AI2382" s="77" t="b">
        <v>0</v>
      </c>
      <c r="AJ2382" s="77"/>
      <c r="AK2382" s="77"/>
      <c r="AL2382" s="77"/>
      <c r="AM2382" s="77"/>
      <c r="AN2382" s="77"/>
      <c r="AO2382" s="77"/>
      <c r="AP2382" s="77"/>
      <c r="AQ2382" s="77"/>
      <c r="AR2382" s="77"/>
      <c r="AS2382" s="77"/>
      <c r="AT2382" s="77"/>
      <c r="AU2382" s="77"/>
      <c r="AV2382" s="80" t="str">
        <f>HYPERLINK("https://pbs.twimg.com/profile_images/1241147984924082183/gZgx_hL-_normal.jpg")</f>
        <v>https://pbs.twimg.com/profile_images/1241147984924082183/gZgx_hL-_normal.jpg</v>
      </c>
      <c r="AW2382" s="82" t="s">
        <v>13978</v>
      </c>
      <c r="AX2382" s="82" t="s">
        <v>13978</v>
      </c>
      <c r="AY2382" s="77"/>
      <c r="AZ2382" s="82" t="s">
        <v>15984</v>
      </c>
      <c r="BA2382" s="82" t="s">
        <v>15984</v>
      </c>
      <c r="BB2382" s="82" t="s">
        <v>15984</v>
      </c>
      <c r="BC2382" s="82" t="s">
        <v>13978</v>
      </c>
      <c r="BD2382" s="82" t="s">
        <v>15979</v>
      </c>
      <c r="BE2382" s="77"/>
      <c r="BF2382" s="77"/>
      <c r="BG2382" s="77"/>
      <c r="BH2382" s="77"/>
      <c r="BI2382" s="77"/>
    </row>
    <row r="2383" spans="1:61" x14ac:dyDescent="0.25">
      <c r="A2383" s="62" t="s">
        <v>387</v>
      </c>
      <c r="B2383" s="62" t="s">
        <v>387</v>
      </c>
      <c r="C2383" s="63"/>
      <c r="D2383" s="64"/>
      <c r="E2383" s="65"/>
      <c r="F2383" s="66"/>
      <c r="G2383" s="63"/>
      <c r="H2383" s="67"/>
      <c r="I2383" s="68"/>
      <c r="J2383" s="68"/>
      <c r="K2383" s="32"/>
      <c r="L2383" s="75">
        <v>2383</v>
      </c>
      <c r="M2383" s="75"/>
      <c r="N2383" s="70"/>
      <c r="O2383" s="77" t="s">
        <v>179</v>
      </c>
      <c r="P2383" s="79">
        <v>45172.833333333336</v>
      </c>
      <c r="Q2383" s="77" t="s">
        <v>3055</v>
      </c>
      <c r="R2383" s="77">
        <v>0</v>
      </c>
      <c r="S2383" s="77">
        <v>2</v>
      </c>
      <c r="T2383" s="77">
        <v>0</v>
      </c>
      <c r="U2383" s="77">
        <v>0</v>
      </c>
      <c r="V2383" s="77">
        <v>799</v>
      </c>
      <c r="W2383" s="82" t="s">
        <v>5992</v>
      </c>
      <c r="X2383" s="80" t="str">
        <f>HYPERLINK("https://einvestidor.estadao.com.br/colunas/artigos-especialistas/warren-buffett-licoes-aprendidas/?utm_source=twitter&amp;utm_medium=organic&amp;utm_campaign=&amp;utm_content=materia")</f>
        <v>https://einvestidor.estadao.com.br/colunas/artigos-especialistas/warren-buffett-licoes-aprendidas/?utm_source=twitter&amp;utm_medium=organic&amp;utm_campaign=&amp;utm_content=materia</v>
      </c>
      <c r="Y2383" s="77" t="s">
        <v>6470</v>
      </c>
      <c r="Z2383" s="77"/>
      <c r="AA2383" s="77"/>
      <c r="AB2383" s="77"/>
      <c r="AC2383" s="82" t="s">
        <v>7750</v>
      </c>
      <c r="AD2383" s="77" t="s">
        <v>7788</v>
      </c>
      <c r="AE2383" s="80" t="str">
        <f>HYPERLINK("https://twitter.com/einvestidor/status/1698425632806273194")</f>
        <v>https://twitter.com/einvestidor/status/1698425632806273194</v>
      </c>
      <c r="AF2383" s="79">
        <v>45172.833333333336</v>
      </c>
      <c r="AG2383" s="85">
        <v>45172</v>
      </c>
      <c r="AH2383" s="82" t="s">
        <v>8381</v>
      </c>
      <c r="AI2383" s="77" t="b">
        <v>0</v>
      </c>
      <c r="AJ2383" s="77"/>
      <c r="AK2383" s="77"/>
      <c r="AL2383" s="77"/>
      <c r="AM2383" s="77"/>
      <c r="AN2383" s="77"/>
      <c r="AO2383" s="77"/>
      <c r="AP2383" s="77"/>
      <c r="AQ2383" s="77"/>
      <c r="AR2383" s="77"/>
      <c r="AS2383" s="77"/>
      <c r="AT2383" s="77"/>
      <c r="AU2383" s="77"/>
      <c r="AV2383" s="80" t="str">
        <f>HYPERLINK("https://pbs.twimg.com/profile_images/1241147984924082183/gZgx_hL-_normal.jpg")</f>
        <v>https://pbs.twimg.com/profile_images/1241147984924082183/gZgx_hL-_normal.jpg</v>
      </c>
      <c r="AW2383" s="82" t="s">
        <v>13979</v>
      </c>
      <c r="AX2383" s="82" t="s">
        <v>13979</v>
      </c>
      <c r="AY2383" s="77"/>
      <c r="AZ2383" s="82" t="s">
        <v>15984</v>
      </c>
      <c r="BA2383" s="82" t="s">
        <v>15984</v>
      </c>
      <c r="BB2383" s="82" t="s">
        <v>15984</v>
      </c>
      <c r="BC2383" s="82" t="s">
        <v>13979</v>
      </c>
      <c r="BD2383" s="82" t="s">
        <v>15979</v>
      </c>
      <c r="BE2383" s="77"/>
      <c r="BF2383" s="77"/>
      <c r="BG2383" s="77"/>
      <c r="BH2383" s="77"/>
      <c r="BI2383" s="77"/>
    </row>
    <row r="2384" spans="1:61" x14ac:dyDescent="0.25">
      <c r="A2384" s="62" t="s">
        <v>387</v>
      </c>
      <c r="B2384" s="62" t="s">
        <v>387</v>
      </c>
      <c r="C2384" s="63"/>
      <c r="D2384" s="64"/>
      <c r="E2384" s="65"/>
      <c r="F2384" s="66"/>
      <c r="G2384" s="63"/>
      <c r="H2384" s="67"/>
      <c r="I2384" s="68"/>
      <c r="J2384" s="68"/>
      <c r="K2384" s="32"/>
      <c r="L2384" s="75">
        <v>2384</v>
      </c>
      <c r="M2384" s="75"/>
      <c r="N2384" s="70"/>
      <c r="O2384" s="77" t="s">
        <v>179</v>
      </c>
      <c r="P2384" s="79">
        <v>45169.833344907405</v>
      </c>
      <c r="Q2384" s="77" t="s">
        <v>3056</v>
      </c>
      <c r="R2384" s="77">
        <v>0</v>
      </c>
      <c r="S2384" s="77">
        <v>0</v>
      </c>
      <c r="T2384" s="77">
        <v>0</v>
      </c>
      <c r="U2384" s="77">
        <v>0</v>
      </c>
      <c r="V2384" s="77">
        <v>488</v>
      </c>
      <c r="W2384" s="82" t="s">
        <v>4833</v>
      </c>
      <c r="X2384" s="80" t="str">
        <f>HYPERLINK("https://einvestidor.estadao.com.br/ultimas/mercado-pago-cartao-de-credito-pessoas-juridicas/?utm_source=twitter&amp;utm_medium=organic&amp;utm_campaign=&amp;utm_content=materia")</f>
        <v>https://einvestidor.estadao.com.br/ultimas/mercado-pago-cartao-de-credito-pessoas-juridicas/?utm_source=twitter&amp;utm_medium=organic&amp;utm_campaign=&amp;utm_content=materia</v>
      </c>
      <c r="Y2384" s="77" t="s">
        <v>6470</v>
      </c>
      <c r="Z2384" s="77"/>
      <c r="AA2384" s="77"/>
      <c r="AB2384" s="77"/>
      <c r="AC2384" s="82" t="s">
        <v>7750</v>
      </c>
      <c r="AD2384" s="77" t="s">
        <v>7788</v>
      </c>
      <c r="AE2384" s="80" t="str">
        <f>HYPERLINK("https://twitter.com/einvestidor/status/1697338472355475693")</f>
        <v>https://twitter.com/einvestidor/status/1697338472355475693</v>
      </c>
      <c r="AF2384" s="79">
        <v>45169.833344907405</v>
      </c>
      <c r="AG2384" s="85">
        <v>45169</v>
      </c>
      <c r="AH2384" s="82" t="s">
        <v>8284</v>
      </c>
      <c r="AI2384" s="77" t="b">
        <v>0</v>
      </c>
      <c r="AJ2384" s="77"/>
      <c r="AK2384" s="77"/>
      <c r="AL2384" s="77"/>
      <c r="AM2384" s="77"/>
      <c r="AN2384" s="77"/>
      <c r="AO2384" s="77"/>
      <c r="AP2384" s="77"/>
      <c r="AQ2384" s="77"/>
      <c r="AR2384" s="77"/>
      <c r="AS2384" s="77"/>
      <c r="AT2384" s="77"/>
      <c r="AU2384" s="77"/>
      <c r="AV2384" s="80" t="str">
        <f>HYPERLINK("https://pbs.twimg.com/profile_images/1241147984924082183/gZgx_hL-_normal.jpg")</f>
        <v>https://pbs.twimg.com/profile_images/1241147984924082183/gZgx_hL-_normal.jpg</v>
      </c>
      <c r="AW2384" s="82" t="s">
        <v>13980</v>
      </c>
      <c r="AX2384" s="82" t="s">
        <v>13980</v>
      </c>
      <c r="AY2384" s="77"/>
      <c r="AZ2384" s="82" t="s">
        <v>15984</v>
      </c>
      <c r="BA2384" s="82" t="s">
        <v>15984</v>
      </c>
      <c r="BB2384" s="82" t="s">
        <v>15984</v>
      </c>
      <c r="BC2384" s="82" t="s">
        <v>13980</v>
      </c>
      <c r="BD2384" s="82" t="s">
        <v>15979</v>
      </c>
      <c r="BE2384" s="77"/>
      <c r="BF2384" s="77"/>
      <c r="BG2384" s="77"/>
      <c r="BH2384" s="77"/>
      <c r="BI2384" s="77"/>
    </row>
    <row r="2385" spans="1:61" x14ac:dyDescent="0.25">
      <c r="A2385" s="62" t="s">
        <v>387</v>
      </c>
      <c r="B2385" s="62" t="s">
        <v>387</v>
      </c>
      <c r="C2385" s="63"/>
      <c r="D2385" s="64"/>
      <c r="E2385" s="65"/>
      <c r="F2385" s="66"/>
      <c r="G2385" s="63"/>
      <c r="H2385" s="67"/>
      <c r="I2385" s="68"/>
      <c r="J2385" s="68"/>
      <c r="K2385" s="32"/>
      <c r="L2385" s="75">
        <v>2385</v>
      </c>
      <c r="M2385" s="75"/>
      <c r="N2385" s="70"/>
      <c r="O2385" s="77" t="s">
        <v>179</v>
      </c>
      <c r="P2385" s="79">
        <v>45169.8125</v>
      </c>
      <c r="Q2385" s="77" t="s">
        <v>3057</v>
      </c>
      <c r="R2385" s="77">
        <v>0</v>
      </c>
      <c r="S2385" s="77">
        <v>0</v>
      </c>
      <c r="T2385" s="77">
        <v>0</v>
      </c>
      <c r="U2385" s="77">
        <v>0</v>
      </c>
      <c r="V2385" s="77">
        <v>548</v>
      </c>
      <c r="W2385" s="82" t="s">
        <v>5993</v>
      </c>
      <c r="X2385" s="80" t="str">
        <f>HYPERLINK("https://einvestidor.estadao.com.br/ultimas/acoes-totvs-caem-dissolucao-empreendimento-conjunto-vtex/?utm_source=twitter&amp;utm_medium=organic&amp;utm_campaign=&amp;utm_content=materia")</f>
        <v>https://einvestidor.estadao.com.br/ultimas/acoes-totvs-caem-dissolucao-empreendimento-conjunto-vtex/?utm_source=twitter&amp;utm_medium=organic&amp;utm_campaign=&amp;utm_content=materia</v>
      </c>
      <c r="Y2385" s="77" t="s">
        <v>6470</v>
      </c>
      <c r="Z2385" s="77"/>
      <c r="AA2385" s="77"/>
      <c r="AB2385" s="77"/>
      <c r="AC2385" s="82" t="s">
        <v>7750</v>
      </c>
      <c r="AD2385" s="77" t="s">
        <v>7788</v>
      </c>
      <c r="AE2385" s="80" t="str">
        <f>HYPERLINK("https://twitter.com/einvestidor/status/1697330917222789194")</f>
        <v>https://twitter.com/einvestidor/status/1697330917222789194</v>
      </c>
      <c r="AF2385" s="79">
        <v>45169.8125</v>
      </c>
      <c r="AG2385" s="85">
        <v>45169</v>
      </c>
      <c r="AH2385" s="82" t="s">
        <v>8281</v>
      </c>
      <c r="AI2385" s="77" t="b">
        <v>0</v>
      </c>
      <c r="AJ2385" s="77"/>
      <c r="AK2385" s="77"/>
      <c r="AL2385" s="77"/>
      <c r="AM2385" s="77"/>
      <c r="AN2385" s="77"/>
      <c r="AO2385" s="77"/>
      <c r="AP2385" s="77"/>
      <c r="AQ2385" s="77"/>
      <c r="AR2385" s="77"/>
      <c r="AS2385" s="77"/>
      <c r="AT2385" s="77"/>
      <c r="AU2385" s="77"/>
      <c r="AV2385" s="80" t="str">
        <f>HYPERLINK("https://pbs.twimg.com/profile_images/1241147984924082183/gZgx_hL-_normal.jpg")</f>
        <v>https://pbs.twimg.com/profile_images/1241147984924082183/gZgx_hL-_normal.jpg</v>
      </c>
      <c r="AW2385" s="82" t="s">
        <v>13981</v>
      </c>
      <c r="AX2385" s="82" t="s">
        <v>13981</v>
      </c>
      <c r="AY2385" s="77"/>
      <c r="AZ2385" s="82" t="s">
        <v>15984</v>
      </c>
      <c r="BA2385" s="82" t="s">
        <v>15984</v>
      </c>
      <c r="BB2385" s="82" t="s">
        <v>15984</v>
      </c>
      <c r="BC2385" s="82" t="s">
        <v>13981</v>
      </c>
      <c r="BD2385" s="82" t="s">
        <v>15979</v>
      </c>
      <c r="BE2385" s="77"/>
      <c r="BF2385" s="77"/>
      <c r="BG2385" s="77"/>
      <c r="BH2385" s="77"/>
      <c r="BI2385" s="77"/>
    </row>
    <row r="2386" spans="1:61" x14ac:dyDescent="0.25">
      <c r="A2386" s="62" t="s">
        <v>387</v>
      </c>
      <c r="B2386" s="62" t="s">
        <v>387</v>
      </c>
      <c r="C2386" s="63"/>
      <c r="D2386" s="64"/>
      <c r="E2386" s="65"/>
      <c r="F2386" s="66"/>
      <c r="G2386" s="63"/>
      <c r="H2386" s="67"/>
      <c r="I2386" s="68"/>
      <c r="J2386" s="68"/>
      <c r="K2386" s="32"/>
      <c r="L2386" s="75">
        <v>2386</v>
      </c>
      <c r="M2386" s="75"/>
      <c r="N2386" s="70"/>
      <c r="O2386" s="77" t="s">
        <v>179</v>
      </c>
      <c r="P2386" s="79">
        <v>45169.802083333336</v>
      </c>
      <c r="Q2386" s="77" t="s">
        <v>3058</v>
      </c>
      <c r="R2386" s="77">
        <v>0</v>
      </c>
      <c r="S2386" s="77">
        <v>0</v>
      </c>
      <c r="T2386" s="77">
        <v>0</v>
      </c>
      <c r="U2386" s="77">
        <v>0</v>
      </c>
      <c r="V2386" s="77">
        <v>696</v>
      </c>
      <c r="W2386" s="82" t="s">
        <v>5994</v>
      </c>
      <c r="X2386" s="80" t="str">
        <f>HYPERLINK("https://einvestidor.estadao.com.br/educacao-financeira/restituicao-imposto-de-renda-2023-como-sacar-banco-do-brasil/?utm_source=twitter&amp;utm_medium=organic&amp;utm_campaign=&amp;utm_content=materia")</f>
        <v>https://einvestidor.estadao.com.br/educacao-financeira/restituicao-imposto-de-renda-2023-como-sacar-banco-do-brasil/?utm_source=twitter&amp;utm_medium=organic&amp;utm_campaign=&amp;utm_content=materia</v>
      </c>
      <c r="Y2386" s="77" t="s">
        <v>6470</v>
      </c>
      <c r="Z2386" s="77"/>
      <c r="AA2386" s="77"/>
      <c r="AB2386" s="77"/>
      <c r="AC2386" s="82" t="s">
        <v>7750</v>
      </c>
      <c r="AD2386" s="77" t="s">
        <v>7788</v>
      </c>
      <c r="AE2386" s="80" t="str">
        <f>HYPERLINK("https://twitter.com/einvestidor/status/1697327142479225088")</f>
        <v>https://twitter.com/einvestidor/status/1697327142479225088</v>
      </c>
      <c r="AF2386" s="79">
        <v>45169.802083333336</v>
      </c>
      <c r="AG2386" s="85">
        <v>45169</v>
      </c>
      <c r="AH2386" s="82" t="s">
        <v>7868</v>
      </c>
      <c r="AI2386" s="77" t="b">
        <v>0</v>
      </c>
      <c r="AJ2386" s="77"/>
      <c r="AK2386" s="77"/>
      <c r="AL2386" s="77"/>
      <c r="AM2386" s="77"/>
      <c r="AN2386" s="77"/>
      <c r="AO2386" s="77"/>
      <c r="AP2386" s="77"/>
      <c r="AQ2386" s="77"/>
      <c r="AR2386" s="77"/>
      <c r="AS2386" s="77"/>
      <c r="AT2386" s="77"/>
      <c r="AU2386" s="77"/>
      <c r="AV2386" s="80" t="str">
        <f>HYPERLINK("https://pbs.twimg.com/profile_images/1241147984924082183/gZgx_hL-_normal.jpg")</f>
        <v>https://pbs.twimg.com/profile_images/1241147984924082183/gZgx_hL-_normal.jpg</v>
      </c>
      <c r="AW2386" s="82" t="s">
        <v>13982</v>
      </c>
      <c r="AX2386" s="82" t="s">
        <v>13982</v>
      </c>
      <c r="AY2386" s="77"/>
      <c r="AZ2386" s="82" t="s">
        <v>15984</v>
      </c>
      <c r="BA2386" s="82" t="s">
        <v>15984</v>
      </c>
      <c r="BB2386" s="82" t="s">
        <v>15984</v>
      </c>
      <c r="BC2386" s="82" t="s">
        <v>13982</v>
      </c>
      <c r="BD2386" s="82" t="s">
        <v>15979</v>
      </c>
      <c r="BE2386" s="77"/>
      <c r="BF2386" s="77"/>
      <c r="BG2386" s="77"/>
      <c r="BH2386" s="77"/>
      <c r="BI2386" s="77"/>
    </row>
    <row r="2387" spans="1:61" x14ac:dyDescent="0.25">
      <c r="A2387" s="62" t="s">
        <v>387</v>
      </c>
      <c r="B2387" s="62" t="s">
        <v>387</v>
      </c>
      <c r="C2387" s="63"/>
      <c r="D2387" s="64"/>
      <c r="E2387" s="65"/>
      <c r="F2387" s="66"/>
      <c r="G2387" s="63"/>
      <c r="H2387" s="67"/>
      <c r="I2387" s="68"/>
      <c r="J2387" s="68"/>
      <c r="K2387" s="32"/>
      <c r="L2387" s="75">
        <v>2387</v>
      </c>
      <c r="M2387" s="75"/>
      <c r="N2387" s="70"/>
      <c r="O2387" s="77" t="s">
        <v>179</v>
      </c>
      <c r="P2387" s="79">
        <v>45168.84375</v>
      </c>
      <c r="Q2387" s="77" t="s">
        <v>3059</v>
      </c>
      <c r="R2387" s="77">
        <v>0</v>
      </c>
      <c r="S2387" s="77">
        <v>1</v>
      </c>
      <c r="T2387" s="77">
        <v>0</v>
      </c>
      <c r="U2387" s="77">
        <v>0</v>
      </c>
      <c r="V2387" s="77">
        <v>563</v>
      </c>
      <c r="W2387" s="82" t="s">
        <v>5995</v>
      </c>
      <c r="X2387" s="80" t="str">
        <f>HYPERLINK("https://einvestidor.estadao.com.br/ultimas/metais-cobre-fechamento-30-08-2023/?utm_source=twitter&amp;utm_medium=organic&amp;utm_campaign=&amp;utm_content=materia")</f>
        <v>https://einvestidor.estadao.com.br/ultimas/metais-cobre-fechamento-30-08-2023/?utm_source=twitter&amp;utm_medium=organic&amp;utm_campaign=&amp;utm_content=materia</v>
      </c>
      <c r="Y2387" s="77" t="s">
        <v>6470</v>
      </c>
      <c r="Z2387" s="77"/>
      <c r="AA2387" s="77"/>
      <c r="AB2387" s="77"/>
      <c r="AC2387" s="82" t="s">
        <v>7750</v>
      </c>
      <c r="AD2387" s="77" t="s">
        <v>7788</v>
      </c>
      <c r="AE2387" s="80" t="str">
        <f>HYPERLINK("https://twitter.com/einvestidor/status/1696979854103572830")</f>
        <v>https://twitter.com/einvestidor/status/1696979854103572830</v>
      </c>
      <c r="AF2387" s="79">
        <v>45168.84375</v>
      </c>
      <c r="AG2387" s="85">
        <v>45168</v>
      </c>
      <c r="AH2387" s="82" t="s">
        <v>9296</v>
      </c>
      <c r="AI2387" s="77" t="b">
        <v>0</v>
      </c>
      <c r="AJ2387" s="77"/>
      <c r="AK2387" s="77"/>
      <c r="AL2387" s="77"/>
      <c r="AM2387" s="77"/>
      <c r="AN2387" s="77"/>
      <c r="AO2387" s="77"/>
      <c r="AP2387" s="77"/>
      <c r="AQ2387" s="77"/>
      <c r="AR2387" s="77"/>
      <c r="AS2387" s="77"/>
      <c r="AT2387" s="77"/>
      <c r="AU2387" s="77"/>
      <c r="AV2387" s="80" t="str">
        <f>HYPERLINK("https://pbs.twimg.com/profile_images/1241147984924082183/gZgx_hL-_normal.jpg")</f>
        <v>https://pbs.twimg.com/profile_images/1241147984924082183/gZgx_hL-_normal.jpg</v>
      </c>
      <c r="AW2387" s="82" t="s">
        <v>13983</v>
      </c>
      <c r="AX2387" s="82" t="s">
        <v>13983</v>
      </c>
      <c r="AY2387" s="77"/>
      <c r="AZ2387" s="82" t="s">
        <v>15984</v>
      </c>
      <c r="BA2387" s="82" t="s">
        <v>15984</v>
      </c>
      <c r="BB2387" s="82" t="s">
        <v>15984</v>
      </c>
      <c r="BC2387" s="82" t="s">
        <v>13983</v>
      </c>
      <c r="BD2387" s="82" t="s">
        <v>15979</v>
      </c>
      <c r="BE2387" s="77"/>
      <c r="BF2387" s="77"/>
      <c r="BG2387" s="77"/>
      <c r="BH2387" s="77"/>
      <c r="BI2387" s="77"/>
    </row>
    <row r="2388" spans="1:61" x14ac:dyDescent="0.25">
      <c r="A2388" s="62" t="s">
        <v>387</v>
      </c>
      <c r="B2388" s="62" t="s">
        <v>387</v>
      </c>
      <c r="C2388" s="63"/>
      <c r="D2388" s="64"/>
      <c r="E2388" s="65"/>
      <c r="F2388" s="66"/>
      <c r="G2388" s="63"/>
      <c r="H2388" s="67"/>
      <c r="I2388" s="68"/>
      <c r="J2388" s="68"/>
      <c r="K2388" s="32"/>
      <c r="L2388" s="75">
        <v>2388</v>
      </c>
      <c r="M2388" s="75"/>
      <c r="N2388" s="70"/>
      <c r="O2388" s="77" t="s">
        <v>179</v>
      </c>
      <c r="P2388" s="79">
        <v>45168.833344907405</v>
      </c>
      <c r="Q2388" s="77" t="s">
        <v>3060</v>
      </c>
      <c r="R2388" s="77">
        <v>0</v>
      </c>
      <c r="S2388" s="77">
        <v>0</v>
      </c>
      <c r="T2388" s="77">
        <v>0</v>
      </c>
      <c r="U2388" s="77">
        <v>0</v>
      </c>
      <c r="V2388" s="77">
        <v>472</v>
      </c>
      <c r="W2388" s="82" t="s">
        <v>5917</v>
      </c>
      <c r="X2388" s="80" t="str">
        <f>HYPERLINK("https://einvestidor.estadao.com.br/ultimas/metais-ouro-fechamento-30-08-2023/?utm_source=twitter&amp;utm_medium=organic&amp;utm_campaign=&amp;utm_content=materia")</f>
        <v>https://einvestidor.estadao.com.br/ultimas/metais-ouro-fechamento-30-08-2023/?utm_source=twitter&amp;utm_medium=organic&amp;utm_campaign=&amp;utm_content=materia</v>
      </c>
      <c r="Y2388" s="77" t="s">
        <v>6470</v>
      </c>
      <c r="Z2388" s="77"/>
      <c r="AA2388" s="77"/>
      <c r="AB2388" s="77"/>
      <c r="AC2388" s="82" t="s">
        <v>7750</v>
      </c>
      <c r="AD2388" s="77" t="s">
        <v>7788</v>
      </c>
      <c r="AE2388" s="80" t="str">
        <f>HYPERLINK("https://twitter.com/einvestidor/status/1696976083524989292")</f>
        <v>https://twitter.com/einvestidor/status/1696976083524989292</v>
      </c>
      <c r="AF2388" s="79">
        <v>45168.833344907405</v>
      </c>
      <c r="AG2388" s="85">
        <v>45168</v>
      </c>
      <c r="AH2388" s="82" t="s">
        <v>8284</v>
      </c>
      <c r="AI2388" s="77" t="b">
        <v>0</v>
      </c>
      <c r="AJ2388" s="77"/>
      <c r="AK2388" s="77"/>
      <c r="AL2388" s="77"/>
      <c r="AM2388" s="77"/>
      <c r="AN2388" s="77"/>
      <c r="AO2388" s="77"/>
      <c r="AP2388" s="77"/>
      <c r="AQ2388" s="77"/>
      <c r="AR2388" s="77"/>
      <c r="AS2388" s="77"/>
      <c r="AT2388" s="77"/>
      <c r="AU2388" s="77"/>
      <c r="AV2388" s="80" t="str">
        <f>HYPERLINK("https://pbs.twimg.com/profile_images/1241147984924082183/gZgx_hL-_normal.jpg")</f>
        <v>https://pbs.twimg.com/profile_images/1241147984924082183/gZgx_hL-_normal.jpg</v>
      </c>
      <c r="AW2388" s="82" t="s">
        <v>13984</v>
      </c>
      <c r="AX2388" s="82" t="s">
        <v>13984</v>
      </c>
      <c r="AY2388" s="77"/>
      <c r="AZ2388" s="82" t="s">
        <v>15984</v>
      </c>
      <c r="BA2388" s="82" t="s">
        <v>15984</v>
      </c>
      <c r="BB2388" s="82" t="s">
        <v>15984</v>
      </c>
      <c r="BC2388" s="82" t="s">
        <v>13984</v>
      </c>
      <c r="BD2388" s="82" t="s">
        <v>15979</v>
      </c>
      <c r="BE2388" s="77"/>
      <c r="BF2388" s="77"/>
      <c r="BG2388" s="77"/>
      <c r="BH2388" s="77"/>
      <c r="BI2388" s="77"/>
    </row>
    <row r="2389" spans="1:61" x14ac:dyDescent="0.25">
      <c r="A2389" s="62" t="s">
        <v>387</v>
      </c>
      <c r="B2389" s="62" t="s">
        <v>387</v>
      </c>
      <c r="C2389" s="63"/>
      <c r="D2389" s="64"/>
      <c r="E2389" s="65"/>
      <c r="F2389" s="66"/>
      <c r="G2389" s="63"/>
      <c r="H2389" s="67"/>
      <c r="I2389" s="68"/>
      <c r="J2389" s="68"/>
      <c r="K2389" s="32"/>
      <c r="L2389" s="75">
        <v>2389</v>
      </c>
      <c r="M2389" s="75"/>
      <c r="N2389" s="70"/>
      <c r="O2389" s="77" t="s">
        <v>179</v>
      </c>
      <c r="P2389" s="79">
        <v>45168.822627314818</v>
      </c>
      <c r="Q2389" s="77" t="s">
        <v>3061</v>
      </c>
      <c r="R2389" s="77">
        <v>0</v>
      </c>
      <c r="S2389" s="77">
        <v>3</v>
      </c>
      <c r="T2389" s="77">
        <v>0</v>
      </c>
      <c r="U2389" s="77">
        <v>0</v>
      </c>
      <c r="V2389" s="77">
        <v>718</v>
      </c>
      <c r="W2389" s="82" t="s">
        <v>5996</v>
      </c>
      <c r="X2389" s="80" t="str">
        <f>HYPERLINK("https://einvestidor.estadao.com.br/ultimas/petroleo-fechamento-30-08-2023//?utm_source=twitter&amp;utm_medium=organic&amp;utm_campaign=&amp;utm_content=materia")</f>
        <v>https://einvestidor.estadao.com.br/ultimas/petroleo-fechamento-30-08-2023//?utm_source=twitter&amp;utm_medium=organic&amp;utm_campaign=&amp;utm_content=materia</v>
      </c>
      <c r="Y2389" s="77" t="s">
        <v>6470</v>
      </c>
      <c r="Z2389" s="77"/>
      <c r="AA2389" s="77"/>
      <c r="AB2389" s="77"/>
      <c r="AC2389" s="82" t="s">
        <v>7750</v>
      </c>
      <c r="AD2389" s="77" t="s">
        <v>7788</v>
      </c>
      <c r="AE2389" s="80" t="str">
        <f>HYPERLINK("https://twitter.com/einvestidor/status/1696972202007015828")</f>
        <v>https://twitter.com/einvestidor/status/1696972202007015828</v>
      </c>
      <c r="AF2389" s="79">
        <v>45168.822627314818</v>
      </c>
      <c r="AG2389" s="85">
        <v>45168</v>
      </c>
      <c r="AH2389" s="82" t="s">
        <v>9721</v>
      </c>
      <c r="AI2389" s="77" t="b">
        <v>0</v>
      </c>
      <c r="AJ2389" s="77"/>
      <c r="AK2389" s="77"/>
      <c r="AL2389" s="77"/>
      <c r="AM2389" s="77"/>
      <c r="AN2389" s="77"/>
      <c r="AO2389" s="77"/>
      <c r="AP2389" s="77"/>
      <c r="AQ2389" s="77"/>
      <c r="AR2389" s="77"/>
      <c r="AS2389" s="77"/>
      <c r="AT2389" s="77"/>
      <c r="AU2389" s="77"/>
      <c r="AV2389" s="80" t="str">
        <f>HYPERLINK("https://pbs.twimg.com/profile_images/1241147984924082183/gZgx_hL-_normal.jpg")</f>
        <v>https://pbs.twimg.com/profile_images/1241147984924082183/gZgx_hL-_normal.jpg</v>
      </c>
      <c r="AW2389" s="82" t="s">
        <v>13985</v>
      </c>
      <c r="AX2389" s="82" t="s">
        <v>13985</v>
      </c>
      <c r="AY2389" s="77"/>
      <c r="AZ2389" s="82" t="s">
        <v>15984</v>
      </c>
      <c r="BA2389" s="82" t="s">
        <v>15984</v>
      </c>
      <c r="BB2389" s="82" t="s">
        <v>15984</v>
      </c>
      <c r="BC2389" s="82" t="s">
        <v>13985</v>
      </c>
      <c r="BD2389" s="82" t="s">
        <v>15979</v>
      </c>
      <c r="BE2389" s="77"/>
      <c r="BF2389" s="77"/>
      <c r="BG2389" s="77"/>
      <c r="BH2389" s="77"/>
      <c r="BI2389" s="77"/>
    </row>
    <row r="2390" spans="1:61" x14ac:dyDescent="0.25">
      <c r="A2390" s="62" t="s">
        <v>387</v>
      </c>
      <c r="B2390" s="62" t="s">
        <v>387</v>
      </c>
      <c r="C2390" s="63"/>
      <c r="D2390" s="64"/>
      <c r="E2390" s="65"/>
      <c r="F2390" s="66"/>
      <c r="G2390" s="63"/>
      <c r="H2390" s="67"/>
      <c r="I2390" s="68"/>
      <c r="J2390" s="68"/>
      <c r="K2390" s="32"/>
      <c r="L2390" s="75">
        <v>2390</v>
      </c>
      <c r="M2390" s="75"/>
      <c r="N2390" s="70"/>
      <c r="O2390" s="77" t="s">
        <v>179</v>
      </c>
      <c r="P2390" s="79">
        <v>45168.8125</v>
      </c>
      <c r="Q2390" s="77" t="s">
        <v>3062</v>
      </c>
      <c r="R2390" s="77">
        <v>0</v>
      </c>
      <c r="S2390" s="77">
        <v>1</v>
      </c>
      <c r="T2390" s="77">
        <v>0</v>
      </c>
      <c r="U2390" s="77">
        <v>0</v>
      </c>
      <c r="V2390" s="77">
        <v>537</v>
      </c>
      <c r="W2390" s="82" t="s">
        <v>5997</v>
      </c>
      <c r="X2390" s="80" t="str">
        <f>HYPERLINK("https://einvestidor.estadao.com.br/radar-einvestidor/mega-sena-quando-sera-sorteio-r42-milhoes/?utm_source=twitter&amp;utm_medium=organic&amp;utm_campaign=&amp;utm_content=materia")</f>
        <v>https://einvestidor.estadao.com.br/radar-einvestidor/mega-sena-quando-sera-sorteio-r42-milhoes/?utm_source=twitter&amp;utm_medium=organic&amp;utm_campaign=&amp;utm_content=materia</v>
      </c>
      <c r="Y2390" s="77" t="s">
        <v>6470</v>
      </c>
      <c r="Z2390" s="77"/>
      <c r="AA2390" s="77"/>
      <c r="AB2390" s="77"/>
      <c r="AC2390" s="82" t="s">
        <v>7750</v>
      </c>
      <c r="AD2390" s="77" t="s">
        <v>7788</v>
      </c>
      <c r="AE2390" s="80" t="str">
        <f>HYPERLINK("https://twitter.com/einvestidor/status/1696968529327829266")</f>
        <v>https://twitter.com/einvestidor/status/1696968529327829266</v>
      </c>
      <c r="AF2390" s="79">
        <v>45168.8125</v>
      </c>
      <c r="AG2390" s="85">
        <v>45168</v>
      </c>
      <c r="AH2390" s="82" t="s">
        <v>8281</v>
      </c>
      <c r="AI2390" s="77" t="b">
        <v>0</v>
      </c>
      <c r="AJ2390" s="77"/>
      <c r="AK2390" s="77"/>
      <c r="AL2390" s="77"/>
      <c r="AM2390" s="77"/>
      <c r="AN2390" s="77"/>
      <c r="AO2390" s="77"/>
      <c r="AP2390" s="77"/>
      <c r="AQ2390" s="77"/>
      <c r="AR2390" s="77"/>
      <c r="AS2390" s="77"/>
      <c r="AT2390" s="77"/>
      <c r="AU2390" s="77"/>
      <c r="AV2390" s="80" t="str">
        <f>HYPERLINK("https://pbs.twimg.com/profile_images/1241147984924082183/gZgx_hL-_normal.jpg")</f>
        <v>https://pbs.twimg.com/profile_images/1241147984924082183/gZgx_hL-_normal.jpg</v>
      </c>
      <c r="AW2390" s="82" t="s">
        <v>13986</v>
      </c>
      <c r="AX2390" s="82" t="s">
        <v>13986</v>
      </c>
      <c r="AY2390" s="77"/>
      <c r="AZ2390" s="82" t="s">
        <v>15984</v>
      </c>
      <c r="BA2390" s="82" t="s">
        <v>15984</v>
      </c>
      <c r="BB2390" s="82" t="s">
        <v>15984</v>
      </c>
      <c r="BC2390" s="82" t="s">
        <v>13986</v>
      </c>
      <c r="BD2390" s="82" t="s">
        <v>15979</v>
      </c>
      <c r="BE2390" s="77"/>
      <c r="BF2390" s="77"/>
      <c r="BG2390" s="77"/>
      <c r="BH2390" s="77"/>
      <c r="BI2390" s="77"/>
    </row>
    <row r="2391" spans="1:61" x14ac:dyDescent="0.25">
      <c r="A2391" s="62" t="s">
        <v>387</v>
      </c>
      <c r="B2391" s="62" t="s">
        <v>387</v>
      </c>
      <c r="C2391" s="63"/>
      <c r="D2391" s="64"/>
      <c r="E2391" s="65"/>
      <c r="F2391" s="66"/>
      <c r="G2391" s="63"/>
      <c r="H2391" s="67"/>
      <c r="I2391" s="68"/>
      <c r="J2391" s="68"/>
      <c r="K2391" s="32"/>
      <c r="L2391" s="75">
        <v>2391</v>
      </c>
      <c r="M2391" s="75"/>
      <c r="N2391" s="70"/>
      <c r="O2391" s="77" t="s">
        <v>179</v>
      </c>
      <c r="P2391" s="79">
        <v>45166.879282407404</v>
      </c>
      <c r="Q2391" s="77" t="s">
        <v>3063</v>
      </c>
      <c r="R2391" s="77">
        <v>1</v>
      </c>
      <c r="S2391" s="77">
        <v>1</v>
      </c>
      <c r="T2391" s="77">
        <v>0</v>
      </c>
      <c r="U2391" s="77">
        <v>0</v>
      </c>
      <c r="V2391" s="77">
        <v>682</v>
      </c>
      <c r="W2391" s="82" t="s">
        <v>5998</v>
      </c>
      <c r="X2391" s="80" t="str">
        <f>HYPERLINK("https://einvestidor.estadao.com.br/ultimas/lula-nova-tributacao-fundos-exclusivos/?utm_source=twitter&amp;utm_medium=organic&amp;utm_campaign=&amp;utm_content=materia")</f>
        <v>https://einvestidor.estadao.com.br/ultimas/lula-nova-tributacao-fundos-exclusivos/?utm_source=twitter&amp;utm_medium=organic&amp;utm_campaign=&amp;utm_content=materia</v>
      </c>
      <c r="Y2391" s="77" t="s">
        <v>6470</v>
      </c>
      <c r="Z2391" s="77"/>
      <c r="AA2391" s="77"/>
      <c r="AB2391" s="77"/>
      <c r="AC2391" s="82" t="s">
        <v>7750</v>
      </c>
      <c r="AD2391" s="77" t="s">
        <v>7788</v>
      </c>
      <c r="AE2391" s="80" t="str">
        <f>HYPERLINK("https://twitter.com/einvestidor/status/1696267957423198431")</f>
        <v>https://twitter.com/einvestidor/status/1696267957423198431</v>
      </c>
      <c r="AF2391" s="79">
        <v>45166.879282407404</v>
      </c>
      <c r="AG2391" s="85">
        <v>45166</v>
      </c>
      <c r="AH2391" s="82" t="s">
        <v>9722</v>
      </c>
      <c r="AI2391" s="77" t="b">
        <v>0</v>
      </c>
      <c r="AJ2391" s="77"/>
      <c r="AK2391" s="77"/>
      <c r="AL2391" s="77"/>
      <c r="AM2391" s="77"/>
      <c r="AN2391" s="77"/>
      <c r="AO2391" s="77"/>
      <c r="AP2391" s="77"/>
      <c r="AQ2391" s="77"/>
      <c r="AR2391" s="77"/>
      <c r="AS2391" s="77"/>
      <c r="AT2391" s="77"/>
      <c r="AU2391" s="77"/>
      <c r="AV2391" s="80" t="str">
        <f>HYPERLINK("https://pbs.twimg.com/profile_images/1241147984924082183/gZgx_hL-_normal.jpg")</f>
        <v>https://pbs.twimg.com/profile_images/1241147984924082183/gZgx_hL-_normal.jpg</v>
      </c>
      <c r="AW2391" s="82" t="s">
        <v>13987</v>
      </c>
      <c r="AX2391" s="82" t="s">
        <v>13987</v>
      </c>
      <c r="AY2391" s="77"/>
      <c r="AZ2391" s="82" t="s">
        <v>15984</v>
      </c>
      <c r="BA2391" s="82" t="s">
        <v>15984</v>
      </c>
      <c r="BB2391" s="82" t="s">
        <v>15984</v>
      </c>
      <c r="BC2391" s="82" t="s">
        <v>13987</v>
      </c>
      <c r="BD2391" s="82" t="s">
        <v>15979</v>
      </c>
      <c r="BE2391" s="77"/>
      <c r="BF2391" s="77"/>
      <c r="BG2391" s="77"/>
      <c r="BH2391" s="77"/>
      <c r="BI2391" s="77"/>
    </row>
    <row r="2392" spans="1:61" x14ac:dyDescent="0.25">
      <c r="A2392" s="62" t="s">
        <v>387</v>
      </c>
      <c r="B2392" s="62" t="s">
        <v>387</v>
      </c>
      <c r="C2392" s="63"/>
      <c r="D2392" s="64"/>
      <c r="E2392" s="65"/>
      <c r="F2392" s="66"/>
      <c r="G2392" s="63"/>
      <c r="H2392" s="67"/>
      <c r="I2392" s="68"/>
      <c r="J2392" s="68"/>
      <c r="K2392" s="32"/>
      <c r="L2392" s="75">
        <v>2392</v>
      </c>
      <c r="M2392" s="75"/>
      <c r="N2392" s="70"/>
      <c r="O2392" s="77" t="s">
        <v>179</v>
      </c>
      <c r="P2392" s="79">
        <v>45166.836678240739</v>
      </c>
      <c r="Q2392" s="77" t="s">
        <v>3064</v>
      </c>
      <c r="R2392" s="77">
        <v>0</v>
      </c>
      <c r="S2392" s="77">
        <v>2</v>
      </c>
      <c r="T2392" s="77">
        <v>0</v>
      </c>
      <c r="U2392" s="77">
        <v>0</v>
      </c>
      <c r="V2392" s="77">
        <v>768</v>
      </c>
      <c r="W2392" s="82" t="s">
        <v>5999</v>
      </c>
      <c r="X2392" s="80" t="str">
        <f>HYPERLINK("https://einvestidor.estadao.com.br/ultimas/btg-avalia-positiva-aquisicao-weg-mexico/?utm_source=twitter&amp;utm_medium=organic&amp;utm_campaign=&amp;utm_content=materia")</f>
        <v>https://einvestidor.estadao.com.br/ultimas/btg-avalia-positiva-aquisicao-weg-mexico/?utm_source=twitter&amp;utm_medium=organic&amp;utm_campaign=&amp;utm_content=materia</v>
      </c>
      <c r="Y2392" s="77" t="s">
        <v>6470</v>
      </c>
      <c r="Z2392" s="77"/>
      <c r="AA2392" s="77"/>
      <c r="AB2392" s="77"/>
      <c r="AC2392" s="82" t="s">
        <v>7750</v>
      </c>
      <c r="AD2392" s="77" t="s">
        <v>7788</v>
      </c>
      <c r="AE2392" s="80" t="str">
        <f>HYPERLINK("https://twitter.com/einvestidor/status/1696252517250719796")</f>
        <v>https://twitter.com/einvestidor/status/1696252517250719796</v>
      </c>
      <c r="AF2392" s="79">
        <v>45166.836678240739</v>
      </c>
      <c r="AG2392" s="85">
        <v>45166</v>
      </c>
      <c r="AH2392" s="82" t="s">
        <v>9723</v>
      </c>
      <c r="AI2392" s="77" t="b">
        <v>0</v>
      </c>
      <c r="AJ2392" s="77"/>
      <c r="AK2392" s="77"/>
      <c r="AL2392" s="77"/>
      <c r="AM2392" s="77"/>
      <c r="AN2392" s="77"/>
      <c r="AO2392" s="77"/>
      <c r="AP2392" s="77"/>
      <c r="AQ2392" s="77"/>
      <c r="AR2392" s="77"/>
      <c r="AS2392" s="77"/>
      <c r="AT2392" s="77"/>
      <c r="AU2392" s="77"/>
      <c r="AV2392" s="80" t="str">
        <f>HYPERLINK("https://pbs.twimg.com/profile_images/1241147984924082183/gZgx_hL-_normal.jpg")</f>
        <v>https://pbs.twimg.com/profile_images/1241147984924082183/gZgx_hL-_normal.jpg</v>
      </c>
      <c r="AW2392" s="82" t="s">
        <v>13988</v>
      </c>
      <c r="AX2392" s="82" t="s">
        <v>13988</v>
      </c>
      <c r="AY2392" s="77"/>
      <c r="AZ2392" s="82" t="s">
        <v>15984</v>
      </c>
      <c r="BA2392" s="82" t="s">
        <v>15984</v>
      </c>
      <c r="BB2392" s="82" t="s">
        <v>15984</v>
      </c>
      <c r="BC2392" s="82" t="s">
        <v>13988</v>
      </c>
      <c r="BD2392" s="82" t="s">
        <v>15979</v>
      </c>
      <c r="BE2392" s="77"/>
      <c r="BF2392" s="77"/>
      <c r="BG2392" s="77"/>
      <c r="BH2392" s="77"/>
      <c r="BI2392" s="77"/>
    </row>
    <row r="2393" spans="1:61" x14ac:dyDescent="0.25">
      <c r="A2393" s="62" t="s">
        <v>387</v>
      </c>
      <c r="B2393" s="62" t="s">
        <v>387</v>
      </c>
      <c r="C2393" s="63"/>
      <c r="D2393" s="64"/>
      <c r="E2393" s="65"/>
      <c r="F2393" s="66"/>
      <c r="G2393" s="63"/>
      <c r="H2393" s="67"/>
      <c r="I2393" s="68"/>
      <c r="J2393" s="68"/>
      <c r="K2393" s="32"/>
      <c r="L2393" s="75">
        <v>2393</v>
      </c>
      <c r="M2393" s="75"/>
      <c r="N2393" s="70"/>
      <c r="O2393" s="77" t="s">
        <v>179</v>
      </c>
      <c r="P2393" s="79">
        <v>45162.947916666664</v>
      </c>
      <c r="Q2393" s="77" t="s">
        <v>3065</v>
      </c>
      <c r="R2393" s="77">
        <v>0</v>
      </c>
      <c r="S2393" s="77">
        <v>0</v>
      </c>
      <c r="T2393" s="77">
        <v>0</v>
      </c>
      <c r="U2393" s="77">
        <v>0</v>
      </c>
      <c r="V2393" s="77">
        <v>811</v>
      </c>
      <c r="W2393" s="82" t="s">
        <v>6000</v>
      </c>
      <c r="X2393" s="80" t="str">
        <f>HYPERLINK("https://einvestidor.estadao.com.br/radar-einvestidor/caso-123-milhas-acoes-azul-azul4/?utm_source=twitter&amp;utm_medium=organic&amp;utm_campaign=&amp;utm_content=materia")</f>
        <v>https://einvestidor.estadao.com.br/radar-einvestidor/caso-123-milhas-acoes-azul-azul4/?utm_source=twitter&amp;utm_medium=organic&amp;utm_campaign=&amp;utm_content=materia</v>
      </c>
      <c r="Y2393" s="77" t="s">
        <v>6470</v>
      </c>
      <c r="Z2393" s="77"/>
      <c r="AA2393" s="77"/>
      <c r="AB2393" s="77"/>
      <c r="AC2393" s="82" t="s">
        <v>7750</v>
      </c>
      <c r="AD2393" s="77" t="s">
        <v>7788</v>
      </c>
      <c r="AE2393" s="80" t="str">
        <f>HYPERLINK("https://twitter.com/einvestidor/status/1694843275541127173")</f>
        <v>https://twitter.com/einvestidor/status/1694843275541127173</v>
      </c>
      <c r="AF2393" s="79">
        <v>45162.947916666664</v>
      </c>
      <c r="AG2393" s="85">
        <v>45162</v>
      </c>
      <c r="AH2393" s="82" t="s">
        <v>9595</v>
      </c>
      <c r="AI2393" s="77" t="b">
        <v>0</v>
      </c>
      <c r="AJ2393" s="77"/>
      <c r="AK2393" s="77"/>
      <c r="AL2393" s="77"/>
      <c r="AM2393" s="77"/>
      <c r="AN2393" s="77"/>
      <c r="AO2393" s="77"/>
      <c r="AP2393" s="77"/>
      <c r="AQ2393" s="77"/>
      <c r="AR2393" s="77"/>
      <c r="AS2393" s="77"/>
      <c r="AT2393" s="77"/>
      <c r="AU2393" s="77"/>
      <c r="AV2393" s="80" t="str">
        <f>HYPERLINK("https://pbs.twimg.com/profile_images/1241147984924082183/gZgx_hL-_normal.jpg")</f>
        <v>https://pbs.twimg.com/profile_images/1241147984924082183/gZgx_hL-_normal.jpg</v>
      </c>
      <c r="AW2393" s="82" t="s">
        <v>13989</v>
      </c>
      <c r="AX2393" s="82" t="s">
        <v>13989</v>
      </c>
      <c r="AY2393" s="77"/>
      <c r="AZ2393" s="82" t="s">
        <v>15984</v>
      </c>
      <c r="BA2393" s="82" t="s">
        <v>15984</v>
      </c>
      <c r="BB2393" s="82" t="s">
        <v>15984</v>
      </c>
      <c r="BC2393" s="82" t="s">
        <v>13989</v>
      </c>
      <c r="BD2393" s="82" t="s">
        <v>15979</v>
      </c>
      <c r="BE2393" s="77"/>
      <c r="BF2393" s="77"/>
      <c r="BG2393" s="77"/>
      <c r="BH2393" s="77"/>
      <c r="BI2393" s="77"/>
    </row>
    <row r="2394" spans="1:61" x14ac:dyDescent="0.25">
      <c r="A2394" s="62" t="s">
        <v>387</v>
      </c>
      <c r="B2394" s="62" t="s">
        <v>387</v>
      </c>
      <c r="C2394" s="63"/>
      <c r="D2394" s="64"/>
      <c r="E2394" s="65"/>
      <c r="F2394" s="66"/>
      <c r="G2394" s="63"/>
      <c r="H2394" s="67"/>
      <c r="I2394" s="68"/>
      <c r="J2394" s="68"/>
      <c r="K2394" s="32"/>
      <c r="L2394" s="75">
        <v>2394</v>
      </c>
      <c r="M2394" s="75"/>
      <c r="N2394" s="70"/>
      <c r="O2394" s="77" t="s">
        <v>179</v>
      </c>
      <c r="P2394" s="79">
        <v>45162.946597222224</v>
      </c>
      <c r="Q2394" s="77" t="s">
        <v>3066</v>
      </c>
      <c r="R2394" s="77">
        <v>0</v>
      </c>
      <c r="S2394" s="77">
        <v>0</v>
      </c>
      <c r="T2394" s="77">
        <v>0</v>
      </c>
      <c r="U2394" s="77">
        <v>0</v>
      </c>
      <c r="V2394" s="77">
        <v>634</v>
      </c>
      <c r="W2394" s="82" t="s">
        <v>4833</v>
      </c>
      <c r="X2394" s="80" t="str">
        <f>HYPERLINK("https://einvestidor.estadao.com.br/mercado/fechamento-de-mercado-24-08-2023/?utm_source=twitter&amp;utm_medium=organic&amp;utm_campaign=&amp;utm_content=materia")</f>
        <v>https://einvestidor.estadao.com.br/mercado/fechamento-de-mercado-24-08-2023/?utm_source=twitter&amp;utm_medium=organic&amp;utm_campaign=&amp;utm_content=materia</v>
      </c>
      <c r="Y2394" s="77" t="s">
        <v>6470</v>
      </c>
      <c r="Z2394" s="77"/>
      <c r="AA2394" s="77"/>
      <c r="AB2394" s="77"/>
      <c r="AC2394" s="82" t="s">
        <v>7750</v>
      </c>
      <c r="AD2394" s="77" t="s">
        <v>7788</v>
      </c>
      <c r="AE2394" s="80" t="str">
        <f>HYPERLINK("https://twitter.com/einvestidor/status/1694842797277298818")</f>
        <v>https://twitter.com/einvestidor/status/1694842797277298818</v>
      </c>
      <c r="AF2394" s="79">
        <v>45162.946597222224</v>
      </c>
      <c r="AG2394" s="85">
        <v>45162</v>
      </c>
      <c r="AH2394" s="82" t="s">
        <v>9724</v>
      </c>
      <c r="AI2394" s="77" t="b">
        <v>0</v>
      </c>
      <c r="AJ2394" s="77"/>
      <c r="AK2394" s="77"/>
      <c r="AL2394" s="77"/>
      <c r="AM2394" s="77"/>
      <c r="AN2394" s="77"/>
      <c r="AO2394" s="77"/>
      <c r="AP2394" s="77"/>
      <c r="AQ2394" s="77"/>
      <c r="AR2394" s="77"/>
      <c r="AS2394" s="77"/>
      <c r="AT2394" s="77"/>
      <c r="AU2394" s="77"/>
      <c r="AV2394" s="80" t="str">
        <f>HYPERLINK("https://pbs.twimg.com/profile_images/1241147984924082183/gZgx_hL-_normal.jpg")</f>
        <v>https://pbs.twimg.com/profile_images/1241147984924082183/gZgx_hL-_normal.jpg</v>
      </c>
      <c r="AW2394" s="82" t="s">
        <v>13990</v>
      </c>
      <c r="AX2394" s="82" t="s">
        <v>13990</v>
      </c>
      <c r="AY2394" s="77"/>
      <c r="AZ2394" s="82" t="s">
        <v>15984</v>
      </c>
      <c r="BA2394" s="82" t="s">
        <v>15984</v>
      </c>
      <c r="BB2394" s="82" t="s">
        <v>15984</v>
      </c>
      <c r="BC2394" s="82" t="s">
        <v>13990</v>
      </c>
      <c r="BD2394" s="82" t="s">
        <v>15979</v>
      </c>
      <c r="BE2394" s="77"/>
      <c r="BF2394" s="77"/>
      <c r="BG2394" s="77"/>
      <c r="BH2394" s="77"/>
      <c r="BI2394" s="77"/>
    </row>
    <row r="2395" spans="1:61" x14ac:dyDescent="0.25">
      <c r="A2395" s="62" t="s">
        <v>387</v>
      </c>
      <c r="B2395" s="62" t="s">
        <v>387</v>
      </c>
      <c r="C2395" s="63"/>
      <c r="D2395" s="64"/>
      <c r="E2395" s="65"/>
      <c r="F2395" s="66"/>
      <c r="G2395" s="63"/>
      <c r="H2395" s="67"/>
      <c r="I2395" s="68"/>
      <c r="J2395" s="68"/>
      <c r="K2395" s="32"/>
      <c r="L2395" s="75">
        <v>2395</v>
      </c>
      <c r="M2395" s="75"/>
      <c r="N2395" s="70"/>
      <c r="O2395" s="77" t="s">
        <v>179</v>
      </c>
      <c r="P2395" s="79">
        <v>45162.9375</v>
      </c>
      <c r="Q2395" s="77" t="s">
        <v>3067</v>
      </c>
      <c r="R2395" s="77">
        <v>0</v>
      </c>
      <c r="S2395" s="77">
        <v>0</v>
      </c>
      <c r="T2395" s="77">
        <v>1</v>
      </c>
      <c r="U2395" s="77">
        <v>0</v>
      </c>
      <c r="V2395" s="77">
        <v>520</v>
      </c>
      <c r="W2395" s="82" t="s">
        <v>4833</v>
      </c>
      <c r="X2395" s="80" t="str">
        <f>HYPERLINK("https://einvestidor.estadao.com.br/ultimas/juros-treasuries-sobem-falas-membros-federal-reserve/?utm_source=twitter&amp;utm_medium=organic&amp;utm_campaign=&amp;utm_content=materia")</f>
        <v>https://einvestidor.estadao.com.br/ultimas/juros-treasuries-sobem-falas-membros-federal-reserve/?utm_source=twitter&amp;utm_medium=organic&amp;utm_campaign=&amp;utm_content=materia</v>
      </c>
      <c r="Y2395" s="77" t="s">
        <v>6470</v>
      </c>
      <c r="Z2395" s="77"/>
      <c r="AA2395" s="77"/>
      <c r="AB2395" s="77"/>
      <c r="AC2395" s="82" t="s">
        <v>7750</v>
      </c>
      <c r="AD2395" s="77" t="s">
        <v>7788</v>
      </c>
      <c r="AE2395" s="80" t="str">
        <f>HYPERLINK("https://twitter.com/einvestidor/status/1694839502983078266")</f>
        <v>https://twitter.com/einvestidor/status/1694839502983078266</v>
      </c>
      <c r="AF2395" s="79">
        <v>45162.9375</v>
      </c>
      <c r="AG2395" s="85">
        <v>45162</v>
      </c>
      <c r="AH2395" s="82" t="s">
        <v>7926</v>
      </c>
      <c r="AI2395" s="77" t="b">
        <v>0</v>
      </c>
      <c r="AJ2395" s="77"/>
      <c r="AK2395" s="77"/>
      <c r="AL2395" s="77"/>
      <c r="AM2395" s="77"/>
      <c r="AN2395" s="77"/>
      <c r="AO2395" s="77"/>
      <c r="AP2395" s="77"/>
      <c r="AQ2395" s="77"/>
      <c r="AR2395" s="77"/>
      <c r="AS2395" s="77"/>
      <c r="AT2395" s="77"/>
      <c r="AU2395" s="77"/>
      <c r="AV2395" s="80" t="str">
        <f>HYPERLINK("https://pbs.twimg.com/profile_images/1241147984924082183/gZgx_hL-_normal.jpg")</f>
        <v>https://pbs.twimg.com/profile_images/1241147984924082183/gZgx_hL-_normal.jpg</v>
      </c>
      <c r="AW2395" s="82" t="s">
        <v>13991</v>
      </c>
      <c r="AX2395" s="82" t="s">
        <v>13991</v>
      </c>
      <c r="AY2395" s="77"/>
      <c r="AZ2395" s="82" t="s">
        <v>15984</v>
      </c>
      <c r="BA2395" s="82" t="s">
        <v>15984</v>
      </c>
      <c r="BB2395" s="82" t="s">
        <v>15984</v>
      </c>
      <c r="BC2395" s="82" t="s">
        <v>13991</v>
      </c>
      <c r="BD2395" s="82" t="s">
        <v>15979</v>
      </c>
      <c r="BE2395" s="77"/>
      <c r="BF2395" s="77"/>
      <c r="BG2395" s="77"/>
      <c r="BH2395" s="77"/>
      <c r="BI2395" s="77"/>
    </row>
    <row r="2396" spans="1:61" x14ac:dyDescent="0.25">
      <c r="A2396" s="62" t="s">
        <v>387</v>
      </c>
      <c r="B2396" s="62" t="s">
        <v>387</v>
      </c>
      <c r="C2396" s="63"/>
      <c r="D2396" s="64"/>
      <c r="E2396" s="65"/>
      <c r="F2396" s="66"/>
      <c r="G2396" s="63"/>
      <c r="H2396" s="67"/>
      <c r="I2396" s="68"/>
      <c r="J2396" s="68"/>
      <c r="K2396" s="32"/>
      <c r="L2396" s="75">
        <v>2396</v>
      </c>
      <c r="M2396" s="75"/>
      <c r="N2396" s="70"/>
      <c r="O2396" s="77" t="s">
        <v>179</v>
      </c>
      <c r="P2396" s="79">
        <v>45162.927083333336</v>
      </c>
      <c r="Q2396" s="77" t="s">
        <v>3068</v>
      </c>
      <c r="R2396" s="77">
        <v>0</v>
      </c>
      <c r="S2396" s="77">
        <v>0</v>
      </c>
      <c r="T2396" s="77">
        <v>1</v>
      </c>
      <c r="U2396" s="77">
        <v>0</v>
      </c>
      <c r="V2396" s="77">
        <v>539</v>
      </c>
      <c r="W2396" s="82" t="s">
        <v>6001</v>
      </c>
      <c r="X2396" s="80" t="str">
        <f>HYPERLINK("https://einvestidor.estadao.com.br/ultimas/bolsas-nova-york-fecham-queda-cautela-juros-eua/?utm_source=twitter&amp;utm_medium=organic&amp;utm_campaign=&amp;utm_content=materia")</f>
        <v>https://einvestidor.estadao.com.br/ultimas/bolsas-nova-york-fecham-queda-cautela-juros-eua/?utm_source=twitter&amp;utm_medium=organic&amp;utm_campaign=&amp;utm_content=materia</v>
      </c>
      <c r="Y2396" s="77" t="s">
        <v>6470</v>
      </c>
      <c r="Z2396" s="77"/>
      <c r="AA2396" s="77"/>
      <c r="AB2396" s="77"/>
      <c r="AC2396" s="82" t="s">
        <v>7750</v>
      </c>
      <c r="AD2396" s="77" t="s">
        <v>7788</v>
      </c>
      <c r="AE2396" s="80" t="str">
        <f>HYPERLINK("https://twitter.com/einvestidor/status/1694835725961998404")</f>
        <v>https://twitter.com/einvestidor/status/1694835725961998404</v>
      </c>
      <c r="AF2396" s="79">
        <v>45162.927083333336</v>
      </c>
      <c r="AG2396" s="85">
        <v>45162</v>
      </c>
      <c r="AH2396" s="82" t="s">
        <v>9576</v>
      </c>
      <c r="AI2396" s="77" t="b">
        <v>0</v>
      </c>
      <c r="AJ2396" s="77"/>
      <c r="AK2396" s="77"/>
      <c r="AL2396" s="77"/>
      <c r="AM2396" s="77"/>
      <c r="AN2396" s="77"/>
      <c r="AO2396" s="77"/>
      <c r="AP2396" s="77"/>
      <c r="AQ2396" s="77"/>
      <c r="AR2396" s="77"/>
      <c r="AS2396" s="77"/>
      <c r="AT2396" s="77"/>
      <c r="AU2396" s="77"/>
      <c r="AV2396" s="80" t="str">
        <f>HYPERLINK("https://pbs.twimg.com/profile_images/1241147984924082183/gZgx_hL-_normal.jpg")</f>
        <v>https://pbs.twimg.com/profile_images/1241147984924082183/gZgx_hL-_normal.jpg</v>
      </c>
      <c r="AW2396" s="82" t="s">
        <v>13992</v>
      </c>
      <c r="AX2396" s="82" t="s">
        <v>13992</v>
      </c>
      <c r="AY2396" s="77"/>
      <c r="AZ2396" s="82" t="s">
        <v>15984</v>
      </c>
      <c r="BA2396" s="82" t="s">
        <v>15984</v>
      </c>
      <c r="BB2396" s="82" t="s">
        <v>15984</v>
      </c>
      <c r="BC2396" s="82" t="s">
        <v>13992</v>
      </c>
      <c r="BD2396" s="82" t="s">
        <v>15979</v>
      </c>
      <c r="BE2396" s="77"/>
      <c r="BF2396" s="77"/>
      <c r="BG2396" s="77"/>
      <c r="BH2396" s="77"/>
      <c r="BI2396" s="77"/>
    </row>
    <row r="2397" spans="1:61" x14ac:dyDescent="0.25">
      <c r="A2397" s="62" t="s">
        <v>387</v>
      </c>
      <c r="B2397" s="62" t="s">
        <v>387</v>
      </c>
      <c r="C2397" s="63"/>
      <c r="D2397" s="64"/>
      <c r="E2397" s="65"/>
      <c r="F2397" s="66"/>
      <c r="G2397" s="63"/>
      <c r="H2397" s="67"/>
      <c r="I2397" s="68"/>
      <c r="J2397" s="68"/>
      <c r="K2397" s="32"/>
      <c r="L2397" s="75">
        <v>2397</v>
      </c>
      <c r="M2397" s="75"/>
      <c r="N2397" s="70"/>
      <c r="O2397" s="77" t="s">
        <v>179</v>
      </c>
      <c r="P2397" s="79">
        <v>45162.916689814818</v>
      </c>
      <c r="Q2397" s="77" t="s">
        <v>3069</v>
      </c>
      <c r="R2397" s="77">
        <v>0</v>
      </c>
      <c r="S2397" s="77">
        <v>0</v>
      </c>
      <c r="T2397" s="77">
        <v>0</v>
      </c>
      <c r="U2397" s="77">
        <v>0</v>
      </c>
      <c r="V2397" s="77">
        <v>647</v>
      </c>
      <c r="W2397" s="82" t="s">
        <v>5902</v>
      </c>
      <c r="X2397" s="80" t="str">
        <f>HYPERLINK("https://einvestidor.estadao.com.br/ultimas/dolar-hoje-fecha-alta-vespera-discurso-presidente-federal-reserve/?utm_source=twitter&amp;utm_medium=organic&amp;utm_campaign=&amp;utm_content=materia")</f>
        <v>https://einvestidor.estadao.com.br/ultimas/dolar-hoje-fecha-alta-vespera-discurso-presidente-federal-reserve/?utm_source=twitter&amp;utm_medium=organic&amp;utm_campaign=&amp;utm_content=materia</v>
      </c>
      <c r="Y2397" s="77" t="s">
        <v>6470</v>
      </c>
      <c r="Z2397" s="77"/>
      <c r="AA2397" s="77"/>
      <c r="AB2397" s="77"/>
      <c r="AC2397" s="82" t="s">
        <v>7750</v>
      </c>
      <c r="AD2397" s="77" t="s">
        <v>7788</v>
      </c>
      <c r="AE2397" s="80" t="str">
        <f>HYPERLINK("https://twitter.com/einvestidor/status/1694831960026120646")</f>
        <v>https://twitter.com/einvestidor/status/1694831960026120646</v>
      </c>
      <c r="AF2397" s="79">
        <v>45162.916689814818</v>
      </c>
      <c r="AG2397" s="85">
        <v>45162</v>
      </c>
      <c r="AH2397" s="82" t="s">
        <v>8627</v>
      </c>
      <c r="AI2397" s="77" t="b">
        <v>0</v>
      </c>
      <c r="AJ2397" s="77"/>
      <c r="AK2397" s="77"/>
      <c r="AL2397" s="77"/>
      <c r="AM2397" s="77"/>
      <c r="AN2397" s="77"/>
      <c r="AO2397" s="77"/>
      <c r="AP2397" s="77"/>
      <c r="AQ2397" s="77"/>
      <c r="AR2397" s="77"/>
      <c r="AS2397" s="77"/>
      <c r="AT2397" s="77"/>
      <c r="AU2397" s="77"/>
      <c r="AV2397" s="80" t="str">
        <f>HYPERLINK("https://pbs.twimg.com/profile_images/1241147984924082183/gZgx_hL-_normal.jpg")</f>
        <v>https://pbs.twimg.com/profile_images/1241147984924082183/gZgx_hL-_normal.jpg</v>
      </c>
      <c r="AW2397" s="82" t="s">
        <v>13993</v>
      </c>
      <c r="AX2397" s="82" t="s">
        <v>13993</v>
      </c>
      <c r="AY2397" s="77"/>
      <c r="AZ2397" s="82" t="s">
        <v>15984</v>
      </c>
      <c r="BA2397" s="82" t="s">
        <v>15984</v>
      </c>
      <c r="BB2397" s="82" t="s">
        <v>15984</v>
      </c>
      <c r="BC2397" s="82" t="s">
        <v>13993</v>
      </c>
      <c r="BD2397" s="82" t="s">
        <v>15979</v>
      </c>
      <c r="BE2397" s="77"/>
      <c r="BF2397" s="77"/>
      <c r="BG2397" s="77"/>
      <c r="BH2397" s="77"/>
      <c r="BI2397" s="77"/>
    </row>
    <row r="2398" spans="1:61" x14ac:dyDescent="0.25">
      <c r="A2398" s="62" t="s">
        <v>387</v>
      </c>
      <c r="B2398" s="62" t="s">
        <v>387</v>
      </c>
      <c r="C2398" s="63"/>
      <c r="D2398" s="64"/>
      <c r="E2398" s="65"/>
      <c r="F2398" s="66"/>
      <c r="G2398" s="63"/>
      <c r="H2398" s="67"/>
      <c r="I2398" s="68"/>
      <c r="J2398" s="68"/>
      <c r="K2398" s="32"/>
      <c r="L2398" s="75">
        <v>2398</v>
      </c>
      <c r="M2398" s="75"/>
      <c r="N2398" s="70"/>
      <c r="O2398" s="77" t="s">
        <v>179</v>
      </c>
      <c r="P2398" s="79">
        <v>45162.90625</v>
      </c>
      <c r="Q2398" s="77" t="s">
        <v>3070</v>
      </c>
      <c r="R2398" s="77">
        <v>0</v>
      </c>
      <c r="S2398" s="77">
        <v>0</v>
      </c>
      <c r="T2398" s="77">
        <v>0</v>
      </c>
      <c r="U2398" s="77">
        <v>0</v>
      </c>
      <c r="V2398" s="77">
        <v>547</v>
      </c>
      <c r="W2398" s="82" t="s">
        <v>6002</v>
      </c>
      <c r="X2398" s="80" t="str">
        <f>HYPERLINK("https://mla.bs/36ed0a50")</f>
        <v>https://mla.bs/36ed0a50</v>
      </c>
      <c r="Y2398" s="77" t="s">
        <v>6506</v>
      </c>
      <c r="Z2398" s="77"/>
      <c r="AA2398" s="77"/>
      <c r="AB2398" s="77"/>
      <c r="AC2398" s="82" t="s">
        <v>7750</v>
      </c>
      <c r="AD2398" s="77" t="s">
        <v>7788</v>
      </c>
      <c r="AE2398" s="80" t="str">
        <f>HYPERLINK("https://twitter.com/einvestidor/status/1694828176143478867")</f>
        <v>https://twitter.com/einvestidor/status/1694828176143478867</v>
      </c>
      <c r="AF2398" s="79">
        <v>45162.90625</v>
      </c>
      <c r="AG2398" s="85">
        <v>45162</v>
      </c>
      <c r="AH2398" s="82" t="s">
        <v>9578</v>
      </c>
      <c r="AI2398" s="77" t="b">
        <v>0</v>
      </c>
      <c r="AJ2398" s="77"/>
      <c r="AK2398" s="77"/>
      <c r="AL2398" s="77"/>
      <c r="AM2398" s="77"/>
      <c r="AN2398" s="77"/>
      <c r="AO2398" s="77"/>
      <c r="AP2398" s="77"/>
      <c r="AQ2398" s="77"/>
      <c r="AR2398" s="77"/>
      <c r="AS2398" s="77"/>
      <c r="AT2398" s="77"/>
      <c r="AU2398" s="77"/>
      <c r="AV2398" s="80" t="str">
        <f>HYPERLINK("https://pbs.twimg.com/profile_images/1241147984924082183/gZgx_hL-_normal.jpg")</f>
        <v>https://pbs.twimg.com/profile_images/1241147984924082183/gZgx_hL-_normal.jpg</v>
      </c>
      <c r="AW2398" s="82" t="s">
        <v>13994</v>
      </c>
      <c r="AX2398" s="82" t="s">
        <v>13994</v>
      </c>
      <c r="AY2398" s="77"/>
      <c r="AZ2398" s="82" t="s">
        <v>15984</v>
      </c>
      <c r="BA2398" s="82" t="s">
        <v>15984</v>
      </c>
      <c r="BB2398" s="82" t="s">
        <v>15984</v>
      </c>
      <c r="BC2398" s="82" t="s">
        <v>13994</v>
      </c>
      <c r="BD2398" s="82" t="s">
        <v>15979</v>
      </c>
      <c r="BE2398" s="77"/>
      <c r="BF2398" s="77"/>
      <c r="BG2398" s="77"/>
      <c r="BH2398" s="77"/>
      <c r="BI2398" s="77"/>
    </row>
    <row r="2399" spans="1:61" x14ac:dyDescent="0.25">
      <c r="A2399" s="62" t="s">
        <v>387</v>
      </c>
      <c r="B2399" s="62" t="s">
        <v>387</v>
      </c>
      <c r="C2399" s="63"/>
      <c r="D2399" s="64"/>
      <c r="E2399" s="65"/>
      <c r="F2399" s="66"/>
      <c r="G2399" s="63"/>
      <c r="H2399" s="67"/>
      <c r="I2399" s="68"/>
      <c r="J2399" s="68"/>
      <c r="K2399" s="32"/>
      <c r="L2399" s="75">
        <v>2399</v>
      </c>
      <c r="M2399" s="75"/>
      <c r="N2399" s="70"/>
      <c r="O2399" s="77" t="s">
        <v>179</v>
      </c>
      <c r="P2399" s="79">
        <v>45162.895833333336</v>
      </c>
      <c r="Q2399" s="77" t="s">
        <v>3071</v>
      </c>
      <c r="R2399" s="77">
        <v>0</v>
      </c>
      <c r="S2399" s="77">
        <v>0</v>
      </c>
      <c r="T2399" s="77">
        <v>0</v>
      </c>
      <c r="U2399" s="77">
        <v>0</v>
      </c>
      <c r="V2399" s="77">
        <v>503</v>
      </c>
      <c r="W2399" s="82" t="s">
        <v>6003</v>
      </c>
      <c r="X2399" s="80" t="str">
        <f>HYPERLINK("https://mla.bs/a6cfcc3a")</f>
        <v>https://mla.bs/a6cfcc3a</v>
      </c>
      <c r="Y2399" s="77" t="s">
        <v>6506</v>
      </c>
      <c r="Z2399" s="77"/>
      <c r="AA2399" s="77"/>
      <c r="AB2399" s="77"/>
      <c r="AC2399" s="82" t="s">
        <v>7750</v>
      </c>
      <c r="AD2399" s="77" t="s">
        <v>7788</v>
      </c>
      <c r="AE2399" s="80" t="str">
        <f>HYPERLINK("https://twitter.com/einvestidor/status/1694824403274768816")</f>
        <v>https://twitter.com/einvestidor/status/1694824403274768816</v>
      </c>
      <c r="AF2399" s="79">
        <v>45162.895833333336</v>
      </c>
      <c r="AG2399" s="85">
        <v>45162</v>
      </c>
      <c r="AH2399" s="82" t="s">
        <v>8089</v>
      </c>
      <c r="AI2399" s="77" t="b">
        <v>0</v>
      </c>
      <c r="AJ2399" s="77"/>
      <c r="AK2399" s="77"/>
      <c r="AL2399" s="77"/>
      <c r="AM2399" s="77"/>
      <c r="AN2399" s="77"/>
      <c r="AO2399" s="77"/>
      <c r="AP2399" s="77"/>
      <c r="AQ2399" s="77"/>
      <c r="AR2399" s="77"/>
      <c r="AS2399" s="77"/>
      <c r="AT2399" s="77"/>
      <c r="AU2399" s="77"/>
      <c r="AV2399" s="80" t="str">
        <f>HYPERLINK("https://pbs.twimg.com/profile_images/1241147984924082183/gZgx_hL-_normal.jpg")</f>
        <v>https://pbs.twimg.com/profile_images/1241147984924082183/gZgx_hL-_normal.jpg</v>
      </c>
      <c r="AW2399" s="82" t="s">
        <v>13995</v>
      </c>
      <c r="AX2399" s="82" t="s">
        <v>13995</v>
      </c>
      <c r="AY2399" s="77"/>
      <c r="AZ2399" s="82" t="s">
        <v>15984</v>
      </c>
      <c r="BA2399" s="82" t="s">
        <v>15984</v>
      </c>
      <c r="BB2399" s="82" t="s">
        <v>15984</v>
      </c>
      <c r="BC2399" s="82" t="s">
        <v>13995</v>
      </c>
      <c r="BD2399" s="82" t="s">
        <v>15979</v>
      </c>
      <c r="BE2399" s="77"/>
      <c r="BF2399" s="77"/>
      <c r="BG2399" s="77"/>
      <c r="BH2399" s="77"/>
      <c r="BI2399" s="77"/>
    </row>
    <row r="2400" spans="1:61" x14ac:dyDescent="0.25">
      <c r="A2400" s="62" t="s">
        <v>387</v>
      </c>
      <c r="B2400" s="62" t="s">
        <v>387</v>
      </c>
      <c r="C2400" s="63"/>
      <c r="D2400" s="64"/>
      <c r="E2400" s="65"/>
      <c r="F2400" s="66"/>
      <c r="G2400" s="63"/>
      <c r="H2400" s="67"/>
      <c r="I2400" s="68"/>
      <c r="J2400" s="68"/>
      <c r="K2400" s="32"/>
      <c r="L2400" s="75">
        <v>2400</v>
      </c>
      <c r="M2400" s="75"/>
      <c r="N2400" s="70"/>
      <c r="O2400" s="77" t="s">
        <v>179</v>
      </c>
      <c r="P2400" s="79">
        <v>45155.96875</v>
      </c>
      <c r="Q2400" s="77" t="s">
        <v>3072</v>
      </c>
      <c r="R2400" s="77">
        <v>0</v>
      </c>
      <c r="S2400" s="77">
        <v>4</v>
      </c>
      <c r="T2400" s="77">
        <v>0</v>
      </c>
      <c r="U2400" s="77">
        <v>0</v>
      </c>
      <c r="V2400" s="77">
        <v>992</v>
      </c>
      <c r="W2400" s="82" t="s">
        <v>4833</v>
      </c>
      <c r="X2400" s="80" t="str">
        <f>HYPERLINK("https://mla.bs/07f5c938")</f>
        <v>https://mla.bs/07f5c938</v>
      </c>
      <c r="Y2400" s="77" t="s">
        <v>6506</v>
      </c>
      <c r="Z2400" s="77"/>
      <c r="AA2400" s="77"/>
      <c r="AB2400" s="77"/>
      <c r="AC2400" s="82" t="s">
        <v>7750</v>
      </c>
      <c r="AD2400" s="77" t="s">
        <v>7788</v>
      </c>
      <c r="AE2400" s="80" t="str">
        <f>HYPERLINK("https://twitter.com/einvestidor/status/1692314110304698474")</f>
        <v>https://twitter.com/einvestidor/status/1692314110304698474</v>
      </c>
      <c r="AF2400" s="79">
        <v>45155.96875</v>
      </c>
      <c r="AG2400" s="85">
        <v>45155</v>
      </c>
      <c r="AH2400" s="82" t="s">
        <v>9621</v>
      </c>
      <c r="AI2400" s="77" t="b">
        <v>0</v>
      </c>
      <c r="AJ2400" s="77"/>
      <c r="AK2400" s="77"/>
      <c r="AL2400" s="77"/>
      <c r="AM2400" s="77"/>
      <c r="AN2400" s="77"/>
      <c r="AO2400" s="77"/>
      <c r="AP2400" s="77"/>
      <c r="AQ2400" s="77"/>
      <c r="AR2400" s="77"/>
      <c r="AS2400" s="77"/>
      <c r="AT2400" s="77"/>
      <c r="AU2400" s="77"/>
      <c r="AV2400" s="80" t="str">
        <f>HYPERLINK("https://pbs.twimg.com/profile_images/1241147984924082183/gZgx_hL-_normal.jpg")</f>
        <v>https://pbs.twimg.com/profile_images/1241147984924082183/gZgx_hL-_normal.jpg</v>
      </c>
      <c r="AW2400" s="82" t="s">
        <v>13996</v>
      </c>
      <c r="AX2400" s="82" t="s">
        <v>13996</v>
      </c>
      <c r="AY2400" s="77"/>
      <c r="AZ2400" s="82" t="s">
        <v>15984</v>
      </c>
      <c r="BA2400" s="82" t="s">
        <v>15984</v>
      </c>
      <c r="BB2400" s="82" t="s">
        <v>15984</v>
      </c>
      <c r="BC2400" s="82" t="s">
        <v>13996</v>
      </c>
      <c r="BD2400" s="82" t="s">
        <v>15979</v>
      </c>
      <c r="BE2400" s="77"/>
      <c r="BF2400" s="77"/>
      <c r="BG2400" s="77"/>
      <c r="BH2400" s="77"/>
      <c r="BI2400" s="77"/>
    </row>
    <row r="2401" spans="1:61" x14ac:dyDescent="0.25">
      <c r="A2401" s="62" t="s">
        <v>387</v>
      </c>
      <c r="B2401" s="62" t="s">
        <v>387</v>
      </c>
      <c r="C2401" s="63"/>
      <c r="D2401" s="64"/>
      <c r="E2401" s="65"/>
      <c r="F2401" s="66"/>
      <c r="G2401" s="63"/>
      <c r="H2401" s="67"/>
      <c r="I2401" s="68"/>
      <c r="J2401" s="68"/>
      <c r="K2401" s="32"/>
      <c r="L2401" s="75">
        <v>2401</v>
      </c>
      <c r="M2401" s="75"/>
      <c r="N2401" s="70"/>
      <c r="O2401" s="77" t="s">
        <v>179</v>
      </c>
      <c r="P2401" s="79">
        <v>45155.958356481482</v>
      </c>
      <c r="Q2401" s="77" t="s">
        <v>3073</v>
      </c>
      <c r="R2401" s="77">
        <v>0</v>
      </c>
      <c r="S2401" s="77">
        <v>3</v>
      </c>
      <c r="T2401" s="77">
        <v>0</v>
      </c>
      <c r="U2401" s="77">
        <v>0</v>
      </c>
      <c r="V2401" s="77">
        <v>639</v>
      </c>
      <c r="W2401" s="82" t="s">
        <v>4833</v>
      </c>
      <c r="X2401" s="80" t="str">
        <f>HYPERLINK("https://mla.bs/d06674fb")</f>
        <v>https://mla.bs/d06674fb</v>
      </c>
      <c r="Y2401" s="77" t="s">
        <v>6506</v>
      </c>
      <c r="Z2401" s="77"/>
      <c r="AA2401" s="77"/>
      <c r="AB2401" s="77"/>
      <c r="AC2401" s="82" t="s">
        <v>7750</v>
      </c>
      <c r="AD2401" s="77" t="s">
        <v>7788</v>
      </c>
      <c r="AE2401" s="80" t="str">
        <f>HYPERLINK("https://twitter.com/einvestidor/status/1692310343970873457")</f>
        <v>https://twitter.com/einvestidor/status/1692310343970873457</v>
      </c>
      <c r="AF2401" s="79">
        <v>45155.958356481482</v>
      </c>
      <c r="AG2401" s="85">
        <v>45155</v>
      </c>
      <c r="AH2401" s="82" t="s">
        <v>9725</v>
      </c>
      <c r="AI2401" s="77" t="b">
        <v>0</v>
      </c>
      <c r="AJ2401" s="77"/>
      <c r="AK2401" s="77"/>
      <c r="AL2401" s="77"/>
      <c r="AM2401" s="77"/>
      <c r="AN2401" s="77"/>
      <c r="AO2401" s="77"/>
      <c r="AP2401" s="77"/>
      <c r="AQ2401" s="77"/>
      <c r="AR2401" s="77"/>
      <c r="AS2401" s="77"/>
      <c r="AT2401" s="77"/>
      <c r="AU2401" s="77"/>
      <c r="AV2401" s="80" t="str">
        <f>HYPERLINK("https://pbs.twimg.com/profile_images/1241147984924082183/gZgx_hL-_normal.jpg")</f>
        <v>https://pbs.twimg.com/profile_images/1241147984924082183/gZgx_hL-_normal.jpg</v>
      </c>
      <c r="AW2401" s="82" t="s">
        <v>13997</v>
      </c>
      <c r="AX2401" s="82" t="s">
        <v>13997</v>
      </c>
      <c r="AY2401" s="77"/>
      <c r="AZ2401" s="82" t="s">
        <v>15984</v>
      </c>
      <c r="BA2401" s="82" t="s">
        <v>15984</v>
      </c>
      <c r="BB2401" s="82" t="s">
        <v>15984</v>
      </c>
      <c r="BC2401" s="82" t="s">
        <v>13997</v>
      </c>
      <c r="BD2401" s="82" t="s">
        <v>15979</v>
      </c>
      <c r="BE2401" s="77"/>
      <c r="BF2401" s="77"/>
      <c r="BG2401" s="77"/>
      <c r="BH2401" s="77"/>
      <c r="BI2401" s="77"/>
    </row>
    <row r="2402" spans="1:61" x14ac:dyDescent="0.25">
      <c r="A2402" s="62" t="s">
        <v>387</v>
      </c>
      <c r="B2402" s="62" t="s">
        <v>387</v>
      </c>
      <c r="C2402" s="63"/>
      <c r="D2402" s="64"/>
      <c r="E2402" s="65"/>
      <c r="F2402" s="66"/>
      <c r="G2402" s="63"/>
      <c r="H2402" s="67"/>
      <c r="I2402" s="68"/>
      <c r="J2402" s="68"/>
      <c r="K2402" s="32"/>
      <c r="L2402" s="75">
        <v>2402</v>
      </c>
      <c r="M2402" s="75"/>
      <c r="N2402" s="70"/>
      <c r="O2402" s="77" t="s">
        <v>179</v>
      </c>
      <c r="P2402" s="79">
        <v>45155.947916666664</v>
      </c>
      <c r="Q2402" s="77" t="s">
        <v>3074</v>
      </c>
      <c r="R2402" s="77">
        <v>0</v>
      </c>
      <c r="S2402" s="77">
        <v>3</v>
      </c>
      <c r="T2402" s="77">
        <v>0</v>
      </c>
      <c r="U2402" s="77">
        <v>0</v>
      </c>
      <c r="V2402" s="77">
        <v>614</v>
      </c>
      <c r="W2402" s="82" t="s">
        <v>5902</v>
      </c>
      <c r="X2402" s="80" t="str">
        <f>HYPERLINK("https://mla.bs/cc34d218")</f>
        <v>https://mla.bs/cc34d218</v>
      </c>
      <c r="Y2402" s="77" t="s">
        <v>6506</v>
      </c>
      <c r="Z2402" s="77"/>
      <c r="AA2402" s="77"/>
      <c r="AB2402" s="77"/>
      <c r="AC2402" s="82" t="s">
        <v>7750</v>
      </c>
      <c r="AD2402" s="77" t="s">
        <v>7788</v>
      </c>
      <c r="AE2402" s="80" t="str">
        <f>HYPERLINK("https://twitter.com/einvestidor/status/1692306561136468421")</f>
        <v>https://twitter.com/einvestidor/status/1692306561136468421</v>
      </c>
      <c r="AF2402" s="79">
        <v>45155.947916666664</v>
      </c>
      <c r="AG2402" s="85">
        <v>45155</v>
      </c>
      <c r="AH2402" s="82" t="s">
        <v>9595</v>
      </c>
      <c r="AI2402" s="77" t="b">
        <v>0</v>
      </c>
      <c r="AJ2402" s="77"/>
      <c r="AK2402" s="77"/>
      <c r="AL2402" s="77"/>
      <c r="AM2402" s="77"/>
      <c r="AN2402" s="77"/>
      <c r="AO2402" s="77"/>
      <c r="AP2402" s="77"/>
      <c r="AQ2402" s="77"/>
      <c r="AR2402" s="77"/>
      <c r="AS2402" s="77"/>
      <c r="AT2402" s="77"/>
      <c r="AU2402" s="77"/>
      <c r="AV2402" s="80" t="str">
        <f>HYPERLINK("https://pbs.twimg.com/profile_images/1241147984924082183/gZgx_hL-_normal.jpg")</f>
        <v>https://pbs.twimg.com/profile_images/1241147984924082183/gZgx_hL-_normal.jpg</v>
      </c>
      <c r="AW2402" s="82" t="s">
        <v>13998</v>
      </c>
      <c r="AX2402" s="82" t="s">
        <v>13998</v>
      </c>
      <c r="AY2402" s="77"/>
      <c r="AZ2402" s="82" t="s">
        <v>15984</v>
      </c>
      <c r="BA2402" s="82" t="s">
        <v>15984</v>
      </c>
      <c r="BB2402" s="82" t="s">
        <v>15984</v>
      </c>
      <c r="BC2402" s="82" t="s">
        <v>13998</v>
      </c>
      <c r="BD2402" s="82" t="s">
        <v>15979</v>
      </c>
      <c r="BE2402" s="77"/>
      <c r="BF2402" s="77"/>
      <c r="BG2402" s="77"/>
      <c r="BH2402" s="77"/>
      <c r="BI2402" s="77"/>
    </row>
    <row r="2403" spans="1:61" x14ac:dyDescent="0.25">
      <c r="A2403" s="62" t="s">
        <v>387</v>
      </c>
      <c r="B2403" s="62" t="s">
        <v>387</v>
      </c>
      <c r="C2403" s="63"/>
      <c r="D2403" s="64"/>
      <c r="E2403" s="65"/>
      <c r="F2403" s="66"/>
      <c r="G2403" s="63"/>
      <c r="H2403" s="67"/>
      <c r="I2403" s="68"/>
      <c r="J2403" s="68"/>
      <c r="K2403" s="32"/>
      <c r="L2403" s="75">
        <v>2403</v>
      </c>
      <c r="M2403" s="75"/>
      <c r="N2403" s="70"/>
      <c r="O2403" s="77" t="s">
        <v>179</v>
      </c>
      <c r="P2403" s="79">
        <v>45153</v>
      </c>
      <c r="Q2403" s="77" t="s">
        <v>3075</v>
      </c>
      <c r="R2403" s="77">
        <v>0</v>
      </c>
      <c r="S2403" s="77">
        <v>2</v>
      </c>
      <c r="T2403" s="77">
        <v>0</v>
      </c>
      <c r="U2403" s="77">
        <v>0</v>
      </c>
      <c r="V2403" s="77">
        <v>730</v>
      </c>
      <c r="W2403" s="82" t="s">
        <v>6004</v>
      </c>
      <c r="X2403" s="80" t="str">
        <f>HYPERLINK("https://mla.bs/42a22d35")</f>
        <v>https://mla.bs/42a22d35</v>
      </c>
      <c r="Y2403" s="77" t="s">
        <v>6506</v>
      </c>
      <c r="Z2403" s="77"/>
      <c r="AA2403" s="77"/>
      <c r="AB2403" s="77"/>
      <c r="AC2403" s="82" t="s">
        <v>7754</v>
      </c>
      <c r="AD2403" s="77" t="s">
        <v>7788</v>
      </c>
      <c r="AE2403" s="80" t="str">
        <f>HYPERLINK("https://twitter.com/einvestidor/status/1691238272050376707")</f>
        <v>https://twitter.com/einvestidor/status/1691238272050376707</v>
      </c>
      <c r="AF2403" s="79">
        <v>45153</v>
      </c>
      <c r="AG2403" s="85">
        <v>45153</v>
      </c>
      <c r="AH2403" s="82" t="s">
        <v>9300</v>
      </c>
      <c r="AI2403" s="77" t="b">
        <v>0</v>
      </c>
      <c r="AJ2403" s="77"/>
      <c r="AK2403" s="77"/>
      <c r="AL2403" s="77"/>
      <c r="AM2403" s="77"/>
      <c r="AN2403" s="77"/>
      <c r="AO2403" s="77"/>
      <c r="AP2403" s="77"/>
      <c r="AQ2403" s="77"/>
      <c r="AR2403" s="77"/>
      <c r="AS2403" s="77"/>
      <c r="AT2403" s="77"/>
      <c r="AU2403" s="77"/>
      <c r="AV2403" s="80" t="str">
        <f>HYPERLINK("https://pbs.twimg.com/profile_images/1241147984924082183/gZgx_hL-_normal.jpg")</f>
        <v>https://pbs.twimg.com/profile_images/1241147984924082183/gZgx_hL-_normal.jpg</v>
      </c>
      <c r="AW2403" s="82" t="s">
        <v>13999</v>
      </c>
      <c r="AX2403" s="82" t="s">
        <v>13999</v>
      </c>
      <c r="AY2403" s="77"/>
      <c r="AZ2403" s="82" t="s">
        <v>15984</v>
      </c>
      <c r="BA2403" s="82" t="s">
        <v>15984</v>
      </c>
      <c r="BB2403" s="82" t="s">
        <v>15984</v>
      </c>
      <c r="BC2403" s="82" t="s">
        <v>13999</v>
      </c>
      <c r="BD2403" s="82" t="s">
        <v>15979</v>
      </c>
      <c r="BE2403" s="77"/>
      <c r="BF2403" s="77"/>
      <c r="BG2403" s="77"/>
      <c r="BH2403" s="77"/>
      <c r="BI2403" s="77"/>
    </row>
    <row r="2404" spans="1:61" x14ac:dyDescent="0.25">
      <c r="A2404" s="62" t="s">
        <v>387</v>
      </c>
      <c r="B2404" s="62" t="s">
        <v>387</v>
      </c>
      <c r="C2404" s="63"/>
      <c r="D2404" s="64"/>
      <c r="E2404" s="65"/>
      <c r="F2404" s="66"/>
      <c r="G2404" s="63"/>
      <c r="H2404" s="67"/>
      <c r="I2404" s="68"/>
      <c r="J2404" s="68"/>
      <c r="K2404" s="32"/>
      <c r="L2404" s="75">
        <v>2404</v>
      </c>
      <c r="M2404" s="75"/>
      <c r="N2404" s="70"/>
      <c r="O2404" s="77" t="s">
        <v>179</v>
      </c>
      <c r="P2404" s="79">
        <v>45152.989583333336</v>
      </c>
      <c r="Q2404" s="77" t="s">
        <v>3076</v>
      </c>
      <c r="R2404" s="77">
        <v>0</v>
      </c>
      <c r="S2404" s="77">
        <v>0</v>
      </c>
      <c r="T2404" s="77">
        <v>0</v>
      </c>
      <c r="U2404" s="77">
        <v>0</v>
      </c>
      <c r="V2404" s="77">
        <v>698</v>
      </c>
      <c r="W2404" s="82" t="s">
        <v>6005</v>
      </c>
      <c r="X2404" s="80" t="str">
        <f>HYPERLINK("https://mla.bs/063b8b0a")</f>
        <v>https://mla.bs/063b8b0a</v>
      </c>
      <c r="Y2404" s="77" t="s">
        <v>6506</v>
      </c>
      <c r="Z2404" s="77"/>
      <c r="AA2404" s="77"/>
      <c r="AB2404" s="77"/>
      <c r="AC2404" s="82" t="s">
        <v>7754</v>
      </c>
      <c r="AD2404" s="77" t="s">
        <v>7788</v>
      </c>
      <c r="AE2404" s="80" t="str">
        <f>HYPERLINK("https://twitter.com/einvestidor/status/1691234496497299464")</f>
        <v>https://twitter.com/einvestidor/status/1691234496497299464</v>
      </c>
      <c r="AF2404" s="79">
        <v>45152.989583333336</v>
      </c>
      <c r="AG2404" s="85">
        <v>45152</v>
      </c>
      <c r="AH2404" s="82" t="s">
        <v>9620</v>
      </c>
      <c r="AI2404" s="77" t="b">
        <v>0</v>
      </c>
      <c r="AJ2404" s="77"/>
      <c r="AK2404" s="77"/>
      <c r="AL2404" s="77"/>
      <c r="AM2404" s="77"/>
      <c r="AN2404" s="77"/>
      <c r="AO2404" s="77"/>
      <c r="AP2404" s="77"/>
      <c r="AQ2404" s="77"/>
      <c r="AR2404" s="77"/>
      <c r="AS2404" s="77"/>
      <c r="AT2404" s="77"/>
      <c r="AU2404" s="77"/>
      <c r="AV2404" s="80" t="str">
        <f>HYPERLINK("https://pbs.twimg.com/profile_images/1241147984924082183/gZgx_hL-_normal.jpg")</f>
        <v>https://pbs.twimg.com/profile_images/1241147984924082183/gZgx_hL-_normal.jpg</v>
      </c>
      <c r="AW2404" s="82" t="s">
        <v>14000</v>
      </c>
      <c r="AX2404" s="82" t="s">
        <v>14000</v>
      </c>
      <c r="AY2404" s="77"/>
      <c r="AZ2404" s="82" t="s">
        <v>15984</v>
      </c>
      <c r="BA2404" s="82" t="s">
        <v>15984</v>
      </c>
      <c r="BB2404" s="82" t="s">
        <v>15984</v>
      </c>
      <c r="BC2404" s="82" t="s">
        <v>14000</v>
      </c>
      <c r="BD2404" s="82" t="s">
        <v>15979</v>
      </c>
      <c r="BE2404" s="77"/>
      <c r="BF2404" s="77"/>
      <c r="BG2404" s="77"/>
      <c r="BH2404" s="77"/>
      <c r="BI2404" s="77"/>
    </row>
    <row r="2405" spans="1:61" x14ac:dyDescent="0.25">
      <c r="A2405" s="62" t="s">
        <v>387</v>
      </c>
      <c r="B2405" s="62" t="s">
        <v>387</v>
      </c>
      <c r="C2405" s="63"/>
      <c r="D2405" s="64"/>
      <c r="E2405" s="65"/>
      <c r="F2405" s="66"/>
      <c r="G2405" s="63"/>
      <c r="H2405" s="67"/>
      <c r="I2405" s="68"/>
      <c r="J2405" s="68"/>
      <c r="K2405" s="32"/>
      <c r="L2405" s="75">
        <v>2405</v>
      </c>
      <c r="M2405" s="75"/>
      <c r="N2405" s="70"/>
      <c r="O2405" s="77" t="s">
        <v>179</v>
      </c>
      <c r="P2405" s="79">
        <v>45152.979166666664</v>
      </c>
      <c r="Q2405" s="77" t="s">
        <v>3077</v>
      </c>
      <c r="R2405" s="77">
        <v>0</v>
      </c>
      <c r="S2405" s="77">
        <v>0</v>
      </c>
      <c r="T2405" s="77">
        <v>0</v>
      </c>
      <c r="U2405" s="77">
        <v>0</v>
      </c>
      <c r="V2405" s="77">
        <v>714</v>
      </c>
      <c r="W2405" s="82" t="s">
        <v>4833</v>
      </c>
      <c r="X2405" s="80" t="str">
        <f>HYPERLINK("https://mla.bs/de11360e")</f>
        <v>https://mla.bs/de11360e</v>
      </c>
      <c r="Y2405" s="77" t="s">
        <v>6506</v>
      </c>
      <c r="Z2405" s="77"/>
      <c r="AA2405" s="77"/>
      <c r="AB2405" s="77"/>
      <c r="AC2405" s="82" t="s">
        <v>7754</v>
      </c>
      <c r="AD2405" s="77" t="s">
        <v>7788</v>
      </c>
      <c r="AE2405" s="80" t="str">
        <f>HYPERLINK("https://twitter.com/einvestidor/status/1691230723846332416")</f>
        <v>https://twitter.com/einvestidor/status/1691230723846332416</v>
      </c>
      <c r="AF2405" s="79">
        <v>45152.979166666664</v>
      </c>
      <c r="AG2405" s="85">
        <v>45152</v>
      </c>
      <c r="AH2405" s="82" t="s">
        <v>7928</v>
      </c>
      <c r="AI2405" s="77" t="b">
        <v>0</v>
      </c>
      <c r="AJ2405" s="77"/>
      <c r="AK2405" s="77"/>
      <c r="AL2405" s="77"/>
      <c r="AM2405" s="77"/>
      <c r="AN2405" s="77"/>
      <c r="AO2405" s="77"/>
      <c r="AP2405" s="77"/>
      <c r="AQ2405" s="77"/>
      <c r="AR2405" s="77"/>
      <c r="AS2405" s="77"/>
      <c r="AT2405" s="77"/>
      <c r="AU2405" s="77"/>
      <c r="AV2405" s="80" t="str">
        <f>HYPERLINK("https://pbs.twimg.com/profile_images/1241147984924082183/gZgx_hL-_normal.jpg")</f>
        <v>https://pbs.twimg.com/profile_images/1241147984924082183/gZgx_hL-_normal.jpg</v>
      </c>
      <c r="AW2405" s="82" t="s">
        <v>14001</v>
      </c>
      <c r="AX2405" s="82" t="s">
        <v>14001</v>
      </c>
      <c r="AY2405" s="77"/>
      <c r="AZ2405" s="82" t="s">
        <v>15984</v>
      </c>
      <c r="BA2405" s="82" t="s">
        <v>15984</v>
      </c>
      <c r="BB2405" s="82" t="s">
        <v>15984</v>
      </c>
      <c r="BC2405" s="82" t="s">
        <v>14001</v>
      </c>
      <c r="BD2405" s="82" t="s">
        <v>15979</v>
      </c>
      <c r="BE2405" s="77"/>
      <c r="BF2405" s="77"/>
      <c r="BG2405" s="77"/>
      <c r="BH2405" s="77"/>
      <c r="BI2405" s="77"/>
    </row>
    <row r="2406" spans="1:61" x14ac:dyDescent="0.25">
      <c r="A2406" s="62" t="s">
        <v>387</v>
      </c>
      <c r="B2406" s="62" t="s">
        <v>387</v>
      </c>
      <c r="C2406" s="63"/>
      <c r="D2406" s="64"/>
      <c r="E2406" s="65"/>
      <c r="F2406" s="66"/>
      <c r="G2406" s="63"/>
      <c r="H2406" s="67"/>
      <c r="I2406" s="68"/>
      <c r="J2406" s="68"/>
      <c r="K2406" s="32"/>
      <c r="L2406" s="75">
        <v>2406</v>
      </c>
      <c r="M2406" s="75"/>
      <c r="N2406" s="70"/>
      <c r="O2406" s="77" t="s">
        <v>179</v>
      </c>
      <c r="P2406" s="79">
        <v>45152.96875</v>
      </c>
      <c r="Q2406" s="77" t="s">
        <v>3078</v>
      </c>
      <c r="R2406" s="77">
        <v>0</v>
      </c>
      <c r="S2406" s="77">
        <v>0</v>
      </c>
      <c r="T2406" s="77">
        <v>0</v>
      </c>
      <c r="U2406" s="77">
        <v>0</v>
      </c>
      <c r="V2406" s="77">
        <v>676</v>
      </c>
      <c r="W2406" s="82" t="s">
        <v>4833</v>
      </c>
      <c r="X2406" s="80" t="str">
        <f>HYPERLINK("https://mla.bs/5d42b9cc")</f>
        <v>https://mla.bs/5d42b9cc</v>
      </c>
      <c r="Y2406" s="77" t="s">
        <v>6506</v>
      </c>
      <c r="Z2406" s="77"/>
      <c r="AA2406" s="77"/>
      <c r="AB2406" s="77"/>
      <c r="AC2406" s="82" t="s">
        <v>7754</v>
      </c>
      <c r="AD2406" s="77" t="s">
        <v>7788</v>
      </c>
      <c r="AE2406" s="80" t="str">
        <f>HYPERLINK("https://twitter.com/einvestidor/status/1691226947186307072")</f>
        <v>https://twitter.com/einvestidor/status/1691226947186307072</v>
      </c>
      <c r="AF2406" s="79">
        <v>45152.96875</v>
      </c>
      <c r="AG2406" s="85">
        <v>45152</v>
      </c>
      <c r="AH2406" s="82" t="s">
        <v>9621</v>
      </c>
      <c r="AI2406" s="77" t="b">
        <v>0</v>
      </c>
      <c r="AJ2406" s="77"/>
      <c r="AK2406" s="77"/>
      <c r="AL2406" s="77"/>
      <c r="AM2406" s="77"/>
      <c r="AN2406" s="77"/>
      <c r="AO2406" s="77"/>
      <c r="AP2406" s="77"/>
      <c r="AQ2406" s="77"/>
      <c r="AR2406" s="77"/>
      <c r="AS2406" s="77"/>
      <c r="AT2406" s="77"/>
      <c r="AU2406" s="77"/>
      <c r="AV2406" s="80" t="str">
        <f>HYPERLINK("https://pbs.twimg.com/profile_images/1241147984924082183/gZgx_hL-_normal.jpg")</f>
        <v>https://pbs.twimg.com/profile_images/1241147984924082183/gZgx_hL-_normal.jpg</v>
      </c>
      <c r="AW2406" s="82" t="s">
        <v>14002</v>
      </c>
      <c r="AX2406" s="82" t="s">
        <v>14002</v>
      </c>
      <c r="AY2406" s="77"/>
      <c r="AZ2406" s="82" t="s">
        <v>15984</v>
      </c>
      <c r="BA2406" s="82" t="s">
        <v>15984</v>
      </c>
      <c r="BB2406" s="82" t="s">
        <v>15984</v>
      </c>
      <c r="BC2406" s="82" t="s">
        <v>14002</v>
      </c>
      <c r="BD2406" s="82" t="s">
        <v>15979</v>
      </c>
      <c r="BE2406" s="77"/>
      <c r="BF2406" s="77"/>
      <c r="BG2406" s="77"/>
      <c r="BH2406" s="77"/>
      <c r="BI2406" s="77"/>
    </row>
    <row r="2407" spans="1:61" x14ac:dyDescent="0.25">
      <c r="A2407" s="62" t="s">
        <v>387</v>
      </c>
      <c r="B2407" s="62" t="s">
        <v>387</v>
      </c>
      <c r="C2407" s="63"/>
      <c r="D2407" s="64"/>
      <c r="E2407" s="65"/>
      <c r="F2407" s="66"/>
      <c r="G2407" s="63"/>
      <c r="H2407" s="67"/>
      <c r="I2407" s="68"/>
      <c r="J2407" s="68"/>
      <c r="K2407" s="32"/>
      <c r="L2407" s="75">
        <v>2407</v>
      </c>
      <c r="M2407" s="75"/>
      <c r="N2407" s="70"/>
      <c r="O2407" s="77" t="s">
        <v>179</v>
      </c>
      <c r="P2407" s="79">
        <v>45152.958333333336</v>
      </c>
      <c r="Q2407" s="77" t="s">
        <v>3079</v>
      </c>
      <c r="R2407" s="77">
        <v>1</v>
      </c>
      <c r="S2407" s="77">
        <v>1</v>
      </c>
      <c r="T2407" s="77">
        <v>0</v>
      </c>
      <c r="U2407" s="77">
        <v>0</v>
      </c>
      <c r="V2407" s="77">
        <v>600</v>
      </c>
      <c r="W2407" s="82" t="s">
        <v>4833</v>
      </c>
      <c r="X2407" s="80" t="str">
        <f>HYPERLINK("https://mla.bs/3331ac8d")</f>
        <v>https://mla.bs/3331ac8d</v>
      </c>
      <c r="Y2407" s="77" t="s">
        <v>6506</v>
      </c>
      <c r="Z2407" s="77"/>
      <c r="AA2407" s="77"/>
      <c r="AB2407" s="77"/>
      <c r="AC2407" s="82" t="s">
        <v>7754</v>
      </c>
      <c r="AD2407" s="77" t="s">
        <v>7788</v>
      </c>
      <c r="AE2407" s="80" t="str">
        <f>HYPERLINK("https://twitter.com/einvestidor/status/1691223171641618441")</f>
        <v>https://twitter.com/einvestidor/status/1691223171641618441</v>
      </c>
      <c r="AF2407" s="79">
        <v>45152.958333333336</v>
      </c>
      <c r="AG2407" s="85">
        <v>45152</v>
      </c>
      <c r="AH2407" s="82" t="s">
        <v>8279</v>
      </c>
      <c r="AI2407" s="77" t="b">
        <v>0</v>
      </c>
      <c r="AJ2407" s="77"/>
      <c r="AK2407" s="77"/>
      <c r="AL2407" s="77"/>
      <c r="AM2407" s="77"/>
      <c r="AN2407" s="77"/>
      <c r="AO2407" s="77"/>
      <c r="AP2407" s="77"/>
      <c r="AQ2407" s="77"/>
      <c r="AR2407" s="77"/>
      <c r="AS2407" s="77"/>
      <c r="AT2407" s="77"/>
      <c r="AU2407" s="77"/>
      <c r="AV2407" s="80" t="str">
        <f>HYPERLINK("https://pbs.twimg.com/profile_images/1241147984924082183/gZgx_hL-_normal.jpg")</f>
        <v>https://pbs.twimg.com/profile_images/1241147984924082183/gZgx_hL-_normal.jpg</v>
      </c>
      <c r="AW2407" s="82" t="s">
        <v>14003</v>
      </c>
      <c r="AX2407" s="82" t="s">
        <v>14003</v>
      </c>
      <c r="AY2407" s="77"/>
      <c r="AZ2407" s="82" t="s">
        <v>15984</v>
      </c>
      <c r="BA2407" s="82" t="s">
        <v>15984</v>
      </c>
      <c r="BB2407" s="82" t="s">
        <v>15984</v>
      </c>
      <c r="BC2407" s="82" t="s">
        <v>14003</v>
      </c>
      <c r="BD2407" s="82" t="s">
        <v>15979</v>
      </c>
      <c r="BE2407" s="77"/>
      <c r="BF2407" s="77"/>
      <c r="BG2407" s="77"/>
      <c r="BH2407" s="77"/>
      <c r="BI2407" s="77"/>
    </row>
    <row r="2408" spans="1:61" x14ac:dyDescent="0.25">
      <c r="A2408" s="62" t="s">
        <v>387</v>
      </c>
      <c r="B2408" s="62" t="s">
        <v>387</v>
      </c>
      <c r="C2408" s="63"/>
      <c r="D2408" s="64"/>
      <c r="E2408" s="65"/>
      <c r="F2408" s="66"/>
      <c r="G2408" s="63"/>
      <c r="H2408" s="67"/>
      <c r="I2408" s="68"/>
      <c r="J2408" s="68"/>
      <c r="K2408" s="32"/>
      <c r="L2408" s="75">
        <v>2408</v>
      </c>
      <c r="M2408" s="75"/>
      <c r="N2408" s="70"/>
      <c r="O2408" s="77" t="s">
        <v>179</v>
      </c>
      <c r="P2408" s="79">
        <v>45152.9375</v>
      </c>
      <c r="Q2408" s="77" t="s">
        <v>3080</v>
      </c>
      <c r="R2408" s="77">
        <v>0</v>
      </c>
      <c r="S2408" s="77">
        <v>3</v>
      </c>
      <c r="T2408" s="77">
        <v>0</v>
      </c>
      <c r="U2408" s="77">
        <v>0</v>
      </c>
      <c r="V2408" s="77">
        <v>682</v>
      </c>
      <c r="W2408" s="82" t="s">
        <v>4833</v>
      </c>
      <c r="X2408" s="80" t="str">
        <f>HYPERLINK("https://mla.bs/6f566e13")</f>
        <v>https://mla.bs/6f566e13</v>
      </c>
      <c r="Y2408" s="77" t="s">
        <v>6506</v>
      </c>
      <c r="Z2408" s="77"/>
      <c r="AA2408" s="77"/>
      <c r="AB2408" s="77"/>
      <c r="AC2408" s="82" t="s">
        <v>7754</v>
      </c>
      <c r="AD2408" s="77" t="s">
        <v>7788</v>
      </c>
      <c r="AE2408" s="80" t="str">
        <f>HYPERLINK("https://twitter.com/einvestidor/status/1691215623727022081")</f>
        <v>https://twitter.com/einvestidor/status/1691215623727022081</v>
      </c>
      <c r="AF2408" s="79">
        <v>45152.9375</v>
      </c>
      <c r="AG2408" s="85">
        <v>45152</v>
      </c>
      <c r="AH2408" s="82" t="s">
        <v>7926</v>
      </c>
      <c r="AI2408" s="77" t="b">
        <v>0</v>
      </c>
      <c r="AJ2408" s="77"/>
      <c r="AK2408" s="77"/>
      <c r="AL2408" s="77"/>
      <c r="AM2408" s="77"/>
      <c r="AN2408" s="77"/>
      <c r="AO2408" s="77"/>
      <c r="AP2408" s="77"/>
      <c r="AQ2408" s="77"/>
      <c r="AR2408" s="77"/>
      <c r="AS2408" s="77"/>
      <c r="AT2408" s="77"/>
      <c r="AU2408" s="77"/>
      <c r="AV2408" s="80" t="str">
        <f>HYPERLINK("https://pbs.twimg.com/profile_images/1241147984924082183/gZgx_hL-_normal.jpg")</f>
        <v>https://pbs.twimg.com/profile_images/1241147984924082183/gZgx_hL-_normal.jpg</v>
      </c>
      <c r="AW2408" s="82" t="s">
        <v>14004</v>
      </c>
      <c r="AX2408" s="82" t="s">
        <v>14004</v>
      </c>
      <c r="AY2408" s="77"/>
      <c r="AZ2408" s="82" t="s">
        <v>15984</v>
      </c>
      <c r="BA2408" s="82" t="s">
        <v>15984</v>
      </c>
      <c r="BB2408" s="82" t="s">
        <v>15984</v>
      </c>
      <c r="BC2408" s="82" t="s">
        <v>14004</v>
      </c>
      <c r="BD2408" s="82" t="s">
        <v>15979</v>
      </c>
      <c r="BE2408" s="77"/>
      <c r="BF2408" s="77"/>
      <c r="BG2408" s="77"/>
      <c r="BH2408" s="77"/>
      <c r="BI2408" s="77"/>
    </row>
    <row r="2409" spans="1:61" x14ac:dyDescent="0.25">
      <c r="A2409" s="62" t="s">
        <v>387</v>
      </c>
      <c r="B2409" s="62" t="s">
        <v>387</v>
      </c>
      <c r="C2409" s="63"/>
      <c r="D2409" s="64"/>
      <c r="E2409" s="65"/>
      <c r="F2409" s="66"/>
      <c r="G2409" s="63"/>
      <c r="H2409" s="67"/>
      <c r="I2409" s="68"/>
      <c r="J2409" s="68"/>
      <c r="K2409" s="32"/>
      <c r="L2409" s="75">
        <v>2409</v>
      </c>
      <c r="M2409" s="75"/>
      <c r="N2409" s="70"/>
      <c r="O2409" s="77" t="s">
        <v>179</v>
      </c>
      <c r="P2409" s="79">
        <v>45152.927083333336</v>
      </c>
      <c r="Q2409" s="77" t="s">
        <v>3081</v>
      </c>
      <c r="R2409" s="77">
        <v>1</v>
      </c>
      <c r="S2409" s="77">
        <v>3</v>
      </c>
      <c r="T2409" s="77">
        <v>0</v>
      </c>
      <c r="U2409" s="77">
        <v>0</v>
      </c>
      <c r="V2409" s="77">
        <v>638</v>
      </c>
      <c r="W2409" s="82" t="s">
        <v>4833</v>
      </c>
      <c r="X2409" s="80" t="str">
        <f>HYPERLINK("https://mla.bs/60065a1e")</f>
        <v>https://mla.bs/60065a1e</v>
      </c>
      <c r="Y2409" s="77" t="s">
        <v>6506</v>
      </c>
      <c r="Z2409" s="77"/>
      <c r="AA2409" s="77"/>
      <c r="AB2409" s="77"/>
      <c r="AC2409" s="82" t="s">
        <v>7754</v>
      </c>
      <c r="AD2409" s="77" t="s">
        <v>7788</v>
      </c>
      <c r="AE2409" s="80" t="str">
        <f>HYPERLINK("https://twitter.com/einvestidor/status/1691211847079464962")</f>
        <v>https://twitter.com/einvestidor/status/1691211847079464962</v>
      </c>
      <c r="AF2409" s="79">
        <v>45152.927083333336</v>
      </c>
      <c r="AG2409" s="85">
        <v>45152</v>
      </c>
      <c r="AH2409" s="82" t="s">
        <v>9576</v>
      </c>
      <c r="AI2409" s="77" t="b">
        <v>0</v>
      </c>
      <c r="AJ2409" s="77"/>
      <c r="AK2409" s="77"/>
      <c r="AL2409" s="77"/>
      <c r="AM2409" s="77"/>
      <c r="AN2409" s="77"/>
      <c r="AO2409" s="77"/>
      <c r="AP2409" s="77"/>
      <c r="AQ2409" s="77"/>
      <c r="AR2409" s="77"/>
      <c r="AS2409" s="77"/>
      <c r="AT2409" s="77"/>
      <c r="AU2409" s="77"/>
      <c r="AV2409" s="80" t="str">
        <f>HYPERLINK("https://pbs.twimg.com/profile_images/1241147984924082183/gZgx_hL-_normal.jpg")</f>
        <v>https://pbs.twimg.com/profile_images/1241147984924082183/gZgx_hL-_normal.jpg</v>
      </c>
      <c r="AW2409" s="82" t="s">
        <v>14005</v>
      </c>
      <c r="AX2409" s="82" t="s">
        <v>14005</v>
      </c>
      <c r="AY2409" s="77"/>
      <c r="AZ2409" s="82" t="s">
        <v>15984</v>
      </c>
      <c r="BA2409" s="82" t="s">
        <v>15984</v>
      </c>
      <c r="BB2409" s="82" t="s">
        <v>15984</v>
      </c>
      <c r="BC2409" s="82" t="s">
        <v>14005</v>
      </c>
      <c r="BD2409" s="82" t="s">
        <v>15979</v>
      </c>
      <c r="BE2409" s="77"/>
      <c r="BF2409" s="77"/>
      <c r="BG2409" s="77"/>
      <c r="BH2409" s="77"/>
      <c r="BI2409" s="77"/>
    </row>
    <row r="2410" spans="1:61" x14ac:dyDescent="0.25">
      <c r="A2410" s="62" t="s">
        <v>387</v>
      </c>
      <c r="B2410" s="62" t="s">
        <v>387</v>
      </c>
      <c r="C2410" s="63"/>
      <c r="D2410" s="64"/>
      <c r="E2410" s="65"/>
      <c r="F2410" s="66"/>
      <c r="G2410" s="63"/>
      <c r="H2410" s="67"/>
      <c r="I2410" s="68"/>
      <c r="J2410" s="68"/>
      <c r="K2410" s="32"/>
      <c r="L2410" s="75">
        <v>2410</v>
      </c>
      <c r="M2410" s="75"/>
      <c r="N2410" s="70"/>
      <c r="O2410" s="77" t="s">
        <v>179</v>
      </c>
      <c r="P2410" s="79">
        <v>45148.010416666664</v>
      </c>
      <c r="Q2410" s="77" t="s">
        <v>3082</v>
      </c>
      <c r="R2410" s="77">
        <v>1</v>
      </c>
      <c r="S2410" s="77">
        <v>3</v>
      </c>
      <c r="T2410" s="77">
        <v>0</v>
      </c>
      <c r="U2410" s="77">
        <v>0</v>
      </c>
      <c r="V2410" s="77">
        <v>796</v>
      </c>
      <c r="W2410" s="82" t="s">
        <v>4833</v>
      </c>
      <c r="X2410" s="80" t="str">
        <f>HYPERLINK("https://mla.bs/b5c83d77")</f>
        <v>https://mla.bs/b5c83d77</v>
      </c>
      <c r="Y2410" s="77" t="s">
        <v>6506</v>
      </c>
      <c r="Z2410" s="77"/>
      <c r="AA2410" s="77"/>
      <c r="AB2410" s="77"/>
      <c r="AC2410" s="82" t="s">
        <v>7754</v>
      </c>
      <c r="AD2410" s="77" t="s">
        <v>7788</v>
      </c>
      <c r="AE2410" s="80" t="str">
        <f>HYPERLINK("https://twitter.com/einvestidor/status/1689430106736119808")</f>
        <v>https://twitter.com/einvestidor/status/1689430106736119808</v>
      </c>
      <c r="AF2410" s="79">
        <v>45148.010416666664</v>
      </c>
      <c r="AG2410" s="85">
        <v>45148</v>
      </c>
      <c r="AH2410" s="82" t="s">
        <v>8119</v>
      </c>
      <c r="AI2410" s="77" t="b">
        <v>0</v>
      </c>
      <c r="AJ2410" s="77"/>
      <c r="AK2410" s="77"/>
      <c r="AL2410" s="77"/>
      <c r="AM2410" s="77"/>
      <c r="AN2410" s="77"/>
      <c r="AO2410" s="77"/>
      <c r="AP2410" s="77"/>
      <c r="AQ2410" s="77"/>
      <c r="AR2410" s="77"/>
      <c r="AS2410" s="77"/>
      <c r="AT2410" s="77"/>
      <c r="AU2410" s="77"/>
      <c r="AV2410" s="80" t="str">
        <f>HYPERLINK("https://pbs.twimg.com/profile_images/1241147984924082183/gZgx_hL-_normal.jpg")</f>
        <v>https://pbs.twimg.com/profile_images/1241147984924082183/gZgx_hL-_normal.jpg</v>
      </c>
      <c r="AW2410" s="82" t="s">
        <v>14006</v>
      </c>
      <c r="AX2410" s="82" t="s">
        <v>14006</v>
      </c>
      <c r="AY2410" s="77"/>
      <c r="AZ2410" s="82" t="s">
        <v>15984</v>
      </c>
      <c r="BA2410" s="82" t="s">
        <v>15984</v>
      </c>
      <c r="BB2410" s="82" t="s">
        <v>15984</v>
      </c>
      <c r="BC2410" s="82" t="s">
        <v>14006</v>
      </c>
      <c r="BD2410" s="82" t="s">
        <v>15979</v>
      </c>
      <c r="BE2410" s="77"/>
      <c r="BF2410" s="77"/>
      <c r="BG2410" s="77"/>
      <c r="BH2410" s="77"/>
      <c r="BI2410" s="77"/>
    </row>
    <row r="2411" spans="1:61" x14ac:dyDescent="0.25">
      <c r="A2411" s="62" t="s">
        <v>387</v>
      </c>
      <c r="B2411" s="62" t="s">
        <v>387</v>
      </c>
      <c r="C2411" s="63"/>
      <c r="D2411" s="64"/>
      <c r="E2411" s="65"/>
      <c r="F2411" s="66"/>
      <c r="G2411" s="63"/>
      <c r="H2411" s="67"/>
      <c r="I2411" s="68"/>
      <c r="J2411" s="68"/>
      <c r="K2411" s="32"/>
      <c r="L2411" s="75">
        <v>2411</v>
      </c>
      <c r="M2411" s="75"/>
      <c r="N2411" s="70"/>
      <c r="O2411" s="77" t="s">
        <v>179</v>
      </c>
      <c r="P2411" s="79">
        <v>45148</v>
      </c>
      <c r="Q2411" s="77" t="s">
        <v>3083</v>
      </c>
      <c r="R2411" s="77">
        <v>0</v>
      </c>
      <c r="S2411" s="77">
        <v>1</v>
      </c>
      <c r="T2411" s="77">
        <v>0</v>
      </c>
      <c r="U2411" s="77">
        <v>0</v>
      </c>
      <c r="V2411" s="77">
        <v>555</v>
      </c>
      <c r="W2411" s="82" t="s">
        <v>4833</v>
      </c>
      <c r="X2411" s="80" t="str">
        <f>HYPERLINK("https://mla.bs/6ee1ae6d")</f>
        <v>https://mla.bs/6ee1ae6d</v>
      </c>
      <c r="Y2411" s="77" t="s">
        <v>6506</v>
      </c>
      <c r="Z2411" s="77"/>
      <c r="AA2411" s="77"/>
      <c r="AB2411" s="77"/>
      <c r="AC2411" s="82" t="s">
        <v>7754</v>
      </c>
      <c r="AD2411" s="77" t="s">
        <v>7788</v>
      </c>
      <c r="AE2411" s="80" t="str">
        <f>HYPERLINK("https://twitter.com/einvestidor/status/1689426333070409729")</f>
        <v>https://twitter.com/einvestidor/status/1689426333070409729</v>
      </c>
      <c r="AF2411" s="79">
        <v>45148</v>
      </c>
      <c r="AG2411" s="85">
        <v>45148</v>
      </c>
      <c r="AH2411" s="82" t="s">
        <v>9300</v>
      </c>
      <c r="AI2411" s="77" t="b">
        <v>0</v>
      </c>
      <c r="AJ2411" s="77"/>
      <c r="AK2411" s="77"/>
      <c r="AL2411" s="77"/>
      <c r="AM2411" s="77"/>
      <c r="AN2411" s="77"/>
      <c r="AO2411" s="77"/>
      <c r="AP2411" s="77"/>
      <c r="AQ2411" s="77"/>
      <c r="AR2411" s="77"/>
      <c r="AS2411" s="77"/>
      <c r="AT2411" s="77"/>
      <c r="AU2411" s="77"/>
      <c r="AV2411" s="80" t="str">
        <f>HYPERLINK("https://pbs.twimg.com/profile_images/1241147984924082183/gZgx_hL-_normal.jpg")</f>
        <v>https://pbs.twimg.com/profile_images/1241147984924082183/gZgx_hL-_normal.jpg</v>
      </c>
      <c r="AW2411" s="82" t="s">
        <v>14007</v>
      </c>
      <c r="AX2411" s="82" t="s">
        <v>14007</v>
      </c>
      <c r="AY2411" s="77"/>
      <c r="AZ2411" s="82" t="s">
        <v>15984</v>
      </c>
      <c r="BA2411" s="82" t="s">
        <v>15984</v>
      </c>
      <c r="BB2411" s="82" t="s">
        <v>15984</v>
      </c>
      <c r="BC2411" s="82" t="s">
        <v>14007</v>
      </c>
      <c r="BD2411" s="82" t="s">
        <v>15979</v>
      </c>
      <c r="BE2411" s="77"/>
      <c r="BF2411" s="77"/>
      <c r="BG2411" s="77"/>
      <c r="BH2411" s="77"/>
      <c r="BI2411" s="77"/>
    </row>
    <row r="2412" spans="1:61" x14ac:dyDescent="0.25">
      <c r="A2412" s="62" t="s">
        <v>387</v>
      </c>
      <c r="B2412" s="62" t="s">
        <v>387</v>
      </c>
      <c r="C2412" s="63"/>
      <c r="D2412" s="64"/>
      <c r="E2412" s="65"/>
      <c r="F2412" s="66"/>
      <c r="G2412" s="63"/>
      <c r="H2412" s="67"/>
      <c r="I2412" s="68"/>
      <c r="J2412" s="68"/>
      <c r="K2412" s="32"/>
      <c r="L2412" s="75">
        <v>2412</v>
      </c>
      <c r="M2412" s="75"/>
      <c r="N2412" s="70"/>
      <c r="O2412" s="77" t="s">
        <v>179</v>
      </c>
      <c r="P2412" s="79">
        <v>45147.989583333336</v>
      </c>
      <c r="Q2412" s="77" t="s">
        <v>3084</v>
      </c>
      <c r="R2412" s="77">
        <v>0</v>
      </c>
      <c r="S2412" s="77">
        <v>2</v>
      </c>
      <c r="T2412" s="77">
        <v>0</v>
      </c>
      <c r="U2412" s="77">
        <v>0</v>
      </c>
      <c r="V2412" s="77">
        <v>602</v>
      </c>
      <c r="W2412" s="82" t="s">
        <v>4833</v>
      </c>
      <c r="X2412" s="80" t="str">
        <f>HYPERLINK("https://mla.bs/9d4e5b48")</f>
        <v>https://mla.bs/9d4e5b48</v>
      </c>
      <c r="Y2412" s="77" t="s">
        <v>6506</v>
      </c>
      <c r="Z2412" s="77"/>
      <c r="AA2412" s="77"/>
      <c r="AB2412" s="77"/>
      <c r="AC2412" s="82" t="s">
        <v>7754</v>
      </c>
      <c r="AD2412" s="77" t="s">
        <v>7788</v>
      </c>
      <c r="AE2412" s="80" t="str">
        <f>HYPERLINK("https://twitter.com/einvestidor/status/1689422557391286274")</f>
        <v>https://twitter.com/einvestidor/status/1689422557391286274</v>
      </c>
      <c r="AF2412" s="79">
        <v>45147.989583333336</v>
      </c>
      <c r="AG2412" s="85">
        <v>45147</v>
      </c>
      <c r="AH2412" s="82" t="s">
        <v>9620</v>
      </c>
      <c r="AI2412" s="77" t="b">
        <v>0</v>
      </c>
      <c r="AJ2412" s="77"/>
      <c r="AK2412" s="77"/>
      <c r="AL2412" s="77"/>
      <c r="AM2412" s="77"/>
      <c r="AN2412" s="77"/>
      <c r="AO2412" s="77"/>
      <c r="AP2412" s="77"/>
      <c r="AQ2412" s="77"/>
      <c r="AR2412" s="77"/>
      <c r="AS2412" s="77"/>
      <c r="AT2412" s="77"/>
      <c r="AU2412" s="77"/>
      <c r="AV2412" s="80" t="str">
        <f>HYPERLINK("https://pbs.twimg.com/profile_images/1241147984924082183/gZgx_hL-_normal.jpg")</f>
        <v>https://pbs.twimg.com/profile_images/1241147984924082183/gZgx_hL-_normal.jpg</v>
      </c>
      <c r="AW2412" s="82" t="s">
        <v>14008</v>
      </c>
      <c r="AX2412" s="82" t="s">
        <v>14008</v>
      </c>
      <c r="AY2412" s="77"/>
      <c r="AZ2412" s="82" t="s">
        <v>15984</v>
      </c>
      <c r="BA2412" s="82" t="s">
        <v>15984</v>
      </c>
      <c r="BB2412" s="82" t="s">
        <v>15984</v>
      </c>
      <c r="BC2412" s="82" t="s">
        <v>14008</v>
      </c>
      <c r="BD2412" s="82" t="s">
        <v>15979</v>
      </c>
      <c r="BE2412" s="77"/>
      <c r="BF2412" s="77"/>
      <c r="BG2412" s="77"/>
      <c r="BH2412" s="77"/>
      <c r="BI2412" s="77"/>
    </row>
    <row r="2413" spans="1:61" x14ac:dyDescent="0.25">
      <c r="A2413" s="62" t="s">
        <v>387</v>
      </c>
      <c r="B2413" s="62" t="s">
        <v>387</v>
      </c>
      <c r="C2413" s="63"/>
      <c r="D2413" s="64"/>
      <c r="E2413" s="65"/>
      <c r="F2413" s="66"/>
      <c r="G2413" s="63"/>
      <c r="H2413" s="67"/>
      <c r="I2413" s="68"/>
      <c r="J2413" s="68"/>
      <c r="K2413" s="32"/>
      <c r="L2413" s="75">
        <v>2413</v>
      </c>
      <c r="M2413" s="75"/>
      <c r="N2413" s="70"/>
      <c r="O2413" s="77" t="s">
        <v>179</v>
      </c>
      <c r="P2413" s="79">
        <v>45147.979166666664</v>
      </c>
      <c r="Q2413" s="77" t="s">
        <v>3085</v>
      </c>
      <c r="R2413" s="77">
        <v>0</v>
      </c>
      <c r="S2413" s="77">
        <v>2</v>
      </c>
      <c r="T2413" s="77">
        <v>0</v>
      </c>
      <c r="U2413" s="77">
        <v>0</v>
      </c>
      <c r="V2413" s="77">
        <v>665</v>
      </c>
      <c r="W2413" s="82" t="s">
        <v>6006</v>
      </c>
      <c r="X2413" s="80" t="str">
        <f>HYPERLINK("https://mla.bs/741ad71a")</f>
        <v>https://mla.bs/741ad71a</v>
      </c>
      <c r="Y2413" s="77" t="s">
        <v>6506</v>
      </c>
      <c r="Z2413" s="77"/>
      <c r="AA2413" s="77"/>
      <c r="AB2413" s="77"/>
      <c r="AC2413" s="82" t="s">
        <v>7754</v>
      </c>
      <c r="AD2413" s="77" t="s">
        <v>7788</v>
      </c>
      <c r="AE2413" s="80" t="str">
        <f>HYPERLINK("https://twitter.com/einvestidor/status/1689418782807359490")</f>
        <v>https://twitter.com/einvestidor/status/1689418782807359490</v>
      </c>
      <c r="AF2413" s="79">
        <v>45147.979166666664</v>
      </c>
      <c r="AG2413" s="85">
        <v>45147</v>
      </c>
      <c r="AH2413" s="82" t="s">
        <v>7928</v>
      </c>
      <c r="AI2413" s="77" t="b">
        <v>0</v>
      </c>
      <c r="AJ2413" s="77"/>
      <c r="AK2413" s="77"/>
      <c r="AL2413" s="77"/>
      <c r="AM2413" s="77"/>
      <c r="AN2413" s="77"/>
      <c r="AO2413" s="77"/>
      <c r="AP2413" s="77"/>
      <c r="AQ2413" s="77"/>
      <c r="AR2413" s="77"/>
      <c r="AS2413" s="77"/>
      <c r="AT2413" s="77"/>
      <c r="AU2413" s="77"/>
      <c r="AV2413" s="80" t="str">
        <f>HYPERLINK("https://pbs.twimg.com/profile_images/1241147984924082183/gZgx_hL-_normal.jpg")</f>
        <v>https://pbs.twimg.com/profile_images/1241147984924082183/gZgx_hL-_normal.jpg</v>
      </c>
      <c r="AW2413" s="82" t="s">
        <v>14009</v>
      </c>
      <c r="AX2413" s="82" t="s">
        <v>14009</v>
      </c>
      <c r="AY2413" s="77"/>
      <c r="AZ2413" s="82" t="s">
        <v>15984</v>
      </c>
      <c r="BA2413" s="82" t="s">
        <v>15984</v>
      </c>
      <c r="BB2413" s="82" t="s">
        <v>15984</v>
      </c>
      <c r="BC2413" s="82" t="s">
        <v>14009</v>
      </c>
      <c r="BD2413" s="82" t="s">
        <v>15979</v>
      </c>
      <c r="BE2413" s="77"/>
      <c r="BF2413" s="77"/>
      <c r="BG2413" s="77"/>
      <c r="BH2413" s="77"/>
      <c r="BI2413" s="77"/>
    </row>
    <row r="2414" spans="1:61" x14ac:dyDescent="0.25">
      <c r="A2414" s="62" t="s">
        <v>387</v>
      </c>
      <c r="B2414" s="62" t="s">
        <v>387</v>
      </c>
      <c r="C2414" s="63"/>
      <c r="D2414" s="64"/>
      <c r="E2414" s="65"/>
      <c r="F2414" s="66"/>
      <c r="G2414" s="63"/>
      <c r="H2414" s="67"/>
      <c r="I2414" s="68"/>
      <c r="J2414" s="68"/>
      <c r="K2414" s="32"/>
      <c r="L2414" s="75">
        <v>2414</v>
      </c>
      <c r="M2414" s="75"/>
      <c r="N2414" s="70"/>
      <c r="O2414" s="77" t="s">
        <v>179</v>
      </c>
      <c r="P2414" s="79">
        <v>45147.96875</v>
      </c>
      <c r="Q2414" s="77" t="s">
        <v>3086</v>
      </c>
      <c r="R2414" s="77">
        <v>0</v>
      </c>
      <c r="S2414" s="77">
        <v>1</v>
      </c>
      <c r="T2414" s="77">
        <v>0</v>
      </c>
      <c r="U2414" s="77">
        <v>0</v>
      </c>
      <c r="V2414" s="77">
        <v>579</v>
      </c>
      <c r="W2414" s="82" t="s">
        <v>4833</v>
      </c>
      <c r="X2414" s="80" t="str">
        <f>HYPERLINK("https://mla.bs/b03093d6")</f>
        <v>https://mla.bs/b03093d6</v>
      </c>
      <c r="Y2414" s="77" t="s">
        <v>6506</v>
      </c>
      <c r="Z2414" s="77"/>
      <c r="AA2414" s="77"/>
      <c r="AB2414" s="77"/>
      <c r="AC2414" s="82" t="s">
        <v>7754</v>
      </c>
      <c r="AD2414" s="77" t="s">
        <v>7788</v>
      </c>
      <c r="AE2414" s="80" t="str">
        <f>HYPERLINK("https://twitter.com/einvestidor/status/1689415007300210689")</f>
        <v>https://twitter.com/einvestidor/status/1689415007300210689</v>
      </c>
      <c r="AF2414" s="79">
        <v>45147.96875</v>
      </c>
      <c r="AG2414" s="85">
        <v>45147</v>
      </c>
      <c r="AH2414" s="82" t="s">
        <v>9621</v>
      </c>
      <c r="AI2414" s="77" t="b">
        <v>0</v>
      </c>
      <c r="AJ2414" s="77"/>
      <c r="AK2414" s="77"/>
      <c r="AL2414" s="77"/>
      <c r="AM2414" s="77"/>
      <c r="AN2414" s="77"/>
      <c r="AO2414" s="77"/>
      <c r="AP2414" s="77"/>
      <c r="AQ2414" s="77"/>
      <c r="AR2414" s="77"/>
      <c r="AS2414" s="77"/>
      <c r="AT2414" s="77"/>
      <c r="AU2414" s="77"/>
      <c r="AV2414" s="80" t="str">
        <f>HYPERLINK("https://pbs.twimg.com/profile_images/1241147984924082183/gZgx_hL-_normal.jpg")</f>
        <v>https://pbs.twimg.com/profile_images/1241147984924082183/gZgx_hL-_normal.jpg</v>
      </c>
      <c r="AW2414" s="82" t="s">
        <v>14010</v>
      </c>
      <c r="AX2414" s="82" t="s">
        <v>14010</v>
      </c>
      <c r="AY2414" s="77"/>
      <c r="AZ2414" s="82" t="s">
        <v>15984</v>
      </c>
      <c r="BA2414" s="82" t="s">
        <v>15984</v>
      </c>
      <c r="BB2414" s="82" t="s">
        <v>15984</v>
      </c>
      <c r="BC2414" s="82" t="s">
        <v>14010</v>
      </c>
      <c r="BD2414" s="82" t="s">
        <v>15979</v>
      </c>
      <c r="BE2414" s="77"/>
      <c r="BF2414" s="77"/>
      <c r="BG2414" s="77"/>
      <c r="BH2414" s="77"/>
      <c r="BI2414" s="77"/>
    </row>
    <row r="2415" spans="1:61" x14ac:dyDescent="0.25">
      <c r="A2415" s="62" t="s">
        <v>387</v>
      </c>
      <c r="B2415" s="62" t="s">
        <v>387</v>
      </c>
      <c r="C2415" s="63"/>
      <c r="D2415" s="64"/>
      <c r="E2415" s="65"/>
      <c r="F2415" s="66"/>
      <c r="G2415" s="63"/>
      <c r="H2415" s="67"/>
      <c r="I2415" s="68"/>
      <c r="J2415" s="68"/>
      <c r="K2415" s="32"/>
      <c r="L2415" s="75">
        <v>2415</v>
      </c>
      <c r="M2415" s="75"/>
      <c r="N2415" s="70"/>
      <c r="O2415" s="77" t="s">
        <v>179</v>
      </c>
      <c r="P2415" s="79">
        <v>45147.958333333336</v>
      </c>
      <c r="Q2415" s="77" t="s">
        <v>3087</v>
      </c>
      <c r="R2415" s="77">
        <v>0</v>
      </c>
      <c r="S2415" s="77">
        <v>2</v>
      </c>
      <c r="T2415" s="77">
        <v>0</v>
      </c>
      <c r="U2415" s="77">
        <v>0</v>
      </c>
      <c r="V2415" s="77">
        <v>575</v>
      </c>
      <c r="W2415" s="82" t="s">
        <v>4833</v>
      </c>
      <c r="X2415" s="80" t="str">
        <f>HYPERLINK("https://mla.bs/090e44f9")</f>
        <v>https://mla.bs/090e44f9</v>
      </c>
      <c r="Y2415" s="77" t="s">
        <v>6506</v>
      </c>
      <c r="Z2415" s="77"/>
      <c r="AA2415" s="77"/>
      <c r="AB2415" s="77"/>
      <c r="AC2415" s="82" t="s">
        <v>7754</v>
      </c>
      <c r="AD2415" s="77" t="s">
        <v>7788</v>
      </c>
      <c r="AE2415" s="80" t="str">
        <f>HYPERLINK("https://twitter.com/einvestidor/status/1689411234515267585")</f>
        <v>https://twitter.com/einvestidor/status/1689411234515267585</v>
      </c>
      <c r="AF2415" s="79">
        <v>45147.958333333336</v>
      </c>
      <c r="AG2415" s="85">
        <v>45147</v>
      </c>
      <c r="AH2415" s="82" t="s">
        <v>8279</v>
      </c>
      <c r="AI2415" s="77" t="b">
        <v>0</v>
      </c>
      <c r="AJ2415" s="77"/>
      <c r="AK2415" s="77"/>
      <c r="AL2415" s="77"/>
      <c r="AM2415" s="77"/>
      <c r="AN2415" s="77"/>
      <c r="AO2415" s="77"/>
      <c r="AP2415" s="77"/>
      <c r="AQ2415" s="77"/>
      <c r="AR2415" s="77"/>
      <c r="AS2415" s="77"/>
      <c r="AT2415" s="77"/>
      <c r="AU2415" s="77"/>
      <c r="AV2415" s="80" t="str">
        <f>HYPERLINK("https://pbs.twimg.com/profile_images/1241147984924082183/gZgx_hL-_normal.jpg")</f>
        <v>https://pbs.twimg.com/profile_images/1241147984924082183/gZgx_hL-_normal.jpg</v>
      </c>
      <c r="AW2415" s="82" t="s">
        <v>14011</v>
      </c>
      <c r="AX2415" s="82" t="s">
        <v>14011</v>
      </c>
      <c r="AY2415" s="77"/>
      <c r="AZ2415" s="82" t="s">
        <v>15984</v>
      </c>
      <c r="BA2415" s="82" t="s">
        <v>15984</v>
      </c>
      <c r="BB2415" s="82" t="s">
        <v>15984</v>
      </c>
      <c r="BC2415" s="82" t="s">
        <v>14011</v>
      </c>
      <c r="BD2415" s="82" t="s">
        <v>15979</v>
      </c>
      <c r="BE2415" s="77"/>
      <c r="BF2415" s="77"/>
      <c r="BG2415" s="77"/>
      <c r="BH2415" s="77"/>
      <c r="BI2415" s="77"/>
    </row>
    <row r="2416" spans="1:61" x14ac:dyDescent="0.25">
      <c r="A2416" s="62" t="s">
        <v>387</v>
      </c>
      <c r="B2416" s="62" t="s">
        <v>387</v>
      </c>
      <c r="C2416" s="63"/>
      <c r="D2416" s="64"/>
      <c r="E2416" s="65"/>
      <c r="F2416" s="66"/>
      <c r="G2416" s="63"/>
      <c r="H2416" s="67"/>
      <c r="I2416" s="68"/>
      <c r="J2416" s="68"/>
      <c r="K2416" s="32"/>
      <c r="L2416" s="75">
        <v>2416</v>
      </c>
      <c r="M2416" s="75"/>
      <c r="N2416" s="70"/>
      <c r="O2416" s="77" t="s">
        <v>179</v>
      </c>
      <c r="P2416" s="79">
        <v>45147.947916666664</v>
      </c>
      <c r="Q2416" s="77" t="s">
        <v>3088</v>
      </c>
      <c r="R2416" s="77">
        <v>0</v>
      </c>
      <c r="S2416" s="77">
        <v>2</v>
      </c>
      <c r="T2416" s="77">
        <v>0</v>
      </c>
      <c r="U2416" s="77">
        <v>0</v>
      </c>
      <c r="V2416" s="77">
        <v>943</v>
      </c>
      <c r="W2416" s="82" t="s">
        <v>4833</v>
      </c>
      <c r="X2416" s="80" t="str">
        <f>HYPERLINK("https://mla.bs/68778c73")</f>
        <v>https://mla.bs/68778c73</v>
      </c>
      <c r="Y2416" s="77" t="s">
        <v>6506</v>
      </c>
      <c r="Z2416" s="77"/>
      <c r="AA2416" s="77"/>
      <c r="AB2416" s="77"/>
      <c r="AC2416" s="82" t="s">
        <v>7754</v>
      </c>
      <c r="AD2416" s="77" t="s">
        <v>7788</v>
      </c>
      <c r="AE2416" s="80" t="str">
        <f>HYPERLINK("https://twitter.com/einvestidor/status/1689407457708142592")</f>
        <v>https://twitter.com/einvestidor/status/1689407457708142592</v>
      </c>
      <c r="AF2416" s="79">
        <v>45147.947916666664</v>
      </c>
      <c r="AG2416" s="85">
        <v>45147</v>
      </c>
      <c r="AH2416" s="82" t="s">
        <v>9595</v>
      </c>
      <c r="AI2416" s="77" t="b">
        <v>0</v>
      </c>
      <c r="AJ2416" s="77"/>
      <c r="AK2416" s="77"/>
      <c r="AL2416" s="77"/>
      <c r="AM2416" s="77"/>
      <c r="AN2416" s="77"/>
      <c r="AO2416" s="77"/>
      <c r="AP2416" s="77"/>
      <c r="AQ2416" s="77"/>
      <c r="AR2416" s="77"/>
      <c r="AS2416" s="77"/>
      <c r="AT2416" s="77"/>
      <c r="AU2416" s="77"/>
      <c r="AV2416" s="80" t="str">
        <f>HYPERLINK("https://pbs.twimg.com/profile_images/1241147984924082183/gZgx_hL-_normal.jpg")</f>
        <v>https://pbs.twimg.com/profile_images/1241147984924082183/gZgx_hL-_normal.jpg</v>
      </c>
      <c r="AW2416" s="82" t="s">
        <v>14012</v>
      </c>
      <c r="AX2416" s="82" t="s">
        <v>14012</v>
      </c>
      <c r="AY2416" s="77"/>
      <c r="AZ2416" s="82" t="s">
        <v>15984</v>
      </c>
      <c r="BA2416" s="82" t="s">
        <v>15984</v>
      </c>
      <c r="BB2416" s="82" t="s">
        <v>15984</v>
      </c>
      <c r="BC2416" s="82" t="s">
        <v>14012</v>
      </c>
      <c r="BD2416" s="82" t="s">
        <v>15979</v>
      </c>
      <c r="BE2416" s="77"/>
      <c r="BF2416" s="77"/>
      <c r="BG2416" s="77"/>
      <c r="BH2416" s="77"/>
      <c r="BI2416" s="77"/>
    </row>
    <row r="2417" spans="1:61" x14ac:dyDescent="0.25">
      <c r="A2417" s="62" t="s">
        <v>387</v>
      </c>
      <c r="B2417" s="62" t="s">
        <v>387</v>
      </c>
      <c r="C2417" s="63"/>
      <c r="D2417" s="64"/>
      <c r="E2417" s="65"/>
      <c r="F2417" s="66"/>
      <c r="G2417" s="63"/>
      <c r="H2417" s="67"/>
      <c r="I2417" s="68"/>
      <c r="J2417" s="68"/>
      <c r="K2417" s="32"/>
      <c r="L2417" s="75">
        <v>2417</v>
      </c>
      <c r="M2417" s="75"/>
      <c r="N2417" s="70"/>
      <c r="O2417" s="77" t="s">
        <v>179</v>
      </c>
      <c r="P2417" s="79">
        <v>45147.9375</v>
      </c>
      <c r="Q2417" s="77" t="s">
        <v>3089</v>
      </c>
      <c r="R2417" s="77">
        <v>0</v>
      </c>
      <c r="S2417" s="77">
        <v>1</v>
      </c>
      <c r="T2417" s="77">
        <v>0</v>
      </c>
      <c r="U2417" s="77">
        <v>0</v>
      </c>
      <c r="V2417" s="77">
        <v>544</v>
      </c>
      <c r="W2417" s="82" t="s">
        <v>4833</v>
      </c>
      <c r="X2417" s="80" t="str">
        <f>HYPERLINK("https://mla.bs/37d52890")</f>
        <v>https://mla.bs/37d52890</v>
      </c>
      <c r="Y2417" s="77" t="s">
        <v>6506</v>
      </c>
      <c r="Z2417" s="77"/>
      <c r="AA2417" s="77"/>
      <c r="AB2417" s="77"/>
      <c r="AC2417" s="82" t="s">
        <v>7754</v>
      </c>
      <c r="AD2417" s="77" t="s">
        <v>7788</v>
      </c>
      <c r="AE2417" s="80" t="str">
        <f>HYPERLINK("https://twitter.com/einvestidor/status/1689403683748933632")</f>
        <v>https://twitter.com/einvestidor/status/1689403683748933632</v>
      </c>
      <c r="AF2417" s="79">
        <v>45147.9375</v>
      </c>
      <c r="AG2417" s="85">
        <v>45147</v>
      </c>
      <c r="AH2417" s="82" t="s">
        <v>7926</v>
      </c>
      <c r="AI2417" s="77" t="b">
        <v>0</v>
      </c>
      <c r="AJ2417" s="77"/>
      <c r="AK2417" s="77"/>
      <c r="AL2417" s="77"/>
      <c r="AM2417" s="77"/>
      <c r="AN2417" s="77"/>
      <c r="AO2417" s="77"/>
      <c r="AP2417" s="77"/>
      <c r="AQ2417" s="77"/>
      <c r="AR2417" s="77"/>
      <c r="AS2417" s="77"/>
      <c r="AT2417" s="77"/>
      <c r="AU2417" s="77"/>
      <c r="AV2417" s="80" t="str">
        <f>HYPERLINK("https://pbs.twimg.com/profile_images/1241147984924082183/gZgx_hL-_normal.jpg")</f>
        <v>https://pbs.twimg.com/profile_images/1241147984924082183/gZgx_hL-_normal.jpg</v>
      </c>
      <c r="AW2417" s="82" t="s">
        <v>14013</v>
      </c>
      <c r="AX2417" s="82" t="s">
        <v>14013</v>
      </c>
      <c r="AY2417" s="77"/>
      <c r="AZ2417" s="82" t="s">
        <v>15984</v>
      </c>
      <c r="BA2417" s="82" t="s">
        <v>15984</v>
      </c>
      <c r="BB2417" s="82" t="s">
        <v>15984</v>
      </c>
      <c r="BC2417" s="82" t="s">
        <v>14013</v>
      </c>
      <c r="BD2417" s="82" t="s">
        <v>15979</v>
      </c>
      <c r="BE2417" s="77"/>
      <c r="BF2417" s="77"/>
      <c r="BG2417" s="77"/>
      <c r="BH2417" s="77"/>
      <c r="BI2417" s="77"/>
    </row>
    <row r="2418" spans="1:61" x14ac:dyDescent="0.25">
      <c r="A2418" s="62" t="s">
        <v>387</v>
      </c>
      <c r="B2418" s="62" t="s">
        <v>387</v>
      </c>
      <c r="C2418" s="63"/>
      <c r="D2418" s="64"/>
      <c r="E2418" s="65"/>
      <c r="F2418" s="66"/>
      <c r="G2418" s="63"/>
      <c r="H2418" s="67"/>
      <c r="I2418" s="68"/>
      <c r="J2418" s="68"/>
      <c r="K2418" s="32"/>
      <c r="L2418" s="75">
        <v>2418</v>
      </c>
      <c r="M2418" s="75"/>
      <c r="N2418" s="70"/>
      <c r="O2418" s="77" t="s">
        <v>179</v>
      </c>
      <c r="P2418" s="79">
        <v>45147.927083333336</v>
      </c>
      <c r="Q2418" s="77" t="s">
        <v>3090</v>
      </c>
      <c r="R2418" s="77">
        <v>0</v>
      </c>
      <c r="S2418" s="77">
        <v>1</v>
      </c>
      <c r="T2418" s="77">
        <v>0</v>
      </c>
      <c r="U2418" s="77">
        <v>0</v>
      </c>
      <c r="V2418" s="77">
        <v>487</v>
      </c>
      <c r="W2418" s="82" t="s">
        <v>4833</v>
      </c>
      <c r="X2418" s="80" t="str">
        <f>HYPERLINK("https://mla.bs/989cd349")</f>
        <v>https://mla.bs/989cd349</v>
      </c>
      <c r="Y2418" s="77" t="s">
        <v>6506</v>
      </c>
      <c r="Z2418" s="77"/>
      <c r="AA2418" s="77"/>
      <c r="AB2418" s="77"/>
      <c r="AC2418" s="82" t="s">
        <v>7754</v>
      </c>
      <c r="AD2418" s="77" t="s">
        <v>7788</v>
      </c>
      <c r="AE2418" s="80" t="str">
        <f>HYPERLINK("https://twitter.com/einvestidor/status/1689399908279750661")</f>
        <v>https://twitter.com/einvestidor/status/1689399908279750661</v>
      </c>
      <c r="AF2418" s="79">
        <v>45147.927083333336</v>
      </c>
      <c r="AG2418" s="85">
        <v>45147</v>
      </c>
      <c r="AH2418" s="82" t="s">
        <v>9576</v>
      </c>
      <c r="AI2418" s="77" t="b">
        <v>0</v>
      </c>
      <c r="AJ2418" s="77"/>
      <c r="AK2418" s="77"/>
      <c r="AL2418" s="77"/>
      <c r="AM2418" s="77"/>
      <c r="AN2418" s="77"/>
      <c r="AO2418" s="77"/>
      <c r="AP2418" s="77"/>
      <c r="AQ2418" s="77"/>
      <c r="AR2418" s="77"/>
      <c r="AS2418" s="77"/>
      <c r="AT2418" s="77"/>
      <c r="AU2418" s="77"/>
      <c r="AV2418" s="80" t="str">
        <f>HYPERLINK("https://pbs.twimg.com/profile_images/1241147984924082183/gZgx_hL-_normal.jpg")</f>
        <v>https://pbs.twimg.com/profile_images/1241147984924082183/gZgx_hL-_normal.jpg</v>
      </c>
      <c r="AW2418" s="82" t="s">
        <v>14014</v>
      </c>
      <c r="AX2418" s="82" t="s">
        <v>14014</v>
      </c>
      <c r="AY2418" s="77"/>
      <c r="AZ2418" s="82" t="s">
        <v>15984</v>
      </c>
      <c r="BA2418" s="82" t="s">
        <v>15984</v>
      </c>
      <c r="BB2418" s="82" t="s">
        <v>15984</v>
      </c>
      <c r="BC2418" s="82" t="s">
        <v>14014</v>
      </c>
      <c r="BD2418" s="82" t="s">
        <v>15979</v>
      </c>
      <c r="BE2418" s="77"/>
      <c r="BF2418" s="77"/>
      <c r="BG2418" s="77"/>
      <c r="BH2418" s="77"/>
      <c r="BI2418" s="77"/>
    </row>
    <row r="2419" spans="1:61" x14ac:dyDescent="0.25">
      <c r="A2419" s="62" t="s">
        <v>387</v>
      </c>
      <c r="B2419" s="62" t="s">
        <v>387</v>
      </c>
      <c r="C2419" s="63"/>
      <c r="D2419" s="64"/>
      <c r="E2419" s="65"/>
      <c r="F2419" s="66"/>
      <c r="G2419" s="63"/>
      <c r="H2419" s="67"/>
      <c r="I2419" s="68"/>
      <c r="J2419" s="68"/>
      <c r="K2419" s="32"/>
      <c r="L2419" s="75">
        <v>2419</v>
      </c>
      <c r="M2419" s="75"/>
      <c r="N2419" s="70"/>
      <c r="O2419" s="77" t="s">
        <v>179</v>
      </c>
      <c r="P2419" s="79">
        <v>45147.916666666664</v>
      </c>
      <c r="Q2419" s="77" t="s">
        <v>3091</v>
      </c>
      <c r="R2419" s="77">
        <v>0</v>
      </c>
      <c r="S2419" s="77">
        <v>2</v>
      </c>
      <c r="T2419" s="77">
        <v>0</v>
      </c>
      <c r="U2419" s="77">
        <v>0</v>
      </c>
      <c r="V2419" s="77">
        <v>571</v>
      </c>
      <c r="W2419" s="82" t="s">
        <v>6007</v>
      </c>
      <c r="X2419" s="80" t="str">
        <f>HYPERLINK("https://mla.bs/469163cd")</f>
        <v>https://mla.bs/469163cd</v>
      </c>
      <c r="Y2419" s="77" t="s">
        <v>6506</v>
      </c>
      <c r="Z2419" s="77"/>
      <c r="AA2419" s="77"/>
      <c r="AB2419" s="77"/>
      <c r="AC2419" s="82" t="s">
        <v>7754</v>
      </c>
      <c r="AD2419" s="77" t="s">
        <v>7788</v>
      </c>
      <c r="AE2419" s="80" t="str">
        <f>HYPERLINK("https://twitter.com/einvestidor/status/1689396136065511424")</f>
        <v>https://twitter.com/einvestidor/status/1689396136065511424</v>
      </c>
      <c r="AF2419" s="79">
        <v>45147.916666666664</v>
      </c>
      <c r="AG2419" s="85">
        <v>45147</v>
      </c>
      <c r="AH2419" s="82" t="s">
        <v>9577</v>
      </c>
      <c r="AI2419" s="77" t="b">
        <v>0</v>
      </c>
      <c r="AJ2419" s="77"/>
      <c r="AK2419" s="77"/>
      <c r="AL2419" s="77"/>
      <c r="AM2419" s="77"/>
      <c r="AN2419" s="77"/>
      <c r="AO2419" s="77"/>
      <c r="AP2419" s="77"/>
      <c r="AQ2419" s="77"/>
      <c r="AR2419" s="77"/>
      <c r="AS2419" s="77"/>
      <c r="AT2419" s="77"/>
      <c r="AU2419" s="77"/>
      <c r="AV2419" s="80" t="str">
        <f>HYPERLINK("https://pbs.twimg.com/profile_images/1241147984924082183/gZgx_hL-_normal.jpg")</f>
        <v>https://pbs.twimg.com/profile_images/1241147984924082183/gZgx_hL-_normal.jpg</v>
      </c>
      <c r="AW2419" s="82" t="s">
        <v>14015</v>
      </c>
      <c r="AX2419" s="82" t="s">
        <v>14015</v>
      </c>
      <c r="AY2419" s="77"/>
      <c r="AZ2419" s="82" t="s">
        <v>15984</v>
      </c>
      <c r="BA2419" s="82" t="s">
        <v>15984</v>
      </c>
      <c r="BB2419" s="82" t="s">
        <v>15984</v>
      </c>
      <c r="BC2419" s="82" t="s">
        <v>14015</v>
      </c>
      <c r="BD2419" s="82" t="s">
        <v>15979</v>
      </c>
      <c r="BE2419" s="77"/>
      <c r="BF2419" s="77"/>
      <c r="BG2419" s="77"/>
      <c r="BH2419" s="77"/>
      <c r="BI2419" s="77"/>
    </row>
    <row r="2420" spans="1:61" x14ac:dyDescent="0.25">
      <c r="A2420" s="62" t="s">
        <v>387</v>
      </c>
      <c r="B2420" s="62" t="s">
        <v>387</v>
      </c>
      <c r="C2420" s="63"/>
      <c r="D2420" s="64"/>
      <c r="E2420" s="65"/>
      <c r="F2420" s="66"/>
      <c r="G2420" s="63"/>
      <c r="H2420" s="67"/>
      <c r="I2420" s="68"/>
      <c r="J2420" s="68"/>
      <c r="K2420" s="32"/>
      <c r="L2420" s="75">
        <v>2420</v>
      </c>
      <c r="M2420" s="75"/>
      <c r="N2420" s="70"/>
      <c r="O2420" s="77" t="s">
        <v>179</v>
      </c>
      <c r="P2420" s="79">
        <v>45147.90625</v>
      </c>
      <c r="Q2420" s="77" t="s">
        <v>3092</v>
      </c>
      <c r="R2420" s="77">
        <v>0</v>
      </c>
      <c r="S2420" s="77">
        <v>1</v>
      </c>
      <c r="T2420" s="77">
        <v>0</v>
      </c>
      <c r="U2420" s="77">
        <v>0</v>
      </c>
      <c r="V2420" s="77">
        <v>479</v>
      </c>
      <c r="W2420" s="82" t="s">
        <v>6008</v>
      </c>
      <c r="X2420" s="80" t="str">
        <f>HYPERLINK("https://mla.bs/05235950")</f>
        <v>https://mla.bs/05235950</v>
      </c>
      <c r="Y2420" s="77" t="s">
        <v>6506</v>
      </c>
      <c r="Z2420" s="77"/>
      <c r="AA2420" s="77"/>
      <c r="AB2420" s="77"/>
      <c r="AC2420" s="82" t="s">
        <v>7754</v>
      </c>
      <c r="AD2420" s="77" t="s">
        <v>7788</v>
      </c>
      <c r="AE2420" s="80" t="str">
        <f>HYPERLINK("https://twitter.com/einvestidor/status/1689392358087958528")</f>
        <v>https://twitter.com/einvestidor/status/1689392358087958528</v>
      </c>
      <c r="AF2420" s="79">
        <v>45147.90625</v>
      </c>
      <c r="AG2420" s="85">
        <v>45147</v>
      </c>
      <c r="AH2420" s="82" t="s">
        <v>9578</v>
      </c>
      <c r="AI2420" s="77" t="b">
        <v>0</v>
      </c>
      <c r="AJ2420" s="77"/>
      <c r="AK2420" s="77"/>
      <c r="AL2420" s="77"/>
      <c r="AM2420" s="77"/>
      <c r="AN2420" s="77"/>
      <c r="AO2420" s="77"/>
      <c r="AP2420" s="77"/>
      <c r="AQ2420" s="77"/>
      <c r="AR2420" s="77"/>
      <c r="AS2420" s="77"/>
      <c r="AT2420" s="77"/>
      <c r="AU2420" s="77"/>
      <c r="AV2420" s="80" t="str">
        <f>HYPERLINK("https://pbs.twimg.com/profile_images/1241147984924082183/gZgx_hL-_normal.jpg")</f>
        <v>https://pbs.twimg.com/profile_images/1241147984924082183/gZgx_hL-_normal.jpg</v>
      </c>
      <c r="AW2420" s="82" t="s">
        <v>14016</v>
      </c>
      <c r="AX2420" s="82" t="s">
        <v>14016</v>
      </c>
      <c r="AY2420" s="77"/>
      <c r="AZ2420" s="82" t="s">
        <v>15984</v>
      </c>
      <c r="BA2420" s="82" t="s">
        <v>15984</v>
      </c>
      <c r="BB2420" s="82" t="s">
        <v>15984</v>
      </c>
      <c r="BC2420" s="82" t="s">
        <v>14016</v>
      </c>
      <c r="BD2420" s="82" t="s">
        <v>15979</v>
      </c>
      <c r="BE2420" s="77"/>
      <c r="BF2420" s="77"/>
      <c r="BG2420" s="77"/>
      <c r="BH2420" s="77"/>
      <c r="BI2420" s="77"/>
    </row>
    <row r="2421" spans="1:61" x14ac:dyDescent="0.25">
      <c r="A2421" s="62" t="s">
        <v>387</v>
      </c>
      <c r="B2421" s="62" t="s">
        <v>387</v>
      </c>
      <c r="C2421" s="63"/>
      <c r="D2421" s="64"/>
      <c r="E2421" s="65"/>
      <c r="F2421" s="66"/>
      <c r="G2421" s="63"/>
      <c r="H2421" s="67"/>
      <c r="I2421" s="68"/>
      <c r="J2421" s="68"/>
      <c r="K2421" s="32"/>
      <c r="L2421" s="75">
        <v>2421</v>
      </c>
      <c r="M2421" s="75"/>
      <c r="N2421" s="70"/>
      <c r="O2421" s="77" t="s">
        <v>179</v>
      </c>
      <c r="P2421" s="79">
        <v>45147.895833333336</v>
      </c>
      <c r="Q2421" s="77" t="s">
        <v>3093</v>
      </c>
      <c r="R2421" s="77">
        <v>0</v>
      </c>
      <c r="S2421" s="77">
        <v>1</v>
      </c>
      <c r="T2421" s="77">
        <v>0</v>
      </c>
      <c r="U2421" s="77">
        <v>0</v>
      </c>
      <c r="V2421" s="77">
        <v>467</v>
      </c>
      <c r="W2421" s="82" t="s">
        <v>4833</v>
      </c>
      <c r="X2421" s="80" t="str">
        <f>HYPERLINK("https://mla.bs/92a87a16")</f>
        <v>https://mla.bs/92a87a16</v>
      </c>
      <c r="Y2421" s="77" t="s">
        <v>6506</v>
      </c>
      <c r="Z2421" s="77"/>
      <c r="AA2421" s="77"/>
      <c r="AB2421" s="77"/>
      <c r="AC2421" s="82" t="s">
        <v>7754</v>
      </c>
      <c r="AD2421" s="77" t="s">
        <v>7788</v>
      </c>
      <c r="AE2421" s="80" t="str">
        <f>HYPERLINK("https://twitter.com/einvestidor/status/1689388584179052544")</f>
        <v>https://twitter.com/einvestidor/status/1689388584179052544</v>
      </c>
      <c r="AF2421" s="79">
        <v>45147.895833333336</v>
      </c>
      <c r="AG2421" s="85">
        <v>45147</v>
      </c>
      <c r="AH2421" s="82" t="s">
        <v>8089</v>
      </c>
      <c r="AI2421" s="77" t="b">
        <v>0</v>
      </c>
      <c r="AJ2421" s="77"/>
      <c r="AK2421" s="77"/>
      <c r="AL2421" s="77"/>
      <c r="AM2421" s="77"/>
      <c r="AN2421" s="77"/>
      <c r="AO2421" s="77"/>
      <c r="AP2421" s="77"/>
      <c r="AQ2421" s="77"/>
      <c r="AR2421" s="77"/>
      <c r="AS2421" s="77"/>
      <c r="AT2421" s="77"/>
      <c r="AU2421" s="77"/>
      <c r="AV2421" s="80" t="str">
        <f>HYPERLINK("https://pbs.twimg.com/profile_images/1241147984924082183/gZgx_hL-_normal.jpg")</f>
        <v>https://pbs.twimg.com/profile_images/1241147984924082183/gZgx_hL-_normal.jpg</v>
      </c>
      <c r="AW2421" s="82" t="s">
        <v>14017</v>
      </c>
      <c r="AX2421" s="82" t="s">
        <v>14017</v>
      </c>
      <c r="AY2421" s="77"/>
      <c r="AZ2421" s="82" t="s">
        <v>15984</v>
      </c>
      <c r="BA2421" s="82" t="s">
        <v>15984</v>
      </c>
      <c r="BB2421" s="82" t="s">
        <v>15984</v>
      </c>
      <c r="BC2421" s="82" t="s">
        <v>14017</v>
      </c>
      <c r="BD2421" s="82" t="s">
        <v>15979</v>
      </c>
      <c r="BE2421" s="77"/>
      <c r="BF2421" s="77"/>
      <c r="BG2421" s="77"/>
      <c r="BH2421" s="77"/>
      <c r="BI2421" s="77"/>
    </row>
    <row r="2422" spans="1:61" x14ac:dyDescent="0.25">
      <c r="A2422" s="62" t="s">
        <v>387</v>
      </c>
      <c r="B2422" s="62" t="s">
        <v>387</v>
      </c>
      <c r="C2422" s="63"/>
      <c r="D2422" s="64"/>
      <c r="E2422" s="65"/>
      <c r="F2422" s="66"/>
      <c r="G2422" s="63"/>
      <c r="H2422" s="67"/>
      <c r="I2422" s="68"/>
      <c r="J2422" s="68"/>
      <c r="K2422" s="32"/>
      <c r="L2422" s="75">
        <v>2422</v>
      </c>
      <c r="M2422" s="75"/>
      <c r="N2422" s="70"/>
      <c r="O2422" s="77" t="s">
        <v>179</v>
      </c>
      <c r="P2422" s="79">
        <v>45139.947916666664</v>
      </c>
      <c r="Q2422" s="77" t="s">
        <v>3094</v>
      </c>
      <c r="R2422" s="77">
        <v>0</v>
      </c>
      <c r="S2422" s="77">
        <v>1</v>
      </c>
      <c r="T2422" s="77">
        <v>0</v>
      </c>
      <c r="U2422" s="77">
        <v>0</v>
      </c>
      <c r="V2422" s="77">
        <v>614</v>
      </c>
      <c r="W2422" s="82" t="s">
        <v>4833</v>
      </c>
      <c r="X2422" s="80" t="str">
        <f>HYPERLINK("https://mla.bs/d53752c8")</f>
        <v>https://mla.bs/d53752c8</v>
      </c>
      <c r="Y2422" s="77" t="s">
        <v>6506</v>
      </c>
      <c r="Z2422" s="77"/>
      <c r="AA2422" s="77"/>
      <c r="AB2422" s="77"/>
      <c r="AC2422" s="82" t="s">
        <v>7754</v>
      </c>
      <c r="AD2422" s="77" t="s">
        <v>7788</v>
      </c>
      <c r="AE2422" s="80" t="str">
        <f>HYPERLINK("https://twitter.com/einvestidor/status/1686508354678476800")</f>
        <v>https://twitter.com/einvestidor/status/1686508354678476800</v>
      </c>
      <c r="AF2422" s="79">
        <v>45139.947916666664</v>
      </c>
      <c r="AG2422" s="85">
        <v>45139</v>
      </c>
      <c r="AH2422" s="82" t="s">
        <v>9595</v>
      </c>
      <c r="AI2422" s="77" t="b">
        <v>0</v>
      </c>
      <c r="AJ2422" s="77"/>
      <c r="AK2422" s="77"/>
      <c r="AL2422" s="77"/>
      <c r="AM2422" s="77"/>
      <c r="AN2422" s="77"/>
      <c r="AO2422" s="77"/>
      <c r="AP2422" s="77"/>
      <c r="AQ2422" s="77"/>
      <c r="AR2422" s="77"/>
      <c r="AS2422" s="77"/>
      <c r="AT2422" s="77"/>
      <c r="AU2422" s="77"/>
      <c r="AV2422" s="80" t="str">
        <f>HYPERLINK("https://pbs.twimg.com/profile_images/1241147984924082183/gZgx_hL-_normal.jpg")</f>
        <v>https://pbs.twimg.com/profile_images/1241147984924082183/gZgx_hL-_normal.jpg</v>
      </c>
      <c r="AW2422" s="82" t="s">
        <v>14018</v>
      </c>
      <c r="AX2422" s="82" t="s">
        <v>14018</v>
      </c>
      <c r="AY2422" s="77"/>
      <c r="AZ2422" s="82" t="s">
        <v>15984</v>
      </c>
      <c r="BA2422" s="82" t="s">
        <v>15984</v>
      </c>
      <c r="BB2422" s="82" t="s">
        <v>15984</v>
      </c>
      <c r="BC2422" s="82" t="s">
        <v>14018</v>
      </c>
      <c r="BD2422" s="82" t="s">
        <v>15979</v>
      </c>
      <c r="BE2422" s="77"/>
      <c r="BF2422" s="77"/>
      <c r="BG2422" s="77"/>
      <c r="BH2422" s="77"/>
      <c r="BI2422" s="77"/>
    </row>
    <row r="2423" spans="1:61" x14ac:dyDescent="0.25">
      <c r="A2423" s="62" t="s">
        <v>387</v>
      </c>
      <c r="B2423" s="62" t="s">
        <v>387</v>
      </c>
      <c r="C2423" s="63"/>
      <c r="D2423" s="64"/>
      <c r="E2423" s="65"/>
      <c r="F2423" s="66"/>
      <c r="G2423" s="63"/>
      <c r="H2423" s="67"/>
      <c r="I2423" s="68"/>
      <c r="J2423" s="68"/>
      <c r="K2423" s="32"/>
      <c r="L2423" s="75">
        <v>2423</v>
      </c>
      <c r="M2423" s="75"/>
      <c r="N2423" s="70"/>
      <c r="O2423" s="77" t="s">
        <v>179</v>
      </c>
      <c r="P2423" s="79">
        <v>45139.9375</v>
      </c>
      <c r="Q2423" s="77" t="s">
        <v>3095</v>
      </c>
      <c r="R2423" s="77">
        <v>0</v>
      </c>
      <c r="S2423" s="77">
        <v>0</v>
      </c>
      <c r="T2423" s="77">
        <v>0</v>
      </c>
      <c r="U2423" s="77">
        <v>0</v>
      </c>
      <c r="V2423" s="77">
        <v>549</v>
      </c>
      <c r="W2423" s="82" t="s">
        <v>4833</v>
      </c>
      <c r="X2423" s="80" t="str">
        <f>HYPERLINK("https://mla.bs/e2ae8718")</f>
        <v>https://mla.bs/e2ae8718</v>
      </c>
      <c r="Y2423" s="77" t="s">
        <v>6506</v>
      </c>
      <c r="Z2423" s="77"/>
      <c r="AA2423" s="77"/>
      <c r="AB2423" s="77"/>
      <c r="AC2423" s="82" t="s">
        <v>7754</v>
      </c>
      <c r="AD2423" s="77" t="s">
        <v>7788</v>
      </c>
      <c r="AE2423" s="80" t="str">
        <f>HYPERLINK("https://twitter.com/einvestidor/status/1686504579670904832")</f>
        <v>https://twitter.com/einvestidor/status/1686504579670904832</v>
      </c>
      <c r="AF2423" s="79">
        <v>45139.9375</v>
      </c>
      <c r="AG2423" s="85">
        <v>45139</v>
      </c>
      <c r="AH2423" s="82" t="s">
        <v>7926</v>
      </c>
      <c r="AI2423" s="77" t="b">
        <v>0</v>
      </c>
      <c r="AJ2423" s="77"/>
      <c r="AK2423" s="77"/>
      <c r="AL2423" s="77"/>
      <c r="AM2423" s="77"/>
      <c r="AN2423" s="77"/>
      <c r="AO2423" s="77"/>
      <c r="AP2423" s="77"/>
      <c r="AQ2423" s="77"/>
      <c r="AR2423" s="77"/>
      <c r="AS2423" s="77"/>
      <c r="AT2423" s="77"/>
      <c r="AU2423" s="77"/>
      <c r="AV2423" s="80" t="str">
        <f>HYPERLINK("https://pbs.twimg.com/profile_images/1241147984924082183/gZgx_hL-_normal.jpg")</f>
        <v>https://pbs.twimg.com/profile_images/1241147984924082183/gZgx_hL-_normal.jpg</v>
      </c>
      <c r="AW2423" s="82" t="s">
        <v>14019</v>
      </c>
      <c r="AX2423" s="82" t="s">
        <v>14019</v>
      </c>
      <c r="AY2423" s="77"/>
      <c r="AZ2423" s="82" t="s">
        <v>15984</v>
      </c>
      <c r="BA2423" s="82" t="s">
        <v>15984</v>
      </c>
      <c r="BB2423" s="82" t="s">
        <v>15984</v>
      </c>
      <c r="BC2423" s="82" t="s">
        <v>14019</v>
      </c>
      <c r="BD2423" s="82" t="s">
        <v>15979</v>
      </c>
      <c r="BE2423" s="77"/>
      <c r="BF2423" s="77"/>
      <c r="BG2423" s="77"/>
      <c r="BH2423" s="77"/>
      <c r="BI2423" s="77"/>
    </row>
    <row r="2424" spans="1:61" x14ac:dyDescent="0.25">
      <c r="A2424" s="62" t="s">
        <v>387</v>
      </c>
      <c r="B2424" s="62" t="s">
        <v>387</v>
      </c>
      <c r="C2424" s="63"/>
      <c r="D2424" s="64"/>
      <c r="E2424" s="65"/>
      <c r="F2424" s="66"/>
      <c r="G2424" s="63"/>
      <c r="H2424" s="67"/>
      <c r="I2424" s="68"/>
      <c r="J2424" s="68"/>
      <c r="K2424" s="32"/>
      <c r="L2424" s="75">
        <v>2424</v>
      </c>
      <c r="M2424" s="75"/>
      <c r="N2424" s="70"/>
      <c r="O2424" s="77" t="s">
        <v>179</v>
      </c>
      <c r="P2424" s="79">
        <v>45139.927083333336</v>
      </c>
      <c r="Q2424" s="77" t="s">
        <v>3096</v>
      </c>
      <c r="R2424" s="77">
        <v>0</v>
      </c>
      <c r="S2424" s="77">
        <v>0</v>
      </c>
      <c r="T2424" s="77">
        <v>0</v>
      </c>
      <c r="U2424" s="77">
        <v>0</v>
      </c>
      <c r="V2424" s="77">
        <v>565</v>
      </c>
      <c r="W2424" s="82" t="s">
        <v>4833</v>
      </c>
      <c r="X2424" s="80" t="str">
        <f>HYPERLINK("https://mla.bs/ff3c15d6")</f>
        <v>https://mla.bs/ff3c15d6</v>
      </c>
      <c r="Y2424" s="77" t="s">
        <v>6506</v>
      </c>
      <c r="Z2424" s="77"/>
      <c r="AA2424" s="77"/>
      <c r="AB2424" s="77"/>
      <c r="AC2424" s="82" t="s">
        <v>7754</v>
      </c>
      <c r="AD2424" s="77" t="s">
        <v>7788</v>
      </c>
      <c r="AE2424" s="80" t="str">
        <f>HYPERLINK("https://twitter.com/einvestidor/status/1686500804964855809")</f>
        <v>https://twitter.com/einvestidor/status/1686500804964855809</v>
      </c>
      <c r="AF2424" s="79">
        <v>45139.927083333336</v>
      </c>
      <c r="AG2424" s="85">
        <v>45139</v>
      </c>
      <c r="AH2424" s="82" t="s">
        <v>9576</v>
      </c>
      <c r="AI2424" s="77" t="b">
        <v>0</v>
      </c>
      <c r="AJ2424" s="77"/>
      <c r="AK2424" s="77"/>
      <c r="AL2424" s="77"/>
      <c r="AM2424" s="77"/>
      <c r="AN2424" s="77"/>
      <c r="AO2424" s="77"/>
      <c r="AP2424" s="77"/>
      <c r="AQ2424" s="77"/>
      <c r="AR2424" s="77"/>
      <c r="AS2424" s="77"/>
      <c r="AT2424" s="77"/>
      <c r="AU2424" s="77"/>
      <c r="AV2424" s="80" t="str">
        <f>HYPERLINK("https://pbs.twimg.com/profile_images/1241147984924082183/gZgx_hL-_normal.jpg")</f>
        <v>https://pbs.twimg.com/profile_images/1241147984924082183/gZgx_hL-_normal.jpg</v>
      </c>
      <c r="AW2424" s="82" t="s">
        <v>14020</v>
      </c>
      <c r="AX2424" s="82" t="s">
        <v>14020</v>
      </c>
      <c r="AY2424" s="77"/>
      <c r="AZ2424" s="82" t="s">
        <v>15984</v>
      </c>
      <c r="BA2424" s="82" t="s">
        <v>15984</v>
      </c>
      <c r="BB2424" s="82" t="s">
        <v>15984</v>
      </c>
      <c r="BC2424" s="82" t="s">
        <v>14020</v>
      </c>
      <c r="BD2424" s="82" t="s">
        <v>15979</v>
      </c>
      <c r="BE2424" s="77"/>
      <c r="BF2424" s="77"/>
      <c r="BG2424" s="77"/>
      <c r="BH2424" s="77"/>
      <c r="BI2424" s="77"/>
    </row>
    <row r="2425" spans="1:61" x14ac:dyDescent="0.25">
      <c r="A2425" s="62" t="s">
        <v>387</v>
      </c>
      <c r="B2425" s="62" t="s">
        <v>387</v>
      </c>
      <c r="C2425" s="63"/>
      <c r="D2425" s="64"/>
      <c r="E2425" s="65"/>
      <c r="F2425" s="66"/>
      <c r="G2425" s="63"/>
      <c r="H2425" s="67"/>
      <c r="I2425" s="68"/>
      <c r="J2425" s="68"/>
      <c r="K2425" s="32"/>
      <c r="L2425" s="75">
        <v>2425</v>
      </c>
      <c r="M2425" s="75"/>
      <c r="N2425" s="70"/>
      <c r="O2425" s="77" t="s">
        <v>179</v>
      </c>
      <c r="P2425" s="79">
        <v>45139.916689814818</v>
      </c>
      <c r="Q2425" s="77" t="s">
        <v>3097</v>
      </c>
      <c r="R2425" s="77">
        <v>0</v>
      </c>
      <c r="S2425" s="77">
        <v>0</v>
      </c>
      <c r="T2425" s="77">
        <v>0</v>
      </c>
      <c r="U2425" s="77">
        <v>0</v>
      </c>
      <c r="V2425" s="77">
        <v>533</v>
      </c>
      <c r="W2425" s="82" t="s">
        <v>4833</v>
      </c>
      <c r="X2425" s="80" t="str">
        <f>HYPERLINK("https://mla.bs/40e37133")</f>
        <v>https://mla.bs/40e37133</v>
      </c>
      <c r="Y2425" s="77" t="s">
        <v>6506</v>
      </c>
      <c r="Z2425" s="77"/>
      <c r="AA2425" s="77"/>
      <c r="AB2425" s="77"/>
      <c r="AC2425" s="82" t="s">
        <v>7754</v>
      </c>
      <c r="AD2425" s="77" t="s">
        <v>7788</v>
      </c>
      <c r="AE2425" s="80" t="str">
        <f>HYPERLINK("https://twitter.com/einvestidor/status/1686497037976731656")</f>
        <v>https://twitter.com/einvestidor/status/1686497037976731656</v>
      </c>
      <c r="AF2425" s="79">
        <v>45139.916689814818</v>
      </c>
      <c r="AG2425" s="85">
        <v>45139</v>
      </c>
      <c r="AH2425" s="82" t="s">
        <v>8627</v>
      </c>
      <c r="AI2425" s="77" t="b">
        <v>0</v>
      </c>
      <c r="AJ2425" s="77"/>
      <c r="AK2425" s="77"/>
      <c r="AL2425" s="77"/>
      <c r="AM2425" s="77"/>
      <c r="AN2425" s="77"/>
      <c r="AO2425" s="77"/>
      <c r="AP2425" s="77"/>
      <c r="AQ2425" s="77"/>
      <c r="AR2425" s="77"/>
      <c r="AS2425" s="77"/>
      <c r="AT2425" s="77"/>
      <c r="AU2425" s="77"/>
      <c r="AV2425" s="80" t="str">
        <f>HYPERLINK("https://pbs.twimg.com/profile_images/1241147984924082183/gZgx_hL-_normal.jpg")</f>
        <v>https://pbs.twimg.com/profile_images/1241147984924082183/gZgx_hL-_normal.jpg</v>
      </c>
      <c r="AW2425" s="82" t="s">
        <v>14021</v>
      </c>
      <c r="AX2425" s="82" t="s">
        <v>14021</v>
      </c>
      <c r="AY2425" s="77"/>
      <c r="AZ2425" s="82" t="s">
        <v>15984</v>
      </c>
      <c r="BA2425" s="82" t="s">
        <v>15984</v>
      </c>
      <c r="BB2425" s="82" t="s">
        <v>15984</v>
      </c>
      <c r="BC2425" s="82" t="s">
        <v>14021</v>
      </c>
      <c r="BD2425" s="82" t="s">
        <v>15979</v>
      </c>
      <c r="BE2425" s="77"/>
      <c r="BF2425" s="77"/>
      <c r="BG2425" s="77"/>
      <c r="BH2425" s="77"/>
      <c r="BI2425" s="77"/>
    </row>
    <row r="2426" spans="1:61" x14ac:dyDescent="0.25">
      <c r="A2426" s="62" t="s">
        <v>387</v>
      </c>
      <c r="B2426" s="62" t="s">
        <v>387</v>
      </c>
      <c r="C2426" s="63"/>
      <c r="D2426" s="64"/>
      <c r="E2426" s="65"/>
      <c r="F2426" s="66"/>
      <c r="G2426" s="63"/>
      <c r="H2426" s="67"/>
      <c r="I2426" s="68"/>
      <c r="J2426" s="68"/>
      <c r="K2426" s="32"/>
      <c r="L2426" s="75">
        <v>2426</v>
      </c>
      <c r="M2426" s="75"/>
      <c r="N2426" s="70"/>
      <c r="O2426" s="77" t="s">
        <v>179</v>
      </c>
      <c r="P2426" s="79">
        <v>45139.90625</v>
      </c>
      <c r="Q2426" s="77" t="s">
        <v>3098</v>
      </c>
      <c r="R2426" s="77">
        <v>2</v>
      </c>
      <c r="S2426" s="77">
        <v>3</v>
      </c>
      <c r="T2426" s="77">
        <v>1</v>
      </c>
      <c r="U2426" s="77">
        <v>0</v>
      </c>
      <c r="V2426" s="77">
        <v>686</v>
      </c>
      <c r="W2426" s="82" t="s">
        <v>4833</v>
      </c>
      <c r="X2426" s="80" t="str">
        <f>HYPERLINK("https://mla.bs/91fc6783")</f>
        <v>https://mla.bs/91fc6783</v>
      </c>
      <c r="Y2426" s="77" t="s">
        <v>6506</v>
      </c>
      <c r="Z2426" s="77"/>
      <c r="AA2426" s="77"/>
      <c r="AB2426" s="77"/>
      <c r="AC2426" s="82" t="s">
        <v>7754</v>
      </c>
      <c r="AD2426" s="77" t="s">
        <v>7788</v>
      </c>
      <c r="AE2426" s="80" t="str">
        <f>HYPERLINK("https://twitter.com/einvestidor/status/1686493255003930625")</f>
        <v>https://twitter.com/einvestidor/status/1686493255003930625</v>
      </c>
      <c r="AF2426" s="79">
        <v>45139.90625</v>
      </c>
      <c r="AG2426" s="85">
        <v>45139</v>
      </c>
      <c r="AH2426" s="82" t="s">
        <v>9578</v>
      </c>
      <c r="AI2426" s="77" t="b">
        <v>0</v>
      </c>
      <c r="AJ2426" s="77"/>
      <c r="AK2426" s="77"/>
      <c r="AL2426" s="77"/>
      <c r="AM2426" s="77"/>
      <c r="AN2426" s="77"/>
      <c r="AO2426" s="77"/>
      <c r="AP2426" s="77"/>
      <c r="AQ2426" s="77"/>
      <c r="AR2426" s="77"/>
      <c r="AS2426" s="77"/>
      <c r="AT2426" s="77"/>
      <c r="AU2426" s="77"/>
      <c r="AV2426" s="80" t="str">
        <f>HYPERLINK("https://pbs.twimg.com/profile_images/1241147984924082183/gZgx_hL-_normal.jpg")</f>
        <v>https://pbs.twimg.com/profile_images/1241147984924082183/gZgx_hL-_normal.jpg</v>
      </c>
      <c r="AW2426" s="82" t="s">
        <v>14022</v>
      </c>
      <c r="AX2426" s="82" t="s">
        <v>14022</v>
      </c>
      <c r="AY2426" s="77"/>
      <c r="AZ2426" s="82" t="s">
        <v>15984</v>
      </c>
      <c r="BA2426" s="82" t="s">
        <v>15984</v>
      </c>
      <c r="BB2426" s="82" t="s">
        <v>15984</v>
      </c>
      <c r="BC2426" s="82" t="s">
        <v>14022</v>
      </c>
      <c r="BD2426" s="82" t="s">
        <v>15979</v>
      </c>
      <c r="BE2426" s="77"/>
      <c r="BF2426" s="77"/>
      <c r="BG2426" s="77"/>
      <c r="BH2426" s="77"/>
      <c r="BI2426" s="77"/>
    </row>
    <row r="2427" spans="1:61" x14ac:dyDescent="0.25">
      <c r="A2427" s="62" t="s">
        <v>387</v>
      </c>
      <c r="B2427" s="62" t="s">
        <v>387</v>
      </c>
      <c r="C2427" s="63"/>
      <c r="D2427" s="64"/>
      <c r="E2427" s="65"/>
      <c r="F2427" s="66"/>
      <c r="G2427" s="63"/>
      <c r="H2427" s="67"/>
      <c r="I2427" s="68"/>
      <c r="J2427" s="68"/>
      <c r="K2427" s="32"/>
      <c r="L2427" s="75">
        <v>2427</v>
      </c>
      <c r="M2427" s="75"/>
      <c r="N2427" s="70"/>
      <c r="O2427" s="77" t="s">
        <v>179</v>
      </c>
      <c r="P2427" s="79">
        <v>45139.90625</v>
      </c>
      <c r="Q2427" s="77" t="s">
        <v>3099</v>
      </c>
      <c r="R2427" s="77">
        <v>0</v>
      </c>
      <c r="S2427" s="77">
        <v>0</v>
      </c>
      <c r="T2427" s="77">
        <v>0</v>
      </c>
      <c r="U2427" s="77">
        <v>0</v>
      </c>
      <c r="V2427" s="77">
        <v>516</v>
      </c>
      <c r="W2427" s="82" t="s">
        <v>4833</v>
      </c>
      <c r="X2427" s="80" t="str">
        <f>HYPERLINK("https://mla.bs/81e836da")</f>
        <v>https://mla.bs/81e836da</v>
      </c>
      <c r="Y2427" s="77" t="s">
        <v>6506</v>
      </c>
      <c r="Z2427" s="77"/>
      <c r="AA2427" s="77"/>
      <c r="AB2427" s="77"/>
      <c r="AC2427" s="82" t="s">
        <v>7754</v>
      </c>
      <c r="AD2427" s="77" t="s">
        <v>7788</v>
      </c>
      <c r="AE2427" s="80" t="str">
        <f>HYPERLINK("https://twitter.com/einvestidor/status/1686493254999736323")</f>
        <v>https://twitter.com/einvestidor/status/1686493254999736323</v>
      </c>
      <c r="AF2427" s="79">
        <v>45139.90625</v>
      </c>
      <c r="AG2427" s="85">
        <v>45139</v>
      </c>
      <c r="AH2427" s="82" t="s">
        <v>9578</v>
      </c>
      <c r="AI2427" s="77" t="b">
        <v>0</v>
      </c>
      <c r="AJ2427" s="77"/>
      <c r="AK2427" s="77"/>
      <c r="AL2427" s="77"/>
      <c r="AM2427" s="77"/>
      <c r="AN2427" s="77"/>
      <c r="AO2427" s="77"/>
      <c r="AP2427" s="77"/>
      <c r="AQ2427" s="77"/>
      <c r="AR2427" s="77"/>
      <c r="AS2427" s="77"/>
      <c r="AT2427" s="77"/>
      <c r="AU2427" s="77"/>
      <c r="AV2427" s="80" t="str">
        <f>HYPERLINK("https://pbs.twimg.com/profile_images/1241147984924082183/gZgx_hL-_normal.jpg")</f>
        <v>https://pbs.twimg.com/profile_images/1241147984924082183/gZgx_hL-_normal.jpg</v>
      </c>
      <c r="AW2427" s="82" t="s">
        <v>14023</v>
      </c>
      <c r="AX2427" s="82" t="s">
        <v>14023</v>
      </c>
      <c r="AY2427" s="77"/>
      <c r="AZ2427" s="82" t="s">
        <v>15984</v>
      </c>
      <c r="BA2427" s="82" t="s">
        <v>15984</v>
      </c>
      <c r="BB2427" s="82" t="s">
        <v>15984</v>
      </c>
      <c r="BC2427" s="82" t="s">
        <v>14023</v>
      </c>
      <c r="BD2427" s="82" t="s">
        <v>15979</v>
      </c>
      <c r="BE2427" s="77"/>
      <c r="BF2427" s="77"/>
      <c r="BG2427" s="77"/>
      <c r="BH2427" s="77"/>
      <c r="BI2427" s="77"/>
    </row>
    <row r="2428" spans="1:61" x14ac:dyDescent="0.25">
      <c r="A2428" s="62" t="s">
        <v>387</v>
      </c>
      <c r="B2428" s="62" t="s">
        <v>387</v>
      </c>
      <c r="C2428" s="63"/>
      <c r="D2428" s="64"/>
      <c r="E2428" s="65"/>
      <c r="F2428" s="66"/>
      <c r="G2428" s="63"/>
      <c r="H2428" s="67"/>
      <c r="I2428" s="68"/>
      <c r="J2428" s="68"/>
      <c r="K2428" s="32"/>
      <c r="L2428" s="75">
        <v>2428</v>
      </c>
      <c r="M2428" s="75"/>
      <c r="N2428" s="70"/>
      <c r="O2428" s="77" t="s">
        <v>179</v>
      </c>
      <c r="P2428" s="79">
        <v>45139.895833333336</v>
      </c>
      <c r="Q2428" s="77" t="s">
        <v>3100</v>
      </c>
      <c r="R2428" s="77">
        <v>0</v>
      </c>
      <c r="S2428" s="77">
        <v>2</v>
      </c>
      <c r="T2428" s="77">
        <v>0</v>
      </c>
      <c r="U2428" s="77">
        <v>0</v>
      </c>
      <c r="V2428" s="77">
        <v>599</v>
      </c>
      <c r="W2428" s="82" t="s">
        <v>4833</v>
      </c>
      <c r="X2428" s="80" t="str">
        <f>HYPERLINK("https://mla.bs/4c26c205")</f>
        <v>https://mla.bs/4c26c205</v>
      </c>
      <c r="Y2428" s="77" t="s">
        <v>6506</v>
      </c>
      <c r="Z2428" s="77"/>
      <c r="AA2428" s="77"/>
      <c r="AB2428" s="77"/>
      <c r="AC2428" s="82" t="s">
        <v>7754</v>
      </c>
      <c r="AD2428" s="77" t="s">
        <v>7788</v>
      </c>
      <c r="AE2428" s="80" t="str">
        <f>HYPERLINK("https://twitter.com/einvestidor/status/1686489481074049036")</f>
        <v>https://twitter.com/einvestidor/status/1686489481074049036</v>
      </c>
      <c r="AF2428" s="79">
        <v>45139.895833333336</v>
      </c>
      <c r="AG2428" s="85">
        <v>45139</v>
      </c>
      <c r="AH2428" s="82" t="s">
        <v>8089</v>
      </c>
      <c r="AI2428" s="77" t="b">
        <v>0</v>
      </c>
      <c r="AJ2428" s="77"/>
      <c r="AK2428" s="77"/>
      <c r="AL2428" s="77"/>
      <c r="AM2428" s="77"/>
      <c r="AN2428" s="77"/>
      <c r="AO2428" s="77"/>
      <c r="AP2428" s="77"/>
      <c r="AQ2428" s="77"/>
      <c r="AR2428" s="77"/>
      <c r="AS2428" s="77"/>
      <c r="AT2428" s="77"/>
      <c r="AU2428" s="77"/>
      <c r="AV2428" s="80" t="str">
        <f>HYPERLINK("https://pbs.twimg.com/profile_images/1241147984924082183/gZgx_hL-_normal.jpg")</f>
        <v>https://pbs.twimg.com/profile_images/1241147984924082183/gZgx_hL-_normal.jpg</v>
      </c>
      <c r="AW2428" s="82" t="s">
        <v>14024</v>
      </c>
      <c r="AX2428" s="82" t="s">
        <v>14024</v>
      </c>
      <c r="AY2428" s="77"/>
      <c r="AZ2428" s="82" t="s">
        <v>15984</v>
      </c>
      <c r="BA2428" s="82" t="s">
        <v>15984</v>
      </c>
      <c r="BB2428" s="82" t="s">
        <v>15984</v>
      </c>
      <c r="BC2428" s="82" t="s">
        <v>14024</v>
      </c>
      <c r="BD2428" s="82" t="s">
        <v>15979</v>
      </c>
      <c r="BE2428" s="77"/>
      <c r="BF2428" s="77"/>
      <c r="BG2428" s="77"/>
      <c r="BH2428" s="77"/>
      <c r="BI2428" s="77"/>
    </row>
    <row r="2429" spans="1:61" x14ac:dyDescent="0.25">
      <c r="A2429" s="62" t="s">
        <v>387</v>
      </c>
      <c r="B2429" s="62" t="s">
        <v>387</v>
      </c>
      <c r="C2429" s="63"/>
      <c r="D2429" s="64"/>
      <c r="E2429" s="65"/>
      <c r="F2429" s="66"/>
      <c r="G2429" s="63"/>
      <c r="H2429" s="67"/>
      <c r="I2429" s="68"/>
      <c r="J2429" s="68"/>
      <c r="K2429" s="32"/>
      <c r="L2429" s="75">
        <v>2429</v>
      </c>
      <c r="M2429" s="75"/>
      <c r="N2429" s="70"/>
      <c r="O2429" s="77" t="s">
        <v>179</v>
      </c>
      <c r="P2429" s="79">
        <v>45139.885578703703</v>
      </c>
      <c r="Q2429" s="77" t="s">
        <v>3101</v>
      </c>
      <c r="R2429" s="77">
        <v>0</v>
      </c>
      <c r="S2429" s="77">
        <v>1</v>
      </c>
      <c r="T2429" s="77">
        <v>0</v>
      </c>
      <c r="U2429" s="77">
        <v>0</v>
      </c>
      <c r="V2429" s="77">
        <v>562</v>
      </c>
      <c r="W2429" s="82" t="s">
        <v>6009</v>
      </c>
      <c r="X2429" s="80" t="str">
        <f>HYPERLINK("https://mla.bs/c45b49f7")</f>
        <v>https://mla.bs/c45b49f7</v>
      </c>
      <c r="Y2429" s="77" t="s">
        <v>6506</v>
      </c>
      <c r="Z2429" s="77"/>
      <c r="AA2429" s="77"/>
      <c r="AB2429" s="77"/>
      <c r="AC2429" s="82" t="s">
        <v>7754</v>
      </c>
      <c r="AD2429" s="77" t="s">
        <v>7788</v>
      </c>
      <c r="AE2429" s="80" t="str">
        <f>HYPERLINK("https://twitter.com/einvestidor/status/1686485766904430593")</f>
        <v>https://twitter.com/einvestidor/status/1686485766904430593</v>
      </c>
      <c r="AF2429" s="79">
        <v>45139.885578703703</v>
      </c>
      <c r="AG2429" s="85">
        <v>45139</v>
      </c>
      <c r="AH2429" s="82" t="s">
        <v>9726</v>
      </c>
      <c r="AI2429" s="77" t="b">
        <v>0</v>
      </c>
      <c r="AJ2429" s="77"/>
      <c r="AK2429" s="77"/>
      <c r="AL2429" s="77"/>
      <c r="AM2429" s="77"/>
      <c r="AN2429" s="77"/>
      <c r="AO2429" s="77"/>
      <c r="AP2429" s="77"/>
      <c r="AQ2429" s="77"/>
      <c r="AR2429" s="77"/>
      <c r="AS2429" s="77"/>
      <c r="AT2429" s="77"/>
      <c r="AU2429" s="77"/>
      <c r="AV2429" s="80" t="str">
        <f>HYPERLINK("https://pbs.twimg.com/profile_images/1241147984924082183/gZgx_hL-_normal.jpg")</f>
        <v>https://pbs.twimg.com/profile_images/1241147984924082183/gZgx_hL-_normal.jpg</v>
      </c>
      <c r="AW2429" s="82" t="s">
        <v>14025</v>
      </c>
      <c r="AX2429" s="82" t="s">
        <v>14025</v>
      </c>
      <c r="AY2429" s="77"/>
      <c r="AZ2429" s="82" t="s">
        <v>15984</v>
      </c>
      <c r="BA2429" s="82" t="s">
        <v>15984</v>
      </c>
      <c r="BB2429" s="82" t="s">
        <v>15984</v>
      </c>
      <c r="BC2429" s="82" t="s">
        <v>14025</v>
      </c>
      <c r="BD2429" s="82" t="s">
        <v>15979</v>
      </c>
      <c r="BE2429" s="77"/>
      <c r="BF2429" s="77"/>
      <c r="BG2429" s="77"/>
      <c r="BH2429" s="77"/>
      <c r="BI2429" s="77"/>
    </row>
    <row r="2430" spans="1:61" x14ac:dyDescent="0.25">
      <c r="A2430" s="62" t="s">
        <v>387</v>
      </c>
      <c r="B2430" s="62" t="s">
        <v>387</v>
      </c>
      <c r="C2430" s="63"/>
      <c r="D2430" s="64"/>
      <c r="E2430" s="65"/>
      <c r="F2430" s="66"/>
      <c r="G2430" s="63"/>
      <c r="H2430" s="67"/>
      <c r="I2430" s="68"/>
      <c r="J2430" s="68"/>
      <c r="K2430" s="32"/>
      <c r="L2430" s="75">
        <v>2430</v>
      </c>
      <c r="M2430" s="75"/>
      <c r="N2430" s="70"/>
      <c r="O2430" s="77" t="s">
        <v>179</v>
      </c>
      <c r="P2430" s="79">
        <v>45139.885208333333</v>
      </c>
      <c r="Q2430" s="77" t="s">
        <v>3102</v>
      </c>
      <c r="R2430" s="77">
        <v>0</v>
      </c>
      <c r="S2430" s="77">
        <v>0</v>
      </c>
      <c r="T2430" s="77">
        <v>0</v>
      </c>
      <c r="U2430" s="77">
        <v>0</v>
      </c>
      <c r="V2430" s="77">
        <v>606</v>
      </c>
      <c r="W2430" s="82" t="s">
        <v>6010</v>
      </c>
      <c r="X2430" s="80" t="str">
        <f>HYPERLINK("https://mla.bs/b4a022f8")</f>
        <v>https://mla.bs/b4a022f8</v>
      </c>
      <c r="Y2430" s="77" t="s">
        <v>6506</v>
      </c>
      <c r="Z2430" s="77"/>
      <c r="AA2430" s="77"/>
      <c r="AB2430" s="77"/>
      <c r="AC2430" s="82" t="s">
        <v>7754</v>
      </c>
      <c r="AD2430" s="77" t="s">
        <v>7788</v>
      </c>
      <c r="AE2430" s="80" t="str">
        <f>HYPERLINK("https://twitter.com/einvestidor/status/1686485631709380609")</f>
        <v>https://twitter.com/einvestidor/status/1686485631709380609</v>
      </c>
      <c r="AF2430" s="79">
        <v>45139.885208333333</v>
      </c>
      <c r="AG2430" s="85">
        <v>45139</v>
      </c>
      <c r="AH2430" s="82" t="s">
        <v>9727</v>
      </c>
      <c r="AI2430" s="77" t="b">
        <v>0</v>
      </c>
      <c r="AJ2430" s="77"/>
      <c r="AK2430" s="77"/>
      <c r="AL2430" s="77"/>
      <c r="AM2430" s="77"/>
      <c r="AN2430" s="77"/>
      <c r="AO2430" s="77"/>
      <c r="AP2430" s="77"/>
      <c r="AQ2430" s="77"/>
      <c r="AR2430" s="77"/>
      <c r="AS2430" s="77"/>
      <c r="AT2430" s="77"/>
      <c r="AU2430" s="77"/>
      <c r="AV2430" s="80" t="str">
        <f>HYPERLINK("https://pbs.twimg.com/profile_images/1241147984924082183/gZgx_hL-_normal.jpg")</f>
        <v>https://pbs.twimg.com/profile_images/1241147984924082183/gZgx_hL-_normal.jpg</v>
      </c>
      <c r="AW2430" s="82" t="s">
        <v>14026</v>
      </c>
      <c r="AX2430" s="82" t="s">
        <v>14026</v>
      </c>
      <c r="AY2430" s="77"/>
      <c r="AZ2430" s="82" t="s">
        <v>15984</v>
      </c>
      <c r="BA2430" s="82" t="s">
        <v>15984</v>
      </c>
      <c r="BB2430" s="82" t="s">
        <v>15984</v>
      </c>
      <c r="BC2430" s="82" t="s">
        <v>14026</v>
      </c>
      <c r="BD2430" s="82" t="s">
        <v>15979</v>
      </c>
      <c r="BE2430" s="77"/>
      <c r="BF2430" s="77"/>
      <c r="BG2430" s="77"/>
      <c r="BH2430" s="77"/>
      <c r="BI2430" s="77"/>
    </row>
    <row r="2431" spans="1:61" x14ac:dyDescent="0.25">
      <c r="A2431" s="62" t="s">
        <v>387</v>
      </c>
      <c r="B2431" s="62" t="s">
        <v>387</v>
      </c>
      <c r="C2431" s="63"/>
      <c r="D2431" s="64"/>
      <c r="E2431" s="65"/>
      <c r="F2431" s="66"/>
      <c r="G2431" s="63"/>
      <c r="H2431" s="67"/>
      <c r="I2431" s="68"/>
      <c r="J2431" s="68"/>
      <c r="K2431" s="32"/>
      <c r="L2431" s="75">
        <v>2431</v>
      </c>
      <c r="M2431" s="75"/>
      <c r="N2431" s="70"/>
      <c r="O2431" s="77" t="s">
        <v>179</v>
      </c>
      <c r="P2431" s="79">
        <v>45139.875011574077</v>
      </c>
      <c r="Q2431" s="77" t="s">
        <v>3103</v>
      </c>
      <c r="R2431" s="77">
        <v>0</v>
      </c>
      <c r="S2431" s="77">
        <v>0</v>
      </c>
      <c r="T2431" s="77">
        <v>0</v>
      </c>
      <c r="U2431" s="77">
        <v>0</v>
      </c>
      <c r="V2431" s="77">
        <v>441</v>
      </c>
      <c r="W2431" s="82" t="s">
        <v>4833</v>
      </c>
      <c r="X2431" s="80" t="str">
        <f>HYPERLINK("https://mla.bs/c8cfabe1")</f>
        <v>https://mla.bs/c8cfabe1</v>
      </c>
      <c r="Y2431" s="77" t="s">
        <v>6506</v>
      </c>
      <c r="Z2431" s="77"/>
      <c r="AA2431" s="77"/>
      <c r="AB2431" s="77"/>
      <c r="AC2431" s="82" t="s">
        <v>7754</v>
      </c>
      <c r="AD2431" s="77" t="s">
        <v>7788</v>
      </c>
      <c r="AE2431" s="80" t="str">
        <f>HYPERLINK("https://twitter.com/einvestidor/status/1686481936636682245")</f>
        <v>https://twitter.com/einvestidor/status/1686481936636682245</v>
      </c>
      <c r="AF2431" s="79">
        <v>45139.875011574077</v>
      </c>
      <c r="AG2431" s="85">
        <v>45139</v>
      </c>
      <c r="AH2431" s="82" t="s">
        <v>7871</v>
      </c>
      <c r="AI2431" s="77" t="b">
        <v>0</v>
      </c>
      <c r="AJ2431" s="77"/>
      <c r="AK2431" s="77"/>
      <c r="AL2431" s="77"/>
      <c r="AM2431" s="77"/>
      <c r="AN2431" s="77"/>
      <c r="AO2431" s="77"/>
      <c r="AP2431" s="77"/>
      <c r="AQ2431" s="77"/>
      <c r="AR2431" s="77"/>
      <c r="AS2431" s="77"/>
      <c r="AT2431" s="77"/>
      <c r="AU2431" s="77"/>
      <c r="AV2431" s="80" t="str">
        <f>HYPERLINK("https://pbs.twimg.com/profile_images/1241147984924082183/gZgx_hL-_normal.jpg")</f>
        <v>https://pbs.twimg.com/profile_images/1241147984924082183/gZgx_hL-_normal.jpg</v>
      </c>
      <c r="AW2431" s="82" t="s">
        <v>14027</v>
      </c>
      <c r="AX2431" s="82" t="s">
        <v>14027</v>
      </c>
      <c r="AY2431" s="77"/>
      <c r="AZ2431" s="82" t="s">
        <v>15984</v>
      </c>
      <c r="BA2431" s="82" t="s">
        <v>15984</v>
      </c>
      <c r="BB2431" s="82" t="s">
        <v>15984</v>
      </c>
      <c r="BC2431" s="82" t="s">
        <v>14027</v>
      </c>
      <c r="BD2431" s="82" t="s">
        <v>15979</v>
      </c>
      <c r="BE2431" s="77"/>
      <c r="BF2431" s="77"/>
      <c r="BG2431" s="77"/>
      <c r="BH2431" s="77"/>
      <c r="BI2431" s="77"/>
    </row>
    <row r="2432" spans="1:61" x14ac:dyDescent="0.25">
      <c r="A2432" s="62" t="s">
        <v>387</v>
      </c>
      <c r="B2432" s="62" t="s">
        <v>387</v>
      </c>
      <c r="C2432" s="63"/>
      <c r="D2432" s="64"/>
      <c r="E2432" s="65"/>
      <c r="F2432" s="66"/>
      <c r="G2432" s="63"/>
      <c r="H2432" s="67"/>
      <c r="I2432" s="68"/>
      <c r="J2432" s="68"/>
      <c r="K2432" s="32"/>
      <c r="L2432" s="75">
        <v>2432</v>
      </c>
      <c r="M2432" s="75"/>
      <c r="N2432" s="70"/>
      <c r="O2432" s="77" t="s">
        <v>179</v>
      </c>
      <c r="P2432" s="79">
        <v>45139.864583333336</v>
      </c>
      <c r="Q2432" s="77" t="s">
        <v>3104</v>
      </c>
      <c r="R2432" s="77">
        <v>0</v>
      </c>
      <c r="S2432" s="77">
        <v>1</v>
      </c>
      <c r="T2432" s="77">
        <v>0</v>
      </c>
      <c r="U2432" s="77">
        <v>0</v>
      </c>
      <c r="V2432" s="77">
        <v>599</v>
      </c>
      <c r="W2432" s="82" t="s">
        <v>4833</v>
      </c>
      <c r="X2432" s="80" t="str">
        <f>HYPERLINK("https://mla.bs/be964a4a")</f>
        <v>https://mla.bs/be964a4a</v>
      </c>
      <c r="Y2432" s="77" t="s">
        <v>6506</v>
      </c>
      <c r="Z2432" s="77"/>
      <c r="AA2432" s="77"/>
      <c r="AB2432" s="77"/>
      <c r="AC2432" s="82" t="s">
        <v>7754</v>
      </c>
      <c r="AD2432" s="77" t="s">
        <v>7788</v>
      </c>
      <c r="AE2432" s="80" t="str">
        <f>HYPERLINK("https://twitter.com/einvestidor/status/1686478155744448512")</f>
        <v>https://twitter.com/einvestidor/status/1686478155744448512</v>
      </c>
      <c r="AF2432" s="79">
        <v>45139.864583333336</v>
      </c>
      <c r="AG2432" s="85">
        <v>45139</v>
      </c>
      <c r="AH2432" s="82" t="s">
        <v>9596</v>
      </c>
      <c r="AI2432" s="77" t="b">
        <v>0</v>
      </c>
      <c r="AJ2432" s="77"/>
      <c r="AK2432" s="77"/>
      <c r="AL2432" s="77"/>
      <c r="AM2432" s="77"/>
      <c r="AN2432" s="77"/>
      <c r="AO2432" s="77"/>
      <c r="AP2432" s="77"/>
      <c r="AQ2432" s="77"/>
      <c r="AR2432" s="77"/>
      <c r="AS2432" s="77"/>
      <c r="AT2432" s="77"/>
      <c r="AU2432" s="77"/>
      <c r="AV2432" s="80" t="str">
        <f>HYPERLINK("https://pbs.twimg.com/profile_images/1241147984924082183/gZgx_hL-_normal.jpg")</f>
        <v>https://pbs.twimg.com/profile_images/1241147984924082183/gZgx_hL-_normal.jpg</v>
      </c>
      <c r="AW2432" s="82" t="s">
        <v>14028</v>
      </c>
      <c r="AX2432" s="82" t="s">
        <v>14028</v>
      </c>
      <c r="AY2432" s="77"/>
      <c r="AZ2432" s="82" t="s">
        <v>15984</v>
      </c>
      <c r="BA2432" s="82" t="s">
        <v>15984</v>
      </c>
      <c r="BB2432" s="82" t="s">
        <v>15984</v>
      </c>
      <c r="BC2432" s="82" t="s">
        <v>14028</v>
      </c>
      <c r="BD2432" s="82" t="s">
        <v>15979</v>
      </c>
      <c r="BE2432" s="77"/>
      <c r="BF2432" s="77"/>
      <c r="BG2432" s="77"/>
      <c r="BH2432" s="77"/>
      <c r="BI2432" s="77"/>
    </row>
    <row r="2433" spans="1:61" x14ac:dyDescent="0.25">
      <c r="A2433" s="62" t="s">
        <v>387</v>
      </c>
      <c r="B2433" s="62" t="s">
        <v>387</v>
      </c>
      <c r="C2433" s="63"/>
      <c r="D2433" s="64"/>
      <c r="E2433" s="65"/>
      <c r="F2433" s="66"/>
      <c r="G2433" s="63"/>
      <c r="H2433" s="67"/>
      <c r="I2433" s="68"/>
      <c r="J2433" s="68"/>
      <c r="K2433" s="32"/>
      <c r="L2433" s="75">
        <v>2433</v>
      </c>
      <c r="M2433" s="75"/>
      <c r="N2433" s="70"/>
      <c r="O2433" s="77" t="s">
        <v>179</v>
      </c>
      <c r="P2433" s="79">
        <v>45139.854166666664</v>
      </c>
      <c r="Q2433" s="77" t="s">
        <v>3105</v>
      </c>
      <c r="R2433" s="77">
        <v>0</v>
      </c>
      <c r="S2433" s="77">
        <v>1</v>
      </c>
      <c r="T2433" s="77">
        <v>0</v>
      </c>
      <c r="U2433" s="77">
        <v>0</v>
      </c>
      <c r="V2433" s="77">
        <v>458</v>
      </c>
      <c r="W2433" s="82" t="s">
        <v>6011</v>
      </c>
      <c r="X2433" s="80" t="str">
        <f>HYPERLINK("https://mla.bs/8e390e47")</f>
        <v>https://mla.bs/8e390e47</v>
      </c>
      <c r="Y2433" s="77" t="s">
        <v>6506</v>
      </c>
      <c r="Z2433" s="77"/>
      <c r="AA2433" s="77"/>
      <c r="AB2433" s="77"/>
      <c r="AC2433" s="82" t="s">
        <v>7754</v>
      </c>
      <c r="AD2433" s="77" t="s">
        <v>7788</v>
      </c>
      <c r="AE2433" s="80" t="str">
        <f>HYPERLINK("https://twitter.com/einvestidor/status/1686474381126664197")</f>
        <v>https://twitter.com/einvestidor/status/1686474381126664197</v>
      </c>
      <c r="AF2433" s="79">
        <v>45139.854166666664</v>
      </c>
      <c r="AG2433" s="85">
        <v>45139</v>
      </c>
      <c r="AH2433" s="82" t="s">
        <v>8090</v>
      </c>
      <c r="AI2433" s="77" t="b">
        <v>0</v>
      </c>
      <c r="AJ2433" s="77"/>
      <c r="AK2433" s="77"/>
      <c r="AL2433" s="77"/>
      <c r="AM2433" s="77"/>
      <c r="AN2433" s="77"/>
      <c r="AO2433" s="77"/>
      <c r="AP2433" s="77"/>
      <c r="AQ2433" s="77"/>
      <c r="AR2433" s="77"/>
      <c r="AS2433" s="77"/>
      <c r="AT2433" s="77"/>
      <c r="AU2433" s="77"/>
      <c r="AV2433" s="80" t="str">
        <f>HYPERLINK("https://pbs.twimg.com/profile_images/1241147984924082183/gZgx_hL-_normal.jpg")</f>
        <v>https://pbs.twimg.com/profile_images/1241147984924082183/gZgx_hL-_normal.jpg</v>
      </c>
      <c r="AW2433" s="82" t="s">
        <v>14029</v>
      </c>
      <c r="AX2433" s="82" t="s">
        <v>14029</v>
      </c>
      <c r="AY2433" s="77"/>
      <c r="AZ2433" s="82" t="s">
        <v>15984</v>
      </c>
      <c r="BA2433" s="82" t="s">
        <v>15984</v>
      </c>
      <c r="BB2433" s="82" t="s">
        <v>15984</v>
      </c>
      <c r="BC2433" s="82" t="s">
        <v>14029</v>
      </c>
      <c r="BD2433" s="82" t="s">
        <v>15979</v>
      </c>
      <c r="BE2433" s="77"/>
      <c r="BF2433" s="77"/>
      <c r="BG2433" s="77"/>
      <c r="BH2433" s="77"/>
      <c r="BI2433" s="77"/>
    </row>
    <row r="2434" spans="1:61" x14ac:dyDescent="0.25">
      <c r="A2434" s="62" t="s">
        <v>387</v>
      </c>
      <c r="B2434" s="62" t="s">
        <v>387</v>
      </c>
      <c r="C2434" s="63"/>
      <c r="D2434" s="64"/>
      <c r="E2434" s="65"/>
      <c r="F2434" s="66"/>
      <c r="G2434" s="63"/>
      <c r="H2434" s="67"/>
      <c r="I2434" s="68"/>
      <c r="J2434" s="68"/>
      <c r="K2434" s="32"/>
      <c r="L2434" s="75">
        <v>2434</v>
      </c>
      <c r="M2434" s="75"/>
      <c r="N2434" s="70"/>
      <c r="O2434" s="77" t="s">
        <v>179</v>
      </c>
      <c r="P2434" s="79">
        <v>45139.84375</v>
      </c>
      <c r="Q2434" s="77" t="s">
        <v>3106</v>
      </c>
      <c r="R2434" s="77">
        <v>0</v>
      </c>
      <c r="S2434" s="77">
        <v>2</v>
      </c>
      <c r="T2434" s="77">
        <v>0</v>
      </c>
      <c r="U2434" s="77">
        <v>0</v>
      </c>
      <c r="V2434" s="77">
        <v>566</v>
      </c>
      <c r="W2434" s="82" t="s">
        <v>5961</v>
      </c>
      <c r="X2434" s="80" t="str">
        <f>HYPERLINK("https://mla.bs/a0263736")</f>
        <v>https://mla.bs/a0263736</v>
      </c>
      <c r="Y2434" s="77" t="s">
        <v>6506</v>
      </c>
      <c r="Z2434" s="77"/>
      <c r="AA2434" s="77"/>
      <c r="AB2434" s="77"/>
      <c r="AC2434" s="82" t="s">
        <v>7754</v>
      </c>
      <c r="AD2434" s="77" t="s">
        <v>7788</v>
      </c>
      <c r="AE2434" s="80" t="str">
        <f>HYPERLINK("https://twitter.com/einvestidor/status/1686470606030589957")</f>
        <v>https://twitter.com/einvestidor/status/1686470606030589957</v>
      </c>
      <c r="AF2434" s="79">
        <v>45139.84375</v>
      </c>
      <c r="AG2434" s="85">
        <v>45139</v>
      </c>
      <c r="AH2434" s="82" t="s">
        <v>9296</v>
      </c>
      <c r="AI2434" s="77" t="b">
        <v>0</v>
      </c>
      <c r="AJ2434" s="77"/>
      <c r="AK2434" s="77"/>
      <c r="AL2434" s="77"/>
      <c r="AM2434" s="77"/>
      <c r="AN2434" s="77"/>
      <c r="AO2434" s="77"/>
      <c r="AP2434" s="77"/>
      <c r="AQ2434" s="77"/>
      <c r="AR2434" s="77"/>
      <c r="AS2434" s="77"/>
      <c r="AT2434" s="77"/>
      <c r="AU2434" s="77"/>
      <c r="AV2434" s="80" t="str">
        <f>HYPERLINK("https://pbs.twimg.com/profile_images/1241147984924082183/gZgx_hL-_normal.jpg")</f>
        <v>https://pbs.twimg.com/profile_images/1241147984924082183/gZgx_hL-_normal.jpg</v>
      </c>
      <c r="AW2434" s="82" t="s">
        <v>14030</v>
      </c>
      <c r="AX2434" s="82" t="s">
        <v>14030</v>
      </c>
      <c r="AY2434" s="77"/>
      <c r="AZ2434" s="82" t="s">
        <v>15984</v>
      </c>
      <c r="BA2434" s="82" t="s">
        <v>15984</v>
      </c>
      <c r="BB2434" s="82" t="s">
        <v>15984</v>
      </c>
      <c r="BC2434" s="82" t="s">
        <v>14030</v>
      </c>
      <c r="BD2434" s="82" t="s">
        <v>15979</v>
      </c>
      <c r="BE2434" s="77"/>
      <c r="BF2434" s="77"/>
      <c r="BG2434" s="77"/>
      <c r="BH2434" s="77"/>
      <c r="BI2434" s="77"/>
    </row>
    <row r="2435" spans="1:61" x14ac:dyDescent="0.25">
      <c r="A2435" s="62" t="s">
        <v>387</v>
      </c>
      <c r="B2435" s="62" t="s">
        <v>387</v>
      </c>
      <c r="C2435" s="63"/>
      <c r="D2435" s="64"/>
      <c r="E2435" s="65"/>
      <c r="F2435" s="66"/>
      <c r="G2435" s="63"/>
      <c r="H2435" s="67"/>
      <c r="I2435" s="68"/>
      <c r="J2435" s="68"/>
      <c r="K2435" s="32"/>
      <c r="L2435" s="75">
        <v>2435</v>
      </c>
      <c r="M2435" s="75"/>
      <c r="N2435" s="70"/>
      <c r="O2435" s="77" t="s">
        <v>179</v>
      </c>
      <c r="P2435" s="79">
        <v>45131.000011574077</v>
      </c>
      <c r="Q2435" s="77" t="s">
        <v>3107</v>
      </c>
      <c r="R2435" s="77">
        <v>0</v>
      </c>
      <c r="S2435" s="77">
        <v>2</v>
      </c>
      <c r="T2435" s="77">
        <v>0</v>
      </c>
      <c r="U2435" s="77">
        <v>0</v>
      </c>
      <c r="V2435" s="77">
        <v>1053</v>
      </c>
      <c r="W2435" s="82" t="s">
        <v>4833</v>
      </c>
      <c r="X2435" s="80" t="str">
        <f>HYPERLINK("https://mla.bs/c424b37f")</f>
        <v>https://mla.bs/c424b37f</v>
      </c>
      <c r="Y2435" s="77" t="s">
        <v>6506</v>
      </c>
      <c r="Z2435" s="77"/>
      <c r="AA2435" s="77"/>
      <c r="AB2435" s="77"/>
      <c r="AC2435" s="82" t="s">
        <v>7754</v>
      </c>
      <c r="AD2435" s="77" t="s">
        <v>7788</v>
      </c>
      <c r="AE2435" s="80" t="str">
        <f>HYPERLINK("https://twitter.com/einvestidor/status/1683265743167848450")</f>
        <v>https://twitter.com/einvestidor/status/1683265743167848450</v>
      </c>
      <c r="AF2435" s="79">
        <v>45131.000011574077</v>
      </c>
      <c r="AG2435" s="85">
        <v>45131</v>
      </c>
      <c r="AH2435" s="82" t="s">
        <v>7883</v>
      </c>
      <c r="AI2435" s="77" t="b">
        <v>0</v>
      </c>
      <c r="AJ2435" s="77"/>
      <c r="AK2435" s="77"/>
      <c r="AL2435" s="77"/>
      <c r="AM2435" s="77"/>
      <c r="AN2435" s="77"/>
      <c r="AO2435" s="77"/>
      <c r="AP2435" s="77"/>
      <c r="AQ2435" s="77"/>
      <c r="AR2435" s="77"/>
      <c r="AS2435" s="77"/>
      <c r="AT2435" s="77"/>
      <c r="AU2435" s="77"/>
      <c r="AV2435" s="80" t="str">
        <f>HYPERLINK("https://pbs.twimg.com/profile_images/1241147984924082183/gZgx_hL-_normal.jpg")</f>
        <v>https://pbs.twimg.com/profile_images/1241147984924082183/gZgx_hL-_normal.jpg</v>
      </c>
      <c r="AW2435" s="82" t="s">
        <v>14031</v>
      </c>
      <c r="AX2435" s="82" t="s">
        <v>14031</v>
      </c>
      <c r="AY2435" s="77"/>
      <c r="AZ2435" s="82" t="s">
        <v>15984</v>
      </c>
      <c r="BA2435" s="82" t="s">
        <v>15984</v>
      </c>
      <c r="BB2435" s="82" t="s">
        <v>15984</v>
      </c>
      <c r="BC2435" s="82" t="s">
        <v>14031</v>
      </c>
      <c r="BD2435" s="82" t="s">
        <v>15979</v>
      </c>
      <c r="BE2435" s="77"/>
      <c r="BF2435" s="77"/>
      <c r="BG2435" s="77"/>
      <c r="BH2435" s="77"/>
      <c r="BI2435" s="77"/>
    </row>
    <row r="2436" spans="1:61" x14ac:dyDescent="0.25">
      <c r="A2436" s="62" t="s">
        <v>387</v>
      </c>
      <c r="B2436" s="62" t="s">
        <v>387</v>
      </c>
      <c r="C2436" s="63"/>
      <c r="D2436" s="64"/>
      <c r="E2436" s="65"/>
      <c r="F2436" s="66"/>
      <c r="G2436" s="63"/>
      <c r="H2436" s="67"/>
      <c r="I2436" s="68"/>
      <c r="J2436" s="68"/>
      <c r="K2436" s="32"/>
      <c r="L2436" s="75">
        <v>2436</v>
      </c>
      <c r="M2436" s="75"/>
      <c r="N2436" s="70"/>
      <c r="O2436" s="77" t="s">
        <v>179</v>
      </c>
      <c r="P2436" s="79">
        <v>45130.958333333336</v>
      </c>
      <c r="Q2436" s="77" t="s">
        <v>3108</v>
      </c>
      <c r="R2436" s="77">
        <v>0</v>
      </c>
      <c r="S2436" s="77">
        <v>1</v>
      </c>
      <c r="T2436" s="77">
        <v>0</v>
      </c>
      <c r="U2436" s="77">
        <v>0</v>
      </c>
      <c r="V2436" s="77">
        <v>839</v>
      </c>
      <c r="W2436" s="82" t="s">
        <v>4833</v>
      </c>
      <c r="X2436" s="80" t="str">
        <f>HYPERLINK("https://mla.bs/a3948675")</f>
        <v>https://mla.bs/a3948675</v>
      </c>
      <c r="Y2436" s="77" t="s">
        <v>6506</v>
      </c>
      <c r="Z2436" s="77"/>
      <c r="AA2436" s="77"/>
      <c r="AB2436" s="77"/>
      <c r="AC2436" s="82" t="s">
        <v>7754</v>
      </c>
      <c r="AD2436" s="77" t="s">
        <v>7788</v>
      </c>
      <c r="AE2436" s="80" t="str">
        <f>HYPERLINK("https://twitter.com/einvestidor/status/1683250639160180736")</f>
        <v>https://twitter.com/einvestidor/status/1683250639160180736</v>
      </c>
      <c r="AF2436" s="79">
        <v>45130.958333333336</v>
      </c>
      <c r="AG2436" s="85">
        <v>45130</v>
      </c>
      <c r="AH2436" s="82" t="s">
        <v>8279</v>
      </c>
      <c r="AI2436" s="77" t="b">
        <v>0</v>
      </c>
      <c r="AJ2436" s="77"/>
      <c r="AK2436" s="77"/>
      <c r="AL2436" s="77"/>
      <c r="AM2436" s="77"/>
      <c r="AN2436" s="77"/>
      <c r="AO2436" s="77"/>
      <c r="AP2436" s="77"/>
      <c r="AQ2436" s="77"/>
      <c r="AR2436" s="77"/>
      <c r="AS2436" s="77"/>
      <c r="AT2436" s="77"/>
      <c r="AU2436" s="77"/>
      <c r="AV2436" s="80" t="str">
        <f>HYPERLINK("https://pbs.twimg.com/profile_images/1241147984924082183/gZgx_hL-_normal.jpg")</f>
        <v>https://pbs.twimg.com/profile_images/1241147984924082183/gZgx_hL-_normal.jpg</v>
      </c>
      <c r="AW2436" s="82" t="s">
        <v>14032</v>
      </c>
      <c r="AX2436" s="82" t="s">
        <v>14032</v>
      </c>
      <c r="AY2436" s="77"/>
      <c r="AZ2436" s="82" t="s">
        <v>15984</v>
      </c>
      <c r="BA2436" s="82" t="s">
        <v>15984</v>
      </c>
      <c r="BB2436" s="82" t="s">
        <v>15984</v>
      </c>
      <c r="BC2436" s="82" t="s">
        <v>14032</v>
      </c>
      <c r="BD2436" s="82" t="s">
        <v>15979</v>
      </c>
      <c r="BE2436" s="77"/>
      <c r="BF2436" s="77"/>
      <c r="BG2436" s="77"/>
      <c r="BH2436" s="77"/>
      <c r="BI2436" s="77"/>
    </row>
    <row r="2437" spans="1:61" x14ac:dyDescent="0.25">
      <c r="A2437" s="62" t="s">
        <v>387</v>
      </c>
      <c r="B2437" s="62" t="s">
        <v>387</v>
      </c>
      <c r="C2437" s="63"/>
      <c r="D2437" s="64"/>
      <c r="E2437" s="65"/>
      <c r="F2437" s="66"/>
      <c r="G2437" s="63"/>
      <c r="H2437" s="67"/>
      <c r="I2437" s="68"/>
      <c r="J2437" s="68"/>
      <c r="K2437" s="32"/>
      <c r="L2437" s="75">
        <v>2437</v>
      </c>
      <c r="M2437" s="75"/>
      <c r="N2437" s="70"/>
      <c r="O2437" s="77" t="s">
        <v>179</v>
      </c>
      <c r="P2437" s="79">
        <v>45130.916666666664</v>
      </c>
      <c r="Q2437" s="77" t="s">
        <v>3109</v>
      </c>
      <c r="R2437" s="77">
        <v>0</v>
      </c>
      <c r="S2437" s="77">
        <v>1</v>
      </c>
      <c r="T2437" s="77">
        <v>0</v>
      </c>
      <c r="U2437" s="77">
        <v>0</v>
      </c>
      <c r="V2437" s="77">
        <v>818</v>
      </c>
      <c r="W2437" s="82" t="s">
        <v>4833</v>
      </c>
      <c r="X2437" s="80" t="str">
        <f>HYPERLINK("https://mla.bs/62021f5c")</f>
        <v>https://mla.bs/62021f5c</v>
      </c>
      <c r="Y2437" s="77" t="s">
        <v>6506</v>
      </c>
      <c r="Z2437" s="77"/>
      <c r="AA2437" s="77"/>
      <c r="AB2437" s="77"/>
      <c r="AC2437" s="82" t="s">
        <v>7754</v>
      </c>
      <c r="AD2437" s="77" t="s">
        <v>7788</v>
      </c>
      <c r="AE2437" s="80" t="str">
        <f>HYPERLINK("https://twitter.com/einvestidor/status/1683235539556630530")</f>
        <v>https://twitter.com/einvestidor/status/1683235539556630530</v>
      </c>
      <c r="AF2437" s="79">
        <v>45130.916666666664</v>
      </c>
      <c r="AG2437" s="85">
        <v>45130</v>
      </c>
      <c r="AH2437" s="82" t="s">
        <v>9577</v>
      </c>
      <c r="AI2437" s="77" t="b">
        <v>0</v>
      </c>
      <c r="AJ2437" s="77"/>
      <c r="AK2437" s="77"/>
      <c r="AL2437" s="77"/>
      <c r="AM2437" s="77"/>
      <c r="AN2437" s="77"/>
      <c r="AO2437" s="77"/>
      <c r="AP2437" s="77"/>
      <c r="AQ2437" s="77"/>
      <c r="AR2437" s="77"/>
      <c r="AS2437" s="77"/>
      <c r="AT2437" s="77"/>
      <c r="AU2437" s="77"/>
      <c r="AV2437" s="80" t="str">
        <f>HYPERLINK("https://pbs.twimg.com/profile_images/1241147984924082183/gZgx_hL-_normal.jpg")</f>
        <v>https://pbs.twimg.com/profile_images/1241147984924082183/gZgx_hL-_normal.jpg</v>
      </c>
      <c r="AW2437" s="82" t="s">
        <v>14033</v>
      </c>
      <c r="AX2437" s="82" t="s">
        <v>14033</v>
      </c>
      <c r="AY2437" s="77"/>
      <c r="AZ2437" s="82" t="s">
        <v>15984</v>
      </c>
      <c r="BA2437" s="82" t="s">
        <v>15984</v>
      </c>
      <c r="BB2437" s="82" t="s">
        <v>15984</v>
      </c>
      <c r="BC2437" s="82" t="s">
        <v>14033</v>
      </c>
      <c r="BD2437" s="82" t="s">
        <v>15979</v>
      </c>
      <c r="BE2437" s="77"/>
      <c r="BF2437" s="77"/>
      <c r="BG2437" s="77"/>
      <c r="BH2437" s="77"/>
      <c r="BI2437" s="77"/>
    </row>
    <row r="2438" spans="1:61" x14ac:dyDescent="0.25">
      <c r="A2438" s="62" t="s">
        <v>387</v>
      </c>
      <c r="B2438" s="62" t="s">
        <v>387</v>
      </c>
      <c r="C2438" s="63"/>
      <c r="D2438" s="64"/>
      <c r="E2438" s="65"/>
      <c r="F2438" s="66"/>
      <c r="G2438" s="63"/>
      <c r="H2438" s="67"/>
      <c r="I2438" s="68"/>
      <c r="J2438" s="68"/>
      <c r="K2438" s="32"/>
      <c r="L2438" s="75">
        <v>2438</v>
      </c>
      <c r="M2438" s="75"/>
      <c r="N2438" s="70"/>
      <c r="O2438" s="77" t="s">
        <v>179</v>
      </c>
      <c r="P2438" s="79">
        <v>45130.875011574077</v>
      </c>
      <c r="Q2438" s="77" t="s">
        <v>3110</v>
      </c>
      <c r="R2438" s="77">
        <v>0</v>
      </c>
      <c r="S2438" s="77">
        <v>0</v>
      </c>
      <c r="T2438" s="77">
        <v>1</v>
      </c>
      <c r="U2438" s="77">
        <v>0</v>
      </c>
      <c r="V2438" s="77">
        <v>785</v>
      </c>
      <c r="W2438" s="82" t="s">
        <v>4833</v>
      </c>
      <c r="X2438" s="80" t="str">
        <f>HYPERLINK("https://mla.bs/074e9f84")</f>
        <v>https://mla.bs/074e9f84</v>
      </c>
      <c r="Y2438" s="77" t="s">
        <v>6506</v>
      </c>
      <c r="Z2438" s="77"/>
      <c r="AA2438" s="77"/>
      <c r="AB2438" s="77"/>
      <c r="AC2438" s="82" t="s">
        <v>7754</v>
      </c>
      <c r="AD2438" s="77" t="s">
        <v>7788</v>
      </c>
      <c r="AE2438" s="80" t="str">
        <f>HYPERLINK("https://twitter.com/einvestidor/status/1683220445435142145")</f>
        <v>https://twitter.com/einvestidor/status/1683220445435142145</v>
      </c>
      <c r="AF2438" s="79">
        <v>45130.875011574077</v>
      </c>
      <c r="AG2438" s="85">
        <v>45130</v>
      </c>
      <c r="AH2438" s="82" t="s">
        <v>7871</v>
      </c>
      <c r="AI2438" s="77" t="b">
        <v>0</v>
      </c>
      <c r="AJ2438" s="77"/>
      <c r="AK2438" s="77"/>
      <c r="AL2438" s="77"/>
      <c r="AM2438" s="77"/>
      <c r="AN2438" s="77"/>
      <c r="AO2438" s="77"/>
      <c r="AP2438" s="77"/>
      <c r="AQ2438" s="77"/>
      <c r="AR2438" s="77"/>
      <c r="AS2438" s="77"/>
      <c r="AT2438" s="77"/>
      <c r="AU2438" s="77"/>
      <c r="AV2438" s="80" t="str">
        <f>HYPERLINK("https://pbs.twimg.com/profile_images/1241147984924082183/gZgx_hL-_normal.jpg")</f>
        <v>https://pbs.twimg.com/profile_images/1241147984924082183/gZgx_hL-_normal.jpg</v>
      </c>
      <c r="AW2438" s="82" t="s">
        <v>14034</v>
      </c>
      <c r="AX2438" s="82" t="s">
        <v>14034</v>
      </c>
      <c r="AY2438" s="77"/>
      <c r="AZ2438" s="82" t="s">
        <v>15984</v>
      </c>
      <c r="BA2438" s="82" t="s">
        <v>15984</v>
      </c>
      <c r="BB2438" s="82" t="s">
        <v>15984</v>
      </c>
      <c r="BC2438" s="82" t="s">
        <v>14034</v>
      </c>
      <c r="BD2438" s="82" t="s">
        <v>15979</v>
      </c>
      <c r="BE2438" s="77"/>
      <c r="BF2438" s="77"/>
      <c r="BG2438" s="77"/>
      <c r="BH2438" s="77"/>
      <c r="BI2438" s="77"/>
    </row>
    <row r="2439" spans="1:61" x14ac:dyDescent="0.25">
      <c r="A2439" s="62" t="s">
        <v>387</v>
      </c>
      <c r="B2439" s="62" t="s">
        <v>387</v>
      </c>
      <c r="C2439" s="63"/>
      <c r="D2439" s="64"/>
      <c r="E2439" s="65"/>
      <c r="F2439" s="66"/>
      <c r="G2439" s="63"/>
      <c r="H2439" s="67"/>
      <c r="I2439" s="68"/>
      <c r="J2439" s="68"/>
      <c r="K2439" s="32"/>
      <c r="L2439" s="75">
        <v>2439</v>
      </c>
      <c r="M2439" s="75"/>
      <c r="N2439" s="70"/>
      <c r="O2439" s="77" t="s">
        <v>179</v>
      </c>
      <c r="P2439" s="79">
        <v>45120.741956018515</v>
      </c>
      <c r="Q2439" s="77" t="s">
        <v>3111</v>
      </c>
      <c r="R2439" s="77">
        <v>0</v>
      </c>
      <c r="S2439" s="77">
        <v>2</v>
      </c>
      <c r="T2439" s="77">
        <v>0</v>
      </c>
      <c r="U2439" s="77">
        <v>0</v>
      </c>
      <c r="V2439" s="77">
        <v>528</v>
      </c>
      <c r="W2439" s="82" t="s">
        <v>4833</v>
      </c>
      <c r="X2439" s="80" t="str">
        <f>HYPERLINK("https://mla.bs/c1fa3c32")</f>
        <v>https://mla.bs/c1fa3c32</v>
      </c>
      <c r="Y2439" s="77" t="s">
        <v>6506</v>
      </c>
      <c r="Z2439" s="77"/>
      <c r="AA2439" s="77"/>
      <c r="AB2439" s="77"/>
      <c r="AC2439" s="82" t="s">
        <v>7757</v>
      </c>
      <c r="AD2439" s="77" t="s">
        <v>7788</v>
      </c>
      <c r="AE2439" s="80" t="str">
        <f>HYPERLINK("https://twitter.com/einvestidor/status/1679548347823038464")</f>
        <v>https://twitter.com/einvestidor/status/1679548347823038464</v>
      </c>
      <c r="AF2439" s="79">
        <v>45120.741956018515</v>
      </c>
      <c r="AG2439" s="85">
        <v>45120</v>
      </c>
      <c r="AH2439" s="82" t="s">
        <v>9728</v>
      </c>
      <c r="AI2439" s="77" t="b">
        <v>0</v>
      </c>
      <c r="AJ2439" s="77"/>
      <c r="AK2439" s="77"/>
      <c r="AL2439" s="77"/>
      <c r="AM2439" s="77"/>
      <c r="AN2439" s="77"/>
      <c r="AO2439" s="77"/>
      <c r="AP2439" s="77"/>
      <c r="AQ2439" s="77"/>
      <c r="AR2439" s="77"/>
      <c r="AS2439" s="77"/>
      <c r="AT2439" s="77"/>
      <c r="AU2439" s="77"/>
      <c r="AV2439" s="80" t="str">
        <f>HYPERLINK("https://pbs.twimg.com/profile_images/1241147984924082183/gZgx_hL-_normal.jpg")</f>
        <v>https://pbs.twimg.com/profile_images/1241147984924082183/gZgx_hL-_normal.jpg</v>
      </c>
      <c r="AW2439" s="82" t="s">
        <v>14035</v>
      </c>
      <c r="AX2439" s="82" t="s">
        <v>14035</v>
      </c>
      <c r="AY2439" s="77"/>
      <c r="AZ2439" s="82" t="s">
        <v>15984</v>
      </c>
      <c r="BA2439" s="82" t="s">
        <v>15984</v>
      </c>
      <c r="BB2439" s="82" t="s">
        <v>15984</v>
      </c>
      <c r="BC2439" s="82" t="s">
        <v>14035</v>
      </c>
      <c r="BD2439" s="82" t="s">
        <v>15979</v>
      </c>
      <c r="BE2439" s="77"/>
      <c r="BF2439" s="77"/>
      <c r="BG2439" s="77"/>
      <c r="BH2439" s="77"/>
      <c r="BI2439" s="77"/>
    </row>
    <row r="2440" spans="1:61" x14ac:dyDescent="0.25">
      <c r="A2440" s="62" t="s">
        <v>387</v>
      </c>
      <c r="B2440" s="62" t="s">
        <v>387</v>
      </c>
      <c r="C2440" s="63"/>
      <c r="D2440" s="64"/>
      <c r="E2440" s="65"/>
      <c r="F2440" s="66"/>
      <c r="G2440" s="63"/>
      <c r="H2440" s="67"/>
      <c r="I2440" s="68"/>
      <c r="J2440" s="68"/>
      <c r="K2440" s="32"/>
      <c r="L2440" s="75">
        <v>2440</v>
      </c>
      <c r="M2440" s="75"/>
      <c r="N2440" s="70"/>
      <c r="O2440" s="77" t="s">
        <v>179</v>
      </c>
      <c r="P2440" s="79">
        <v>45120.722314814811</v>
      </c>
      <c r="Q2440" s="77" t="s">
        <v>3112</v>
      </c>
      <c r="R2440" s="77">
        <v>0</v>
      </c>
      <c r="S2440" s="77">
        <v>1</v>
      </c>
      <c r="T2440" s="77">
        <v>0</v>
      </c>
      <c r="U2440" s="77">
        <v>0</v>
      </c>
      <c r="V2440" s="77">
        <v>570</v>
      </c>
      <c r="W2440" s="82" t="s">
        <v>4833</v>
      </c>
      <c r="X2440" s="80" t="str">
        <f>HYPERLINK("https://mla.bs/21a1efa6")</f>
        <v>https://mla.bs/21a1efa6</v>
      </c>
      <c r="Y2440" s="77" t="s">
        <v>6506</v>
      </c>
      <c r="Z2440" s="77"/>
      <c r="AA2440" s="77"/>
      <c r="AB2440" s="77"/>
      <c r="AC2440" s="82" t="s">
        <v>7757</v>
      </c>
      <c r="AD2440" s="77" t="s">
        <v>7788</v>
      </c>
      <c r="AE2440" s="80" t="str">
        <f>HYPERLINK("https://twitter.com/einvestidor/status/1679541232861601793")</f>
        <v>https://twitter.com/einvestidor/status/1679541232861601793</v>
      </c>
      <c r="AF2440" s="79">
        <v>45120.722314814811</v>
      </c>
      <c r="AG2440" s="85">
        <v>45120</v>
      </c>
      <c r="AH2440" s="82" t="s">
        <v>9729</v>
      </c>
      <c r="AI2440" s="77" t="b">
        <v>0</v>
      </c>
      <c r="AJ2440" s="77"/>
      <c r="AK2440" s="77"/>
      <c r="AL2440" s="77"/>
      <c r="AM2440" s="77"/>
      <c r="AN2440" s="77"/>
      <c r="AO2440" s="77"/>
      <c r="AP2440" s="77"/>
      <c r="AQ2440" s="77"/>
      <c r="AR2440" s="77"/>
      <c r="AS2440" s="77"/>
      <c r="AT2440" s="77"/>
      <c r="AU2440" s="77"/>
      <c r="AV2440" s="80" t="str">
        <f>HYPERLINK("https://pbs.twimg.com/profile_images/1241147984924082183/gZgx_hL-_normal.jpg")</f>
        <v>https://pbs.twimg.com/profile_images/1241147984924082183/gZgx_hL-_normal.jpg</v>
      </c>
      <c r="AW2440" s="82" t="s">
        <v>14036</v>
      </c>
      <c r="AX2440" s="82" t="s">
        <v>14036</v>
      </c>
      <c r="AY2440" s="77"/>
      <c r="AZ2440" s="82" t="s">
        <v>15984</v>
      </c>
      <c r="BA2440" s="82" t="s">
        <v>15984</v>
      </c>
      <c r="BB2440" s="82" t="s">
        <v>15984</v>
      </c>
      <c r="BC2440" s="82" t="s">
        <v>14036</v>
      </c>
      <c r="BD2440" s="82" t="s">
        <v>15979</v>
      </c>
      <c r="BE2440" s="77"/>
      <c r="BF2440" s="77"/>
      <c r="BG2440" s="77"/>
      <c r="BH2440" s="77"/>
      <c r="BI2440" s="77"/>
    </row>
    <row r="2441" spans="1:61" x14ac:dyDescent="0.25">
      <c r="A2441" s="62" t="s">
        <v>387</v>
      </c>
      <c r="B2441" s="62" t="s">
        <v>387</v>
      </c>
      <c r="C2441" s="63"/>
      <c r="D2441" s="64"/>
      <c r="E2441" s="65"/>
      <c r="F2441" s="66"/>
      <c r="G2441" s="63"/>
      <c r="H2441" s="67"/>
      <c r="I2441" s="68"/>
      <c r="J2441" s="68"/>
      <c r="K2441" s="32"/>
      <c r="L2441" s="75">
        <v>2441</v>
      </c>
      <c r="M2441" s="75"/>
      <c r="N2441" s="70"/>
      <c r="O2441" s="77" t="s">
        <v>179</v>
      </c>
      <c r="P2441" s="79">
        <v>45120.680613425924</v>
      </c>
      <c r="Q2441" s="77" t="s">
        <v>3113</v>
      </c>
      <c r="R2441" s="77">
        <v>0</v>
      </c>
      <c r="S2441" s="77">
        <v>1</v>
      </c>
      <c r="T2441" s="77">
        <v>0</v>
      </c>
      <c r="U2441" s="77">
        <v>0</v>
      </c>
      <c r="V2441" s="77">
        <v>574</v>
      </c>
      <c r="W2441" s="82" t="s">
        <v>4833</v>
      </c>
      <c r="X2441" s="80" t="str">
        <f>HYPERLINK("https://mla.bs/ca898e16")</f>
        <v>https://mla.bs/ca898e16</v>
      </c>
      <c r="Y2441" s="77" t="s">
        <v>6506</v>
      </c>
      <c r="Z2441" s="77"/>
      <c r="AA2441" s="77"/>
      <c r="AB2441" s="77"/>
      <c r="AC2441" s="82" t="s">
        <v>7757</v>
      </c>
      <c r="AD2441" s="77" t="s">
        <v>7788</v>
      </c>
      <c r="AE2441" s="80" t="str">
        <f>HYPERLINK("https://twitter.com/einvestidor/status/1679526118523584512")</f>
        <v>https://twitter.com/einvestidor/status/1679526118523584512</v>
      </c>
      <c r="AF2441" s="79">
        <v>45120.680613425924</v>
      </c>
      <c r="AG2441" s="85">
        <v>45120</v>
      </c>
      <c r="AH2441" s="82" t="s">
        <v>9730</v>
      </c>
      <c r="AI2441" s="77" t="b">
        <v>0</v>
      </c>
      <c r="AJ2441" s="77"/>
      <c r="AK2441" s="77"/>
      <c r="AL2441" s="77"/>
      <c r="AM2441" s="77"/>
      <c r="AN2441" s="77"/>
      <c r="AO2441" s="77"/>
      <c r="AP2441" s="77"/>
      <c r="AQ2441" s="77"/>
      <c r="AR2441" s="77"/>
      <c r="AS2441" s="77"/>
      <c r="AT2441" s="77"/>
      <c r="AU2441" s="77"/>
      <c r="AV2441" s="80" t="str">
        <f>HYPERLINK("https://pbs.twimg.com/profile_images/1241147984924082183/gZgx_hL-_normal.jpg")</f>
        <v>https://pbs.twimg.com/profile_images/1241147984924082183/gZgx_hL-_normal.jpg</v>
      </c>
      <c r="AW2441" s="82" t="s">
        <v>14037</v>
      </c>
      <c r="AX2441" s="82" t="s">
        <v>14037</v>
      </c>
      <c r="AY2441" s="77"/>
      <c r="AZ2441" s="82" t="s">
        <v>15984</v>
      </c>
      <c r="BA2441" s="82" t="s">
        <v>15984</v>
      </c>
      <c r="BB2441" s="82" t="s">
        <v>15984</v>
      </c>
      <c r="BC2441" s="82" t="s">
        <v>14037</v>
      </c>
      <c r="BD2441" s="82" t="s">
        <v>15979</v>
      </c>
      <c r="BE2441" s="77"/>
      <c r="BF2441" s="77"/>
      <c r="BG2441" s="77"/>
      <c r="BH2441" s="77"/>
      <c r="BI2441" s="77"/>
    </row>
    <row r="2442" spans="1:61" x14ac:dyDescent="0.25">
      <c r="A2442" s="62" t="s">
        <v>387</v>
      </c>
      <c r="B2442" s="62" t="s">
        <v>387</v>
      </c>
      <c r="C2442" s="63"/>
      <c r="D2442" s="64"/>
      <c r="E2442" s="65"/>
      <c r="F2442" s="66"/>
      <c r="G2442" s="63"/>
      <c r="H2442" s="67"/>
      <c r="I2442" s="68"/>
      <c r="J2442" s="68"/>
      <c r="K2442" s="32"/>
      <c r="L2442" s="75">
        <v>2442</v>
      </c>
      <c r="M2442" s="75"/>
      <c r="N2442" s="70"/>
      <c r="O2442" s="77" t="s">
        <v>179</v>
      </c>
      <c r="P2442" s="79">
        <v>45120.667094907411</v>
      </c>
      <c r="Q2442" s="77" t="s">
        <v>3114</v>
      </c>
      <c r="R2442" s="77">
        <v>0</v>
      </c>
      <c r="S2442" s="77">
        <v>0</v>
      </c>
      <c r="T2442" s="77">
        <v>0</v>
      </c>
      <c r="U2442" s="77">
        <v>0</v>
      </c>
      <c r="V2442" s="77">
        <v>467</v>
      </c>
      <c r="W2442" s="82" t="s">
        <v>4833</v>
      </c>
      <c r="X2442" s="80" t="str">
        <f>HYPERLINK("https://mla.bs/72cc628d")</f>
        <v>https://mla.bs/72cc628d</v>
      </c>
      <c r="Y2442" s="77" t="s">
        <v>6506</v>
      </c>
      <c r="Z2442" s="77"/>
      <c r="AA2442" s="77"/>
      <c r="AB2442" s="77"/>
      <c r="AC2442" s="82" t="s">
        <v>7757</v>
      </c>
      <c r="AD2442" s="77" t="s">
        <v>7788</v>
      </c>
      <c r="AE2442" s="80" t="str">
        <f>HYPERLINK("https://twitter.com/einvestidor/status/1679521221443035137")</f>
        <v>https://twitter.com/einvestidor/status/1679521221443035137</v>
      </c>
      <c r="AF2442" s="79">
        <v>45120.667094907411</v>
      </c>
      <c r="AG2442" s="85">
        <v>45120</v>
      </c>
      <c r="AH2442" s="82" t="s">
        <v>9731</v>
      </c>
      <c r="AI2442" s="77" t="b">
        <v>0</v>
      </c>
      <c r="AJ2442" s="77"/>
      <c r="AK2442" s="77"/>
      <c r="AL2442" s="77"/>
      <c r="AM2442" s="77"/>
      <c r="AN2442" s="77"/>
      <c r="AO2442" s="77"/>
      <c r="AP2442" s="77"/>
      <c r="AQ2442" s="77"/>
      <c r="AR2442" s="77"/>
      <c r="AS2442" s="77"/>
      <c r="AT2442" s="77"/>
      <c r="AU2442" s="77"/>
      <c r="AV2442" s="80" t="str">
        <f>HYPERLINK("https://pbs.twimg.com/profile_images/1241147984924082183/gZgx_hL-_normal.jpg")</f>
        <v>https://pbs.twimg.com/profile_images/1241147984924082183/gZgx_hL-_normal.jpg</v>
      </c>
      <c r="AW2442" s="82" t="s">
        <v>14038</v>
      </c>
      <c r="AX2442" s="82" t="s">
        <v>14038</v>
      </c>
      <c r="AY2442" s="77"/>
      <c r="AZ2442" s="82" t="s">
        <v>15984</v>
      </c>
      <c r="BA2442" s="82" t="s">
        <v>15984</v>
      </c>
      <c r="BB2442" s="82" t="s">
        <v>15984</v>
      </c>
      <c r="BC2442" s="82" t="s">
        <v>14038</v>
      </c>
      <c r="BD2442" s="82" t="s">
        <v>15979</v>
      </c>
      <c r="BE2442" s="77"/>
      <c r="BF2442" s="77"/>
      <c r="BG2442" s="77"/>
      <c r="BH2442" s="77"/>
      <c r="BI2442" s="77"/>
    </row>
    <row r="2443" spans="1:61" x14ac:dyDescent="0.25">
      <c r="A2443" s="62" t="s">
        <v>387</v>
      </c>
      <c r="B2443" s="62" t="s">
        <v>387</v>
      </c>
      <c r="C2443" s="63"/>
      <c r="D2443" s="64"/>
      <c r="E2443" s="65"/>
      <c r="F2443" s="66"/>
      <c r="G2443" s="63"/>
      <c r="H2443" s="67"/>
      <c r="I2443" s="68"/>
      <c r="J2443" s="68"/>
      <c r="K2443" s="32"/>
      <c r="L2443" s="75">
        <v>2443</v>
      </c>
      <c r="M2443" s="75"/>
      <c r="N2443" s="70"/>
      <c r="O2443" s="77" t="s">
        <v>179</v>
      </c>
      <c r="P2443" s="79">
        <v>45180.8125</v>
      </c>
      <c r="Q2443" s="77" t="s">
        <v>3115</v>
      </c>
      <c r="R2443" s="77">
        <v>0</v>
      </c>
      <c r="S2443" s="77">
        <v>0</v>
      </c>
      <c r="T2443" s="77">
        <v>0</v>
      </c>
      <c r="U2443" s="77">
        <v>0</v>
      </c>
      <c r="V2443" s="77">
        <v>515</v>
      </c>
      <c r="W2443" s="82" t="s">
        <v>6012</v>
      </c>
      <c r="X2443" s="80" t="str">
        <f>HYPERLINK("https://einvestidor.estadao.com.br/ultimas/itau-itub4-novidade-app-investimentos//?utm_source=twitter&amp;utm_medium=organic&amp;utm_campaign=&amp;utm_content=materia")</f>
        <v>https://einvestidor.estadao.com.br/ultimas/itau-itub4-novidade-app-investimentos//?utm_source=twitter&amp;utm_medium=organic&amp;utm_campaign=&amp;utm_content=materia</v>
      </c>
      <c r="Y2443" s="77" t="s">
        <v>6470</v>
      </c>
      <c r="Z2443" s="77"/>
      <c r="AA2443" s="77"/>
      <c r="AB2443" s="77"/>
      <c r="AC2443" s="82" t="s">
        <v>7750</v>
      </c>
      <c r="AD2443" s="77" t="s">
        <v>7788</v>
      </c>
      <c r="AE2443" s="80" t="str">
        <f>HYPERLINK("https://twitter.com/einvestidor/status/1701317183639568834")</f>
        <v>https://twitter.com/einvestidor/status/1701317183639568834</v>
      </c>
      <c r="AF2443" s="79">
        <v>45180.8125</v>
      </c>
      <c r="AG2443" s="85">
        <v>45180</v>
      </c>
      <c r="AH2443" s="82" t="s">
        <v>8281</v>
      </c>
      <c r="AI2443" s="77" t="b">
        <v>0</v>
      </c>
      <c r="AJ2443" s="77"/>
      <c r="AK2443" s="77"/>
      <c r="AL2443" s="77"/>
      <c r="AM2443" s="77"/>
      <c r="AN2443" s="77"/>
      <c r="AO2443" s="77"/>
      <c r="AP2443" s="77"/>
      <c r="AQ2443" s="77"/>
      <c r="AR2443" s="77"/>
      <c r="AS2443" s="77"/>
      <c r="AT2443" s="77"/>
      <c r="AU2443" s="77"/>
      <c r="AV2443" s="80" t="str">
        <f>HYPERLINK("https://pbs.twimg.com/profile_images/1241147984924082183/gZgx_hL-_normal.jpg")</f>
        <v>https://pbs.twimg.com/profile_images/1241147984924082183/gZgx_hL-_normal.jpg</v>
      </c>
      <c r="AW2443" s="82" t="s">
        <v>14039</v>
      </c>
      <c r="AX2443" s="82" t="s">
        <v>14039</v>
      </c>
      <c r="AY2443" s="77"/>
      <c r="AZ2443" s="82" t="s">
        <v>15984</v>
      </c>
      <c r="BA2443" s="82" t="s">
        <v>15984</v>
      </c>
      <c r="BB2443" s="82" t="s">
        <v>15984</v>
      </c>
      <c r="BC2443" s="82" t="s">
        <v>14039</v>
      </c>
      <c r="BD2443" s="82" t="s">
        <v>15979</v>
      </c>
      <c r="BE2443" s="77"/>
      <c r="BF2443" s="77"/>
      <c r="BG2443" s="77"/>
      <c r="BH2443" s="77"/>
      <c r="BI2443" s="77"/>
    </row>
    <row r="2444" spans="1:61" x14ac:dyDescent="0.25">
      <c r="A2444" s="62" t="s">
        <v>387</v>
      </c>
      <c r="B2444" s="62" t="s">
        <v>387</v>
      </c>
      <c r="C2444" s="63"/>
      <c r="D2444" s="64"/>
      <c r="E2444" s="65"/>
      <c r="F2444" s="66"/>
      <c r="G2444" s="63"/>
      <c r="H2444" s="67"/>
      <c r="I2444" s="68"/>
      <c r="J2444" s="68"/>
      <c r="K2444" s="32"/>
      <c r="L2444" s="75">
        <v>2444</v>
      </c>
      <c r="M2444" s="75"/>
      <c r="N2444" s="70"/>
      <c r="O2444" s="77" t="s">
        <v>179</v>
      </c>
      <c r="P2444" s="79">
        <v>45177.571111111109</v>
      </c>
      <c r="Q2444" s="77" t="s">
        <v>3116</v>
      </c>
      <c r="R2444" s="77">
        <v>0</v>
      </c>
      <c r="S2444" s="77">
        <v>1</v>
      </c>
      <c r="T2444" s="77">
        <v>0</v>
      </c>
      <c r="U2444" s="77">
        <v>0</v>
      </c>
      <c r="V2444" s="77">
        <v>399</v>
      </c>
      <c r="W2444" s="82" t="s">
        <v>5574</v>
      </c>
      <c r="X2444" s="80" t="str">
        <f>HYPERLINK("https://einvestidor.estadao.com.br/ultimas/ibovespa-hoje-queda-liquidez-pessimismo-exterior//?utm_source=twitter&amp;utm_medium=organic&amp;utm_campaign=ibovespa&amp;utm_content=materia")</f>
        <v>https://einvestidor.estadao.com.br/ultimas/ibovespa-hoje-queda-liquidez-pessimismo-exterior//?utm_source=twitter&amp;utm_medium=organic&amp;utm_campaign=ibovespa&amp;utm_content=materia</v>
      </c>
      <c r="Y2444" s="77" t="s">
        <v>6470</v>
      </c>
      <c r="Z2444" s="77"/>
      <c r="AA2444" s="77"/>
      <c r="AB2444" s="77"/>
      <c r="AC2444" s="82" t="s">
        <v>7750</v>
      </c>
      <c r="AD2444" s="77" t="s">
        <v>7788</v>
      </c>
      <c r="AE2444" s="80" t="str">
        <f>HYPERLINK("https://twitter.com/einvestidor/status/1700142543214616873")</f>
        <v>https://twitter.com/einvestidor/status/1700142543214616873</v>
      </c>
      <c r="AF2444" s="79">
        <v>45177.571111111109</v>
      </c>
      <c r="AG2444" s="85">
        <v>45177</v>
      </c>
      <c r="AH2444" s="82" t="s">
        <v>9732</v>
      </c>
      <c r="AI2444" s="77" t="b">
        <v>0</v>
      </c>
      <c r="AJ2444" s="77"/>
      <c r="AK2444" s="77"/>
      <c r="AL2444" s="77"/>
      <c r="AM2444" s="77"/>
      <c r="AN2444" s="77"/>
      <c r="AO2444" s="77"/>
      <c r="AP2444" s="77"/>
      <c r="AQ2444" s="77"/>
      <c r="AR2444" s="77"/>
      <c r="AS2444" s="77"/>
      <c r="AT2444" s="77"/>
      <c r="AU2444" s="77"/>
      <c r="AV2444" s="80" t="str">
        <f>HYPERLINK("https://pbs.twimg.com/profile_images/1241147984924082183/gZgx_hL-_normal.jpg")</f>
        <v>https://pbs.twimg.com/profile_images/1241147984924082183/gZgx_hL-_normal.jpg</v>
      </c>
      <c r="AW2444" s="82" t="s">
        <v>14040</v>
      </c>
      <c r="AX2444" s="82" t="s">
        <v>14040</v>
      </c>
      <c r="AY2444" s="77"/>
      <c r="AZ2444" s="82" t="s">
        <v>15984</v>
      </c>
      <c r="BA2444" s="82" t="s">
        <v>15984</v>
      </c>
      <c r="BB2444" s="82" t="s">
        <v>15984</v>
      </c>
      <c r="BC2444" s="82" t="s">
        <v>14040</v>
      </c>
      <c r="BD2444" s="82" t="s">
        <v>15979</v>
      </c>
      <c r="BE2444" s="77"/>
      <c r="BF2444" s="77"/>
      <c r="BG2444" s="77"/>
      <c r="BH2444" s="77"/>
      <c r="BI2444" s="77"/>
    </row>
    <row r="2445" spans="1:61" x14ac:dyDescent="0.25">
      <c r="A2445" s="62" t="s">
        <v>387</v>
      </c>
      <c r="B2445" s="62" t="s">
        <v>387</v>
      </c>
      <c r="C2445" s="63"/>
      <c r="D2445" s="64"/>
      <c r="E2445" s="65"/>
      <c r="F2445" s="66"/>
      <c r="G2445" s="63"/>
      <c r="H2445" s="67"/>
      <c r="I2445" s="68"/>
      <c r="J2445" s="68"/>
      <c r="K2445" s="32"/>
      <c r="L2445" s="75">
        <v>2445</v>
      </c>
      <c r="M2445" s="75"/>
      <c r="N2445" s="70"/>
      <c r="O2445" s="77" t="s">
        <v>179</v>
      </c>
      <c r="P2445" s="79">
        <v>45177.532037037039</v>
      </c>
      <c r="Q2445" s="77" t="s">
        <v>3117</v>
      </c>
      <c r="R2445" s="77">
        <v>0</v>
      </c>
      <c r="S2445" s="77">
        <v>0</v>
      </c>
      <c r="T2445" s="77">
        <v>0</v>
      </c>
      <c r="U2445" s="77">
        <v>0</v>
      </c>
      <c r="V2445" s="77">
        <v>445</v>
      </c>
      <c r="W2445" s="82" t="s">
        <v>4839</v>
      </c>
      <c r="X2445" s="80" t="str">
        <f>HYPERLINK("https://einvestidor.estadao.com.br/mercado/abertura-de-mercado-08-09-2023/?utm_source=twitter&amp;utm_medium=organic&amp;utm_campaign=abertura-de-mercado&amp;utm_content=materia")</f>
        <v>https://einvestidor.estadao.com.br/mercado/abertura-de-mercado-08-09-2023/?utm_source=twitter&amp;utm_medium=organic&amp;utm_campaign=abertura-de-mercado&amp;utm_content=materia</v>
      </c>
      <c r="Y2445" s="77" t="s">
        <v>6470</v>
      </c>
      <c r="Z2445" s="77"/>
      <c r="AA2445" s="77"/>
      <c r="AB2445" s="77"/>
      <c r="AC2445" s="82" t="s">
        <v>7750</v>
      </c>
      <c r="AD2445" s="77" t="s">
        <v>7788</v>
      </c>
      <c r="AE2445" s="80" t="str">
        <f>HYPERLINK("https://twitter.com/einvestidor/status/1700128383567327485")</f>
        <v>https://twitter.com/einvestidor/status/1700128383567327485</v>
      </c>
      <c r="AF2445" s="79">
        <v>45177.532037037039</v>
      </c>
      <c r="AG2445" s="85">
        <v>45177</v>
      </c>
      <c r="AH2445" s="82" t="s">
        <v>9733</v>
      </c>
      <c r="AI2445" s="77" t="b">
        <v>0</v>
      </c>
      <c r="AJ2445" s="77"/>
      <c r="AK2445" s="77"/>
      <c r="AL2445" s="77"/>
      <c r="AM2445" s="77"/>
      <c r="AN2445" s="77"/>
      <c r="AO2445" s="77"/>
      <c r="AP2445" s="77"/>
      <c r="AQ2445" s="77"/>
      <c r="AR2445" s="77"/>
      <c r="AS2445" s="77"/>
      <c r="AT2445" s="77"/>
      <c r="AU2445" s="77"/>
      <c r="AV2445" s="80" t="str">
        <f>HYPERLINK("https://pbs.twimg.com/profile_images/1241147984924082183/gZgx_hL-_normal.jpg")</f>
        <v>https://pbs.twimg.com/profile_images/1241147984924082183/gZgx_hL-_normal.jpg</v>
      </c>
      <c r="AW2445" s="82" t="s">
        <v>14041</v>
      </c>
      <c r="AX2445" s="82" t="s">
        <v>14041</v>
      </c>
      <c r="AY2445" s="77"/>
      <c r="AZ2445" s="82" t="s">
        <v>15984</v>
      </c>
      <c r="BA2445" s="82" t="s">
        <v>15984</v>
      </c>
      <c r="BB2445" s="82" t="s">
        <v>15984</v>
      </c>
      <c r="BC2445" s="82" t="s">
        <v>14041</v>
      </c>
      <c r="BD2445" s="82" t="s">
        <v>15979</v>
      </c>
      <c r="BE2445" s="77"/>
      <c r="BF2445" s="77"/>
      <c r="BG2445" s="77"/>
      <c r="BH2445" s="77"/>
      <c r="BI2445" s="77"/>
    </row>
    <row r="2446" spans="1:61" x14ac:dyDescent="0.25">
      <c r="A2446" s="62" t="s">
        <v>387</v>
      </c>
      <c r="B2446" s="62" t="s">
        <v>387</v>
      </c>
      <c r="C2446" s="63"/>
      <c r="D2446" s="64"/>
      <c r="E2446" s="65"/>
      <c r="F2446" s="66"/>
      <c r="G2446" s="63"/>
      <c r="H2446" s="67"/>
      <c r="I2446" s="68"/>
      <c r="J2446" s="68"/>
      <c r="K2446" s="32"/>
      <c r="L2446" s="75">
        <v>2446</v>
      </c>
      <c r="M2446" s="75"/>
      <c r="N2446" s="70"/>
      <c r="O2446" s="77" t="s">
        <v>179</v>
      </c>
      <c r="P2446" s="79">
        <v>45175.760416666664</v>
      </c>
      <c r="Q2446" s="77" t="s">
        <v>3118</v>
      </c>
      <c r="R2446" s="77">
        <v>0</v>
      </c>
      <c r="S2446" s="77">
        <v>0</v>
      </c>
      <c r="T2446" s="77">
        <v>0</v>
      </c>
      <c r="U2446" s="77">
        <v>0</v>
      </c>
      <c r="V2446" s="77">
        <v>434</v>
      </c>
      <c r="W2446" s="82" t="s">
        <v>5913</v>
      </c>
      <c r="X2446" s="80" t="str">
        <f>HYPERLINK("https://einvestidor.estadao.com.br/ultimas/investidores-estrangeiros-retiraram-milhoes-b3-04-09//?utm_source=twitter&amp;utm_medium=organic&amp;utm_campaign=&amp;utm_content=materia")</f>
        <v>https://einvestidor.estadao.com.br/ultimas/investidores-estrangeiros-retiraram-milhoes-b3-04-09//?utm_source=twitter&amp;utm_medium=organic&amp;utm_campaign=&amp;utm_content=materia</v>
      </c>
      <c r="Y2446" s="77" t="s">
        <v>6470</v>
      </c>
      <c r="Z2446" s="77"/>
      <c r="AA2446" s="77"/>
      <c r="AB2446" s="77"/>
      <c r="AC2446" s="82" t="s">
        <v>7750</v>
      </c>
      <c r="AD2446" s="77" t="s">
        <v>7788</v>
      </c>
      <c r="AE2446" s="80" t="str">
        <f>HYPERLINK("https://twitter.com/einvestidor/status/1699486370002071789")</f>
        <v>https://twitter.com/einvestidor/status/1699486370002071789</v>
      </c>
      <c r="AF2446" s="79">
        <v>45175.760416666664</v>
      </c>
      <c r="AG2446" s="85">
        <v>45175</v>
      </c>
      <c r="AH2446" s="82" t="s">
        <v>9582</v>
      </c>
      <c r="AI2446" s="77" t="b">
        <v>0</v>
      </c>
      <c r="AJ2446" s="77"/>
      <c r="AK2446" s="77"/>
      <c r="AL2446" s="77"/>
      <c r="AM2446" s="77"/>
      <c r="AN2446" s="77"/>
      <c r="AO2446" s="77"/>
      <c r="AP2446" s="77"/>
      <c r="AQ2446" s="77"/>
      <c r="AR2446" s="77"/>
      <c r="AS2446" s="77"/>
      <c r="AT2446" s="77"/>
      <c r="AU2446" s="77"/>
      <c r="AV2446" s="80" t="str">
        <f>HYPERLINK("https://pbs.twimg.com/profile_images/1241147984924082183/gZgx_hL-_normal.jpg")</f>
        <v>https://pbs.twimg.com/profile_images/1241147984924082183/gZgx_hL-_normal.jpg</v>
      </c>
      <c r="AW2446" s="82" t="s">
        <v>14042</v>
      </c>
      <c r="AX2446" s="82" t="s">
        <v>14042</v>
      </c>
      <c r="AY2446" s="77"/>
      <c r="AZ2446" s="82" t="s">
        <v>15984</v>
      </c>
      <c r="BA2446" s="82" t="s">
        <v>15984</v>
      </c>
      <c r="BB2446" s="82" t="s">
        <v>15984</v>
      </c>
      <c r="BC2446" s="82" t="s">
        <v>14042</v>
      </c>
      <c r="BD2446" s="82" t="s">
        <v>15979</v>
      </c>
      <c r="BE2446" s="77"/>
      <c r="BF2446" s="77"/>
      <c r="BG2446" s="77"/>
      <c r="BH2446" s="77"/>
      <c r="BI2446" s="77"/>
    </row>
    <row r="2447" spans="1:61" x14ac:dyDescent="0.25">
      <c r="A2447" s="62" t="s">
        <v>387</v>
      </c>
      <c r="B2447" s="62" t="s">
        <v>387</v>
      </c>
      <c r="C2447" s="63"/>
      <c r="D2447" s="64"/>
      <c r="E2447" s="65"/>
      <c r="F2447" s="66"/>
      <c r="G2447" s="63"/>
      <c r="H2447" s="67"/>
      <c r="I2447" s="68"/>
      <c r="J2447" s="68"/>
      <c r="K2447" s="32"/>
      <c r="L2447" s="75">
        <v>2447</v>
      </c>
      <c r="M2447" s="75"/>
      <c r="N2447" s="70"/>
      <c r="O2447" s="77" t="s">
        <v>179</v>
      </c>
      <c r="P2447" s="79">
        <v>45175.75</v>
      </c>
      <c r="Q2447" s="77" t="s">
        <v>3119</v>
      </c>
      <c r="R2447" s="77">
        <v>0</v>
      </c>
      <c r="S2447" s="77">
        <v>0</v>
      </c>
      <c r="T2447" s="77">
        <v>0</v>
      </c>
      <c r="U2447" s="77">
        <v>0</v>
      </c>
      <c r="V2447" s="77">
        <v>465</v>
      </c>
      <c r="W2447" s="82" t="s">
        <v>4833</v>
      </c>
      <c r="X2447" s="80" t="str">
        <f>HYPERLINK("https://einvestidor.estadao.com.br/investimentos/bdr-concorrencia-conta-dolar-investimento/?utm_source=twitter&amp;utm_medium=organic&amp;utm_campaign=&amp;utm_content=materia")</f>
        <v>https://einvestidor.estadao.com.br/investimentos/bdr-concorrencia-conta-dolar-investimento/?utm_source=twitter&amp;utm_medium=organic&amp;utm_campaign=&amp;utm_content=materia</v>
      </c>
      <c r="Y2447" s="77" t="s">
        <v>6470</v>
      </c>
      <c r="Z2447" s="77"/>
      <c r="AA2447" s="77"/>
      <c r="AB2447" s="77"/>
      <c r="AC2447" s="82" t="s">
        <v>7750</v>
      </c>
      <c r="AD2447" s="77" t="s">
        <v>7788</v>
      </c>
      <c r="AE2447" s="80" t="str">
        <f>HYPERLINK("https://twitter.com/einvestidor/status/1699482596617355535")</f>
        <v>https://twitter.com/einvestidor/status/1699482596617355535</v>
      </c>
      <c r="AF2447" s="79">
        <v>45175.75</v>
      </c>
      <c r="AG2447" s="85">
        <v>45175</v>
      </c>
      <c r="AH2447" s="82" t="s">
        <v>7934</v>
      </c>
      <c r="AI2447" s="77" t="b">
        <v>0</v>
      </c>
      <c r="AJ2447" s="77"/>
      <c r="AK2447" s="77"/>
      <c r="AL2447" s="77"/>
      <c r="AM2447" s="77"/>
      <c r="AN2447" s="77"/>
      <c r="AO2447" s="77"/>
      <c r="AP2447" s="77"/>
      <c r="AQ2447" s="77"/>
      <c r="AR2447" s="77"/>
      <c r="AS2447" s="77"/>
      <c r="AT2447" s="77"/>
      <c r="AU2447" s="77"/>
      <c r="AV2447" s="80" t="str">
        <f>HYPERLINK("https://pbs.twimg.com/profile_images/1241147984924082183/gZgx_hL-_normal.jpg")</f>
        <v>https://pbs.twimg.com/profile_images/1241147984924082183/gZgx_hL-_normal.jpg</v>
      </c>
      <c r="AW2447" s="82" t="s">
        <v>14043</v>
      </c>
      <c r="AX2447" s="82" t="s">
        <v>14043</v>
      </c>
      <c r="AY2447" s="77"/>
      <c r="AZ2447" s="82" t="s">
        <v>15984</v>
      </c>
      <c r="BA2447" s="82" t="s">
        <v>15984</v>
      </c>
      <c r="BB2447" s="82" t="s">
        <v>15984</v>
      </c>
      <c r="BC2447" s="82" t="s">
        <v>14043</v>
      </c>
      <c r="BD2447" s="82" t="s">
        <v>15979</v>
      </c>
      <c r="BE2447" s="77"/>
      <c r="BF2447" s="77"/>
      <c r="BG2447" s="77"/>
      <c r="BH2447" s="77"/>
      <c r="BI2447" s="77"/>
    </row>
    <row r="2448" spans="1:61" x14ac:dyDescent="0.25">
      <c r="A2448" s="62" t="s">
        <v>387</v>
      </c>
      <c r="B2448" s="62" t="s">
        <v>387</v>
      </c>
      <c r="C2448" s="63"/>
      <c r="D2448" s="64"/>
      <c r="E2448" s="65"/>
      <c r="F2448" s="66"/>
      <c r="G2448" s="63"/>
      <c r="H2448" s="67"/>
      <c r="I2448" s="68"/>
      <c r="J2448" s="68"/>
      <c r="K2448" s="32"/>
      <c r="L2448" s="75">
        <v>2448</v>
      </c>
      <c r="M2448" s="75"/>
      <c r="N2448" s="70"/>
      <c r="O2448" s="77" t="s">
        <v>179</v>
      </c>
      <c r="P2448" s="79">
        <v>45174.84375</v>
      </c>
      <c r="Q2448" s="77" t="s">
        <v>3120</v>
      </c>
      <c r="R2448" s="77">
        <v>0</v>
      </c>
      <c r="S2448" s="77">
        <v>4</v>
      </c>
      <c r="T2448" s="77">
        <v>0</v>
      </c>
      <c r="U2448" s="77">
        <v>0</v>
      </c>
      <c r="V2448" s="77">
        <v>473</v>
      </c>
      <c r="W2448" s="82" t="s">
        <v>4833</v>
      </c>
      <c r="X2448" s="80" t="str">
        <f>HYPERLINK("https://einvestidor.estadao.com.br/mercado/acoes-pagam-dividendos-em-setembro-2023/?utm_source=twitter&amp;utm_medium=organic&amp;utm_campaign=&amp;utm_content=materia")</f>
        <v>https://einvestidor.estadao.com.br/mercado/acoes-pagam-dividendos-em-setembro-2023/?utm_source=twitter&amp;utm_medium=organic&amp;utm_campaign=&amp;utm_content=materia</v>
      </c>
      <c r="Y2448" s="77" t="s">
        <v>6470</v>
      </c>
      <c r="Z2448" s="77"/>
      <c r="AA2448" s="77"/>
      <c r="AB2448" s="77"/>
      <c r="AC2448" s="82" t="s">
        <v>7750</v>
      </c>
      <c r="AD2448" s="77" t="s">
        <v>7788</v>
      </c>
      <c r="AE2448" s="80" t="str">
        <f>HYPERLINK("https://twitter.com/einvestidor/status/1699154181213618605")</f>
        <v>https://twitter.com/einvestidor/status/1699154181213618605</v>
      </c>
      <c r="AF2448" s="79">
        <v>45174.84375</v>
      </c>
      <c r="AG2448" s="85">
        <v>45174</v>
      </c>
      <c r="AH2448" s="82" t="s">
        <v>9296</v>
      </c>
      <c r="AI2448" s="77" t="b">
        <v>0</v>
      </c>
      <c r="AJ2448" s="77"/>
      <c r="AK2448" s="77"/>
      <c r="AL2448" s="77"/>
      <c r="AM2448" s="77"/>
      <c r="AN2448" s="77"/>
      <c r="AO2448" s="77"/>
      <c r="AP2448" s="77"/>
      <c r="AQ2448" s="77"/>
      <c r="AR2448" s="77"/>
      <c r="AS2448" s="77"/>
      <c r="AT2448" s="77"/>
      <c r="AU2448" s="77"/>
      <c r="AV2448" s="80" t="str">
        <f>HYPERLINK("https://pbs.twimg.com/profile_images/1241147984924082183/gZgx_hL-_normal.jpg")</f>
        <v>https://pbs.twimg.com/profile_images/1241147984924082183/gZgx_hL-_normal.jpg</v>
      </c>
      <c r="AW2448" s="82" t="s">
        <v>14044</v>
      </c>
      <c r="AX2448" s="82" t="s">
        <v>14044</v>
      </c>
      <c r="AY2448" s="77"/>
      <c r="AZ2448" s="82" t="s">
        <v>15984</v>
      </c>
      <c r="BA2448" s="82" t="s">
        <v>15984</v>
      </c>
      <c r="BB2448" s="82" t="s">
        <v>15984</v>
      </c>
      <c r="BC2448" s="82" t="s">
        <v>14044</v>
      </c>
      <c r="BD2448" s="82" t="s">
        <v>15979</v>
      </c>
      <c r="BE2448" s="77"/>
      <c r="BF2448" s="77"/>
      <c r="BG2448" s="77"/>
      <c r="BH2448" s="77"/>
      <c r="BI2448" s="77"/>
    </row>
    <row r="2449" spans="1:61" x14ac:dyDescent="0.25">
      <c r="A2449" s="62" t="s">
        <v>387</v>
      </c>
      <c r="B2449" s="62" t="s">
        <v>387</v>
      </c>
      <c r="C2449" s="63"/>
      <c r="D2449" s="64"/>
      <c r="E2449" s="65"/>
      <c r="F2449" s="66"/>
      <c r="G2449" s="63"/>
      <c r="H2449" s="67"/>
      <c r="I2449" s="68"/>
      <c r="J2449" s="68"/>
      <c r="K2449" s="32"/>
      <c r="L2449" s="75">
        <v>2449</v>
      </c>
      <c r="M2449" s="75"/>
      <c r="N2449" s="70"/>
      <c r="O2449" s="77" t="s">
        <v>179</v>
      </c>
      <c r="P2449" s="79">
        <v>45174.833344907405</v>
      </c>
      <c r="Q2449" s="77" t="s">
        <v>3121</v>
      </c>
      <c r="R2449" s="77">
        <v>0</v>
      </c>
      <c r="S2449" s="77">
        <v>1</v>
      </c>
      <c r="T2449" s="77">
        <v>0</v>
      </c>
      <c r="U2449" s="77">
        <v>0</v>
      </c>
      <c r="V2449" s="77">
        <v>481</v>
      </c>
      <c r="W2449" s="82" t="s">
        <v>6013</v>
      </c>
      <c r="X2449" s="80" t="str">
        <f>HYPERLINK("https://einvestidor.estadao.com.br/ultimas/fitch-rating-titulos-de-divida-jbs-jbss3-minerva-beef3//?utm_source=twitter&amp;utm_medium=organic&amp;utm_campaign=&amp;utm_content=materia")</f>
        <v>https://einvestidor.estadao.com.br/ultimas/fitch-rating-titulos-de-divida-jbs-jbss3-minerva-beef3//?utm_source=twitter&amp;utm_medium=organic&amp;utm_campaign=&amp;utm_content=materia</v>
      </c>
      <c r="Y2449" s="77" t="s">
        <v>6470</v>
      </c>
      <c r="Z2449" s="77"/>
      <c r="AA2449" s="77"/>
      <c r="AB2449" s="77"/>
      <c r="AC2449" s="82" t="s">
        <v>7750</v>
      </c>
      <c r="AD2449" s="77" t="s">
        <v>7788</v>
      </c>
      <c r="AE2449" s="80" t="str">
        <f>HYPERLINK("https://twitter.com/einvestidor/status/1699150412618543412")</f>
        <v>https://twitter.com/einvestidor/status/1699150412618543412</v>
      </c>
      <c r="AF2449" s="79">
        <v>45174.833344907405</v>
      </c>
      <c r="AG2449" s="85">
        <v>45174</v>
      </c>
      <c r="AH2449" s="82" t="s">
        <v>8284</v>
      </c>
      <c r="AI2449" s="77" t="b">
        <v>0</v>
      </c>
      <c r="AJ2449" s="77"/>
      <c r="AK2449" s="77"/>
      <c r="AL2449" s="77"/>
      <c r="AM2449" s="77"/>
      <c r="AN2449" s="77"/>
      <c r="AO2449" s="77"/>
      <c r="AP2449" s="77"/>
      <c r="AQ2449" s="77"/>
      <c r="AR2449" s="77"/>
      <c r="AS2449" s="77"/>
      <c r="AT2449" s="77"/>
      <c r="AU2449" s="77"/>
      <c r="AV2449" s="80" t="str">
        <f>HYPERLINK("https://pbs.twimg.com/profile_images/1241147984924082183/gZgx_hL-_normal.jpg")</f>
        <v>https://pbs.twimg.com/profile_images/1241147984924082183/gZgx_hL-_normal.jpg</v>
      </c>
      <c r="AW2449" s="82" t="s">
        <v>14045</v>
      </c>
      <c r="AX2449" s="82" t="s">
        <v>14045</v>
      </c>
      <c r="AY2449" s="77"/>
      <c r="AZ2449" s="82" t="s">
        <v>15984</v>
      </c>
      <c r="BA2449" s="82" t="s">
        <v>15984</v>
      </c>
      <c r="BB2449" s="82" t="s">
        <v>15984</v>
      </c>
      <c r="BC2449" s="82" t="s">
        <v>14045</v>
      </c>
      <c r="BD2449" s="82" t="s">
        <v>15979</v>
      </c>
      <c r="BE2449" s="77"/>
      <c r="BF2449" s="77"/>
      <c r="BG2449" s="77"/>
      <c r="BH2449" s="77"/>
      <c r="BI2449" s="77"/>
    </row>
    <row r="2450" spans="1:61" x14ac:dyDescent="0.25">
      <c r="A2450" s="62" t="s">
        <v>387</v>
      </c>
      <c r="B2450" s="62" t="s">
        <v>387</v>
      </c>
      <c r="C2450" s="63"/>
      <c r="D2450" s="64"/>
      <c r="E2450" s="65"/>
      <c r="F2450" s="66"/>
      <c r="G2450" s="63"/>
      <c r="H2450" s="67"/>
      <c r="I2450" s="68"/>
      <c r="J2450" s="68"/>
      <c r="K2450" s="32"/>
      <c r="L2450" s="75">
        <v>2450</v>
      </c>
      <c r="M2450" s="75"/>
      <c r="N2450" s="70"/>
      <c r="O2450" s="77" t="s">
        <v>179</v>
      </c>
      <c r="P2450" s="79">
        <v>45169.927083333336</v>
      </c>
      <c r="Q2450" s="77" t="s">
        <v>3122</v>
      </c>
      <c r="R2450" s="77">
        <v>0</v>
      </c>
      <c r="S2450" s="77">
        <v>2</v>
      </c>
      <c r="T2450" s="77">
        <v>0</v>
      </c>
      <c r="U2450" s="77">
        <v>0</v>
      </c>
      <c r="V2450" s="77">
        <v>663</v>
      </c>
      <c r="W2450" s="82" t="s">
        <v>5961</v>
      </c>
      <c r="X2450" s="80" t="str">
        <f>HYPERLINK("https://einvestidor.estadao.com.br/radar-einvestidor/apos-tuite-presidente-petrobras-petr3-petr4-acoes-caem/?utm_source=twitter&amp;utm_medium=organic&amp;utm_campaign=&amp;utm_content=materia")</f>
        <v>https://einvestidor.estadao.com.br/radar-einvestidor/apos-tuite-presidente-petrobras-petr3-petr4-acoes-caem/?utm_source=twitter&amp;utm_medium=organic&amp;utm_campaign=&amp;utm_content=materia</v>
      </c>
      <c r="Y2450" s="77" t="s">
        <v>6470</v>
      </c>
      <c r="Z2450" s="77"/>
      <c r="AA2450" s="77"/>
      <c r="AB2450" s="77"/>
      <c r="AC2450" s="82" t="s">
        <v>7750</v>
      </c>
      <c r="AD2450" s="77" t="s">
        <v>7788</v>
      </c>
      <c r="AE2450" s="80" t="str">
        <f>HYPERLINK("https://twitter.com/einvestidor/status/1697372441012769038")</f>
        <v>https://twitter.com/einvestidor/status/1697372441012769038</v>
      </c>
      <c r="AF2450" s="79">
        <v>45169.927083333336</v>
      </c>
      <c r="AG2450" s="85">
        <v>45169</v>
      </c>
      <c r="AH2450" s="82" t="s">
        <v>9576</v>
      </c>
      <c r="AI2450" s="77" t="b">
        <v>0</v>
      </c>
      <c r="AJ2450" s="77"/>
      <c r="AK2450" s="77"/>
      <c r="AL2450" s="77"/>
      <c r="AM2450" s="77"/>
      <c r="AN2450" s="77"/>
      <c r="AO2450" s="77"/>
      <c r="AP2450" s="77"/>
      <c r="AQ2450" s="77"/>
      <c r="AR2450" s="77"/>
      <c r="AS2450" s="77"/>
      <c r="AT2450" s="77"/>
      <c r="AU2450" s="77"/>
      <c r="AV2450" s="80" t="str">
        <f>HYPERLINK("https://pbs.twimg.com/profile_images/1241147984924082183/gZgx_hL-_normal.jpg")</f>
        <v>https://pbs.twimg.com/profile_images/1241147984924082183/gZgx_hL-_normal.jpg</v>
      </c>
      <c r="AW2450" s="82" t="s">
        <v>14046</v>
      </c>
      <c r="AX2450" s="82" t="s">
        <v>14046</v>
      </c>
      <c r="AY2450" s="77"/>
      <c r="AZ2450" s="82" t="s">
        <v>15984</v>
      </c>
      <c r="BA2450" s="82" t="s">
        <v>15984</v>
      </c>
      <c r="BB2450" s="82" t="s">
        <v>15984</v>
      </c>
      <c r="BC2450" s="82" t="s">
        <v>14046</v>
      </c>
      <c r="BD2450" s="82" t="s">
        <v>15979</v>
      </c>
      <c r="BE2450" s="77"/>
      <c r="BF2450" s="77"/>
      <c r="BG2450" s="77"/>
      <c r="BH2450" s="77"/>
      <c r="BI2450" s="77"/>
    </row>
    <row r="2451" spans="1:61" x14ac:dyDescent="0.25">
      <c r="A2451" s="62" t="s">
        <v>387</v>
      </c>
      <c r="B2451" s="62" t="s">
        <v>387</v>
      </c>
      <c r="C2451" s="63"/>
      <c r="D2451" s="64"/>
      <c r="E2451" s="65"/>
      <c r="F2451" s="66"/>
      <c r="G2451" s="63"/>
      <c r="H2451" s="67"/>
      <c r="I2451" s="68"/>
      <c r="J2451" s="68"/>
      <c r="K2451" s="32"/>
      <c r="L2451" s="75">
        <v>2451</v>
      </c>
      <c r="M2451" s="75"/>
      <c r="N2451" s="70"/>
      <c r="O2451" s="77" t="s">
        <v>179</v>
      </c>
      <c r="P2451" s="79">
        <v>45169.916666666664</v>
      </c>
      <c r="Q2451" s="77" t="s">
        <v>3123</v>
      </c>
      <c r="R2451" s="77">
        <v>0</v>
      </c>
      <c r="S2451" s="77">
        <v>1</v>
      </c>
      <c r="T2451" s="77">
        <v>0</v>
      </c>
      <c r="U2451" s="77">
        <v>0</v>
      </c>
      <c r="V2451" s="77">
        <v>560</v>
      </c>
      <c r="W2451" s="82" t="s">
        <v>6014</v>
      </c>
      <c r="X2451" s="80" t="str">
        <f>HYPERLINK("https://einvestidor.estadao.com.br/radar-einvestidor/cpi-criptomoedas-ronaldinho-gaucho-nega-golpe/?utm_source=twitter&amp;utm_medium=organic&amp;utm_campaign=&amp;utm_content=materia")</f>
        <v>https://einvestidor.estadao.com.br/radar-einvestidor/cpi-criptomoedas-ronaldinho-gaucho-nega-golpe/?utm_source=twitter&amp;utm_medium=organic&amp;utm_campaign=&amp;utm_content=materia</v>
      </c>
      <c r="Y2451" s="77" t="s">
        <v>6470</v>
      </c>
      <c r="Z2451" s="77"/>
      <c r="AA2451" s="77"/>
      <c r="AB2451" s="77"/>
      <c r="AC2451" s="82" t="s">
        <v>7750</v>
      </c>
      <c r="AD2451" s="77" t="s">
        <v>7788</v>
      </c>
      <c r="AE2451" s="80" t="str">
        <f>HYPERLINK("https://twitter.com/einvestidor/status/1697368669117104218")</f>
        <v>https://twitter.com/einvestidor/status/1697368669117104218</v>
      </c>
      <c r="AF2451" s="79">
        <v>45169.916666666664</v>
      </c>
      <c r="AG2451" s="85">
        <v>45169</v>
      </c>
      <c r="AH2451" s="82" t="s">
        <v>9577</v>
      </c>
      <c r="AI2451" s="77" t="b">
        <v>0</v>
      </c>
      <c r="AJ2451" s="77"/>
      <c r="AK2451" s="77"/>
      <c r="AL2451" s="77"/>
      <c r="AM2451" s="77"/>
      <c r="AN2451" s="77"/>
      <c r="AO2451" s="77"/>
      <c r="AP2451" s="77"/>
      <c r="AQ2451" s="77"/>
      <c r="AR2451" s="77"/>
      <c r="AS2451" s="77"/>
      <c r="AT2451" s="77"/>
      <c r="AU2451" s="77"/>
      <c r="AV2451" s="80" t="str">
        <f>HYPERLINK("https://pbs.twimg.com/profile_images/1241147984924082183/gZgx_hL-_normal.jpg")</f>
        <v>https://pbs.twimg.com/profile_images/1241147984924082183/gZgx_hL-_normal.jpg</v>
      </c>
      <c r="AW2451" s="82" t="s">
        <v>14047</v>
      </c>
      <c r="AX2451" s="82" t="s">
        <v>14047</v>
      </c>
      <c r="AY2451" s="77"/>
      <c r="AZ2451" s="82" t="s">
        <v>15984</v>
      </c>
      <c r="BA2451" s="82" t="s">
        <v>15984</v>
      </c>
      <c r="BB2451" s="82" t="s">
        <v>15984</v>
      </c>
      <c r="BC2451" s="82" t="s">
        <v>14047</v>
      </c>
      <c r="BD2451" s="82" t="s">
        <v>15979</v>
      </c>
      <c r="BE2451" s="77"/>
      <c r="BF2451" s="77"/>
      <c r="BG2451" s="77"/>
      <c r="BH2451" s="77"/>
      <c r="BI2451" s="77"/>
    </row>
    <row r="2452" spans="1:61" x14ac:dyDescent="0.25">
      <c r="A2452" s="62" t="s">
        <v>387</v>
      </c>
      <c r="B2452" s="62" t="s">
        <v>387</v>
      </c>
      <c r="C2452" s="63"/>
      <c r="D2452" s="64"/>
      <c r="E2452" s="65"/>
      <c r="F2452" s="66"/>
      <c r="G2452" s="63"/>
      <c r="H2452" s="67"/>
      <c r="I2452" s="68"/>
      <c r="J2452" s="68"/>
      <c r="K2452" s="32"/>
      <c r="L2452" s="75">
        <v>2452</v>
      </c>
      <c r="M2452" s="75"/>
      <c r="N2452" s="70"/>
      <c r="O2452" s="77" t="s">
        <v>179</v>
      </c>
      <c r="P2452" s="79">
        <v>45169.90625</v>
      </c>
      <c r="Q2452" s="77" t="s">
        <v>3124</v>
      </c>
      <c r="R2452" s="77">
        <v>1</v>
      </c>
      <c r="S2452" s="77">
        <v>2</v>
      </c>
      <c r="T2452" s="77">
        <v>0</v>
      </c>
      <c r="U2452" s="77">
        <v>0</v>
      </c>
      <c r="V2452" s="77">
        <v>832</v>
      </c>
      <c r="W2452" s="82" t="s">
        <v>4833</v>
      </c>
      <c r="X2452" s="80" t="str">
        <f>HYPERLINK("https://einvestidor.estadao.com.br/mercado/ibovespa-confirma-pior-agosto-desde-2015/?utm_source=twitter&amp;utm_medium=organic&amp;utm_campaign=&amp;utm_content=materia")</f>
        <v>https://einvestidor.estadao.com.br/mercado/ibovespa-confirma-pior-agosto-desde-2015/?utm_source=twitter&amp;utm_medium=organic&amp;utm_campaign=&amp;utm_content=materia</v>
      </c>
      <c r="Y2452" s="77" t="s">
        <v>6470</v>
      </c>
      <c r="Z2452" s="77"/>
      <c r="AA2452" s="77"/>
      <c r="AB2452" s="77"/>
      <c r="AC2452" s="82" t="s">
        <v>7750</v>
      </c>
      <c r="AD2452" s="77" t="s">
        <v>7788</v>
      </c>
      <c r="AE2452" s="80" t="str">
        <f>HYPERLINK("https://twitter.com/einvestidor/status/1697364891190067429")</f>
        <v>https://twitter.com/einvestidor/status/1697364891190067429</v>
      </c>
      <c r="AF2452" s="79">
        <v>45169.90625</v>
      </c>
      <c r="AG2452" s="85">
        <v>45169</v>
      </c>
      <c r="AH2452" s="82" t="s">
        <v>9578</v>
      </c>
      <c r="AI2452" s="77" t="b">
        <v>0</v>
      </c>
      <c r="AJ2452" s="77"/>
      <c r="AK2452" s="77"/>
      <c r="AL2452" s="77"/>
      <c r="AM2452" s="77"/>
      <c r="AN2452" s="77"/>
      <c r="AO2452" s="77"/>
      <c r="AP2452" s="77"/>
      <c r="AQ2452" s="77"/>
      <c r="AR2452" s="77"/>
      <c r="AS2452" s="77"/>
      <c r="AT2452" s="77"/>
      <c r="AU2452" s="77"/>
      <c r="AV2452" s="80" t="str">
        <f>HYPERLINK("https://pbs.twimg.com/profile_images/1241147984924082183/gZgx_hL-_normal.jpg")</f>
        <v>https://pbs.twimg.com/profile_images/1241147984924082183/gZgx_hL-_normal.jpg</v>
      </c>
      <c r="AW2452" s="82" t="s">
        <v>14048</v>
      </c>
      <c r="AX2452" s="82" t="s">
        <v>14048</v>
      </c>
      <c r="AY2452" s="77"/>
      <c r="AZ2452" s="82" t="s">
        <v>15984</v>
      </c>
      <c r="BA2452" s="82" t="s">
        <v>15984</v>
      </c>
      <c r="BB2452" s="82" t="s">
        <v>15984</v>
      </c>
      <c r="BC2452" s="82" t="s">
        <v>14048</v>
      </c>
      <c r="BD2452" s="82" t="s">
        <v>15979</v>
      </c>
      <c r="BE2452" s="77"/>
      <c r="BF2452" s="77"/>
      <c r="BG2452" s="77"/>
      <c r="BH2452" s="77"/>
      <c r="BI2452" s="77"/>
    </row>
    <row r="2453" spans="1:61" x14ac:dyDescent="0.25">
      <c r="A2453" s="62" t="s">
        <v>387</v>
      </c>
      <c r="B2453" s="62" t="s">
        <v>387</v>
      </c>
      <c r="C2453" s="63"/>
      <c r="D2453" s="64"/>
      <c r="E2453" s="65"/>
      <c r="F2453" s="66"/>
      <c r="G2453" s="63"/>
      <c r="H2453" s="67"/>
      <c r="I2453" s="68"/>
      <c r="J2453" s="68"/>
      <c r="K2453" s="32"/>
      <c r="L2453" s="75">
        <v>2453</v>
      </c>
      <c r="M2453" s="75"/>
      <c r="N2453" s="70"/>
      <c r="O2453" s="77" t="s">
        <v>179</v>
      </c>
      <c r="P2453" s="79">
        <v>45169.895833333336</v>
      </c>
      <c r="Q2453" s="77" t="s">
        <v>3125</v>
      </c>
      <c r="R2453" s="77">
        <v>0</v>
      </c>
      <c r="S2453" s="77">
        <v>0</v>
      </c>
      <c r="T2453" s="77">
        <v>0</v>
      </c>
      <c r="U2453" s="77">
        <v>0</v>
      </c>
      <c r="V2453" s="77">
        <v>511</v>
      </c>
      <c r="W2453" s="82" t="s">
        <v>4833</v>
      </c>
      <c r="X2453" s="80" t="str">
        <f>HYPERLINK("https://einvestidor.estadao.com.br/educacao-financeira/como-saber-quanto-tempo-falta-para-aposentar/?utm_source=twitter&amp;utm_medium=organic&amp;utm_campaign=&amp;utm_content=materia")</f>
        <v>https://einvestidor.estadao.com.br/educacao-financeira/como-saber-quanto-tempo-falta-para-aposentar/?utm_source=twitter&amp;utm_medium=organic&amp;utm_campaign=&amp;utm_content=materia</v>
      </c>
      <c r="Y2453" s="77" t="s">
        <v>6470</v>
      </c>
      <c r="Z2453" s="77"/>
      <c r="AA2453" s="77"/>
      <c r="AB2453" s="77"/>
      <c r="AC2453" s="82" t="s">
        <v>7750</v>
      </c>
      <c r="AD2453" s="77" t="s">
        <v>7788</v>
      </c>
      <c r="AE2453" s="80" t="str">
        <f>HYPERLINK("https://twitter.com/einvestidor/status/1697361116496580820")</f>
        <v>https://twitter.com/einvestidor/status/1697361116496580820</v>
      </c>
      <c r="AF2453" s="79">
        <v>45169.895833333336</v>
      </c>
      <c r="AG2453" s="85">
        <v>45169</v>
      </c>
      <c r="AH2453" s="82" t="s">
        <v>8089</v>
      </c>
      <c r="AI2453" s="77" t="b">
        <v>0</v>
      </c>
      <c r="AJ2453" s="77"/>
      <c r="AK2453" s="77"/>
      <c r="AL2453" s="77"/>
      <c r="AM2453" s="77"/>
      <c r="AN2453" s="77"/>
      <c r="AO2453" s="77"/>
      <c r="AP2453" s="77"/>
      <c r="AQ2453" s="77"/>
      <c r="AR2453" s="77"/>
      <c r="AS2453" s="77"/>
      <c r="AT2453" s="77"/>
      <c r="AU2453" s="77"/>
      <c r="AV2453" s="80" t="str">
        <f>HYPERLINK("https://pbs.twimg.com/profile_images/1241147984924082183/gZgx_hL-_normal.jpg")</f>
        <v>https://pbs.twimg.com/profile_images/1241147984924082183/gZgx_hL-_normal.jpg</v>
      </c>
      <c r="AW2453" s="82" t="s">
        <v>14049</v>
      </c>
      <c r="AX2453" s="82" t="s">
        <v>14049</v>
      </c>
      <c r="AY2453" s="77"/>
      <c r="AZ2453" s="82" t="s">
        <v>15984</v>
      </c>
      <c r="BA2453" s="82" t="s">
        <v>15984</v>
      </c>
      <c r="BB2453" s="82" t="s">
        <v>15984</v>
      </c>
      <c r="BC2453" s="82" t="s">
        <v>14049</v>
      </c>
      <c r="BD2453" s="82" t="s">
        <v>15979</v>
      </c>
      <c r="BE2453" s="77"/>
      <c r="BF2453" s="77"/>
      <c r="BG2453" s="77"/>
      <c r="BH2453" s="77"/>
      <c r="BI2453" s="77"/>
    </row>
    <row r="2454" spans="1:61" x14ac:dyDescent="0.25">
      <c r="A2454" s="62" t="s">
        <v>387</v>
      </c>
      <c r="B2454" s="62" t="s">
        <v>387</v>
      </c>
      <c r="C2454" s="63"/>
      <c r="D2454" s="64"/>
      <c r="E2454" s="65"/>
      <c r="F2454" s="66"/>
      <c r="G2454" s="63"/>
      <c r="H2454" s="67"/>
      <c r="I2454" s="68"/>
      <c r="J2454" s="68"/>
      <c r="K2454" s="32"/>
      <c r="L2454" s="75">
        <v>2454</v>
      </c>
      <c r="M2454" s="75"/>
      <c r="N2454" s="70"/>
      <c r="O2454" s="77" t="s">
        <v>179</v>
      </c>
      <c r="P2454" s="79">
        <v>45168.910821759258</v>
      </c>
      <c r="Q2454" s="77" t="s">
        <v>3126</v>
      </c>
      <c r="R2454" s="77">
        <v>0</v>
      </c>
      <c r="S2454" s="77">
        <v>1</v>
      </c>
      <c r="T2454" s="77">
        <v>0</v>
      </c>
      <c r="U2454" s="77">
        <v>0</v>
      </c>
      <c r="V2454" s="77">
        <v>586</v>
      </c>
      <c r="W2454" s="82" t="s">
        <v>6015</v>
      </c>
      <c r="X2454" s="80" t="str">
        <f>HYPERLINK("https://einvestidor.estadao.com.br/mercado/ibovespa-hoje-fechamento-melhores-acoes/?utm_source=twitter&amp;utm_medium=organic&amp;utm_campaign=&amp;utm_content=materia")</f>
        <v>https://einvestidor.estadao.com.br/mercado/ibovespa-hoje-fechamento-melhores-acoes/?utm_source=twitter&amp;utm_medium=organic&amp;utm_campaign=&amp;utm_content=materia</v>
      </c>
      <c r="Y2454" s="77" t="s">
        <v>6470</v>
      </c>
      <c r="Z2454" s="77"/>
      <c r="AA2454" s="77"/>
      <c r="AB2454" s="77"/>
      <c r="AC2454" s="82" t="s">
        <v>7750</v>
      </c>
      <c r="AD2454" s="77" t="s">
        <v>7788</v>
      </c>
      <c r="AE2454" s="80" t="str">
        <f>HYPERLINK("https://twitter.com/einvestidor/status/1697004161240285621")</f>
        <v>https://twitter.com/einvestidor/status/1697004161240285621</v>
      </c>
      <c r="AF2454" s="79">
        <v>45168.910821759258</v>
      </c>
      <c r="AG2454" s="85">
        <v>45168</v>
      </c>
      <c r="AH2454" s="82" t="s">
        <v>9734</v>
      </c>
      <c r="AI2454" s="77" t="b">
        <v>0</v>
      </c>
      <c r="AJ2454" s="77"/>
      <c r="AK2454" s="77"/>
      <c r="AL2454" s="77"/>
      <c r="AM2454" s="77"/>
      <c r="AN2454" s="77"/>
      <c r="AO2454" s="77"/>
      <c r="AP2454" s="77"/>
      <c r="AQ2454" s="77"/>
      <c r="AR2454" s="77"/>
      <c r="AS2454" s="77"/>
      <c r="AT2454" s="77"/>
      <c r="AU2454" s="77"/>
      <c r="AV2454" s="80" t="str">
        <f>HYPERLINK("https://pbs.twimg.com/profile_images/1241147984924082183/gZgx_hL-_normal.jpg")</f>
        <v>https://pbs.twimg.com/profile_images/1241147984924082183/gZgx_hL-_normal.jpg</v>
      </c>
      <c r="AW2454" s="82" t="s">
        <v>14050</v>
      </c>
      <c r="AX2454" s="82" t="s">
        <v>14050</v>
      </c>
      <c r="AY2454" s="77"/>
      <c r="AZ2454" s="82" t="s">
        <v>15984</v>
      </c>
      <c r="BA2454" s="82" t="s">
        <v>15984</v>
      </c>
      <c r="BB2454" s="82" t="s">
        <v>15984</v>
      </c>
      <c r="BC2454" s="82" t="s">
        <v>14050</v>
      </c>
      <c r="BD2454" s="82" t="s">
        <v>15979</v>
      </c>
      <c r="BE2454" s="77"/>
      <c r="BF2454" s="77"/>
      <c r="BG2454" s="77"/>
      <c r="BH2454" s="77"/>
      <c r="BI2454" s="77"/>
    </row>
    <row r="2455" spans="1:61" x14ac:dyDescent="0.25">
      <c r="A2455" s="62" t="s">
        <v>387</v>
      </c>
      <c r="B2455" s="62" t="s">
        <v>387</v>
      </c>
      <c r="C2455" s="63"/>
      <c r="D2455" s="64"/>
      <c r="E2455" s="65"/>
      <c r="F2455" s="66"/>
      <c r="G2455" s="63"/>
      <c r="H2455" s="67"/>
      <c r="I2455" s="68"/>
      <c r="J2455" s="68"/>
      <c r="K2455" s="32"/>
      <c r="L2455" s="75">
        <v>2455</v>
      </c>
      <c r="M2455" s="75"/>
      <c r="N2455" s="70"/>
      <c r="O2455" s="77" t="s">
        <v>179</v>
      </c>
      <c r="P2455" s="79">
        <v>45168.90625</v>
      </c>
      <c r="Q2455" s="77" t="s">
        <v>3127</v>
      </c>
      <c r="R2455" s="77">
        <v>0</v>
      </c>
      <c r="S2455" s="77">
        <v>1</v>
      </c>
      <c r="T2455" s="77">
        <v>0</v>
      </c>
      <c r="U2455" s="77">
        <v>0</v>
      </c>
      <c r="V2455" s="77">
        <v>522</v>
      </c>
      <c r="W2455" s="82" t="s">
        <v>4833</v>
      </c>
      <c r="X2455" s="80" t="str">
        <f>HYPERLINK("https://einvestidor.estadao.com.br/educacao-financeira/restituicao-imposto-de-renda-2023-horario/?utm_source=twitter&amp;utm_medium=organic&amp;utm_campaign=&amp;utm_content=materia")</f>
        <v>https://einvestidor.estadao.com.br/educacao-financeira/restituicao-imposto-de-renda-2023-horario/?utm_source=twitter&amp;utm_medium=organic&amp;utm_campaign=&amp;utm_content=materia</v>
      </c>
      <c r="Y2455" s="77" t="s">
        <v>6470</v>
      </c>
      <c r="Z2455" s="77"/>
      <c r="AA2455" s="77"/>
      <c r="AB2455" s="77"/>
      <c r="AC2455" s="82" t="s">
        <v>7750</v>
      </c>
      <c r="AD2455" s="77" t="s">
        <v>7788</v>
      </c>
      <c r="AE2455" s="80" t="str">
        <f>HYPERLINK("https://twitter.com/einvestidor/status/1697002503316058484")</f>
        <v>https://twitter.com/einvestidor/status/1697002503316058484</v>
      </c>
      <c r="AF2455" s="79">
        <v>45168.90625</v>
      </c>
      <c r="AG2455" s="85">
        <v>45168</v>
      </c>
      <c r="AH2455" s="82" t="s">
        <v>9578</v>
      </c>
      <c r="AI2455" s="77" t="b">
        <v>0</v>
      </c>
      <c r="AJ2455" s="77"/>
      <c r="AK2455" s="77"/>
      <c r="AL2455" s="77"/>
      <c r="AM2455" s="77"/>
      <c r="AN2455" s="77"/>
      <c r="AO2455" s="77"/>
      <c r="AP2455" s="77"/>
      <c r="AQ2455" s="77"/>
      <c r="AR2455" s="77"/>
      <c r="AS2455" s="77"/>
      <c r="AT2455" s="77"/>
      <c r="AU2455" s="77"/>
      <c r="AV2455" s="80" t="str">
        <f>HYPERLINK("https://pbs.twimg.com/profile_images/1241147984924082183/gZgx_hL-_normal.jpg")</f>
        <v>https://pbs.twimg.com/profile_images/1241147984924082183/gZgx_hL-_normal.jpg</v>
      </c>
      <c r="AW2455" s="82" t="s">
        <v>14051</v>
      </c>
      <c r="AX2455" s="82" t="s">
        <v>14051</v>
      </c>
      <c r="AY2455" s="77"/>
      <c r="AZ2455" s="82" t="s">
        <v>15984</v>
      </c>
      <c r="BA2455" s="82" t="s">
        <v>15984</v>
      </c>
      <c r="BB2455" s="82" t="s">
        <v>15984</v>
      </c>
      <c r="BC2455" s="82" t="s">
        <v>14051</v>
      </c>
      <c r="BD2455" s="82" t="s">
        <v>15979</v>
      </c>
      <c r="BE2455" s="77"/>
      <c r="BF2455" s="77"/>
      <c r="BG2455" s="77"/>
      <c r="BH2455" s="77"/>
      <c r="BI2455" s="77"/>
    </row>
    <row r="2456" spans="1:61" x14ac:dyDescent="0.25">
      <c r="A2456" s="62" t="s">
        <v>387</v>
      </c>
      <c r="B2456" s="62" t="s">
        <v>387</v>
      </c>
      <c r="C2456" s="63"/>
      <c r="D2456" s="64"/>
      <c r="E2456" s="65"/>
      <c r="F2456" s="66"/>
      <c r="G2456" s="63"/>
      <c r="H2456" s="67"/>
      <c r="I2456" s="68"/>
      <c r="J2456" s="68"/>
      <c r="K2456" s="32"/>
      <c r="L2456" s="75">
        <v>2456</v>
      </c>
      <c r="M2456" s="75"/>
      <c r="N2456" s="70"/>
      <c r="O2456" s="77" t="s">
        <v>179</v>
      </c>
      <c r="P2456" s="79">
        <v>45168.895833333336</v>
      </c>
      <c r="Q2456" s="77" t="s">
        <v>3128</v>
      </c>
      <c r="R2456" s="77">
        <v>0</v>
      </c>
      <c r="S2456" s="77">
        <v>1</v>
      </c>
      <c r="T2456" s="77">
        <v>0</v>
      </c>
      <c r="U2456" s="77">
        <v>0</v>
      </c>
      <c r="V2456" s="77">
        <v>571</v>
      </c>
      <c r="W2456" s="82" t="s">
        <v>4833</v>
      </c>
      <c r="X2456" s="80" t="str">
        <f>HYPERLINK("https://einvestidor.estadao.com.br/mercado/crise-123-milhasacoes-cvc-cvcb3-podem-se-beneficiar/?utm_source=twitter&amp;utm_medium=organic&amp;utm_campaign=&amp;utm_content=materia")</f>
        <v>https://einvestidor.estadao.com.br/mercado/crise-123-milhasacoes-cvc-cvcb3-podem-se-beneficiar/?utm_source=twitter&amp;utm_medium=organic&amp;utm_campaign=&amp;utm_content=materia</v>
      </c>
      <c r="Y2456" s="77" t="s">
        <v>6470</v>
      </c>
      <c r="Z2456" s="77"/>
      <c r="AA2456" s="77"/>
      <c r="AB2456" s="77"/>
      <c r="AC2456" s="82" t="s">
        <v>7750</v>
      </c>
      <c r="AD2456" s="77" t="s">
        <v>7788</v>
      </c>
      <c r="AE2456" s="80" t="str">
        <f>HYPERLINK("https://twitter.com/einvestidor/status/1696998730069590286")</f>
        <v>https://twitter.com/einvestidor/status/1696998730069590286</v>
      </c>
      <c r="AF2456" s="79">
        <v>45168.895833333336</v>
      </c>
      <c r="AG2456" s="85">
        <v>45168</v>
      </c>
      <c r="AH2456" s="82" t="s">
        <v>8089</v>
      </c>
      <c r="AI2456" s="77" t="b">
        <v>0</v>
      </c>
      <c r="AJ2456" s="77"/>
      <c r="AK2456" s="77"/>
      <c r="AL2456" s="77"/>
      <c r="AM2456" s="77"/>
      <c r="AN2456" s="77"/>
      <c r="AO2456" s="77"/>
      <c r="AP2456" s="77"/>
      <c r="AQ2456" s="77"/>
      <c r="AR2456" s="77"/>
      <c r="AS2456" s="77"/>
      <c r="AT2456" s="77"/>
      <c r="AU2456" s="77"/>
      <c r="AV2456" s="80" t="str">
        <f>HYPERLINK("https://pbs.twimg.com/profile_images/1241147984924082183/gZgx_hL-_normal.jpg")</f>
        <v>https://pbs.twimg.com/profile_images/1241147984924082183/gZgx_hL-_normal.jpg</v>
      </c>
      <c r="AW2456" s="82" t="s">
        <v>14052</v>
      </c>
      <c r="AX2456" s="82" t="s">
        <v>14052</v>
      </c>
      <c r="AY2456" s="77"/>
      <c r="AZ2456" s="82" t="s">
        <v>15984</v>
      </c>
      <c r="BA2456" s="82" t="s">
        <v>15984</v>
      </c>
      <c r="BB2456" s="82" t="s">
        <v>15984</v>
      </c>
      <c r="BC2456" s="82" t="s">
        <v>14052</v>
      </c>
      <c r="BD2456" s="82" t="s">
        <v>15979</v>
      </c>
      <c r="BE2456" s="77"/>
      <c r="BF2456" s="77"/>
      <c r="BG2456" s="77"/>
      <c r="BH2456" s="77"/>
      <c r="BI2456" s="77"/>
    </row>
    <row r="2457" spans="1:61" x14ac:dyDescent="0.25">
      <c r="A2457" s="62" t="s">
        <v>387</v>
      </c>
      <c r="B2457" s="62" t="s">
        <v>387</v>
      </c>
      <c r="C2457" s="63"/>
      <c r="D2457" s="64"/>
      <c r="E2457" s="65"/>
      <c r="F2457" s="66"/>
      <c r="G2457" s="63"/>
      <c r="H2457" s="67"/>
      <c r="I2457" s="68"/>
      <c r="J2457" s="68"/>
      <c r="K2457" s="32"/>
      <c r="L2457" s="75">
        <v>2457</v>
      </c>
      <c r="M2457" s="75"/>
      <c r="N2457" s="70"/>
      <c r="O2457" s="77" t="s">
        <v>179</v>
      </c>
      <c r="P2457" s="79">
        <v>45167.895833333336</v>
      </c>
      <c r="Q2457" s="77" t="s">
        <v>3129</v>
      </c>
      <c r="R2457" s="77">
        <v>1</v>
      </c>
      <c r="S2457" s="77">
        <v>4</v>
      </c>
      <c r="T2457" s="77">
        <v>0</v>
      </c>
      <c r="U2457" s="77">
        <v>0</v>
      </c>
      <c r="V2457" s="77">
        <v>952</v>
      </c>
      <c r="W2457" s="82" t="s">
        <v>6016</v>
      </c>
      <c r="X2457" s="80" t="str">
        <f>HYPERLINK("https://einvestidor.estadao.com.br/radar-einvestidor/apos-aumento-capital-acoes-azevedo-travassos-azev4-despencam/?utm_source=twitter&amp;utm_medium=organic&amp;utm_campaign=&amp;utm_content=materia")</f>
        <v>https://einvestidor.estadao.com.br/radar-einvestidor/apos-aumento-capital-acoes-azevedo-travassos-azev4-despencam/?utm_source=twitter&amp;utm_medium=organic&amp;utm_campaign=&amp;utm_content=materia</v>
      </c>
      <c r="Y2457" s="77" t="s">
        <v>6470</v>
      </c>
      <c r="Z2457" s="77"/>
      <c r="AA2457" s="77"/>
      <c r="AB2457" s="77"/>
      <c r="AC2457" s="82" t="s">
        <v>7750</v>
      </c>
      <c r="AD2457" s="77" t="s">
        <v>7788</v>
      </c>
      <c r="AE2457" s="80" t="str">
        <f>HYPERLINK("https://twitter.com/einvestidor/status/1696636340639547869")</f>
        <v>https://twitter.com/einvestidor/status/1696636340639547869</v>
      </c>
      <c r="AF2457" s="79">
        <v>45167.895833333336</v>
      </c>
      <c r="AG2457" s="85">
        <v>45167</v>
      </c>
      <c r="AH2457" s="82" t="s">
        <v>8089</v>
      </c>
      <c r="AI2457" s="77" t="b">
        <v>0</v>
      </c>
      <c r="AJ2457" s="77"/>
      <c r="AK2457" s="77"/>
      <c r="AL2457" s="77"/>
      <c r="AM2457" s="77"/>
      <c r="AN2457" s="77"/>
      <c r="AO2457" s="77"/>
      <c r="AP2457" s="77"/>
      <c r="AQ2457" s="77"/>
      <c r="AR2457" s="77"/>
      <c r="AS2457" s="77"/>
      <c r="AT2457" s="77"/>
      <c r="AU2457" s="77"/>
      <c r="AV2457" s="80" t="str">
        <f>HYPERLINK("https://pbs.twimg.com/profile_images/1241147984924082183/gZgx_hL-_normal.jpg")</f>
        <v>https://pbs.twimg.com/profile_images/1241147984924082183/gZgx_hL-_normal.jpg</v>
      </c>
      <c r="AW2457" s="82" t="s">
        <v>14053</v>
      </c>
      <c r="AX2457" s="82" t="s">
        <v>14053</v>
      </c>
      <c r="AY2457" s="77"/>
      <c r="AZ2457" s="82" t="s">
        <v>15984</v>
      </c>
      <c r="BA2457" s="82" t="s">
        <v>15984</v>
      </c>
      <c r="BB2457" s="82" t="s">
        <v>15984</v>
      </c>
      <c r="BC2457" s="82" t="s">
        <v>14053</v>
      </c>
      <c r="BD2457" s="82" t="s">
        <v>15979</v>
      </c>
      <c r="BE2457" s="77"/>
      <c r="BF2457" s="77"/>
      <c r="BG2457" s="77"/>
      <c r="BH2457" s="77"/>
      <c r="BI2457" s="77"/>
    </row>
    <row r="2458" spans="1:61" x14ac:dyDescent="0.25">
      <c r="A2458" s="62" t="s">
        <v>387</v>
      </c>
      <c r="B2458" s="62" t="s">
        <v>387</v>
      </c>
      <c r="C2458" s="63"/>
      <c r="D2458" s="64"/>
      <c r="E2458" s="65"/>
      <c r="F2458" s="66"/>
      <c r="G2458" s="63"/>
      <c r="H2458" s="67"/>
      <c r="I2458" s="68"/>
      <c r="J2458" s="68"/>
      <c r="K2458" s="32"/>
      <c r="L2458" s="75">
        <v>2458</v>
      </c>
      <c r="M2458" s="75"/>
      <c r="N2458" s="70"/>
      <c r="O2458" s="77" t="s">
        <v>179</v>
      </c>
      <c r="P2458" s="79">
        <v>45167.875011574077</v>
      </c>
      <c r="Q2458" s="77" t="s">
        <v>3130</v>
      </c>
      <c r="R2458" s="77">
        <v>0</v>
      </c>
      <c r="S2458" s="77">
        <v>2</v>
      </c>
      <c r="T2458" s="77">
        <v>0</v>
      </c>
      <c r="U2458" s="77">
        <v>0</v>
      </c>
      <c r="V2458" s="77">
        <v>642</v>
      </c>
      <c r="W2458" s="82" t="s">
        <v>5975</v>
      </c>
      <c r="X2458" s="80" t="str">
        <f>HYPERLINK("https://einvestidor.estadao.com.br/ultimas/bb-revisa-plano-sustentabilidade-elevacao-carteira/?utm_source=twitter&amp;utm_medium=organic&amp;utm_campaign=&amp;utm_content=materia")</f>
        <v>https://einvestidor.estadao.com.br/ultimas/bb-revisa-plano-sustentabilidade-elevacao-carteira/?utm_source=twitter&amp;utm_medium=organic&amp;utm_campaign=&amp;utm_content=materia</v>
      </c>
      <c r="Y2458" s="77" t="s">
        <v>6470</v>
      </c>
      <c r="Z2458" s="77"/>
      <c r="AA2458" s="77"/>
      <c r="AB2458" s="77"/>
      <c r="AC2458" s="82" t="s">
        <v>7750</v>
      </c>
      <c r="AD2458" s="77" t="s">
        <v>7788</v>
      </c>
      <c r="AE2458" s="80" t="str">
        <f>HYPERLINK("https://twitter.com/einvestidor/status/1696628797980713047")</f>
        <v>https://twitter.com/einvestidor/status/1696628797980713047</v>
      </c>
      <c r="AF2458" s="79">
        <v>45167.875011574077</v>
      </c>
      <c r="AG2458" s="85">
        <v>45167</v>
      </c>
      <c r="AH2458" s="82" t="s">
        <v>7871</v>
      </c>
      <c r="AI2458" s="77" t="b">
        <v>0</v>
      </c>
      <c r="AJ2458" s="77"/>
      <c r="AK2458" s="77"/>
      <c r="AL2458" s="77"/>
      <c r="AM2458" s="77"/>
      <c r="AN2458" s="77"/>
      <c r="AO2458" s="77"/>
      <c r="AP2458" s="77"/>
      <c r="AQ2458" s="77"/>
      <c r="AR2458" s="77"/>
      <c r="AS2458" s="77"/>
      <c r="AT2458" s="77"/>
      <c r="AU2458" s="77"/>
      <c r="AV2458" s="80" t="str">
        <f>HYPERLINK("https://pbs.twimg.com/profile_images/1241147984924082183/gZgx_hL-_normal.jpg")</f>
        <v>https://pbs.twimg.com/profile_images/1241147984924082183/gZgx_hL-_normal.jpg</v>
      </c>
      <c r="AW2458" s="82" t="s">
        <v>14054</v>
      </c>
      <c r="AX2458" s="82" t="s">
        <v>14054</v>
      </c>
      <c r="AY2458" s="77"/>
      <c r="AZ2458" s="82" t="s">
        <v>15984</v>
      </c>
      <c r="BA2458" s="82" t="s">
        <v>15984</v>
      </c>
      <c r="BB2458" s="82" t="s">
        <v>15984</v>
      </c>
      <c r="BC2458" s="82" t="s">
        <v>14054</v>
      </c>
      <c r="BD2458" s="82" t="s">
        <v>15979</v>
      </c>
      <c r="BE2458" s="77"/>
      <c r="BF2458" s="77"/>
      <c r="BG2458" s="77"/>
      <c r="BH2458" s="77"/>
      <c r="BI2458" s="77"/>
    </row>
    <row r="2459" spans="1:61" x14ac:dyDescent="0.25">
      <c r="A2459" s="62" t="s">
        <v>387</v>
      </c>
      <c r="B2459" s="62" t="s">
        <v>387</v>
      </c>
      <c r="C2459" s="63"/>
      <c r="D2459" s="64"/>
      <c r="E2459" s="65"/>
      <c r="F2459" s="66"/>
      <c r="G2459" s="63"/>
      <c r="H2459" s="67"/>
      <c r="I2459" s="68"/>
      <c r="J2459" s="68"/>
      <c r="K2459" s="32"/>
      <c r="L2459" s="75">
        <v>2459</v>
      </c>
      <c r="M2459" s="75"/>
      <c r="N2459" s="70"/>
      <c r="O2459" s="77" t="s">
        <v>179</v>
      </c>
      <c r="P2459" s="79">
        <v>45167.864583333336</v>
      </c>
      <c r="Q2459" s="77" t="s">
        <v>3131</v>
      </c>
      <c r="R2459" s="77">
        <v>0</v>
      </c>
      <c r="S2459" s="77">
        <v>1</v>
      </c>
      <c r="T2459" s="77">
        <v>0</v>
      </c>
      <c r="U2459" s="77">
        <v>0</v>
      </c>
      <c r="V2459" s="77">
        <v>526</v>
      </c>
      <c r="W2459" s="82" t="s">
        <v>4833</v>
      </c>
      <c r="X2459" s="80" t="str">
        <f>HYPERLINK("https://einvestidor.estadao.com.br/mercado/minerva-beef3-acordo-marfrig-mrfg3-btg-estrategia/?utm_source=twitter&amp;utm_medium=organic&amp;utm_campaign=&amp;utm_content=materia")</f>
        <v>https://einvestidor.estadao.com.br/mercado/minerva-beef3-acordo-marfrig-mrfg3-btg-estrategia/?utm_source=twitter&amp;utm_medium=organic&amp;utm_campaign=&amp;utm_content=materia</v>
      </c>
      <c r="Y2459" s="77" t="s">
        <v>6470</v>
      </c>
      <c r="Z2459" s="77"/>
      <c r="AA2459" s="77"/>
      <c r="AB2459" s="77"/>
      <c r="AC2459" s="82" t="s">
        <v>7750</v>
      </c>
      <c r="AD2459" s="77" t="s">
        <v>7788</v>
      </c>
      <c r="AE2459" s="80" t="str">
        <f>HYPERLINK("https://twitter.com/einvestidor/status/1696625016434237874")</f>
        <v>https://twitter.com/einvestidor/status/1696625016434237874</v>
      </c>
      <c r="AF2459" s="79">
        <v>45167.864583333336</v>
      </c>
      <c r="AG2459" s="85">
        <v>45167</v>
      </c>
      <c r="AH2459" s="82" t="s">
        <v>9596</v>
      </c>
      <c r="AI2459" s="77" t="b">
        <v>0</v>
      </c>
      <c r="AJ2459" s="77"/>
      <c r="AK2459" s="77"/>
      <c r="AL2459" s="77"/>
      <c r="AM2459" s="77"/>
      <c r="AN2459" s="77"/>
      <c r="AO2459" s="77"/>
      <c r="AP2459" s="77"/>
      <c r="AQ2459" s="77"/>
      <c r="AR2459" s="77"/>
      <c r="AS2459" s="77"/>
      <c r="AT2459" s="77"/>
      <c r="AU2459" s="77"/>
      <c r="AV2459" s="80" t="str">
        <f>HYPERLINK("https://pbs.twimg.com/profile_images/1241147984924082183/gZgx_hL-_normal.jpg")</f>
        <v>https://pbs.twimg.com/profile_images/1241147984924082183/gZgx_hL-_normal.jpg</v>
      </c>
      <c r="AW2459" s="82" t="s">
        <v>14055</v>
      </c>
      <c r="AX2459" s="82" t="s">
        <v>14055</v>
      </c>
      <c r="AY2459" s="77"/>
      <c r="AZ2459" s="82" t="s">
        <v>15984</v>
      </c>
      <c r="BA2459" s="82" t="s">
        <v>15984</v>
      </c>
      <c r="BB2459" s="82" t="s">
        <v>15984</v>
      </c>
      <c r="BC2459" s="82" t="s">
        <v>14055</v>
      </c>
      <c r="BD2459" s="82" t="s">
        <v>15979</v>
      </c>
      <c r="BE2459" s="77"/>
      <c r="BF2459" s="77"/>
      <c r="BG2459" s="77"/>
      <c r="BH2459" s="77"/>
      <c r="BI2459" s="77"/>
    </row>
    <row r="2460" spans="1:61" x14ac:dyDescent="0.25">
      <c r="A2460" s="62" t="s">
        <v>387</v>
      </c>
      <c r="B2460" s="62" t="s">
        <v>387</v>
      </c>
      <c r="C2460" s="63"/>
      <c r="D2460" s="64"/>
      <c r="E2460" s="65"/>
      <c r="F2460" s="66"/>
      <c r="G2460" s="63"/>
      <c r="H2460" s="67"/>
      <c r="I2460" s="68"/>
      <c r="J2460" s="68"/>
      <c r="K2460" s="32"/>
      <c r="L2460" s="75">
        <v>2460</v>
      </c>
      <c r="M2460" s="75"/>
      <c r="N2460" s="70"/>
      <c r="O2460" s="77" t="s">
        <v>179</v>
      </c>
      <c r="P2460" s="79">
        <v>45167.854166666664</v>
      </c>
      <c r="Q2460" s="77" t="s">
        <v>3132</v>
      </c>
      <c r="R2460" s="77">
        <v>0</v>
      </c>
      <c r="S2460" s="77">
        <v>1</v>
      </c>
      <c r="T2460" s="77">
        <v>0</v>
      </c>
      <c r="U2460" s="77">
        <v>0</v>
      </c>
      <c r="V2460" s="77">
        <v>409</v>
      </c>
      <c r="W2460" s="82" t="s">
        <v>6017</v>
      </c>
      <c r="X2460" s="80" t="str">
        <f>HYPERLINK("https://einvestidor.estadao.com.br/educacao-financeira/como-estornar-um-pix/?utm_source=facebook&amp;utm_medium=organic&amp;utm_campaign=&amp;utm_content=materia")</f>
        <v>https://einvestidor.estadao.com.br/educacao-financeira/como-estornar-um-pix/?utm_source=facebook&amp;utm_medium=organic&amp;utm_campaign=&amp;utm_content=materia</v>
      </c>
      <c r="Y2460" s="77" t="s">
        <v>6470</v>
      </c>
      <c r="Z2460" s="77"/>
      <c r="AA2460" s="77"/>
      <c r="AB2460" s="77"/>
      <c r="AC2460" s="82" t="s">
        <v>7750</v>
      </c>
      <c r="AD2460" s="77" t="s">
        <v>7788</v>
      </c>
      <c r="AE2460" s="80" t="str">
        <f>HYPERLINK("https://twitter.com/einvestidor/status/1696621242491478236")</f>
        <v>https://twitter.com/einvestidor/status/1696621242491478236</v>
      </c>
      <c r="AF2460" s="79">
        <v>45167.854166666664</v>
      </c>
      <c r="AG2460" s="85">
        <v>45167</v>
      </c>
      <c r="AH2460" s="82" t="s">
        <v>8090</v>
      </c>
      <c r="AI2460" s="77" t="b">
        <v>0</v>
      </c>
      <c r="AJ2460" s="77"/>
      <c r="AK2460" s="77"/>
      <c r="AL2460" s="77"/>
      <c r="AM2460" s="77"/>
      <c r="AN2460" s="77"/>
      <c r="AO2460" s="77"/>
      <c r="AP2460" s="77"/>
      <c r="AQ2460" s="77"/>
      <c r="AR2460" s="77"/>
      <c r="AS2460" s="77"/>
      <c r="AT2460" s="77"/>
      <c r="AU2460" s="77"/>
      <c r="AV2460" s="80" t="str">
        <f>HYPERLINK("https://pbs.twimg.com/profile_images/1241147984924082183/gZgx_hL-_normal.jpg")</f>
        <v>https://pbs.twimg.com/profile_images/1241147984924082183/gZgx_hL-_normal.jpg</v>
      </c>
      <c r="AW2460" s="82" t="s">
        <v>14056</v>
      </c>
      <c r="AX2460" s="82" t="s">
        <v>14056</v>
      </c>
      <c r="AY2460" s="77"/>
      <c r="AZ2460" s="82" t="s">
        <v>15984</v>
      </c>
      <c r="BA2460" s="82" t="s">
        <v>15984</v>
      </c>
      <c r="BB2460" s="82" t="s">
        <v>15984</v>
      </c>
      <c r="BC2460" s="82" t="s">
        <v>14056</v>
      </c>
      <c r="BD2460" s="82" t="s">
        <v>15979</v>
      </c>
      <c r="BE2460" s="77"/>
      <c r="BF2460" s="77"/>
      <c r="BG2460" s="77"/>
      <c r="BH2460" s="77"/>
      <c r="BI2460" s="77"/>
    </row>
    <row r="2461" spans="1:61" x14ac:dyDescent="0.25">
      <c r="A2461" s="62" t="s">
        <v>387</v>
      </c>
      <c r="B2461" s="62" t="s">
        <v>387</v>
      </c>
      <c r="C2461" s="63"/>
      <c r="D2461" s="64"/>
      <c r="E2461" s="65"/>
      <c r="F2461" s="66"/>
      <c r="G2461" s="63"/>
      <c r="H2461" s="67"/>
      <c r="I2461" s="68"/>
      <c r="J2461" s="68"/>
      <c r="K2461" s="32"/>
      <c r="L2461" s="75">
        <v>2461</v>
      </c>
      <c r="M2461" s="75"/>
      <c r="N2461" s="70"/>
      <c r="O2461" s="77" t="s">
        <v>179</v>
      </c>
      <c r="P2461" s="79">
        <v>45167.846099537041</v>
      </c>
      <c r="Q2461" s="77" t="s">
        <v>3133</v>
      </c>
      <c r="R2461" s="77">
        <v>0</v>
      </c>
      <c r="S2461" s="77">
        <v>1</v>
      </c>
      <c r="T2461" s="77">
        <v>0</v>
      </c>
      <c r="U2461" s="77">
        <v>0</v>
      </c>
      <c r="V2461" s="77">
        <v>465</v>
      </c>
      <c r="W2461" s="82" t="s">
        <v>4833</v>
      </c>
      <c r="X2461" s="80" t="str">
        <f>HYPERLINK("https://einvestidor.estadao.com.br/ultimas/santander-lanca-fundo-multimercado-global/?utm_source=twitter&amp;utm_medium=organic&amp;utm_campaign=&amp;utm_content=materia")</f>
        <v>https://einvestidor.estadao.com.br/ultimas/santander-lanca-fundo-multimercado-global/?utm_source=twitter&amp;utm_medium=organic&amp;utm_campaign=&amp;utm_content=materia</v>
      </c>
      <c r="Y2461" s="77" t="s">
        <v>6470</v>
      </c>
      <c r="Z2461" s="77"/>
      <c r="AA2461" s="77"/>
      <c r="AB2461" s="77"/>
      <c r="AC2461" s="82" t="s">
        <v>7750</v>
      </c>
      <c r="AD2461" s="77" t="s">
        <v>7788</v>
      </c>
      <c r="AE2461" s="80" t="str">
        <f>HYPERLINK("https://twitter.com/einvestidor/status/1696618317291614355")</f>
        <v>https://twitter.com/einvestidor/status/1696618317291614355</v>
      </c>
      <c r="AF2461" s="79">
        <v>45167.846099537041</v>
      </c>
      <c r="AG2461" s="85">
        <v>45167</v>
      </c>
      <c r="AH2461" s="82" t="s">
        <v>9735</v>
      </c>
      <c r="AI2461" s="77" t="b">
        <v>0</v>
      </c>
      <c r="AJ2461" s="77"/>
      <c r="AK2461" s="77"/>
      <c r="AL2461" s="77"/>
      <c r="AM2461" s="77"/>
      <c r="AN2461" s="77"/>
      <c r="AO2461" s="77"/>
      <c r="AP2461" s="77"/>
      <c r="AQ2461" s="77"/>
      <c r="AR2461" s="77"/>
      <c r="AS2461" s="77"/>
      <c r="AT2461" s="77"/>
      <c r="AU2461" s="77"/>
      <c r="AV2461" s="80" t="str">
        <f>HYPERLINK("https://pbs.twimg.com/profile_images/1241147984924082183/gZgx_hL-_normal.jpg")</f>
        <v>https://pbs.twimg.com/profile_images/1241147984924082183/gZgx_hL-_normal.jpg</v>
      </c>
      <c r="AW2461" s="82" t="s">
        <v>14057</v>
      </c>
      <c r="AX2461" s="82" t="s">
        <v>14057</v>
      </c>
      <c r="AY2461" s="77"/>
      <c r="AZ2461" s="82" t="s">
        <v>15984</v>
      </c>
      <c r="BA2461" s="82" t="s">
        <v>15984</v>
      </c>
      <c r="BB2461" s="82" t="s">
        <v>15984</v>
      </c>
      <c r="BC2461" s="82" t="s">
        <v>14057</v>
      </c>
      <c r="BD2461" s="82" t="s">
        <v>15979</v>
      </c>
      <c r="BE2461" s="77"/>
      <c r="BF2461" s="77"/>
      <c r="BG2461" s="77"/>
      <c r="BH2461" s="77"/>
      <c r="BI2461" s="77"/>
    </row>
    <row r="2462" spans="1:61" x14ac:dyDescent="0.25">
      <c r="A2462" s="62" t="s">
        <v>387</v>
      </c>
      <c r="B2462" s="62" t="s">
        <v>387</v>
      </c>
      <c r="C2462" s="63"/>
      <c r="D2462" s="64"/>
      <c r="E2462" s="65"/>
      <c r="F2462" s="66"/>
      <c r="G2462" s="63"/>
      <c r="H2462" s="67"/>
      <c r="I2462" s="68"/>
      <c r="J2462" s="68"/>
      <c r="K2462" s="32"/>
      <c r="L2462" s="75">
        <v>2462</v>
      </c>
      <c r="M2462" s="75"/>
      <c r="N2462" s="70"/>
      <c r="O2462" s="77" t="s">
        <v>179</v>
      </c>
      <c r="P2462" s="79">
        <v>45167.84375</v>
      </c>
      <c r="Q2462" s="77" t="s">
        <v>3134</v>
      </c>
      <c r="R2462" s="77">
        <v>0</v>
      </c>
      <c r="S2462" s="77">
        <v>1</v>
      </c>
      <c r="T2462" s="77">
        <v>0</v>
      </c>
      <c r="U2462" s="77">
        <v>0</v>
      </c>
      <c r="V2462" s="77">
        <v>409</v>
      </c>
      <c r="W2462" s="82" t="s">
        <v>4833</v>
      </c>
      <c r="X2462" s="80" t="str">
        <f>HYPERLINK("https://einvestidor.estadao.com.br/colunas/marilia-fontes/quao-baixa-a-selic-pode-chegar/?utm_source=twitter&amp;utm_medium=organic&amp;utm_campaign=&amp;utm_content=materia")</f>
        <v>https://einvestidor.estadao.com.br/colunas/marilia-fontes/quao-baixa-a-selic-pode-chegar/?utm_source=twitter&amp;utm_medium=organic&amp;utm_campaign=&amp;utm_content=materia</v>
      </c>
      <c r="Y2462" s="77" t="s">
        <v>6470</v>
      </c>
      <c r="Z2462" s="77"/>
      <c r="AA2462" s="77"/>
      <c r="AB2462" s="77"/>
      <c r="AC2462" s="82" t="s">
        <v>7750</v>
      </c>
      <c r="AD2462" s="77" t="s">
        <v>7788</v>
      </c>
      <c r="AE2462" s="80" t="str">
        <f>HYPERLINK("https://twitter.com/einvestidor/status/1696617466137366617")</f>
        <v>https://twitter.com/einvestidor/status/1696617466137366617</v>
      </c>
      <c r="AF2462" s="79">
        <v>45167.84375</v>
      </c>
      <c r="AG2462" s="85">
        <v>45167</v>
      </c>
      <c r="AH2462" s="82" t="s">
        <v>9296</v>
      </c>
      <c r="AI2462" s="77" t="b">
        <v>0</v>
      </c>
      <c r="AJ2462" s="77"/>
      <c r="AK2462" s="77"/>
      <c r="AL2462" s="77"/>
      <c r="AM2462" s="77"/>
      <c r="AN2462" s="77"/>
      <c r="AO2462" s="77"/>
      <c r="AP2462" s="77"/>
      <c r="AQ2462" s="77"/>
      <c r="AR2462" s="77"/>
      <c r="AS2462" s="77"/>
      <c r="AT2462" s="77"/>
      <c r="AU2462" s="77"/>
      <c r="AV2462" s="80" t="str">
        <f>HYPERLINK("https://pbs.twimg.com/profile_images/1241147984924082183/gZgx_hL-_normal.jpg")</f>
        <v>https://pbs.twimg.com/profile_images/1241147984924082183/gZgx_hL-_normal.jpg</v>
      </c>
      <c r="AW2462" s="82" t="s">
        <v>14058</v>
      </c>
      <c r="AX2462" s="82" t="s">
        <v>14058</v>
      </c>
      <c r="AY2462" s="77"/>
      <c r="AZ2462" s="82" t="s">
        <v>15984</v>
      </c>
      <c r="BA2462" s="82" t="s">
        <v>15984</v>
      </c>
      <c r="BB2462" s="82" t="s">
        <v>15984</v>
      </c>
      <c r="BC2462" s="82" t="s">
        <v>14058</v>
      </c>
      <c r="BD2462" s="82" t="s">
        <v>15979</v>
      </c>
      <c r="BE2462" s="77"/>
      <c r="BF2462" s="77"/>
      <c r="BG2462" s="77"/>
      <c r="BH2462" s="77"/>
      <c r="BI2462" s="77"/>
    </row>
    <row r="2463" spans="1:61" x14ac:dyDescent="0.25">
      <c r="A2463" s="62" t="s">
        <v>387</v>
      </c>
      <c r="B2463" s="62" t="s">
        <v>387</v>
      </c>
      <c r="C2463" s="63"/>
      <c r="D2463" s="64"/>
      <c r="E2463" s="65"/>
      <c r="F2463" s="66"/>
      <c r="G2463" s="63"/>
      <c r="H2463" s="67"/>
      <c r="I2463" s="68"/>
      <c r="J2463" s="68"/>
      <c r="K2463" s="32"/>
      <c r="L2463" s="75">
        <v>2463</v>
      </c>
      <c r="M2463" s="75"/>
      <c r="N2463" s="70"/>
      <c r="O2463" s="77" t="s">
        <v>179</v>
      </c>
      <c r="P2463" s="79">
        <v>45167.839259259257</v>
      </c>
      <c r="Q2463" s="77" t="s">
        <v>3135</v>
      </c>
      <c r="R2463" s="77">
        <v>0</v>
      </c>
      <c r="S2463" s="77">
        <v>0</v>
      </c>
      <c r="T2463" s="77">
        <v>0</v>
      </c>
      <c r="U2463" s="77">
        <v>0</v>
      </c>
      <c r="V2463" s="77">
        <v>391</v>
      </c>
      <c r="W2463" s="82" t="s">
        <v>4833</v>
      </c>
      <c r="X2463" s="80" t="str">
        <f>HYPERLINK("https://einvestidor.estadao.com.br/colunas/erich-decat/potencial-arrecadacao-das-medidas-de-haddad-incerto-congresso/?utm_source=twitter&amp;utm_medium=organic&amp;utm_campaign=&amp;utm_content=materia")</f>
        <v>https://einvestidor.estadao.com.br/colunas/erich-decat/potencial-arrecadacao-das-medidas-de-haddad-incerto-congresso/?utm_source=twitter&amp;utm_medium=organic&amp;utm_campaign=&amp;utm_content=materia</v>
      </c>
      <c r="Y2463" s="77" t="s">
        <v>6470</v>
      </c>
      <c r="Z2463" s="77"/>
      <c r="AA2463" s="77"/>
      <c r="AB2463" s="77"/>
      <c r="AC2463" s="82" t="s">
        <v>7750</v>
      </c>
      <c r="AD2463" s="77" t="s">
        <v>7788</v>
      </c>
      <c r="AE2463" s="80" t="str">
        <f>HYPERLINK("https://twitter.com/einvestidor/status/1696615839221596227")</f>
        <v>https://twitter.com/einvestidor/status/1696615839221596227</v>
      </c>
      <c r="AF2463" s="79">
        <v>45167.839259259257</v>
      </c>
      <c r="AG2463" s="85">
        <v>45167</v>
      </c>
      <c r="AH2463" s="82" t="s">
        <v>8577</v>
      </c>
      <c r="AI2463" s="77" t="b">
        <v>0</v>
      </c>
      <c r="AJ2463" s="77"/>
      <c r="AK2463" s="77"/>
      <c r="AL2463" s="77"/>
      <c r="AM2463" s="77"/>
      <c r="AN2463" s="77"/>
      <c r="AO2463" s="77"/>
      <c r="AP2463" s="77"/>
      <c r="AQ2463" s="77"/>
      <c r="AR2463" s="77"/>
      <c r="AS2463" s="77"/>
      <c r="AT2463" s="77"/>
      <c r="AU2463" s="77"/>
      <c r="AV2463" s="80" t="str">
        <f>HYPERLINK("https://pbs.twimg.com/profile_images/1241147984924082183/gZgx_hL-_normal.jpg")</f>
        <v>https://pbs.twimg.com/profile_images/1241147984924082183/gZgx_hL-_normal.jpg</v>
      </c>
      <c r="AW2463" s="82" t="s">
        <v>14059</v>
      </c>
      <c r="AX2463" s="82" t="s">
        <v>14059</v>
      </c>
      <c r="AY2463" s="77"/>
      <c r="AZ2463" s="82" t="s">
        <v>15984</v>
      </c>
      <c r="BA2463" s="82" t="s">
        <v>15984</v>
      </c>
      <c r="BB2463" s="82" t="s">
        <v>15984</v>
      </c>
      <c r="BC2463" s="82" t="s">
        <v>14059</v>
      </c>
      <c r="BD2463" s="82" t="s">
        <v>15979</v>
      </c>
      <c r="BE2463" s="77"/>
      <c r="BF2463" s="77"/>
      <c r="BG2463" s="77"/>
      <c r="BH2463" s="77"/>
      <c r="BI2463" s="77"/>
    </row>
    <row r="2464" spans="1:61" x14ac:dyDescent="0.25">
      <c r="A2464" s="62" t="s">
        <v>387</v>
      </c>
      <c r="B2464" s="62" t="s">
        <v>387</v>
      </c>
      <c r="C2464" s="63"/>
      <c r="D2464" s="64"/>
      <c r="E2464" s="65"/>
      <c r="F2464" s="66"/>
      <c r="G2464" s="63"/>
      <c r="H2464" s="67"/>
      <c r="I2464" s="68"/>
      <c r="J2464" s="68"/>
      <c r="K2464" s="32"/>
      <c r="L2464" s="75">
        <v>2464</v>
      </c>
      <c r="M2464" s="75"/>
      <c r="N2464" s="70"/>
      <c r="O2464" s="77" t="s">
        <v>179</v>
      </c>
      <c r="P2464" s="79">
        <v>45161.423229166663</v>
      </c>
      <c r="Q2464" s="77" t="s">
        <v>3136</v>
      </c>
      <c r="R2464" s="77">
        <v>0</v>
      </c>
      <c r="S2464" s="77">
        <v>1</v>
      </c>
      <c r="T2464" s="77">
        <v>1</v>
      </c>
      <c r="U2464" s="77">
        <v>0</v>
      </c>
      <c r="V2464" s="77">
        <v>904</v>
      </c>
      <c r="W2464" s="82" t="s">
        <v>5076</v>
      </c>
      <c r="X2464" s="80" t="str">
        <f>HYPERLINK("https://einvestidor.estadao.com.br/mercado/bolsa-pior-agosto-2015-oportunidade-risco/?utm_source=twitter&amp;utm_medium=organic&amp;utm_campaign=ibovespa&amp;utm_content=materia")</f>
        <v>https://einvestidor.estadao.com.br/mercado/bolsa-pior-agosto-2015-oportunidade-risco/?utm_source=twitter&amp;utm_medium=organic&amp;utm_campaign=ibovespa&amp;utm_content=materia</v>
      </c>
      <c r="Y2464" s="77" t="s">
        <v>6470</v>
      </c>
      <c r="Z2464" s="77"/>
      <c r="AA2464" s="77"/>
      <c r="AB2464" s="77"/>
      <c r="AC2464" s="82" t="s">
        <v>7750</v>
      </c>
      <c r="AD2464" s="77" t="s">
        <v>7788</v>
      </c>
      <c r="AE2464" s="80" t="str">
        <f>HYPERLINK("https://twitter.com/einvestidor/status/1694290748500275477")</f>
        <v>https://twitter.com/einvestidor/status/1694290748500275477</v>
      </c>
      <c r="AF2464" s="79">
        <v>45161.423229166663</v>
      </c>
      <c r="AG2464" s="85">
        <v>45161</v>
      </c>
      <c r="AH2464" s="82" t="s">
        <v>9624</v>
      </c>
      <c r="AI2464" s="77" t="b">
        <v>0</v>
      </c>
      <c r="AJ2464" s="77"/>
      <c r="AK2464" s="77"/>
      <c r="AL2464" s="77"/>
      <c r="AM2464" s="77"/>
      <c r="AN2464" s="77"/>
      <c r="AO2464" s="77"/>
      <c r="AP2464" s="77"/>
      <c r="AQ2464" s="77"/>
      <c r="AR2464" s="77"/>
      <c r="AS2464" s="77"/>
      <c r="AT2464" s="77"/>
      <c r="AU2464" s="77"/>
      <c r="AV2464" s="80" t="str">
        <f>HYPERLINK("https://pbs.twimg.com/profile_images/1241147984924082183/gZgx_hL-_normal.jpg")</f>
        <v>https://pbs.twimg.com/profile_images/1241147984924082183/gZgx_hL-_normal.jpg</v>
      </c>
      <c r="AW2464" s="82" t="s">
        <v>14060</v>
      </c>
      <c r="AX2464" s="82" t="s">
        <v>14060</v>
      </c>
      <c r="AY2464" s="77"/>
      <c r="AZ2464" s="82" t="s">
        <v>15984</v>
      </c>
      <c r="BA2464" s="82" t="s">
        <v>15984</v>
      </c>
      <c r="BB2464" s="82" t="s">
        <v>15984</v>
      </c>
      <c r="BC2464" s="82" t="s">
        <v>14060</v>
      </c>
      <c r="BD2464" s="82" t="s">
        <v>15979</v>
      </c>
      <c r="BE2464" s="77"/>
      <c r="BF2464" s="77"/>
      <c r="BG2464" s="77"/>
      <c r="BH2464" s="77"/>
      <c r="BI2464" s="77"/>
    </row>
    <row r="2465" spans="1:61" x14ac:dyDescent="0.25">
      <c r="A2465" s="62" t="s">
        <v>387</v>
      </c>
      <c r="B2465" s="62" t="s">
        <v>387</v>
      </c>
      <c r="C2465" s="63"/>
      <c r="D2465" s="64"/>
      <c r="E2465" s="65"/>
      <c r="F2465" s="66"/>
      <c r="G2465" s="63"/>
      <c r="H2465" s="67"/>
      <c r="I2465" s="68"/>
      <c r="J2465" s="68"/>
      <c r="K2465" s="32"/>
      <c r="L2465" s="75">
        <v>2465</v>
      </c>
      <c r="M2465" s="75"/>
      <c r="N2465" s="70"/>
      <c r="O2465" s="77" t="s">
        <v>179</v>
      </c>
      <c r="P2465" s="79">
        <v>45161.0625</v>
      </c>
      <c r="Q2465" s="77" t="s">
        <v>3137</v>
      </c>
      <c r="R2465" s="77">
        <v>0</v>
      </c>
      <c r="S2465" s="77">
        <v>0</v>
      </c>
      <c r="T2465" s="77">
        <v>0</v>
      </c>
      <c r="U2465" s="77">
        <v>0</v>
      </c>
      <c r="V2465" s="77">
        <v>798</v>
      </c>
      <c r="W2465" s="82" t="s">
        <v>4833</v>
      </c>
      <c r="X2465" s="80" t="str">
        <f>HYPERLINK("https://mla.bs/697b272a")</f>
        <v>https://mla.bs/697b272a</v>
      </c>
      <c r="Y2465" s="77" t="s">
        <v>6506</v>
      </c>
      <c r="Z2465" s="77"/>
      <c r="AA2465" s="77"/>
      <c r="AB2465" s="77"/>
      <c r="AC2465" s="82" t="s">
        <v>7750</v>
      </c>
      <c r="AD2465" s="77" t="s">
        <v>7788</v>
      </c>
      <c r="AE2465" s="80" t="str">
        <f>HYPERLINK("https://twitter.com/einvestidor/status/1694160024774517016")</f>
        <v>https://twitter.com/einvestidor/status/1694160024774517016</v>
      </c>
      <c r="AF2465" s="79">
        <v>45161.0625</v>
      </c>
      <c r="AG2465" s="85">
        <v>45161</v>
      </c>
      <c r="AH2465" s="82" t="s">
        <v>9600</v>
      </c>
      <c r="AI2465" s="77" t="b">
        <v>0</v>
      </c>
      <c r="AJ2465" s="77"/>
      <c r="AK2465" s="77"/>
      <c r="AL2465" s="77"/>
      <c r="AM2465" s="77"/>
      <c r="AN2465" s="77"/>
      <c r="AO2465" s="77"/>
      <c r="AP2465" s="77"/>
      <c r="AQ2465" s="77"/>
      <c r="AR2465" s="77"/>
      <c r="AS2465" s="77"/>
      <c r="AT2465" s="77"/>
      <c r="AU2465" s="77"/>
      <c r="AV2465" s="80" t="str">
        <f>HYPERLINK("https://pbs.twimg.com/profile_images/1241147984924082183/gZgx_hL-_normal.jpg")</f>
        <v>https://pbs.twimg.com/profile_images/1241147984924082183/gZgx_hL-_normal.jpg</v>
      </c>
      <c r="AW2465" s="82" t="s">
        <v>14061</v>
      </c>
      <c r="AX2465" s="82" t="s">
        <v>14061</v>
      </c>
      <c r="AY2465" s="77"/>
      <c r="AZ2465" s="82" t="s">
        <v>15984</v>
      </c>
      <c r="BA2465" s="82" t="s">
        <v>15984</v>
      </c>
      <c r="BB2465" s="82" t="s">
        <v>15984</v>
      </c>
      <c r="BC2465" s="82" t="s">
        <v>14061</v>
      </c>
      <c r="BD2465" s="82" t="s">
        <v>15979</v>
      </c>
      <c r="BE2465" s="77"/>
      <c r="BF2465" s="77"/>
      <c r="BG2465" s="77"/>
      <c r="BH2465" s="77"/>
      <c r="BI2465" s="77"/>
    </row>
    <row r="2466" spans="1:61" x14ac:dyDescent="0.25">
      <c r="A2466" s="62" t="s">
        <v>387</v>
      </c>
      <c r="B2466" s="62" t="s">
        <v>387</v>
      </c>
      <c r="C2466" s="63"/>
      <c r="D2466" s="64"/>
      <c r="E2466" s="65"/>
      <c r="F2466" s="66"/>
      <c r="G2466" s="63"/>
      <c r="H2466" s="67"/>
      <c r="I2466" s="68"/>
      <c r="J2466" s="68"/>
      <c r="K2466" s="32"/>
      <c r="L2466" s="75">
        <v>2466</v>
      </c>
      <c r="M2466" s="75"/>
      <c r="N2466" s="70"/>
      <c r="O2466" s="77" t="s">
        <v>179</v>
      </c>
      <c r="P2466" s="79">
        <v>45161.052083333336</v>
      </c>
      <c r="Q2466" s="77" t="s">
        <v>3138</v>
      </c>
      <c r="R2466" s="77">
        <v>0</v>
      </c>
      <c r="S2466" s="77">
        <v>1</v>
      </c>
      <c r="T2466" s="77">
        <v>0</v>
      </c>
      <c r="U2466" s="77">
        <v>0</v>
      </c>
      <c r="V2466" s="77">
        <v>884</v>
      </c>
      <c r="W2466" s="82" t="s">
        <v>6012</v>
      </c>
      <c r="X2466" s="80" t="str">
        <f>HYPERLINK("https://mla.bs/b2654c28")</f>
        <v>https://mla.bs/b2654c28</v>
      </c>
      <c r="Y2466" s="77" t="s">
        <v>6506</v>
      </c>
      <c r="Z2466" s="77"/>
      <c r="AA2466" s="77"/>
      <c r="AB2466" s="77"/>
      <c r="AC2466" s="82" t="s">
        <v>7750</v>
      </c>
      <c r="AD2466" s="77" t="s">
        <v>7788</v>
      </c>
      <c r="AE2466" s="80" t="str">
        <f>HYPERLINK("https://twitter.com/einvestidor/status/1694156250055868594")</f>
        <v>https://twitter.com/einvestidor/status/1694156250055868594</v>
      </c>
      <c r="AF2466" s="79">
        <v>45161.052083333336</v>
      </c>
      <c r="AG2466" s="85">
        <v>45161</v>
      </c>
      <c r="AH2466" s="82" t="s">
        <v>9297</v>
      </c>
      <c r="AI2466" s="77" t="b">
        <v>0</v>
      </c>
      <c r="AJ2466" s="77"/>
      <c r="AK2466" s="77"/>
      <c r="AL2466" s="77"/>
      <c r="AM2466" s="77"/>
      <c r="AN2466" s="77"/>
      <c r="AO2466" s="77"/>
      <c r="AP2466" s="77"/>
      <c r="AQ2466" s="77"/>
      <c r="AR2466" s="77"/>
      <c r="AS2466" s="77"/>
      <c r="AT2466" s="77"/>
      <c r="AU2466" s="77"/>
      <c r="AV2466" s="80" t="str">
        <f>HYPERLINK("https://pbs.twimg.com/profile_images/1241147984924082183/gZgx_hL-_normal.jpg")</f>
        <v>https://pbs.twimg.com/profile_images/1241147984924082183/gZgx_hL-_normal.jpg</v>
      </c>
      <c r="AW2466" s="82" t="s">
        <v>14062</v>
      </c>
      <c r="AX2466" s="82" t="s">
        <v>14062</v>
      </c>
      <c r="AY2466" s="77"/>
      <c r="AZ2466" s="82" t="s">
        <v>15984</v>
      </c>
      <c r="BA2466" s="82" t="s">
        <v>15984</v>
      </c>
      <c r="BB2466" s="82" t="s">
        <v>15984</v>
      </c>
      <c r="BC2466" s="82" t="s">
        <v>14062</v>
      </c>
      <c r="BD2466" s="82" t="s">
        <v>15979</v>
      </c>
      <c r="BE2466" s="77"/>
      <c r="BF2466" s="77"/>
      <c r="BG2466" s="77"/>
      <c r="BH2466" s="77"/>
      <c r="BI2466" s="77"/>
    </row>
    <row r="2467" spans="1:61" x14ac:dyDescent="0.25">
      <c r="A2467" s="62" t="s">
        <v>387</v>
      </c>
      <c r="B2467" s="62" t="s">
        <v>387</v>
      </c>
      <c r="C2467" s="63"/>
      <c r="D2467" s="64"/>
      <c r="E2467" s="65"/>
      <c r="F2467" s="66"/>
      <c r="G2467" s="63"/>
      <c r="H2467" s="67"/>
      <c r="I2467" s="68"/>
      <c r="J2467" s="68"/>
      <c r="K2467" s="32"/>
      <c r="L2467" s="75">
        <v>2467</v>
      </c>
      <c r="M2467" s="75"/>
      <c r="N2467" s="70"/>
      <c r="O2467" s="77" t="s">
        <v>179</v>
      </c>
      <c r="P2467" s="79">
        <v>45161.041666666664</v>
      </c>
      <c r="Q2467" s="77" t="s">
        <v>3139</v>
      </c>
      <c r="R2467" s="77">
        <v>0</v>
      </c>
      <c r="S2467" s="77">
        <v>1</v>
      </c>
      <c r="T2467" s="77">
        <v>0</v>
      </c>
      <c r="U2467" s="77">
        <v>0</v>
      </c>
      <c r="V2467" s="77">
        <v>707</v>
      </c>
      <c r="W2467" s="82" t="s">
        <v>6018</v>
      </c>
      <c r="X2467" s="80" t="str">
        <f>HYPERLINK("https://mla.bs/ec6968b2")</f>
        <v>https://mla.bs/ec6968b2</v>
      </c>
      <c r="Y2467" s="77" t="s">
        <v>6506</v>
      </c>
      <c r="Z2467" s="77"/>
      <c r="AA2467" s="77"/>
      <c r="AB2467" s="77"/>
      <c r="AC2467" s="82" t="s">
        <v>7750</v>
      </c>
      <c r="AD2467" s="77" t="s">
        <v>7788</v>
      </c>
      <c r="AE2467" s="80" t="str">
        <f>HYPERLINK("https://twitter.com/einvestidor/status/1694152475249606961")</f>
        <v>https://twitter.com/einvestidor/status/1694152475249606961</v>
      </c>
      <c r="AF2467" s="79">
        <v>45161.041666666664</v>
      </c>
      <c r="AG2467" s="85">
        <v>45161</v>
      </c>
      <c r="AH2467" s="82" t="s">
        <v>8283</v>
      </c>
      <c r="AI2467" s="77" t="b">
        <v>0</v>
      </c>
      <c r="AJ2467" s="77"/>
      <c r="AK2467" s="77"/>
      <c r="AL2467" s="77"/>
      <c r="AM2467" s="77"/>
      <c r="AN2467" s="77"/>
      <c r="AO2467" s="77"/>
      <c r="AP2467" s="77"/>
      <c r="AQ2467" s="77"/>
      <c r="AR2467" s="77"/>
      <c r="AS2467" s="77"/>
      <c r="AT2467" s="77"/>
      <c r="AU2467" s="77"/>
      <c r="AV2467" s="80" t="str">
        <f>HYPERLINK("https://pbs.twimg.com/profile_images/1241147984924082183/gZgx_hL-_normal.jpg")</f>
        <v>https://pbs.twimg.com/profile_images/1241147984924082183/gZgx_hL-_normal.jpg</v>
      </c>
      <c r="AW2467" s="82" t="s">
        <v>14063</v>
      </c>
      <c r="AX2467" s="82" t="s">
        <v>14063</v>
      </c>
      <c r="AY2467" s="77"/>
      <c r="AZ2467" s="82" t="s">
        <v>15984</v>
      </c>
      <c r="BA2467" s="82" t="s">
        <v>15984</v>
      </c>
      <c r="BB2467" s="82" t="s">
        <v>15984</v>
      </c>
      <c r="BC2467" s="82" t="s">
        <v>14063</v>
      </c>
      <c r="BD2467" s="82" t="s">
        <v>15979</v>
      </c>
      <c r="BE2467" s="77"/>
      <c r="BF2467" s="77"/>
      <c r="BG2467" s="77"/>
      <c r="BH2467" s="77"/>
      <c r="BI2467" s="77"/>
    </row>
    <row r="2468" spans="1:61" x14ac:dyDescent="0.25">
      <c r="A2468" s="62" t="s">
        <v>387</v>
      </c>
      <c r="B2468" s="62" t="s">
        <v>387</v>
      </c>
      <c r="C2468" s="63"/>
      <c r="D2468" s="64"/>
      <c r="E2468" s="65"/>
      <c r="F2468" s="66"/>
      <c r="G2468" s="63"/>
      <c r="H2468" s="67"/>
      <c r="I2468" s="68"/>
      <c r="J2468" s="68"/>
      <c r="K2468" s="32"/>
      <c r="L2468" s="75">
        <v>2468</v>
      </c>
      <c r="M2468" s="75"/>
      <c r="N2468" s="70"/>
      <c r="O2468" s="77" t="s">
        <v>179</v>
      </c>
      <c r="P2468" s="79">
        <v>45147.020833333336</v>
      </c>
      <c r="Q2468" s="77" t="s">
        <v>3140</v>
      </c>
      <c r="R2468" s="77">
        <v>0</v>
      </c>
      <c r="S2468" s="77">
        <v>2</v>
      </c>
      <c r="T2468" s="77">
        <v>0</v>
      </c>
      <c r="U2468" s="77">
        <v>0</v>
      </c>
      <c r="V2468" s="77">
        <v>737</v>
      </c>
      <c r="W2468" s="82" t="s">
        <v>6019</v>
      </c>
      <c r="X2468" s="80" t="str">
        <f>HYPERLINK("https://mla.bs/5d2405fe")</f>
        <v>https://mla.bs/5d2405fe</v>
      </c>
      <c r="Y2468" s="77" t="s">
        <v>6506</v>
      </c>
      <c r="Z2468" s="77"/>
      <c r="AA2468" s="77"/>
      <c r="AB2468" s="77"/>
      <c r="AC2468" s="82" t="s">
        <v>7754</v>
      </c>
      <c r="AD2468" s="77" t="s">
        <v>7788</v>
      </c>
      <c r="AE2468" s="80" t="str">
        <f>HYPERLINK("https://twitter.com/einvestidor/status/1689071495333695489")</f>
        <v>https://twitter.com/einvestidor/status/1689071495333695489</v>
      </c>
      <c r="AF2468" s="79">
        <v>45147.020833333336</v>
      </c>
      <c r="AG2468" s="85">
        <v>45147</v>
      </c>
      <c r="AH2468" s="82" t="s">
        <v>8088</v>
      </c>
      <c r="AI2468" s="77" t="b">
        <v>0</v>
      </c>
      <c r="AJ2468" s="77"/>
      <c r="AK2468" s="77"/>
      <c r="AL2468" s="77"/>
      <c r="AM2468" s="77"/>
      <c r="AN2468" s="77"/>
      <c r="AO2468" s="77"/>
      <c r="AP2468" s="77"/>
      <c r="AQ2468" s="77"/>
      <c r="AR2468" s="77"/>
      <c r="AS2468" s="77"/>
      <c r="AT2468" s="77"/>
      <c r="AU2468" s="77"/>
      <c r="AV2468" s="80" t="str">
        <f>HYPERLINK("https://pbs.twimg.com/profile_images/1241147984924082183/gZgx_hL-_normal.jpg")</f>
        <v>https://pbs.twimg.com/profile_images/1241147984924082183/gZgx_hL-_normal.jpg</v>
      </c>
      <c r="AW2468" s="82" t="s">
        <v>14064</v>
      </c>
      <c r="AX2468" s="82" t="s">
        <v>14064</v>
      </c>
      <c r="AY2468" s="77"/>
      <c r="AZ2468" s="82" t="s">
        <v>15984</v>
      </c>
      <c r="BA2468" s="82" t="s">
        <v>15984</v>
      </c>
      <c r="BB2468" s="82" t="s">
        <v>15984</v>
      </c>
      <c r="BC2468" s="82" t="s">
        <v>14064</v>
      </c>
      <c r="BD2468" s="82" t="s">
        <v>15979</v>
      </c>
      <c r="BE2468" s="77"/>
      <c r="BF2468" s="77"/>
      <c r="BG2468" s="77"/>
      <c r="BH2468" s="77"/>
      <c r="BI2468" s="77"/>
    </row>
    <row r="2469" spans="1:61" x14ac:dyDescent="0.25">
      <c r="A2469" s="62" t="s">
        <v>387</v>
      </c>
      <c r="B2469" s="62" t="s">
        <v>387</v>
      </c>
      <c r="C2469" s="63"/>
      <c r="D2469" s="64"/>
      <c r="E2469" s="65"/>
      <c r="F2469" s="66"/>
      <c r="G2469" s="63"/>
      <c r="H2469" s="67"/>
      <c r="I2469" s="68"/>
      <c r="J2469" s="68"/>
      <c r="K2469" s="32"/>
      <c r="L2469" s="75">
        <v>2469</v>
      </c>
      <c r="M2469" s="75"/>
      <c r="N2469" s="70"/>
      <c r="O2469" s="77" t="s">
        <v>179</v>
      </c>
      <c r="P2469" s="79">
        <v>45147.010416666664</v>
      </c>
      <c r="Q2469" s="77" t="s">
        <v>3141</v>
      </c>
      <c r="R2469" s="77">
        <v>1</v>
      </c>
      <c r="S2469" s="77">
        <v>15</v>
      </c>
      <c r="T2469" s="77">
        <v>0</v>
      </c>
      <c r="U2469" s="77">
        <v>0</v>
      </c>
      <c r="V2469" s="77">
        <v>2152</v>
      </c>
      <c r="W2469" s="82" t="s">
        <v>6020</v>
      </c>
      <c r="X2469" s="80" t="str">
        <f>HYPERLINK("https://mla.bs/a01d0b17")</f>
        <v>https://mla.bs/a01d0b17</v>
      </c>
      <c r="Y2469" s="77" t="s">
        <v>6506</v>
      </c>
      <c r="Z2469" s="77"/>
      <c r="AA2469" s="77"/>
      <c r="AB2469" s="77"/>
      <c r="AC2469" s="82" t="s">
        <v>7754</v>
      </c>
      <c r="AD2469" s="77" t="s">
        <v>7788</v>
      </c>
      <c r="AE2469" s="80" t="str">
        <f>HYPERLINK("https://twitter.com/einvestidor/status/1689067718979592202")</f>
        <v>https://twitter.com/einvestidor/status/1689067718979592202</v>
      </c>
      <c r="AF2469" s="79">
        <v>45147.010416666664</v>
      </c>
      <c r="AG2469" s="85">
        <v>45147</v>
      </c>
      <c r="AH2469" s="82" t="s">
        <v>8119</v>
      </c>
      <c r="AI2469" s="77" t="b">
        <v>0</v>
      </c>
      <c r="AJ2469" s="77"/>
      <c r="AK2469" s="77"/>
      <c r="AL2469" s="77"/>
      <c r="AM2469" s="77"/>
      <c r="AN2469" s="77"/>
      <c r="AO2469" s="77"/>
      <c r="AP2469" s="77"/>
      <c r="AQ2469" s="77"/>
      <c r="AR2469" s="77"/>
      <c r="AS2469" s="77"/>
      <c r="AT2469" s="77"/>
      <c r="AU2469" s="77"/>
      <c r="AV2469" s="80" t="str">
        <f>HYPERLINK("https://pbs.twimg.com/profile_images/1241147984924082183/gZgx_hL-_normal.jpg")</f>
        <v>https://pbs.twimg.com/profile_images/1241147984924082183/gZgx_hL-_normal.jpg</v>
      </c>
      <c r="AW2469" s="82" t="s">
        <v>14065</v>
      </c>
      <c r="AX2469" s="82" t="s">
        <v>14065</v>
      </c>
      <c r="AY2469" s="77"/>
      <c r="AZ2469" s="82" t="s">
        <v>15984</v>
      </c>
      <c r="BA2469" s="82" t="s">
        <v>15984</v>
      </c>
      <c r="BB2469" s="82" t="s">
        <v>15984</v>
      </c>
      <c r="BC2469" s="82" t="s">
        <v>14065</v>
      </c>
      <c r="BD2469" s="82" t="s">
        <v>15979</v>
      </c>
      <c r="BE2469" s="77"/>
      <c r="BF2469" s="77"/>
      <c r="BG2469" s="77"/>
      <c r="BH2469" s="77"/>
      <c r="BI2469" s="77"/>
    </row>
    <row r="2470" spans="1:61" x14ac:dyDescent="0.25">
      <c r="A2470" s="62" t="s">
        <v>387</v>
      </c>
      <c r="B2470" s="62" t="s">
        <v>387</v>
      </c>
      <c r="C2470" s="63"/>
      <c r="D2470" s="64"/>
      <c r="E2470" s="65"/>
      <c r="F2470" s="66"/>
      <c r="G2470" s="63"/>
      <c r="H2470" s="67"/>
      <c r="I2470" s="68"/>
      <c r="J2470" s="68"/>
      <c r="K2470" s="32"/>
      <c r="L2470" s="75">
        <v>2470</v>
      </c>
      <c r="M2470" s="75"/>
      <c r="N2470" s="70"/>
      <c r="O2470" s="77" t="s">
        <v>179</v>
      </c>
      <c r="P2470" s="79">
        <v>45147.000011574077</v>
      </c>
      <c r="Q2470" s="77" t="s">
        <v>3142</v>
      </c>
      <c r="R2470" s="77">
        <v>0</v>
      </c>
      <c r="S2470" s="77">
        <v>1</v>
      </c>
      <c r="T2470" s="77">
        <v>0</v>
      </c>
      <c r="U2470" s="77">
        <v>0</v>
      </c>
      <c r="V2470" s="77">
        <v>668</v>
      </c>
      <c r="W2470" s="82" t="s">
        <v>4833</v>
      </c>
      <c r="X2470" s="80" t="str">
        <f>HYPERLINK("https://mla.bs/b77c4958")</f>
        <v>https://mla.bs/b77c4958</v>
      </c>
      <c r="Y2470" s="77" t="s">
        <v>6506</v>
      </c>
      <c r="Z2470" s="77"/>
      <c r="AA2470" s="77"/>
      <c r="AB2470" s="77"/>
      <c r="AC2470" s="82" t="s">
        <v>7754</v>
      </c>
      <c r="AD2470" s="77" t="s">
        <v>7788</v>
      </c>
      <c r="AE2470" s="80" t="str">
        <f>HYPERLINK("https://twitter.com/einvestidor/status/1689063950833655811")</f>
        <v>https://twitter.com/einvestidor/status/1689063950833655811</v>
      </c>
      <c r="AF2470" s="79">
        <v>45147.000011574077</v>
      </c>
      <c r="AG2470" s="85">
        <v>45147</v>
      </c>
      <c r="AH2470" s="82" t="s">
        <v>7883</v>
      </c>
      <c r="AI2470" s="77" t="b">
        <v>0</v>
      </c>
      <c r="AJ2470" s="77"/>
      <c r="AK2470" s="77"/>
      <c r="AL2470" s="77"/>
      <c r="AM2470" s="77"/>
      <c r="AN2470" s="77"/>
      <c r="AO2470" s="77"/>
      <c r="AP2470" s="77"/>
      <c r="AQ2470" s="77"/>
      <c r="AR2470" s="77"/>
      <c r="AS2470" s="77"/>
      <c r="AT2470" s="77"/>
      <c r="AU2470" s="77"/>
      <c r="AV2470" s="80" t="str">
        <f>HYPERLINK("https://pbs.twimg.com/profile_images/1241147984924082183/gZgx_hL-_normal.jpg")</f>
        <v>https://pbs.twimg.com/profile_images/1241147984924082183/gZgx_hL-_normal.jpg</v>
      </c>
      <c r="AW2470" s="82" t="s">
        <v>14066</v>
      </c>
      <c r="AX2470" s="82" t="s">
        <v>14066</v>
      </c>
      <c r="AY2470" s="77"/>
      <c r="AZ2470" s="82" t="s">
        <v>15984</v>
      </c>
      <c r="BA2470" s="82" t="s">
        <v>15984</v>
      </c>
      <c r="BB2470" s="82" t="s">
        <v>15984</v>
      </c>
      <c r="BC2470" s="82" t="s">
        <v>14066</v>
      </c>
      <c r="BD2470" s="82" t="s">
        <v>15979</v>
      </c>
      <c r="BE2470" s="77"/>
      <c r="BF2470" s="77"/>
      <c r="BG2470" s="77"/>
      <c r="BH2470" s="77"/>
      <c r="BI2470" s="77"/>
    </row>
    <row r="2471" spans="1:61" x14ac:dyDescent="0.25">
      <c r="A2471" s="62" t="s">
        <v>387</v>
      </c>
      <c r="B2471" s="62" t="s">
        <v>387</v>
      </c>
      <c r="C2471" s="63"/>
      <c r="D2471" s="64"/>
      <c r="E2471" s="65"/>
      <c r="F2471" s="66"/>
      <c r="G2471" s="63"/>
      <c r="H2471" s="67"/>
      <c r="I2471" s="68"/>
      <c r="J2471" s="68"/>
      <c r="K2471" s="32"/>
      <c r="L2471" s="75">
        <v>2471</v>
      </c>
      <c r="M2471" s="75"/>
      <c r="N2471" s="70"/>
      <c r="O2471" s="77" t="s">
        <v>179</v>
      </c>
      <c r="P2471" s="79">
        <v>45146.989583333336</v>
      </c>
      <c r="Q2471" s="77" t="s">
        <v>3143</v>
      </c>
      <c r="R2471" s="77">
        <v>0</v>
      </c>
      <c r="S2471" s="77">
        <v>2</v>
      </c>
      <c r="T2471" s="77">
        <v>0</v>
      </c>
      <c r="U2471" s="77">
        <v>0</v>
      </c>
      <c r="V2471" s="77">
        <v>719</v>
      </c>
      <c r="W2471" s="82" t="s">
        <v>5961</v>
      </c>
      <c r="X2471" s="80" t="str">
        <f>HYPERLINK("https://mla.bs/d7de663c")</f>
        <v>https://mla.bs/d7de663c</v>
      </c>
      <c r="Y2471" s="77" t="s">
        <v>6506</v>
      </c>
      <c r="Z2471" s="77"/>
      <c r="AA2471" s="77"/>
      <c r="AB2471" s="77"/>
      <c r="AC2471" s="82" t="s">
        <v>7754</v>
      </c>
      <c r="AD2471" s="77" t="s">
        <v>7788</v>
      </c>
      <c r="AE2471" s="80" t="str">
        <f>HYPERLINK("https://twitter.com/einvestidor/status/1689060169131450368")</f>
        <v>https://twitter.com/einvestidor/status/1689060169131450368</v>
      </c>
      <c r="AF2471" s="79">
        <v>45146.989583333336</v>
      </c>
      <c r="AG2471" s="85">
        <v>45146</v>
      </c>
      <c r="AH2471" s="82" t="s">
        <v>9620</v>
      </c>
      <c r="AI2471" s="77" t="b">
        <v>0</v>
      </c>
      <c r="AJ2471" s="77"/>
      <c r="AK2471" s="77"/>
      <c r="AL2471" s="77"/>
      <c r="AM2471" s="77"/>
      <c r="AN2471" s="77"/>
      <c r="AO2471" s="77"/>
      <c r="AP2471" s="77"/>
      <c r="AQ2471" s="77"/>
      <c r="AR2471" s="77"/>
      <c r="AS2471" s="77"/>
      <c r="AT2471" s="77"/>
      <c r="AU2471" s="77"/>
      <c r="AV2471" s="80" t="str">
        <f>HYPERLINK("https://pbs.twimg.com/profile_images/1241147984924082183/gZgx_hL-_normal.jpg")</f>
        <v>https://pbs.twimg.com/profile_images/1241147984924082183/gZgx_hL-_normal.jpg</v>
      </c>
      <c r="AW2471" s="82" t="s">
        <v>14067</v>
      </c>
      <c r="AX2471" s="82" t="s">
        <v>14067</v>
      </c>
      <c r="AY2471" s="77"/>
      <c r="AZ2471" s="82" t="s">
        <v>15984</v>
      </c>
      <c r="BA2471" s="82" t="s">
        <v>15984</v>
      </c>
      <c r="BB2471" s="82" t="s">
        <v>15984</v>
      </c>
      <c r="BC2471" s="82" t="s">
        <v>14067</v>
      </c>
      <c r="BD2471" s="82" t="s">
        <v>15979</v>
      </c>
      <c r="BE2471" s="77"/>
      <c r="BF2471" s="77"/>
      <c r="BG2471" s="77"/>
      <c r="BH2471" s="77"/>
      <c r="BI2471" s="77"/>
    </row>
    <row r="2472" spans="1:61" x14ac:dyDescent="0.25">
      <c r="A2472" s="62" t="s">
        <v>387</v>
      </c>
      <c r="B2472" s="62" t="s">
        <v>387</v>
      </c>
      <c r="C2472" s="63"/>
      <c r="D2472" s="64"/>
      <c r="E2472" s="65"/>
      <c r="F2472" s="66"/>
      <c r="G2472" s="63"/>
      <c r="H2472" s="67"/>
      <c r="I2472" s="68"/>
      <c r="J2472" s="68"/>
      <c r="K2472" s="32"/>
      <c r="L2472" s="75">
        <v>2472</v>
      </c>
      <c r="M2472" s="75"/>
      <c r="N2472" s="70"/>
      <c r="O2472" s="77" t="s">
        <v>179</v>
      </c>
      <c r="P2472" s="79">
        <v>45146.979166666664</v>
      </c>
      <c r="Q2472" s="77" t="s">
        <v>3144</v>
      </c>
      <c r="R2472" s="77">
        <v>0</v>
      </c>
      <c r="S2472" s="77">
        <v>1</v>
      </c>
      <c r="T2472" s="77">
        <v>0</v>
      </c>
      <c r="U2472" s="77">
        <v>0</v>
      </c>
      <c r="V2472" s="77">
        <v>760</v>
      </c>
      <c r="W2472" s="82" t="s">
        <v>5918</v>
      </c>
      <c r="X2472" s="80" t="str">
        <f>HYPERLINK("https://mla.bs/fbe4664c")</f>
        <v>https://mla.bs/fbe4664c</v>
      </c>
      <c r="Y2472" s="77" t="s">
        <v>6506</v>
      </c>
      <c r="Z2472" s="77"/>
      <c r="AA2472" s="77"/>
      <c r="AB2472" s="77"/>
      <c r="AC2472" s="82" t="s">
        <v>7754</v>
      </c>
      <c r="AD2472" s="77" t="s">
        <v>7788</v>
      </c>
      <c r="AE2472" s="80" t="str">
        <f>HYPERLINK("https://twitter.com/einvestidor/status/1689056396715642881")</f>
        <v>https://twitter.com/einvestidor/status/1689056396715642881</v>
      </c>
      <c r="AF2472" s="79">
        <v>45146.979166666664</v>
      </c>
      <c r="AG2472" s="85">
        <v>45146</v>
      </c>
      <c r="AH2472" s="82" t="s">
        <v>7928</v>
      </c>
      <c r="AI2472" s="77" t="b">
        <v>0</v>
      </c>
      <c r="AJ2472" s="77"/>
      <c r="AK2472" s="77"/>
      <c r="AL2472" s="77"/>
      <c r="AM2472" s="77"/>
      <c r="AN2472" s="77"/>
      <c r="AO2472" s="77"/>
      <c r="AP2472" s="77"/>
      <c r="AQ2472" s="77"/>
      <c r="AR2472" s="77"/>
      <c r="AS2472" s="77"/>
      <c r="AT2472" s="77"/>
      <c r="AU2472" s="77"/>
      <c r="AV2472" s="80" t="str">
        <f>HYPERLINK("https://pbs.twimg.com/profile_images/1241147984924082183/gZgx_hL-_normal.jpg")</f>
        <v>https://pbs.twimg.com/profile_images/1241147984924082183/gZgx_hL-_normal.jpg</v>
      </c>
      <c r="AW2472" s="82" t="s">
        <v>14068</v>
      </c>
      <c r="AX2472" s="82" t="s">
        <v>14068</v>
      </c>
      <c r="AY2472" s="77"/>
      <c r="AZ2472" s="82" t="s">
        <v>15984</v>
      </c>
      <c r="BA2472" s="82" t="s">
        <v>15984</v>
      </c>
      <c r="BB2472" s="82" t="s">
        <v>15984</v>
      </c>
      <c r="BC2472" s="82" t="s">
        <v>14068</v>
      </c>
      <c r="BD2472" s="82" t="s">
        <v>15979</v>
      </c>
      <c r="BE2472" s="77"/>
      <c r="BF2472" s="77"/>
      <c r="BG2472" s="77"/>
      <c r="BH2472" s="77"/>
      <c r="BI2472" s="77"/>
    </row>
    <row r="2473" spans="1:61" x14ac:dyDescent="0.25">
      <c r="A2473" s="62" t="s">
        <v>387</v>
      </c>
      <c r="B2473" s="62" t="s">
        <v>387</v>
      </c>
      <c r="C2473" s="63"/>
      <c r="D2473" s="64"/>
      <c r="E2473" s="65"/>
      <c r="F2473" s="66"/>
      <c r="G2473" s="63"/>
      <c r="H2473" s="67"/>
      <c r="I2473" s="68"/>
      <c r="J2473" s="68"/>
      <c r="K2473" s="32"/>
      <c r="L2473" s="75">
        <v>2473</v>
      </c>
      <c r="M2473" s="75"/>
      <c r="N2473" s="70"/>
      <c r="O2473" s="77" t="s">
        <v>179</v>
      </c>
      <c r="P2473" s="79">
        <v>45146.96875</v>
      </c>
      <c r="Q2473" s="77" t="s">
        <v>3145</v>
      </c>
      <c r="R2473" s="77">
        <v>1</v>
      </c>
      <c r="S2473" s="77">
        <v>2</v>
      </c>
      <c r="T2473" s="77">
        <v>0</v>
      </c>
      <c r="U2473" s="77">
        <v>0</v>
      </c>
      <c r="V2473" s="77">
        <v>565</v>
      </c>
      <c r="W2473" s="82" t="s">
        <v>6021</v>
      </c>
      <c r="X2473" s="80" t="str">
        <f>HYPERLINK("https://mla.bs/7a122d75")</f>
        <v>https://mla.bs/7a122d75</v>
      </c>
      <c r="Y2473" s="77" t="s">
        <v>6506</v>
      </c>
      <c r="Z2473" s="77"/>
      <c r="AA2473" s="77"/>
      <c r="AB2473" s="77"/>
      <c r="AC2473" s="82" t="s">
        <v>7754</v>
      </c>
      <c r="AD2473" s="77" t="s">
        <v>7788</v>
      </c>
      <c r="AE2473" s="80" t="str">
        <f>HYPERLINK("https://twitter.com/einvestidor/status/1689052619371692032")</f>
        <v>https://twitter.com/einvestidor/status/1689052619371692032</v>
      </c>
      <c r="AF2473" s="79">
        <v>45146.96875</v>
      </c>
      <c r="AG2473" s="85">
        <v>45146</v>
      </c>
      <c r="AH2473" s="82" t="s">
        <v>9621</v>
      </c>
      <c r="AI2473" s="77" t="b">
        <v>0</v>
      </c>
      <c r="AJ2473" s="77"/>
      <c r="AK2473" s="77"/>
      <c r="AL2473" s="77"/>
      <c r="AM2473" s="77"/>
      <c r="AN2473" s="77"/>
      <c r="AO2473" s="77"/>
      <c r="AP2473" s="77"/>
      <c r="AQ2473" s="77"/>
      <c r="AR2473" s="77"/>
      <c r="AS2473" s="77"/>
      <c r="AT2473" s="77"/>
      <c r="AU2473" s="77"/>
      <c r="AV2473" s="80" t="str">
        <f>HYPERLINK("https://pbs.twimg.com/profile_images/1241147984924082183/gZgx_hL-_normal.jpg")</f>
        <v>https://pbs.twimg.com/profile_images/1241147984924082183/gZgx_hL-_normal.jpg</v>
      </c>
      <c r="AW2473" s="82" t="s">
        <v>14069</v>
      </c>
      <c r="AX2473" s="82" t="s">
        <v>14069</v>
      </c>
      <c r="AY2473" s="77"/>
      <c r="AZ2473" s="82" t="s">
        <v>15984</v>
      </c>
      <c r="BA2473" s="82" t="s">
        <v>15984</v>
      </c>
      <c r="BB2473" s="82" t="s">
        <v>15984</v>
      </c>
      <c r="BC2473" s="82" t="s">
        <v>14069</v>
      </c>
      <c r="BD2473" s="82" t="s">
        <v>15979</v>
      </c>
      <c r="BE2473" s="77"/>
      <c r="BF2473" s="77"/>
      <c r="BG2473" s="77"/>
      <c r="BH2473" s="77"/>
      <c r="BI2473" s="77"/>
    </row>
    <row r="2474" spans="1:61" x14ac:dyDescent="0.25">
      <c r="A2474" s="62" t="s">
        <v>387</v>
      </c>
      <c r="B2474" s="62" t="s">
        <v>387</v>
      </c>
      <c r="C2474" s="63"/>
      <c r="D2474" s="64"/>
      <c r="E2474" s="65"/>
      <c r="F2474" s="66"/>
      <c r="G2474" s="63"/>
      <c r="H2474" s="67"/>
      <c r="I2474" s="68"/>
      <c r="J2474" s="68"/>
      <c r="K2474" s="32"/>
      <c r="L2474" s="75">
        <v>2474</v>
      </c>
      <c r="M2474" s="75"/>
      <c r="N2474" s="70"/>
      <c r="O2474" s="77" t="s">
        <v>179</v>
      </c>
      <c r="P2474" s="79">
        <v>45146.958356481482</v>
      </c>
      <c r="Q2474" s="77" t="s">
        <v>3146</v>
      </c>
      <c r="R2474" s="77">
        <v>0</v>
      </c>
      <c r="S2474" s="77">
        <v>1</v>
      </c>
      <c r="T2474" s="77">
        <v>0</v>
      </c>
      <c r="U2474" s="77">
        <v>0</v>
      </c>
      <c r="V2474" s="77">
        <v>548</v>
      </c>
      <c r="W2474" s="82" t="s">
        <v>4833</v>
      </c>
      <c r="X2474" s="80" t="str">
        <f>HYPERLINK("https://mla.bs/23cf6130")</f>
        <v>https://mla.bs/23cf6130</v>
      </c>
      <c r="Y2474" s="77" t="s">
        <v>6506</v>
      </c>
      <c r="Z2474" s="77"/>
      <c r="AA2474" s="77"/>
      <c r="AB2474" s="77"/>
      <c r="AC2474" s="82" t="s">
        <v>7754</v>
      </c>
      <c r="AD2474" s="77" t="s">
        <v>7788</v>
      </c>
      <c r="AE2474" s="80" t="str">
        <f>HYPERLINK("https://twitter.com/einvestidor/status/1689048852865662977")</f>
        <v>https://twitter.com/einvestidor/status/1689048852865662977</v>
      </c>
      <c r="AF2474" s="79">
        <v>45146.958356481482</v>
      </c>
      <c r="AG2474" s="85">
        <v>45146</v>
      </c>
      <c r="AH2474" s="82" t="s">
        <v>9725</v>
      </c>
      <c r="AI2474" s="77" t="b">
        <v>0</v>
      </c>
      <c r="AJ2474" s="77"/>
      <c r="AK2474" s="77"/>
      <c r="AL2474" s="77"/>
      <c r="AM2474" s="77"/>
      <c r="AN2474" s="77"/>
      <c r="AO2474" s="77"/>
      <c r="AP2474" s="77"/>
      <c r="AQ2474" s="77"/>
      <c r="AR2474" s="77"/>
      <c r="AS2474" s="77"/>
      <c r="AT2474" s="77"/>
      <c r="AU2474" s="77"/>
      <c r="AV2474" s="80" t="str">
        <f>HYPERLINK("https://pbs.twimg.com/profile_images/1241147984924082183/gZgx_hL-_normal.jpg")</f>
        <v>https://pbs.twimg.com/profile_images/1241147984924082183/gZgx_hL-_normal.jpg</v>
      </c>
      <c r="AW2474" s="82" t="s">
        <v>14070</v>
      </c>
      <c r="AX2474" s="82" t="s">
        <v>14070</v>
      </c>
      <c r="AY2474" s="77"/>
      <c r="AZ2474" s="82" t="s">
        <v>15984</v>
      </c>
      <c r="BA2474" s="82" t="s">
        <v>15984</v>
      </c>
      <c r="BB2474" s="82" t="s">
        <v>15984</v>
      </c>
      <c r="BC2474" s="82" t="s">
        <v>14070</v>
      </c>
      <c r="BD2474" s="82" t="s">
        <v>15979</v>
      </c>
      <c r="BE2474" s="77"/>
      <c r="BF2474" s="77"/>
      <c r="BG2474" s="77"/>
      <c r="BH2474" s="77"/>
      <c r="BI2474" s="77"/>
    </row>
    <row r="2475" spans="1:61" x14ac:dyDescent="0.25">
      <c r="A2475" s="62" t="s">
        <v>387</v>
      </c>
      <c r="B2475" s="62" t="s">
        <v>387</v>
      </c>
      <c r="C2475" s="63"/>
      <c r="D2475" s="64"/>
      <c r="E2475" s="65"/>
      <c r="F2475" s="66"/>
      <c r="G2475" s="63"/>
      <c r="H2475" s="67"/>
      <c r="I2475" s="68"/>
      <c r="J2475" s="68"/>
      <c r="K2475" s="32"/>
      <c r="L2475" s="75">
        <v>2475</v>
      </c>
      <c r="M2475" s="75"/>
      <c r="N2475" s="70"/>
      <c r="O2475" s="77" t="s">
        <v>179</v>
      </c>
      <c r="P2475" s="79">
        <v>45146.947916666664</v>
      </c>
      <c r="Q2475" s="77" t="s">
        <v>3147</v>
      </c>
      <c r="R2475" s="77">
        <v>0</v>
      </c>
      <c r="S2475" s="77">
        <v>0</v>
      </c>
      <c r="T2475" s="77">
        <v>0</v>
      </c>
      <c r="U2475" s="77">
        <v>0</v>
      </c>
      <c r="V2475" s="77">
        <v>521</v>
      </c>
      <c r="W2475" s="82" t="s">
        <v>6022</v>
      </c>
      <c r="X2475" s="80" t="str">
        <f>HYPERLINK("https://mla.bs/3ad051a6")</f>
        <v>https://mla.bs/3ad051a6</v>
      </c>
      <c r="Y2475" s="77" t="s">
        <v>6506</v>
      </c>
      <c r="Z2475" s="77"/>
      <c r="AA2475" s="77"/>
      <c r="AB2475" s="77"/>
      <c r="AC2475" s="82" t="s">
        <v>7754</v>
      </c>
      <c r="AD2475" s="77" t="s">
        <v>7788</v>
      </c>
      <c r="AE2475" s="80" t="str">
        <f>HYPERLINK("https://twitter.com/einvestidor/status/1689045069553369088")</f>
        <v>https://twitter.com/einvestidor/status/1689045069553369088</v>
      </c>
      <c r="AF2475" s="79">
        <v>45146.947916666664</v>
      </c>
      <c r="AG2475" s="85">
        <v>45146</v>
      </c>
      <c r="AH2475" s="82" t="s">
        <v>9595</v>
      </c>
      <c r="AI2475" s="77" t="b">
        <v>0</v>
      </c>
      <c r="AJ2475" s="77"/>
      <c r="AK2475" s="77"/>
      <c r="AL2475" s="77"/>
      <c r="AM2475" s="77"/>
      <c r="AN2475" s="77"/>
      <c r="AO2475" s="77"/>
      <c r="AP2475" s="77"/>
      <c r="AQ2475" s="77"/>
      <c r="AR2475" s="77"/>
      <c r="AS2475" s="77"/>
      <c r="AT2475" s="77"/>
      <c r="AU2475" s="77"/>
      <c r="AV2475" s="80" t="str">
        <f>HYPERLINK("https://pbs.twimg.com/profile_images/1241147984924082183/gZgx_hL-_normal.jpg")</f>
        <v>https://pbs.twimg.com/profile_images/1241147984924082183/gZgx_hL-_normal.jpg</v>
      </c>
      <c r="AW2475" s="82" t="s">
        <v>14071</v>
      </c>
      <c r="AX2475" s="82" t="s">
        <v>14071</v>
      </c>
      <c r="AY2475" s="77"/>
      <c r="AZ2475" s="82" t="s">
        <v>15984</v>
      </c>
      <c r="BA2475" s="82" t="s">
        <v>15984</v>
      </c>
      <c r="BB2475" s="82" t="s">
        <v>15984</v>
      </c>
      <c r="BC2475" s="82" t="s">
        <v>14071</v>
      </c>
      <c r="BD2475" s="82" t="s">
        <v>15979</v>
      </c>
      <c r="BE2475" s="77"/>
      <c r="BF2475" s="77"/>
      <c r="BG2475" s="77"/>
      <c r="BH2475" s="77"/>
      <c r="BI2475" s="77"/>
    </row>
    <row r="2476" spans="1:61" x14ac:dyDescent="0.25">
      <c r="A2476" s="62" t="s">
        <v>387</v>
      </c>
      <c r="B2476" s="62" t="s">
        <v>387</v>
      </c>
      <c r="C2476" s="63"/>
      <c r="D2476" s="64"/>
      <c r="E2476" s="65"/>
      <c r="F2476" s="66"/>
      <c r="G2476" s="63"/>
      <c r="H2476" s="67"/>
      <c r="I2476" s="68"/>
      <c r="J2476" s="68"/>
      <c r="K2476" s="32"/>
      <c r="L2476" s="75">
        <v>2476</v>
      </c>
      <c r="M2476" s="75"/>
      <c r="N2476" s="70"/>
      <c r="O2476" s="77" t="s">
        <v>179</v>
      </c>
      <c r="P2476" s="79">
        <v>45146.9375</v>
      </c>
      <c r="Q2476" s="77" t="s">
        <v>3148</v>
      </c>
      <c r="R2476" s="77">
        <v>0</v>
      </c>
      <c r="S2476" s="77">
        <v>1</v>
      </c>
      <c r="T2476" s="77">
        <v>0</v>
      </c>
      <c r="U2476" s="77">
        <v>0</v>
      </c>
      <c r="V2476" s="77">
        <v>513</v>
      </c>
      <c r="W2476" s="82" t="s">
        <v>4833</v>
      </c>
      <c r="X2476" s="80" t="str">
        <f>HYPERLINK("https://mla.bs/45f2e5ee")</f>
        <v>https://mla.bs/45f2e5ee</v>
      </c>
      <c r="Y2476" s="77" t="s">
        <v>6506</v>
      </c>
      <c r="Z2476" s="77"/>
      <c r="AA2476" s="77"/>
      <c r="AB2476" s="77"/>
      <c r="AC2476" s="82" t="s">
        <v>7754</v>
      </c>
      <c r="AD2476" s="77" t="s">
        <v>7788</v>
      </c>
      <c r="AE2476" s="80" t="str">
        <f>HYPERLINK("https://twitter.com/einvestidor/status/1689041295640338432")</f>
        <v>https://twitter.com/einvestidor/status/1689041295640338432</v>
      </c>
      <c r="AF2476" s="79">
        <v>45146.9375</v>
      </c>
      <c r="AG2476" s="85">
        <v>45146</v>
      </c>
      <c r="AH2476" s="82" t="s">
        <v>7926</v>
      </c>
      <c r="AI2476" s="77" t="b">
        <v>0</v>
      </c>
      <c r="AJ2476" s="77"/>
      <c r="AK2476" s="77"/>
      <c r="AL2476" s="77"/>
      <c r="AM2476" s="77"/>
      <c r="AN2476" s="77"/>
      <c r="AO2476" s="77"/>
      <c r="AP2476" s="77"/>
      <c r="AQ2476" s="77"/>
      <c r="AR2476" s="77"/>
      <c r="AS2476" s="77"/>
      <c r="AT2476" s="77"/>
      <c r="AU2476" s="77"/>
      <c r="AV2476" s="80" t="str">
        <f>HYPERLINK("https://pbs.twimg.com/profile_images/1241147984924082183/gZgx_hL-_normal.jpg")</f>
        <v>https://pbs.twimg.com/profile_images/1241147984924082183/gZgx_hL-_normal.jpg</v>
      </c>
      <c r="AW2476" s="82" t="s">
        <v>14072</v>
      </c>
      <c r="AX2476" s="82" t="s">
        <v>14072</v>
      </c>
      <c r="AY2476" s="77"/>
      <c r="AZ2476" s="82" t="s">
        <v>15984</v>
      </c>
      <c r="BA2476" s="82" t="s">
        <v>15984</v>
      </c>
      <c r="BB2476" s="82" t="s">
        <v>15984</v>
      </c>
      <c r="BC2476" s="82" t="s">
        <v>14072</v>
      </c>
      <c r="BD2476" s="82" t="s">
        <v>15979</v>
      </c>
      <c r="BE2476" s="77"/>
      <c r="BF2476" s="77"/>
      <c r="BG2476" s="77"/>
      <c r="BH2476" s="77"/>
      <c r="BI2476" s="77"/>
    </row>
    <row r="2477" spans="1:61" x14ac:dyDescent="0.25">
      <c r="A2477" s="62" t="s">
        <v>387</v>
      </c>
      <c r="B2477" s="62" t="s">
        <v>387</v>
      </c>
      <c r="C2477" s="63"/>
      <c r="D2477" s="64"/>
      <c r="E2477" s="65"/>
      <c r="F2477" s="66"/>
      <c r="G2477" s="63"/>
      <c r="H2477" s="67"/>
      <c r="I2477" s="68"/>
      <c r="J2477" s="68"/>
      <c r="K2477" s="32"/>
      <c r="L2477" s="75">
        <v>2477</v>
      </c>
      <c r="M2477" s="75"/>
      <c r="N2477" s="70"/>
      <c r="O2477" s="77" t="s">
        <v>179</v>
      </c>
      <c r="P2477" s="79">
        <v>45146.927083333336</v>
      </c>
      <c r="Q2477" s="77" t="s">
        <v>3149</v>
      </c>
      <c r="R2477" s="77">
        <v>1</v>
      </c>
      <c r="S2477" s="77">
        <v>2</v>
      </c>
      <c r="T2477" s="77">
        <v>2</v>
      </c>
      <c r="U2477" s="77">
        <v>0</v>
      </c>
      <c r="V2477" s="77">
        <v>521</v>
      </c>
      <c r="W2477" s="82" t="s">
        <v>4833</v>
      </c>
      <c r="X2477" s="80" t="str">
        <f>HYPERLINK("https://mla.bs/f37b85cd")</f>
        <v>https://mla.bs/f37b85cd</v>
      </c>
      <c r="Y2477" s="77" t="s">
        <v>6506</v>
      </c>
      <c r="Z2477" s="77"/>
      <c r="AA2477" s="77"/>
      <c r="AB2477" s="77"/>
      <c r="AC2477" s="82" t="s">
        <v>7754</v>
      </c>
      <c r="AD2477" s="77" t="s">
        <v>7788</v>
      </c>
      <c r="AE2477" s="80" t="str">
        <f>HYPERLINK("https://twitter.com/einvestidor/status/1689037520204345344")</f>
        <v>https://twitter.com/einvestidor/status/1689037520204345344</v>
      </c>
      <c r="AF2477" s="79">
        <v>45146.927083333336</v>
      </c>
      <c r="AG2477" s="85">
        <v>45146</v>
      </c>
      <c r="AH2477" s="82" t="s">
        <v>9576</v>
      </c>
      <c r="AI2477" s="77" t="b">
        <v>0</v>
      </c>
      <c r="AJ2477" s="77"/>
      <c r="AK2477" s="77"/>
      <c r="AL2477" s="77"/>
      <c r="AM2477" s="77"/>
      <c r="AN2477" s="77"/>
      <c r="AO2477" s="77"/>
      <c r="AP2477" s="77"/>
      <c r="AQ2477" s="77"/>
      <c r="AR2477" s="77"/>
      <c r="AS2477" s="77"/>
      <c r="AT2477" s="77"/>
      <c r="AU2477" s="77"/>
      <c r="AV2477" s="80" t="str">
        <f>HYPERLINK("https://pbs.twimg.com/profile_images/1241147984924082183/gZgx_hL-_normal.jpg")</f>
        <v>https://pbs.twimg.com/profile_images/1241147984924082183/gZgx_hL-_normal.jpg</v>
      </c>
      <c r="AW2477" s="82" t="s">
        <v>14073</v>
      </c>
      <c r="AX2477" s="82" t="s">
        <v>14073</v>
      </c>
      <c r="AY2477" s="77"/>
      <c r="AZ2477" s="82" t="s">
        <v>15984</v>
      </c>
      <c r="BA2477" s="82" t="s">
        <v>15984</v>
      </c>
      <c r="BB2477" s="82" t="s">
        <v>15984</v>
      </c>
      <c r="BC2477" s="82" t="s">
        <v>14073</v>
      </c>
      <c r="BD2477" s="82" t="s">
        <v>15979</v>
      </c>
      <c r="BE2477" s="77"/>
      <c r="BF2477" s="77"/>
      <c r="BG2477" s="77"/>
      <c r="BH2477" s="77"/>
      <c r="BI2477" s="77"/>
    </row>
    <row r="2478" spans="1:61" x14ac:dyDescent="0.25">
      <c r="A2478" s="62" t="s">
        <v>387</v>
      </c>
      <c r="B2478" s="62" t="s">
        <v>387</v>
      </c>
      <c r="C2478" s="63"/>
      <c r="D2478" s="64"/>
      <c r="E2478" s="65"/>
      <c r="F2478" s="66"/>
      <c r="G2478" s="63"/>
      <c r="H2478" s="67"/>
      <c r="I2478" s="68"/>
      <c r="J2478" s="68"/>
      <c r="K2478" s="32"/>
      <c r="L2478" s="75">
        <v>2478</v>
      </c>
      <c r="M2478" s="75"/>
      <c r="N2478" s="70"/>
      <c r="O2478" s="77" t="s">
        <v>179</v>
      </c>
      <c r="P2478" s="79">
        <v>45146.916678240741</v>
      </c>
      <c r="Q2478" s="77" t="s">
        <v>3150</v>
      </c>
      <c r="R2478" s="77">
        <v>0</v>
      </c>
      <c r="S2478" s="77">
        <v>0</v>
      </c>
      <c r="T2478" s="77">
        <v>0</v>
      </c>
      <c r="U2478" s="77">
        <v>0</v>
      </c>
      <c r="V2478" s="77">
        <v>457</v>
      </c>
      <c r="W2478" s="82" t="s">
        <v>5902</v>
      </c>
      <c r="X2478" s="80" t="str">
        <f>HYPERLINK("https://mla.bs/68105fc9")</f>
        <v>https://mla.bs/68105fc9</v>
      </c>
      <c r="Y2478" s="77" t="s">
        <v>6506</v>
      </c>
      <c r="Z2478" s="77"/>
      <c r="AA2478" s="77"/>
      <c r="AB2478" s="77"/>
      <c r="AC2478" s="82" t="s">
        <v>7754</v>
      </c>
      <c r="AD2478" s="77" t="s">
        <v>7788</v>
      </c>
      <c r="AE2478" s="80" t="str">
        <f>HYPERLINK("https://twitter.com/einvestidor/status/1689033751287013376")</f>
        <v>https://twitter.com/einvestidor/status/1689033751287013376</v>
      </c>
      <c r="AF2478" s="79">
        <v>45146.916678240741</v>
      </c>
      <c r="AG2478" s="85">
        <v>45146</v>
      </c>
      <c r="AH2478" s="82" t="s">
        <v>8052</v>
      </c>
      <c r="AI2478" s="77" t="b">
        <v>0</v>
      </c>
      <c r="AJ2478" s="77"/>
      <c r="AK2478" s="77"/>
      <c r="AL2478" s="77"/>
      <c r="AM2478" s="77"/>
      <c r="AN2478" s="77"/>
      <c r="AO2478" s="77"/>
      <c r="AP2478" s="77"/>
      <c r="AQ2478" s="77"/>
      <c r="AR2478" s="77"/>
      <c r="AS2478" s="77"/>
      <c r="AT2478" s="77"/>
      <c r="AU2478" s="77"/>
      <c r="AV2478" s="80" t="str">
        <f>HYPERLINK("https://pbs.twimg.com/profile_images/1241147984924082183/gZgx_hL-_normal.jpg")</f>
        <v>https://pbs.twimg.com/profile_images/1241147984924082183/gZgx_hL-_normal.jpg</v>
      </c>
      <c r="AW2478" s="82" t="s">
        <v>14074</v>
      </c>
      <c r="AX2478" s="82" t="s">
        <v>14074</v>
      </c>
      <c r="AY2478" s="77"/>
      <c r="AZ2478" s="82" t="s">
        <v>15984</v>
      </c>
      <c r="BA2478" s="82" t="s">
        <v>15984</v>
      </c>
      <c r="BB2478" s="82" t="s">
        <v>15984</v>
      </c>
      <c r="BC2478" s="82" t="s">
        <v>14074</v>
      </c>
      <c r="BD2478" s="82" t="s">
        <v>15979</v>
      </c>
      <c r="BE2478" s="77"/>
      <c r="BF2478" s="77"/>
      <c r="BG2478" s="77"/>
      <c r="BH2478" s="77"/>
      <c r="BI2478" s="77"/>
    </row>
    <row r="2479" spans="1:61" x14ac:dyDescent="0.25">
      <c r="A2479" s="62" t="s">
        <v>387</v>
      </c>
      <c r="B2479" s="62" t="s">
        <v>387</v>
      </c>
      <c r="C2479" s="63"/>
      <c r="D2479" s="64"/>
      <c r="E2479" s="65"/>
      <c r="F2479" s="66"/>
      <c r="G2479" s="63"/>
      <c r="H2479" s="67"/>
      <c r="I2479" s="68"/>
      <c r="J2479" s="68"/>
      <c r="K2479" s="32"/>
      <c r="L2479" s="75">
        <v>2479</v>
      </c>
      <c r="M2479" s="75"/>
      <c r="N2479" s="70"/>
      <c r="O2479" s="77" t="s">
        <v>179</v>
      </c>
      <c r="P2479" s="79">
        <v>45146.90625</v>
      </c>
      <c r="Q2479" s="77" t="s">
        <v>3151</v>
      </c>
      <c r="R2479" s="77">
        <v>0</v>
      </c>
      <c r="S2479" s="77">
        <v>0</v>
      </c>
      <c r="T2479" s="77">
        <v>0</v>
      </c>
      <c r="U2479" s="77">
        <v>0</v>
      </c>
      <c r="V2479" s="77">
        <v>644</v>
      </c>
      <c r="W2479" s="82" t="s">
        <v>6023</v>
      </c>
      <c r="X2479" s="80" t="str">
        <f>HYPERLINK("https://mla.bs/d79a5539")</f>
        <v>https://mla.bs/d79a5539</v>
      </c>
      <c r="Y2479" s="77" t="s">
        <v>6506</v>
      </c>
      <c r="Z2479" s="77"/>
      <c r="AA2479" s="77"/>
      <c r="AB2479" s="77"/>
      <c r="AC2479" s="82" t="s">
        <v>7754</v>
      </c>
      <c r="AD2479" s="77" t="s">
        <v>7788</v>
      </c>
      <c r="AE2479" s="80" t="str">
        <f>HYPERLINK("https://twitter.com/einvestidor/status/1689029970306228225")</f>
        <v>https://twitter.com/einvestidor/status/1689029970306228225</v>
      </c>
      <c r="AF2479" s="79">
        <v>45146.90625</v>
      </c>
      <c r="AG2479" s="85">
        <v>45146</v>
      </c>
      <c r="AH2479" s="82" t="s">
        <v>9578</v>
      </c>
      <c r="AI2479" s="77" t="b">
        <v>0</v>
      </c>
      <c r="AJ2479" s="77"/>
      <c r="AK2479" s="77"/>
      <c r="AL2479" s="77"/>
      <c r="AM2479" s="77"/>
      <c r="AN2479" s="77"/>
      <c r="AO2479" s="77"/>
      <c r="AP2479" s="77"/>
      <c r="AQ2479" s="77"/>
      <c r="AR2479" s="77"/>
      <c r="AS2479" s="77"/>
      <c r="AT2479" s="77"/>
      <c r="AU2479" s="77"/>
      <c r="AV2479" s="80" t="str">
        <f>HYPERLINK("https://pbs.twimg.com/profile_images/1241147984924082183/gZgx_hL-_normal.jpg")</f>
        <v>https://pbs.twimg.com/profile_images/1241147984924082183/gZgx_hL-_normal.jpg</v>
      </c>
      <c r="AW2479" s="82" t="s">
        <v>14075</v>
      </c>
      <c r="AX2479" s="82" t="s">
        <v>14075</v>
      </c>
      <c r="AY2479" s="77"/>
      <c r="AZ2479" s="82" t="s">
        <v>15984</v>
      </c>
      <c r="BA2479" s="82" t="s">
        <v>15984</v>
      </c>
      <c r="BB2479" s="82" t="s">
        <v>15984</v>
      </c>
      <c r="BC2479" s="82" t="s">
        <v>14075</v>
      </c>
      <c r="BD2479" s="82" t="s">
        <v>15979</v>
      </c>
      <c r="BE2479" s="77"/>
      <c r="BF2479" s="77"/>
      <c r="BG2479" s="77"/>
      <c r="BH2479" s="77"/>
      <c r="BI2479" s="77"/>
    </row>
    <row r="2480" spans="1:61" x14ac:dyDescent="0.25">
      <c r="A2480" s="62" t="s">
        <v>387</v>
      </c>
      <c r="B2480" s="62" t="s">
        <v>387</v>
      </c>
      <c r="C2480" s="63"/>
      <c r="D2480" s="64"/>
      <c r="E2480" s="65"/>
      <c r="F2480" s="66"/>
      <c r="G2480" s="63"/>
      <c r="H2480" s="67"/>
      <c r="I2480" s="68"/>
      <c r="J2480" s="68"/>
      <c r="K2480" s="32"/>
      <c r="L2480" s="75">
        <v>2480</v>
      </c>
      <c r="M2480" s="75"/>
      <c r="N2480" s="70"/>
      <c r="O2480" s="77" t="s">
        <v>179</v>
      </c>
      <c r="P2480" s="79">
        <v>45138.802083333336</v>
      </c>
      <c r="Q2480" s="77" t="s">
        <v>3152</v>
      </c>
      <c r="R2480" s="77">
        <v>0</v>
      </c>
      <c r="S2480" s="77">
        <v>3</v>
      </c>
      <c r="T2480" s="77">
        <v>0</v>
      </c>
      <c r="U2480" s="77">
        <v>0</v>
      </c>
      <c r="V2480" s="77">
        <v>486</v>
      </c>
      <c r="W2480" s="82" t="s">
        <v>4833</v>
      </c>
      <c r="X2480" s="80" t="str">
        <f>HYPERLINK("https://mla.bs/0b5a2b33")</f>
        <v>https://mla.bs/0b5a2b33</v>
      </c>
      <c r="Y2480" s="77" t="s">
        <v>6506</v>
      </c>
      <c r="Z2480" s="77"/>
      <c r="AA2480" s="77"/>
      <c r="AB2480" s="77"/>
      <c r="AC2480" s="82" t="s">
        <v>7754</v>
      </c>
      <c r="AD2480" s="77" t="s">
        <v>7788</v>
      </c>
      <c r="AE2480" s="80" t="str">
        <f>HYPERLINK("https://twitter.com/einvestidor/status/1686093118817316864")</f>
        <v>https://twitter.com/einvestidor/status/1686093118817316864</v>
      </c>
      <c r="AF2480" s="79">
        <v>45138.802083333336</v>
      </c>
      <c r="AG2480" s="85">
        <v>45138</v>
      </c>
      <c r="AH2480" s="82" t="s">
        <v>7868</v>
      </c>
      <c r="AI2480" s="77" t="b">
        <v>0</v>
      </c>
      <c r="AJ2480" s="77"/>
      <c r="AK2480" s="77"/>
      <c r="AL2480" s="77"/>
      <c r="AM2480" s="77"/>
      <c r="AN2480" s="77"/>
      <c r="AO2480" s="77"/>
      <c r="AP2480" s="77"/>
      <c r="AQ2480" s="77"/>
      <c r="AR2480" s="77"/>
      <c r="AS2480" s="77"/>
      <c r="AT2480" s="77"/>
      <c r="AU2480" s="77"/>
      <c r="AV2480" s="80" t="str">
        <f>HYPERLINK("https://pbs.twimg.com/profile_images/1241147984924082183/gZgx_hL-_normal.jpg")</f>
        <v>https://pbs.twimg.com/profile_images/1241147984924082183/gZgx_hL-_normal.jpg</v>
      </c>
      <c r="AW2480" s="82" t="s">
        <v>14076</v>
      </c>
      <c r="AX2480" s="82" t="s">
        <v>14076</v>
      </c>
      <c r="AY2480" s="77"/>
      <c r="AZ2480" s="82" t="s">
        <v>15984</v>
      </c>
      <c r="BA2480" s="82" t="s">
        <v>15984</v>
      </c>
      <c r="BB2480" s="82" t="s">
        <v>15984</v>
      </c>
      <c r="BC2480" s="82" t="s">
        <v>14076</v>
      </c>
      <c r="BD2480" s="82" t="s">
        <v>15979</v>
      </c>
      <c r="BE2480" s="77"/>
      <c r="BF2480" s="77"/>
      <c r="BG2480" s="77"/>
      <c r="BH2480" s="77"/>
      <c r="BI2480" s="77"/>
    </row>
    <row r="2481" spans="1:61" x14ac:dyDescent="0.25">
      <c r="A2481" s="62" t="s">
        <v>387</v>
      </c>
      <c r="B2481" s="62" t="s">
        <v>387</v>
      </c>
      <c r="C2481" s="63"/>
      <c r="D2481" s="64"/>
      <c r="E2481" s="65"/>
      <c r="F2481" s="66"/>
      <c r="G2481" s="63"/>
      <c r="H2481" s="67"/>
      <c r="I2481" s="68"/>
      <c r="J2481" s="68"/>
      <c r="K2481" s="32"/>
      <c r="L2481" s="75">
        <v>2481</v>
      </c>
      <c r="M2481" s="75"/>
      <c r="N2481" s="70"/>
      <c r="O2481" s="77" t="s">
        <v>179</v>
      </c>
      <c r="P2481" s="79">
        <v>45138.791678240741</v>
      </c>
      <c r="Q2481" s="77" t="s">
        <v>3153</v>
      </c>
      <c r="R2481" s="77">
        <v>0</v>
      </c>
      <c r="S2481" s="77">
        <v>0</v>
      </c>
      <c r="T2481" s="77">
        <v>0</v>
      </c>
      <c r="U2481" s="77">
        <v>0</v>
      </c>
      <c r="V2481" s="77">
        <v>472</v>
      </c>
      <c r="W2481" s="82" t="s">
        <v>4833</v>
      </c>
      <c r="X2481" s="80" t="str">
        <f>HYPERLINK("https://mla.bs/4486a082")</f>
        <v>https://mla.bs/4486a082</v>
      </c>
      <c r="Y2481" s="77" t="s">
        <v>6506</v>
      </c>
      <c r="Z2481" s="77"/>
      <c r="AA2481" s="77"/>
      <c r="AB2481" s="77"/>
      <c r="AC2481" s="82" t="s">
        <v>7754</v>
      </c>
      <c r="AD2481" s="77" t="s">
        <v>7788</v>
      </c>
      <c r="AE2481" s="80" t="str">
        <f>HYPERLINK("https://twitter.com/einvestidor/status/1686089350357082116")</f>
        <v>https://twitter.com/einvestidor/status/1686089350357082116</v>
      </c>
      <c r="AF2481" s="79">
        <v>45138.791678240741</v>
      </c>
      <c r="AG2481" s="85">
        <v>45138</v>
      </c>
      <c r="AH2481" s="82" t="s">
        <v>7933</v>
      </c>
      <c r="AI2481" s="77" t="b">
        <v>0</v>
      </c>
      <c r="AJ2481" s="77"/>
      <c r="AK2481" s="77"/>
      <c r="AL2481" s="77"/>
      <c r="AM2481" s="77"/>
      <c r="AN2481" s="77"/>
      <c r="AO2481" s="77"/>
      <c r="AP2481" s="77"/>
      <c r="AQ2481" s="77"/>
      <c r="AR2481" s="77"/>
      <c r="AS2481" s="77"/>
      <c r="AT2481" s="77"/>
      <c r="AU2481" s="77"/>
      <c r="AV2481" s="80" t="str">
        <f>HYPERLINK("https://pbs.twimg.com/profile_images/1241147984924082183/gZgx_hL-_normal.jpg")</f>
        <v>https://pbs.twimg.com/profile_images/1241147984924082183/gZgx_hL-_normal.jpg</v>
      </c>
      <c r="AW2481" s="82" t="s">
        <v>14077</v>
      </c>
      <c r="AX2481" s="82" t="s">
        <v>14077</v>
      </c>
      <c r="AY2481" s="77"/>
      <c r="AZ2481" s="82" t="s">
        <v>15984</v>
      </c>
      <c r="BA2481" s="82" t="s">
        <v>15984</v>
      </c>
      <c r="BB2481" s="82" t="s">
        <v>15984</v>
      </c>
      <c r="BC2481" s="82" t="s">
        <v>14077</v>
      </c>
      <c r="BD2481" s="82" t="s">
        <v>15979</v>
      </c>
      <c r="BE2481" s="77"/>
      <c r="BF2481" s="77"/>
      <c r="BG2481" s="77"/>
      <c r="BH2481" s="77"/>
      <c r="BI2481" s="77"/>
    </row>
    <row r="2482" spans="1:61" x14ac:dyDescent="0.25">
      <c r="A2482" s="62" t="s">
        <v>387</v>
      </c>
      <c r="B2482" s="62" t="s">
        <v>387</v>
      </c>
      <c r="C2482" s="63"/>
      <c r="D2482" s="64"/>
      <c r="E2482" s="65"/>
      <c r="F2482" s="66"/>
      <c r="G2482" s="63"/>
      <c r="H2482" s="67"/>
      <c r="I2482" s="68"/>
      <c r="J2482" s="68"/>
      <c r="K2482" s="32"/>
      <c r="L2482" s="75">
        <v>2482</v>
      </c>
      <c r="M2482" s="75"/>
      <c r="N2482" s="70"/>
      <c r="O2482" s="77" t="s">
        <v>179</v>
      </c>
      <c r="P2482" s="79">
        <v>45138.78125</v>
      </c>
      <c r="Q2482" s="77" t="s">
        <v>3154</v>
      </c>
      <c r="R2482" s="77">
        <v>0</v>
      </c>
      <c r="S2482" s="77">
        <v>4</v>
      </c>
      <c r="T2482" s="77">
        <v>0</v>
      </c>
      <c r="U2482" s="77">
        <v>0</v>
      </c>
      <c r="V2482" s="77">
        <v>700</v>
      </c>
      <c r="W2482" s="82" t="s">
        <v>4833</v>
      </c>
      <c r="X2482" s="80" t="str">
        <f>HYPERLINK("https://mla.bs/dc3819f5")</f>
        <v>https://mla.bs/dc3819f5</v>
      </c>
      <c r="Y2482" s="77" t="s">
        <v>6506</v>
      </c>
      <c r="Z2482" s="77"/>
      <c r="AA2482" s="77"/>
      <c r="AB2482" s="77"/>
      <c r="AC2482" s="82" t="s">
        <v>7754</v>
      </c>
      <c r="AD2482" s="77" t="s">
        <v>7788</v>
      </c>
      <c r="AE2482" s="80" t="str">
        <f>HYPERLINK("https://twitter.com/einvestidor/status/1686085568684249092")</f>
        <v>https://twitter.com/einvestidor/status/1686085568684249092</v>
      </c>
      <c r="AF2482" s="79">
        <v>45138.78125</v>
      </c>
      <c r="AG2482" s="85">
        <v>45138</v>
      </c>
      <c r="AH2482" s="82" t="s">
        <v>9581</v>
      </c>
      <c r="AI2482" s="77" t="b">
        <v>0</v>
      </c>
      <c r="AJ2482" s="77"/>
      <c r="AK2482" s="77"/>
      <c r="AL2482" s="77"/>
      <c r="AM2482" s="77"/>
      <c r="AN2482" s="77"/>
      <c r="AO2482" s="77"/>
      <c r="AP2482" s="77"/>
      <c r="AQ2482" s="77"/>
      <c r="AR2482" s="77"/>
      <c r="AS2482" s="77"/>
      <c r="AT2482" s="77"/>
      <c r="AU2482" s="77"/>
      <c r="AV2482" s="80" t="str">
        <f>HYPERLINK("https://pbs.twimg.com/profile_images/1241147984924082183/gZgx_hL-_normal.jpg")</f>
        <v>https://pbs.twimg.com/profile_images/1241147984924082183/gZgx_hL-_normal.jpg</v>
      </c>
      <c r="AW2482" s="82" t="s">
        <v>14078</v>
      </c>
      <c r="AX2482" s="82" t="s">
        <v>14078</v>
      </c>
      <c r="AY2482" s="77"/>
      <c r="AZ2482" s="82" t="s">
        <v>15984</v>
      </c>
      <c r="BA2482" s="82" t="s">
        <v>15984</v>
      </c>
      <c r="BB2482" s="82" t="s">
        <v>15984</v>
      </c>
      <c r="BC2482" s="82" t="s">
        <v>14078</v>
      </c>
      <c r="BD2482" s="82" t="s">
        <v>15979</v>
      </c>
      <c r="BE2482" s="77"/>
      <c r="BF2482" s="77"/>
      <c r="BG2482" s="77"/>
      <c r="BH2482" s="77"/>
      <c r="BI2482" s="77"/>
    </row>
    <row r="2483" spans="1:61" x14ac:dyDescent="0.25">
      <c r="A2483" s="62" t="s">
        <v>387</v>
      </c>
      <c r="B2483" s="62" t="s">
        <v>387</v>
      </c>
      <c r="C2483" s="63"/>
      <c r="D2483" s="64"/>
      <c r="E2483" s="65"/>
      <c r="F2483" s="66"/>
      <c r="G2483" s="63"/>
      <c r="H2483" s="67"/>
      <c r="I2483" s="68"/>
      <c r="J2483" s="68"/>
      <c r="K2483" s="32"/>
      <c r="L2483" s="75">
        <v>2483</v>
      </c>
      <c r="M2483" s="75"/>
      <c r="N2483" s="70"/>
      <c r="O2483" s="77" t="s">
        <v>179</v>
      </c>
      <c r="P2483" s="79">
        <v>45138.760416666664</v>
      </c>
      <c r="Q2483" s="77" t="s">
        <v>3155</v>
      </c>
      <c r="R2483" s="77">
        <v>1</v>
      </c>
      <c r="S2483" s="77">
        <v>3</v>
      </c>
      <c r="T2483" s="77">
        <v>0</v>
      </c>
      <c r="U2483" s="77">
        <v>0</v>
      </c>
      <c r="V2483" s="77">
        <v>617</v>
      </c>
      <c r="W2483" s="82" t="s">
        <v>4833</v>
      </c>
      <c r="X2483" s="80" t="str">
        <f>HYPERLINK("https://mla.bs/dae07470")</f>
        <v>https://mla.bs/dae07470</v>
      </c>
      <c r="Y2483" s="77" t="s">
        <v>6506</v>
      </c>
      <c r="Z2483" s="77"/>
      <c r="AA2483" s="77"/>
      <c r="AB2483" s="77"/>
      <c r="AC2483" s="82" t="s">
        <v>7754</v>
      </c>
      <c r="AD2483" s="77" t="s">
        <v>7788</v>
      </c>
      <c r="AE2483" s="80" t="str">
        <f>HYPERLINK("https://twitter.com/einvestidor/status/1686078019226755072")</f>
        <v>https://twitter.com/einvestidor/status/1686078019226755072</v>
      </c>
      <c r="AF2483" s="79">
        <v>45138.760416666664</v>
      </c>
      <c r="AG2483" s="85">
        <v>45138</v>
      </c>
      <c r="AH2483" s="82" t="s">
        <v>9582</v>
      </c>
      <c r="AI2483" s="77" t="b">
        <v>0</v>
      </c>
      <c r="AJ2483" s="77"/>
      <c r="AK2483" s="77"/>
      <c r="AL2483" s="77"/>
      <c r="AM2483" s="77"/>
      <c r="AN2483" s="77"/>
      <c r="AO2483" s="77"/>
      <c r="AP2483" s="77"/>
      <c r="AQ2483" s="77"/>
      <c r="AR2483" s="77"/>
      <c r="AS2483" s="77"/>
      <c r="AT2483" s="77"/>
      <c r="AU2483" s="77"/>
      <c r="AV2483" s="80" t="str">
        <f>HYPERLINK("https://pbs.twimg.com/profile_images/1241147984924082183/gZgx_hL-_normal.jpg")</f>
        <v>https://pbs.twimg.com/profile_images/1241147984924082183/gZgx_hL-_normal.jpg</v>
      </c>
      <c r="AW2483" s="82" t="s">
        <v>14079</v>
      </c>
      <c r="AX2483" s="82" t="s">
        <v>14079</v>
      </c>
      <c r="AY2483" s="77"/>
      <c r="AZ2483" s="82" t="s">
        <v>15984</v>
      </c>
      <c r="BA2483" s="82" t="s">
        <v>15984</v>
      </c>
      <c r="BB2483" s="82" t="s">
        <v>15984</v>
      </c>
      <c r="BC2483" s="82" t="s">
        <v>14079</v>
      </c>
      <c r="BD2483" s="82" t="s">
        <v>15979</v>
      </c>
      <c r="BE2483" s="77"/>
      <c r="BF2483" s="77"/>
      <c r="BG2483" s="77"/>
      <c r="BH2483" s="77"/>
      <c r="BI2483" s="77"/>
    </row>
    <row r="2484" spans="1:61" x14ac:dyDescent="0.25">
      <c r="A2484" s="62" t="s">
        <v>387</v>
      </c>
      <c r="B2484" s="62" t="s">
        <v>387</v>
      </c>
      <c r="C2484" s="63"/>
      <c r="D2484" s="64"/>
      <c r="E2484" s="65"/>
      <c r="F2484" s="66"/>
      <c r="G2484" s="63"/>
      <c r="H2484" s="67"/>
      <c r="I2484" s="68"/>
      <c r="J2484" s="68"/>
      <c r="K2484" s="32"/>
      <c r="L2484" s="75">
        <v>2484</v>
      </c>
      <c r="M2484" s="75"/>
      <c r="N2484" s="70"/>
      <c r="O2484" s="77" t="s">
        <v>179</v>
      </c>
      <c r="P2484" s="79">
        <v>45138.75</v>
      </c>
      <c r="Q2484" s="77" t="s">
        <v>3156</v>
      </c>
      <c r="R2484" s="77">
        <v>0</v>
      </c>
      <c r="S2484" s="77">
        <v>4</v>
      </c>
      <c r="T2484" s="77">
        <v>0</v>
      </c>
      <c r="U2484" s="77">
        <v>0</v>
      </c>
      <c r="V2484" s="77">
        <v>733</v>
      </c>
      <c r="W2484" s="82" t="s">
        <v>5921</v>
      </c>
      <c r="X2484" s="80" t="str">
        <f>HYPERLINK("https://mla.bs/2104c009")</f>
        <v>https://mla.bs/2104c009</v>
      </c>
      <c r="Y2484" s="77" t="s">
        <v>6506</v>
      </c>
      <c r="Z2484" s="77"/>
      <c r="AA2484" s="77"/>
      <c r="AB2484" s="77"/>
      <c r="AC2484" s="82" t="s">
        <v>7754</v>
      </c>
      <c r="AD2484" s="77" t="s">
        <v>7788</v>
      </c>
      <c r="AE2484" s="80" t="str">
        <f>HYPERLINK("https://twitter.com/einvestidor/status/1686074246827556893")</f>
        <v>https://twitter.com/einvestidor/status/1686074246827556893</v>
      </c>
      <c r="AF2484" s="79">
        <v>45138.75</v>
      </c>
      <c r="AG2484" s="85">
        <v>45138</v>
      </c>
      <c r="AH2484" s="82" t="s">
        <v>7934</v>
      </c>
      <c r="AI2484" s="77" t="b">
        <v>0</v>
      </c>
      <c r="AJ2484" s="77"/>
      <c r="AK2484" s="77"/>
      <c r="AL2484" s="77"/>
      <c r="AM2484" s="77"/>
      <c r="AN2484" s="77"/>
      <c r="AO2484" s="77"/>
      <c r="AP2484" s="77"/>
      <c r="AQ2484" s="77"/>
      <c r="AR2484" s="77"/>
      <c r="AS2484" s="77"/>
      <c r="AT2484" s="77"/>
      <c r="AU2484" s="77"/>
      <c r="AV2484" s="80" t="str">
        <f>HYPERLINK("https://pbs.twimg.com/profile_images/1241147984924082183/gZgx_hL-_normal.jpg")</f>
        <v>https://pbs.twimg.com/profile_images/1241147984924082183/gZgx_hL-_normal.jpg</v>
      </c>
      <c r="AW2484" s="82" t="s">
        <v>14080</v>
      </c>
      <c r="AX2484" s="82" t="s">
        <v>14080</v>
      </c>
      <c r="AY2484" s="77"/>
      <c r="AZ2484" s="82" t="s">
        <v>15984</v>
      </c>
      <c r="BA2484" s="82" t="s">
        <v>15984</v>
      </c>
      <c r="BB2484" s="82" t="s">
        <v>15984</v>
      </c>
      <c r="BC2484" s="82" t="s">
        <v>14080</v>
      </c>
      <c r="BD2484" s="82" t="s">
        <v>15979</v>
      </c>
      <c r="BE2484" s="77"/>
      <c r="BF2484" s="77"/>
      <c r="BG2484" s="77"/>
      <c r="BH2484" s="77"/>
      <c r="BI2484" s="77"/>
    </row>
    <row r="2485" spans="1:61" x14ac:dyDescent="0.25">
      <c r="A2485" s="62" t="s">
        <v>387</v>
      </c>
      <c r="B2485" s="62" t="s">
        <v>387</v>
      </c>
      <c r="C2485" s="63"/>
      <c r="D2485" s="64"/>
      <c r="E2485" s="65"/>
      <c r="F2485" s="66"/>
      <c r="G2485" s="63"/>
      <c r="H2485" s="67"/>
      <c r="I2485" s="68"/>
      <c r="J2485" s="68"/>
      <c r="K2485" s="32"/>
      <c r="L2485" s="75">
        <v>2485</v>
      </c>
      <c r="M2485" s="75"/>
      <c r="N2485" s="70"/>
      <c r="O2485" s="77" t="s">
        <v>179</v>
      </c>
      <c r="P2485" s="79">
        <v>45138.708344907405</v>
      </c>
      <c r="Q2485" s="77" t="s">
        <v>3157</v>
      </c>
      <c r="R2485" s="77">
        <v>0</v>
      </c>
      <c r="S2485" s="77">
        <v>0</v>
      </c>
      <c r="T2485" s="77">
        <v>0</v>
      </c>
      <c r="U2485" s="77">
        <v>0</v>
      </c>
      <c r="V2485" s="77">
        <v>464</v>
      </c>
      <c r="W2485" s="82" t="s">
        <v>4833</v>
      </c>
      <c r="X2485" s="80" t="str">
        <f>HYPERLINK("https://einvestidor.estadao.com.br/ultimas/fed-juros-setembro/?utm_source=twitter&amp;utm_medium=organic&amp;utm_campaign=fed&amp;utm_content=materia")</f>
        <v>https://einvestidor.estadao.com.br/ultimas/fed-juros-setembro/?utm_source=twitter&amp;utm_medium=organic&amp;utm_campaign=fed&amp;utm_content=materia</v>
      </c>
      <c r="Y2485" s="77" t="s">
        <v>6470</v>
      </c>
      <c r="Z2485" s="77"/>
      <c r="AA2485" s="77"/>
      <c r="AB2485" s="77"/>
      <c r="AC2485" s="82" t="s">
        <v>7754</v>
      </c>
      <c r="AD2485" s="77" t="s">
        <v>7788</v>
      </c>
      <c r="AE2485" s="80" t="str">
        <f>HYPERLINK("https://twitter.com/einvestidor/status/1686059150566998020")</f>
        <v>https://twitter.com/einvestidor/status/1686059150566998020</v>
      </c>
      <c r="AF2485" s="79">
        <v>45138.708344907405</v>
      </c>
      <c r="AG2485" s="85">
        <v>45138</v>
      </c>
      <c r="AH2485" s="82" t="s">
        <v>7882</v>
      </c>
      <c r="AI2485" s="77" t="b">
        <v>0</v>
      </c>
      <c r="AJ2485" s="77"/>
      <c r="AK2485" s="77"/>
      <c r="AL2485" s="77"/>
      <c r="AM2485" s="77"/>
      <c r="AN2485" s="77"/>
      <c r="AO2485" s="77"/>
      <c r="AP2485" s="77"/>
      <c r="AQ2485" s="77"/>
      <c r="AR2485" s="77"/>
      <c r="AS2485" s="77"/>
      <c r="AT2485" s="77"/>
      <c r="AU2485" s="77"/>
      <c r="AV2485" s="80" t="str">
        <f>HYPERLINK("https://pbs.twimg.com/profile_images/1241147984924082183/gZgx_hL-_normal.jpg")</f>
        <v>https://pbs.twimg.com/profile_images/1241147984924082183/gZgx_hL-_normal.jpg</v>
      </c>
      <c r="AW2485" s="82" t="s">
        <v>14081</v>
      </c>
      <c r="AX2485" s="82" t="s">
        <v>14081</v>
      </c>
      <c r="AY2485" s="77"/>
      <c r="AZ2485" s="82" t="s">
        <v>15984</v>
      </c>
      <c r="BA2485" s="82" t="s">
        <v>15984</v>
      </c>
      <c r="BB2485" s="82" t="s">
        <v>15984</v>
      </c>
      <c r="BC2485" s="82" t="s">
        <v>14081</v>
      </c>
      <c r="BD2485" s="82" t="s">
        <v>15979</v>
      </c>
      <c r="BE2485" s="77"/>
      <c r="BF2485" s="77"/>
      <c r="BG2485" s="77"/>
      <c r="BH2485" s="77"/>
      <c r="BI2485" s="77"/>
    </row>
    <row r="2486" spans="1:61" x14ac:dyDescent="0.25">
      <c r="A2486" s="62" t="s">
        <v>387</v>
      </c>
      <c r="B2486" s="62" t="s">
        <v>387</v>
      </c>
      <c r="C2486" s="63"/>
      <c r="D2486" s="64"/>
      <c r="E2486" s="65"/>
      <c r="F2486" s="66"/>
      <c r="G2486" s="63"/>
      <c r="H2486" s="67"/>
      <c r="I2486" s="68"/>
      <c r="J2486" s="68"/>
      <c r="K2486" s="32"/>
      <c r="L2486" s="75">
        <v>2486</v>
      </c>
      <c r="M2486" s="75"/>
      <c r="N2486" s="70"/>
      <c r="O2486" s="77" t="s">
        <v>179</v>
      </c>
      <c r="P2486" s="79">
        <v>45138.666666666664</v>
      </c>
      <c r="Q2486" s="77" t="s">
        <v>3158</v>
      </c>
      <c r="R2486" s="77">
        <v>0</v>
      </c>
      <c r="S2486" s="77">
        <v>1</v>
      </c>
      <c r="T2486" s="77">
        <v>0</v>
      </c>
      <c r="U2486" s="77">
        <v>0</v>
      </c>
      <c r="V2486" s="77">
        <v>667</v>
      </c>
      <c r="W2486" s="82" t="s">
        <v>4833</v>
      </c>
      <c r="X2486" s="80" t="str">
        <f>HYPERLINK("https://einvestidor.estadao.com.br/ultimas/sao-martinho-dividendos/?utm_source=twitter&amp;utm_medium=organic&amp;utm_campaign=sao-martinho&amp;utm_content=materia")</f>
        <v>https://einvestidor.estadao.com.br/ultimas/sao-martinho-dividendos/?utm_source=twitter&amp;utm_medium=organic&amp;utm_campaign=sao-martinho&amp;utm_content=materia</v>
      </c>
      <c r="Y2486" s="77" t="s">
        <v>6470</v>
      </c>
      <c r="Z2486" s="77"/>
      <c r="AA2486" s="77"/>
      <c r="AB2486" s="77"/>
      <c r="AC2486" s="82" t="s">
        <v>7754</v>
      </c>
      <c r="AD2486" s="77" t="s">
        <v>7788</v>
      </c>
      <c r="AE2486" s="80" t="str">
        <f>HYPERLINK("https://twitter.com/einvestidor/status/1686044047063072768")</f>
        <v>https://twitter.com/einvestidor/status/1686044047063072768</v>
      </c>
      <c r="AF2486" s="79">
        <v>45138.666666666664</v>
      </c>
      <c r="AG2486" s="85">
        <v>45138</v>
      </c>
      <c r="AH2486" s="82" t="s">
        <v>8120</v>
      </c>
      <c r="AI2486" s="77" t="b">
        <v>0</v>
      </c>
      <c r="AJ2486" s="77"/>
      <c r="AK2486" s="77"/>
      <c r="AL2486" s="77"/>
      <c r="AM2486" s="77"/>
      <c r="AN2486" s="77"/>
      <c r="AO2486" s="77"/>
      <c r="AP2486" s="77"/>
      <c r="AQ2486" s="77"/>
      <c r="AR2486" s="77"/>
      <c r="AS2486" s="77"/>
      <c r="AT2486" s="77"/>
      <c r="AU2486" s="77"/>
      <c r="AV2486" s="80" t="str">
        <f>HYPERLINK("https://pbs.twimg.com/profile_images/1241147984924082183/gZgx_hL-_normal.jpg")</f>
        <v>https://pbs.twimg.com/profile_images/1241147984924082183/gZgx_hL-_normal.jpg</v>
      </c>
      <c r="AW2486" s="82" t="s">
        <v>14082</v>
      </c>
      <c r="AX2486" s="82" t="s">
        <v>14082</v>
      </c>
      <c r="AY2486" s="77"/>
      <c r="AZ2486" s="82" t="s">
        <v>15984</v>
      </c>
      <c r="BA2486" s="82" t="s">
        <v>15984</v>
      </c>
      <c r="BB2486" s="82" t="s">
        <v>15984</v>
      </c>
      <c r="BC2486" s="82" t="s">
        <v>14082</v>
      </c>
      <c r="BD2486" s="82" t="s">
        <v>15979</v>
      </c>
      <c r="BE2486" s="77"/>
      <c r="BF2486" s="77"/>
      <c r="BG2486" s="77"/>
      <c r="BH2486" s="77"/>
      <c r="BI2486" s="77"/>
    </row>
    <row r="2487" spans="1:61" x14ac:dyDescent="0.25">
      <c r="A2487" s="62" t="s">
        <v>387</v>
      </c>
      <c r="B2487" s="62" t="s">
        <v>387</v>
      </c>
      <c r="C2487" s="63"/>
      <c r="D2487" s="64"/>
      <c r="E2487" s="65"/>
      <c r="F2487" s="66"/>
      <c r="G2487" s="63"/>
      <c r="H2487" s="67"/>
      <c r="I2487" s="68"/>
      <c r="J2487" s="68"/>
      <c r="K2487" s="32"/>
      <c r="L2487" s="75">
        <v>2487</v>
      </c>
      <c r="M2487" s="75"/>
      <c r="N2487" s="70"/>
      <c r="O2487" s="77" t="s">
        <v>179</v>
      </c>
      <c r="P2487" s="79">
        <v>45130.000011574077</v>
      </c>
      <c r="Q2487" s="77" t="s">
        <v>3159</v>
      </c>
      <c r="R2487" s="77">
        <v>1</v>
      </c>
      <c r="S2487" s="77">
        <v>3</v>
      </c>
      <c r="T2487" s="77">
        <v>0</v>
      </c>
      <c r="U2487" s="77">
        <v>0</v>
      </c>
      <c r="V2487" s="77">
        <v>1176</v>
      </c>
      <c r="W2487" s="82" t="s">
        <v>4833</v>
      </c>
      <c r="X2487" s="80" t="str">
        <f>HYPERLINK("https://mla.bs/21e5bd1a")</f>
        <v>https://mla.bs/21e5bd1a</v>
      </c>
      <c r="Y2487" s="77" t="s">
        <v>6506</v>
      </c>
      <c r="Z2487" s="77"/>
      <c r="AA2487" s="77"/>
      <c r="AB2487" s="77"/>
      <c r="AC2487" s="82" t="s">
        <v>7754</v>
      </c>
      <c r="AD2487" s="77" t="s">
        <v>7788</v>
      </c>
      <c r="AE2487" s="80" t="str">
        <f>HYPERLINK("https://twitter.com/einvestidor/status/1682903357139107841")</f>
        <v>https://twitter.com/einvestidor/status/1682903357139107841</v>
      </c>
      <c r="AF2487" s="79">
        <v>45130.000011574077</v>
      </c>
      <c r="AG2487" s="85">
        <v>45130</v>
      </c>
      <c r="AH2487" s="82" t="s">
        <v>7883</v>
      </c>
      <c r="AI2487" s="77" t="b">
        <v>0</v>
      </c>
      <c r="AJ2487" s="77"/>
      <c r="AK2487" s="77"/>
      <c r="AL2487" s="77"/>
      <c r="AM2487" s="77"/>
      <c r="AN2487" s="77"/>
      <c r="AO2487" s="77"/>
      <c r="AP2487" s="77"/>
      <c r="AQ2487" s="77"/>
      <c r="AR2487" s="77"/>
      <c r="AS2487" s="77"/>
      <c r="AT2487" s="77"/>
      <c r="AU2487" s="77"/>
      <c r="AV2487" s="80" t="str">
        <f>HYPERLINK("https://pbs.twimg.com/profile_images/1241147984924082183/gZgx_hL-_normal.jpg")</f>
        <v>https://pbs.twimg.com/profile_images/1241147984924082183/gZgx_hL-_normal.jpg</v>
      </c>
      <c r="AW2487" s="82" t="s">
        <v>14083</v>
      </c>
      <c r="AX2487" s="82" t="s">
        <v>14083</v>
      </c>
      <c r="AY2487" s="77"/>
      <c r="AZ2487" s="82" t="s">
        <v>15984</v>
      </c>
      <c r="BA2487" s="82" t="s">
        <v>15984</v>
      </c>
      <c r="BB2487" s="82" t="s">
        <v>15984</v>
      </c>
      <c r="BC2487" s="82" t="s">
        <v>14083</v>
      </c>
      <c r="BD2487" s="82" t="s">
        <v>15979</v>
      </c>
      <c r="BE2487" s="77"/>
      <c r="BF2487" s="77"/>
      <c r="BG2487" s="77"/>
      <c r="BH2487" s="77"/>
      <c r="BI2487" s="77"/>
    </row>
    <row r="2488" spans="1:61" x14ac:dyDescent="0.25">
      <c r="A2488" s="62" t="s">
        <v>387</v>
      </c>
      <c r="B2488" s="62" t="s">
        <v>387</v>
      </c>
      <c r="C2488" s="63"/>
      <c r="D2488" s="64"/>
      <c r="E2488" s="65"/>
      <c r="F2488" s="66"/>
      <c r="G2488" s="63"/>
      <c r="H2488" s="67"/>
      <c r="I2488" s="68"/>
      <c r="J2488" s="68"/>
      <c r="K2488" s="32"/>
      <c r="L2488" s="75">
        <v>2488</v>
      </c>
      <c r="M2488" s="75"/>
      <c r="N2488" s="70"/>
      <c r="O2488" s="77" t="s">
        <v>179</v>
      </c>
      <c r="P2488" s="79">
        <v>45129.833344907405</v>
      </c>
      <c r="Q2488" s="77" t="s">
        <v>3160</v>
      </c>
      <c r="R2488" s="77">
        <v>1</v>
      </c>
      <c r="S2488" s="77">
        <v>2</v>
      </c>
      <c r="T2488" s="77">
        <v>0</v>
      </c>
      <c r="U2488" s="77">
        <v>0</v>
      </c>
      <c r="V2488" s="77">
        <v>768</v>
      </c>
      <c r="W2488" s="82" t="s">
        <v>4833</v>
      </c>
      <c r="X2488" s="80" t="str">
        <f>HYPERLINK("https://mla.bs/28ea132e")</f>
        <v>https://mla.bs/28ea132e</v>
      </c>
      <c r="Y2488" s="77" t="s">
        <v>6506</v>
      </c>
      <c r="Z2488" s="77"/>
      <c r="AA2488" s="77"/>
      <c r="AB2488" s="77"/>
      <c r="AC2488" s="82" t="s">
        <v>7754</v>
      </c>
      <c r="AD2488" s="77" t="s">
        <v>7788</v>
      </c>
      <c r="AE2488" s="80" t="str">
        <f>HYPERLINK("https://twitter.com/einvestidor/status/1682842956586438656")</f>
        <v>https://twitter.com/einvestidor/status/1682842956586438656</v>
      </c>
      <c r="AF2488" s="79">
        <v>45129.833344907405</v>
      </c>
      <c r="AG2488" s="85">
        <v>45129</v>
      </c>
      <c r="AH2488" s="82" t="s">
        <v>8284</v>
      </c>
      <c r="AI2488" s="77" t="b">
        <v>0</v>
      </c>
      <c r="AJ2488" s="77"/>
      <c r="AK2488" s="77"/>
      <c r="AL2488" s="77"/>
      <c r="AM2488" s="77"/>
      <c r="AN2488" s="77"/>
      <c r="AO2488" s="77"/>
      <c r="AP2488" s="77"/>
      <c r="AQ2488" s="77"/>
      <c r="AR2488" s="77"/>
      <c r="AS2488" s="77"/>
      <c r="AT2488" s="77"/>
      <c r="AU2488" s="77"/>
      <c r="AV2488" s="80" t="str">
        <f>HYPERLINK("https://pbs.twimg.com/profile_images/1241147984924082183/gZgx_hL-_normal.jpg")</f>
        <v>https://pbs.twimg.com/profile_images/1241147984924082183/gZgx_hL-_normal.jpg</v>
      </c>
      <c r="AW2488" s="82" t="s">
        <v>14084</v>
      </c>
      <c r="AX2488" s="82" t="s">
        <v>14084</v>
      </c>
      <c r="AY2488" s="77"/>
      <c r="AZ2488" s="82" t="s">
        <v>15984</v>
      </c>
      <c r="BA2488" s="82" t="s">
        <v>15984</v>
      </c>
      <c r="BB2488" s="82" t="s">
        <v>15984</v>
      </c>
      <c r="BC2488" s="82" t="s">
        <v>14084</v>
      </c>
      <c r="BD2488" s="82" t="s">
        <v>15979</v>
      </c>
      <c r="BE2488" s="77"/>
      <c r="BF2488" s="77"/>
      <c r="BG2488" s="77"/>
      <c r="BH2488" s="77"/>
      <c r="BI2488" s="77"/>
    </row>
    <row r="2489" spans="1:61" x14ac:dyDescent="0.25">
      <c r="A2489" s="62" t="s">
        <v>387</v>
      </c>
      <c r="B2489" s="62" t="s">
        <v>387</v>
      </c>
      <c r="C2489" s="63"/>
      <c r="D2489" s="64"/>
      <c r="E2489" s="65"/>
      <c r="F2489" s="66"/>
      <c r="G2489" s="63"/>
      <c r="H2489" s="67"/>
      <c r="I2489" s="68"/>
      <c r="J2489" s="68"/>
      <c r="K2489" s="32"/>
      <c r="L2489" s="75">
        <v>2489</v>
      </c>
      <c r="M2489" s="75"/>
      <c r="N2489" s="70"/>
      <c r="O2489" s="77" t="s">
        <v>179</v>
      </c>
      <c r="P2489" s="79">
        <v>45129.666666666664</v>
      </c>
      <c r="Q2489" s="77" t="s">
        <v>3161</v>
      </c>
      <c r="R2489" s="77">
        <v>1</v>
      </c>
      <c r="S2489" s="77">
        <v>2</v>
      </c>
      <c r="T2489" s="77">
        <v>0</v>
      </c>
      <c r="U2489" s="77">
        <v>0</v>
      </c>
      <c r="V2489" s="77">
        <v>762</v>
      </c>
      <c r="W2489" s="82" t="s">
        <v>4833</v>
      </c>
      <c r="X2489" s="80" t="str">
        <f>HYPERLINK("https://mla.bs/e3c0f45f")</f>
        <v>https://mla.bs/e3c0f45f</v>
      </c>
      <c r="Y2489" s="77" t="s">
        <v>6506</v>
      </c>
      <c r="Z2489" s="77"/>
      <c r="AA2489" s="77"/>
      <c r="AB2489" s="77"/>
      <c r="AC2489" s="82" t="s">
        <v>7754</v>
      </c>
      <c r="AD2489" s="77" t="s">
        <v>7788</v>
      </c>
      <c r="AE2489" s="80" t="str">
        <f>HYPERLINK("https://twitter.com/einvestidor/status/1682782554418737153")</f>
        <v>https://twitter.com/einvestidor/status/1682782554418737153</v>
      </c>
      <c r="AF2489" s="79">
        <v>45129.666666666664</v>
      </c>
      <c r="AG2489" s="85">
        <v>45129</v>
      </c>
      <c r="AH2489" s="82" t="s">
        <v>8120</v>
      </c>
      <c r="AI2489" s="77" t="b">
        <v>0</v>
      </c>
      <c r="AJ2489" s="77"/>
      <c r="AK2489" s="77"/>
      <c r="AL2489" s="77"/>
      <c r="AM2489" s="77"/>
      <c r="AN2489" s="77"/>
      <c r="AO2489" s="77"/>
      <c r="AP2489" s="77"/>
      <c r="AQ2489" s="77"/>
      <c r="AR2489" s="77"/>
      <c r="AS2489" s="77"/>
      <c r="AT2489" s="77"/>
      <c r="AU2489" s="77"/>
      <c r="AV2489" s="80" t="str">
        <f>HYPERLINK("https://pbs.twimg.com/profile_images/1241147984924082183/gZgx_hL-_normal.jpg")</f>
        <v>https://pbs.twimg.com/profile_images/1241147984924082183/gZgx_hL-_normal.jpg</v>
      </c>
      <c r="AW2489" s="82" t="s">
        <v>14085</v>
      </c>
      <c r="AX2489" s="82" t="s">
        <v>14085</v>
      </c>
      <c r="AY2489" s="77"/>
      <c r="AZ2489" s="82" t="s">
        <v>15984</v>
      </c>
      <c r="BA2489" s="82" t="s">
        <v>15984</v>
      </c>
      <c r="BB2489" s="82" t="s">
        <v>15984</v>
      </c>
      <c r="BC2489" s="82" t="s">
        <v>14085</v>
      </c>
      <c r="BD2489" s="82" t="s">
        <v>15979</v>
      </c>
      <c r="BE2489" s="77"/>
      <c r="BF2489" s="77"/>
      <c r="BG2489" s="77"/>
      <c r="BH2489" s="77"/>
      <c r="BI2489" s="77"/>
    </row>
    <row r="2490" spans="1:61" x14ac:dyDescent="0.25">
      <c r="A2490" s="62" t="s">
        <v>387</v>
      </c>
      <c r="B2490" s="62" t="s">
        <v>387</v>
      </c>
      <c r="C2490" s="63"/>
      <c r="D2490" s="64"/>
      <c r="E2490" s="65"/>
      <c r="F2490" s="66"/>
      <c r="G2490" s="63"/>
      <c r="H2490" s="67"/>
      <c r="I2490" s="68"/>
      <c r="J2490" s="68"/>
      <c r="K2490" s="32"/>
      <c r="L2490" s="75">
        <v>2490</v>
      </c>
      <c r="M2490" s="75"/>
      <c r="N2490" s="70"/>
      <c r="O2490" s="77" t="s">
        <v>179</v>
      </c>
      <c r="P2490" s="79">
        <v>45119.861296296294</v>
      </c>
      <c r="Q2490" s="77" t="s">
        <v>3162</v>
      </c>
      <c r="R2490" s="77">
        <v>0</v>
      </c>
      <c r="S2490" s="77">
        <v>0</v>
      </c>
      <c r="T2490" s="77">
        <v>0</v>
      </c>
      <c r="U2490" s="77">
        <v>0</v>
      </c>
      <c r="V2490" s="77">
        <v>453</v>
      </c>
      <c r="W2490" s="82" t="s">
        <v>6024</v>
      </c>
      <c r="X2490" s="80" t="str">
        <f>HYPERLINK("https://mla.bs/107c4052")</f>
        <v>https://mla.bs/107c4052</v>
      </c>
      <c r="Y2490" s="77" t="s">
        <v>6506</v>
      </c>
      <c r="Z2490" s="77"/>
      <c r="AA2490" s="77"/>
      <c r="AB2490" s="77"/>
      <c r="AC2490" s="82" t="s">
        <v>7757</v>
      </c>
      <c r="AD2490" s="77" t="s">
        <v>7788</v>
      </c>
      <c r="AE2490" s="80" t="str">
        <f>HYPERLINK("https://twitter.com/einvestidor/status/1679229208956923904")</f>
        <v>https://twitter.com/einvestidor/status/1679229208956923904</v>
      </c>
      <c r="AF2490" s="79">
        <v>45119.861296296294</v>
      </c>
      <c r="AG2490" s="85">
        <v>45119</v>
      </c>
      <c r="AH2490" s="82" t="s">
        <v>9713</v>
      </c>
      <c r="AI2490" s="77" t="b">
        <v>0</v>
      </c>
      <c r="AJ2490" s="77"/>
      <c r="AK2490" s="77"/>
      <c r="AL2490" s="77"/>
      <c r="AM2490" s="77"/>
      <c r="AN2490" s="77"/>
      <c r="AO2490" s="77"/>
      <c r="AP2490" s="77"/>
      <c r="AQ2490" s="77"/>
      <c r="AR2490" s="77"/>
      <c r="AS2490" s="77"/>
      <c r="AT2490" s="77"/>
      <c r="AU2490" s="77"/>
      <c r="AV2490" s="80" t="str">
        <f>HYPERLINK("https://pbs.twimg.com/profile_images/1241147984924082183/gZgx_hL-_normal.jpg")</f>
        <v>https://pbs.twimg.com/profile_images/1241147984924082183/gZgx_hL-_normal.jpg</v>
      </c>
      <c r="AW2490" s="82" t="s">
        <v>14086</v>
      </c>
      <c r="AX2490" s="82" t="s">
        <v>14086</v>
      </c>
      <c r="AY2490" s="77"/>
      <c r="AZ2490" s="82" t="s">
        <v>15984</v>
      </c>
      <c r="BA2490" s="82" t="s">
        <v>15984</v>
      </c>
      <c r="BB2490" s="82" t="s">
        <v>15984</v>
      </c>
      <c r="BC2490" s="82" t="s">
        <v>14086</v>
      </c>
      <c r="BD2490" s="82" t="s">
        <v>15979</v>
      </c>
      <c r="BE2490" s="77"/>
      <c r="BF2490" s="77"/>
      <c r="BG2490" s="77"/>
      <c r="BH2490" s="77"/>
      <c r="BI2490" s="77"/>
    </row>
    <row r="2491" spans="1:61" x14ac:dyDescent="0.25">
      <c r="A2491" s="62" t="s">
        <v>387</v>
      </c>
      <c r="B2491" s="62" t="s">
        <v>387</v>
      </c>
      <c r="C2491" s="63"/>
      <c r="D2491" s="64"/>
      <c r="E2491" s="65"/>
      <c r="F2491" s="66"/>
      <c r="G2491" s="63"/>
      <c r="H2491" s="67"/>
      <c r="I2491" s="68"/>
      <c r="J2491" s="68"/>
      <c r="K2491" s="32"/>
      <c r="L2491" s="75">
        <v>2491</v>
      </c>
      <c r="M2491" s="75"/>
      <c r="N2491" s="70"/>
      <c r="O2491" s="77" t="s">
        <v>179</v>
      </c>
      <c r="P2491" s="79">
        <v>45119.847384259258</v>
      </c>
      <c r="Q2491" s="77" t="s">
        <v>3163</v>
      </c>
      <c r="R2491" s="77">
        <v>0</v>
      </c>
      <c r="S2491" s="77">
        <v>1</v>
      </c>
      <c r="T2491" s="77">
        <v>0</v>
      </c>
      <c r="U2491" s="77">
        <v>0</v>
      </c>
      <c r="V2491" s="77">
        <v>516</v>
      </c>
      <c r="W2491" s="82" t="s">
        <v>4833</v>
      </c>
      <c r="X2491" s="80" t="str">
        <f>HYPERLINK("https://mla.bs/dcbd9882")</f>
        <v>https://mla.bs/dcbd9882</v>
      </c>
      <c r="Y2491" s="77" t="s">
        <v>6506</v>
      </c>
      <c r="Z2491" s="77"/>
      <c r="AA2491" s="77"/>
      <c r="AB2491" s="77"/>
      <c r="AC2491" s="82" t="s">
        <v>7757</v>
      </c>
      <c r="AD2491" s="77" t="s">
        <v>7788</v>
      </c>
      <c r="AE2491" s="80" t="str">
        <f>HYPERLINK("https://twitter.com/einvestidor/status/1679224167227355137")</f>
        <v>https://twitter.com/einvestidor/status/1679224167227355137</v>
      </c>
      <c r="AF2491" s="79">
        <v>45119.847384259258</v>
      </c>
      <c r="AG2491" s="85">
        <v>45119</v>
      </c>
      <c r="AH2491" s="82" t="s">
        <v>9736</v>
      </c>
      <c r="AI2491" s="77" t="b">
        <v>0</v>
      </c>
      <c r="AJ2491" s="77"/>
      <c r="AK2491" s="77"/>
      <c r="AL2491" s="77"/>
      <c r="AM2491" s="77"/>
      <c r="AN2491" s="77"/>
      <c r="AO2491" s="77"/>
      <c r="AP2491" s="77"/>
      <c r="AQ2491" s="77"/>
      <c r="AR2491" s="77"/>
      <c r="AS2491" s="77"/>
      <c r="AT2491" s="77"/>
      <c r="AU2491" s="77"/>
      <c r="AV2491" s="80" t="str">
        <f>HYPERLINK("https://pbs.twimg.com/profile_images/1241147984924082183/gZgx_hL-_normal.jpg")</f>
        <v>https://pbs.twimg.com/profile_images/1241147984924082183/gZgx_hL-_normal.jpg</v>
      </c>
      <c r="AW2491" s="82" t="s">
        <v>14087</v>
      </c>
      <c r="AX2491" s="82" t="s">
        <v>14087</v>
      </c>
      <c r="AY2491" s="77"/>
      <c r="AZ2491" s="82" t="s">
        <v>15984</v>
      </c>
      <c r="BA2491" s="82" t="s">
        <v>15984</v>
      </c>
      <c r="BB2491" s="82" t="s">
        <v>15984</v>
      </c>
      <c r="BC2491" s="82" t="s">
        <v>14087</v>
      </c>
      <c r="BD2491" s="82" t="s">
        <v>15979</v>
      </c>
      <c r="BE2491" s="77"/>
      <c r="BF2491" s="77"/>
      <c r="BG2491" s="77"/>
      <c r="BH2491" s="77"/>
      <c r="BI2491" s="77"/>
    </row>
    <row r="2492" spans="1:61" x14ac:dyDescent="0.25">
      <c r="A2492" s="62" t="s">
        <v>387</v>
      </c>
      <c r="B2492" s="62" t="s">
        <v>387</v>
      </c>
      <c r="C2492" s="63"/>
      <c r="D2492" s="64"/>
      <c r="E2492" s="65"/>
      <c r="F2492" s="66"/>
      <c r="G2492" s="63"/>
      <c r="H2492" s="67"/>
      <c r="I2492" s="68"/>
      <c r="J2492" s="68"/>
      <c r="K2492" s="32"/>
      <c r="L2492" s="75">
        <v>2492</v>
      </c>
      <c r="M2492" s="75"/>
      <c r="N2492" s="70"/>
      <c r="O2492" s="77" t="s">
        <v>179</v>
      </c>
      <c r="P2492" s="79">
        <v>45119.833912037036</v>
      </c>
      <c r="Q2492" s="77" t="s">
        <v>3164</v>
      </c>
      <c r="R2492" s="77">
        <v>0</v>
      </c>
      <c r="S2492" s="77">
        <v>1</v>
      </c>
      <c r="T2492" s="77">
        <v>0</v>
      </c>
      <c r="U2492" s="77">
        <v>0</v>
      </c>
      <c r="V2492" s="77">
        <v>575</v>
      </c>
      <c r="W2492" s="82" t="s">
        <v>4833</v>
      </c>
      <c r="X2492" s="80" t="str">
        <f>HYPERLINK("https://mla.bs/baf80c16")</f>
        <v>https://mla.bs/baf80c16</v>
      </c>
      <c r="Y2492" s="77" t="s">
        <v>6506</v>
      </c>
      <c r="Z2492" s="77"/>
      <c r="AA2492" s="77"/>
      <c r="AB2492" s="77"/>
      <c r="AC2492" s="82" t="s">
        <v>7757</v>
      </c>
      <c r="AD2492" s="77" t="s">
        <v>7788</v>
      </c>
      <c r="AE2492" s="80" t="str">
        <f>HYPERLINK("https://twitter.com/einvestidor/status/1679219285380530177")</f>
        <v>https://twitter.com/einvestidor/status/1679219285380530177</v>
      </c>
      <c r="AF2492" s="79">
        <v>45119.833912037036</v>
      </c>
      <c r="AG2492" s="85">
        <v>45119</v>
      </c>
      <c r="AH2492" s="82" t="s">
        <v>9737</v>
      </c>
      <c r="AI2492" s="77" t="b">
        <v>0</v>
      </c>
      <c r="AJ2492" s="77"/>
      <c r="AK2492" s="77"/>
      <c r="AL2492" s="77"/>
      <c r="AM2492" s="77"/>
      <c r="AN2492" s="77"/>
      <c r="AO2492" s="77"/>
      <c r="AP2492" s="77"/>
      <c r="AQ2492" s="77"/>
      <c r="AR2492" s="77"/>
      <c r="AS2492" s="77"/>
      <c r="AT2492" s="77"/>
      <c r="AU2492" s="77"/>
      <c r="AV2492" s="80" t="str">
        <f>HYPERLINK("https://pbs.twimg.com/profile_images/1241147984924082183/gZgx_hL-_normal.jpg")</f>
        <v>https://pbs.twimg.com/profile_images/1241147984924082183/gZgx_hL-_normal.jpg</v>
      </c>
      <c r="AW2492" s="82" t="s">
        <v>14088</v>
      </c>
      <c r="AX2492" s="82" t="s">
        <v>14088</v>
      </c>
      <c r="AY2492" s="77"/>
      <c r="AZ2492" s="82" t="s">
        <v>15984</v>
      </c>
      <c r="BA2492" s="82" t="s">
        <v>15984</v>
      </c>
      <c r="BB2492" s="82" t="s">
        <v>15984</v>
      </c>
      <c r="BC2492" s="82" t="s">
        <v>14088</v>
      </c>
      <c r="BD2492" s="82" t="s">
        <v>15979</v>
      </c>
      <c r="BE2492" s="77"/>
      <c r="BF2492" s="77"/>
      <c r="BG2492" s="77"/>
      <c r="BH2492" s="77"/>
      <c r="BI2492" s="77"/>
    </row>
    <row r="2493" spans="1:61" x14ac:dyDescent="0.25">
      <c r="A2493" s="62" t="s">
        <v>387</v>
      </c>
      <c r="B2493" s="62" t="s">
        <v>387</v>
      </c>
      <c r="C2493" s="63"/>
      <c r="D2493" s="64"/>
      <c r="E2493" s="65"/>
      <c r="F2493" s="66"/>
      <c r="G2493" s="63"/>
      <c r="H2493" s="67"/>
      <c r="I2493" s="68"/>
      <c r="J2493" s="68"/>
      <c r="K2493" s="32"/>
      <c r="L2493" s="75">
        <v>2493</v>
      </c>
      <c r="M2493" s="75"/>
      <c r="N2493" s="70"/>
      <c r="O2493" s="77" t="s">
        <v>179</v>
      </c>
      <c r="P2493" s="79">
        <v>45119.750601851854</v>
      </c>
      <c r="Q2493" s="77" t="s">
        <v>3165</v>
      </c>
      <c r="R2493" s="77">
        <v>0</v>
      </c>
      <c r="S2493" s="77">
        <v>1</v>
      </c>
      <c r="T2493" s="77">
        <v>0</v>
      </c>
      <c r="U2493" s="77">
        <v>0</v>
      </c>
      <c r="V2493" s="77">
        <v>426</v>
      </c>
      <c r="W2493" s="82" t="s">
        <v>4833</v>
      </c>
      <c r="X2493" s="80" t="str">
        <f>HYPERLINK("https://mla.bs/468d55ce")</f>
        <v>https://mla.bs/468d55ce</v>
      </c>
      <c r="Y2493" s="77" t="s">
        <v>6506</v>
      </c>
      <c r="Z2493" s="77"/>
      <c r="AA2493" s="77"/>
      <c r="AB2493" s="77"/>
      <c r="AC2493" s="82" t="s">
        <v>7757</v>
      </c>
      <c r="AD2493" s="77" t="s">
        <v>7788</v>
      </c>
      <c r="AE2493" s="80" t="str">
        <f>HYPERLINK("https://twitter.com/einvestidor/status/1679189092490412032")</f>
        <v>https://twitter.com/einvestidor/status/1679189092490412032</v>
      </c>
      <c r="AF2493" s="79">
        <v>45119.750601851854</v>
      </c>
      <c r="AG2493" s="85">
        <v>45119</v>
      </c>
      <c r="AH2493" s="82" t="s">
        <v>9738</v>
      </c>
      <c r="AI2493" s="77" t="b">
        <v>0</v>
      </c>
      <c r="AJ2493" s="77"/>
      <c r="AK2493" s="77"/>
      <c r="AL2493" s="77"/>
      <c r="AM2493" s="77"/>
      <c r="AN2493" s="77"/>
      <c r="AO2493" s="77"/>
      <c r="AP2493" s="77"/>
      <c r="AQ2493" s="77"/>
      <c r="AR2493" s="77"/>
      <c r="AS2493" s="77"/>
      <c r="AT2493" s="77"/>
      <c r="AU2493" s="77"/>
      <c r="AV2493" s="80" t="str">
        <f>HYPERLINK("https://pbs.twimg.com/profile_images/1241147984924082183/gZgx_hL-_normal.jpg")</f>
        <v>https://pbs.twimg.com/profile_images/1241147984924082183/gZgx_hL-_normal.jpg</v>
      </c>
      <c r="AW2493" s="82" t="s">
        <v>14089</v>
      </c>
      <c r="AX2493" s="82" t="s">
        <v>14089</v>
      </c>
      <c r="AY2493" s="77"/>
      <c r="AZ2493" s="82" t="s">
        <v>15984</v>
      </c>
      <c r="BA2493" s="82" t="s">
        <v>15984</v>
      </c>
      <c r="BB2493" s="82" t="s">
        <v>15984</v>
      </c>
      <c r="BC2493" s="82" t="s">
        <v>14089</v>
      </c>
      <c r="BD2493" s="82" t="s">
        <v>15979</v>
      </c>
      <c r="BE2493" s="77"/>
      <c r="BF2493" s="77"/>
      <c r="BG2493" s="77"/>
      <c r="BH2493" s="77"/>
      <c r="BI2493" s="77"/>
    </row>
    <row r="2494" spans="1:61" x14ac:dyDescent="0.25">
      <c r="A2494" s="62" t="s">
        <v>387</v>
      </c>
      <c r="B2494" s="62" t="s">
        <v>387</v>
      </c>
      <c r="C2494" s="63"/>
      <c r="D2494" s="64"/>
      <c r="E2494" s="65"/>
      <c r="F2494" s="66"/>
      <c r="G2494" s="63"/>
      <c r="H2494" s="67"/>
      <c r="I2494" s="68"/>
      <c r="J2494" s="68"/>
      <c r="K2494" s="32"/>
      <c r="L2494" s="75">
        <v>2494</v>
      </c>
      <c r="M2494" s="75"/>
      <c r="N2494" s="70"/>
      <c r="O2494" s="77" t="s">
        <v>179</v>
      </c>
      <c r="P2494" s="79">
        <v>45119.722569444442</v>
      </c>
      <c r="Q2494" s="77" t="s">
        <v>3166</v>
      </c>
      <c r="R2494" s="77">
        <v>0</v>
      </c>
      <c r="S2494" s="77">
        <v>2</v>
      </c>
      <c r="T2494" s="77">
        <v>0</v>
      </c>
      <c r="U2494" s="77">
        <v>0</v>
      </c>
      <c r="V2494" s="77">
        <v>491</v>
      </c>
      <c r="W2494" s="82" t="s">
        <v>4833</v>
      </c>
      <c r="X2494" s="80" t="str">
        <f>HYPERLINK("https://mla.bs/e66cd8a9")</f>
        <v>https://mla.bs/e66cd8a9</v>
      </c>
      <c r="Y2494" s="77" t="s">
        <v>6506</v>
      </c>
      <c r="Z2494" s="77"/>
      <c r="AA2494" s="77"/>
      <c r="AB2494" s="77"/>
      <c r="AC2494" s="82" t="s">
        <v>7757</v>
      </c>
      <c r="AD2494" s="77" t="s">
        <v>7788</v>
      </c>
      <c r="AE2494" s="80" t="str">
        <f>HYPERLINK("https://twitter.com/einvestidor/status/1679178937052860416")</f>
        <v>https://twitter.com/einvestidor/status/1679178937052860416</v>
      </c>
      <c r="AF2494" s="79">
        <v>45119.722569444442</v>
      </c>
      <c r="AG2494" s="85">
        <v>45119</v>
      </c>
      <c r="AH2494" s="82" t="s">
        <v>9739</v>
      </c>
      <c r="AI2494" s="77" t="b">
        <v>0</v>
      </c>
      <c r="AJ2494" s="77"/>
      <c r="AK2494" s="77"/>
      <c r="AL2494" s="77"/>
      <c r="AM2494" s="77"/>
      <c r="AN2494" s="77"/>
      <c r="AO2494" s="77"/>
      <c r="AP2494" s="77"/>
      <c r="AQ2494" s="77"/>
      <c r="AR2494" s="77"/>
      <c r="AS2494" s="77"/>
      <c r="AT2494" s="77"/>
      <c r="AU2494" s="77"/>
      <c r="AV2494" s="80" t="str">
        <f>HYPERLINK("https://pbs.twimg.com/profile_images/1241147984924082183/gZgx_hL-_normal.jpg")</f>
        <v>https://pbs.twimg.com/profile_images/1241147984924082183/gZgx_hL-_normal.jpg</v>
      </c>
      <c r="AW2494" s="82" t="s">
        <v>14090</v>
      </c>
      <c r="AX2494" s="82" t="s">
        <v>14090</v>
      </c>
      <c r="AY2494" s="77"/>
      <c r="AZ2494" s="82" t="s">
        <v>15984</v>
      </c>
      <c r="BA2494" s="82" t="s">
        <v>15984</v>
      </c>
      <c r="BB2494" s="82" t="s">
        <v>15984</v>
      </c>
      <c r="BC2494" s="82" t="s">
        <v>14090</v>
      </c>
      <c r="BD2494" s="82" t="s">
        <v>15979</v>
      </c>
      <c r="BE2494" s="77"/>
      <c r="BF2494" s="77"/>
      <c r="BG2494" s="77"/>
      <c r="BH2494" s="77"/>
      <c r="BI2494" s="77"/>
    </row>
    <row r="2495" spans="1:61" x14ac:dyDescent="0.25">
      <c r="A2495" s="62" t="s">
        <v>387</v>
      </c>
      <c r="B2495" s="62" t="s">
        <v>387</v>
      </c>
      <c r="C2495" s="63"/>
      <c r="D2495" s="64"/>
      <c r="E2495" s="65"/>
      <c r="F2495" s="66"/>
      <c r="G2495" s="63"/>
      <c r="H2495" s="67"/>
      <c r="I2495" s="68"/>
      <c r="J2495" s="68"/>
      <c r="K2495" s="32"/>
      <c r="L2495" s="75">
        <v>2495</v>
      </c>
      <c r="M2495" s="75"/>
      <c r="N2495" s="70"/>
      <c r="O2495" s="77" t="s">
        <v>179</v>
      </c>
      <c r="P2495" s="79">
        <v>45119.667141203703</v>
      </c>
      <c r="Q2495" s="77" t="s">
        <v>3167</v>
      </c>
      <c r="R2495" s="77">
        <v>1</v>
      </c>
      <c r="S2495" s="77">
        <v>2</v>
      </c>
      <c r="T2495" s="77">
        <v>0</v>
      </c>
      <c r="U2495" s="77">
        <v>0</v>
      </c>
      <c r="V2495" s="77">
        <v>370</v>
      </c>
      <c r="W2495" s="82" t="s">
        <v>4833</v>
      </c>
      <c r="X2495" s="80" t="str">
        <f>HYPERLINK("https://mla.bs/e01dcb99")</f>
        <v>https://mla.bs/e01dcb99</v>
      </c>
      <c r="Y2495" s="77" t="s">
        <v>6506</v>
      </c>
      <c r="Z2495" s="77"/>
      <c r="AA2495" s="77"/>
      <c r="AB2495" s="77"/>
      <c r="AC2495" s="82" t="s">
        <v>7757</v>
      </c>
      <c r="AD2495" s="77" t="s">
        <v>7788</v>
      </c>
      <c r="AE2495" s="80" t="str">
        <f>HYPERLINK("https://twitter.com/einvestidor/status/1679158849989668864")</f>
        <v>https://twitter.com/einvestidor/status/1679158849989668864</v>
      </c>
      <c r="AF2495" s="79">
        <v>45119.667141203703</v>
      </c>
      <c r="AG2495" s="85">
        <v>45119</v>
      </c>
      <c r="AH2495" s="82" t="s">
        <v>9740</v>
      </c>
      <c r="AI2495" s="77" t="b">
        <v>0</v>
      </c>
      <c r="AJ2495" s="77"/>
      <c r="AK2495" s="77"/>
      <c r="AL2495" s="77"/>
      <c r="AM2495" s="77"/>
      <c r="AN2495" s="77"/>
      <c r="AO2495" s="77"/>
      <c r="AP2495" s="77"/>
      <c r="AQ2495" s="77"/>
      <c r="AR2495" s="77"/>
      <c r="AS2495" s="77"/>
      <c r="AT2495" s="77"/>
      <c r="AU2495" s="77"/>
      <c r="AV2495" s="80" t="str">
        <f>HYPERLINK("https://pbs.twimg.com/profile_images/1241147984924082183/gZgx_hL-_normal.jpg")</f>
        <v>https://pbs.twimg.com/profile_images/1241147984924082183/gZgx_hL-_normal.jpg</v>
      </c>
      <c r="AW2495" s="82" t="s">
        <v>14091</v>
      </c>
      <c r="AX2495" s="82" t="s">
        <v>14091</v>
      </c>
      <c r="AY2495" s="77"/>
      <c r="AZ2495" s="82" t="s">
        <v>15984</v>
      </c>
      <c r="BA2495" s="82" t="s">
        <v>15984</v>
      </c>
      <c r="BB2495" s="82" t="s">
        <v>15984</v>
      </c>
      <c r="BC2495" s="82" t="s">
        <v>14091</v>
      </c>
      <c r="BD2495" s="82" t="s">
        <v>15979</v>
      </c>
      <c r="BE2495" s="77"/>
      <c r="BF2495" s="77"/>
      <c r="BG2495" s="77"/>
      <c r="BH2495" s="77"/>
      <c r="BI2495" s="77"/>
    </row>
    <row r="2496" spans="1:61" x14ac:dyDescent="0.25">
      <c r="A2496" s="62" t="s">
        <v>387</v>
      </c>
      <c r="B2496" s="62" t="s">
        <v>387</v>
      </c>
      <c r="C2496" s="63"/>
      <c r="D2496" s="64"/>
      <c r="E2496" s="65"/>
      <c r="F2496" s="66"/>
      <c r="G2496" s="63"/>
      <c r="H2496" s="67"/>
      <c r="I2496" s="68"/>
      <c r="J2496" s="68"/>
      <c r="K2496" s="32"/>
      <c r="L2496" s="75">
        <v>2496</v>
      </c>
      <c r="M2496" s="75"/>
      <c r="N2496" s="70"/>
      <c r="O2496" s="77" t="s">
        <v>179</v>
      </c>
      <c r="P2496" s="79">
        <v>45181.896689814814</v>
      </c>
      <c r="Q2496" s="77" t="s">
        <v>3168</v>
      </c>
      <c r="R2496" s="77">
        <v>0</v>
      </c>
      <c r="S2496" s="77">
        <v>0</v>
      </c>
      <c r="T2496" s="77">
        <v>0</v>
      </c>
      <c r="U2496" s="77">
        <v>0</v>
      </c>
      <c r="V2496" s="77">
        <v>386</v>
      </c>
      <c r="W2496" s="82" t="s">
        <v>4833</v>
      </c>
      <c r="X2496" s="80" t="str">
        <f>HYPERLINK("https://einvestidor.estadao.com.br/mercado/fechamento-de-mercado-12-09-2023/?utm_source=twitter&amp;utm_medium=organic&amp;utm_campaign=&amp;utm_content=materia")</f>
        <v>https://einvestidor.estadao.com.br/mercado/fechamento-de-mercado-12-09-2023/?utm_source=twitter&amp;utm_medium=organic&amp;utm_campaign=&amp;utm_content=materia</v>
      </c>
      <c r="Y2496" s="77" t="s">
        <v>6470</v>
      </c>
      <c r="Z2496" s="77"/>
      <c r="AA2496" s="77"/>
      <c r="AB2496" s="77"/>
      <c r="AC2496" s="82" t="s">
        <v>7750</v>
      </c>
      <c r="AD2496" s="77" t="s">
        <v>7790</v>
      </c>
      <c r="AE2496" s="80" t="str">
        <f>HYPERLINK("https://twitter.com/einvestidor/status/1701710082029895953")</f>
        <v>https://twitter.com/einvestidor/status/1701710082029895953</v>
      </c>
      <c r="AF2496" s="79">
        <v>45181.896689814814</v>
      </c>
      <c r="AG2496" s="85">
        <v>45181</v>
      </c>
      <c r="AH2496" s="82" t="s">
        <v>9741</v>
      </c>
      <c r="AI2496" s="77" t="b">
        <v>0</v>
      </c>
      <c r="AJ2496" s="77"/>
      <c r="AK2496" s="77"/>
      <c r="AL2496" s="77"/>
      <c r="AM2496" s="77"/>
      <c r="AN2496" s="77"/>
      <c r="AO2496" s="77"/>
      <c r="AP2496" s="77"/>
      <c r="AQ2496" s="77"/>
      <c r="AR2496" s="77"/>
      <c r="AS2496" s="77"/>
      <c r="AT2496" s="77"/>
      <c r="AU2496" s="77"/>
      <c r="AV2496" s="80" t="str">
        <f>HYPERLINK("https://pbs.twimg.com/profile_images/1241147984924082183/gZgx_hL-_normal.jpg")</f>
        <v>https://pbs.twimg.com/profile_images/1241147984924082183/gZgx_hL-_normal.jpg</v>
      </c>
      <c r="AW2496" s="82" t="s">
        <v>14092</v>
      </c>
      <c r="AX2496" s="82" t="s">
        <v>14092</v>
      </c>
      <c r="AY2496" s="77"/>
      <c r="AZ2496" s="82" t="s">
        <v>15984</v>
      </c>
      <c r="BA2496" s="82" t="s">
        <v>15984</v>
      </c>
      <c r="BB2496" s="82" t="s">
        <v>15984</v>
      </c>
      <c r="BC2496" s="82" t="s">
        <v>14092</v>
      </c>
      <c r="BD2496" s="82" t="s">
        <v>15979</v>
      </c>
      <c r="BE2496" s="77"/>
      <c r="BF2496" s="77"/>
      <c r="BG2496" s="77"/>
      <c r="BH2496" s="77"/>
      <c r="BI2496" s="77"/>
    </row>
    <row r="2497" spans="1:61" x14ac:dyDescent="0.25">
      <c r="A2497" s="62" t="s">
        <v>387</v>
      </c>
      <c r="B2497" s="62" t="s">
        <v>387</v>
      </c>
      <c r="C2497" s="63"/>
      <c r="D2497" s="64"/>
      <c r="E2497" s="65"/>
      <c r="F2497" s="66"/>
      <c r="G2497" s="63"/>
      <c r="H2497" s="67"/>
      <c r="I2497" s="68"/>
      <c r="J2497" s="68"/>
      <c r="K2497" s="32"/>
      <c r="L2497" s="75">
        <v>2497</v>
      </c>
      <c r="M2497" s="75"/>
      <c r="N2497" s="70"/>
      <c r="O2497" s="77" t="s">
        <v>179</v>
      </c>
      <c r="P2497" s="79">
        <v>45181.895833333336</v>
      </c>
      <c r="Q2497" s="77" t="s">
        <v>3169</v>
      </c>
      <c r="R2497" s="77">
        <v>0</v>
      </c>
      <c r="S2497" s="77">
        <v>0</v>
      </c>
      <c r="T2497" s="77">
        <v>0</v>
      </c>
      <c r="U2497" s="77">
        <v>0</v>
      </c>
      <c r="V2497" s="77">
        <v>426</v>
      </c>
      <c r="W2497" s="82" t="s">
        <v>5925</v>
      </c>
      <c r="X2497" s="80" t="str">
        <f>HYPERLINK("https://einvestidor.estadao.com.br/ultimas/acoes-azul-azul4-divulgacao-trafego-agosto//?utm_source=twitter&amp;utm_medium=organic&amp;utm_campaign=&amp;utm_content=materia")</f>
        <v>https://einvestidor.estadao.com.br/ultimas/acoes-azul-azul4-divulgacao-trafego-agosto//?utm_source=twitter&amp;utm_medium=organic&amp;utm_campaign=&amp;utm_content=materia</v>
      </c>
      <c r="Y2497" s="77" t="s">
        <v>6470</v>
      </c>
      <c r="Z2497" s="77"/>
      <c r="AA2497" s="77"/>
      <c r="AB2497" s="77"/>
      <c r="AC2497" s="82" t="s">
        <v>7750</v>
      </c>
      <c r="AD2497" s="77" t="s">
        <v>7788</v>
      </c>
      <c r="AE2497" s="80" t="str">
        <f>HYPERLINK("https://twitter.com/einvestidor/status/1701709771470934134")</f>
        <v>https://twitter.com/einvestidor/status/1701709771470934134</v>
      </c>
      <c r="AF2497" s="79">
        <v>45181.895833333336</v>
      </c>
      <c r="AG2497" s="85">
        <v>45181</v>
      </c>
      <c r="AH2497" s="82" t="s">
        <v>8089</v>
      </c>
      <c r="AI2497" s="77" t="b">
        <v>0</v>
      </c>
      <c r="AJ2497" s="77"/>
      <c r="AK2497" s="77"/>
      <c r="AL2497" s="77"/>
      <c r="AM2497" s="77"/>
      <c r="AN2497" s="77"/>
      <c r="AO2497" s="77"/>
      <c r="AP2497" s="77"/>
      <c r="AQ2497" s="77"/>
      <c r="AR2497" s="77"/>
      <c r="AS2497" s="77"/>
      <c r="AT2497" s="77"/>
      <c r="AU2497" s="77"/>
      <c r="AV2497" s="80" t="str">
        <f>HYPERLINK("https://pbs.twimg.com/profile_images/1241147984924082183/gZgx_hL-_normal.jpg")</f>
        <v>https://pbs.twimg.com/profile_images/1241147984924082183/gZgx_hL-_normal.jpg</v>
      </c>
      <c r="AW2497" s="82" t="s">
        <v>14093</v>
      </c>
      <c r="AX2497" s="82" t="s">
        <v>14093</v>
      </c>
      <c r="AY2497" s="77"/>
      <c r="AZ2497" s="82" t="s">
        <v>15984</v>
      </c>
      <c r="BA2497" s="82" t="s">
        <v>15984</v>
      </c>
      <c r="BB2497" s="82" t="s">
        <v>15984</v>
      </c>
      <c r="BC2497" s="82" t="s">
        <v>14093</v>
      </c>
      <c r="BD2497" s="82" t="s">
        <v>15979</v>
      </c>
      <c r="BE2497" s="77"/>
      <c r="BF2497" s="77"/>
      <c r="BG2497" s="77"/>
      <c r="BH2497" s="77"/>
      <c r="BI2497" s="77"/>
    </row>
    <row r="2498" spans="1:61" x14ac:dyDescent="0.25">
      <c r="A2498" s="62" t="s">
        <v>387</v>
      </c>
      <c r="B2498" s="62" t="s">
        <v>387</v>
      </c>
      <c r="C2498" s="63"/>
      <c r="D2498" s="64"/>
      <c r="E2498" s="65"/>
      <c r="F2498" s="66"/>
      <c r="G2498" s="63"/>
      <c r="H2498" s="67"/>
      <c r="I2498" s="68"/>
      <c r="J2498" s="68"/>
      <c r="K2498" s="32"/>
      <c r="L2498" s="75">
        <v>2498</v>
      </c>
      <c r="M2498" s="75"/>
      <c r="N2498" s="70"/>
      <c r="O2498" s="77" t="s">
        <v>179</v>
      </c>
      <c r="P2498" s="79">
        <v>45180.802083333336</v>
      </c>
      <c r="Q2498" s="77" t="s">
        <v>3170</v>
      </c>
      <c r="R2498" s="77">
        <v>0</v>
      </c>
      <c r="S2498" s="77">
        <v>1</v>
      </c>
      <c r="T2498" s="77">
        <v>0</v>
      </c>
      <c r="U2498" s="77">
        <v>0</v>
      </c>
      <c r="V2498" s="77">
        <v>446</v>
      </c>
      <c r="W2498" s="82" t="s">
        <v>4833</v>
      </c>
      <c r="X2498" s="80" t="str">
        <f>HYPERLINK("https://einvestidor.estadao.com.br/colunas/erich-decat/nova-base-lula-prospostas-investidor/?utm_source=twitter&amp;utm_medium=organic&amp;utm_campaign=&amp;utm_content=materia")</f>
        <v>https://einvestidor.estadao.com.br/colunas/erich-decat/nova-base-lula-prospostas-investidor/?utm_source=twitter&amp;utm_medium=organic&amp;utm_campaign=&amp;utm_content=materia</v>
      </c>
      <c r="Y2498" s="77" t="s">
        <v>6470</v>
      </c>
      <c r="Z2498" s="77"/>
      <c r="AA2498" s="77"/>
      <c r="AB2498" s="77"/>
      <c r="AC2498" s="82" t="s">
        <v>7750</v>
      </c>
      <c r="AD2498" s="77" t="s">
        <v>7788</v>
      </c>
      <c r="AE2498" s="80" t="str">
        <f>HYPERLINK("https://twitter.com/einvestidor/status/1701313408807870579")</f>
        <v>https://twitter.com/einvestidor/status/1701313408807870579</v>
      </c>
      <c r="AF2498" s="79">
        <v>45180.802083333336</v>
      </c>
      <c r="AG2498" s="85">
        <v>45180</v>
      </c>
      <c r="AH2498" s="82" t="s">
        <v>7868</v>
      </c>
      <c r="AI2498" s="77" t="b">
        <v>0</v>
      </c>
      <c r="AJ2498" s="77"/>
      <c r="AK2498" s="77"/>
      <c r="AL2498" s="77"/>
      <c r="AM2498" s="77"/>
      <c r="AN2498" s="77"/>
      <c r="AO2498" s="77"/>
      <c r="AP2498" s="77"/>
      <c r="AQ2498" s="77"/>
      <c r="AR2498" s="77"/>
      <c r="AS2498" s="77"/>
      <c r="AT2498" s="77"/>
      <c r="AU2498" s="77"/>
      <c r="AV2498" s="80" t="str">
        <f>HYPERLINK("https://pbs.twimg.com/profile_images/1241147984924082183/gZgx_hL-_normal.jpg")</f>
        <v>https://pbs.twimg.com/profile_images/1241147984924082183/gZgx_hL-_normal.jpg</v>
      </c>
      <c r="AW2498" s="82" t="s">
        <v>14094</v>
      </c>
      <c r="AX2498" s="82" t="s">
        <v>14094</v>
      </c>
      <c r="AY2498" s="77"/>
      <c r="AZ2498" s="82" t="s">
        <v>15984</v>
      </c>
      <c r="BA2498" s="82" t="s">
        <v>15984</v>
      </c>
      <c r="BB2498" s="82" t="s">
        <v>15984</v>
      </c>
      <c r="BC2498" s="82" t="s">
        <v>14094</v>
      </c>
      <c r="BD2498" s="82" t="s">
        <v>15979</v>
      </c>
      <c r="BE2498" s="77"/>
      <c r="BF2498" s="77"/>
      <c r="BG2498" s="77"/>
      <c r="BH2498" s="77"/>
      <c r="BI2498" s="77"/>
    </row>
    <row r="2499" spans="1:61" x14ac:dyDescent="0.25">
      <c r="A2499" s="62" t="s">
        <v>387</v>
      </c>
      <c r="B2499" s="62" t="s">
        <v>387</v>
      </c>
      <c r="C2499" s="63"/>
      <c r="D2499" s="64"/>
      <c r="E2499" s="65"/>
      <c r="F2499" s="66"/>
      <c r="G2499" s="63"/>
      <c r="H2499" s="67"/>
      <c r="I2499" s="68"/>
      <c r="J2499" s="68"/>
      <c r="K2499" s="32"/>
      <c r="L2499" s="75">
        <v>2499</v>
      </c>
      <c r="M2499" s="75"/>
      <c r="N2499" s="70"/>
      <c r="O2499" s="77" t="s">
        <v>179</v>
      </c>
      <c r="P2499" s="79">
        <v>45180.791666666664</v>
      </c>
      <c r="Q2499" s="77" t="s">
        <v>3171</v>
      </c>
      <c r="R2499" s="77">
        <v>0</v>
      </c>
      <c r="S2499" s="77">
        <v>1</v>
      </c>
      <c r="T2499" s="77">
        <v>0</v>
      </c>
      <c r="U2499" s="77">
        <v>0</v>
      </c>
      <c r="V2499" s="77">
        <v>462</v>
      </c>
      <c r="W2499" s="82" t="s">
        <v>4833</v>
      </c>
      <c r="X2499" s="80" t="str">
        <f>HYPERLINK("https://einvestidor.estadao.com.br/ultimas/bofa-petrobras-bilhoes-dividendos-2024//?utm_source=twitter&amp;utm_medium=organic&amp;utm_campaign=&amp;utm_content=materia")</f>
        <v>https://einvestidor.estadao.com.br/ultimas/bofa-petrobras-bilhoes-dividendos-2024//?utm_source=twitter&amp;utm_medium=organic&amp;utm_campaign=&amp;utm_content=materia</v>
      </c>
      <c r="Y2499" s="77" t="s">
        <v>6470</v>
      </c>
      <c r="Z2499" s="77"/>
      <c r="AA2499" s="77"/>
      <c r="AB2499" s="77"/>
      <c r="AC2499" s="82" t="s">
        <v>7750</v>
      </c>
      <c r="AD2499" s="77" t="s">
        <v>7788</v>
      </c>
      <c r="AE2499" s="80" t="str">
        <f>HYPERLINK("https://twitter.com/einvestidor/status/1701309636459036949")</f>
        <v>https://twitter.com/einvestidor/status/1701309636459036949</v>
      </c>
      <c r="AF2499" s="79">
        <v>45180.791666666664</v>
      </c>
      <c r="AG2499" s="85">
        <v>45180</v>
      </c>
      <c r="AH2499" s="82" t="s">
        <v>9299</v>
      </c>
      <c r="AI2499" s="77" t="b">
        <v>0</v>
      </c>
      <c r="AJ2499" s="77"/>
      <c r="AK2499" s="77"/>
      <c r="AL2499" s="77"/>
      <c r="AM2499" s="77"/>
      <c r="AN2499" s="77"/>
      <c r="AO2499" s="77"/>
      <c r="AP2499" s="77"/>
      <c r="AQ2499" s="77"/>
      <c r="AR2499" s="77"/>
      <c r="AS2499" s="77"/>
      <c r="AT2499" s="77"/>
      <c r="AU2499" s="77"/>
      <c r="AV2499" s="80" t="str">
        <f>HYPERLINK("https://pbs.twimg.com/profile_images/1241147984924082183/gZgx_hL-_normal.jpg")</f>
        <v>https://pbs.twimg.com/profile_images/1241147984924082183/gZgx_hL-_normal.jpg</v>
      </c>
      <c r="AW2499" s="82" t="s">
        <v>14095</v>
      </c>
      <c r="AX2499" s="82" t="s">
        <v>14095</v>
      </c>
      <c r="AY2499" s="77"/>
      <c r="AZ2499" s="82" t="s">
        <v>15984</v>
      </c>
      <c r="BA2499" s="82" t="s">
        <v>15984</v>
      </c>
      <c r="BB2499" s="82" t="s">
        <v>15984</v>
      </c>
      <c r="BC2499" s="82" t="s">
        <v>14095</v>
      </c>
      <c r="BD2499" s="82" t="s">
        <v>15979</v>
      </c>
      <c r="BE2499" s="77"/>
      <c r="BF2499" s="77"/>
      <c r="BG2499" s="77"/>
      <c r="BH2499" s="77"/>
      <c r="BI2499" s="77"/>
    </row>
    <row r="2500" spans="1:61" x14ac:dyDescent="0.25">
      <c r="A2500" s="62" t="s">
        <v>387</v>
      </c>
      <c r="B2500" s="62" t="s">
        <v>387</v>
      </c>
      <c r="C2500" s="63"/>
      <c r="D2500" s="64"/>
      <c r="E2500" s="65"/>
      <c r="F2500" s="66"/>
      <c r="G2500" s="63"/>
      <c r="H2500" s="67"/>
      <c r="I2500" s="68"/>
      <c r="J2500" s="68"/>
      <c r="K2500" s="32"/>
      <c r="L2500" s="75">
        <v>2500</v>
      </c>
      <c r="M2500" s="75"/>
      <c r="N2500" s="70"/>
      <c r="O2500" s="77" t="s">
        <v>179</v>
      </c>
      <c r="P2500" s="79">
        <v>45180.770833333336</v>
      </c>
      <c r="Q2500" s="77" t="s">
        <v>3172</v>
      </c>
      <c r="R2500" s="77">
        <v>0</v>
      </c>
      <c r="S2500" s="77">
        <v>1</v>
      </c>
      <c r="T2500" s="77">
        <v>0</v>
      </c>
      <c r="U2500" s="77">
        <v>0</v>
      </c>
      <c r="V2500" s="77">
        <v>447</v>
      </c>
      <c r="W2500" s="82" t="s">
        <v>4833</v>
      </c>
      <c r="X2500" s="80" t="str">
        <f>HYPERLINK("https://einvestidor.estadao.com.br/ultimas/metais-ouro-fechamento-11-09-2023//?utm_source=twitter&amp;utm_medium=organic&amp;utm_campaign=&amp;utm_content=materia")</f>
        <v>https://einvestidor.estadao.com.br/ultimas/metais-ouro-fechamento-11-09-2023//?utm_source=twitter&amp;utm_medium=organic&amp;utm_campaign=&amp;utm_content=materia</v>
      </c>
      <c r="Y2500" s="77" t="s">
        <v>6470</v>
      </c>
      <c r="Z2500" s="77"/>
      <c r="AA2500" s="77"/>
      <c r="AB2500" s="77"/>
      <c r="AC2500" s="82" t="s">
        <v>7750</v>
      </c>
      <c r="AD2500" s="77" t="s">
        <v>7788</v>
      </c>
      <c r="AE2500" s="80" t="str">
        <f>HYPERLINK("https://twitter.com/einvestidor/status/1701302086498177408")</f>
        <v>https://twitter.com/einvestidor/status/1701302086498177408</v>
      </c>
      <c r="AF2500" s="79">
        <v>45180.770833333336</v>
      </c>
      <c r="AG2500" s="85">
        <v>45180</v>
      </c>
      <c r="AH2500" s="82" t="s">
        <v>7930</v>
      </c>
      <c r="AI2500" s="77" t="b">
        <v>0</v>
      </c>
      <c r="AJ2500" s="77"/>
      <c r="AK2500" s="77"/>
      <c r="AL2500" s="77"/>
      <c r="AM2500" s="77"/>
      <c r="AN2500" s="77"/>
      <c r="AO2500" s="77"/>
      <c r="AP2500" s="77"/>
      <c r="AQ2500" s="77"/>
      <c r="AR2500" s="77"/>
      <c r="AS2500" s="77"/>
      <c r="AT2500" s="77"/>
      <c r="AU2500" s="77"/>
      <c r="AV2500" s="80" t="str">
        <f>HYPERLINK("https://pbs.twimg.com/profile_images/1241147984924082183/gZgx_hL-_normal.jpg")</f>
        <v>https://pbs.twimg.com/profile_images/1241147984924082183/gZgx_hL-_normal.jpg</v>
      </c>
      <c r="AW2500" s="82" t="s">
        <v>14096</v>
      </c>
      <c r="AX2500" s="82" t="s">
        <v>14096</v>
      </c>
      <c r="AY2500" s="77"/>
      <c r="AZ2500" s="82" t="s">
        <v>15984</v>
      </c>
      <c r="BA2500" s="82" t="s">
        <v>15984</v>
      </c>
      <c r="BB2500" s="82" t="s">
        <v>15984</v>
      </c>
      <c r="BC2500" s="82" t="s">
        <v>14096</v>
      </c>
      <c r="BD2500" s="82" t="s">
        <v>15979</v>
      </c>
      <c r="BE2500" s="77"/>
      <c r="BF2500" s="77"/>
      <c r="BG2500" s="77"/>
      <c r="BH2500" s="77"/>
      <c r="BI2500" s="77"/>
    </row>
    <row r="2501" spans="1:61" x14ac:dyDescent="0.25">
      <c r="A2501" s="62" t="s">
        <v>387</v>
      </c>
      <c r="B2501" s="62" t="s">
        <v>387</v>
      </c>
      <c r="C2501" s="63"/>
      <c r="D2501" s="64"/>
      <c r="E2501" s="65"/>
      <c r="F2501" s="66"/>
      <c r="G2501" s="63"/>
      <c r="H2501" s="67"/>
      <c r="I2501" s="68"/>
      <c r="J2501" s="68"/>
      <c r="K2501" s="32"/>
      <c r="L2501" s="75">
        <v>2501</v>
      </c>
      <c r="M2501" s="75"/>
      <c r="N2501" s="70"/>
      <c r="O2501" s="77" t="s">
        <v>179</v>
      </c>
      <c r="P2501" s="79">
        <v>45176.500011574077</v>
      </c>
      <c r="Q2501" s="77" t="s">
        <v>3173</v>
      </c>
      <c r="R2501" s="77">
        <v>0</v>
      </c>
      <c r="S2501" s="77">
        <v>0</v>
      </c>
      <c r="T2501" s="77">
        <v>0</v>
      </c>
      <c r="U2501" s="77">
        <v>0</v>
      </c>
      <c r="V2501" s="77">
        <v>529</v>
      </c>
      <c r="W2501" s="82" t="s">
        <v>4833</v>
      </c>
      <c r="X2501" s="80" t="str">
        <f>HYPERLINK("https://einvestidor.estadao.com.br/educacao-financeira/7-erros-investimentos-independencia-financeira/?utm_source=twitter&amp;utm_medium=organic&amp;utm_campaign=&amp;utm_content=materia")</f>
        <v>https://einvestidor.estadao.com.br/educacao-financeira/7-erros-investimentos-independencia-financeira/?utm_source=twitter&amp;utm_medium=organic&amp;utm_campaign=&amp;utm_content=materia</v>
      </c>
      <c r="Y2501" s="77" t="s">
        <v>6470</v>
      </c>
      <c r="Z2501" s="77"/>
      <c r="AA2501" s="77"/>
      <c r="AB2501" s="77"/>
      <c r="AC2501" s="82" t="s">
        <v>7750</v>
      </c>
      <c r="AD2501" s="77" t="s">
        <v>7788</v>
      </c>
      <c r="AE2501" s="80" t="str">
        <f>HYPERLINK("https://twitter.com/einvestidor/status/1699754392529051747")</f>
        <v>https://twitter.com/einvestidor/status/1699754392529051747</v>
      </c>
      <c r="AF2501" s="79">
        <v>45176.500011574077</v>
      </c>
      <c r="AG2501" s="85">
        <v>45176</v>
      </c>
      <c r="AH2501" s="82" t="s">
        <v>9002</v>
      </c>
      <c r="AI2501" s="77" t="b">
        <v>0</v>
      </c>
      <c r="AJ2501" s="77"/>
      <c r="AK2501" s="77"/>
      <c r="AL2501" s="77"/>
      <c r="AM2501" s="77"/>
      <c r="AN2501" s="77"/>
      <c r="AO2501" s="77"/>
      <c r="AP2501" s="77"/>
      <c r="AQ2501" s="77"/>
      <c r="AR2501" s="77"/>
      <c r="AS2501" s="77"/>
      <c r="AT2501" s="77"/>
      <c r="AU2501" s="77"/>
      <c r="AV2501" s="80" t="str">
        <f>HYPERLINK("https://pbs.twimg.com/profile_images/1241147984924082183/gZgx_hL-_normal.jpg")</f>
        <v>https://pbs.twimg.com/profile_images/1241147984924082183/gZgx_hL-_normal.jpg</v>
      </c>
      <c r="AW2501" s="82" t="s">
        <v>14097</v>
      </c>
      <c r="AX2501" s="82" t="s">
        <v>14097</v>
      </c>
      <c r="AY2501" s="77"/>
      <c r="AZ2501" s="82" t="s">
        <v>15984</v>
      </c>
      <c r="BA2501" s="82" t="s">
        <v>15984</v>
      </c>
      <c r="BB2501" s="82" t="s">
        <v>15984</v>
      </c>
      <c r="BC2501" s="82" t="s">
        <v>14097</v>
      </c>
      <c r="BD2501" s="82" t="s">
        <v>15979</v>
      </c>
      <c r="BE2501" s="77"/>
      <c r="BF2501" s="77"/>
      <c r="BG2501" s="77"/>
      <c r="BH2501" s="77"/>
      <c r="BI2501" s="77"/>
    </row>
    <row r="2502" spans="1:61" x14ac:dyDescent="0.25">
      <c r="A2502" s="62" t="s">
        <v>387</v>
      </c>
      <c r="B2502" s="62" t="s">
        <v>387</v>
      </c>
      <c r="C2502" s="63"/>
      <c r="D2502" s="64"/>
      <c r="E2502" s="65"/>
      <c r="F2502" s="66"/>
      <c r="G2502" s="63"/>
      <c r="H2502" s="67"/>
      <c r="I2502" s="68"/>
      <c r="J2502" s="68"/>
      <c r="K2502" s="32"/>
      <c r="L2502" s="75">
        <v>2502</v>
      </c>
      <c r="M2502" s="75"/>
      <c r="N2502" s="70"/>
      <c r="O2502" s="77" t="s">
        <v>179</v>
      </c>
      <c r="P2502" s="79">
        <v>45174.822916666664</v>
      </c>
      <c r="Q2502" s="77" t="s">
        <v>3174</v>
      </c>
      <c r="R2502" s="77">
        <v>0</v>
      </c>
      <c r="S2502" s="77">
        <v>3</v>
      </c>
      <c r="T2502" s="77">
        <v>0</v>
      </c>
      <c r="U2502" s="77">
        <v>0</v>
      </c>
      <c r="V2502" s="77">
        <v>541</v>
      </c>
      <c r="W2502" s="82" t="s">
        <v>4833</v>
      </c>
      <c r="X2502" s="80" t="str">
        <f>HYPERLINK("https://einvestidor.estadao.com.br/ultimas/mobly-mbly3-alta-noticia-tok-stok/?utm_source=twitter&amp;utm_medium=organic&amp;utm_campaign=&amp;utm_content=materia")</f>
        <v>https://einvestidor.estadao.com.br/ultimas/mobly-mbly3-alta-noticia-tok-stok/?utm_source=twitter&amp;utm_medium=organic&amp;utm_campaign=&amp;utm_content=materia</v>
      </c>
      <c r="Y2502" s="77" t="s">
        <v>6470</v>
      </c>
      <c r="Z2502" s="77"/>
      <c r="AA2502" s="77"/>
      <c r="AB2502" s="77"/>
      <c r="AC2502" s="82" t="s">
        <v>7750</v>
      </c>
      <c r="AD2502" s="77" t="s">
        <v>7788</v>
      </c>
      <c r="AE2502" s="80" t="str">
        <f>HYPERLINK("https://twitter.com/einvestidor/status/1699146631331909689")</f>
        <v>https://twitter.com/einvestidor/status/1699146631331909689</v>
      </c>
      <c r="AF2502" s="79">
        <v>45174.822916666664</v>
      </c>
      <c r="AG2502" s="85">
        <v>45174</v>
      </c>
      <c r="AH2502" s="82" t="s">
        <v>9579</v>
      </c>
      <c r="AI2502" s="77" t="b">
        <v>0</v>
      </c>
      <c r="AJ2502" s="77"/>
      <c r="AK2502" s="77"/>
      <c r="AL2502" s="77"/>
      <c r="AM2502" s="77"/>
      <c r="AN2502" s="77"/>
      <c r="AO2502" s="77"/>
      <c r="AP2502" s="77"/>
      <c r="AQ2502" s="77"/>
      <c r="AR2502" s="77"/>
      <c r="AS2502" s="77"/>
      <c r="AT2502" s="77"/>
      <c r="AU2502" s="77"/>
      <c r="AV2502" s="80" t="str">
        <f>HYPERLINK("https://pbs.twimg.com/profile_images/1241147984924082183/gZgx_hL-_normal.jpg")</f>
        <v>https://pbs.twimg.com/profile_images/1241147984924082183/gZgx_hL-_normal.jpg</v>
      </c>
      <c r="AW2502" s="82" t="s">
        <v>14098</v>
      </c>
      <c r="AX2502" s="82" t="s">
        <v>14098</v>
      </c>
      <c r="AY2502" s="77"/>
      <c r="AZ2502" s="82" t="s">
        <v>15984</v>
      </c>
      <c r="BA2502" s="82" t="s">
        <v>15984</v>
      </c>
      <c r="BB2502" s="82" t="s">
        <v>15984</v>
      </c>
      <c r="BC2502" s="82" t="s">
        <v>14098</v>
      </c>
      <c r="BD2502" s="82" t="s">
        <v>15979</v>
      </c>
      <c r="BE2502" s="77"/>
      <c r="BF2502" s="77"/>
      <c r="BG2502" s="77"/>
      <c r="BH2502" s="77"/>
      <c r="BI2502" s="77"/>
    </row>
    <row r="2503" spans="1:61" x14ac:dyDescent="0.25">
      <c r="A2503" s="62" t="s">
        <v>387</v>
      </c>
      <c r="B2503" s="62" t="s">
        <v>387</v>
      </c>
      <c r="C2503" s="63"/>
      <c r="D2503" s="64"/>
      <c r="E2503" s="65"/>
      <c r="F2503" s="66"/>
      <c r="G2503" s="63"/>
      <c r="H2503" s="67"/>
      <c r="I2503" s="68"/>
      <c r="J2503" s="68"/>
      <c r="K2503" s="32"/>
      <c r="L2503" s="75">
        <v>2503</v>
      </c>
      <c r="M2503" s="75"/>
      <c r="N2503" s="70"/>
      <c r="O2503" s="77" t="s">
        <v>179</v>
      </c>
      <c r="P2503" s="79">
        <v>45174.791666666664</v>
      </c>
      <c r="Q2503" s="77" t="s">
        <v>3175</v>
      </c>
      <c r="R2503" s="77">
        <v>0</v>
      </c>
      <c r="S2503" s="77">
        <v>0</v>
      </c>
      <c r="T2503" s="77">
        <v>0</v>
      </c>
      <c r="U2503" s="77">
        <v>0</v>
      </c>
      <c r="V2503" s="77">
        <v>333</v>
      </c>
      <c r="W2503" s="82" t="s">
        <v>4833</v>
      </c>
      <c r="X2503" s="80" t="str">
        <f>HYPERLINK("https://einvestidor.estadao.com.br/colunas/vitor-miziara/como-usar-relatorio-focus-investir-melhor/?utm_source=twitter&amp;utm_medium=organic&amp;utm_campaign=&amp;utm_content=materia")</f>
        <v>https://einvestidor.estadao.com.br/colunas/vitor-miziara/como-usar-relatorio-focus-investir-melhor/?utm_source=twitter&amp;utm_medium=organic&amp;utm_campaign=&amp;utm_content=materia</v>
      </c>
      <c r="Y2503" s="77" t="s">
        <v>6470</v>
      </c>
      <c r="Z2503" s="77"/>
      <c r="AA2503" s="77"/>
      <c r="AB2503" s="77"/>
      <c r="AC2503" s="82" t="s">
        <v>7750</v>
      </c>
      <c r="AD2503" s="77" t="s">
        <v>7788</v>
      </c>
      <c r="AE2503" s="80" t="str">
        <f>HYPERLINK("https://twitter.com/einvestidor/status/1699135309412458711")</f>
        <v>https://twitter.com/einvestidor/status/1699135309412458711</v>
      </c>
      <c r="AF2503" s="79">
        <v>45174.791666666664</v>
      </c>
      <c r="AG2503" s="85">
        <v>45174</v>
      </c>
      <c r="AH2503" s="82" t="s">
        <v>9299</v>
      </c>
      <c r="AI2503" s="77" t="b">
        <v>0</v>
      </c>
      <c r="AJ2503" s="77"/>
      <c r="AK2503" s="77"/>
      <c r="AL2503" s="77"/>
      <c r="AM2503" s="77"/>
      <c r="AN2503" s="77"/>
      <c r="AO2503" s="77"/>
      <c r="AP2503" s="77"/>
      <c r="AQ2503" s="77"/>
      <c r="AR2503" s="77"/>
      <c r="AS2503" s="77"/>
      <c r="AT2503" s="77"/>
      <c r="AU2503" s="77"/>
      <c r="AV2503" s="80" t="str">
        <f>HYPERLINK("https://pbs.twimg.com/profile_images/1241147984924082183/gZgx_hL-_normal.jpg")</f>
        <v>https://pbs.twimg.com/profile_images/1241147984924082183/gZgx_hL-_normal.jpg</v>
      </c>
      <c r="AW2503" s="82" t="s">
        <v>14099</v>
      </c>
      <c r="AX2503" s="82" t="s">
        <v>14099</v>
      </c>
      <c r="AY2503" s="77"/>
      <c r="AZ2503" s="82" t="s">
        <v>15984</v>
      </c>
      <c r="BA2503" s="82" t="s">
        <v>15984</v>
      </c>
      <c r="BB2503" s="82" t="s">
        <v>15984</v>
      </c>
      <c r="BC2503" s="82" t="s">
        <v>14099</v>
      </c>
      <c r="BD2503" s="82" t="s">
        <v>15979</v>
      </c>
      <c r="BE2503" s="77"/>
      <c r="BF2503" s="77"/>
      <c r="BG2503" s="77"/>
      <c r="BH2503" s="77"/>
      <c r="BI2503" s="77"/>
    </row>
    <row r="2504" spans="1:61" x14ac:dyDescent="0.25">
      <c r="A2504" s="62" t="s">
        <v>387</v>
      </c>
      <c r="B2504" s="62" t="s">
        <v>387</v>
      </c>
      <c r="C2504" s="63"/>
      <c r="D2504" s="64"/>
      <c r="E2504" s="65"/>
      <c r="F2504" s="66"/>
      <c r="G2504" s="63"/>
      <c r="H2504" s="67"/>
      <c r="I2504" s="68"/>
      <c r="J2504" s="68"/>
      <c r="K2504" s="32"/>
      <c r="L2504" s="75">
        <v>2504</v>
      </c>
      <c r="M2504" s="75"/>
      <c r="N2504" s="70"/>
      <c r="O2504" s="77" t="s">
        <v>179</v>
      </c>
      <c r="P2504" s="79">
        <v>45174.760416666664</v>
      </c>
      <c r="Q2504" s="77" t="s">
        <v>3176</v>
      </c>
      <c r="R2504" s="77">
        <v>1</v>
      </c>
      <c r="S2504" s="77">
        <v>0</v>
      </c>
      <c r="T2504" s="77">
        <v>0</v>
      </c>
      <c r="U2504" s="77">
        <v>0</v>
      </c>
      <c r="V2504" s="77">
        <v>395</v>
      </c>
      <c r="W2504" s="82" t="s">
        <v>4833</v>
      </c>
      <c r="X2504" s="80" t="str">
        <f>HYPERLINK("https://einvestidor.estadao.com.br/ultimas/itau-bba-avalia-avanco-do-processo-de-privatizacao-sabesp/?utm_source=twitter&amp;utm_medium=organic&amp;utm_campaign=&amp;utm_content=materia")</f>
        <v>https://einvestidor.estadao.com.br/ultimas/itau-bba-avalia-avanco-do-processo-de-privatizacao-sabesp/?utm_source=twitter&amp;utm_medium=organic&amp;utm_campaign=&amp;utm_content=materia</v>
      </c>
      <c r="Y2504" s="77" t="s">
        <v>6470</v>
      </c>
      <c r="Z2504" s="77"/>
      <c r="AA2504" s="77"/>
      <c r="AB2504" s="77"/>
      <c r="AC2504" s="82" t="s">
        <v>7750</v>
      </c>
      <c r="AD2504" s="77" t="s">
        <v>7788</v>
      </c>
      <c r="AE2504" s="80" t="str">
        <f>HYPERLINK("https://twitter.com/einvestidor/status/1699123982472032613")</f>
        <v>https://twitter.com/einvestidor/status/1699123982472032613</v>
      </c>
      <c r="AF2504" s="79">
        <v>45174.760416666664</v>
      </c>
      <c r="AG2504" s="85">
        <v>45174</v>
      </c>
      <c r="AH2504" s="82" t="s">
        <v>9582</v>
      </c>
      <c r="AI2504" s="77" t="b">
        <v>0</v>
      </c>
      <c r="AJ2504" s="77"/>
      <c r="AK2504" s="77"/>
      <c r="AL2504" s="77"/>
      <c r="AM2504" s="77"/>
      <c r="AN2504" s="77"/>
      <c r="AO2504" s="77"/>
      <c r="AP2504" s="77"/>
      <c r="AQ2504" s="77"/>
      <c r="AR2504" s="77"/>
      <c r="AS2504" s="77"/>
      <c r="AT2504" s="77"/>
      <c r="AU2504" s="77"/>
      <c r="AV2504" s="80" t="str">
        <f>HYPERLINK("https://pbs.twimg.com/profile_images/1241147984924082183/gZgx_hL-_normal.jpg")</f>
        <v>https://pbs.twimg.com/profile_images/1241147984924082183/gZgx_hL-_normal.jpg</v>
      </c>
      <c r="AW2504" s="82" t="s">
        <v>14100</v>
      </c>
      <c r="AX2504" s="82" t="s">
        <v>14100</v>
      </c>
      <c r="AY2504" s="77"/>
      <c r="AZ2504" s="82" t="s">
        <v>15984</v>
      </c>
      <c r="BA2504" s="82" t="s">
        <v>15984</v>
      </c>
      <c r="BB2504" s="82" t="s">
        <v>15984</v>
      </c>
      <c r="BC2504" s="82" t="s">
        <v>14100</v>
      </c>
      <c r="BD2504" s="82" t="s">
        <v>15979</v>
      </c>
      <c r="BE2504" s="77"/>
      <c r="BF2504" s="77"/>
      <c r="BG2504" s="77"/>
      <c r="BH2504" s="77"/>
      <c r="BI2504" s="77"/>
    </row>
    <row r="2505" spans="1:61" x14ac:dyDescent="0.25">
      <c r="A2505" s="62" t="s">
        <v>387</v>
      </c>
      <c r="B2505" s="62" t="s">
        <v>387</v>
      </c>
      <c r="C2505" s="63"/>
      <c r="D2505" s="64"/>
      <c r="E2505" s="65"/>
      <c r="F2505" s="66"/>
      <c r="G2505" s="63"/>
      <c r="H2505" s="67"/>
      <c r="I2505" s="68"/>
      <c r="J2505" s="68"/>
      <c r="K2505" s="32"/>
      <c r="L2505" s="75">
        <v>2505</v>
      </c>
      <c r="M2505" s="75"/>
      <c r="N2505" s="70"/>
      <c r="O2505" s="77" t="s">
        <v>179</v>
      </c>
      <c r="P2505" s="79">
        <v>45169.989583333336</v>
      </c>
      <c r="Q2505" s="77" t="s">
        <v>3177</v>
      </c>
      <c r="R2505" s="77">
        <v>1</v>
      </c>
      <c r="S2505" s="77">
        <v>2</v>
      </c>
      <c r="T2505" s="77">
        <v>0</v>
      </c>
      <c r="U2505" s="77">
        <v>0</v>
      </c>
      <c r="V2505" s="77">
        <v>996</v>
      </c>
      <c r="W2505" s="82" t="s">
        <v>4833</v>
      </c>
      <c r="X2505" s="80" t="str">
        <f>HYPERLINK("https://einvestidor.estadao.com.br/educacao-financeira/como-calcular-adicional-noturno/?utm_source=twitter&amp;utm_medium=organic&amp;utm_campaign=&amp;utm_content=materia")</f>
        <v>https://einvestidor.estadao.com.br/educacao-financeira/como-calcular-adicional-noturno/?utm_source=twitter&amp;utm_medium=organic&amp;utm_campaign=&amp;utm_content=materia</v>
      </c>
      <c r="Y2505" s="77" t="s">
        <v>6470</v>
      </c>
      <c r="Z2505" s="77"/>
      <c r="AA2505" s="77"/>
      <c r="AB2505" s="77"/>
      <c r="AC2505" s="82" t="s">
        <v>7750</v>
      </c>
      <c r="AD2505" s="77" t="s">
        <v>7788</v>
      </c>
      <c r="AE2505" s="80" t="str">
        <f>HYPERLINK("https://twitter.com/einvestidor/status/1697395090556375491")</f>
        <v>https://twitter.com/einvestidor/status/1697395090556375491</v>
      </c>
      <c r="AF2505" s="79">
        <v>45169.989583333336</v>
      </c>
      <c r="AG2505" s="85">
        <v>45169</v>
      </c>
      <c r="AH2505" s="82" t="s">
        <v>9620</v>
      </c>
      <c r="AI2505" s="77" t="b">
        <v>0</v>
      </c>
      <c r="AJ2505" s="77"/>
      <c r="AK2505" s="77"/>
      <c r="AL2505" s="77"/>
      <c r="AM2505" s="77"/>
      <c r="AN2505" s="77"/>
      <c r="AO2505" s="77"/>
      <c r="AP2505" s="77"/>
      <c r="AQ2505" s="77"/>
      <c r="AR2505" s="77"/>
      <c r="AS2505" s="77"/>
      <c r="AT2505" s="77"/>
      <c r="AU2505" s="77"/>
      <c r="AV2505" s="80" t="str">
        <f>HYPERLINK("https://pbs.twimg.com/profile_images/1241147984924082183/gZgx_hL-_normal.jpg")</f>
        <v>https://pbs.twimg.com/profile_images/1241147984924082183/gZgx_hL-_normal.jpg</v>
      </c>
      <c r="AW2505" s="82" t="s">
        <v>14101</v>
      </c>
      <c r="AX2505" s="82" t="s">
        <v>14101</v>
      </c>
      <c r="AY2505" s="77"/>
      <c r="AZ2505" s="82" t="s">
        <v>15984</v>
      </c>
      <c r="BA2505" s="82" t="s">
        <v>15984</v>
      </c>
      <c r="BB2505" s="82" t="s">
        <v>15984</v>
      </c>
      <c r="BC2505" s="82" t="s">
        <v>14101</v>
      </c>
      <c r="BD2505" s="82" t="s">
        <v>15979</v>
      </c>
      <c r="BE2505" s="77"/>
      <c r="BF2505" s="77"/>
      <c r="BG2505" s="77"/>
      <c r="BH2505" s="77"/>
      <c r="BI2505" s="77"/>
    </row>
    <row r="2506" spans="1:61" x14ac:dyDescent="0.25">
      <c r="A2506" s="62" t="s">
        <v>387</v>
      </c>
      <c r="B2506" s="62" t="s">
        <v>387</v>
      </c>
      <c r="C2506" s="63"/>
      <c r="D2506" s="64"/>
      <c r="E2506" s="65"/>
      <c r="F2506" s="66"/>
      <c r="G2506" s="63"/>
      <c r="H2506" s="67"/>
      <c r="I2506" s="68"/>
      <c r="J2506" s="68"/>
      <c r="K2506" s="32"/>
      <c r="L2506" s="75">
        <v>2506</v>
      </c>
      <c r="M2506" s="75"/>
      <c r="N2506" s="70"/>
      <c r="O2506" s="77" t="s">
        <v>179</v>
      </c>
      <c r="P2506" s="79">
        <v>45169.979166666664</v>
      </c>
      <c r="Q2506" s="77" t="s">
        <v>3178</v>
      </c>
      <c r="R2506" s="77">
        <v>0</v>
      </c>
      <c r="S2506" s="77">
        <v>5</v>
      </c>
      <c r="T2506" s="77">
        <v>0</v>
      </c>
      <c r="U2506" s="77">
        <v>0</v>
      </c>
      <c r="V2506" s="77">
        <v>983</v>
      </c>
      <c r="W2506" s="82" t="s">
        <v>4833</v>
      </c>
      <c r="X2506" s="80" t="str">
        <f>HYPERLINK("https://einvestidor.estadao.com.br/ultimas/dolar-hoje-fecha-alta-exterior-fiscal/?utm_source=twitter&amp;utm_medium=organic&amp;utm_campaign=&amp;utm_content=materia")</f>
        <v>https://einvestidor.estadao.com.br/ultimas/dolar-hoje-fecha-alta-exterior-fiscal/?utm_source=twitter&amp;utm_medium=organic&amp;utm_campaign=&amp;utm_content=materia</v>
      </c>
      <c r="Y2506" s="77" t="s">
        <v>6470</v>
      </c>
      <c r="Z2506" s="77"/>
      <c r="AA2506" s="77"/>
      <c r="AB2506" s="77"/>
      <c r="AC2506" s="82" t="s">
        <v>7750</v>
      </c>
      <c r="AD2506" s="77" t="s">
        <v>7788</v>
      </c>
      <c r="AE2506" s="80" t="str">
        <f>HYPERLINK("https://twitter.com/einvestidor/status/1697391316534018559")</f>
        <v>https://twitter.com/einvestidor/status/1697391316534018559</v>
      </c>
      <c r="AF2506" s="79">
        <v>45169.979166666664</v>
      </c>
      <c r="AG2506" s="85">
        <v>45169</v>
      </c>
      <c r="AH2506" s="82" t="s">
        <v>7928</v>
      </c>
      <c r="AI2506" s="77" t="b">
        <v>0</v>
      </c>
      <c r="AJ2506" s="77"/>
      <c r="AK2506" s="77"/>
      <c r="AL2506" s="77"/>
      <c r="AM2506" s="77"/>
      <c r="AN2506" s="77"/>
      <c r="AO2506" s="77"/>
      <c r="AP2506" s="77"/>
      <c r="AQ2506" s="77"/>
      <c r="AR2506" s="77"/>
      <c r="AS2506" s="77"/>
      <c r="AT2506" s="77"/>
      <c r="AU2506" s="77"/>
      <c r="AV2506" s="80" t="str">
        <f>HYPERLINK("https://pbs.twimg.com/profile_images/1241147984924082183/gZgx_hL-_normal.jpg")</f>
        <v>https://pbs.twimg.com/profile_images/1241147984924082183/gZgx_hL-_normal.jpg</v>
      </c>
      <c r="AW2506" s="82" t="s">
        <v>14102</v>
      </c>
      <c r="AX2506" s="82" t="s">
        <v>14102</v>
      </c>
      <c r="AY2506" s="77"/>
      <c r="AZ2506" s="82" t="s">
        <v>15984</v>
      </c>
      <c r="BA2506" s="82" t="s">
        <v>15984</v>
      </c>
      <c r="BB2506" s="82" t="s">
        <v>15984</v>
      </c>
      <c r="BC2506" s="82" t="s">
        <v>14102</v>
      </c>
      <c r="BD2506" s="82" t="s">
        <v>15979</v>
      </c>
      <c r="BE2506" s="77"/>
      <c r="BF2506" s="77"/>
      <c r="BG2506" s="77"/>
      <c r="BH2506" s="77"/>
      <c r="BI2506" s="77"/>
    </row>
    <row r="2507" spans="1:61" x14ac:dyDescent="0.25">
      <c r="A2507" s="62" t="s">
        <v>387</v>
      </c>
      <c r="B2507" s="62" t="s">
        <v>387</v>
      </c>
      <c r="C2507" s="63"/>
      <c r="D2507" s="64"/>
      <c r="E2507" s="65"/>
      <c r="F2507" s="66"/>
      <c r="G2507" s="63"/>
      <c r="H2507" s="67"/>
      <c r="I2507" s="68"/>
      <c r="J2507" s="68"/>
      <c r="K2507" s="32"/>
      <c r="L2507" s="75">
        <v>2507</v>
      </c>
      <c r="M2507" s="75"/>
      <c r="N2507" s="70"/>
      <c r="O2507" s="77" t="s">
        <v>179</v>
      </c>
      <c r="P2507" s="79">
        <v>45169.96875</v>
      </c>
      <c r="Q2507" s="77" t="s">
        <v>3179</v>
      </c>
      <c r="R2507" s="77">
        <v>0</v>
      </c>
      <c r="S2507" s="77">
        <v>1</v>
      </c>
      <c r="T2507" s="77">
        <v>0</v>
      </c>
      <c r="U2507" s="77">
        <v>0</v>
      </c>
      <c r="V2507" s="77">
        <v>895</v>
      </c>
      <c r="W2507" s="82" t="s">
        <v>4833</v>
      </c>
      <c r="X2507" s="80" t="str">
        <f>HYPERLINK("https://einvestidor.estadao.com.br/ultimas/dolar-avanca-ante-euro-libra-dados-estados-unidos/?utm_source=twitter&amp;utm_medium=organic&amp;utm_campaign=&amp;utm_content=materia")</f>
        <v>https://einvestidor.estadao.com.br/ultimas/dolar-avanca-ante-euro-libra-dados-estados-unidos/?utm_source=twitter&amp;utm_medium=organic&amp;utm_campaign=&amp;utm_content=materia</v>
      </c>
      <c r="Y2507" s="77" t="s">
        <v>6470</v>
      </c>
      <c r="Z2507" s="77"/>
      <c r="AA2507" s="77"/>
      <c r="AB2507" s="77"/>
      <c r="AC2507" s="82" t="s">
        <v>7750</v>
      </c>
      <c r="AD2507" s="77" t="s">
        <v>7788</v>
      </c>
      <c r="AE2507" s="80" t="str">
        <f>HYPERLINK("https://twitter.com/einvestidor/status/1697387540477780398")</f>
        <v>https://twitter.com/einvestidor/status/1697387540477780398</v>
      </c>
      <c r="AF2507" s="79">
        <v>45169.96875</v>
      </c>
      <c r="AG2507" s="85">
        <v>45169</v>
      </c>
      <c r="AH2507" s="82" t="s">
        <v>9621</v>
      </c>
      <c r="AI2507" s="77" t="b">
        <v>0</v>
      </c>
      <c r="AJ2507" s="77"/>
      <c r="AK2507" s="77"/>
      <c r="AL2507" s="77"/>
      <c r="AM2507" s="77"/>
      <c r="AN2507" s="77"/>
      <c r="AO2507" s="77"/>
      <c r="AP2507" s="77"/>
      <c r="AQ2507" s="77"/>
      <c r="AR2507" s="77"/>
      <c r="AS2507" s="77"/>
      <c r="AT2507" s="77"/>
      <c r="AU2507" s="77"/>
      <c r="AV2507" s="80" t="str">
        <f>HYPERLINK("https://pbs.twimg.com/profile_images/1241147984924082183/gZgx_hL-_normal.jpg")</f>
        <v>https://pbs.twimg.com/profile_images/1241147984924082183/gZgx_hL-_normal.jpg</v>
      </c>
      <c r="AW2507" s="82" t="s">
        <v>14103</v>
      </c>
      <c r="AX2507" s="82" t="s">
        <v>14103</v>
      </c>
      <c r="AY2507" s="77"/>
      <c r="AZ2507" s="82" t="s">
        <v>15984</v>
      </c>
      <c r="BA2507" s="82" t="s">
        <v>15984</v>
      </c>
      <c r="BB2507" s="82" t="s">
        <v>15984</v>
      </c>
      <c r="BC2507" s="82" t="s">
        <v>14103</v>
      </c>
      <c r="BD2507" s="82" t="s">
        <v>15979</v>
      </c>
      <c r="BE2507" s="77"/>
      <c r="BF2507" s="77"/>
      <c r="BG2507" s="77"/>
      <c r="BH2507" s="77"/>
      <c r="BI2507" s="77"/>
    </row>
    <row r="2508" spans="1:61" x14ac:dyDescent="0.25">
      <c r="A2508" s="62" t="s">
        <v>387</v>
      </c>
      <c r="B2508" s="62" t="s">
        <v>387</v>
      </c>
      <c r="C2508" s="63"/>
      <c r="D2508" s="64"/>
      <c r="E2508" s="65"/>
      <c r="F2508" s="66"/>
      <c r="G2508" s="63"/>
      <c r="H2508" s="67"/>
      <c r="I2508" s="68"/>
      <c r="J2508" s="68"/>
      <c r="K2508" s="32"/>
      <c r="L2508" s="75">
        <v>2508</v>
      </c>
      <c r="M2508" s="75"/>
      <c r="N2508" s="70"/>
      <c r="O2508" s="77" t="s">
        <v>179</v>
      </c>
      <c r="P2508" s="79">
        <v>45169.958344907405</v>
      </c>
      <c r="Q2508" s="77" t="s">
        <v>3180</v>
      </c>
      <c r="R2508" s="77">
        <v>0</v>
      </c>
      <c r="S2508" s="77">
        <v>1</v>
      </c>
      <c r="T2508" s="77">
        <v>0</v>
      </c>
      <c r="U2508" s="77">
        <v>0</v>
      </c>
      <c r="V2508" s="77">
        <v>710</v>
      </c>
      <c r="W2508" s="82" t="s">
        <v>4833</v>
      </c>
      <c r="X2508" s="80" t="str">
        <f>HYPERLINK("https://einvestidor.estadao.com.br/ultimas/juros-alta-agosto-risco-fiscal//?utm_source=twitter&amp;utm_medium=organic&amp;utm_campaign=&amp;utm_content=materia")</f>
        <v>https://einvestidor.estadao.com.br/ultimas/juros-alta-agosto-risco-fiscal//?utm_source=twitter&amp;utm_medium=organic&amp;utm_campaign=&amp;utm_content=materia</v>
      </c>
      <c r="Y2508" s="77" t="s">
        <v>6470</v>
      </c>
      <c r="Z2508" s="77"/>
      <c r="AA2508" s="77"/>
      <c r="AB2508" s="77"/>
      <c r="AC2508" s="82" t="s">
        <v>7750</v>
      </c>
      <c r="AD2508" s="77" t="s">
        <v>7788</v>
      </c>
      <c r="AE2508" s="80" t="str">
        <f>HYPERLINK("https://twitter.com/einvestidor/status/1697383770456981947")</f>
        <v>https://twitter.com/einvestidor/status/1697383770456981947</v>
      </c>
      <c r="AF2508" s="79">
        <v>45169.958344907405</v>
      </c>
      <c r="AG2508" s="85">
        <v>45169</v>
      </c>
      <c r="AH2508" s="82" t="s">
        <v>9241</v>
      </c>
      <c r="AI2508" s="77" t="b">
        <v>0</v>
      </c>
      <c r="AJ2508" s="77"/>
      <c r="AK2508" s="77"/>
      <c r="AL2508" s="77"/>
      <c r="AM2508" s="77"/>
      <c r="AN2508" s="77"/>
      <c r="AO2508" s="77"/>
      <c r="AP2508" s="77"/>
      <c r="AQ2508" s="77"/>
      <c r="AR2508" s="77"/>
      <c r="AS2508" s="77"/>
      <c r="AT2508" s="77"/>
      <c r="AU2508" s="77"/>
      <c r="AV2508" s="80" t="str">
        <f>HYPERLINK("https://pbs.twimg.com/profile_images/1241147984924082183/gZgx_hL-_normal.jpg")</f>
        <v>https://pbs.twimg.com/profile_images/1241147984924082183/gZgx_hL-_normal.jpg</v>
      </c>
      <c r="AW2508" s="82" t="s">
        <v>14104</v>
      </c>
      <c r="AX2508" s="82" t="s">
        <v>14104</v>
      </c>
      <c r="AY2508" s="77"/>
      <c r="AZ2508" s="82" t="s">
        <v>15984</v>
      </c>
      <c r="BA2508" s="82" t="s">
        <v>15984</v>
      </c>
      <c r="BB2508" s="82" t="s">
        <v>15984</v>
      </c>
      <c r="BC2508" s="82" t="s">
        <v>14104</v>
      </c>
      <c r="BD2508" s="82" t="s">
        <v>15979</v>
      </c>
      <c r="BE2508" s="77"/>
      <c r="BF2508" s="77"/>
      <c r="BG2508" s="77"/>
      <c r="BH2508" s="77"/>
      <c r="BI2508" s="77"/>
    </row>
    <row r="2509" spans="1:61" x14ac:dyDescent="0.25">
      <c r="A2509" s="62" t="s">
        <v>387</v>
      </c>
      <c r="B2509" s="62" t="s">
        <v>387</v>
      </c>
      <c r="C2509" s="63"/>
      <c r="D2509" s="64"/>
      <c r="E2509" s="65"/>
      <c r="F2509" s="66"/>
      <c r="G2509" s="63"/>
      <c r="H2509" s="67"/>
      <c r="I2509" s="68"/>
      <c r="J2509" s="68"/>
      <c r="K2509" s="32"/>
      <c r="L2509" s="75">
        <v>2509</v>
      </c>
      <c r="M2509" s="75"/>
      <c r="N2509" s="70"/>
      <c r="O2509" s="77" t="s">
        <v>179</v>
      </c>
      <c r="P2509" s="79">
        <v>45166.918842592589</v>
      </c>
      <c r="Q2509" s="77" t="s">
        <v>3181</v>
      </c>
      <c r="R2509" s="77">
        <v>0</v>
      </c>
      <c r="S2509" s="77">
        <v>1</v>
      </c>
      <c r="T2509" s="77">
        <v>0</v>
      </c>
      <c r="U2509" s="77">
        <v>0</v>
      </c>
      <c r="V2509" s="77">
        <v>894</v>
      </c>
      <c r="W2509" s="82" t="s">
        <v>6025</v>
      </c>
      <c r="X2509" s="80" t="str">
        <f>HYPERLINK("https://einvestidor.estadao.com.br/mercado/piores-acoes-ibovespa-pao-de-acucar-via-meliuz/?utm_source=twitter&amp;utm_medium=organic&amp;utm_campaign=&amp;utm_content=materia")</f>
        <v>https://einvestidor.estadao.com.br/mercado/piores-acoes-ibovespa-pao-de-acucar-via-meliuz/?utm_source=twitter&amp;utm_medium=organic&amp;utm_campaign=&amp;utm_content=materia</v>
      </c>
      <c r="Y2509" s="77" t="s">
        <v>6470</v>
      </c>
      <c r="Z2509" s="77"/>
      <c r="AA2509" s="77"/>
      <c r="AB2509" s="77"/>
      <c r="AC2509" s="82" t="s">
        <v>7750</v>
      </c>
      <c r="AD2509" s="77" t="s">
        <v>7788</v>
      </c>
      <c r="AE2509" s="80" t="str">
        <f>HYPERLINK("https://twitter.com/einvestidor/status/1696282291167752578")</f>
        <v>https://twitter.com/einvestidor/status/1696282291167752578</v>
      </c>
      <c r="AF2509" s="79">
        <v>45166.918842592589</v>
      </c>
      <c r="AG2509" s="85">
        <v>45166</v>
      </c>
      <c r="AH2509" s="82" t="s">
        <v>9742</v>
      </c>
      <c r="AI2509" s="77" t="b">
        <v>0</v>
      </c>
      <c r="AJ2509" s="77"/>
      <c r="AK2509" s="77"/>
      <c r="AL2509" s="77"/>
      <c r="AM2509" s="77"/>
      <c r="AN2509" s="77"/>
      <c r="AO2509" s="77"/>
      <c r="AP2509" s="77"/>
      <c r="AQ2509" s="77"/>
      <c r="AR2509" s="77"/>
      <c r="AS2509" s="77"/>
      <c r="AT2509" s="77"/>
      <c r="AU2509" s="77"/>
      <c r="AV2509" s="80" t="str">
        <f>HYPERLINK("https://pbs.twimg.com/profile_images/1241147984924082183/gZgx_hL-_normal.jpg")</f>
        <v>https://pbs.twimg.com/profile_images/1241147984924082183/gZgx_hL-_normal.jpg</v>
      </c>
      <c r="AW2509" s="82" t="s">
        <v>14105</v>
      </c>
      <c r="AX2509" s="82" t="s">
        <v>14105</v>
      </c>
      <c r="AY2509" s="77"/>
      <c r="AZ2509" s="82" t="s">
        <v>15984</v>
      </c>
      <c r="BA2509" s="82" t="s">
        <v>15984</v>
      </c>
      <c r="BB2509" s="82" t="s">
        <v>15984</v>
      </c>
      <c r="BC2509" s="82" t="s">
        <v>14105</v>
      </c>
      <c r="BD2509" s="82" t="s">
        <v>15979</v>
      </c>
      <c r="BE2509" s="77"/>
      <c r="BF2509" s="77"/>
      <c r="BG2509" s="77"/>
      <c r="BH2509" s="77"/>
      <c r="BI2509" s="77"/>
    </row>
    <row r="2510" spans="1:61" x14ac:dyDescent="0.25">
      <c r="A2510" s="62" t="s">
        <v>387</v>
      </c>
      <c r="B2510" s="62" t="s">
        <v>387</v>
      </c>
      <c r="C2510" s="63"/>
      <c r="D2510" s="64"/>
      <c r="E2510" s="65"/>
      <c r="F2510" s="66"/>
      <c r="G2510" s="63"/>
      <c r="H2510" s="67"/>
      <c r="I2510" s="68"/>
      <c r="J2510" s="68"/>
      <c r="K2510" s="32"/>
      <c r="L2510" s="75">
        <v>2510</v>
      </c>
      <c r="M2510" s="75"/>
      <c r="N2510" s="70"/>
      <c r="O2510" s="77" t="s">
        <v>179</v>
      </c>
      <c r="P2510" s="79">
        <v>45166.918078703704</v>
      </c>
      <c r="Q2510" s="77" t="s">
        <v>3182</v>
      </c>
      <c r="R2510" s="77">
        <v>0</v>
      </c>
      <c r="S2510" s="77">
        <v>3</v>
      </c>
      <c r="T2510" s="77">
        <v>0</v>
      </c>
      <c r="U2510" s="77">
        <v>0</v>
      </c>
      <c r="V2510" s="77">
        <v>1020</v>
      </c>
      <c r="W2510" s="82" t="s">
        <v>6026</v>
      </c>
      <c r="X2510" s="80" t="str">
        <f>HYPERLINK("https://einvestidor.estadao.com.br/mercado/melhores-acoes-ibovespa-minerva-marfrig-itau/?utm_source=twitter&amp;utm_medium=organic&amp;utm_campaign=&amp;utm_content=materia")</f>
        <v>https://einvestidor.estadao.com.br/mercado/melhores-acoes-ibovespa-minerva-marfrig-itau/?utm_source=twitter&amp;utm_medium=organic&amp;utm_campaign=&amp;utm_content=materia</v>
      </c>
      <c r="Y2510" s="77" t="s">
        <v>6470</v>
      </c>
      <c r="Z2510" s="77"/>
      <c r="AA2510" s="77"/>
      <c r="AB2510" s="77"/>
      <c r="AC2510" s="82" t="s">
        <v>7750</v>
      </c>
      <c r="AD2510" s="77" t="s">
        <v>7788</v>
      </c>
      <c r="AE2510" s="80" t="str">
        <f>HYPERLINK("https://twitter.com/einvestidor/status/1696282015174136034")</f>
        <v>https://twitter.com/einvestidor/status/1696282015174136034</v>
      </c>
      <c r="AF2510" s="79">
        <v>45166.918078703704</v>
      </c>
      <c r="AG2510" s="85">
        <v>45166</v>
      </c>
      <c r="AH2510" s="82" t="s">
        <v>9743</v>
      </c>
      <c r="AI2510" s="77" t="b">
        <v>0</v>
      </c>
      <c r="AJ2510" s="77"/>
      <c r="AK2510" s="77"/>
      <c r="AL2510" s="77"/>
      <c r="AM2510" s="77"/>
      <c r="AN2510" s="77"/>
      <c r="AO2510" s="77"/>
      <c r="AP2510" s="77"/>
      <c r="AQ2510" s="77"/>
      <c r="AR2510" s="77"/>
      <c r="AS2510" s="77"/>
      <c r="AT2510" s="77"/>
      <c r="AU2510" s="77"/>
      <c r="AV2510" s="80" t="str">
        <f>HYPERLINK("https://pbs.twimg.com/profile_images/1241147984924082183/gZgx_hL-_normal.jpg")</f>
        <v>https://pbs.twimg.com/profile_images/1241147984924082183/gZgx_hL-_normal.jpg</v>
      </c>
      <c r="AW2510" s="82" t="s">
        <v>14106</v>
      </c>
      <c r="AX2510" s="82" t="s">
        <v>14106</v>
      </c>
      <c r="AY2510" s="77"/>
      <c r="AZ2510" s="82" t="s">
        <v>15984</v>
      </c>
      <c r="BA2510" s="82" t="s">
        <v>15984</v>
      </c>
      <c r="BB2510" s="82" t="s">
        <v>15984</v>
      </c>
      <c r="BC2510" s="82" t="s">
        <v>14106</v>
      </c>
      <c r="BD2510" s="82" t="s">
        <v>15979</v>
      </c>
      <c r="BE2510" s="77"/>
      <c r="BF2510" s="77"/>
      <c r="BG2510" s="77"/>
      <c r="BH2510" s="77"/>
      <c r="BI2510" s="77"/>
    </row>
    <row r="2511" spans="1:61" x14ac:dyDescent="0.25">
      <c r="A2511" s="62" t="s">
        <v>387</v>
      </c>
      <c r="B2511" s="62" t="s">
        <v>387</v>
      </c>
      <c r="C2511" s="63"/>
      <c r="D2511" s="64"/>
      <c r="E2511" s="65"/>
      <c r="F2511" s="66"/>
      <c r="G2511" s="63"/>
      <c r="H2511" s="67"/>
      <c r="I2511" s="68"/>
      <c r="J2511" s="68"/>
      <c r="K2511" s="32"/>
      <c r="L2511" s="75">
        <v>2511</v>
      </c>
      <c r="M2511" s="75"/>
      <c r="N2511" s="70"/>
      <c r="O2511" s="77" t="s">
        <v>179</v>
      </c>
      <c r="P2511" s="79">
        <v>45166.891261574077</v>
      </c>
      <c r="Q2511" s="77" t="s">
        <v>3183</v>
      </c>
      <c r="R2511" s="77">
        <v>0</v>
      </c>
      <c r="S2511" s="77">
        <v>1</v>
      </c>
      <c r="T2511" s="77">
        <v>0</v>
      </c>
      <c r="U2511" s="77">
        <v>0</v>
      </c>
      <c r="V2511" s="77">
        <v>687</v>
      </c>
      <c r="W2511" s="82" t="s">
        <v>6027</v>
      </c>
      <c r="X2511" s="80" t="str">
        <f>HYPERLINK("https://einvestidor.estadao.com.br/investimentos/fundos-super-ricos-taxacao-consequencias/?utm_source=twitter&amp;utm_medium=organic&amp;utm_campaign=&amp;utm_content=materia")</f>
        <v>https://einvestidor.estadao.com.br/investimentos/fundos-super-ricos-taxacao-consequencias/?utm_source=twitter&amp;utm_medium=organic&amp;utm_campaign=&amp;utm_content=materia</v>
      </c>
      <c r="Y2511" s="77" t="s">
        <v>6470</v>
      </c>
      <c r="Z2511" s="77"/>
      <c r="AA2511" s="77"/>
      <c r="AB2511" s="77"/>
      <c r="AC2511" s="82" t="s">
        <v>7750</v>
      </c>
      <c r="AD2511" s="77" t="s">
        <v>7788</v>
      </c>
      <c r="AE2511" s="80" t="str">
        <f>HYPERLINK("https://twitter.com/einvestidor/status/1696272295063376296")</f>
        <v>https://twitter.com/einvestidor/status/1696272295063376296</v>
      </c>
      <c r="AF2511" s="79">
        <v>45166.891261574077</v>
      </c>
      <c r="AG2511" s="85">
        <v>45166</v>
      </c>
      <c r="AH2511" s="82" t="s">
        <v>9744</v>
      </c>
      <c r="AI2511" s="77" t="b">
        <v>0</v>
      </c>
      <c r="AJ2511" s="77"/>
      <c r="AK2511" s="77"/>
      <c r="AL2511" s="77"/>
      <c r="AM2511" s="77"/>
      <c r="AN2511" s="77"/>
      <c r="AO2511" s="77"/>
      <c r="AP2511" s="77"/>
      <c r="AQ2511" s="77"/>
      <c r="AR2511" s="77"/>
      <c r="AS2511" s="77"/>
      <c r="AT2511" s="77"/>
      <c r="AU2511" s="77"/>
      <c r="AV2511" s="80" t="str">
        <f>HYPERLINK("https://pbs.twimg.com/profile_images/1241147984924082183/gZgx_hL-_normal.jpg")</f>
        <v>https://pbs.twimg.com/profile_images/1241147984924082183/gZgx_hL-_normal.jpg</v>
      </c>
      <c r="AW2511" s="82" t="s">
        <v>14107</v>
      </c>
      <c r="AX2511" s="82" t="s">
        <v>14107</v>
      </c>
      <c r="AY2511" s="77"/>
      <c r="AZ2511" s="82" t="s">
        <v>15984</v>
      </c>
      <c r="BA2511" s="82" t="s">
        <v>15984</v>
      </c>
      <c r="BB2511" s="82" t="s">
        <v>15984</v>
      </c>
      <c r="BC2511" s="82" t="s">
        <v>14107</v>
      </c>
      <c r="BD2511" s="82" t="s">
        <v>15979</v>
      </c>
      <c r="BE2511" s="77"/>
      <c r="BF2511" s="77"/>
      <c r="BG2511" s="77"/>
      <c r="BH2511" s="77"/>
      <c r="BI2511" s="77"/>
    </row>
    <row r="2512" spans="1:61" x14ac:dyDescent="0.25">
      <c r="A2512" s="62" t="s">
        <v>387</v>
      </c>
      <c r="B2512" s="62" t="s">
        <v>387</v>
      </c>
      <c r="C2512" s="63"/>
      <c r="D2512" s="64"/>
      <c r="E2512" s="65"/>
      <c r="F2512" s="66"/>
      <c r="G2512" s="63"/>
      <c r="H2512" s="67"/>
      <c r="I2512" s="68"/>
      <c r="J2512" s="68"/>
      <c r="K2512" s="32"/>
      <c r="L2512" s="75">
        <v>2512</v>
      </c>
      <c r="M2512" s="75"/>
      <c r="N2512" s="70"/>
      <c r="O2512" s="77" t="s">
        <v>179</v>
      </c>
      <c r="P2512" s="79">
        <v>45134.000011574077</v>
      </c>
      <c r="Q2512" s="77" t="s">
        <v>3184</v>
      </c>
      <c r="R2512" s="77">
        <v>0</v>
      </c>
      <c r="S2512" s="77">
        <v>2</v>
      </c>
      <c r="T2512" s="77">
        <v>0</v>
      </c>
      <c r="U2512" s="77">
        <v>0</v>
      </c>
      <c r="V2512" s="77">
        <v>799</v>
      </c>
      <c r="W2512" s="82" t="s">
        <v>4833</v>
      </c>
      <c r="X2512" s="80" t="str">
        <f>HYPERLINK("https://mla.bs/3b740465")</f>
        <v>https://mla.bs/3b740465</v>
      </c>
      <c r="Y2512" s="77" t="s">
        <v>6506</v>
      </c>
      <c r="Z2512" s="77"/>
      <c r="AA2512" s="77"/>
      <c r="AB2512" s="77"/>
      <c r="AC2512" s="82" t="s">
        <v>7754</v>
      </c>
      <c r="AD2512" s="77" t="s">
        <v>7788</v>
      </c>
      <c r="AE2512" s="80" t="str">
        <f>HYPERLINK("https://twitter.com/einvestidor/status/1684352908790484993")</f>
        <v>https://twitter.com/einvestidor/status/1684352908790484993</v>
      </c>
      <c r="AF2512" s="79">
        <v>45134.000011574077</v>
      </c>
      <c r="AG2512" s="85">
        <v>45134</v>
      </c>
      <c r="AH2512" s="82" t="s">
        <v>7883</v>
      </c>
      <c r="AI2512" s="77" t="b">
        <v>0</v>
      </c>
      <c r="AJ2512" s="77"/>
      <c r="AK2512" s="77"/>
      <c r="AL2512" s="77"/>
      <c r="AM2512" s="77"/>
      <c r="AN2512" s="77"/>
      <c r="AO2512" s="77"/>
      <c r="AP2512" s="77"/>
      <c r="AQ2512" s="77"/>
      <c r="AR2512" s="77"/>
      <c r="AS2512" s="77"/>
      <c r="AT2512" s="77"/>
      <c r="AU2512" s="77"/>
      <c r="AV2512" s="80" t="str">
        <f>HYPERLINK("https://pbs.twimg.com/profile_images/1241147984924082183/gZgx_hL-_normal.jpg")</f>
        <v>https://pbs.twimg.com/profile_images/1241147984924082183/gZgx_hL-_normal.jpg</v>
      </c>
      <c r="AW2512" s="82" t="s">
        <v>14108</v>
      </c>
      <c r="AX2512" s="82" t="s">
        <v>14108</v>
      </c>
      <c r="AY2512" s="77"/>
      <c r="AZ2512" s="82" t="s">
        <v>15984</v>
      </c>
      <c r="BA2512" s="82" t="s">
        <v>15984</v>
      </c>
      <c r="BB2512" s="82" t="s">
        <v>15984</v>
      </c>
      <c r="BC2512" s="82" t="s">
        <v>14108</v>
      </c>
      <c r="BD2512" s="82" t="s">
        <v>15979</v>
      </c>
      <c r="BE2512" s="77"/>
      <c r="BF2512" s="77"/>
      <c r="BG2512" s="77"/>
      <c r="BH2512" s="77"/>
      <c r="BI2512" s="77"/>
    </row>
    <row r="2513" spans="1:61" x14ac:dyDescent="0.25">
      <c r="A2513" s="62" t="s">
        <v>387</v>
      </c>
      <c r="B2513" s="62" t="s">
        <v>387</v>
      </c>
      <c r="C2513" s="63"/>
      <c r="D2513" s="64"/>
      <c r="E2513" s="65"/>
      <c r="F2513" s="66"/>
      <c r="G2513" s="63"/>
      <c r="H2513" s="67"/>
      <c r="I2513" s="68"/>
      <c r="J2513" s="68"/>
      <c r="K2513" s="32"/>
      <c r="L2513" s="75">
        <v>2513</v>
      </c>
      <c r="M2513" s="75"/>
      <c r="N2513" s="70"/>
      <c r="O2513" s="77" t="s">
        <v>179</v>
      </c>
      <c r="P2513" s="79">
        <v>45133.989583333336</v>
      </c>
      <c r="Q2513" s="77" t="s">
        <v>3185</v>
      </c>
      <c r="R2513" s="77">
        <v>0</v>
      </c>
      <c r="S2513" s="77">
        <v>2</v>
      </c>
      <c r="T2513" s="77">
        <v>0</v>
      </c>
      <c r="U2513" s="77">
        <v>0</v>
      </c>
      <c r="V2513" s="77">
        <v>820</v>
      </c>
      <c r="W2513" s="82" t="s">
        <v>4833</v>
      </c>
      <c r="X2513" s="80" t="str">
        <f>HYPERLINK("https://mla.bs/cea90d56")</f>
        <v>https://mla.bs/cea90d56</v>
      </c>
      <c r="Y2513" s="77" t="s">
        <v>6506</v>
      </c>
      <c r="Z2513" s="77"/>
      <c r="AA2513" s="77"/>
      <c r="AB2513" s="77"/>
      <c r="AC2513" s="82" t="s">
        <v>7754</v>
      </c>
      <c r="AD2513" s="77" t="s">
        <v>7788</v>
      </c>
      <c r="AE2513" s="80" t="str">
        <f>HYPERLINK("https://twitter.com/einvestidor/status/1684349126962470912")</f>
        <v>https://twitter.com/einvestidor/status/1684349126962470912</v>
      </c>
      <c r="AF2513" s="79">
        <v>45133.989583333336</v>
      </c>
      <c r="AG2513" s="85">
        <v>45133</v>
      </c>
      <c r="AH2513" s="82" t="s">
        <v>9620</v>
      </c>
      <c r="AI2513" s="77" t="b">
        <v>0</v>
      </c>
      <c r="AJ2513" s="77"/>
      <c r="AK2513" s="77"/>
      <c r="AL2513" s="77"/>
      <c r="AM2513" s="77"/>
      <c r="AN2513" s="77"/>
      <c r="AO2513" s="77"/>
      <c r="AP2513" s="77"/>
      <c r="AQ2513" s="77"/>
      <c r="AR2513" s="77"/>
      <c r="AS2513" s="77"/>
      <c r="AT2513" s="77"/>
      <c r="AU2513" s="77"/>
      <c r="AV2513" s="80" t="str">
        <f>HYPERLINK("https://pbs.twimg.com/profile_images/1241147984924082183/gZgx_hL-_normal.jpg")</f>
        <v>https://pbs.twimg.com/profile_images/1241147984924082183/gZgx_hL-_normal.jpg</v>
      </c>
      <c r="AW2513" s="82" t="s">
        <v>14109</v>
      </c>
      <c r="AX2513" s="82" t="s">
        <v>14109</v>
      </c>
      <c r="AY2513" s="77"/>
      <c r="AZ2513" s="82" t="s">
        <v>15984</v>
      </c>
      <c r="BA2513" s="82" t="s">
        <v>15984</v>
      </c>
      <c r="BB2513" s="82" t="s">
        <v>15984</v>
      </c>
      <c r="BC2513" s="82" t="s">
        <v>14109</v>
      </c>
      <c r="BD2513" s="82" t="s">
        <v>15979</v>
      </c>
      <c r="BE2513" s="77"/>
      <c r="BF2513" s="77"/>
      <c r="BG2513" s="77"/>
      <c r="BH2513" s="77"/>
      <c r="BI2513" s="77"/>
    </row>
    <row r="2514" spans="1:61" x14ac:dyDescent="0.25">
      <c r="A2514" s="62" t="s">
        <v>387</v>
      </c>
      <c r="B2514" s="62" t="s">
        <v>387</v>
      </c>
      <c r="C2514" s="63"/>
      <c r="D2514" s="64"/>
      <c r="E2514" s="65"/>
      <c r="F2514" s="66"/>
      <c r="G2514" s="63"/>
      <c r="H2514" s="67"/>
      <c r="I2514" s="68"/>
      <c r="J2514" s="68"/>
      <c r="K2514" s="32"/>
      <c r="L2514" s="75">
        <v>2514</v>
      </c>
      <c r="M2514" s="75"/>
      <c r="N2514" s="70"/>
      <c r="O2514" s="77" t="s">
        <v>179</v>
      </c>
      <c r="P2514" s="79">
        <v>45133.979166666664</v>
      </c>
      <c r="Q2514" s="77" t="s">
        <v>3186</v>
      </c>
      <c r="R2514" s="77">
        <v>0</v>
      </c>
      <c r="S2514" s="77">
        <v>2</v>
      </c>
      <c r="T2514" s="77">
        <v>0</v>
      </c>
      <c r="U2514" s="77">
        <v>0</v>
      </c>
      <c r="V2514" s="77">
        <v>678</v>
      </c>
      <c r="W2514" s="82" t="s">
        <v>4833</v>
      </c>
      <c r="X2514" s="80" t="str">
        <f>HYPERLINK("https://mla.bs/a9f6832f")</f>
        <v>https://mla.bs/a9f6832f</v>
      </c>
      <c r="Y2514" s="77" t="s">
        <v>6506</v>
      </c>
      <c r="Z2514" s="77"/>
      <c r="AA2514" s="77"/>
      <c r="AB2514" s="77"/>
      <c r="AC2514" s="82" t="s">
        <v>7754</v>
      </c>
      <c r="AD2514" s="77" t="s">
        <v>7788</v>
      </c>
      <c r="AE2514" s="80" t="str">
        <f>HYPERLINK("https://twitter.com/einvestidor/status/1684345352026218498")</f>
        <v>https://twitter.com/einvestidor/status/1684345352026218498</v>
      </c>
      <c r="AF2514" s="79">
        <v>45133.979166666664</v>
      </c>
      <c r="AG2514" s="85">
        <v>45133</v>
      </c>
      <c r="AH2514" s="82" t="s">
        <v>7928</v>
      </c>
      <c r="AI2514" s="77" t="b">
        <v>0</v>
      </c>
      <c r="AJ2514" s="77"/>
      <c r="AK2514" s="77"/>
      <c r="AL2514" s="77"/>
      <c r="AM2514" s="77"/>
      <c r="AN2514" s="77"/>
      <c r="AO2514" s="77"/>
      <c r="AP2514" s="77"/>
      <c r="AQ2514" s="77"/>
      <c r="AR2514" s="77"/>
      <c r="AS2514" s="77"/>
      <c r="AT2514" s="77"/>
      <c r="AU2514" s="77"/>
      <c r="AV2514" s="80" t="str">
        <f>HYPERLINK("https://pbs.twimg.com/profile_images/1241147984924082183/gZgx_hL-_normal.jpg")</f>
        <v>https://pbs.twimg.com/profile_images/1241147984924082183/gZgx_hL-_normal.jpg</v>
      </c>
      <c r="AW2514" s="82" t="s">
        <v>14110</v>
      </c>
      <c r="AX2514" s="82" t="s">
        <v>14110</v>
      </c>
      <c r="AY2514" s="77"/>
      <c r="AZ2514" s="82" t="s">
        <v>15984</v>
      </c>
      <c r="BA2514" s="82" t="s">
        <v>15984</v>
      </c>
      <c r="BB2514" s="82" t="s">
        <v>15984</v>
      </c>
      <c r="BC2514" s="82" t="s">
        <v>14110</v>
      </c>
      <c r="BD2514" s="82" t="s">
        <v>15979</v>
      </c>
      <c r="BE2514" s="77"/>
      <c r="BF2514" s="77"/>
      <c r="BG2514" s="77"/>
      <c r="BH2514" s="77"/>
      <c r="BI2514" s="77"/>
    </row>
    <row r="2515" spans="1:61" x14ac:dyDescent="0.25">
      <c r="A2515" s="62" t="s">
        <v>387</v>
      </c>
      <c r="B2515" s="62" t="s">
        <v>387</v>
      </c>
      <c r="C2515" s="63"/>
      <c r="D2515" s="64"/>
      <c r="E2515" s="65"/>
      <c r="F2515" s="66"/>
      <c r="G2515" s="63"/>
      <c r="H2515" s="67"/>
      <c r="I2515" s="68"/>
      <c r="J2515" s="68"/>
      <c r="K2515" s="32"/>
      <c r="L2515" s="75">
        <v>2515</v>
      </c>
      <c r="M2515" s="75"/>
      <c r="N2515" s="70"/>
      <c r="O2515" s="77" t="s">
        <v>179</v>
      </c>
      <c r="P2515" s="79">
        <v>45133.96875</v>
      </c>
      <c r="Q2515" s="77" t="s">
        <v>3187</v>
      </c>
      <c r="R2515" s="77">
        <v>2</v>
      </c>
      <c r="S2515" s="77">
        <v>5</v>
      </c>
      <c r="T2515" s="77">
        <v>0</v>
      </c>
      <c r="U2515" s="77">
        <v>0</v>
      </c>
      <c r="V2515" s="77">
        <v>882</v>
      </c>
      <c r="W2515" s="82" t="s">
        <v>4833</v>
      </c>
      <c r="X2515" s="80" t="str">
        <f>HYPERLINK("https://mla.bs/499b50ce")</f>
        <v>https://mla.bs/499b50ce</v>
      </c>
      <c r="Y2515" s="77" t="s">
        <v>6506</v>
      </c>
      <c r="Z2515" s="77"/>
      <c r="AA2515" s="77"/>
      <c r="AB2515" s="77"/>
      <c r="AC2515" s="82" t="s">
        <v>7754</v>
      </c>
      <c r="AD2515" s="77" t="s">
        <v>7788</v>
      </c>
      <c r="AE2515" s="80" t="str">
        <f>HYPERLINK("https://twitter.com/einvestidor/status/1684341577249075200")</f>
        <v>https://twitter.com/einvestidor/status/1684341577249075200</v>
      </c>
      <c r="AF2515" s="79">
        <v>45133.96875</v>
      </c>
      <c r="AG2515" s="85">
        <v>45133</v>
      </c>
      <c r="AH2515" s="82" t="s">
        <v>9621</v>
      </c>
      <c r="AI2515" s="77" t="b">
        <v>0</v>
      </c>
      <c r="AJ2515" s="77"/>
      <c r="AK2515" s="77"/>
      <c r="AL2515" s="77"/>
      <c r="AM2515" s="77"/>
      <c r="AN2515" s="77"/>
      <c r="AO2515" s="77"/>
      <c r="AP2515" s="77"/>
      <c r="AQ2515" s="77"/>
      <c r="AR2515" s="77"/>
      <c r="AS2515" s="77"/>
      <c r="AT2515" s="77"/>
      <c r="AU2515" s="77"/>
      <c r="AV2515" s="80" t="str">
        <f>HYPERLINK("https://pbs.twimg.com/profile_images/1241147984924082183/gZgx_hL-_normal.jpg")</f>
        <v>https://pbs.twimg.com/profile_images/1241147984924082183/gZgx_hL-_normal.jpg</v>
      </c>
      <c r="AW2515" s="82" t="s">
        <v>14111</v>
      </c>
      <c r="AX2515" s="82" t="s">
        <v>14111</v>
      </c>
      <c r="AY2515" s="77"/>
      <c r="AZ2515" s="82" t="s">
        <v>15984</v>
      </c>
      <c r="BA2515" s="82" t="s">
        <v>15984</v>
      </c>
      <c r="BB2515" s="82" t="s">
        <v>15984</v>
      </c>
      <c r="BC2515" s="82" t="s">
        <v>14111</v>
      </c>
      <c r="BD2515" s="82" t="s">
        <v>15979</v>
      </c>
      <c r="BE2515" s="77"/>
      <c r="BF2515" s="77"/>
      <c r="BG2515" s="77"/>
      <c r="BH2515" s="77"/>
      <c r="BI2515" s="77"/>
    </row>
    <row r="2516" spans="1:61" x14ac:dyDescent="0.25">
      <c r="A2516" s="62" t="s">
        <v>387</v>
      </c>
      <c r="B2516" s="62" t="s">
        <v>387</v>
      </c>
      <c r="C2516" s="63"/>
      <c r="D2516" s="64"/>
      <c r="E2516" s="65"/>
      <c r="F2516" s="66"/>
      <c r="G2516" s="63"/>
      <c r="H2516" s="67"/>
      <c r="I2516" s="68"/>
      <c r="J2516" s="68"/>
      <c r="K2516" s="32"/>
      <c r="L2516" s="75">
        <v>2516</v>
      </c>
      <c r="M2516" s="75"/>
      <c r="N2516" s="70"/>
      <c r="O2516" s="77" t="s">
        <v>179</v>
      </c>
      <c r="P2516" s="79">
        <v>45126.449293981481</v>
      </c>
      <c r="Q2516" s="77" t="s">
        <v>3188</v>
      </c>
      <c r="R2516" s="77">
        <v>0</v>
      </c>
      <c r="S2516" s="77">
        <v>2</v>
      </c>
      <c r="T2516" s="77">
        <v>0</v>
      </c>
      <c r="U2516" s="77">
        <v>0</v>
      </c>
      <c r="V2516" s="77">
        <v>745</v>
      </c>
      <c r="W2516" s="82" t="s">
        <v>6028</v>
      </c>
      <c r="X2516" s="80" t="str">
        <f>HYPERLINK("https://mla.bs/f0a29cce")</f>
        <v>https://mla.bs/f0a29cce</v>
      </c>
      <c r="Y2516" s="77" t="s">
        <v>6506</v>
      </c>
      <c r="Z2516" s="77"/>
      <c r="AA2516" s="77"/>
      <c r="AB2516" s="77"/>
      <c r="AC2516" s="82" t="s">
        <v>7754</v>
      </c>
      <c r="AD2516" s="77" t="s">
        <v>7788</v>
      </c>
      <c r="AE2516" s="80" t="str">
        <f>HYPERLINK("https://twitter.com/einvestidor/status/1681616620366487552")</f>
        <v>https://twitter.com/einvestidor/status/1681616620366487552</v>
      </c>
      <c r="AF2516" s="79">
        <v>45126.449293981481</v>
      </c>
      <c r="AG2516" s="85">
        <v>45126</v>
      </c>
      <c r="AH2516" s="82" t="s">
        <v>9745</v>
      </c>
      <c r="AI2516" s="77" t="b">
        <v>0</v>
      </c>
      <c r="AJ2516" s="77"/>
      <c r="AK2516" s="77"/>
      <c r="AL2516" s="77"/>
      <c r="AM2516" s="77"/>
      <c r="AN2516" s="77"/>
      <c r="AO2516" s="77"/>
      <c r="AP2516" s="77"/>
      <c r="AQ2516" s="77"/>
      <c r="AR2516" s="77"/>
      <c r="AS2516" s="77"/>
      <c r="AT2516" s="77"/>
      <c r="AU2516" s="77"/>
      <c r="AV2516" s="80" t="str">
        <f>HYPERLINK("https://pbs.twimg.com/profile_images/1241147984924082183/gZgx_hL-_normal.jpg")</f>
        <v>https://pbs.twimg.com/profile_images/1241147984924082183/gZgx_hL-_normal.jpg</v>
      </c>
      <c r="AW2516" s="82" t="s">
        <v>14112</v>
      </c>
      <c r="AX2516" s="82" t="s">
        <v>14112</v>
      </c>
      <c r="AY2516" s="77"/>
      <c r="AZ2516" s="82" t="s">
        <v>15984</v>
      </c>
      <c r="BA2516" s="82" t="s">
        <v>15984</v>
      </c>
      <c r="BB2516" s="82" t="s">
        <v>15984</v>
      </c>
      <c r="BC2516" s="82" t="s">
        <v>14112</v>
      </c>
      <c r="BD2516" s="82" t="s">
        <v>15979</v>
      </c>
      <c r="BE2516" s="77"/>
      <c r="BF2516" s="77"/>
      <c r="BG2516" s="77"/>
      <c r="BH2516" s="77"/>
      <c r="BI2516" s="77"/>
    </row>
    <row r="2517" spans="1:61" x14ac:dyDescent="0.25">
      <c r="A2517" s="62" t="s">
        <v>387</v>
      </c>
      <c r="B2517" s="62" t="s">
        <v>387</v>
      </c>
      <c r="C2517" s="63"/>
      <c r="D2517" s="64"/>
      <c r="E2517" s="65"/>
      <c r="F2517" s="66"/>
      <c r="G2517" s="63"/>
      <c r="H2517" s="67"/>
      <c r="I2517" s="68"/>
      <c r="J2517" s="68"/>
      <c r="K2517" s="32"/>
      <c r="L2517" s="75">
        <v>2517</v>
      </c>
      <c r="M2517" s="75"/>
      <c r="N2517" s="70"/>
      <c r="O2517" s="77" t="s">
        <v>179</v>
      </c>
      <c r="P2517" s="79">
        <v>45181.84375</v>
      </c>
      <c r="Q2517" s="77" t="s">
        <v>3189</v>
      </c>
      <c r="R2517" s="77">
        <v>0</v>
      </c>
      <c r="S2517" s="77">
        <v>1</v>
      </c>
      <c r="T2517" s="77">
        <v>0</v>
      </c>
      <c r="U2517" s="77">
        <v>0</v>
      </c>
      <c r="V2517" s="77">
        <v>396</v>
      </c>
      <c r="W2517" s="82" t="s">
        <v>6029</v>
      </c>
      <c r="X2517" s="80" t="str">
        <f>HYPERLINK("https://einvestidor.estadao.com.br/ultimas/gestora-registro-sec-fundo-bitcoin//?utm_source=twitter&amp;utm_medium=organic&amp;utm_campaign=&amp;utm_content=materia")</f>
        <v>https://einvestidor.estadao.com.br/ultimas/gestora-registro-sec-fundo-bitcoin//?utm_source=twitter&amp;utm_medium=organic&amp;utm_campaign=&amp;utm_content=materia</v>
      </c>
      <c r="Y2517" s="77" t="s">
        <v>6470</v>
      </c>
      <c r="Z2517" s="77"/>
      <c r="AA2517" s="77"/>
      <c r="AB2517" s="77"/>
      <c r="AC2517" s="82" t="s">
        <v>7750</v>
      </c>
      <c r="AD2517" s="77" t="s">
        <v>7788</v>
      </c>
      <c r="AE2517" s="80" t="str">
        <f>HYPERLINK("https://twitter.com/einvestidor/status/1701690896087949534")</f>
        <v>https://twitter.com/einvestidor/status/1701690896087949534</v>
      </c>
      <c r="AF2517" s="79">
        <v>45181.84375</v>
      </c>
      <c r="AG2517" s="85">
        <v>45181</v>
      </c>
      <c r="AH2517" s="82" t="s">
        <v>9296</v>
      </c>
      <c r="AI2517" s="77" t="b">
        <v>0</v>
      </c>
      <c r="AJ2517" s="77"/>
      <c r="AK2517" s="77"/>
      <c r="AL2517" s="77"/>
      <c r="AM2517" s="77"/>
      <c r="AN2517" s="77"/>
      <c r="AO2517" s="77"/>
      <c r="AP2517" s="77"/>
      <c r="AQ2517" s="77"/>
      <c r="AR2517" s="77"/>
      <c r="AS2517" s="77"/>
      <c r="AT2517" s="77"/>
      <c r="AU2517" s="77"/>
      <c r="AV2517" s="80" t="str">
        <f>HYPERLINK("https://pbs.twimg.com/profile_images/1241147984924082183/gZgx_hL-_normal.jpg")</f>
        <v>https://pbs.twimg.com/profile_images/1241147984924082183/gZgx_hL-_normal.jpg</v>
      </c>
      <c r="AW2517" s="82" t="s">
        <v>14113</v>
      </c>
      <c r="AX2517" s="82" t="s">
        <v>14113</v>
      </c>
      <c r="AY2517" s="77"/>
      <c r="AZ2517" s="82" t="s">
        <v>15984</v>
      </c>
      <c r="BA2517" s="82" t="s">
        <v>15984</v>
      </c>
      <c r="BB2517" s="82" t="s">
        <v>15984</v>
      </c>
      <c r="BC2517" s="82" t="s">
        <v>14113</v>
      </c>
      <c r="BD2517" s="82" t="s">
        <v>15979</v>
      </c>
      <c r="BE2517" s="77"/>
      <c r="BF2517" s="77"/>
      <c r="BG2517" s="77"/>
      <c r="BH2517" s="77"/>
      <c r="BI2517" s="77"/>
    </row>
    <row r="2518" spans="1:61" x14ac:dyDescent="0.25">
      <c r="A2518" s="62" t="s">
        <v>387</v>
      </c>
      <c r="B2518" s="62" t="s">
        <v>387</v>
      </c>
      <c r="C2518" s="63"/>
      <c r="D2518" s="64"/>
      <c r="E2518" s="65"/>
      <c r="F2518" s="66"/>
      <c r="G2518" s="63"/>
      <c r="H2518" s="67"/>
      <c r="I2518" s="68"/>
      <c r="J2518" s="68"/>
      <c r="K2518" s="32"/>
      <c r="L2518" s="75">
        <v>2518</v>
      </c>
      <c r="M2518" s="75"/>
      <c r="N2518" s="70"/>
      <c r="O2518" s="77" t="s">
        <v>179</v>
      </c>
      <c r="P2518" s="79">
        <v>45177.721932870372</v>
      </c>
      <c r="Q2518" s="77" t="s">
        <v>3190</v>
      </c>
      <c r="R2518" s="77">
        <v>0</v>
      </c>
      <c r="S2518" s="77">
        <v>1</v>
      </c>
      <c r="T2518" s="77">
        <v>0</v>
      </c>
      <c r="U2518" s="77">
        <v>0</v>
      </c>
      <c r="V2518" s="77">
        <v>509</v>
      </c>
      <c r="W2518" s="82" t="s">
        <v>5189</v>
      </c>
      <c r="X2518" s="80" t="str">
        <f>HYPERLINK("https://einvestidor.estadao.com.br/colunas/carol-paiffer/cnpj-investimento-como-proteger-caixa/?utm_source=twitter&amp;utm_medium=organic&amp;utm_campaign=&amp;utm_content=materia")</f>
        <v>https://einvestidor.estadao.com.br/colunas/carol-paiffer/cnpj-investimento-como-proteger-caixa/?utm_source=twitter&amp;utm_medium=organic&amp;utm_campaign=&amp;utm_content=materia</v>
      </c>
      <c r="Y2518" s="77" t="s">
        <v>6470</v>
      </c>
      <c r="Z2518" s="77"/>
      <c r="AA2518" s="77"/>
      <c r="AB2518" s="77"/>
      <c r="AC2518" s="82" t="s">
        <v>7750</v>
      </c>
      <c r="AD2518" s="77" t="s">
        <v>7788</v>
      </c>
      <c r="AE2518" s="80" t="str">
        <f>HYPERLINK("https://twitter.com/einvestidor/status/1700197202537132279")</f>
        <v>https://twitter.com/einvestidor/status/1700197202537132279</v>
      </c>
      <c r="AF2518" s="79">
        <v>45177.721932870372</v>
      </c>
      <c r="AG2518" s="85">
        <v>45177</v>
      </c>
      <c r="AH2518" s="82" t="s">
        <v>9746</v>
      </c>
      <c r="AI2518" s="77" t="b">
        <v>0</v>
      </c>
      <c r="AJ2518" s="77"/>
      <c r="AK2518" s="77"/>
      <c r="AL2518" s="77"/>
      <c r="AM2518" s="77"/>
      <c r="AN2518" s="77"/>
      <c r="AO2518" s="77"/>
      <c r="AP2518" s="77"/>
      <c r="AQ2518" s="77"/>
      <c r="AR2518" s="77"/>
      <c r="AS2518" s="77"/>
      <c r="AT2518" s="77"/>
      <c r="AU2518" s="77"/>
      <c r="AV2518" s="80" t="str">
        <f>HYPERLINK("https://pbs.twimg.com/profile_images/1241147984924082183/gZgx_hL-_normal.jpg")</f>
        <v>https://pbs.twimg.com/profile_images/1241147984924082183/gZgx_hL-_normal.jpg</v>
      </c>
      <c r="AW2518" s="82" t="s">
        <v>14114</v>
      </c>
      <c r="AX2518" s="82" t="s">
        <v>14114</v>
      </c>
      <c r="AY2518" s="77"/>
      <c r="AZ2518" s="82" t="s">
        <v>15984</v>
      </c>
      <c r="BA2518" s="82" t="s">
        <v>15984</v>
      </c>
      <c r="BB2518" s="82" t="s">
        <v>15984</v>
      </c>
      <c r="BC2518" s="82" t="s">
        <v>14114</v>
      </c>
      <c r="BD2518" s="82" t="s">
        <v>15979</v>
      </c>
      <c r="BE2518" s="77"/>
      <c r="BF2518" s="77"/>
      <c r="BG2518" s="77"/>
      <c r="BH2518" s="77"/>
      <c r="BI2518" s="77"/>
    </row>
    <row r="2519" spans="1:61" x14ac:dyDescent="0.25">
      <c r="A2519" s="62" t="s">
        <v>387</v>
      </c>
      <c r="B2519" s="62" t="s">
        <v>387</v>
      </c>
      <c r="C2519" s="63"/>
      <c r="D2519" s="64"/>
      <c r="E2519" s="65"/>
      <c r="F2519" s="66"/>
      <c r="G2519" s="63"/>
      <c r="H2519" s="67"/>
      <c r="I2519" s="68"/>
      <c r="J2519" s="68"/>
      <c r="K2519" s="32"/>
      <c r="L2519" s="75">
        <v>2519</v>
      </c>
      <c r="M2519" s="75"/>
      <c r="N2519" s="70"/>
      <c r="O2519" s="77" t="s">
        <v>179</v>
      </c>
      <c r="P2519" s="79">
        <v>45175.822916666664</v>
      </c>
      <c r="Q2519" s="77" t="s">
        <v>3191</v>
      </c>
      <c r="R2519" s="77">
        <v>1</v>
      </c>
      <c r="S2519" s="77">
        <v>1</v>
      </c>
      <c r="T2519" s="77">
        <v>0</v>
      </c>
      <c r="U2519" s="77">
        <v>0</v>
      </c>
      <c r="V2519" s="77">
        <v>421</v>
      </c>
      <c r="W2519" s="82" t="s">
        <v>4833</v>
      </c>
      <c r="X2519" s="80" t="str">
        <f>HYPERLINK("https://einvestidor.estadao.com.br/ultimas/mobly-mbly3-queda-posicionamento-fusao-tok-stok/?utm_source=twitter&amp;utm_medium=organic&amp;utm_campaign=&amp;utm_content=materia")</f>
        <v>https://einvestidor.estadao.com.br/ultimas/mobly-mbly3-queda-posicionamento-fusao-tok-stok/?utm_source=twitter&amp;utm_medium=organic&amp;utm_campaign=&amp;utm_content=materia</v>
      </c>
      <c r="Y2519" s="77" t="s">
        <v>6470</v>
      </c>
      <c r="Z2519" s="77"/>
      <c r="AA2519" s="77"/>
      <c r="AB2519" s="77"/>
      <c r="AC2519" s="82" t="s">
        <v>7750</v>
      </c>
      <c r="AD2519" s="77" t="s">
        <v>7788</v>
      </c>
      <c r="AE2519" s="80" t="str">
        <f>HYPERLINK("https://twitter.com/einvestidor/status/1699509019508134170")</f>
        <v>https://twitter.com/einvestidor/status/1699509019508134170</v>
      </c>
      <c r="AF2519" s="79">
        <v>45175.822916666664</v>
      </c>
      <c r="AG2519" s="85">
        <v>45175</v>
      </c>
      <c r="AH2519" s="82" t="s">
        <v>9579</v>
      </c>
      <c r="AI2519" s="77" t="b">
        <v>0</v>
      </c>
      <c r="AJ2519" s="77"/>
      <c r="AK2519" s="77"/>
      <c r="AL2519" s="77"/>
      <c r="AM2519" s="77"/>
      <c r="AN2519" s="77"/>
      <c r="AO2519" s="77"/>
      <c r="AP2519" s="77"/>
      <c r="AQ2519" s="77"/>
      <c r="AR2519" s="77"/>
      <c r="AS2519" s="77"/>
      <c r="AT2519" s="77"/>
      <c r="AU2519" s="77"/>
      <c r="AV2519" s="80" t="str">
        <f>HYPERLINK("https://pbs.twimg.com/profile_images/1241147984924082183/gZgx_hL-_normal.jpg")</f>
        <v>https://pbs.twimg.com/profile_images/1241147984924082183/gZgx_hL-_normal.jpg</v>
      </c>
      <c r="AW2519" s="82" t="s">
        <v>14115</v>
      </c>
      <c r="AX2519" s="82" t="s">
        <v>14115</v>
      </c>
      <c r="AY2519" s="77"/>
      <c r="AZ2519" s="82" t="s">
        <v>15984</v>
      </c>
      <c r="BA2519" s="82" t="s">
        <v>15984</v>
      </c>
      <c r="BB2519" s="82" t="s">
        <v>15984</v>
      </c>
      <c r="BC2519" s="82" t="s">
        <v>14115</v>
      </c>
      <c r="BD2519" s="82" t="s">
        <v>15979</v>
      </c>
      <c r="BE2519" s="77"/>
      <c r="BF2519" s="77"/>
      <c r="BG2519" s="77"/>
      <c r="BH2519" s="77"/>
      <c r="BI2519" s="77"/>
    </row>
    <row r="2520" spans="1:61" x14ac:dyDescent="0.25">
      <c r="A2520" s="62" t="s">
        <v>387</v>
      </c>
      <c r="B2520" s="62" t="s">
        <v>387</v>
      </c>
      <c r="C2520" s="63"/>
      <c r="D2520" s="64"/>
      <c r="E2520" s="65"/>
      <c r="F2520" s="66"/>
      <c r="G2520" s="63"/>
      <c r="H2520" s="67"/>
      <c r="I2520" s="68"/>
      <c r="J2520" s="68"/>
      <c r="K2520" s="32"/>
      <c r="L2520" s="75">
        <v>2520</v>
      </c>
      <c r="M2520" s="75"/>
      <c r="N2520" s="70"/>
      <c r="O2520" s="77" t="s">
        <v>179</v>
      </c>
      <c r="P2520" s="79">
        <v>45175.791666666664</v>
      </c>
      <c r="Q2520" s="77" t="s">
        <v>3192</v>
      </c>
      <c r="R2520" s="77">
        <v>1</v>
      </c>
      <c r="S2520" s="77">
        <v>1</v>
      </c>
      <c r="T2520" s="77">
        <v>0</v>
      </c>
      <c r="U2520" s="77">
        <v>0</v>
      </c>
      <c r="V2520" s="77">
        <v>388</v>
      </c>
      <c r="W2520" s="82" t="s">
        <v>4833</v>
      </c>
      <c r="X2520" s="80" t="str">
        <f>HYPERLINK("https://einvestidor.estadao.com.br/colunas/luis-claudio-agora-investimentos/tipos-de-investimentos-renda-mensal/?utm_source=twitter&amp;utm_medium=organic&amp;utm_campaign=&amp;utm_content=materia")</f>
        <v>https://einvestidor.estadao.com.br/colunas/luis-claudio-agora-investimentos/tipos-de-investimentos-renda-mensal/?utm_source=twitter&amp;utm_medium=organic&amp;utm_campaign=&amp;utm_content=materia</v>
      </c>
      <c r="Y2520" s="77" t="s">
        <v>6470</v>
      </c>
      <c r="Z2520" s="77"/>
      <c r="AA2520" s="77"/>
      <c r="AB2520" s="77"/>
      <c r="AC2520" s="82" t="s">
        <v>7750</v>
      </c>
      <c r="AD2520" s="77" t="s">
        <v>7788</v>
      </c>
      <c r="AE2520" s="80" t="str">
        <f>HYPERLINK("https://twitter.com/einvestidor/status/1699497695860383796")</f>
        <v>https://twitter.com/einvestidor/status/1699497695860383796</v>
      </c>
      <c r="AF2520" s="79">
        <v>45175.791666666664</v>
      </c>
      <c r="AG2520" s="85">
        <v>45175</v>
      </c>
      <c r="AH2520" s="82" t="s">
        <v>9299</v>
      </c>
      <c r="AI2520" s="77" t="b">
        <v>0</v>
      </c>
      <c r="AJ2520" s="77"/>
      <c r="AK2520" s="77"/>
      <c r="AL2520" s="77"/>
      <c r="AM2520" s="77"/>
      <c r="AN2520" s="77"/>
      <c r="AO2520" s="77"/>
      <c r="AP2520" s="77"/>
      <c r="AQ2520" s="77"/>
      <c r="AR2520" s="77"/>
      <c r="AS2520" s="77"/>
      <c r="AT2520" s="77"/>
      <c r="AU2520" s="77"/>
      <c r="AV2520" s="80" t="str">
        <f>HYPERLINK("https://pbs.twimg.com/profile_images/1241147984924082183/gZgx_hL-_normal.jpg")</f>
        <v>https://pbs.twimg.com/profile_images/1241147984924082183/gZgx_hL-_normal.jpg</v>
      </c>
      <c r="AW2520" s="82" t="s">
        <v>14116</v>
      </c>
      <c r="AX2520" s="82" t="s">
        <v>14116</v>
      </c>
      <c r="AY2520" s="77"/>
      <c r="AZ2520" s="82" t="s">
        <v>15984</v>
      </c>
      <c r="BA2520" s="82" t="s">
        <v>15984</v>
      </c>
      <c r="BB2520" s="82" t="s">
        <v>15984</v>
      </c>
      <c r="BC2520" s="82" t="s">
        <v>14116</v>
      </c>
      <c r="BD2520" s="82" t="s">
        <v>15979</v>
      </c>
      <c r="BE2520" s="77"/>
      <c r="BF2520" s="77"/>
      <c r="BG2520" s="77"/>
      <c r="BH2520" s="77"/>
      <c r="BI2520" s="77"/>
    </row>
    <row r="2521" spans="1:61" x14ac:dyDescent="0.25">
      <c r="A2521" s="62" t="s">
        <v>387</v>
      </c>
      <c r="B2521" s="62" t="s">
        <v>387</v>
      </c>
      <c r="C2521" s="63"/>
      <c r="D2521" s="64"/>
      <c r="E2521" s="65"/>
      <c r="F2521" s="66"/>
      <c r="G2521" s="63"/>
      <c r="H2521" s="67"/>
      <c r="I2521" s="68"/>
      <c r="J2521" s="68"/>
      <c r="K2521" s="32"/>
      <c r="L2521" s="75">
        <v>2521</v>
      </c>
      <c r="M2521" s="75"/>
      <c r="N2521" s="70"/>
      <c r="O2521" s="77" t="s">
        <v>179</v>
      </c>
      <c r="P2521" s="79">
        <v>45175.78125</v>
      </c>
      <c r="Q2521" s="77" t="s">
        <v>3193</v>
      </c>
      <c r="R2521" s="77">
        <v>0</v>
      </c>
      <c r="S2521" s="77">
        <v>1</v>
      </c>
      <c r="T2521" s="77">
        <v>0</v>
      </c>
      <c r="U2521" s="77">
        <v>0</v>
      </c>
      <c r="V2521" s="77">
        <v>538</v>
      </c>
      <c r="W2521" s="82" t="s">
        <v>4833</v>
      </c>
      <c r="X2521" s="80" t="str">
        <f>HYPERLINK("https://einvestidor.estadao.com.br/radar-einvestidor/xp-recomendacao-acoes-taesa-taee11//?utm_source=twitter&amp;utm_medium=organic&amp;utm_campaign=&amp;utm_content=materia")</f>
        <v>https://einvestidor.estadao.com.br/radar-einvestidor/xp-recomendacao-acoes-taesa-taee11//?utm_source=twitter&amp;utm_medium=organic&amp;utm_campaign=&amp;utm_content=materia</v>
      </c>
      <c r="Y2521" s="77" t="s">
        <v>6470</v>
      </c>
      <c r="Z2521" s="77"/>
      <c r="AA2521" s="77"/>
      <c r="AB2521" s="77"/>
      <c r="AC2521" s="82" t="s">
        <v>7750</v>
      </c>
      <c r="AD2521" s="77" t="s">
        <v>7788</v>
      </c>
      <c r="AE2521" s="80" t="str">
        <f>HYPERLINK("https://twitter.com/einvestidor/status/1699493920185671888")</f>
        <v>https://twitter.com/einvestidor/status/1699493920185671888</v>
      </c>
      <c r="AF2521" s="79">
        <v>45175.78125</v>
      </c>
      <c r="AG2521" s="85">
        <v>45175</v>
      </c>
      <c r="AH2521" s="82" t="s">
        <v>9581</v>
      </c>
      <c r="AI2521" s="77" t="b">
        <v>0</v>
      </c>
      <c r="AJ2521" s="77"/>
      <c r="AK2521" s="77"/>
      <c r="AL2521" s="77"/>
      <c r="AM2521" s="77"/>
      <c r="AN2521" s="77"/>
      <c r="AO2521" s="77"/>
      <c r="AP2521" s="77"/>
      <c r="AQ2521" s="77"/>
      <c r="AR2521" s="77"/>
      <c r="AS2521" s="77"/>
      <c r="AT2521" s="77"/>
      <c r="AU2521" s="77"/>
      <c r="AV2521" s="80" t="str">
        <f>HYPERLINK("https://pbs.twimg.com/profile_images/1241147984924082183/gZgx_hL-_normal.jpg")</f>
        <v>https://pbs.twimg.com/profile_images/1241147984924082183/gZgx_hL-_normal.jpg</v>
      </c>
      <c r="AW2521" s="82" t="s">
        <v>14117</v>
      </c>
      <c r="AX2521" s="82" t="s">
        <v>14117</v>
      </c>
      <c r="AY2521" s="77"/>
      <c r="AZ2521" s="82" t="s">
        <v>15984</v>
      </c>
      <c r="BA2521" s="82" t="s">
        <v>15984</v>
      </c>
      <c r="BB2521" s="82" t="s">
        <v>15984</v>
      </c>
      <c r="BC2521" s="82" t="s">
        <v>14117</v>
      </c>
      <c r="BD2521" s="82" t="s">
        <v>15979</v>
      </c>
      <c r="BE2521" s="77"/>
      <c r="BF2521" s="77"/>
      <c r="BG2521" s="77"/>
      <c r="BH2521" s="77"/>
      <c r="BI2521" s="77"/>
    </row>
    <row r="2522" spans="1:61" x14ac:dyDescent="0.25">
      <c r="A2522" s="62" t="s">
        <v>387</v>
      </c>
      <c r="B2522" s="62" t="s">
        <v>387</v>
      </c>
      <c r="C2522" s="63"/>
      <c r="D2522" s="64"/>
      <c r="E2522" s="65"/>
      <c r="F2522" s="66"/>
      <c r="G2522" s="63"/>
      <c r="H2522" s="67"/>
      <c r="I2522" s="68"/>
      <c r="J2522" s="68"/>
      <c r="K2522" s="32"/>
      <c r="L2522" s="75">
        <v>2522</v>
      </c>
      <c r="M2522" s="75"/>
      <c r="N2522" s="70"/>
      <c r="O2522" s="77" t="s">
        <v>179</v>
      </c>
      <c r="P2522" s="79">
        <v>45173.84375</v>
      </c>
      <c r="Q2522" s="77" t="s">
        <v>3194</v>
      </c>
      <c r="R2522" s="77">
        <v>1</v>
      </c>
      <c r="S2522" s="77">
        <v>2</v>
      </c>
      <c r="T2522" s="77">
        <v>0</v>
      </c>
      <c r="U2522" s="77">
        <v>0</v>
      </c>
      <c r="V2522" s="77">
        <v>515</v>
      </c>
      <c r="W2522" s="82" t="s">
        <v>4833</v>
      </c>
      <c r="X2522" s="80" t="str">
        <f>HYPERLINK("https://einvestidor.estadao.com.br/ultimas/pix-sem-usar-internet-agenda-futura-banco-central/?utm_source=twitter&amp;utm_medium=organic&amp;utm_campaign=&amp;utm_content=materia")</f>
        <v>https://einvestidor.estadao.com.br/ultimas/pix-sem-usar-internet-agenda-futura-banco-central/?utm_source=twitter&amp;utm_medium=organic&amp;utm_campaign=&amp;utm_content=materia</v>
      </c>
      <c r="Y2522" s="77" t="s">
        <v>6470</v>
      </c>
      <c r="Z2522" s="77"/>
      <c r="AA2522" s="77"/>
      <c r="AB2522" s="77"/>
      <c r="AC2522" s="82" t="s">
        <v>7750</v>
      </c>
      <c r="AD2522" s="77" t="s">
        <v>7788</v>
      </c>
      <c r="AE2522" s="80" t="str">
        <f>HYPERLINK("https://twitter.com/einvestidor/status/1698791793314148500")</f>
        <v>https://twitter.com/einvestidor/status/1698791793314148500</v>
      </c>
      <c r="AF2522" s="79">
        <v>45173.84375</v>
      </c>
      <c r="AG2522" s="85">
        <v>45173</v>
      </c>
      <c r="AH2522" s="82" t="s">
        <v>9296</v>
      </c>
      <c r="AI2522" s="77" t="b">
        <v>0</v>
      </c>
      <c r="AJ2522" s="77"/>
      <c r="AK2522" s="77"/>
      <c r="AL2522" s="77"/>
      <c r="AM2522" s="77"/>
      <c r="AN2522" s="77"/>
      <c r="AO2522" s="77"/>
      <c r="AP2522" s="77"/>
      <c r="AQ2522" s="77"/>
      <c r="AR2522" s="77"/>
      <c r="AS2522" s="77"/>
      <c r="AT2522" s="77"/>
      <c r="AU2522" s="77"/>
      <c r="AV2522" s="80" t="str">
        <f>HYPERLINK("https://pbs.twimg.com/profile_images/1241147984924082183/gZgx_hL-_normal.jpg")</f>
        <v>https://pbs.twimg.com/profile_images/1241147984924082183/gZgx_hL-_normal.jpg</v>
      </c>
      <c r="AW2522" s="82" t="s">
        <v>14118</v>
      </c>
      <c r="AX2522" s="82" t="s">
        <v>14118</v>
      </c>
      <c r="AY2522" s="77"/>
      <c r="AZ2522" s="82" t="s">
        <v>15984</v>
      </c>
      <c r="BA2522" s="82" t="s">
        <v>15984</v>
      </c>
      <c r="BB2522" s="82" t="s">
        <v>15984</v>
      </c>
      <c r="BC2522" s="82" t="s">
        <v>14118</v>
      </c>
      <c r="BD2522" s="82" t="s">
        <v>15979</v>
      </c>
      <c r="BE2522" s="77"/>
      <c r="BF2522" s="77"/>
      <c r="BG2522" s="77"/>
      <c r="BH2522" s="77"/>
      <c r="BI2522" s="77"/>
    </row>
    <row r="2523" spans="1:61" x14ac:dyDescent="0.25">
      <c r="A2523" s="62" t="s">
        <v>387</v>
      </c>
      <c r="B2523" s="62" t="s">
        <v>387</v>
      </c>
      <c r="C2523" s="63"/>
      <c r="D2523" s="64"/>
      <c r="E2523" s="65"/>
      <c r="F2523" s="66"/>
      <c r="G2523" s="63"/>
      <c r="H2523" s="67"/>
      <c r="I2523" s="68"/>
      <c r="J2523" s="68"/>
      <c r="K2523" s="32"/>
      <c r="L2523" s="75">
        <v>2523</v>
      </c>
      <c r="M2523" s="75"/>
      <c r="N2523" s="70"/>
      <c r="O2523" s="77" t="s">
        <v>179</v>
      </c>
      <c r="P2523" s="79">
        <v>45169.791678240741</v>
      </c>
      <c r="Q2523" s="77" t="s">
        <v>3195</v>
      </c>
      <c r="R2523" s="77">
        <v>1</v>
      </c>
      <c r="S2523" s="77">
        <v>1</v>
      </c>
      <c r="T2523" s="77">
        <v>0</v>
      </c>
      <c r="U2523" s="77">
        <v>0</v>
      </c>
      <c r="V2523" s="77">
        <v>462</v>
      </c>
      <c r="W2523" s="82" t="s">
        <v>5992</v>
      </c>
      <c r="X2523" s="80" t="str">
        <f>HYPERLINK("https://einvestidor.estadao.com.br/colunas/fabrizio-gueratto/verdade-sobre-warren-buffett-investimentos/?utm_source=twitter&amp;utm_medium=organic&amp;utm_campaign=&amp;utm_content=materia")</f>
        <v>https://einvestidor.estadao.com.br/colunas/fabrizio-gueratto/verdade-sobre-warren-buffett-investimentos/?utm_source=twitter&amp;utm_medium=organic&amp;utm_campaign=&amp;utm_content=materia</v>
      </c>
      <c r="Y2523" s="77" t="s">
        <v>6470</v>
      </c>
      <c r="Z2523" s="77"/>
      <c r="AA2523" s="77"/>
      <c r="AB2523" s="77"/>
      <c r="AC2523" s="82" t="s">
        <v>7750</v>
      </c>
      <c r="AD2523" s="77" t="s">
        <v>7788</v>
      </c>
      <c r="AE2523" s="80" t="str">
        <f>HYPERLINK("https://twitter.com/einvestidor/status/1697323373687353663")</f>
        <v>https://twitter.com/einvestidor/status/1697323373687353663</v>
      </c>
      <c r="AF2523" s="79">
        <v>45169.791678240741</v>
      </c>
      <c r="AG2523" s="85">
        <v>45169</v>
      </c>
      <c r="AH2523" s="82" t="s">
        <v>7933</v>
      </c>
      <c r="AI2523" s="77" t="b">
        <v>0</v>
      </c>
      <c r="AJ2523" s="77"/>
      <c r="AK2523" s="77"/>
      <c r="AL2523" s="77"/>
      <c r="AM2523" s="77"/>
      <c r="AN2523" s="77"/>
      <c r="AO2523" s="77"/>
      <c r="AP2523" s="77"/>
      <c r="AQ2523" s="77"/>
      <c r="AR2523" s="77"/>
      <c r="AS2523" s="77"/>
      <c r="AT2523" s="77"/>
      <c r="AU2523" s="77"/>
      <c r="AV2523" s="80" t="str">
        <f>HYPERLINK("https://pbs.twimg.com/profile_images/1241147984924082183/gZgx_hL-_normal.jpg")</f>
        <v>https://pbs.twimg.com/profile_images/1241147984924082183/gZgx_hL-_normal.jpg</v>
      </c>
      <c r="AW2523" s="82" t="s">
        <v>14119</v>
      </c>
      <c r="AX2523" s="82" t="s">
        <v>14119</v>
      </c>
      <c r="AY2523" s="77"/>
      <c r="AZ2523" s="82" t="s">
        <v>15984</v>
      </c>
      <c r="BA2523" s="82" t="s">
        <v>15984</v>
      </c>
      <c r="BB2523" s="82" t="s">
        <v>15984</v>
      </c>
      <c r="BC2523" s="82" t="s">
        <v>14119</v>
      </c>
      <c r="BD2523" s="82" t="s">
        <v>15979</v>
      </c>
      <c r="BE2523" s="77"/>
      <c r="BF2523" s="77"/>
      <c r="BG2523" s="77"/>
      <c r="BH2523" s="77"/>
      <c r="BI2523" s="77"/>
    </row>
    <row r="2524" spans="1:61" x14ac:dyDescent="0.25">
      <c r="A2524" s="62" t="s">
        <v>387</v>
      </c>
      <c r="B2524" s="62" t="s">
        <v>387</v>
      </c>
      <c r="C2524" s="63"/>
      <c r="D2524" s="64"/>
      <c r="E2524" s="65"/>
      <c r="F2524" s="66"/>
      <c r="G2524" s="63"/>
      <c r="H2524" s="67"/>
      <c r="I2524" s="68"/>
      <c r="J2524" s="68"/>
      <c r="K2524" s="32"/>
      <c r="L2524" s="75">
        <v>2524</v>
      </c>
      <c r="M2524" s="75"/>
      <c r="N2524" s="70"/>
      <c r="O2524" s="77" t="s">
        <v>179</v>
      </c>
      <c r="P2524" s="79">
        <v>45169.78125</v>
      </c>
      <c r="Q2524" s="77" t="s">
        <v>3196</v>
      </c>
      <c r="R2524" s="77">
        <v>0</v>
      </c>
      <c r="S2524" s="77">
        <v>1</v>
      </c>
      <c r="T2524" s="77">
        <v>0</v>
      </c>
      <c r="U2524" s="77">
        <v>0</v>
      </c>
      <c r="V2524" s="77">
        <v>558</v>
      </c>
      <c r="W2524" s="82" t="s">
        <v>6030</v>
      </c>
      <c r="X2524" s="80" t="str">
        <f>HYPERLINK("https://einvestidor.estadao.com.br/ultimas/metais-cobre-fechamento-31-08-2023/?utm_source=twitter&amp;utm_medium=organic&amp;utm_campaign=&amp;utm_content=materia")</f>
        <v>https://einvestidor.estadao.com.br/ultimas/metais-cobre-fechamento-31-08-2023/?utm_source=twitter&amp;utm_medium=organic&amp;utm_campaign=&amp;utm_content=materia</v>
      </c>
      <c r="Y2524" s="77" t="s">
        <v>6470</v>
      </c>
      <c r="Z2524" s="77"/>
      <c r="AA2524" s="77"/>
      <c r="AB2524" s="77"/>
      <c r="AC2524" s="82" t="s">
        <v>7750</v>
      </c>
      <c r="AD2524" s="77" t="s">
        <v>7788</v>
      </c>
      <c r="AE2524" s="80" t="str">
        <f>HYPERLINK("https://twitter.com/einvestidor/status/1697319593159643139")</f>
        <v>https://twitter.com/einvestidor/status/1697319593159643139</v>
      </c>
      <c r="AF2524" s="79">
        <v>45169.78125</v>
      </c>
      <c r="AG2524" s="85">
        <v>45169</v>
      </c>
      <c r="AH2524" s="82" t="s">
        <v>9581</v>
      </c>
      <c r="AI2524" s="77" t="b">
        <v>0</v>
      </c>
      <c r="AJ2524" s="77"/>
      <c r="AK2524" s="77"/>
      <c r="AL2524" s="77"/>
      <c r="AM2524" s="77"/>
      <c r="AN2524" s="77"/>
      <c r="AO2524" s="77"/>
      <c r="AP2524" s="77"/>
      <c r="AQ2524" s="77"/>
      <c r="AR2524" s="77"/>
      <c r="AS2524" s="77"/>
      <c r="AT2524" s="77"/>
      <c r="AU2524" s="77"/>
      <c r="AV2524" s="80" t="str">
        <f>HYPERLINK("https://pbs.twimg.com/profile_images/1241147984924082183/gZgx_hL-_normal.jpg")</f>
        <v>https://pbs.twimg.com/profile_images/1241147984924082183/gZgx_hL-_normal.jpg</v>
      </c>
      <c r="AW2524" s="82" t="s">
        <v>14120</v>
      </c>
      <c r="AX2524" s="82" t="s">
        <v>14120</v>
      </c>
      <c r="AY2524" s="77"/>
      <c r="AZ2524" s="82" t="s">
        <v>15984</v>
      </c>
      <c r="BA2524" s="82" t="s">
        <v>15984</v>
      </c>
      <c r="BB2524" s="82" t="s">
        <v>15984</v>
      </c>
      <c r="BC2524" s="82" t="s">
        <v>14120</v>
      </c>
      <c r="BD2524" s="82" t="s">
        <v>15979</v>
      </c>
      <c r="BE2524" s="77"/>
      <c r="BF2524" s="77"/>
      <c r="BG2524" s="77"/>
      <c r="BH2524" s="77"/>
      <c r="BI2524" s="77"/>
    </row>
    <row r="2525" spans="1:61" x14ac:dyDescent="0.25">
      <c r="A2525" s="62" t="s">
        <v>387</v>
      </c>
      <c r="B2525" s="62" t="s">
        <v>387</v>
      </c>
      <c r="C2525" s="63"/>
      <c r="D2525" s="64"/>
      <c r="E2525" s="65"/>
      <c r="F2525" s="66"/>
      <c r="G2525" s="63"/>
      <c r="H2525" s="67"/>
      <c r="I2525" s="68"/>
      <c r="J2525" s="68"/>
      <c r="K2525" s="32"/>
      <c r="L2525" s="75">
        <v>2525</v>
      </c>
      <c r="M2525" s="75"/>
      <c r="N2525" s="70"/>
      <c r="O2525" s="77" t="s">
        <v>179</v>
      </c>
      <c r="P2525" s="79">
        <v>45169.753738425927</v>
      </c>
      <c r="Q2525" s="77" t="s">
        <v>3197</v>
      </c>
      <c r="R2525" s="77">
        <v>0</v>
      </c>
      <c r="S2525" s="77">
        <v>1</v>
      </c>
      <c r="T2525" s="77">
        <v>0</v>
      </c>
      <c r="U2525" s="77">
        <v>0</v>
      </c>
      <c r="V2525" s="77">
        <v>616</v>
      </c>
      <c r="W2525" s="82" t="s">
        <v>4833</v>
      </c>
      <c r="X2525" s="80" t="str">
        <f>HYPERLINK("https://einvestidor.estadao.com.br/mercado/mercado-intraday-31-08-2023/?utm_source=twitter&amp;utm_medium=organic&amp;utm_campaign=&amp;utm_content=materia")</f>
        <v>https://einvestidor.estadao.com.br/mercado/mercado-intraday-31-08-2023/?utm_source=twitter&amp;utm_medium=organic&amp;utm_campaign=&amp;utm_content=materia</v>
      </c>
      <c r="Y2525" s="77" t="s">
        <v>6470</v>
      </c>
      <c r="Z2525" s="77"/>
      <c r="AA2525" s="77"/>
      <c r="AB2525" s="77"/>
      <c r="AC2525" s="82" t="s">
        <v>7750</v>
      </c>
      <c r="AD2525" s="77" t="s">
        <v>7788</v>
      </c>
      <c r="AE2525" s="80" t="str">
        <f>HYPERLINK("https://twitter.com/einvestidor/status/1697309625828180450")</f>
        <v>https://twitter.com/einvestidor/status/1697309625828180450</v>
      </c>
      <c r="AF2525" s="79">
        <v>45169.753738425927</v>
      </c>
      <c r="AG2525" s="85">
        <v>45169</v>
      </c>
      <c r="AH2525" s="82" t="s">
        <v>9747</v>
      </c>
      <c r="AI2525" s="77" t="b">
        <v>0</v>
      </c>
      <c r="AJ2525" s="77"/>
      <c r="AK2525" s="77"/>
      <c r="AL2525" s="77"/>
      <c r="AM2525" s="77"/>
      <c r="AN2525" s="77"/>
      <c r="AO2525" s="77"/>
      <c r="AP2525" s="77"/>
      <c r="AQ2525" s="77"/>
      <c r="AR2525" s="77"/>
      <c r="AS2525" s="77"/>
      <c r="AT2525" s="77"/>
      <c r="AU2525" s="77"/>
      <c r="AV2525" s="80" t="str">
        <f>HYPERLINK("https://pbs.twimg.com/profile_images/1241147984924082183/gZgx_hL-_normal.jpg")</f>
        <v>https://pbs.twimg.com/profile_images/1241147984924082183/gZgx_hL-_normal.jpg</v>
      </c>
      <c r="AW2525" s="82" t="s">
        <v>14121</v>
      </c>
      <c r="AX2525" s="82" t="s">
        <v>14121</v>
      </c>
      <c r="AY2525" s="77"/>
      <c r="AZ2525" s="82" t="s">
        <v>15984</v>
      </c>
      <c r="BA2525" s="82" t="s">
        <v>15984</v>
      </c>
      <c r="BB2525" s="82" t="s">
        <v>15984</v>
      </c>
      <c r="BC2525" s="82" t="s">
        <v>14121</v>
      </c>
      <c r="BD2525" s="82" t="s">
        <v>15979</v>
      </c>
      <c r="BE2525" s="77"/>
      <c r="BF2525" s="77"/>
      <c r="BG2525" s="77"/>
      <c r="BH2525" s="77"/>
      <c r="BI2525" s="77"/>
    </row>
    <row r="2526" spans="1:61" x14ac:dyDescent="0.25">
      <c r="A2526" s="62" t="s">
        <v>387</v>
      </c>
      <c r="B2526" s="62" t="s">
        <v>387</v>
      </c>
      <c r="C2526" s="63"/>
      <c r="D2526" s="64"/>
      <c r="E2526" s="65"/>
      <c r="F2526" s="66"/>
      <c r="G2526" s="63"/>
      <c r="H2526" s="67"/>
      <c r="I2526" s="68"/>
      <c r="J2526" s="68"/>
      <c r="K2526" s="32"/>
      <c r="L2526" s="75">
        <v>2526</v>
      </c>
      <c r="M2526" s="75"/>
      <c r="N2526" s="70"/>
      <c r="O2526" s="77" t="s">
        <v>179</v>
      </c>
      <c r="P2526" s="79">
        <v>45169.749895833331</v>
      </c>
      <c r="Q2526" s="77" t="s">
        <v>3198</v>
      </c>
      <c r="R2526" s="77">
        <v>1</v>
      </c>
      <c r="S2526" s="77">
        <v>4</v>
      </c>
      <c r="T2526" s="77">
        <v>0</v>
      </c>
      <c r="U2526" s="77">
        <v>0</v>
      </c>
      <c r="V2526" s="77">
        <v>1085</v>
      </c>
      <c r="W2526" s="82" t="s">
        <v>5918</v>
      </c>
      <c r="X2526" s="80" t="str">
        <f>HYPERLINK("https://einvestidor.estadao.com.br/mercado/meliuz-cash3-perto-sair-do-ibovespa-o-que-fazer/?utm_source=twitter&amp;utm_medium=organic&amp;utm_campaign=&amp;utm_content=materia")</f>
        <v>https://einvestidor.estadao.com.br/mercado/meliuz-cash3-perto-sair-do-ibovespa-o-que-fazer/?utm_source=twitter&amp;utm_medium=organic&amp;utm_campaign=&amp;utm_content=materia</v>
      </c>
      <c r="Y2526" s="77" t="s">
        <v>6470</v>
      </c>
      <c r="Z2526" s="77"/>
      <c r="AA2526" s="77"/>
      <c r="AB2526" s="77"/>
      <c r="AC2526" s="82" t="s">
        <v>7750</v>
      </c>
      <c r="AD2526" s="77" t="s">
        <v>7788</v>
      </c>
      <c r="AE2526" s="80" t="str">
        <f>HYPERLINK("https://twitter.com/einvestidor/status/1697308229565301247")</f>
        <v>https://twitter.com/einvestidor/status/1697308229565301247</v>
      </c>
      <c r="AF2526" s="79">
        <v>45169.749895833331</v>
      </c>
      <c r="AG2526" s="85">
        <v>45169</v>
      </c>
      <c r="AH2526" s="82" t="s">
        <v>9748</v>
      </c>
      <c r="AI2526" s="77" t="b">
        <v>0</v>
      </c>
      <c r="AJ2526" s="77"/>
      <c r="AK2526" s="77"/>
      <c r="AL2526" s="77"/>
      <c r="AM2526" s="77"/>
      <c r="AN2526" s="77"/>
      <c r="AO2526" s="77"/>
      <c r="AP2526" s="77"/>
      <c r="AQ2526" s="77"/>
      <c r="AR2526" s="77"/>
      <c r="AS2526" s="77"/>
      <c r="AT2526" s="77"/>
      <c r="AU2526" s="77"/>
      <c r="AV2526" s="80" t="str">
        <f>HYPERLINK("https://pbs.twimg.com/profile_images/1241147984924082183/gZgx_hL-_normal.jpg")</f>
        <v>https://pbs.twimg.com/profile_images/1241147984924082183/gZgx_hL-_normal.jpg</v>
      </c>
      <c r="AW2526" s="82" t="s">
        <v>14122</v>
      </c>
      <c r="AX2526" s="82" t="s">
        <v>14122</v>
      </c>
      <c r="AY2526" s="77"/>
      <c r="AZ2526" s="82" t="s">
        <v>15984</v>
      </c>
      <c r="BA2526" s="82" t="s">
        <v>15984</v>
      </c>
      <c r="BB2526" s="82" t="s">
        <v>15984</v>
      </c>
      <c r="BC2526" s="82" t="s">
        <v>14122</v>
      </c>
      <c r="BD2526" s="82" t="s">
        <v>15979</v>
      </c>
      <c r="BE2526" s="77"/>
      <c r="BF2526" s="77"/>
      <c r="BG2526" s="77"/>
      <c r="BH2526" s="77"/>
      <c r="BI2526" s="77"/>
    </row>
    <row r="2527" spans="1:61" x14ac:dyDescent="0.25">
      <c r="A2527" s="62" t="s">
        <v>387</v>
      </c>
      <c r="B2527" s="62" t="s">
        <v>387</v>
      </c>
      <c r="C2527" s="63"/>
      <c r="D2527" s="64"/>
      <c r="E2527" s="65"/>
      <c r="F2527" s="66"/>
      <c r="G2527" s="63"/>
      <c r="H2527" s="67"/>
      <c r="I2527" s="68"/>
      <c r="J2527" s="68"/>
      <c r="K2527" s="32"/>
      <c r="L2527" s="75">
        <v>2527</v>
      </c>
      <c r="M2527" s="75"/>
      <c r="N2527" s="70"/>
      <c r="O2527" s="77" t="s">
        <v>179</v>
      </c>
      <c r="P2527" s="79">
        <v>45168.802083333336</v>
      </c>
      <c r="Q2527" s="77" t="s">
        <v>3199</v>
      </c>
      <c r="R2527" s="77">
        <v>0</v>
      </c>
      <c r="S2527" s="77">
        <v>1</v>
      </c>
      <c r="T2527" s="77">
        <v>0</v>
      </c>
      <c r="U2527" s="77">
        <v>0</v>
      </c>
      <c r="V2527" s="77">
        <v>611</v>
      </c>
      <c r="W2527" s="82" t="s">
        <v>6031</v>
      </c>
      <c r="X2527" s="80" t="str">
        <f>HYPERLINK("https://einvestidor.estadao.com.br/mercado/mercado-intraday-30-08-2023/?utm_source=twitter&amp;utm_medium=organic&amp;utm_campaign=&amp;utm_content=materia")</f>
        <v>https://einvestidor.estadao.com.br/mercado/mercado-intraday-30-08-2023/?utm_source=twitter&amp;utm_medium=organic&amp;utm_campaign=&amp;utm_content=materia</v>
      </c>
      <c r="Y2527" s="77" t="s">
        <v>6470</v>
      </c>
      <c r="Z2527" s="77"/>
      <c r="AA2527" s="77"/>
      <c r="AB2527" s="77"/>
      <c r="AC2527" s="82" t="s">
        <v>7750</v>
      </c>
      <c r="AD2527" s="77" t="s">
        <v>7788</v>
      </c>
      <c r="AE2527" s="80" t="str">
        <f>HYPERLINK("https://twitter.com/einvestidor/status/1696964754911474120")</f>
        <v>https://twitter.com/einvestidor/status/1696964754911474120</v>
      </c>
      <c r="AF2527" s="79">
        <v>45168.802083333336</v>
      </c>
      <c r="AG2527" s="85">
        <v>45168</v>
      </c>
      <c r="AH2527" s="82" t="s">
        <v>7868</v>
      </c>
      <c r="AI2527" s="77" t="b">
        <v>0</v>
      </c>
      <c r="AJ2527" s="77"/>
      <c r="AK2527" s="77"/>
      <c r="AL2527" s="77"/>
      <c r="AM2527" s="77"/>
      <c r="AN2527" s="77"/>
      <c r="AO2527" s="77"/>
      <c r="AP2527" s="77"/>
      <c r="AQ2527" s="77"/>
      <c r="AR2527" s="77"/>
      <c r="AS2527" s="77"/>
      <c r="AT2527" s="77"/>
      <c r="AU2527" s="77"/>
      <c r="AV2527" s="80" t="str">
        <f>HYPERLINK("https://pbs.twimg.com/profile_images/1241147984924082183/gZgx_hL-_normal.jpg")</f>
        <v>https://pbs.twimg.com/profile_images/1241147984924082183/gZgx_hL-_normal.jpg</v>
      </c>
      <c r="AW2527" s="82" t="s">
        <v>14123</v>
      </c>
      <c r="AX2527" s="82" t="s">
        <v>14123</v>
      </c>
      <c r="AY2527" s="77"/>
      <c r="AZ2527" s="82" t="s">
        <v>15984</v>
      </c>
      <c r="BA2527" s="82" t="s">
        <v>15984</v>
      </c>
      <c r="BB2527" s="82" t="s">
        <v>15984</v>
      </c>
      <c r="BC2527" s="82" t="s">
        <v>14123</v>
      </c>
      <c r="BD2527" s="82" t="s">
        <v>15979</v>
      </c>
      <c r="BE2527" s="77"/>
      <c r="BF2527" s="77"/>
      <c r="BG2527" s="77"/>
      <c r="BH2527" s="77"/>
      <c r="BI2527" s="77"/>
    </row>
    <row r="2528" spans="1:61" x14ac:dyDescent="0.25">
      <c r="A2528" s="62" t="s">
        <v>387</v>
      </c>
      <c r="B2528" s="62" t="s">
        <v>387</v>
      </c>
      <c r="C2528" s="63"/>
      <c r="D2528" s="64"/>
      <c r="E2528" s="65"/>
      <c r="F2528" s="66"/>
      <c r="G2528" s="63"/>
      <c r="H2528" s="67"/>
      <c r="I2528" s="68"/>
      <c r="J2528" s="68"/>
      <c r="K2528" s="32"/>
      <c r="L2528" s="75">
        <v>2528</v>
      </c>
      <c r="M2528" s="75"/>
      <c r="N2528" s="70"/>
      <c r="O2528" s="77" t="s">
        <v>179</v>
      </c>
      <c r="P2528" s="79">
        <v>45168.791689814818</v>
      </c>
      <c r="Q2528" s="77" t="s">
        <v>3200</v>
      </c>
      <c r="R2528" s="77">
        <v>0</v>
      </c>
      <c r="S2528" s="77">
        <v>3</v>
      </c>
      <c r="T2528" s="77">
        <v>0</v>
      </c>
      <c r="U2528" s="77">
        <v>0</v>
      </c>
      <c r="V2528" s="77">
        <v>654</v>
      </c>
      <c r="W2528" s="82" t="s">
        <v>6032</v>
      </c>
      <c r="X2528" s="80" t="str">
        <f>HYPERLINK("https://einvestidor.estadao.com.br/mercado/governo-dividendos-petrobras-entenda/?utm_source=twitter&amp;utm_medium=organic&amp;utm_campaign=&amp;utm_content=materia")</f>
        <v>https://einvestidor.estadao.com.br/mercado/governo-dividendos-petrobras-entenda/?utm_source=twitter&amp;utm_medium=organic&amp;utm_campaign=&amp;utm_content=materia</v>
      </c>
      <c r="Y2528" s="77" t="s">
        <v>6470</v>
      </c>
      <c r="Z2528" s="77"/>
      <c r="AA2528" s="77"/>
      <c r="AB2528" s="77"/>
      <c r="AC2528" s="82" t="s">
        <v>7750</v>
      </c>
      <c r="AD2528" s="77" t="s">
        <v>7788</v>
      </c>
      <c r="AE2528" s="80" t="str">
        <f>HYPERLINK("https://twitter.com/einvestidor/status/1696960987138507136")</f>
        <v>https://twitter.com/einvestidor/status/1696960987138507136</v>
      </c>
      <c r="AF2528" s="79">
        <v>45168.791689814818</v>
      </c>
      <c r="AG2528" s="85">
        <v>45168</v>
      </c>
      <c r="AH2528" s="82" t="s">
        <v>9580</v>
      </c>
      <c r="AI2528" s="77" t="b">
        <v>0</v>
      </c>
      <c r="AJ2528" s="77"/>
      <c r="AK2528" s="77"/>
      <c r="AL2528" s="77"/>
      <c r="AM2528" s="77"/>
      <c r="AN2528" s="77"/>
      <c r="AO2528" s="77"/>
      <c r="AP2528" s="77"/>
      <c r="AQ2528" s="77"/>
      <c r="AR2528" s="77"/>
      <c r="AS2528" s="77"/>
      <c r="AT2528" s="77"/>
      <c r="AU2528" s="77"/>
      <c r="AV2528" s="80" t="str">
        <f>HYPERLINK("https://pbs.twimg.com/profile_images/1241147984924082183/gZgx_hL-_normal.jpg")</f>
        <v>https://pbs.twimg.com/profile_images/1241147984924082183/gZgx_hL-_normal.jpg</v>
      </c>
      <c r="AW2528" s="82" t="s">
        <v>14124</v>
      </c>
      <c r="AX2528" s="82" t="s">
        <v>14124</v>
      </c>
      <c r="AY2528" s="77"/>
      <c r="AZ2528" s="82" t="s">
        <v>15984</v>
      </c>
      <c r="BA2528" s="82" t="s">
        <v>15984</v>
      </c>
      <c r="BB2528" s="82" t="s">
        <v>15984</v>
      </c>
      <c r="BC2528" s="82" t="s">
        <v>14124</v>
      </c>
      <c r="BD2528" s="82" t="s">
        <v>15979</v>
      </c>
      <c r="BE2528" s="77"/>
      <c r="BF2528" s="77"/>
      <c r="BG2528" s="77"/>
      <c r="BH2528" s="77"/>
      <c r="BI2528" s="77"/>
    </row>
    <row r="2529" spans="1:61" x14ac:dyDescent="0.25">
      <c r="A2529" s="62" t="s">
        <v>387</v>
      </c>
      <c r="B2529" s="62" t="s">
        <v>387</v>
      </c>
      <c r="C2529" s="63"/>
      <c r="D2529" s="64"/>
      <c r="E2529" s="65"/>
      <c r="F2529" s="66"/>
      <c r="G2529" s="63"/>
      <c r="H2529" s="67"/>
      <c r="I2529" s="68"/>
      <c r="J2529" s="68"/>
      <c r="K2529" s="32"/>
      <c r="L2529" s="75">
        <v>2529</v>
      </c>
      <c r="M2529" s="75"/>
      <c r="N2529" s="70"/>
      <c r="O2529" s="77" t="s">
        <v>179</v>
      </c>
      <c r="P2529" s="79">
        <v>45168.786481481482</v>
      </c>
      <c r="Q2529" s="77" t="s">
        <v>3201</v>
      </c>
      <c r="R2529" s="77">
        <v>0</v>
      </c>
      <c r="S2529" s="77">
        <v>2</v>
      </c>
      <c r="T2529" s="77">
        <v>0</v>
      </c>
      <c r="U2529" s="77">
        <v>0</v>
      </c>
      <c r="V2529" s="77">
        <v>496</v>
      </c>
      <c r="W2529" s="82" t="s">
        <v>4833</v>
      </c>
      <c r="X2529" s="80" t="str">
        <f>HYPERLINK("https://einvestidor.estadao.com.br/mercado/mercado-intraday-30-08-2023/?utm_source=twitter&amp;utm_medium=organic&amp;utm_campaign=&amp;utm_content=materia")</f>
        <v>https://einvestidor.estadao.com.br/mercado/mercado-intraday-30-08-2023/?utm_source=twitter&amp;utm_medium=organic&amp;utm_campaign=&amp;utm_content=materia</v>
      </c>
      <c r="Y2529" s="77" t="s">
        <v>6470</v>
      </c>
      <c r="Z2529" s="77"/>
      <c r="AA2529" s="77"/>
      <c r="AB2529" s="77"/>
      <c r="AC2529" s="82" t="s">
        <v>7750</v>
      </c>
      <c r="AD2529" s="77" t="s">
        <v>7790</v>
      </c>
      <c r="AE2529" s="80" t="str">
        <f>HYPERLINK("https://twitter.com/einvestidor/status/1696959101840879657")</f>
        <v>https://twitter.com/einvestidor/status/1696959101840879657</v>
      </c>
      <c r="AF2529" s="79">
        <v>45168.786481481482</v>
      </c>
      <c r="AG2529" s="85">
        <v>45168</v>
      </c>
      <c r="AH2529" s="82" t="s">
        <v>9749</v>
      </c>
      <c r="AI2529" s="77" t="b">
        <v>0</v>
      </c>
      <c r="AJ2529" s="77"/>
      <c r="AK2529" s="77"/>
      <c r="AL2529" s="77"/>
      <c r="AM2529" s="77"/>
      <c r="AN2529" s="77"/>
      <c r="AO2529" s="77"/>
      <c r="AP2529" s="77"/>
      <c r="AQ2529" s="77"/>
      <c r="AR2529" s="77"/>
      <c r="AS2529" s="77"/>
      <c r="AT2529" s="77"/>
      <c r="AU2529" s="77"/>
      <c r="AV2529" s="80" t="str">
        <f>HYPERLINK("https://pbs.twimg.com/profile_images/1241147984924082183/gZgx_hL-_normal.jpg")</f>
        <v>https://pbs.twimg.com/profile_images/1241147984924082183/gZgx_hL-_normal.jpg</v>
      </c>
      <c r="AW2529" s="82" t="s">
        <v>14125</v>
      </c>
      <c r="AX2529" s="82" t="s">
        <v>14125</v>
      </c>
      <c r="AY2529" s="77"/>
      <c r="AZ2529" s="82" t="s">
        <v>15984</v>
      </c>
      <c r="BA2529" s="82" t="s">
        <v>15984</v>
      </c>
      <c r="BB2529" s="82" t="s">
        <v>15984</v>
      </c>
      <c r="BC2529" s="82" t="s">
        <v>14125</v>
      </c>
      <c r="BD2529" s="82" t="s">
        <v>15979</v>
      </c>
      <c r="BE2529" s="77"/>
      <c r="BF2529" s="77"/>
      <c r="BG2529" s="77"/>
      <c r="BH2529" s="77"/>
      <c r="BI2529" s="77"/>
    </row>
    <row r="2530" spans="1:61" x14ac:dyDescent="0.25">
      <c r="A2530" s="62" t="s">
        <v>387</v>
      </c>
      <c r="B2530" s="62" t="s">
        <v>387</v>
      </c>
      <c r="C2530" s="63"/>
      <c r="D2530" s="64"/>
      <c r="E2530" s="65"/>
      <c r="F2530" s="66"/>
      <c r="G2530" s="63"/>
      <c r="H2530" s="67"/>
      <c r="I2530" s="68"/>
      <c r="J2530" s="68"/>
      <c r="K2530" s="32"/>
      <c r="L2530" s="75">
        <v>2530</v>
      </c>
      <c r="M2530" s="75"/>
      <c r="N2530" s="70"/>
      <c r="O2530" s="77" t="s">
        <v>179</v>
      </c>
      <c r="P2530" s="79">
        <v>45168.78125</v>
      </c>
      <c r="Q2530" s="77" t="s">
        <v>3202</v>
      </c>
      <c r="R2530" s="77">
        <v>1</v>
      </c>
      <c r="S2530" s="77">
        <v>1</v>
      </c>
      <c r="T2530" s="77">
        <v>0</v>
      </c>
      <c r="U2530" s="77">
        <v>0</v>
      </c>
      <c r="V2530" s="77">
        <v>585</v>
      </c>
      <c r="W2530" s="82" t="s">
        <v>4833</v>
      </c>
      <c r="X2530" s="80" t="str">
        <f>HYPERLINK("https://einvestidor.estadao.com.br/comportamento/jogo-de-apostas-pesquisa-apostador/?utm_source=twitter&amp;utm_medium=organic&amp;utm_campaign=&amp;utm_content=materia")</f>
        <v>https://einvestidor.estadao.com.br/comportamento/jogo-de-apostas-pesquisa-apostador/?utm_source=twitter&amp;utm_medium=organic&amp;utm_campaign=&amp;utm_content=materia</v>
      </c>
      <c r="Y2530" s="77" t="s">
        <v>6470</v>
      </c>
      <c r="Z2530" s="77"/>
      <c r="AA2530" s="77"/>
      <c r="AB2530" s="77"/>
      <c r="AC2530" s="82" t="s">
        <v>7750</v>
      </c>
      <c r="AD2530" s="77" t="s">
        <v>7788</v>
      </c>
      <c r="AE2530" s="80" t="str">
        <f>HYPERLINK("https://twitter.com/einvestidor/status/1696957204895772837")</f>
        <v>https://twitter.com/einvestidor/status/1696957204895772837</v>
      </c>
      <c r="AF2530" s="79">
        <v>45168.78125</v>
      </c>
      <c r="AG2530" s="85">
        <v>45168</v>
      </c>
      <c r="AH2530" s="82" t="s">
        <v>9581</v>
      </c>
      <c r="AI2530" s="77" t="b">
        <v>0</v>
      </c>
      <c r="AJ2530" s="77"/>
      <c r="AK2530" s="77"/>
      <c r="AL2530" s="77"/>
      <c r="AM2530" s="77"/>
      <c r="AN2530" s="77"/>
      <c r="AO2530" s="77"/>
      <c r="AP2530" s="77"/>
      <c r="AQ2530" s="77"/>
      <c r="AR2530" s="77"/>
      <c r="AS2530" s="77"/>
      <c r="AT2530" s="77"/>
      <c r="AU2530" s="77"/>
      <c r="AV2530" s="80" t="str">
        <f>HYPERLINK("https://pbs.twimg.com/profile_images/1241147984924082183/gZgx_hL-_normal.jpg")</f>
        <v>https://pbs.twimg.com/profile_images/1241147984924082183/gZgx_hL-_normal.jpg</v>
      </c>
      <c r="AW2530" s="82" t="s">
        <v>14126</v>
      </c>
      <c r="AX2530" s="82" t="s">
        <v>14126</v>
      </c>
      <c r="AY2530" s="77"/>
      <c r="AZ2530" s="82" t="s">
        <v>15984</v>
      </c>
      <c r="BA2530" s="82" t="s">
        <v>15984</v>
      </c>
      <c r="BB2530" s="82" t="s">
        <v>15984</v>
      </c>
      <c r="BC2530" s="82" t="s">
        <v>14126</v>
      </c>
      <c r="BD2530" s="82" t="s">
        <v>15979</v>
      </c>
      <c r="BE2530" s="77"/>
      <c r="BF2530" s="77"/>
      <c r="BG2530" s="77"/>
      <c r="BH2530" s="77"/>
      <c r="BI2530" s="77"/>
    </row>
    <row r="2531" spans="1:61" x14ac:dyDescent="0.25">
      <c r="A2531" s="62" t="s">
        <v>387</v>
      </c>
      <c r="B2531" s="62" t="s">
        <v>387</v>
      </c>
      <c r="C2531" s="63"/>
      <c r="D2531" s="64"/>
      <c r="E2531" s="65"/>
      <c r="F2531" s="66"/>
      <c r="G2531" s="63"/>
      <c r="H2531" s="67"/>
      <c r="I2531" s="68"/>
      <c r="J2531" s="68"/>
      <c r="K2531" s="32"/>
      <c r="L2531" s="75">
        <v>2531</v>
      </c>
      <c r="M2531" s="75"/>
      <c r="N2531" s="70"/>
      <c r="O2531" s="77" t="s">
        <v>179</v>
      </c>
      <c r="P2531" s="79">
        <v>45168.762141203704</v>
      </c>
      <c r="Q2531" s="77" t="s">
        <v>3203</v>
      </c>
      <c r="R2531" s="77">
        <v>0</v>
      </c>
      <c r="S2531" s="77">
        <v>1</v>
      </c>
      <c r="T2531" s="77">
        <v>0</v>
      </c>
      <c r="U2531" s="77">
        <v>0</v>
      </c>
      <c r="V2531" s="77">
        <v>685</v>
      </c>
      <c r="W2531" s="82" t="s">
        <v>5938</v>
      </c>
      <c r="X2531" s="80" t="str">
        <f>HYPERLINK("https://einvestidor.estadao.com.br/ultimas/como-caixinhas-nubank-nubr33-conquistaram-clientes/?utm_source=twitter&amp;utm_medium=organic&amp;utm_campaign=&amp;utm_content=materia")</f>
        <v>https://einvestidor.estadao.com.br/ultimas/como-caixinhas-nubank-nubr33-conquistaram-clientes/?utm_source=twitter&amp;utm_medium=organic&amp;utm_campaign=&amp;utm_content=materia</v>
      </c>
      <c r="Y2531" s="77" t="s">
        <v>6470</v>
      </c>
      <c r="Z2531" s="77"/>
      <c r="AA2531" s="77"/>
      <c r="AB2531" s="77"/>
      <c r="AC2531" s="82" t="s">
        <v>7750</v>
      </c>
      <c r="AD2531" s="77" t="s">
        <v>7788</v>
      </c>
      <c r="AE2531" s="80" t="str">
        <f>HYPERLINK("https://twitter.com/einvestidor/status/1696950281383076265")</f>
        <v>https://twitter.com/einvestidor/status/1696950281383076265</v>
      </c>
      <c r="AF2531" s="79">
        <v>45168.762141203704</v>
      </c>
      <c r="AG2531" s="85">
        <v>45168</v>
      </c>
      <c r="AH2531" s="82" t="s">
        <v>9750</v>
      </c>
      <c r="AI2531" s="77" t="b">
        <v>0</v>
      </c>
      <c r="AJ2531" s="77"/>
      <c r="AK2531" s="77"/>
      <c r="AL2531" s="77"/>
      <c r="AM2531" s="77"/>
      <c r="AN2531" s="77"/>
      <c r="AO2531" s="77"/>
      <c r="AP2531" s="77"/>
      <c r="AQ2531" s="77"/>
      <c r="AR2531" s="77"/>
      <c r="AS2531" s="77"/>
      <c r="AT2531" s="77"/>
      <c r="AU2531" s="77"/>
      <c r="AV2531" s="80" t="str">
        <f>HYPERLINK("https://pbs.twimg.com/profile_images/1241147984924082183/gZgx_hL-_normal.jpg")</f>
        <v>https://pbs.twimg.com/profile_images/1241147984924082183/gZgx_hL-_normal.jpg</v>
      </c>
      <c r="AW2531" s="82" t="s">
        <v>14127</v>
      </c>
      <c r="AX2531" s="82" t="s">
        <v>14127</v>
      </c>
      <c r="AY2531" s="77"/>
      <c r="AZ2531" s="82" t="s">
        <v>15984</v>
      </c>
      <c r="BA2531" s="82" t="s">
        <v>15984</v>
      </c>
      <c r="BB2531" s="82" t="s">
        <v>15984</v>
      </c>
      <c r="BC2531" s="82" t="s">
        <v>14127</v>
      </c>
      <c r="BD2531" s="82" t="s">
        <v>15979</v>
      </c>
      <c r="BE2531" s="77"/>
      <c r="BF2531" s="77"/>
      <c r="BG2531" s="77"/>
      <c r="BH2531" s="77"/>
      <c r="BI2531" s="77"/>
    </row>
    <row r="2532" spans="1:61" x14ac:dyDescent="0.25">
      <c r="A2532" s="62" t="s">
        <v>387</v>
      </c>
      <c r="B2532" s="62" t="s">
        <v>387</v>
      </c>
      <c r="C2532" s="63"/>
      <c r="D2532" s="64"/>
      <c r="E2532" s="65"/>
      <c r="F2532" s="66"/>
      <c r="G2532" s="63"/>
      <c r="H2532" s="67"/>
      <c r="I2532" s="68"/>
      <c r="J2532" s="68"/>
      <c r="K2532" s="32"/>
      <c r="L2532" s="75">
        <v>2532</v>
      </c>
      <c r="M2532" s="75"/>
      <c r="N2532" s="70"/>
      <c r="O2532" s="77" t="s">
        <v>179</v>
      </c>
      <c r="P2532" s="79">
        <v>45162.887048611112</v>
      </c>
      <c r="Q2532" s="77" t="s">
        <v>3204</v>
      </c>
      <c r="R2532" s="77">
        <v>0</v>
      </c>
      <c r="S2532" s="77">
        <v>0</v>
      </c>
      <c r="T2532" s="77">
        <v>0</v>
      </c>
      <c r="U2532" s="77">
        <v>0</v>
      </c>
      <c r="V2532" s="77">
        <v>595</v>
      </c>
      <c r="W2532" s="82" t="s">
        <v>6033</v>
      </c>
      <c r="X2532" s="80" t="str">
        <f>HYPERLINK("https://einvestidor.estadao.com.br/mercado/piores-acoes-ibovespa-azul-gol-soma/?utm_source=twitter&amp;utm_medium=organic&amp;utm_campaign=&amp;utm_content=materia")</f>
        <v>https://einvestidor.estadao.com.br/mercado/piores-acoes-ibovespa-azul-gol-soma/?utm_source=twitter&amp;utm_medium=organic&amp;utm_campaign=&amp;utm_content=materia</v>
      </c>
      <c r="Y2532" s="77" t="s">
        <v>6470</v>
      </c>
      <c r="Z2532" s="77"/>
      <c r="AA2532" s="77"/>
      <c r="AB2532" s="77"/>
      <c r="AC2532" s="82" t="s">
        <v>7750</v>
      </c>
      <c r="AD2532" s="77" t="s">
        <v>7788</v>
      </c>
      <c r="AE2532" s="80" t="str">
        <f>HYPERLINK("https://twitter.com/einvestidor/status/1694821220800151938")</f>
        <v>https://twitter.com/einvestidor/status/1694821220800151938</v>
      </c>
      <c r="AF2532" s="79">
        <v>45162.887048611112</v>
      </c>
      <c r="AG2532" s="85">
        <v>45162</v>
      </c>
      <c r="AH2532" s="82" t="s">
        <v>9751</v>
      </c>
      <c r="AI2532" s="77" t="b">
        <v>0</v>
      </c>
      <c r="AJ2532" s="77"/>
      <c r="AK2532" s="77"/>
      <c r="AL2532" s="77"/>
      <c r="AM2532" s="77"/>
      <c r="AN2532" s="77"/>
      <c r="AO2532" s="77"/>
      <c r="AP2532" s="77"/>
      <c r="AQ2532" s="77"/>
      <c r="AR2532" s="77"/>
      <c r="AS2532" s="77"/>
      <c r="AT2532" s="77"/>
      <c r="AU2532" s="77"/>
      <c r="AV2532" s="80" t="str">
        <f>HYPERLINK("https://pbs.twimg.com/profile_images/1241147984924082183/gZgx_hL-_normal.jpg")</f>
        <v>https://pbs.twimg.com/profile_images/1241147984924082183/gZgx_hL-_normal.jpg</v>
      </c>
      <c r="AW2532" s="82" t="s">
        <v>14128</v>
      </c>
      <c r="AX2532" s="82" t="s">
        <v>14128</v>
      </c>
      <c r="AY2532" s="77"/>
      <c r="AZ2532" s="82" t="s">
        <v>15984</v>
      </c>
      <c r="BA2532" s="82" t="s">
        <v>15984</v>
      </c>
      <c r="BB2532" s="82" t="s">
        <v>15984</v>
      </c>
      <c r="BC2532" s="82" t="s">
        <v>14128</v>
      </c>
      <c r="BD2532" s="82" t="s">
        <v>15979</v>
      </c>
      <c r="BE2532" s="77"/>
      <c r="BF2532" s="77"/>
      <c r="BG2532" s="77"/>
      <c r="BH2532" s="77"/>
      <c r="BI2532" s="77"/>
    </row>
    <row r="2533" spans="1:61" x14ac:dyDescent="0.25">
      <c r="A2533" s="62" t="s">
        <v>387</v>
      </c>
      <c r="B2533" s="62" t="s">
        <v>387</v>
      </c>
      <c r="C2533" s="63"/>
      <c r="D2533" s="64"/>
      <c r="E2533" s="65"/>
      <c r="F2533" s="66"/>
      <c r="G2533" s="63"/>
      <c r="H2533" s="67"/>
      <c r="I2533" s="68"/>
      <c r="J2533" s="68"/>
      <c r="K2533" s="32"/>
      <c r="L2533" s="75">
        <v>2533</v>
      </c>
      <c r="M2533" s="75"/>
      <c r="N2533" s="70"/>
      <c r="O2533" s="77" t="s">
        <v>179</v>
      </c>
      <c r="P2533" s="79">
        <v>45162.886377314811</v>
      </c>
      <c r="Q2533" s="77" t="s">
        <v>3205</v>
      </c>
      <c r="R2533" s="77">
        <v>0</v>
      </c>
      <c r="S2533" s="77">
        <v>0</v>
      </c>
      <c r="T2533" s="77">
        <v>0</v>
      </c>
      <c r="U2533" s="77">
        <v>0</v>
      </c>
      <c r="V2533" s="77">
        <v>505</v>
      </c>
      <c r="W2533" s="82" t="s">
        <v>6034</v>
      </c>
      <c r="X2533" s="80" t="str">
        <f>HYPERLINK("https://einvestidor.estadao.com.br/mercado/melhores-acoes-ibovespa-raizen-alpargatas-irb/?utm_source=twitter&amp;utm_medium=organic&amp;utm_campaign=&amp;utm_content=materia")</f>
        <v>https://einvestidor.estadao.com.br/mercado/melhores-acoes-ibovespa-raizen-alpargatas-irb/?utm_source=twitter&amp;utm_medium=organic&amp;utm_campaign=&amp;utm_content=materia</v>
      </c>
      <c r="Y2533" s="77" t="s">
        <v>6470</v>
      </c>
      <c r="Z2533" s="77"/>
      <c r="AA2533" s="77"/>
      <c r="AB2533" s="77"/>
      <c r="AC2533" s="82" t="s">
        <v>7750</v>
      </c>
      <c r="AD2533" s="77" t="s">
        <v>7788</v>
      </c>
      <c r="AE2533" s="80" t="str">
        <f>HYPERLINK("https://twitter.com/einvestidor/status/1694820976859504680")</f>
        <v>https://twitter.com/einvestidor/status/1694820976859504680</v>
      </c>
      <c r="AF2533" s="79">
        <v>45162.886377314811</v>
      </c>
      <c r="AG2533" s="85">
        <v>45162</v>
      </c>
      <c r="AH2533" s="82" t="s">
        <v>9752</v>
      </c>
      <c r="AI2533" s="77" t="b">
        <v>0</v>
      </c>
      <c r="AJ2533" s="77"/>
      <c r="AK2533" s="77"/>
      <c r="AL2533" s="77"/>
      <c r="AM2533" s="77"/>
      <c r="AN2533" s="77"/>
      <c r="AO2533" s="77"/>
      <c r="AP2533" s="77"/>
      <c r="AQ2533" s="77"/>
      <c r="AR2533" s="77"/>
      <c r="AS2533" s="77"/>
      <c r="AT2533" s="77"/>
      <c r="AU2533" s="77"/>
      <c r="AV2533" s="80" t="str">
        <f>HYPERLINK("https://pbs.twimg.com/profile_images/1241147984924082183/gZgx_hL-_normal.jpg")</f>
        <v>https://pbs.twimg.com/profile_images/1241147984924082183/gZgx_hL-_normal.jpg</v>
      </c>
      <c r="AW2533" s="82" t="s">
        <v>14129</v>
      </c>
      <c r="AX2533" s="82" t="s">
        <v>14129</v>
      </c>
      <c r="AY2533" s="77"/>
      <c r="AZ2533" s="82" t="s">
        <v>15984</v>
      </c>
      <c r="BA2533" s="82" t="s">
        <v>15984</v>
      </c>
      <c r="BB2533" s="82" t="s">
        <v>15984</v>
      </c>
      <c r="BC2533" s="82" t="s">
        <v>14129</v>
      </c>
      <c r="BD2533" s="82" t="s">
        <v>15979</v>
      </c>
      <c r="BE2533" s="77"/>
      <c r="BF2533" s="77"/>
      <c r="BG2533" s="77"/>
      <c r="BH2533" s="77"/>
      <c r="BI2533" s="77"/>
    </row>
    <row r="2534" spans="1:61" x14ac:dyDescent="0.25">
      <c r="A2534" s="62" t="s">
        <v>387</v>
      </c>
      <c r="B2534" s="62" t="s">
        <v>387</v>
      </c>
      <c r="C2534" s="63"/>
      <c r="D2534" s="64"/>
      <c r="E2534" s="65"/>
      <c r="F2534" s="66"/>
      <c r="G2534" s="63"/>
      <c r="H2534" s="67"/>
      <c r="I2534" s="68"/>
      <c r="J2534" s="68"/>
      <c r="K2534" s="32"/>
      <c r="L2534" s="75">
        <v>2534</v>
      </c>
      <c r="M2534" s="75"/>
      <c r="N2534" s="70"/>
      <c r="O2534" s="77" t="s">
        <v>179</v>
      </c>
      <c r="P2534" s="79">
        <v>45162.885416666664</v>
      </c>
      <c r="Q2534" s="77" t="s">
        <v>3206</v>
      </c>
      <c r="R2534" s="77">
        <v>0</v>
      </c>
      <c r="S2534" s="77">
        <v>0</v>
      </c>
      <c r="T2534" s="77">
        <v>1</v>
      </c>
      <c r="U2534" s="77">
        <v>0</v>
      </c>
      <c r="V2534" s="77">
        <v>439</v>
      </c>
      <c r="W2534" s="82" t="s">
        <v>6035</v>
      </c>
      <c r="X2534" s="80" t="str">
        <f>HYPERLINK("https://mla.bs/2a523a5d")</f>
        <v>https://mla.bs/2a523a5d</v>
      </c>
      <c r="Y2534" s="77" t="s">
        <v>6506</v>
      </c>
      <c r="Z2534" s="77"/>
      <c r="AA2534" s="77"/>
      <c r="AB2534" s="77"/>
      <c r="AC2534" s="82" t="s">
        <v>7750</v>
      </c>
      <c r="AD2534" s="77" t="s">
        <v>7788</v>
      </c>
      <c r="AE2534" s="80" t="str">
        <f>HYPERLINK("https://twitter.com/einvestidor/status/1694820626253685159")</f>
        <v>https://twitter.com/einvestidor/status/1694820626253685159</v>
      </c>
      <c r="AF2534" s="79">
        <v>45162.885416666664</v>
      </c>
      <c r="AG2534" s="85">
        <v>45162</v>
      </c>
      <c r="AH2534" s="82" t="s">
        <v>8206</v>
      </c>
      <c r="AI2534" s="77" t="b">
        <v>0</v>
      </c>
      <c r="AJ2534" s="77"/>
      <c r="AK2534" s="77"/>
      <c r="AL2534" s="77"/>
      <c r="AM2534" s="77"/>
      <c r="AN2534" s="77"/>
      <c r="AO2534" s="77"/>
      <c r="AP2534" s="77"/>
      <c r="AQ2534" s="77"/>
      <c r="AR2534" s="77"/>
      <c r="AS2534" s="77"/>
      <c r="AT2534" s="77"/>
      <c r="AU2534" s="77"/>
      <c r="AV2534" s="80" t="str">
        <f>HYPERLINK("https://pbs.twimg.com/profile_images/1241147984924082183/gZgx_hL-_normal.jpg")</f>
        <v>https://pbs.twimg.com/profile_images/1241147984924082183/gZgx_hL-_normal.jpg</v>
      </c>
      <c r="AW2534" s="82" t="s">
        <v>14130</v>
      </c>
      <c r="AX2534" s="82" t="s">
        <v>14130</v>
      </c>
      <c r="AY2534" s="77"/>
      <c r="AZ2534" s="82" t="s">
        <v>15984</v>
      </c>
      <c r="BA2534" s="82" t="s">
        <v>15984</v>
      </c>
      <c r="BB2534" s="82" t="s">
        <v>15984</v>
      </c>
      <c r="BC2534" s="82" t="s">
        <v>14130</v>
      </c>
      <c r="BD2534" s="82" t="s">
        <v>15979</v>
      </c>
      <c r="BE2534" s="77"/>
      <c r="BF2534" s="77"/>
      <c r="BG2534" s="77"/>
      <c r="BH2534" s="77"/>
      <c r="BI2534" s="77"/>
    </row>
    <row r="2535" spans="1:61" x14ac:dyDescent="0.25">
      <c r="A2535" s="62" t="s">
        <v>387</v>
      </c>
      <c r="B2535" s="62" t="s">
        <v>387</v>
      </c>
      <c r="C2535" s="63"/>
      <c r="D2535" s="64"/>
      <c r="E2535" s="65"/>
      <c r="F2535" s="66"/>
      <c r="G2535" s="63"/>
      <c r="H2535" s="67"/>
      <c r="I2535" s="68"/>
      <c r="J2535" s="68"/>
      <c r="K2535" s="32"/>
      <c r="L2535" s="75">
        <v>2535</v>
      </c>
      <c r="M2535" s="75"/>
      <c r="N2535" s="70"/>
      <c r="O2535" s="77" t="s">
        <v>179</v>
      </c>
      <c r="P2535" s="79">
        <v>45162.864583333336</v>
      </c>
      <c r="Q2535" s="77" t="s">
        <v>3207</v>
      </c>
      <c r="R2535" s="77">
        <v>0</v>
      </c>
      <c r="S2535" s="77">
        <v>0</v>
      </c>
      <c r="T2535" s="77">
        <v>0</v>
      </c>
      <c r="U2535" s="77">
        <v>0</v>
      </c>
      <c r="V2535" s="77">
        <v>516</v>
      </c>
      <c r="W2535" s="82" t="s">
        <v>6036</v>
      </c>
      <c r="X2535" s="80" t="str">
        <f>HYPERLINK("https://mla.bs/728018e4")</f>
        <v>https://mla.bs/728018e4</v>
      </c>
      <c r="Y2535" s="77" t="s">
        <v>6506</v>
      </c>
      <c r="Z2535" s="77"/>
      <c r="AA2535" s="77"/>
      <c r="AB2535" s="77"/>
      <c r="AC2535" s="82" t="s">
        <v>7750</v>
      </c>
      <c r="AD2535" s="77" t="s">
        <v>7788</v>
      </c>
      <c r="AE2535" s="80" t="str">
        <f>HYPERLINK("https://twitter.com/einvestidor/status/1694813077030514821")</f>
        <v>https://twitter.com/einvestidor/status/1694813077030514821</v>
      </c>
      <c r="AF2535" s="79">
        <v>45162.864583333336</v>
      </c>
      <c r="AG2535" s="85">
        <v>45162</v>
      </c>
      <c r="AH2535" s="82" t="s">
        <v>9596</v>
      </c>
      <c r="AI2535" s="77" t="b">
        <v>0</v>
      </c>
      <c r="AJ2535" s="77"/>
      <c r="AK2535" s="77"/>
      <c r="AL2535" s="77"/>
      <c r="AM2535" s="77"/>
      <c r="AN2535" s="77"/>
      <c r="AO2535" s="77"/>
      <c r="AP2535" s="77"/>
      <c r="AQ2535" s="77"/>
      <c r="AR2535" s="77"/>
      <c r="AS2535" s="77"/>
      <c r="AT2535" s="77"/>
      <c r="AU2535" s="77"/>
      <c r="AV2535" s="80" t="str">
        <f>HYPERLINK("https://pbs.twimg.com/profile_images/1241147984924082183/gZgx_hL-_normal.jpg")</f>
        <v>https://pbs.twimg.com/profile_images/1241147984924082183/gZgx_hL-_normal.jpg</v>
      </c>
      <c r="AW2535" s="82" t="s">
        <v>14131</v>
      </c>
      <c r="AX2535" s="82" t="s">
        <v>14131</v>
      </c>
      <c r="AY2535" s="77"/>
      <c r="AZ2535" s="82" t="s">
        <v>15984</v>
      </c>
      <c r="BA2535" s="82" t="s">
        <v>15984</v>
      </c>
      <c r="BB2535" s="82" t="s">
        <v>15984</v>
      </c>
      <c r="BC2535" s="82" t="s">
        <v>14131</v>
      </c>
      <c r="BD2535" s="82" t="s">
        <v>15979</v>
      </c>
      <c r="BE2535" s="77"/>
      <c r="BF2535" s="77"/>
      <c r="BG2535" s="77"/>
      <c r="BH2535" s="77"/>
      <c r="BI2535" s="77"/>
    </row>
    <row r="2536" spans="1:61" x14ac:dyDescent="0.25">
      <c r="A2536" s="62" t="s">
        <v>387</v>
      </c>
      <c r="B2536" s="62" t="s">
        <v>387</v>
      </c>
      <c r="C2536" s="63"/>
      <c r="D2536" s="64"/>
      <c r="E2536" s="65"/>
      <c r="F2536" s="66"/>
      <c r="G2536" s="63"/>
      <c r="H2536" s="67"/>
      <c r="I2536" s="68"/>
      <c r="J2536" s="68"/>
      <c r="K2536" s="32"/>
      <c r="L2536" s="75">
        <v>2536</v>
      </c>
      <c r="M2536" s="75"/>
      <c r="N2536" s="70"/>
      <c r="O2536" s="77" t="s">
        <v>179</v>
      </c>
      <c r="P2536" s="79">
        <v>45162.854166666664</v>
      </c>
      <c r="Q2536" s="77" t="s">
        <v>3208</v>
      </c>
      <c r="R2536" s="77">
        <v>0</v>
      </c>
      <c r="S2536" s="77">
        <v>1</v>
      </c>
      <c r="T2536" s="77">
        <v>0</v>
      </c>
      <c r="U2536" s="77">
        <v>0</v>
      </c>
      <c r="V2536" s="77">
        <v>579</v>
      </c>
      <c r="W2536" s="82" t="s">
        <v>4833</v>
      </c>
      <c r="X2536" s="80" t="str">
        <f>HYPERLINK("https://mla.bs/2f4c234b")</f>
        <v>https://mla.bs/2f4c234b</v>
      </c>
      <c r="Y2536" s="77" t="s">
        <v>6506</v>
      </c>
      <c r="Z2536" s="77"/>
      <c r="AA2536" s="77"/>
      <c r="AB2536" s="77"/>
      <c r="AC2536" s="82" t="s">
        <v>7750</v>
      </c>
      <c r="AD2536" s="77" t="s">
        <v>7788</v>
      </c>
      <c r="AE2536" s="80" t="str">
        <f>HYPERLINK("https://twitter.com/einvestidor/status/1694809301657829567")</f>
        <v>https://twitter.com/einvestidor/status/1694809301657829567</v>
      </c>
      <c r="AF2536" s="79">
        <v>45162.854166666664</v>
      </c>
      <c r="AG2536" s="85">
        <v>45162</v>
      </c>
      <c r="AH2536" s="82" t="s">
        <v>8090</v>
      </c>
      <c r="AI2536" s="77" t="b">
        <v>0</v>
      </c>
      <c r="AJ2536" s="77"/>
      <c r="AK2536" s="77"/>
      <c r="AL2536" s="77"/>
      <c r="AM2536" s="77"/>
      <c r="AN2536" s="77"/>
      <c r="AO2536" s="77"/>
      <c r="AP2536" s="77"/>
      <c r="AQ2536" s="77"/>
      <c r="AR2536" s="77"/>
      <c r="AS2536" s="77"/>
      <c r="AT2536" s="77"/>
      <c r="AU2536" s="77"/>
      <c r="AV2536" s="80" t="str">
        <f>HYPERLINK("https://pbs.twimg.com/profile_images/1241147984924082183/gZgx_hL-_normal.jpg")</f>
        <v>https://pbs.twimg.com/profile_images/1241147984924082183/gZgx_hL-_normal.jpg</v>
      </c>
      <c r="AW2536" s="82" t="s">
        <v>14132</v>
      </c>
      <c r="AX2536" s="82" t="s">
        <v>14132</v>
      </c>
      <c r="AY2536" s="77"/>
      <c r="AZ2536" s="82" t="s">
        <v>15984</v>
      </c>
      <c r="BA2536" s="82" t="s">
        <v>15984</v>
      </c>
      <c r="BB2536" s="82" t="s">
        <v>15984</v>
      </c>
      <c r="BC2536" s="82" t="s">
        <v>14132</v>
      </c>
      <c r="BD2536" s="82" t="s">
        <v>15979</v>
      </c>
      <c r="BE2536" s="77"/>
      <c r="BF2536" s="77"/>
      <c r="BG2536" s="77"/>
      <c r="BH2536" s="77"/>
      <c r="BI2536" s="77"/>
    </row>
    <row r="2537" spans="1:61" x14ac:dyDescent="0.25">
      <c r="A2537" s="62" t="s">
        <v>387</v>
      </c>
      <c r="B2537" s="62" t="s">
        <v>387</v>
      </c>
      <c r="C2537" s="63"/>
      <c r="D2537" s="64"/>
      <c r="E2537" s="65"/>
      <c r="F2537" s="66"/>
      <c r="G2537" s="63"/>
      <c r="H2537" s="67"/>
      <c r="I2537" s="68"/>
      <c r="J2537" s="68"/>
      <c r="K2537" s="32"/>
      <c r="L2537" s="75">
        <v>2537</v>
      </c>
      <c r="M2537" s="75"/>
      <c r="N2537" s="70"/>
      <c r="O2537" s="77" t="s">
        <v>179</v>
      </c>
      <c r="P2537" s="79">
        <v>45162.84375</v>
      </c>
      <c r="Q2537" s="77" t="s">
        <v>3209</v>
      </c>
      <c r="R2537" s="77">
        <v>0</v>
      </c>
      <c r="S2537" s="77">
        <v>0</v>
      </c>
      <c r="T2537" s="77">
        <v>0</v>
      </c>
      <c r="U2537" s="77">
        <v>0</v>
      </c>
      <c r="V2537" s="77">
        <v>410</v>
      </c>
      <c r="W2537" s="82" t="s">
        <v>6037</v>
      </c>
      <c r="X2537" s="80" t="str">
        <f>HYPERLINK("https://mla.bs/d0b0e010")</f>
        <v>https://mla.bs/d0b0e010</v>
      </c>
      <c r="Y2537" s="77" t="s">
        <v>6506</v>
      </c>
      <c r="Z2537" s="77"/>
      <c r="AA2537" s="77"/>
      <c r="AB2537" s="77"/>
      <c r="AC2537" s="82" t="s">
        <v>7750</v>
      </c>
      <c r="AD2537" s="77" t="s">
        <v>7788</v>
      </c>
      <c r="AE2537" s="80" t="str">
        <f>HYPERLINK("https://twitter.com/einvestidor/status/1694805527249690889")</f>
        <v>https://twitter.com/einvestidor/status/1694805527249690889</v>
      </c>
      <c r="AF2537" s="79">
        <v>45162.84375</v>
      </c>
      <c r="AG2537" s="85">
        <v>45162</v>
      </c>
      <c r="AH2537" s="82" t="s">
        <v>9296</v>
      </c>
      <c r="AI2537" s="77" t="b">
        <v>0</v>
      </c>
      <c r="AJ2537" s="77"/>
      <c r="AK2537" s="77"/>
      <c r="AL2537" s="77"/>
      <c r="AM2537" s="77"/>
      <c r="AN2537" s="77"/>
      <c r="AO2537" s="77"/>
      <c r="AP2537" s="77"/>
      <c r="AQ2537" s="77"/>
      <c r="AR2537" s="77"/>
      <c r="AS2537" s="77"/>
      <c r="AT2537" s="77"/>
      <c r="AU2537" s="77"/>
      <c r="AV2537" s="80" t="str">
        <f>HYPERLINK("https://pbs.twimg.com/profile_images/1241147984924082183/gZgx_hL-_normal.jpg")</f>
        <v>https://pbs.twimg.com/profile_images/1241147984924082183/gZgx_hL-_normal.jpg</v>
      </c>
      <c r="AW2537" s="82" t="s">
        <v>14133</v>
      </c>
      <c r="AX2537" s="82" t="s">
        <v>14133</v>
      </c>
      <c r="AY2537" s="77"/>
      <c r="AZ2537" s="82" t="s">
        <v>15984</v>
      </c>
      <c r="BA2537" s="82" t="s">
        <v>15984</v>
      </c>
      <c r="BB2537" s="82" t="s">
        <v>15984</v>
      </c>
      <c r="BC2537" s="82" t="s">
        <v>14133</v>
      </c>
      <c r="BD2537" s="82" t="s">
        <v>15979</v>
      </c>
      <c r="BE2537" s="77"/>
      <c r="BF2537" s="77"/>
      <c r="BG2537" s="77"/>
      <c r="BH2537" s="77"/>
      <c r="BI2537" s="77"/>
    </row>
    <row r="2538" spans="1:61" x14ac:dyDescent="0.25">
      <c r="A2538" s="62" t="s">
        <v>387</v>
      </c>
      <c r="B2538" s="62" t="s">
        <v>387</v>
      </c>
      <c r="C2538" s="63"/>
      <c r="D2538" s="64"/>
      <c r="E2538" s="65"/>
      <c r="F2538" s="66"/>
      <c r="G2538" s="63"/>
      <c r="H2538" s="67"/>
      <c r="I2538" s="68"/>
      <c r="J2538" s="68"/>
      <c r="K2538" s="32"/>
      <c r="L2538" s="75">
        <v>2538</v>
      </c>
      <c r="M2538" s="75"/>
      <c r="N2538" s="70"/>
      <c r="O2538" s="77" t="s">
        <v>179</v>
      </c>
      <c r="P2538" s="79">
        <v>45138.892222222225</v>
      </c>
      <c r="Q2538" s="77" t="s">
        <v>3210</v>
      </c>
      <c r="R2538" s="77">
        <v>0</v>
      </c>
      <c r="S2538" s="77">
        <v>1</v>
      </c>
      <c r="T2538" s="77">
        <v>0</v>
      </c>
      <c r="U2538" s="77">
        <v>0</v>
      </c>
      <c r="V2538" s="77">
        <v>676</v>
      </c>
      <c r="W2538" s="82" t="s">
        <v>6038</v>
      </c>
      <c r="X2538" s="80" t="str">
        <f>HYPERLINK("https://mla.bs/996c6301")</f>
        <v>https://mla.bs/996c6301</v>
      </c>
      <c r="Y2538" s="77" t="s">
        <v>6506</v>
      </c>
      <c r="Z2538" s="77"/>
      <c r="AA2538" s="77"/>
      <c r="AB2538" s="77"/>
      <c r="AC2538" s="82" t="s">
        <v>7754</v>
      </c>
      <c r="AD2538" s="77" t="s">
        <v>7788</v>
      </c>
      <c r="AE2538" s="80" t="str">
        <f>HYPERLINK("https://twitter.com/einvestidor/status/1686125786036654087")</f>
        <v>https://twitter.com/einvestidor/status/1686125786036654087</v>
      </c>
      <c r="AF2538" s="79">
        <v>45138.892222222225</v>
      </c>
      <c r="AG2538" s="85">
        <v>45138</v>
      </c>
      <c r="AH2538" s="82" t="s">
        <v>9753</v>
      </c>
      <c r="AI2538" s="77" t="b">
        <v>0</v>
      </c>
      <c r="AJ2538" s="77"/>
      <c r="AK2538" s="77"/>
      <c r="AL2538" s="77"/>
      <c r="AM2538" s="77"/>
      <c r="AN2538" s="77"/>
      <c r="AO2538" s="77"/>
      <c r="AP2538" s="77"/>
      <c r="AQ2538" s="77"/>
      <c r="AR2538" s="77"/>
      <c r="AS2538" s="77"/>
      <c r="AT2538" s="77"/>
      <c r="AU2538" s="77"/>
      <c r="AV2538" s="80" t="str">
        <f>HYPERLINK("https://pbs.twimg.com/profile_images/1241147984924082183/gZgx_hL-_normal.jpg")</f>
        <v>https://pbs.twimg.com/profile_images/1241147984924082183/gZgx_hL-_normal.jpg</v>
      </c>
      <c r="AW2538" s="82" t="s">
        <v>14134</v>
      </c>
      <c r="AX2538" s="82" t="s">
        <v>14134</v>
      </c>
      <c r="AY2538" s="77"/>
      <c r="AZ2538" s="82" t="s">
        <v>15984</v>
      </c>
      <c r="BA2538" s="82" t="s">
        <v>15984</v>
      </c>
      <c r="BB2538" s="82" t="s">
        <v>15984</v>
      </c>
      <c r="BC2538" s="82" t="s">
        <v>14134</v>
      </c>
      <c r="BD2538" s="82" t="s">
        <v>15979</v>
      </c>
      <c r="BE2538" s="77"/>
      <c r="BF2538" s="77"/>
      <c r="BG2538" s="77"/>
      <c r="BH2538" s="77"/>
      <c r="BI2538" s="77"/>
    </row>
    <row r="2539" spans="1:61" x14ac:dyDescent="0.25">
      <c r="A2539" s="62" t="s">
        <v>387</v>
      </c>
      <c r="B2539" s="62" t="s">
        <v>387</v>
      </c>
      <c r="C2539" s="63"/>
      <c r="D2539" s="64"/>
      <c r="E2539" s="65"/>
      <c r="F2539" s="66"/>
      <c r="G2539" s="63"/>
      <c r="H2539" s="67"/>
      <c r="I2539" s="68"/>
      <c r="J2539" s="68"/>
      <c r="K2539" s="32"/>
      <c r="L2539" s="75">
        <v>2539</v>
      </c>
      <c r="M2539" s="75"/>
      <c r="N2539" s="70"/>
      <c r="O2539" s="77" t="s">
        <v>179</v>
      </c>
      <c r="P2539" s="79">
        <v>45138.891712962963</v>
      </c>
      <c r="Q2539" s="77" t="s">
        <v>3211</v>
      </c>
      <c r="R2539" s="77">
        <v>0</v>
      </c>
      <c r="S2539" s="77">
        <v>1</v>
      </c>
      <c r="T2539" s="77">
        <v>0</v>
      </c>
      <c r="U2539" s="77">
        <v>0</v>
      </c>
      <c r="V2539" s="77">
        <v>624</v>
      </c>
      <c r="W2539" s="82" t="s">
        <v>6039</v>
      </c>
      <c r="X2539" s="80" t="str">
        <f>HYPERLINK("https://mla.bs/00e81787")</f>
        <v>https://mla.bs/00e81787</v>
      </c>
      <c r="Y2539" s="77" t="s">
        <v>6506</v>
      </c>
      <c r="Z2539" s="77"/>
      <c r="AA2539" s="77"/>
      <c r="AB2539" s="77"/>
      <c r="AC2539" s="82" t="s">
        <v>7754</v>
      </c>
      <c r="AD2539" s="77" t="s">
        <v>7788</v>
      </c>
      <c r="AE2539" s="80" t="str">
        <f>HYPERLINK("https://twitter.com/einvestidor/status/1686125601931825152")</f>
        <v>https://twitter.com/einvestidor/status/1686125601931825152</v>
      </c>
      <c r="AF2539" s="79">
        <v>45138.891712962963</v>
      </c>
      <c r="AG2539" s="85">
        <v>45138</v>
      </c>
      <c r="AH2539" s="82" t="s">
        <v>9754</v>
      </c>
      <c r="AI2539" s="77" t="b">
        <v>0</v>
      </c>
      <c r="AJ2539" s="77"/>
      <c r="AK2539" s="77"/>
      <c r="AL2539" s="77"/>
      <c r="AM2539" s="77"/>
      <c r="AN2539" s="77"/>
      <c r="AO2539" s="77"/>
      <c r="AP2539" s="77"/>
      <c r="AQ2539" s="77"/>
      <c r="AR2539" s="77"/>
      <c r="AS2539" s="77"/>
      <c r="AT2539" s="77"/>
      <c r="AU2539" s="77"/>
      <c r="AV2539" s="80" t="str">
        <f>HYPERLINK("https://pbs.twimg.com/profile_images/1241147984924082183/gZgx_hL-_normal.jpg")</f>
        <v>https://pbs.twimg.com/profile_images/1241147984924082183/gZgx_hL-_normal.jpg</v>
      </c>
      <c r="AW2539" s="82" t="s">
        <v>14135</v>
      </c>
      <c r="AX2539" s="82" t="s">
        <v>14135</v>
      </c>
      <c r="AY2539" s="77"/>
      <c r="AZ2539" s="82" t="s">
        <v>15984</v>
      </c>
      <c r="BA2539" s="82" t="s">
        <v>15984</v>
      </c>
      <c r="BB2539" s="82" t="s">
        <v>15984</v>
      </c>
      <c r="BC2539" s="82" t="s">
        <v>14135</v>
      </c>
      <c r="BD2539" s="82" t="s">
        <v>15979</v>
      </c>
      <c r="BE2539" s="77"/>
      <c r="BF2539" s="77"/>
      <c r="BG2539" s="77"/>
      <c r="BH2539" s="77"/>
      <c r="BI2539" s="77"/>
    </row>
    <row r="2540" spans="1:61" x14ac:dyDescent="0.25">
      <c r="A2540" s="62" t="s">
        <v>387</v>
      </c>
      <c r="B2540" s="62" t="s">
        <v>387</v>
      </c>
      <c r="C2540" s="63"/>
      <c r="D2540" s="64"/>
      <c r="E2540" s="65"/>
      <c r="F2540" s="66"/>
      <c r="G2540" s="63"/>
      <c r="H2540" s="67"/>
      <c r="I2540" s="68"/>
      <c r="J2540" s="68"/>
      <c r="K2540" s="32"/>
      <c r="L2540" s="75">
        <v>2540</v>
      </c>
      <c r="M2540" s="75"/>
      <c r="N2540" s="70"/>
      <c r="O2540" s="77" t="s">
        <v>179</v>
      </c>
      <c r="P2540" s="79">
        <v>45138.885416666664</v>
      </c>
      <c r="Q2540" s="77" t="s">
        <v>3212</v>
      </c>
      <c r="R2540" s="77">
        <v>0</v>
      </c>
      <c r="S2540" s="77">
        <v>3</v>
      </c>
      <c r="T2540" s="77">
        <v>0</v>
      </c>
      <c r="U2540" s="77">
        <v>0</v>
      </c>
      <c r="V2540" s="77">
        <v>594</v>
      </c>
      <c r="W2540" s="82" t="s">
        <v>4833</v>
      </c>
      <c r="X2540" s="80" t="str">
        <f>HYPERLINK("https://mla.bs/6a008a8b")</f>
        <v>https://mla.bs/6a008a8b</v>
      </c>
      <c r="Y2540" s="77" t="s">
        <v>6506</v>
      </c>
      <c r="Z2540" s="77"/>
      <c r="AA2540" s="77"/>
      <c r="AB2540" s="77"/>
      <c r="AC2540" s="82" t="s">
        <v>7754</v>
      </c>
      <c r="AD2540" s="77" t="s">
        <v>7788</v>
      </c>
      <c r="AE2540" s="80" t="str">
        <f>HYPERLINK("https://twitter.com/einvestidor/status/1686123317424787456")</f>
        <v>https://twitter.com/einvestidor/status/1686123317424787456</v>
      </c>
      <c r="AF2540" s="79">
        <v>45138.885416666664</v>
      </c>
      <c r="AG2540" s="85">
        <v>45138</v>
      </c>
      <c r="AH2540" s="82" t="s">
        <v>8206</v>
      </c>
      <c r="AI2540" s="77" t="b">
        <v>0</v>
      </c>
      <c r="AJ2540" s="77"/>
      <c r="AK2540" s="77"/>
      <c r="AL2540" s="77"/>
      <c r="AM2540" s="77"/>
      <c r="AN2540" s="77"/>
      <c r="AO2540" s="77"/>
      <c r="AP2540" s="77"/>
      <c r="AQ2540" s="77"/>
      <c r="AR2540" s="77"/>
      <c r="AS2540" s="77"/>
      <c r="AT2540" s="77"/>
      <c r="AU2540" s="77"/>
      <c r="AV2540" s="80" t="str">
        <f>HYPERLINK("https://pbs.twimg.com/profile_images/1241147984924082183/gZgx_hL-_normal.jpg")</f>
        <v>https://pbs.twimg.com/profile_images/1241147984924082183/gZgx_hL-_normal.jpg</v>
      </c>
      <c r="AW2540" s="82" t="s">
        <v>14136</v>
      </c>
      <c r="AX2540" s="82" t="s">
        <v>14136</v>
      </c>
      <c r="AY2540" s="77"/>
      <c r="AZ2540" s="82" t="s">
        <v>15984</v>
      </c>
      <c r="BA2540" s="82" t="s">
        <v>15984</v>
      </c>
      <c r="BB2540" s="82" t="s">
        <v>15984</v>
      </c>
      <c r="BC2540" s="82" t="s">
        <v>14136</v>
      </c>
      <c r="BD2540" s="82" t="s">
        <v>15979</v>
      </c>
      <c r="BE2540" s="77"/>
      <c r="BF2540" s="77"/>
      <c r="BG2540" s="77"/>
      <c r="BH2540" s="77"/>
      <c r="BI2540" s="77"/>
    </row>
    <row r="2541" spans="1:61" x14ac:dyDescent="0.25">
      <c r="A2541" s="62" t="s">
        <v>387</v>
      </c>
      <c r="B2541" s="62" t="s">
        <v>387</v>
      </c>
      <c r="C2541" s="63"/>
      <c r="D2541" s="64"/>
      <c r="E2541" s="65"/>
      <c r="F2541" s="66"/>
      <c r="G2541" s="63"/>
      <c r="H2541" s="67"/>
      <c r="I2541" s="68"/>
      <c r="J2541" s="68"/>
      <c r="K2541" s="32"/>
      <c r="L2541" s="75">
        <v>2541</v>
      </c>
      <c r="M2541" s="75"/>
      <c r="N2541" s="70"/>
      <c r="O2541" s="77" t="s">
        <v>179</v>
      </c>
      <c r="P2541" s="79">
        <v>45138.864583333336</v>
      </c>
      <c r="Q2541" s="77" t="s">
        <v>3213</v>
      </c>
      <c r="R2541" s="77">
        <v>0</v>
      </c>
      <c r="S2541" s="77">
        <v>1</v>
      </c>
      <c r="T2541" s="77">
        <v>0</v>
      </c>
      <c r="U2541" s="77">
        <v>0</v>
      </c>
      <c r="V2541" s="77">
        <v>566</v>
      </c>
      <c r="W2541" s="82" t="s">
        <v>4833</v>
      </c>
      <c r="X2541" s="80" t="str">
        <f>HYPERLINK("https://mla.bs/5e8df3db")</f>
        <v>https://mla.bs/5e8df3db</v>
      </c>
      <c r="Y2541" s="77" t="s">
        <v>6506</v>
      </c>
      <c r="Z2541" s="77"/>
      <c r="AA2541" s="77"/>
      <c r="AB2541" s="77"/>
      <c r="AC2541" s="82" t="s">
        <v>7754</v>
      </c>
      <c r="AD2541" s="77" t="s">
        <v>7788</v>
      </c>
      <c r="AE2541" s="80" t="str">
        <f>HYPERLINK("https://twitter.com/einvestidor/status/1686115767811444736")</f>
        <v>https://twitter.com/einvestidor/status/1686115767811444736</v>
      </c>
      <c r="AF2541" s="79">
        <v>45138.864583333336</v>
      </c>
      <c r="AG2541" s="85">
        <v>45138</v>
      </c>
      <c r="AH2541" s="82" t="s">
        <v>9596</v>
      </c>
      <c r="AI2541" s="77" t="b">
        <v>0</v>
      </c>
      <c r="AJ2541" s="77"/>
      <c r="AK2541" s="77"/>
      <c r="AL2541" s="77"/>
      <c r="AM2541" s="77"/>
      <c r="AN2541" s="77"/>
      <c r="AO2541" s="77"/>
      <c r="AP2541" s="77"/>
      <c r="AQ2541" s="77"/>
      <c r="AR2541" s="77"/>
      <c r="AS2541" s="77"/>
      <c r="AT2541" s="77"/>
      <c r="AU2541" s="77"/>
      <c r="AV2541" s="80" t="str">
        <f>HYPERLINK("https://pbs.twimg.com/profile_images/1241147984924082183/gZgx_hL-_normal.jpg")</f>
        <v>https://pbs.twimg.com/profile_images/1241147984924082183/gZgx_hL-_normal.jpg</v>
      </c>
      <c r="AW2541" s="82" t="s">
        <v>14137</v>
      </c>
      <c r="AX2541" s="82" t="s">
        <v>14137</v>
      </c>
      <c r="AY2541" s="77"/>
      <c r="AZ2541" s="82" t="s">
        <v>15984</v>
      </c>
      <c r="BA2541" s="82" t="s">
        <v>15984</v>
      </c>
      <c r="BB2541" s="82" t="s">
        <v>15984</v>
      </c>
      <c r="BC2541" s="82" t="s">
        <v>14137</v>
      </c>
      <c r="BD2541" s="82" t="s">
        <v>15979</v>
      </c>
      <c r="BE2541" s="77"/>
      <c r="BF2541" s="77"/>
      <c r="BG2541" s="77"/>
      <c r="BH2541" s="77"/>
      <c r="BI2541" s="77"/>
    </row>
    <row r="2542" spans="1:61" x14ac:dyDescent="0.25">
      <c r="A2542" s="62" t="s">
        <v>387</v>
      </c>
      <c r="B2542" s="62" t="s">
        <v>387</v>
      </c>
      <c r="C2542" s="63"/>
      <c r="D2542" s="64"/>
      <c r="E2542" s="65"/>
      <c r="F2542" s="66"/>
      <c r="G2542" s="63"/>
      <c r="H2542" s="67"/>
      <c r="I2542" s="68"/>
      <c r="J2542" s="68"/>
      <c r="K2542" s="32"/>
      <c r="L2542" s="75">
        <v>2542</v>
      </c>
      <c r="M2542" s="75"/>
      <c r="N2542" s="70"/>
      <c r="O2542" s="77" t="s">
        <v>179</v>
      </c>
      <c r="P2542" s="79">
        <v>45138.854166666664</v>
      </c>
      <c r="Q2542" s="77" t="s">
        <v>3214</v>
      </c>
      <c r="R2542" s="77">
        <v>1</v>
      </c>
      <c r="S2542" s="77">
        <v>3</v>
      </c>
      <c r="T2542" s="77">
        <v>1</v>
      </c>
      <c r="U2542" s="77">
        <v>0</v>
      </c>
      <c r="V2542" s="77">
        <v>472</v>
      </c>
      <c r="W2542" s="82" t="s">
        <v>4833</v>
      </c>
      <c r="X2542" s="80" t="str">
        <f>HYPERLINK("https://mla.bs/0a2e7cea")</f>
        <v>https://mla.bs/0a2e7cea</v>
      </c>
      <c r="Y2542" s="77" t="s">
        <v>6506</v>
      </c>
      <c r="Z2542" s="77"/>
      <c r="AA2542" s="77"/>
      <c r="AB2542" s="77"/>
      <c r="AC2542" s="82" t="s">
        <v>7754</v>
      </c>
      <c r="AD2542" s="77" t="s">
        <v>7788</v>
      </c>
      <c r="AE2542" s="80" t="str">
        <f>HYPERLINK("https://twitter.com/einvestidor/status/1686111993604743168")</f>
        <v>https://twitter.com/einvestidor/status/1686111993604743168</v>
      </c>
      <c r="AF2542" s="79">
        <v>45138.854166666664</v>
      </c>
      <c r="AG2542" s="85">
        <v>45138</v>
      </c>
      <c r="AH2542" s="82" t="s">
        <v>8090</v>
      </c>
      <c r="AI2542" s="77" t="b">
        <v>0</v>
      </c>
      <c r="AJ2542" s="77"/>
      <c r="AK2542" s="77"/>
      <c r="AL2542" s="77"/>
      <c r="AM2542" s="77"/>
      <c r="AN2542" s="77"/>
      <c r="AO2542" s="77"/>
      <c r="AP2542" s="77"/>
      <c r="AQ2542" s="77"/>
      <c r="AR2542" s="77"/>
      <c r="AS2542" s="77"/>
      <c r="AT2542" s="77"/>
      <c r="AU2542" s="77"/>
      <c r="AV2542" s="80" t="str">
        <f>HYPERLINK("https://pbs.twimg.com/profile_images/1241147984924082183/gZgx_hL-_normal.jpg")</f>
        <v>https://pbs.twimg.com/profile_images/1241147984924082183/gZgx_hL-_normal.jpg</v>
      </c>
      <c r="AW2542" s="82" t="s">
        <v>14138</v>
      </c>
      <c r="AX2542" s="82" t="s">
        <v>14138</v>
      </c>
      <c r="AY2542" s="77"/>
      <c r="AZ2542" s="82" t="s">
        <v>15984</v>
      </c>
      <c r="BA2542" s="82" t="s">
        <v>15984</v>
      </c>
      <c r="BB2542" s="82" t="s">
        <v>15984</v>
      </c>
      <c r="BC2542" s="82" t="s">
        <v>14138</v>
      </c>
      <c r="BD2542" s="82" t="s">
        <v>15979</v>
      </c>
      <c r="BE2542" s="77"/>
      <c r="BF2542" s="77"/>
      <c r="BG2542" s="77"/>
      <c r="BH2542" s="77"/>
      <c r="BI2542" s="77"/>
    </row>
    <row r="2543" spans="1:61" x14ac:dyDescent="0.25">
      <c r="A2543" s="62" t="s">
        <v>387</v>
      </c>
      <c r="B2543" s="62" t="s">
        <v>387</v>
      </c>
      <c r="C2543" s="63"/>
      <c r="D2543" s="64"/>
      <c r="E2543" s="65"/>
      <c r="F2543" s="66"/>
      <c r="G2543" s="63"/>
      <c r="H2543" s="67"/>
      <c r="I2543" s="68"/>
      <c r="J2543" s="68"/>
      <c r="K2543" s="32"/>
      <c r="L2543" s="75">
        <v>2543</v>
      </c>
      <c r="M2543" s="75"/>
      <c r="N2543" s="70"/>
      <c r="O2543" s="77" t="s">
        <v>179</v>
      </c>
      <c r="P2543" s="79">
        <v>45138.84375</v>
      </c>
      <c r="Q2543" s="77" t="s">
        <v>3215</v>
      </c>
      <c r="R2543" s="77">
        <v>0</v>
      </c>
      <c r="S2543" s="77">
        <v>1</v>
      </c>
      <c r="T2543" s="77">
        <v>0</v>
      </c>
      <c r="U2543" s="77">
        <v>0</v>
      </c>
      <c r="V2543" s="77">
        <v>531</v>
      </c>
      <c r="W2543" s="82" t="s">
        <v>4833</v>
      </c>
      <c r="X2543" s="80" t="str">
        <f>HYPERLINK("https://mla.bs/bd73ee7e")</f>
        <v>https://mla.bs/bd73ee7e</v>
      </c>
      <c r="Y2543" s="77" t="s">
        <v>6506</v>
      </c>
      <c r="Z2543" s="77"/>
      <c r="AA2543" s="77"/>
      <c r="AB2543" s="77"/>
      <c r="AC2543" s="82" t="s">
        <v>7754</v>
      </c>
      <c r="AD2543" s="77" t="s">
        <v>7788</v>
      </c>
      <c r="AE2543" s="80" t="str">
        <f>HYPERLINK("https://twitter.com/einvestidor/status/1686108218085240832")</f>
        <v>https://twitter.com/einvestidor/status/1686108218085240832</v>
      </c>
      <c r="AF2543" s="79">
        <v>45138.84375</v>
      </c>
      <c r="AG2543" s="85">
        <v>45138</v>
      </c>
      <c r="AH2543" s="82" t="s">
        <v>9296</v>
      </c>
      <c r="AI2543" s="77" t="b">
        <v>0</v>
      </c>
      <c r="AJ2543" s="77"/>
      <c r="AK2543" s="77"/>
      <c r="AL2543" s="77"/>
      <c r="AM2543" s="77"/>
      <c r="AN2543" s="77"/>
      <c r="AO2543" s="77"/>
      <c r="AP2543" s="77"/>
      <c r="AQ2543" s="77"/>
      <c r="AR2543" s="77"/>
      <c r="AS2543" s="77"/>
      <c r="AT2543" s="77"/>
      <c r="AU2543" s="77"/>
      <c r="AV2543" s="80" t="str">
        <f>HYPERLINK("https://pbs.twimg.com/profile_images/1241147984924082183/gZgx_hL-_normal.jpg")</f>
        <v>https://pbs.twimg.com/profile_images/1241147984924082183/gZgx_hL-_normal.jpg</v>
      </c>
      <c r="AW2543" s="82" t="s">
        <v>14139</v>
      </c>
      <c r="AX2543" s="82" t="s">
        <v>14139</v>
      </c>
      <c r="AY2543" s="77"/>
      <c r="AZ2543" s="82" t="s">
        <v>15984</v>
      </c>
      <c r="BA2543" s="82" t="s">
        <v>15984</v>
      </c>
      <c r="BB2543" s="82" t="s">
        <v>15984</v>
      </c>
      <c r="BC2543" s="82" t="s">
        <v>14139</v>
      </c>
      <c r="BD2543" s="82" t="s">
        <v>15979</v>
      </c>
      <c r="BE2543" s="77"/>
      <c r="BF2543" s="77"/>
      <c r="BG2543" s="77"/>
      <c r="BH2543" s="77"/>
      <c r="BI2543" s="77"/>
    </row>
    <row r="2544" spans="1:61" x14ac:dyDescent="0.25">
      <c r="A2544" s="62" t="s">
        <v>387</v>
      </c>
      <c r="B2544" s="62" t="s">
        <v>387</v>
      </c>
      <c r="C2544" s="63"/>
      <c r="D2544" s="64"/>
      <c r="E2544" s="65"/>
      <c r="F2544" s="66"/>
      <c r="G2544" s="63"/>
      <c r="H2544" s="67"/>
      <c r="I2544" s="68"/>
      <c r="J2544" s="68"/>
      <c r="K2544" s="32"/>
      <c r="L2544" s="75">
        <v>2544</v>
      </c>
      <c r="M2544" s="75"/>
      <c r="N2544" s="70"/>
      <c r="O2544" s="77" t="s">
        <v>179</v>
      </c>
      <c r="P2544" s="79">
        <v>45138.833333333336</v>
      </c>
      <c r="Q2544" s="77" t="s">
        <v>3216</v>
      </c>
      <c r="R2544" s="77">
        <v>0</v>
      </c>
      <c r="S2544" s="77">
        <v>1</v>
      </c>
      <c r="T2544" s="77">
        <v>0</v>
      </c>
      <c r="U2544" s="77">
        <v>0</v>
      </c>
      <c r="V2544" s="77">
        <v>473</v>
      </c>
      <c r="W2544" s="82" t="s">
        <v>4833</v>
      </c>
      <c r="X2544" s="80" t="str">
        <f>HYPERLINK("https://mla.bs/b17438e6")</f>
        <v>https://mla.bs/b17438e6</v>
      </c>
      <c r="Y2544" s="77" t="s">
        <v>6506</v>
      </c>
      <c r="Z2544" s="77"/>
      <c r="AA2544" s="77"/>
      <c r="AB2544" s="77"/>
      <c r="AC2544" s="82" t="s">
        <v>7754</v>
      </c>
      <c r="AD2544" s="77" t="s">
        <v>7788</v>
      </c>
      <c r="AE2544" s="80" t="str">
        <f>HYPERLINK("https://twitter.com/einvestidor/status/1686104444444766208")</f>
        <v>https://twitter.com/einvestidor/status/1686104444444766208</v>
      </c>
      <c r="AF2544" s="79">
        <v>45138.833333333336</v>
      </c>
      <c r="AG2544" s="85">
        <v>45138</v>
      </c>
      <c r="AH2544" s="82" t="s">
        <v>8381</v>
      </c>
      <c r="AI2544" s="77" t="b">
        <v>0</v>
      </c>
      <c r="AJ2544" s="77"/>
      <c r="AK2544" s="77"/>
      <c r="AL2544" s="77"/>
      <c r="AM2544" s="77"/>
      <c r="AN2544" s="77"/>
      <c r="AO2544" s="77"/>
      <c r="AP2544" s="77"/>
      <c r="AQ2544" s="77"/>
      <c r="AR2544" s="77"/>
      <c r="AS2544" s="77"/>
      <c r="AT2544" s="77"/>
      <c r="AU2544" s="77"/>
      <c r="AV2544" s="80" t="str">
        <f>HYPERLINK("https://pbs.twimg.com/profile_images/1241147984924082183/gZgx_hL-_normal.jpg")</f>
        <v>https://pbs.twimg.com/profile_images/1241147984924082183/gZgx_hL-_normal.jpg</v>
      </c>
      <c r="AW2544" s="82" t="s">
        <v>14140</v>
      </c>
      <c r="AX2544" s="82" t="s">
        <v>14140</v>
      </c>
      <c r="AY2544" s="77"/>
      <c r="AZ2544" s="82" t="s">
        <v>15984</v>
      </c>
      <c r="BA2544" s="82" t="s">
        <v>15984</v>
      </c>
      <c r="BB2544" s="82" t="s">
        <v>15984</v>
      </c>
      <c r="BC2544" s="82" t="s">
        <v>14140</v>
      </c>
      <c r="BD2544" s="82" t="s">
        <v>15979</v>
      </c>
      <c r="BE2544" s="77"/>
      <c r="BF2544" s="77"/>
      <c r="BG2544" s="77"/>
      <c r="BH2544" s="77"/>
      <c r="BI2544" s="77"/>
    </row>
    <row r="2545" spans="1:61" x14ac:dyDescent="0.25">
      <c r="A2545" s="62" t="s">
        <v>387</v>
      </c>
      <c r="B2545" s="62" t="s">
        <v>387</v>
      </c>
      <c r="C2545" s="63"/>
      <c r="D2545" s="64"/>
      <c r="E2545" s="65"/>
      <c r="F2545" s="66"/>
      <c r="G2545" s="63"/>
      <c r="H2545" s="67"/>
      <c r="I2545" s="68"/>
      <c r="J2545" s="68"/>
      <c r="K2545" s="32"/>
      <c r="L2545" s="75">
        <v>2545</v>
      </c>
      <c r="M2545" s="75"/>
      <c r="N2545" s="70"/>
      <c r="O2545" s="77" t="s">
        <v>179</v>
      </c>
      <c r="P2545" s="79">
        <v>45138.822916666664</v>
      </c>
      <c r="Q2545" s="77" t="s">
        <v>3217</v>
      </c>
      <c r="R2545" s="77">
        <v>0</v>
      </c>
      <c r="S2545" s="77">
        <v>0</v>
      </c>
      <c r="T2545" s="77">
        <v>0</v>
      </c>
      <c r="U2545" s="77">
        <v>0</v>
      </c>
      <c r="V2545" s="77">
        <v>546</v>
      </c>
      <c r="W2545" s="82" t="s">
        <v>4833</v>
      </c>
      <c r="X2545" s="80" t="str">
        <f>HYPERLINK("https://mla.bs/ebe26ecf")</f>
        <v>https://mla.bs/ebe26ecf</v>
      </c>
      <c r="Y2545" s="77" t="s">
        <v>6506</v>
      </c>
      <c r="Z2545" s="77"/>
      <c r="AA2545" s="77"/>
      <c r="AB2545" s="77"/>
      <c r="AC2545" s="82" t="s">
        <v>7754</v>
      </c>
      <c r="AD2545" s="77" t="s">
        <v>7788</v>
      </c>
      <c r="AE2545" s="80" t="str">
        <f>HYPERLINK("https://twitter.com/einvestidor/status/1686100668187095040")</f>
        <v>https://twitter.com/einvestidor/status/1686100668187095040</v>
      </c>
      <c r="AF2545" s="79">
        <v>45138.822916666664</v>
      </c>
      <c r="AG2545" s="85">
        <v>45138</v>
      </c>
      <c r="AH2545" s="82" t="s">
        <v>9579</v>
      </c>
      <c r="AI2545" s="77" t="b">
        <v>0</v>
      </c>
      <c r="AJ2545" s="77"/>
      <c r="AK2545" s="77"/>
      <c r="AL2545" s="77"/>
      <c r="AM2545" s="77"/>
      <c r="AN2545" s="77"/>
      <c r="AO2545" s="77"/>
      <c r="AP2545" s="77"/>
      <c r="AQ2545" s="77"/>
      <c r="AR2545" s="77"/>
      <c r="AS2545" s="77"/>
      <c r="AT2545" s="77"/>
      <c r="AU2545" s="77"/>
      <c r="AV2545" s="80" t="str">
        <f>HYPERLINK("https://pbs.twimg.com/profile_images/1241147984924082183/gZgx_hL-_normal.jpg")</f>
        <v>https://pbs.twimg.com/profile_images/1241147984924082183/gZgx_hL-_normal.jpg</v>
      </c>
      <c r="AW2545" s="82" t="s">
        <v>14141</v>
      </c>
      <c r="AX2545" s="82" t="s">
        <v>14141</v>
      </c>
      <c r="AY2545" s="77"/>
      <c r="AZ2545" s="82" t="s">
        <v>15984</v>
      </c>
      <c r="BA2545" s="82" t="s">
        <v>15984</v>
      </c>
      <c r="BB2545" s="82" t="s">
        <v>15984</v>
      </c>
      <c r="BC2545" s="82" t="s">
        <v>14141</v>
      </c>
      <c r="BD2545" s="82" t="s">
        <v>15979</v>
      </c>
      <c r="BE2545" s="77"/>
      <c r="BF2545" s="77"/>
      <c r="BG2545" s="77"/>
      <c r="BH2545" s="77"/>
      <c r="BI2545" s="77"/>
    </row>
    <row r="2546" spans="1:61" x14ac:dyDescent="0.25">
      <c r="A2546" s="62" t="s">
        <v>387</v>
      </c>
      <c r="B2546" s="62" t="s">
        <v>387</v>
      </c>
      <c r="C2546" s="63"/>
      <c r="D2546" s="64"/>
      <c r="E2546" s="65"/>
      <c r="F2546" s="66"/>
      <c r="G2546" s="63"/>
      <c r="H2546" s="67"/>
      <c r="I2546" s="68"/>
      <c r="J2546" s="68"/>
      <c r="K2546" s="32"/>
      <c r="L2546" s="75">
        <v>2546</v>
      </c>
      <c r="M2546" s="75"/>
      <c r="N2546" s="70"/>
      <c r="O2546" s="77" t="s">
        <v>179</v>
      </c>
      <c r="P2546" s="79">
        <v>45130.833333333336</v>
      </c>
      <c r="Q2546" s="77" t="s">
        <v>3218</v>
      </c>
      <c r="R2546" s="77">
        <v>0</v>
      </c>
      <c r="S2546" s="77">
        <v>0</v>
      </c>
      <c r="T2546" s="77">
        <v>0</v>
      </c>
      <c r="U2546" s="77">
        <v>0</v>
      </c>
      <c r="V2546" s="77">
        <v>877</v>
      </c>
      <c r="W2546" s="82" t="s">
        <v>6040</v>
      </c>
      <c r="X2546" s="80" t="str">
        <f>HYPERLINK("https://einvestidor.estadao.com.br/investimentos/mercado-imobiliario-quanto-investir-comprar-imovel")</f>
        <v>https://einvestidor.estadao.com.br/investimentos/mercado-imobiliario-quanto-investir-comprar-imovel</v>
      </c>
      <c r="Y2546" s="77" t="s">
        <v>6470</v>
      </c>
      <c r="Z2546" s="77"/>
      <c r="AA2546" s="77"/>
      <c r="AB2546" s="77"/>
      <c r="AC2546" s="82" t="s">
        <v>7754</v>
      </c>
      <c r="AD2546" s="77" t="s">
        <v>7788</v>
      </c>
      <c r="AE2546" s="80" t="str">
        <f>HYPERLINK("https://twitter.com/einvestidor/status/1683205341188595712")</f>
        <v>https://twitter.com/einvestidor/status/1683205341188595712</v>
      </c>
      <c r="AF2546" s="79">
        <v>45130.833333333336</v>
      </c>
      <c r="AG2546" s="85">
        <v>45130</v>
      </c>
      <c r="AH2546" s="82" t="s">
        <v>8381</v>
      </c>
      <c r="AI2546" s="77" t="b">
        <v>0</v>
      </c>
      <c r="AJ2546" s="77"/>
      <c r="AK2546" s="77"/>
      <c r="AL2546" s="77"/>
      <c r="AM2546" s="77"/>
      <c r="AN2546" s="77"/>
      <c r="AO2546" s="77"/>
      <c r="AP2546" s="77"/>
      <c r="AQ2546" s="77"/>
      <c r="AR2546" s="77"/>
      <c r="AS2546" s="77"/>
      <c r="AT2546" s="77"/>
      <c r="AU2546" s="77"/>
      <c r="AV2546" s="80" t="str">
        <f>HYPERLINK("https://pbs.twimg.com/profile_images/1241147984924082183/gZgx_hL-_normal.jpg")</f>
        <v>https://pbs.twimg.com/profile_images/1241147984924082183/gZgx_hL-_normal.jpg</v>
      </c>
      <c r="AW2546" s="82" t="s">
        <v>14142</v>
      </c>
      <c r="AX2546" s="82" t="s">
        <v>14142</v>
      </c>
      <c r="AY2546" s="77"/>
      <c r="AZ2546" s="82" t="s">
        <v>15984</v>
      </c>
      <c r="BA2546" s="82" t="s">
        <v>15984</v>
      </c>
      <c r="BB2546" s="82" t="s">
        <v>15984</v>
      </c>
      <c r="BC2546" s="82" t="s">
        <v>14142</v>
      </c>
      <c r="BD2546" s="82" t="s">
        <v>15979</v>
      </c>
      <c r="BE2546" s="77"/>
      <c r="BF2546" s="77"/>
      <c r="BG2546" s="77"/>
      <c r="BH2546" s="77"/>
      <c r="BI2546" s="77"/>
    </row>
    <row r="2547" spans="1:61" x14ac:dyDescent="0.25">
      <c r="A2547" s="62" t="s">
        <v>387</v>
      </c>
      <c r="B2547" s="62" t="s">
        <v>387</v>
      </c>
      <c r="C2547" s="63"/>
      <c r="D2547" s="64"/>
      <c r="E2547" s="65"/>
      <c r="F2547" s="66"/>
      <c r="G2547" s="63"/>
      <c r="H2547" s="67"/>
      <c r="I2547" s="68"/>
      <c r="J2547" s="68"/>
      <c r="K2547" s="32"/>
      <c r="L2547" s="75">
        <v>2547</v>
      </c>
      <c r="M2547" s="75"/>
      <c r="N2547" s="70"/>
      <c r="O2547" s="77" t="s">
        <v>179</v>
      </c>
      <c r="P2547" s="79">
        <v>45130.75</v>
      </c>
      <c r="Q2547" s="77" t="s">
        <v>3219</v>
      </c>
      <c r="R2547" s="77">
        <v>0</v>
      </c>
      <c r="S2547" s="77">
        <v>0</v>
      </c>
      <c r="T2547" s="77">
        <v>0</v>
      </c>
      <c r="U2547" s="77">
        <v>0</v>
      </c>
      <c r="V2547" s="77">
        <v>716</v>
      </c>
      <c r="W2547" s="82" t="s">
        <v>4833</v>
      </c>
      <c r="X2547" s="80" t="str">
        <f>HYPERLINK("https://mla.bs/4e1008f9")</f>
        <v>https://mla.bs/4e1008f9</v>
      </c>
      <c r="Y2547" s="77" t="s">
        <v>6506</v>
      </c>
      <c r="Z2547" s="77"/>
      <c r="AA2547" s="77"/>
      <c r="AB2547" s="77"/>
      <c r="AC2547" s="82" t="s">
        <v>7754</v>
      </c>
      <c r="AD2547" s="77" t="s">
        <v>7788</v>
      </c>
      <c r="AE2547" s="80" t="str">
        <f>HYPERLINK("https://twitter.com/einvestidor/status/1683175141172453376")</f>
        <v>https://twitter.com/einvestidor/status/1683175141172453376</v>
      </c>
      <c r="AF2547" s="79">
        <v>45130.75</v>
      </c>
      <c r="AG2547" s="85">
        <v>45130</v>
      </c>
      <c r="AH2547" s="82" t="s">
        <v>7934</v>
      </c>
      <c r="AI2547" s="77" t="b">
        <v>0</v>
      </c>
      <c r="AJ2547" s="77"/>
      <c r="AK2547" s="77"/>
      <c r="AL2547" s="77"/>
      <c r="AM2547" s="77"/>
      <c r="AN2547" s="77"/>
      <c r="AO2547" s="77"/>
      <c r="AP2547" s="77"/>
      <c r="AQ2547" s="77"/>
      <c r="AR2547" s="77"/>
      <c r="AS2547" s="77"/>
      <c r="AT2547" s="77"/>
      <c r="AU2547" s="77"/>
      <c r="AV2547" s="80" t="str">
        <f>HYPERLINK("https://pbs.twimg.com/profile_images/1241147984924082183/gZgx_hL-_normal.jpg")</f>
        <v>https://pbs.twimg.com/profile_images/1241147984924082183/gZgx_hL-_normal.jpg</v>
      </c>
      <c r="AW2547" s="82" t="s">
        <v>14143</v>
      </c>
      <c r="AX2547" s="82" t="s">
        <v>14143</v>
      </c>
      <c r="AY2547" s="77"/>
      <c r="AZ2547" s="82" t="s">
        <v>15984</v>
      </c>
      <c r="BA2547" s="82" t="s">
        <v>15984</v>
      </c>
      <c r="BB2547" s="82" t="s">
        <v>15984</v>
      </c>
      <c r="BC2547" s="82" t="s">
        <v>14143</v>
      </c>
      <c r="BD2547" s="82" t="s">
        <v>15979</v>
      </c>
      <c r="BE2547" s="77"/>
      <c r="BF2547" s="77"/>
      <c r="BG2547" s="77"/>
      <c r="BH2547" s="77"/>
      <c r="BI2547" s="77"/>
    </row>
    <row r="2548" spans="1:61" x14ac:dyDescent="0.25">
      <c r="A2548" s="62" t="s">
        <v>387</v>
      </c>
      <c r="B2548" s="62" t="s">
        <v>387</v>
      </c>
      <c r="C2548" s="63"/>
      <c r="D2548" s="64"/>
      <c r="E2548" s="65"/>
      <c r="F2548" s="66"/>
      <c r="G2548" s="63"/>
      <c r="H2548" s="67"/>
      <c r="I2548" s="68"/>
      <c r="J2548" s="68"/>
      <c r="K2548" s="32"/>
      <c r="L2548" s="75">
        <v>2548</v>
      </c>
      <c r="M2548" s="75"/>
      <c r="N2548" s="70"/>
      <c r="O2548" s="77" t="s">
        <v>179</v>
      </c>
      <c r="P2548" s="79">
        <v>45130.708333333336</v>
      </c>
      <c r="Q2548" s="77" t="s">
        <v>3220</v>
      </c>
      <c r="R2548" s="77">
        <v>1</v>
      </c>
      <c r="S2548" s="77">
        <v>4</v>
      </c>
      <c r="T2548" s="77">
        <v>0</v>
      </c>
      <c r="U2548" s="77">
        <v>0</v>
      </c>
      <c r="V2548" s="77">
        <v>887</v>
      </c>
      <c r="W2548" s="82" t="s">
        <v>4833</v>
      </c>
      <c r="X2548" s="80" t="str">
        <f>HYPERLINK("https://mla.bs/776ef2fd")</f>
        <v>https://mla.bs/776ef2fd</v>
      </c>
      <c r="Y2548" s="77" t="s">
        <v>6506</v>
      </c>
      <c r="Z2548" s="77"/>
      <c r="AA2548" s="77"/>
      <c r="AB2548" s="77"/>
      <c r="AC2548" s="82" t="s">
        <v>7754</v>
      </c>
      <c r="AD2548" s="77" t="s">
        <v>7788</v>
      </c>
      <c r="AE2548" s="80" t="str">
        <f>HYPERLINK("https://twitter.com/einvestidor/status/1683160043498373120")</f>
        <v>https://twitter.com/einvestidor/status/1683160043498373120</v>
      </c>
      <c r="AF2548" s="79">
        <v>45130.708333333336</v>
      </c>
      <c r="AG2548" s="85">
        <v>45130</v>
      </c>
      <c r="AH2548" s="82" t="s">
        <v>9697</v>
      </c>
      <c r="AI2548" s="77" t="b">
        <v>0</v>
      </c>
      <c r="AJ2548" s="77"/>
      <c r="AK2548" s="77"/>
      <c r="AL2548" s="77"/>
      <c r="AM2548" s="77"/>
      <c r="AN2548" s="77"/>
      <c r="AO2548" s="77"/>
      <c r="AP2548" s="77"/>
      <c r="AQ2548" s="77"/>
      <c r="AR2548" s="77"/>
      <c r="AS2548" s="77"/>
      <c r="AT2548" s="77"/>
      <c r="AU2548" s="77"/>
      <c r="AV2548" s="80" t="str">
        <f>HYPERLINK("https://pbs.twimg.com/profile_images/1241147984924082183/gZgx_hL-_normal.jpg")</f>
        <v>https://pbs.twimg.com/profile_images/1241147984924082183/gZgx_hL-_normal.jpg</v>
      </c>
      <c r="AW2548" s="82" t="s">
        <v>14144</v>
      </c>
      <c r="AX2548" s="82" t="s">
        <v>14144</v>
      </c>
      <c r="AY2548" s="77"/>
      <c r="AZ2548" s="82" t="s">
        <v>15984</v>
      </c>
      <c r="BA2548" s="82" t="s">
        <v>15984</v>
      </c>
      <c r="BB2548" s="82" t="s">
        <v>15984</v>
      </c>
      <c r="BC2548" s="82" t="s">
        <v>14144</v>
      </c>
      <c r="BD2548" s="82" t="s">
        <v>15979</v>
      </c>
      <c r="BE2548" s="77"/>
      <c r="BF2548" s="77"/>
      <c r="BG2548" s="77"/>
      <c r="BH2548" s="77"/>
      <c r="BI2548" s="77"/>
    </row>
    <row r="2549" spans="1:61" x14ac:dyDescent="0.25">
      <c r="A2549" s="62" t="s">
        <v>387</v>
      </c>
      <c r="B2549" s="62" t="s">
        <v>387</v>
      </c>
      <c r="C2549" s="63"/>
      <c r="D2549" s="64"/>
      <c r="E2549" s="65"/>
      <c r="F2549" s="66"/>
      <c r="G2549" s="63"/>
      <c r="H2549" s="67"/>
      <c r="I2549" s="68"/>
      <c r="J2549" s="68"/>
      <c r="K2549" s="32"/>
      <c r="L2549" s="75">
        <v>2549</v>
      </c>
      <c r="M2549" s="75"/>
      <c r="N2549" s="70"/>
      <c r="O2549" s="77" t="s">
        <v>179</v>
      </c>
      <c r="P2549" s="79">
        <v>45130.666666666664</v>
      </c>
      <c r="Q2549" s="77" t="s">
        <v>3221</v>
      </c>
      <c r="R2549" s="77">
        <v>0</v>
      </c>
      <c r="S2549" s="77">
        <v>1</v>
      </c>
      <c r="T2549" s="77">
        <v>0</v>
      </c>
      <c r="U2549" s="77">
        <v>0</v>
      </c>
      <c r="V2549" s="77">
        <v>742</v>
      </c>
      <c r="W2549" s="82" t="s">
        <v>6041</v>
      </c>
      <c r="X2549" s="80" t="str">
        <f>HYPERLINK("https://einvestidor.estadao.com.br/colunas/evandro-mello/filme-barbie-licoes-financeiras/?utm_source=twitter&amp;utm_medium=organic&amp;utm_campaign=&amp;utm_content=materia")</f>
        <v>https://einvestidor.estadao.com.br/colunas/evandro-mello/filme-barbie-licoes-financeiras/?utm_source=twitter&amp;utm_medium=organic&amp;utm_campaign=&amp;utm_content=materia</v>
      </c>
      <c r="Y2549" s="77" t="s">
        <v>6470</v>
      </c>
      <c r="Z2549" s="77"/>
      <c r="AA2549" s="77"/>
      <c r="AB2549" s="77"/>
      <c r="AC2549" s="82" t="s">
        <v>7754</v>
      </c>
      <c r="AD2549" s="77" t="s">
        <v>7788</v>
      </c>
      <c r="AE2549" s="80" t="str">
        <f>HYPERLINK("https://twitter.com/einvestidor/status/1683144945467551745")</f>
        <v>https://twitter.com/einvestidor/status/1683144945467551745</v>
      </c>
      <c r="AF2549" s="79">
        <v>45130.666666666664</v>
      </c>
      <c r="AG2549" s="85">
        <v>45130</v>
      </c>
      <c r="AH2549" s="82" t="s">
        <v>8120</v>
      </c>
      <c r="AI2549" s="77" t="b">
        <v>0</v>
      </c>
      <c r="AJ2549" s="77"/>
      <c r="AK2549" s="77"/>
      <c r="AL2549" s="77"/>
      <c r="AM2549" s="77"/>
      <c r="AN2549" s="77"/>
      <c r="AO2549" s="77"/>
      <c r="AP2549" s="77"/>
      <c r="AQ2549" s="77"/>
      <c r="AR2549" s="77"/>
      <c r="AS2549" s="77"/>
      <c r="AT2549" s="77"/>
      <c r="AU2549" s="77"/>
      <c r="AV2549" s="80" t="str">
        <f>HYPERLINK("https://pbs.twimg.com/profile_images/1241147984924082183/gZgx_hL-_normal.jpg")</f>
        <v>https://pbs.twimg.com/profile_images/1241147984924082183/gZgx_hL-_normal.jpg</v>
      </c>
      <c r="AW2549" s="82" t="s">
        <v>14145</v>
      </c>
      <c r="AX2549" s="82" t="s">
        <v>14145</v>
      </c>
      <c r="AY2549" s="77"/>
      <c r="AZ2549" s="82" t="s">
        <v>15984</v>
      </c>
      <c r="BA2549" s="82" t="s">
        <v>15984</v>
      </c>
      <c r="BB2549" s="82" t="s">
        <v>15984</v>
      </c>
      <c r="BC2549" s="82" t="s">
        <v>14145</v>
      </c>
      <c r="BD2549" s="82" t="s">
        <v>15979</v>
      </c>
      <c r="BE2549" s="77"/>
      <c r="BF2549" s="77"/>
      <c r="BG2549" s="77"/>
      <c r="BH2549" s="77"/>
      <c r="BI2549" s="77"/>
    </row>
    <row r="2550" spans="1:61" x14ac:dyDescent="0.25">
      <c r="A2550" s="62" t="s">
        <v>387</v>
      </c>
      <c r="B2550" s="62" t="s">
        <v>387</v>
      </c>
      <c r="C2550" s="63"/>
      <c r="D2550" s="64"/>
      <c r="E2550" s="65"/>
      <c r="F2550" s="66"/>
      <c r="G2550" s="63"/>
      <c r="H2550" s="67"/>
      <c r="I2550" s="68"/>
      <c r="J2550" s="68"/>
      <c r="K2550" s="32"/>
      <c r="L2550" s="75">
        <v>2550</v>
      </c>
      <c r="M2550" s="75"/>
      <c r="N2550" s="70"/>
      <c r="O2550" s="77" t="s">
        <v>179</v>
      </c>
      <c r="P2550" s="79">
        <v>45130.625011574077</v>
      </c>
      <c r="Q2550" s="77" t="s">
        <v>3222</v>
      </c>
      <c r="R2550" s="77">
        <v>0</v>
      </c>
      <c r="S2550" s="77">
        <v>1</v>
      </c>
      <c r="T2550" s="77">
        <v>0</v>
      </c>
      <c r="U2550" s="77">
        <v>0</v>
      </c>
      <c r="V2550" s="77">
        <v>688</v>
      </c>
      <c r="W2550" s="82" t="s">
        <v>4833</v>
      </c>
      <c r="X2550" s="80" t="str">
        <f>HYPERLINK("https://mla.bs/f90c4e64")</f>
        <v>https://mla.bs/f90c4e64</v>
      </c>
      <c r="Y2550" s="77" t="s">
        <v>6506</v>
      </c>
      <c r="Z2550" s="77"/>
      <c r="AA2550" s="77"/>
      <c r="AB2550" s="77"/>
      <c r="AC2550" s="82" t="s">
        <v>7754</v>
      </c>
      <c r="AD2550" s="77" t="s">
        <v>7788</v>
      </c>
      <c r="AE2550" s="80" t="str">
        <f>HYPERLINK("https://twitter.com/einvestidor/status/1683129849638952960")</f>
        <v>https://twitter.com/einvestidor/status/1683129849638952960</v>
      </c>
      <c r="AF2550" s="79">
        <v>45130.625011574077</v>
      </c>
      <c r="AG2550" s="85">
        <v>45130</v>
      </c>
      <c r="AH2550" s="82" t="s">
        <v>9755</v>
      </c>
      <c r="AI2550" s="77" t="b">
        <v>0</v>
      </c>
      <c r="AJ2550" s="77"/>
      <c r="AK2550" s="77"/>
      <c r="AL2550" s="77"/>
      <c r="AM2550" s="77"/>
      <c r="AN2550" s="77"/>
      <c r="AO2550" s="77"/>
      <c r="AP2550" s="77"/>
      <c r="AQ2550" s="77"/>
      <c r="AR2550" s="77"/>
      <c r="AS2550" s="77"/>
      <c r="AT2550" s="77"/>
      <c r="AU2550" s="77"/>
      <c r="AV2550" s="80" t="str">
        <f>HYPERLINK("https://pbs.twimg.com/profile_images/1241147984924082183/gZgx_hL-_normal.jpg")</f>
        <v>https://pbs.twimg.com/profile_images/1241147984924082183/gZgx_hL-_normal.jpg</v>
      </c>
      <c r="AW2550" s="82" t="s">
        <v>14146</v>
      </c>
      <c r="AX2550" s="82" t="s">
        <v>14146</v>
      </c>
      <c r="AY2550" s="77"/>
      <c r="AZ2550" s="82" t="s">
        <v>15984</v>
      </c>
      <c r="BA2550" s="82" t="s">
        <v>15984</v>
      </c>
      <c r="BB2550" s="82" t="s">
        <v>15984</v>
      </c>
      <c r="BC2550" s="82" t="s">
        <v>14146</v>
      </c>
      <c r="BD2550" s="82" t="s">
        <v>15979</v>
      </c>
      <c r="BE2550" s="77"/>
      <c r="BF2550" s="77"/>
      <c r="BG2550" s="77"/>
      <c r="BH2550" s="77"/>
      <c r="BI2550" s="77"/>
    </row>
    <row r="2551" spans="1:61" x14ac:dyDescent="0.25">
      <c r="A2551" s="62" t="s">
        <v>387</v>
      </c>
      <c r="B2551" s="62" t="s">
        <v>387</v>
      </c>
      <c r="C2551" s="63"/>
      <c r="D2551" s="64"/>
      <c r="E2551" s="65"/>
      <c r="F2551" s="66"/>
      <c r="G2551" s="63"/>
      <c r="H2551" s="67"/>
      <c r="I2551" s="68"/>
      <c r="J2551" s="68"/>
      <c r="K2551" s="32"/>
      <c r="L2551" s="75">
        <v>2551</v>
      </c>
      <c r="M2551" s="75"/>
      <c r="N2551" s="70"/>
      <c r="O2551" s="77" t="s">
        <v>179</v>
      </c>
      <c r="P2551" s="79">
        <v>45130.500023148146</v>
      </c>
      <c r="Q2551" s="77" t="s">
        <v>3223</v>
      </c>
      <c r="R2551" s="77">
        <v>1</v>
      </c>
      <c r="S2551" s="77">
        <v>6</v>
      </c>
      <c r="T2551" s="77">
        <v>0</v>
      </c>
      <c r="U2551" s="77">
        <v>0</v>
      </c>
      <c r="V2551" s="77">
        <v>942</v>
      </c>
      <c r="W2551" s="82" t="s">
        <v>4833</v>
      </c>
      <c r="X2551" s="80" t="str">
        <f>HYPERLINK("https://mla.bs/04adc434")</f>
        <v>https://mla.bs/04adc434</v>
      </c>
      <c r="Y2551" s="77" t="s">
        <v>6506</v>
      </c>
      <c r="Z2551" s="77"/>
      <c r="AA2551" s="77"/>
      <c r="AB2551" s="77"/>
      <c r="AC2551" s="82" t="s">
        <v>7754</v>
      </c>
      <c r="AD2551" s="77" t="s">
        <v>7788</v>
      </c>
      <c r="AE2551" s="80" t="str">
        <f>HYPERLINK("https://twitter.com/einvestidor/status/1683084555211743239")</f>
        <v>https://twitter.com/einvestidor/status/1683084555211743239</v>
      </c>
      <c r="AF2551" s="79">
        <v>45130.500023148146</v>
      </c>
      <c r="AG2551" s="85">
        <v>45130</v>
      </c>
      <c r="AH2551" s="82" t="s">
        <v>8525</v>
      </c>
      <c r="AI2551" s="77" t="b">
        <v>0</v>
      </c>
      <c r="AJ2551" s="77"/>
      <c r="AK2551" s="77"/>
      <c r="AL2551" s="77"/>
      <c r="AM2551" s="77"/>
      <c r="AN2551" s="77"/>
      <c r="AO2551" s="77"/>
      <c r="AP2551" s="77"/>
      <c r="AQ2551" s="77"/>
      <c r="AR2551" s="77"/>
      <c r="AS2551" s="77"/>
      <c r="AT2551" s="77"/>
      <c r="AU2551" s="77"/>
      <c r="AV2551" s="80" t="str">
        <f>HYPERLINK("https://pbs.twimg.com/profile_images/1241147984924082183/gZgx_hL-_normal.jpg")</f>
        <v>https://pbs.twimg.com/profile_images/1241147984924082183/gZgx_hL-_normal.jpg</v>
      </c>
      <c r="AW2551" s="82" t="s">
        <v>14147</v>
      </c>
      <c r="AX2551" s="82" t="s">
        <v>14147</v>
      </c>
      <c r="AY2551" s="77"/>
      <c r="AZ2551" s="82" t="s">
        <v>15984</v>
      </c>
      <c r="BA2551" s="82" t="s">
        <v>15984</v>
      </c>
      <c r="BB2551" s="82" t="s">
        <v>15984</v>
      </c>
      <c r="BC2551" s="82" t="s">
        <v>14147</v>
      </c>
      <c r="BD2551" s="82" t="s">
        <v>15979</v>
      </c>
      <c r="BE2551" s="77"/>
      <c r="BF2551" s="77"/>
      <c r="BG2551" s="77"/>
      <c r="BH2551" s="77"/>
      <c r="BI2551" s="77"/>
    </row>
    <row r="2552" spans="1:61" x14ac:dyDescent="0.25">
      <c r="A2552" s="62" t="s">
        <v>387</v>
      </c>
      <c r="B2552" s="62" t="s">
        <v>387</v>
      </c>
      <c r="C2552" s="63"/>
      <c r="D2552" s="64"/>
      <c r="E2552" s="65"/>
      <c r="F2552" s="66"/>
      <c r="G2552" s="63"/>
      <c r="H2552" s="67"/>
      <c r="I2552" s="68"/>
      <c r="J2552" s="68"/>
      <c r="K2552" s="32"/>
      <c r="L2552" s="75">
        <v>2552</v>
      </c>
      <c r="M2552" s="75"/>
      <c r="N2552" s="70"/>
      <c r="O2552" s="77" t="s">
        <v>179</v>
      </c>
      <c r="P2552" s="79">
        <v>45130.458344907405</v>
      </c>
      <c r="Q2552" s="77" t="s">
        <v>3224</v>
      </c>
      <c r="R2552" s="77">
        <v>0</v>
      </c>
      <c r="S2552" s="77">
        <v>0</v>
      </c>
      <c r="T2552" s="77">
        <v>0</v>
      </c>
      <c r="U2552" s="77">
        <v>0</v>
      </c>
      <c r="V2552" s="77">
        <v>843</v>
      </c>
      <c r="W2552" s="82" t="s">
        <v>4833</v>
      </c>
      <c r="X2552" s="80" t="str">
        <f>HYPERLINK("https://mla.bs/956ac664")</f>
        <v>https://mla.bs/956ac664</v>
      </c>
      <c r="Y2552" s="77" t="s">
        <v>6506</v>
      </c>
      <c r="Z2552" s="77"/>
      <c r="AA2552" s="77"/>
      <c r="AB2552" s="77"/>
      <c r="AC2552" s="82" t="s">
        <v>7754</v>
      </c>
      <c r="AD2552" s="77" t="s">
        <v>7788</v>
      </c>
      <c r="AE2552" s="80" t="str">
        <f>HYPERLINK("https://twitter.com/einvestidor/status/1683069450264739847")</f>
        <v>https://twitter.com/einvestidor/status/1683069450264739847</v>
      </c>
      <c r="AF2552" s="79">
        <v>45130.458344907405</v>
      </c>
      <c r="AG2552" s="85">
        <v>45130</v>
      </c>
      <c r="AH2552" s="82" t="s">
        <v>9304</v>
      </c>
      <c r="AI2552" s="77" t="b">
        <v>0</v>
      </c>
      <c r="AJ2552" s="77"/>
      <c r="AK2552" s="77"/>
      <c r="AL2552" s="77"/>
      <c r="AM2552" s="77"/>
      <c r="AN2552" s="77"/>
      <c r="AO2552" s="77"/>
      <c r="AP2552" s="77"/>
      <c r="AQ2552" s="77"/>
      <c r="AR2552" s="77"/>
      <c r="AS2552" s="77"/>
      <c r="AT2552" s="77"/>
      <c r="AU2552" s="77"/>
      <c r="AV2552" s="80" t="str">
        <f>HYPERLINK("https://pbs.twimg.com/profile_images/1241147984924082183/gZgx_hL-_normal.jpg")</f>
        <v>https://pbs.twimg.com/profile_images/1241147984924082183/gZgx_hL-_normal.jpg</v>
      </c>
      <c r="AW2552" s="82" t="s">
        <v>14148</v>
      </c>
      <c r="AX2552" s="82" t="s">
        <v>14148</v>
      </c>
      <c r="AY2552" s="77"/>
      <c r="AZ2552" s="82" t="s">
        <v>15984</v>
      </c>
      <c r="BA2552" s="82" t="s">
        <v>15984</v>
      </c>
      <c r="BB2552" s="82" t="s">
        <v>15984</v>
      </c>
      <c r="BC2552" s="82" t="s">
        <v>14148</v>
      </c>
      <c r="BD2552" s="82" t="s">
        <v>15979</v>
      </c>
      <c r="BE2552" s="77"/>
      <c r="BF2552" s="77"/>
      <c r="BG2552" s="77"/>
      <c r="BH2552" s="77"/>
      <c r="BI2552" s="77"/>
    </row>
    <row r="2553" spans="1:61" x14ac:dyDescent="0.25">
      <c r="A2553" s="62" t="s">
        <v>387</v>
      </c>
      <c r="B2553" s="62" t="s">
        <v>387</v>
      </c>
      <c r="C2553" s="63"/>
      <c r="D2553" s="64"/>
      <c r="E2553" s="65"/>
      <c r="F2553" s="66"/>
      <c r="G2553" s="63"/>
      <c r="H2553" s="67"/>
      <c r="I2553" s="68"/>
      <c r="J2553" s="68"/>
      <c r="K2553" s="32"/>
      <c r="L2553" s="75">
        <v>2553</v>
      </c>
      <c r="M2553" s="75"/>
      <c r="N2553" s="70"/>
      <c r="O2553" s="77" t="s">
        <v>179</v>
      </c>
      <c r="P2553" s="79">
        <v>45130.416678240741</v>
      </c>
      <c r="Q2553" s="77" t="s">
        <v>3225</v>
      </c>
      <c r="R2553" s="77">
        <v>0</v>
      </c>
      <c r="S2553" s="77">
        <v>0</v>
      </c>
      <c r="T2553" s="77">
        <v>0</v>
      </c>
      <c r="U2553" s="77">
        <v>0</v>
      </c>
      <c r="V2553" s="77">
        <v>854</v>
      </c>
      <c r="W2553" s="82" t="s">
        <v>4833</v>
      </c>
      <c r="X2553" s="80" t="str">
        <f>HYPERLINK("https://mla.bs/0640eba1")</f>
        <v>https://mla.bs/0640eba1</v>
      </c>
      <c r="Y2553" s="77" t="s">
        <v>6506</v>
      </c>
      <c r="Z2553" s="77"/>
      <c r="AA2553" s="77"/>
      <c r="AB2553" s="77"/>
      <c r="AC2553" s="82" t="s">
        <v>7754</v>
      </c>
      <c r="AD2553" s="77" t="s">
        <v>7788</v>
      </c>
      <c r="AE2553" s="80" t="str">
        <f>HYPERLINK("https://twitter.com/einvestidor/status/1683054350825054208")</f>
        <v>https://twitter.com/einvestidor/status/1683054350825054208</v>
      </c>
      <c r="AF2553" s="79">
        <v>45130.416678240741</v>
      </c>
      <c r="AG2553" s="85">
        <v>45130</v>
      </c>
      <c r="AH2553" s="82" t="s">
        <v>9756</v>
      </c>
      <c r="AI2553" s="77" t="b">
        <v>0</v>
      </c>
      <c r="AJ2553" s="77"/>
      <c r="AK2553" s="77"/>
      <c r="AL2553" s="77"/>
      <c r="AM2553" s="77"/>
      <c r="AN2553" s="77"/>
      <c r="AO2553" s="77"/>
      <c r="AP2553" s="77"/>
      <c r="AQ2553" s="77"/>
      <c r="AR2553" s="77"/>
      <c r="AS2553" s="77"/>
      <c r="AT2553" s="77"/>
      <c r="AU2553" s="77"/>
      <c r="AV2553" s="80" t="str">
        <f>HYPERLINK("https://pbs.twimg.com/profile_images/1241147984924082183/gZgx_hL-_normal.jpg")</f>
        <v>https://pbs.twimg.com/profile_images/1241147984924082183/gZgx_hL-_normal.jpg</v>
      </c>
      <c r="AW2553" s="82" t="s">
        <v>14149</v>
      </c>
      <c r="AX2553" s="82" t="s">
        <v>14149</v>
      </c>
      <c r="AY2553" s="77"/>
      <c r="AZ2553" s="82" t="s">
        <v>15984</v>
      </c>
      <c r="BA2553" s="82" t="s">
        <v>15984</v>
      </c>
      <c r="BB2553" s="82" t="s">
        <v>15984</v>
      </c>
      <c r="BC2553" s="82" t="s">
        <v>14149</v>
      </c>
      <c r="BD2553" s="82" t="s">
        <v>15979</v>
      </c>
      <c r="BE2553" s="77"/>
      <c r="BF2553" s="77"/>
      <c r="BG2553" s="77"/>
      <c r="BH2553" s="77"/>
      <c r="BI2553" s="77"/>
    </row>
    <row r="2554" spans="1:61" x14ac:dyDescent="0.25">
      <c r="A2554" s="62" t="s">
        <v>387</v>
      </c>
      <c r="B2554" s="62" t="s">
        <v>387</v>
      </c>
      <c r="C2554" s="63"/>
      <c r="D2554" s="64"/>
      <c r="E2554" s="65"/>
      <c r="F2554" s="66"/>
      <c r="G2554" s="63"/>
      <c r="H2554" s="67"/>
      <c r="I2554" s="68"/>
      <c r="J2554" s="68"/>
      <c r="K2554" s="32"/>
      <c r="L2554" s="75">
        <v>2554</v>
      </c>
      <c r="M2554" s="75"/>
      <c r="N2554" s="70"/>
      <c r="O2554" s="77" t="s">
        <v>179</v>
      </c>
      <c r="P2554" s="79">
        <v>45120.470208333332</v>
      </c>
      <c r="Q2554" s="77" t="s">
        <v>3226</v>
      </c>
      <c r="R2554" s="77">
        <v>0</v>
      </c>
      <c r="S2554" s="77">
        <v>1</v>
      </c>
      <c r="T2554" s="77">
        <v>0</v>
      </c>
      <c r="U2554" s="77">
        <v>0</v>
      </c>
      <c r="V2554" s="77">
        <v>521</v>
      </c>
      <c r="W2554" s="82" t="s">
        <v>4839</v>
      </c>
      <c r="X2554" s="80" t="str">
        <f>HYPERLINK("https://mla.bs/f3f64268")</f>
        <v>https://mla.bs/f3f64268</v>
      </c>
      <c r="Y2554" s="77" t="s">
        <v>6506</v>
      </c>
      <c r="Z2554" s="77"/>
      <c r="AA2554" s="77"/>
      <c r="AB2554" s="77"/>
      <c r="AC2554" s="82" t="s">
        <v>7757</v>
      </c>
      <c r="AD2554" s="77" t="s">
        <v>7788</v>
      </c>
      <c r="AE2554" s="80" t="str">
        <f>HYPERLINK("https://twitter.com/einvestidor/status/1679449870573228042")</f>
        <v>https://twitter.com/einvestidor/status/1679449870573228042</v>
      </c>
      <c r="AF2554" s="79">
        <v>45120.470208333332</v>
      </c>
      <c r="AG2554" s="85">
        <v>45120</v>
      </c>
      <c r="AH2554" s="82" t="s">
        <v>9757</v>
      </c>
      <c r="AI2554" s="77" t="b">
        <v>0</v>
      </c>
      <c r="AJ2554" s="77"/>
      <c r="AK2554" s="77"/>
      <c r="AL2554" s="77"/>
      <c r="AM2554" s="77"/>
      <c r="AN2554" s="77"/>
      <c r="AO2554" s="77"/>
      <c r="AP2554" s="77"/>
      <c r="AQ2554" s="77"/>
      <c r="AR2554" s="77"/>
      <c r="AS2554" s="77"/>
      <c r="AT2554" s="77"/>
      <c r="AU2554" s="77"/>
      <c r="AV2554" s="80" t="str">
        <f>HYPERLINK("https://pbs.twimg.com/profile_images/1241147984924082183/gZgx_hL-_normal.jpg")</f>
        <v>https://pbs.twimg.com/profile_images/1241147984924082183/gZgx_hL-_normal.jpg</v>
      </c>
      <c r="AW2554" s="82" t="s">
        <v>14150</v>
      </c>
      <c r="AX2554" s="82" t="s">
        <v>14150</v>
      </c>
      <c r="AY2554" s="77"/>
      <c r="AZ2554" s="82" t="s">
        <v>15984</v>
      </c>
      <c r="BA2554" s="82" t="s">
        <v>15984</v>
      </c>
      <c r="BB2554" s="82" t="s">
        <v>15984</v>
      </c>
      <c r="BC2554" s="82" t="s">
        <v>14150</v>
      </c>
      <c r="BD2554" s="82" t="s">
        <v>15979</v>
      </c>
      <c r="BE2554" s="77"/>
      <c r="BF2554" s="77"/>
      <c r="BG2554" s="77"/>
      <c r="BH2554" s="77"/>
      <c r="BI2554" s="77"/>
    </row>
    <row r="2555" spans="1:61" x14ac:dyDescent="0.25">
      <c r="A2555" s="62" t="s">
        <v>387</v>
      </c>
      <c r="B2555" s="62" t="s">
        <v>387</v>
      </c>
      <c r="C2555" s="63"/>
      <c r="D2555" s="64"/>
      <c r="E2555" s="65"/>
      <c r="F2555" s="66"/>
      <c r="G2555" s="63"/>
      <c r="H2555" s="67"/>
      <c r="I2555" s="68"/>
      <c r="J2555" s="68"/>
      <c r="K2555" s="32"/>
      <c r="L2555" s="75">
        <v>2555</v>
      </c>
      <c r="M2555" s="75"/>
      <c r="N2555" s="70"/>
      <c r="O2555" s="77" t="s">
        <v>179</v>
      </c>
      <c r="P2555" s="79">
        <v>45120.055555555555</v>
      </c>
      <c r="Q2555" s="77" t="s">
        <v>3227</v>
      </c>
      <c r="R2555" s="77">
        <v>0</v>
      </c>
      <c r="S2555" s="77">
        <v>2</v>
      </c>
      <c r="T2555" s="77">
        <v>0</v>
      </c>
      <c r="U2555" s="77">
        <v>0</v>
      </c>
      <c r="V2555" s="77">
        <v>880</v>
      </c>
      <c r="W2555" s="82" t="s">
        <v>4833</v>
      </c>
      <c r="X2555" s="80" t="str">
        <f>HYPERLINK("https://mla.bs/87781fa6")</f>
        <v>https://mla.bs/87781fa6</v>
      </c>
      <c r="Y2555" s="77" t="s">
        <v>6506</v>
      </c>
      <c r="Z2555" s="77"/>
      <c r="AA2555" s="77"/>
      <c r="AB2555" s="77"/>
      <c r="AC2555" s="82" t="s">
        <v>7757</v>
      </c>
      <c r="AD2555" s="77" t="s">
        <v>7788</v>
      </c>
      <c r="AE2555" s="80" t="str">
        <f>HYPERLINK("https://twitter.com/einvestidor/status/1679299607333830656")</f>
        <v>https://twitter.com/einvestidor/status/1679299607333830656</v>
      </c>
      <c r="AF2555" s="79">
        <v>45120.055555555555</v>
      </c>
      <c r="AG2555" s="85">
        <v>45120</v>
      </c>
      <c r="AH2555" s="82" t="s">
        <v>8970</v>
      </c>
      <c r="AI2555" s="77" t="b">
        <v>0</v>
      </c>
      <c r="AJ2555" s="77"/>
      <c r="AK2555" s="77"/>
      <c r="AL2555" s="77"/>
      <c r="AM2555" s="77"/>
      <c r="AN2555" s="77"/>
      <c r="AO2555" s="77"/>
      <c r="AP2555" s="77"/>
      <c r="AQ2555" s="77"/>
      <c r="AR2555" s="77"/>
      <c r="AS2555" s="77"/>
      <c r="AT2555" s="77"/>
      <c r="AU2555" s="77"/>
      <c r="AV2555" s="80" t="str">
        <f>HYPERLINK("https://pbs.twimg.com/profile_images/1241147984924082183/gZgx_hL-_normal.jpg")</f>
        <v>https://pbs.twimg.com/profile_images/1241147984924082183/gZgx_hL-_normal.jpg</v>
      </c>
      <c r="AW2555" s="82" t="s">
        <v>14151</v>
      </c>
      <c r="AX2555" s="82" t="s">
        <v>14151</v>
      </c>
      <c r="AY2555" s="77"/>
      <c r="AZ2555" s="82" t="s">
        <v>15984</v>
      </c>
      <c r="BA2555" s="82" t="s">
        <v>15984</v>
      </c>
      <c r="BB2555" s="82" t="s">
        <v>15984</v>
      </c>
      <c r="BC2555" s="82" t="s">
        <v>14151</v>
      </c>
      <c r="BD2555" s="82" t="s">
        <v>15979</v>
      </c>
      <c r="BE2555" s="77"/>
      <c r="BF2555" s="77"/>
      <c r="BG2555" s="77"/>
      <c r="BH2555" s="77"/>
      <c r="BI2555" s="77"/>
    </row>
    <row r="2556" spans="1:61" x14ac:dyDescent="0.25">
      <c r="A2556" s="62" t="s">
        <v>387</v>
      </c>
      <c r="B2556" s="62" t="s">
        <v>387</v>
      </c>
      <c r="C2556" s="63"/>
      <c r="D2556" s="64"/>
      <c r="E2556" s="65"/>
      <c r="F2556" s="66"/>
      <c r="G2556" s="63"/>
      <c r="H2556" s="67"/>
      <c r="I2556" s="68"/>
      <c r="J2556" s="68"/>
      <c r="K2556" s="32"/>
      <c r="L2556" s="75">
        <v>2556</v>
      </c>
      <c r="M2556" s="75"/>
      <c r="N2556" s="70"/>
      <c r="O2556" s="77" t="s">
        <v>179</v>
      </c>
      <c r="P2556" s="79">
        <v>45120.042175925926</v>
      </c>
      <c r="Q2556" s="77" t="s">
        <v>3228</v>
      </c>
      <c r="R2556" s="77">
        <v>0</v>
      </c>
      <c r="S2556" s="77">
        <v>2</v>
      </c>
      <c r="T2556" s="77">
        <v>0</v>
      </c>
      <c r="U2556" s="77">
        <v>0</v>
      </c>
      <c r="V2556" s="77">
        <v>768</v>
      </c>
      <c r="W2556" s="82" t="s">
        <v>6042</v>
      </c>
      <c r="X2556" s="80" t="str">
        <f>HYPERLINK("https://mla.bs/6b2dd648")</f>
        <v>https://mla.bs/6b2dd648</v>
      </c>
      <c r="Y2556" s="77" t="s">
        <v>6506</v>
      </c>
      <c r="Z2556" s="77"/>
      <c r="AA2556" s="77"/>
      <c r="AB2556" s="77"/>
      <c r="AC2556" s="82" t="s">
        <v>7757</v>
      </c>
      <c r="AD2556" s="77" t="s">
        <v>7788</v>
      </c>
      <c r="AE2556" s="80" t="str">
        <f>HYPERLINK("https://twitter.com/einvestidor/status/1679294755128193026")</f>
        <v>https://twitter.com/einvestidor/status/1679294755128193026</v>
      </c>
      <c r="AF2556" s="79">
        <v>45120.042175925926</v>
      </c>
      <c r="AG2556" s="85">
        <v>45120</v>
      </c>
      <c r="AH2556" s="82" t="s">
        <v>9758</v>
      </c>
      <c r="AI2556" s="77" t="b">
        <v>0</v>
      </c>
      <c r="AJ2556" s="77"/>
      <c r="AK2556" s="77"/>
      <c r="AL2556" s="77"/>
      <c r="AM2556" s="77"/>
      <c r="AN2556" s="77"/>
      <c r="AO2556" s="77"/>
      <c r="AP2556" s="77"/>
      <c r="AQ2556" s="77"/>
      <c r="AR2556" s="77"/>
      <c r="AS2556" s="77"/>
      <c r="AT2556" s="77"/>
      <c r="AU2556" s="77"/>
      <c r="AV2556" s="80" t="str">
        <f>HYPERLINK("https://pbs.twimg.com/profile_images/1241147984924082183/gZgx_hL-_normal.jpg")</f>
        <v>https://pbs.twimg.com/profile_images/1241147984924082183/gZgx_hL-_normal.jpg</v>
      </c>
      <c r="AW2556" s="82" t="s">
        <v>14152</v>
      </c>
      <c r="AX2556" s="82" t="s">
        <v>14152</v>
      </c>
      <c r="AY2556" s="77"/>
      <c r="AZ2556" s="82" t="s">
        <v>15984</v>
      </c>
      <c r="BA2556" s="82" t="s">
        <v>15984</v>
      </c>
      <c r="BB2556" s="82" t="s">
        <v>15984</v>
      </c>
      <c r="BC2556" s="82" t="s">
        <v>14152</v>
      </c>
      <c r="BD2556" s="82" t="s">
        <v>15979</v>
      </c>
      <c r="BE2556" s="77"/>
      <c r="BF2556" s="77"/>
      <c r="BG2556" s="77"/>
      <c r="BH2556" s="77"/>
      <c r="BI2556" s="77"/>
    </row>
    <row r="2557" spans="1:61" x14ac:dyDescent="0.25">
      <c r="A2557" s="62" t="s">
        <v>387</v>
      </c>
      <c r="B2557" s="62" t="s">
        <v>387</v>
      </c>
      <c r="C2557" s="63"/>
      <c r="D2557" s="64"/>
      <c r="E2557" s="65"/>
      <c r="F2557" s="66"/>
      <c r="G2557" s="63"/>
      <c r="H2557" s="67"/>
      <c r="I2557" s="68"/>
      <c r="J2557" s="68"/>
      <c r="K2557" s="32"/>
      <c r="L2557" s="75">
        <v>2557</v>
      </c>
      <c r="M2557" s="75"/>
      <c r="N2557" s="70"/>
      <c r="O2557" s="77" t="s">
        <v>179</v>
      </c>
      <c r="P2557" s="79">
        <v>45120.027777777781</v>
      </c>
      <c r="Q2557" s="77" t="s">
        <v>3229</v>
      </c>
      <c r="R2557" s="77">
        <v>1</v>
      </c>
      <c r="S2557" s="77">
        <v>0</v>
      </c>
      <c r="T2557" s="77">
        <v>0</v>
      </c>
      <c r="U2557" s="77">
        <v>0</v>
      </c>
      <c r="V2557" s="77">
        <v>731</v>
      </c>
      <c r="W2557" s="82" t="s">
        <v>6043</v>
      </c>
      <c r="X2557" s="80" t="str">
        <f>HYPERLINK("https://mla.bs/a9d20f97")</f>
        <v>https://mla.bs/a9d20f97</v>
      </c>
      <c r="Y2557" s="77" t="s">
        <v>6506</v>
      </c>
      <c r="Z2557" s="77"/>
      <c r="AA2557" s="77"/>
      <c r="AB2557" s="77"/>
      <c r="AC2557" s="82" t="s">
        <v>7757</v>
      </c>
      <c r="AD2557" s="77" t="s">
        <v>7788</v>
      </c>
      <c r="AE2557" s="80" t="str">
        <f>HYPERLINK("https://twitter.com/einvestidor/status/1679289540152905729")</f>
        <v>https://twitter.com/einvestidor/status/1679289540152905729</v>
      </c>
      <c r="AF2557" s="79">
        <v>45120.027777777781</v>
      </c>
      <c r="AG2557" s="85">
        <v>45120</v>
      </c>
      <c r="AH2557" s="82" t="s">
        <v>9594</v>
      </c>
      <c r="AI2557" s="77" t="b">
        <v>0</v>
      </c>
      <c r="AJ2557" s="77"/>
      <c r="AK2557" s="77"/>
      <c r="AL2557" s="77"/>
      <c r="AM2557" s="77"/>
      <c r="AN2557" s="77"/>
      <c r="AO2557" s="77"/>
      <c r="AP2557" s="77"/>
      <c r="AQ2557" s="77"/>
      <c r="AR2557" s="77"/>
      <c r="AS2557" s="77"/>
      <c r="AT2557" s="77"/>
      <c r="AU2557" s="77"/>
      <c r="AV2557" s="80" t="str">
        <f>HYPERLINK("https://pbs.twimg.com/profile_images/1241147984924082183/gZgx_hL-_normal.jpg")</f>
        <v>https://pbs.twimg.com/profile_images/1241147984924082183/gZgx_hL-_normal.jpg</v>
      </c>
      <c r="AW2557" s="82" t="s">
        <v>14153</v>
      </c>
      <c r="AX2557" s="82" t="s">
        <v>14153</v>
      </c>
      <c r="AY2557" s="77"/>
      <c r="AZ2557" s="82" t="s">
        <v>15984</v>
      </c>
      <c r="BA2557" s="82" t="s">
        <v>15984</v>
      </c>
      <c r="BB2557" s="82" t="s">
        <v>15984</v>
      </c>
      <c r="BC2557" s="82" t="s">
        <v>14153</v>
      </c>
      <c r="BD2557" s="82" t="s">
        <v>15979</v>
      </c>
      <c r="BE2557" s="77"/>
      <c r="BF2557" s="77"/>
      <c r="BG2557" s="77"/>
      <c r="BH2557" s="77"/>
      <c r="BI2557" s="77"/>
    </row>
    <row r="2558" spans="1:61" x14ac:dyDescent="0.25">
      <c r="A2558" s="62" t="s">
        <v>387</v>
      </c>
      <c r="B2558" s="62" t="s">
        <v>387</v>
      </c>
      <c r="C2558" s="63"/>
      <c r="D2558" s="64"/>
      <c r="E2558" s="65"/>
      <c r="F2558" s="66"/>
      <c r="G2558" s="63"/>
      <c r="H2558" s="67"/>
      <c r="I2558" s="68"/>
      <c r="J2558" s="68"/>
      <c r="K2558" s="32"/>
      <c r="L2558" s="75">
        <v>2558</v>
      </c>
      <c r="M2558" s="75"/>
      <c r="N2558" s="70"/>
      <c r="O2558" s="77" t="s">
        <v>179</v>
      </c>
      <c r="P2558" s="79">
        <v>45120.000868055555</v>
      </c>
      <c r="Q2558" s="77" t="s">
        <v>3230</v>
      </c>
      <c r="R2558" s="77">
        <v>0</v>
      </c>
      <c r="S2558" s="77">
        <v>2</v>
      </c>
      <c r="T2558" s="77">
        <v>1</v>
      </c>
      <c r="U2558" s="77">
        <v>0</v>
      </c>
      <c r="V2558" s="77">
        <v>808</v>
      </c>
      <c r="W2558" s="82" t="s">
        <v>4833</v>
      </c>
      <c r="X2558" s="80" t="str">
        <f>HYPERLINK("https://mla.bs/d18e04c5")</f>
        <v>https://mla.bs/d18e04c5</v>
      </c>
      <c r="Y2558" s="77" t="s">
        <v>6506</v>
      </c>
      <c r="Z2558" s="77"/>
      <c r="AA2558" s="77"/>
      <c r="AB2558" s="77"/>
      <c r="AC2558" s="82" t="s">
        <v>7757</v>
      </c>
      <c r="AD2558" s="77" t="s">
        <v>7788</v>
      </c>
      <c r="AE2558" s="80" t="str">
        <f>HYPERLINK("https://twitter.com/einvestidor/status/1679279789310455808")</f>
        <v>https://twitter.com/einvestidor/status/1679279789310455808</v>
      </c>
      <c r="AF2558" s="79">
        <v>45120.000868055555</v>
      </c>
      <c r="AG2558" s="85">
        <v>45120</v>
      </c>
      <c r="AH2558" s="82" t="s">
        <v>9759</v>
      </c>
      <c r="AI2558" s="77" t="b">
        <v>0</v>
      </c>
      <c r="AJ2558" s="77"/>
      <c r="AK2558" s="77"/>
      <c r="AL2558" s="77"/>
      <c r="AM2558" s="77"/>
      <c r="AN2558" s="77"/>
      <c r="AO2558" s="77"/>
      <c r="AP2558" s="77"/>
      <c r="AQ2558" s="77"/>
      <c r="AR2558" s="77"/>
      <c r="AS2558" s="77"/>
      <c r="AT2558" s="77"/>
      <c r="AU2558" s="77"/>
      <c r="AV2558" s="80" t="str">
        <f>HYPERLINK("https://pbs.twimg.com/profile_images/1241147984924082183/gZgx_hL-_normal.jpg")</f>
        <v>https://pbs.twimg.com/profile_images/1241147984924082183/gZgx_hL-_normal.jpg</v>
      </c>
      <c r="AW2558" s="82" t="s">
        <v>14154</v>
      </c>
      <c r="AX2558" s="82" t="s">
        <v>14154</v>
      </c>
      <c r="AY2558" s="77"/>
      <c r="AZ2558" s="82" t="s">
        <v>15984</v>
      </c>
      <c r="BA2558" s="82" t="s">
        <v>15984</v>
      </c>
      <c r="BB2558" s="82" t="s">
        <v>15984</v>
      </c>
      <c r="BC2558" s="82" t="s">
        <v>14154</v>
      </c>
      <c r="BD2558" s="82" t="s">
        <v>15979</v>
      </c>
      <c r="BE2558" s="77"/>
      <c r="BF2558" s="77"/>
      <c r="BG2558" s="77"/>
      <c r="BH2558" s="77"/>
      <c r="BI2558" s="77"/>
    </row>
    <row r="2559" spans="1:61" x14ac:dyDescent="0.25">
      <c r="A2559" s="62" t="s">
        <v>387</v>
      </c>
      <c r="B2559" s="62" t="s">
        <v>387</v>
      </c>
      <c r="C2559" s="63"/>
      <c r="D2559" s="64"/>
      <c r="E2559" s="65"/>
      <c r="F2559" s="66"/>
      <c r="G2559" s="63"/>
      <c r="H2559" s="67"/>
      <c r="I2559" s="68"/>
      <c r="J2559" s="68"/>
      <c r="K2559" s="32"/>
      <c r="L2559" s="75">
        <v>2559</v>
      </c>
      <c r="M2559" s="75"/>
      <c r="N2559" s="70"/>
      <c r="O2559" s="77" t="s">
        <v>179</v>
      </c>
      <c r="P2559" s="79">
        <v>45120.000868055555</v>
      </c>
      <c r="Q2559" s="77" t="s">
        <v>3231</v>
      </c>
      <c r="R2559" s="77">
        <v>0</v>
      </c>
      <c r="S2559" s="77">
        <v>1</v>
      </c>
      <c r="T2559" s="77">
        <v>0</v>
      </c>
      <c r="U2559" s="77">
        <v>0</v>
      </c>
      <c r="V2559" s="77">
        <v>744</v>
      </c>
      <c r="W2559" s="82" t="s">
        <v>4833</v>
      </c>
      <c r="X2559" s="80" t="str">
        <f>HYPERLINK("https://mla.bs/cba7a8ec")</f>
        <v>https://mla.bs/cba7a8ec</v>
      </c>
      <c r="Y2559" s="77" t="s">
        <v>6506</v>
      </c>
      <c r="Z2559" s="77"/>
      <c r="AA2559" s="77"/>
      <c r="AB2559" s="77"/>
      <c r="AC2559" s="82" t="s">
        <v>7757</v>
      </c>
      <c r="AD2559" s="77" t="s">
        <v>7788</v>
      </c>
      <c r="AE2559" s="80" t="str">
        <f>HYPERLINK("https://twitter.com/einvestidor/status/1679279788463206400")</f>
        <v>https://twitter.com/einvestidor/status/1679279788463206400</v>
      </c>
      <c r="AF2559" s="79">
        <v>45120.000868055555</v>
      </c>
      <c r="AG2559" s="85">
        <v>45120</v>
      </c>
      <c r="AH2559" s="82" t="s">
        <v>9759</v>
      </c>
      <c r="AI2559" s="77" t="b">
        <v>0</v>
      </c>
      <c r="AJ2559" s="77"/>
      <c r="AK2559" s="77"/>
      <c r="AL2559" s="77"/>
      <c r="AM2559" s="77"/>
      <c r="AN2559" s="77"/>
      <c r="AO2559" s="77"/>
      <c r="AP2559" s="77"/>
      <c r="AQ2559" s="77"/>
      <c r="AR2559" s="77"/>
      <c r="AS2559" s="77"/>
      <c r="AT2559" s="77"/>
      <c r="AU2559" s="77"/>
      <c r="AV2559" s="80" t="str">
        <f>HYPERLINK("https://pbs.twimg.com/profile_images/1241147984924082183/gZgx_hL-_normal.jpg")</f>
        <v>https://pbs.twimg.com/profile_images/1241147984924082183/gZgx_hL-_normal.jpg</v>
      </c>
      <c r="AW2559" s="82" t="s">
        <v>14155</v>
      </c>
      <c r="AX2559" s="82" t="s">
        <v>14155</v>
      </c>
      <c r="AY2559" s="77"/>
      <c r="AZ2559" s="82" t="s">
        <v>15984</v>
      </c>
      <c r="BA2559" s="82" t="s">
        <v>15984</v>
      </c>
      <c r="BB2559" s="82" t="s">
        <v>15984</v>
      </c>
      <c r="BC2559" s="82" t="s">
        <v>14155</v>
      </c>
      <c r="BD2559" s="82" t="s">
        <v>15979</v>
      </c>
      <c r="BE2559" s="77"/>
      <c r="BF2559" s="77"/>
      <c r="BG2559" s="77"/>
      <c r="BH2559" s="77"/>
      <c r="BI2559" s="77"/>
    </row>
    <row r="2560" spans="1:61" x14ac:dyDescent="0.25">
      <c r="A2560" s="62" t="s">
        <v>387</v>
      </c>
      <c r="B2560" s="62" t="s">
        <v>387</v>
      </c>
      <c r="C2560" s="63"/>
      <c r="D2560" s="64"/>
      <c r="E2560" s="65"/>
      <c r="F2560" s="66"/>
      <c r="G2560" s="63"/>
      <c r="H2560" s="67"/>
      <c r="I2560" s="68"/>
      <c r="J2560" s="68"/>
      <c r="K2560" s="32"/>
      <c r="L2560" s="75">
        <v>2560</v>
      </c>
      <c r="M2560" s="75"/>
      <c r="N2560" s="70"/>
      <c r="O2560" s="77" t="s">
        <v>179</v>
      </c>
      <c r="P2560" s="79">
        <v>45119.986192129632</v>
      </c>
      <c r="Q2560" s="77" t="s">
        <v>3232</v>
      </c>
      <c r="R2560" s="77">
        <v>0</v>
      </c>
      <c r="S2560" s="77">
        <v>0</v>
      </c>
      <c r="T2560" s="77">
        <v>0</v>
      </c>
      <c r="U2560" s="77">
        <v>0</v>
      </c>
      <c r="V2560" s="77">
        <v>723</v>
      </c>
      <c r="W2560" s="82" t="s">
        <v>4833</v>
      </c>
      <c r="X2560" s="80" t="str">
        <f>HYPERLINK("https://mla.bs/2ea491dc")</f>
        <v>https://mla.bs/2ea491dc</v>
      </c>
      <c r="Y2560" s="77" t="s">
        <v>6506</v>
      </c>
      <c r="Z2560" s="77"/>
      <c r="AA2560" s="77"/>
      <c r="AB2560" s="77"/>
      <c r="AC2560" s="82" t="s">
        <v>7757</v>
      </c>
      <c r="AD2560" s="77" t="s">
        <v>7788</v>
      </c>
      <c r="AE2560" s="80" t="str">
        <f>HYPERLINK("https://twitter.com/einvestidor/status/1679274467585937410")</f>
        <v>https://twitter.com/einvestidor/status/1679274467585937410</v>
      </c>
      <c r="AF2560" s="79">
        <v>45119.986192129632</v>
      </c>
      <c r="AG2560" s="85">
        <v>45119</v>
      </c>
      <c r="AH2560" s="82" t="s">
        <v>9760</v>
      </c>
      <c r="AI2560" s="77" t="b">
        <v>0</v>
      </c>
      <c r="AJ2560" s="77"/>
      <c r="AK2560" s="77"/>
      <c r="AL2560" s="77"/>
      <c r="AM2560" s="77"/>
      <c r="AN2560" s="77"/>
      <c r="AO2560" s="77"/>
      <c r="AP2560" s="77"/>
      <c r="AQ2560" s="77"/>
      <c r="AR2560" s="77"/>
      <c r="AS2560" s="77"/>
      <c r="AT2560" s="77"/>
      <c r="AU2560" s="77"/>
      <c r="AV2560" s="80" t="str">
        <f>HYPERLINK("https://pbs.twimg.com/profile_images/1241147984924082183/gZgx_hL-_normal.jpg")</f>
        <v>https://pbs.twimg.com/profile_images/1241147984924082183/gZgx_hL-_normal.jpg</v>
      </c>
      <c r="AW2560" s="82" t="s">
        <v>14156</v>
      </c>
      <c r="AX2560" s="82" t="s">
        <v>14156</v>
      </c>
      <c r="AY2560" s="77"/>
      <c r="AZ2560" s="82" t="s">
        <v>15984</v>
      </c>
      <c r="BA2560" s="82" t="s">
        <v>15984</v>
      </c>
      <c r="BB2560" s="82" t="s">
        <v>15984</v>
      </c>
      <c r="BC2560" s="82" t="s">
        <v>14156</v>
      </c>
      <c r="BD2560" s="82" t="s">
        <v>15979</v>
      </c>
      <c r="BE2560" s="77"/>
      <c r="BF2560" s="77"/>
      <c r="BG2560" s="77"/>
      <c r="BH2560" s="77"/>
      <c r="BI2560" s="77"/>
    </row>
    <row r="2561" spans="1:61" x14ac:dyDescent="0.25">
      <c r="A2561" s="62" t="s">
        <v>387</v>
      </c>
      <c r="B2561" s="62" t="s">
        <v>387</v>
      </c>
      <c r="C2561" s="63"/>
      <c r="D2561" s="64"/>
      <c r="E2561" s="65"/>
      <c r="F2561" s="66"/>
      <c r="G2561" s="63"/>
      <c r="H2561" s="67"/>
      <c r="I2561" s="68"/>
      <c r="J2561" s="68"/>
      <c r="K2561" s="32"/>
      <c r="L2561" s="75">
        <v>2561</v>
      </c>
      <c r="M2561" s="75"/>
      <c r="N2561" s="70"/>
      <c r="O2561" s="77" t="s">
        <v>179</v>
      </c>
      <c r="P2561" s="79">
        <v>45119.972326388888</v>
      </c>
      <c r="Q2561" s="77" t="s">
        <v>3233</v>
      </c>
      <c r="R2561" s="77">
        <v>0</v>
      </c>
      <c r="S2561" s="77">
        <v>4</v>
      </c>
      <c r="T2561" s="77">
        <v>0</v>
      </c>
      <c r="U2561" s="77">
        <v>0</v>
      </c>
      <c r="V2561" s="77">
        <v>774</v>
      </c>
      <c r="W2561" s="82" t="s">
        <v>4833</v>
      </c>
      <c r="X2561" s="80" t="str">
        <f>HYPERLINK("https://mla.bs/bbafb6d4")</f>
        <v>https://mla.bs/bbafb6d4</v>
      </c>
      <c r="Y2561" s="77" t="s">
        <v>6506</v>
      </c>
      <c r="Z2561" s="77"/>
      <c r="AA2561" s="77"/>
      <c r="AB2561" s="77"/>
      <c r="AC2561" s="82" t="s">
        <v>7757</v>
      </c>
      <c r="AD2561" s="77" t="s">
        <v>7788</v>
      </c>
      <c r="AE2561" s="80" t="str">
        <f>HYPERLINK("https://twitter.com/einvestidor/status/1679269444713848832")</f>
        <v>https://twitter.com/einvestidor/status/1679269444713848832</v>
      </c>
      <c r="AF2561" s="79">
        <v>45119.972326388888</v>
      </c>
      <c r="AG2561" s="85">
        <v>45119</v>
      </c>
      <c r="AH2561" s="82" t="s">
        <v>9761</v>
      </c>
      <c r="AI2561" s="77" t="b">
        <v>0</v>
      </c>
      <c r="AJ2561" s="77"/>
      <c r="AK2561" s="77"/>
      <c r="AL2561" s="77"/>
      <c r="AM2561" s="77"/>
      <c r="AN2561" s="77"/>
      <c r="AO2561" s="77"/>
      <c r="AP2561" s="77"/>
      <c r="AQ2561" s="77"/>
      <c r="AR2561" s="77"/>
      <c r="AS2561" s="77"/>
      <c r="AT2561" s="77"/>
      <c r="AU2561" s="77"/>
      <c r="AV2561" s="80" t="str">
        <f>HYPERLINK("https://pbs.twimg.com/profile_images/1241147984924082183/gZgx_hL-_normal.jpg")</f>
        <v>https://pbs.twimg.com/profile_images/1241147984924082183/gZgx_hL-_normal.jpg</v>
      </c>
      <c r="AW2561" s="82" t="s">
        <v>14157</v>
      </c>
      <c r="AX2561" s="82" t="s">
        <v>14157</v>
      </c>
      <c r="AY2561" s="77"/>
      <c r="AZ2561" s="82" t="s">
        <v>15984</v>
      </c>
      <c r="BA2561" s="82" t="s">
        <v>15984</v>
      </c>
      <c r="BB2561" s="82" t="s">
        <v>15984</v>
      </c>
      <c r="BC2561" s="82" t="s">
        <v>14157</v>
      </c>
      <c r="BD2561" s="82" t="s">
        <v>15979</v>
      </c>
      <c r="BE2561" s="77"/>
      <c r="BF2561" s="77"/>
      <c r="BG2561" s="77"/>
      <c r="BH2561" s="77"/>
      <c r="BI2561" s="77"/>
    </row>
    <row r="2562" spans="1:61" x14ac:dyDescent="0.25">
      <c r="A2562" s="62" t="s">
        <v>387</v>
      </c>
      <c r="B2562" s="62" t="s">
        <v>387</v>
      </c>
      <c r="C2562" s="63"/>
      <c r="D2562" s="64"/>
      <c r="E2562" s="65"/>
      <c r="F2562" s="66"/>
      <c r="G2562" s="63"/>
      <c r="H2562" s="67"/>
      <c r="I2562" s="68"/>
      <c r="J2562" s="68"/>
      <c r="K2562" s="32"/>
      <c r="L2562" s="75">
        <v>2562</v>
      </c>
      <c r="M2562" s="75"/>
      <c r="N2562" s="70"/>
      <c r="O2562" s="77" t="s">
        <v>179</v>
      </c>
      <c r="P2562" s="79">
        <v>45119.958749999998</v>
      </c>
      <c r="Q2562" s="77" t="s">
        <v>3234</v>
      </c>
      <c r="R2562" s="77">
        <v>0</v>
      </c>
      <c r="S2562" s="77">
        <v>5</v>
      </c>
      <c r="T2562" s="77">
        <v>0</v>
      </c>
      <c r="U2562" s="77">
        <v>1</v>
      </c>
      <c r="V2562" s="77">
        <v>981</v>
      </c>
      <c r="W2562" s="82" t="s">
        <v>6044</v>
      </c>
      <c r="X2562" s="80" t="str">
        <f>HYPERLINK("https://mla.bs/03836c5c")</f>
        <v>https://mla.bs/03836c5c</v>
      </c>
      <c r="Y2562" s="77" t="s">
        <v>6506</v>
      </c>
      <c r="Z2562" s="77"/>
      <c r="AA2562" s="77"/>
      <c r="AB2562" s="77"/>
      <c r="AC2562" s="82" t="s">
        <v>7757</v>
      </c>
      <c r="AD2562" s="77" t="s">
        <v>7788</v>
      </c>
      <c r="AE2562" s="80" t="str">
        <f>HYPERLINK("https://twitter.com/einvestidor/status/1679264523180441601")</f>
        <v>https://twitter.com/einvestidor/status/1679264523180441601</v>
      </c>
      <c r="AF2562" s="79">
        <v>45119.958749999998</v>
      </c>
      <c r="AG2562" s="85">
        <v>45119</v>
      </c>
      <c r="AH2562" s="82" t="s">
        <v>9762</v>
      </c>
      <c r="AI2562" s="77" t="b">
        <v>0</v>
      </c>
      <c r="AJ2562" s="77"/>
      <c r="AK2562" s="77"/>
      <c r="AL2562" s="77"/>
      <c r="AM2562" s="77"/>
      <c r="AN2562" s="77"/>
      <c r="AO2562" s="77"/>
      <c r="AP2562" s="77"/>
      <c r="AQ2562" s="77"/>
      <c r="AR2562" s="77"/>
      <c r="AS2562" s="77"/>
      <c r="AT2562" s="77"/>
      <c r="AU2562" s="77"/>
      <c r="AV2562" s="80" t="str">
        <f>HYPERLINK("https://pbs.twimg.com/profile_images/1241147984924082183/gZgx_hL-_normal.jpg")</f>
        <v>https://pbs.twimg.com/profile_images/1241147984924082183/gZgx_hL-_normal.jpg</v>
      </c>
      <c r="AW2562" s="82" t="s">
        <v>14158</v>
      </c>
      <c r="AX2562" s="82" t="s">
        <v>14158</v>
      </c>
      <c r="AY2562" s="77"/>
      <c r="AZ2562" s="82" t="s">
        <v>15984</v>
      </c>
      <c r="BA2562" s="82" t="s">
        <v>15984</v>
      </c>
      <c r="BB2562" s="82" t="s">
        <v>15984</v>
      </c>
      <c r="BC2562" s="82" t="s">
        <v>14158</v>
      </c>
      <c r="BD2562" s="82" t="s">
        <v>15979</v>
      </c>
      <c r="BE2562" s="77"/>
      <c r="BF2562" s="77"/>
      <c r="BG2562" s="77"/>
      <c r="BH2562" s="77"/>
      <c r="BI2562" s="77"/>
    </row>
    <row r="2563" spans="1:61" x14ac:dyDescent="0.25">
      <c r="A2563" s="62" t="s">
        <v>387</v>
      </c>
      <c r="B2563" s="62" t="s">
        <v>387</v>
      </c>
      <c r="C2563" s="63"/>
      <c r="D2563" s="64"/>
      <c r="E2563" s="65"/>
      <c r="F2563" s="66"/>
      <c r="G2563" s="63"/>
      <c r="H2563" s="67"/>
      <c r="I2563" s="68"/>
      <c r="J2563" s="68"/>
      <c r="K2563" s="32"/>
      <c r="L2563" s="75">
        <v>2563</v>
      </c>
      <c r="M2563" s="75"/>
      <c r="N2563" s="70"/>
      <c r="O2563" s="77" t="s">
        <v>179</v>
      </c>
      <c r="P2563" s="79">
        <v>45119.944467592592</v>
      </c>
      <c r="Q2563" s="77" t="s">
        <v>3235</v>
      </c>
      <c r="R2563" s="77">
        <v>0</v>
      </c>
      <c r="S2563" s="77">
        <v>0</v>
      </c>
      <c r="T2563" s="77">
        <v>0</v>
      </c>
      <c r="U2563" s="77">
        <v>0</v>
      </c>
      <c r="V2563" s="77">
        <v>562</v>
      </c>
      <c r="W2563" s="82" t="s">
        <v>4833</v>
      </c>
      <c r="X2563" s="80" t="str">
        <f>HYPERLINK("https://mla.bs/cce3a052")</f>
        <v>https://mla.bs/cce3a052</v>
      </c>
      <c r="Y2563" s="77" t="s">
        <v>6506</v>
      </c>
      <c r="Z2563" s="77"/>
      <c r="AA2563" s="77"/>
      <c r="AB2563" s="77"/>
      <c r="AC2563" s="82" t="s">
        <v>7757</v>
      </c>
      <c r="AD2563" s="77" t="s">
        <v>7788</v>
      </c>
      <c r="AE2563" s="80" t="str">
        <f>HYPERLINK("https://twitter.com/einvestidor/status/1679259350362144771")</f>
        <v>https://twitter.com/einvestidor/status/1679259350362144771</v>
      </c>
      <c r="AF2563" s="79">
        <v>45119.944467592592</v>
      </c>
      <c r="AG2563" s="85">
        <v>45119</v>
      </c>
      <c r="AH2563" s="82" t="s">
        <v>9763</v>
      </c>
      <c r="AI2563" s="77" t="b">
        <v>0</v>
      </c>
      <c r="AJ2563" s="77"/>
      <c r="AK2563" s="77"/>
      <c r="AL2563" s="77"/>
      <c r="AM2563" s="77"/>
      <c r="AN2563" s="77"/>
      <c r="AO2563" s="77"/>
      <c r="AP2563" s="77"/>
      <c r="AQ2563" s="77"/>
      <c r="AR2563" s="77"/>
      <c r="AS2563" s="77"/>
      <c r="AT2563" s="77"/>
      <c r="AU2563" s="77"/>
      <c r="AV2563" s="80" t="str">
        <f>HYPERLINK("https://pbs.twimg.com/profile_images/1241147984924082183/gZgx_hL-_normal.jpg")</f>
        <v>https://pbs.twimg.com/profile_images/1241147984924082183/gZgx_hL-_normal.jpg</v>
      </c>
      <c r="AW2563" s="82" t="s">
        <v>14159</v>
      </c>
      <c r="AX2563" s="82" t="s">
        <v>14159</v>
      </c>
      <c r="AY2563" s="77"/>
      <c r="AZ2563" s="82" t="s">
        <v>15984</v>
      </c>
      <c r="BA2563" s="82" t="s">
        <v>15984</v>
      </c>
      <c r="BB2563" s="82" t="s">
        <v>15984</v>
      </c>
      <c r="BC2563" s="82" t="s">
        <v>14159</v>
      </c>
      <c r="BD2563" s="82" t="s">
        <v>15979</v>
      </c>
      <c r="BE2563" s="77"/>
      <c r="BF2563" s="77"/>
      <c r="BG2563" s="77"/>
      <c r="BH2563" s="77"/>
      <c r="BI2563" s="77"/>
    </row>
    <row r="2564" spans="1:61" x14ac:dyDescent="0.25">
      <c r="A2564" s="62" t="s">
        <v>387</v>
      </c>
      <c r="B2564" s="62" t="s">
        <v>387</v>
      </c>
      <c r="C2564" s="63"/>
      <c r="D2564" s="64"/>
      <c r="E2564" s="65"/>
      <c r="F2564" s="66"/>
      <c r="G2564" s="63"/>
      <c r="H2564" s="67"/>
      <c r="I2564" s="68"/>
      <c r="J2564" s="68"/>
      <c r="K2564" s="32"/>
      <c r="L2564" s="75">
        <v>2564</v>
      </c>
      <c r="M2564" s="75"/>
      <c r="N2564" s="70"/>
      <c r="O2564" s="77" t="s">
        <v>179</v>
      </c>
      <c r="P2564" s="79">
        <v>45119.930659722224</v>
      </c>
      <c r="Q2564" s="77" t="s">
        <v>3236</v>
      </c>
      <c r="R2564" s="77">
        <v>1</v>
      </c>
      <c r="S2564" s="77">
        <v>1</v>
      </c>
      <c r="T2564" s="77">
        <v>0</v>
      </c>
      <c r="U2564" s="77">
        <v>0</v>
      </c>
      <c r="V2564" s="77">
        <v>605</v>
      </c>
      <c r="W2564" s="82" t="s">
        <v>4833</v>
      </c>
      <c r="X2564" s="80" t="str">
        <f>HYPERLINK("https://mla.bs/94de53a6")</f>
        <v>https://mla.bs/94de53a6</v>
      </c>
      <c r="Y2564" s="77" t="s">
        <v>6506</v>
      </c>
      <c r="Z2564" s="77"/>
      <c r="AA2564" s="77"/>
      <c r="AB2564" s="77"/>
      <c r="AC2564" s="82" t="s">
        <v>7757</v>
      </c>
      <c r="AD2564" s="77" t="s">
        <v>7788</v>
      </c>
      <c r="AE2564" s="80" t="str">
        <f>HYPERLINK("https://twitter.com/einvestidor/status/1679254346901364736")</f>
        <v>https://twitter.com/einvestidor/status/1679254346901364736</v>
      </c>
      <c r="AF2564" s="79">
        <v>45119.930659722224</v>
      </c>
      <c r="AG2564" s="85">
        <v>45119</v>
      </c>
      <c r="AH2564" s="82" t="s">
        <v>9764</v>
      </c>
      <c r="AI2564" s="77" t="b">
        <v>0</v>
      </c>
      <c r="AJ2564" s="77"/>
      <c r="AK2564" s="77"/>
      <c r="AL2564" s="77"/>
      <c r="AM2564" s="77"/>
      <c r="AN2564" s="77"/>
      <c r="AO2564" s="77"/>
      <c r="AP2564" s="77"/>
      <c r="AQ2564" s="77"/>
      <c r="AR2564" s="77"/>
      <c r="AS2564" s="77"/>
      <c r="AT2564" s="77"/>
      <c r="AU2564" s="77"/>
      <c r="AV2564" s="80" t="str">
        <f>HYPERLINK("https://pbs.twimg.com/profile_images/1241147984924082183/gZgx_hL-_normal.jpg")</f>
        <v>https://pbs.twimg.com/profile_images/1241147984924082183/gZgx_hL-_normal.jpg</v>
      </c>
      <c r="AW2564" s="82" t="s">
        <v>14160</v>
      </c>
      <c r="AX2564" s="82" t="s">
        <v>14160</v>
      </c>
      <c r="AY2564" s="77"/>
      <c r="AZ2564" s="82" t="s">
        <v>15984</v>
      </c>
      <c r="BA2564" s="82" t="s">
        <v>15984</v>
      </c>
      <c r="BB2564" s="82" t="s">
        <v>15984</v>
      </c>
      <c r="BC2564" s="82" t="s">
        <v>14160</v>
      </c>
      <c r="BD2564" s="82" t="s">
        <v>15979</v>
      </c>
      <c r="BE2564" s="77"/>
      <c r="BF2564" s="77"/>
      <c r="BG2564" s="77"/>
      <c r="BH2564" s="77"/>
      <c r="BI2564" s="77"/>
    </row>
    <row r="2565" spans="1:61" x14ac:dyDescent="0.25">
      <c r="A2565" s="62" t="s">
        <v>387</v>
      </c>
      <c r="B2565" s="62" t="s">
        <v>387</v>
      </c>
      <c r="C2565" s="63"/>
      <c r="D2565" s="64"/>
      <c r="E2565" s="65"/>
      <c r="F2565" s="66"/>
      <c r="G2565" s="63"/>
      <c r="H2565" s="67"/>
      <c r="I2565" s="68"/>
      <c r="J2565" s="68"/>
      <c r="K2565" s="32"/>
      <c r="L2565" s="75">
        <v>2565</v>
      </c>
      <c r="M2565" s="75"/>
      <c r="N2565" s="70"/>
      <c r="O2565" s="77" t="s">
        <v>179</v>
      </c>
      <c r="P2565" s="79">
        <v>45119.922106481485</v>
      </c>
      <c r="Q2565" s="77" t="s">
        <v>3237</v>
      </c>
      <c r="R2565" s="77">
        <v>0</v>
      </c>
      <c r="S2565" s="77">
        <v>0</v>
      </c>
      <c r="T2565" s="77">
        <v>0</v>
      </c>
      <c r="U2565" s="77">
        <v>0</v>
      </c>
      <c r="V2565" s="77">
        <v>567</v>
      </c>
      <c r="W2565" s="82" t="s">
        <v>4833</v>
      </c>
      <c r="X2565" s="80" t="str">
        <f>HYPERLINK("https://mla.bs/2a4b7e95")</f>
        <v>https://mla.bs/2a4b7e95</v>
      </c>
      <c r="Y2565" s="77" t="s">
        <v>6506</v>
      </c>
      <c r="Z2565" s="77"/>
      <c r="AA2565" s="77"/>
      <c r="AB2565" s="77"/>
      <c r="AC2565" s="82" t="s">
        <v>7757</v>
      </c>
      <c r="AD2565" s="77" t="s">
        <v>7788</v>
      </c>
      <c r="AE2565" s="80" t="str">
        <f>HYPERLINK("https://twitter.com/einvestidor/status/1679251244534190080")</f>
        <v>https://twitter.com/einvestidor/status/1679251244534190080</v>
      </c>
      <c r="AF2565" s="79">
        <v>45119.922106481485</v>
      </c>
      <c r="AG2565" s="85">
        <v>45119</v>
      </c>
      <c r="AH2565" s="82" t="s">
        <v>9765</v>
      </c>
      <c r="AI2565" s="77" t="b">
        <v>0</v>
      </c>
      <c r="AJ2565" s="77"/>
      <c r="AK2565" s="77"/>
      <c r="AL2565" s="77"/>
      <c r="AM2565" s="77"/>
      <c r="AN2565" s="77"/>
      <c r="AO2565" s="77"/>
      <c r="AP2565" s="77"/>
      <c r="AQ2565" s="77"/>
      <c r="AR2565" s="77"/>
      <c r="AS2565" s="77"/>
      <c r="AT2565" s="77"/>
      <c r="AU2565" s="77"/>
      <c r="AV2565" s="80" t="str">
        <f>HYPERLINK("https://pbs.twimg.com/profile_images/1241147984924082183/gZgx_hL-_normal.jpg")</f>
        <v>https://pbs.twimg.com/profile_images/1241147984924082183/gZgx_hL-_normal.jpg</v>
      </c>
      <c r="AW2565" s="82" t="s">
        <v>14161</v>
      </c>
      <c r="AX2565" s="82" t="s">
        <v>14161</v>
      </c>
      <c r="AY2565" s="77"/>
      <c r="AZ2565" s="82" t="s">
        <v>15984</v>
      </c>
      <c r="BA2565" s="82" t="s">
        <v>15984</v>
      </c>
      <c r="BB2565" s="82" t="s">
        <v>15984</v>
      </c>
      <c r="BC2565" s="82" t="s">
        <v>14161</v>
      </c>
      <c r="BD2565" s="82" t="s">
        <v>15979</v>
      </c>
      <c r="BE2565" s="77"/>
      <c r="BF2565" s="77"/>
      <c r="BG2565" s="77"/>
      <c r="BH2565" s="77"/>
      <c r="BI2565" s="77"/>
    </row>
    <row r="2566" spans="1:61" x14ac:dyDescent="0.25">
      <c r="A2566" s="62" t="s">
        <v>387</v>
      </c>
      <c r="B2566" s="62" t="s">
        <v>387</v>
      </c>
      <c r="C2566" s="63"/>
      <c r="D2566" s="64"/>
      <c r="E2566" s="65"/>
      <c r="F2566" s="66"/>
      <c r="G2566" s="63"/>
      <c r="H2566" s="67"/>
      <c r="I2566" s="68"/>
      <c r="J2566" s="68"/>
      <c r="K2566" s="32"/>
      <c r="L2566" s="75">
        <v>2566</v>
      </c>
      <c r="M2566" s="75"/>
      <c r="N2566" s="70"/>
      <c r="O2566" s="77" t="s">
        <v>179</v>
      </c>
      <c r="P2566" s="79">
        <v>45119.917175925926</v>
      </c>
      <c r="Q2566" s="77" t="s">
        <v>3238</v>
      </c>
      <c r="R2566" s="77">
        <v>0</v>
      </c>
      <c r="S2566" s="77">
        <v>1</v>
      </c>
      <c r="T2566" s="77">
        <v>0</v>
      </c>
      <c r="U2566" s="77">
        <v>0</v>
      </c>
      <c r="V2566" s="77">
        <v>788</v>
      </c>
      <c r="W2566" s="82" t="s">
        <v>5925</v>
      </c>
      <c r="X2566" s="80" t="str">
        <f>HYPERLINK("https://mla.bs/0037afa0")</f>
        <v>https://mla.bs/0037afa0</v>
      </c>
      <c r="Y2566" s="77" t="s">
        <v>6506</v>
      </c>
      <c r="Z2566" s="77"/>
      <c r="AA2566" s="77"/>
      <c r="AB2566" s="77"/>
      <c r="AC2566" s="82" t="s">
        <v>7757</v>
      </c>
      <c r="AD2566" s="77" t="s">
        <v>7788</v>
      </c>
      <c r="AE2566" s="80" t="str">
        <f>HYPERLINK("https://twitter.com/einvestidor/status/1679249458616205316")</f>
        <v>https://twitter.com/einvestidor/status/1679249458616205316</v>
      </c>
      <c r="AF2566" s="79">
        <v>45119.917175925926</v>
      </c>
      <c r="AG2566" s="85">
        <v>45119</v>
      </c>
      <c r="AH2566" s="82" t="s">
        <v>9766</v>
      </c>
      <c r="AI2566" s="77" t="b">
        <v>0</v>
      </c>
      <c r="AJ2566" s="77"/>
      <c r="AK2566" s="77"/>
      <c r="AL2566" s="77"/>
      <c r="AM2566" s="77"/>
      <c r="AN2566" s="77"/>
      <c r="AO2566" s="77"/>
      <c r="AP2566" s="77"/>
      <c r="AQ2566" s="77"/>
      <c r="AR2566" s="77"/>
      <c r="AS2566" s="77"/>
      <c r="AT2566" s="77"/>
      <c r="AU2566" s="77"/>
      <c r="AV2566" s="80" t="str">
        <f>HYPERLINK("https://pbs.twimg.com/profile_images/1241147984924082183/gZgx_hL-_normal.jpg")</f>
        <v>https://pbs.twimg.com/profile_images/1241147984924082183/gZgx_hL-_normal.jpg</v>
      </c>
      <c r="AW2566" s="82" t="s">
        <v>14162</v>
      </c>
      <c r="AX2566" s="82" t="s">
        <v>14162</v>
      </c>
      <c r="AY2566" s="77"/>
      <c r="AZ2566" s="82" t="s">
        <v>15984</v>
      </c>
      <c r="BA2566" s="82" t="s">
        <v>15984</v>
      </c>
      <c r="BB2566" s="82" t="s">
        <v>15984</v>
      </c>
      <c r="BC2566" s="82" t="s">
        <v>14162</v>
      </c>
      <c r="BD2566" s="82" t="s">
        <v>15979</v>
      </c>
      <c r="BE2566" s="77"/>
      <c r="BF2566" s="77"/>
      <c r="BG2566" s="77"/>
      <c r="BH2566" s="77"/>
      <c r="BI2566" s="77"/>
    </row>
    <row r="2567" spans="1:61" x14ac:dyDescent="0.25">
      <c r="A2567" s="62" t="s">
        <v>387</v>
      </c>
      <c r="B2567" s="62" t="s">
        <v>387</v>
      </c>
      <c r="C2567" s="63"/>
      <c r="D2567" s="64"/>
      <c r="E2567" s="65"/>
      <c r="F2567" s="66"/>
      <c r="G2567" s="63"/>
      <c r="H2567" s="67"/>
      <c r="I2567" s="68"/>
      <c r="J2567" s="68"/>
      <c r="K2567" s="32"/>
      <c r="L2567" s="75">
        <v>2567</v>
      </c>
      <c r="M2567" s="75"/>
      <c r="N2567" s="70"/>
      <c r="O2567" s="77" t="s">
        <v>179</v>
      </c>
      <c r="P2567" s="79">
        <v>45119.90283564815</v>
      </c>
      <c r="Q2567" s="77" t="s">
        <v>3239</v>
      </c>
      <c r="R2567" s="77">
        <v>0</v>
      </c>
      <c r="S2567" s="77">
        <v>1</v>
      </c>
      <c r="T2567" s="77">
        <v>1</v>
      </c>
      <c r="U2567" s="77">
        <v>0</v>
      </c>
      <c r="V2567" s="77">
        <v>536</v>
      </c>
      <c r="W2567" s="82" t="s">
        <v>6045</v>
      </c>
      <c r="X2567" s="80" t="str">
        <f>HYPERLINK("https://mla.bs/de52ce29")</f>
        <v>https://mla.bs/de52ce29</v>
      </c>
      <c r="Y2567" s="77" t="s">
        <v>6506</v>
      </c>
      <c r="Z2567" s="77"/>
      <c r="AA2567" s="77"/>
      <c r="AB2567" s="77"/>
      <c r="AC2567" s="82" t="s">
        <v>7757</v>
      </c>
      <c r="AD2567" s="77" t="s">
        <v>7788</v>
      </c>
      <c r="AE2567" s="80" t="str">
        <f>HYPERLINK("https://twitter.com/einvestidor/status/1679244261676441610")</f>
        <v>https://twitter.com/einvestidor/status/1679244261676441610</v>
      </c>
      <c r="AF2567" s="79">
        <v>45119.90283564815</v>
      </c>
      <c r="AG2567" s="85">
        <v>45119</v>
      </c>
      <c r="AH2567" s="82" t="s">
        <v>9767</v>
      </c>
      <c r="AI2567" s="77" t="b">
        <v>0</v>
      </c>
      <c r="AJ2567" s="77"/>
      <c r="AK2567" s="77"/>
      <c r="AL2567" s="77"/>
      <c r="AM2567" s="77"/>
      <c r="AN2567" s="77"/>
      <c r="AO2567" s="77"/>
      <c r="AP2567" s="77"/>
      <c r="AQ2567" s="77"/>
      <c r="AR2567" s="77"/>
      <c r="AS2567" s="77"/>
      <c r="AT2567" s="77"/>
      <c r="AU2567" s="77"/>
      <c r="AV2567" s="80" t="str">
        <f>HYPERLINK("https://pbs.twimg.com/profile_images/1241147984924082183/gZgx_hL-_normal.jpg")</f>
        <v>https://pbs.twimg.com/profile_images/1241147984924082183/gZgx_hL-_normal.jpg</v>
      </c>
      <c r="AW2567" s="82" t="s">
        <v>14163</v>
      </c>
      <c r="AX2567" s="82" t="s">
        <v>14163</v>
      </c>
      <c r="AY2567" s="77"/>
      <c r="AZ2567" s="82" t="s">
        <v>15984</v>
      </c>
      <c r="BA2567" s="82" t="s">
        <v>15984</v>
      </c>
      <c r="BB2567" s="82" t="s">
        <v>15984</v>
      </c>
      <c r="BC2567" s="82" t="s">
        <v>14163</v>
      </c>
      <c r="BD2567" s="82" t="s">
        <v>15979</v>
      </c>
      <c r="BE2567" s="77"/>
      <c r="BF2567" s="77"/>
      <c r="BG2567" s="77"/>
      <c r="BH2567" s="77"/>
      <c r="BI2567" s="77"/>
    </row>
    <row r="2568" spans="1:61" x14ac:dyDescent="0.25">
      <c r="A2568" s="62" t="s">
        <v>387</v>
      </c>
      <c r="B2568" s="62" t="s">
        <v>387</v>
      </c>
      <c r="C2568" s="63"/>
      <c r="D2568" s="64"/>
      <c r="E2568" s="65"/>
      <c r="F2568" s="66"/>
      <c r="G2568" s="63"/>
      <c r="H2568" s="67"/>
      <c r="I2568" s="68"/>
      <c r="J2568" s="68"/>
      <c r="K2568" s="32"/>
      <c r="L2568" s="75">
        <v>2568</v>
      </c>
      <c r="M2568" s="75"/>
      <c r="N2568" s="70"/>
      <c r="O2568" s="77" t="s">
        <v>179</v>
      </c>
      <c r="P2568" s="79">
        <v>45119.878935185188</v>
      </c>
      <c r="Q2568" s="77" t="s">
        <v>3240</v>
      </c>
      <c r="R2568" s="77">
        <v>0</v>
      </c>
      <c r="S2568" s="77">
        <v>2</v>
      </c>
      <c r="T2568" s="77">
        <v>0</v>
      </c>
      <c r="U2568" s="77">
        <v>0</v>
      </c>
      <c r="V2568" s="77">
        <v>796</v>
      </c>
      <c r="W2568" s="82" t="s">
        <v>6046</v>
      </c>
      <c r="X2568" s="80" t="str">
        <f>HYPERLINK("https://mla.bs/9d9b17fd")</f>
        <v>https://mla.bs/9d9b17fd</v>
      </c>
      <c r="Y2568" s="77" t="s">
        <v>6506</v>
      </c>
      <c r="Z2568" s="77"/>
      <c r="AA2568" s="77"/>
      <c r="AB2568" s="77"/>
      <c r="AC2568" s="82" t="s">
        <v>7757</v>
      </c>
      <c r="AD2568" s="77" t="s">
        <v>7788</v>
      </c>
      <c r="AE2568" s="80" t="str">
        <f>HYPERLINK("https://twitter.com/einvestidor/status/1679235602124865538")</f>
        <v>https://twitter.com/einvestidor/status/1679235602124865538</v>
      </c>
      <c r="AF2568" s="79">
        <v>45119.878935185188</v>
      </c>
      <c r="AG2568" s="85">
        <v>45119</v>
      </c>
      <c r="AH2568" s="82" t="s">
        <v>7990</v>
      </c>
      <c r="AI2568" s="77" t="b">
        <v>0</v>
      </c>
      <c r="AJ2568" s="77"/>
      <c r="AK2568" s="77"/>
      <c r="AL2568" s="77"/>
      <c r="AM2568" s="77"/>
      <c r="AN2568" s="77"/>
      <c r="AO2568" s="77"/>
      <c r="AP2568" s="77"/>
      <c r="AQ2568" s="77"/>
      <c r="AR2568" s="77"/>
      <c r="AS2568" s="77"/>
      <c r="AT2568" s="77"/>
      <c r="AU2568" s="77"/>
      <c r="AV2568" s="80" t="str">
        <f>HYPERLINK("https://pbs.twimg.com/profile_images/1241147984924082183/gZgx_hL-_normal.jpg")</f>
        <v>https://pbs.twimg.com/profile_images/1241147984924082183/gZgx_hL-_normal.jpg</v>
      </c>
      <c r="AW2568" s="82" t="s">
        <v>14164</v>
      </c>
      <c r="AX2568" s="82" t="s">
        <v>14164</v>
      </c>
      <c r="AY2568" s="77"/>
      <c r="AZ2568" s="82" t="s">
        <v>15984</v>
      </c>
      <c r="BA2568" s="82" t="s">
        <v>15984</v>
      </c>
      <c r="BB2568" s="82" t="s">
        <v>15984</v>
      </c>
      <c r="BC2568" s="82" t="s">
        <v>14164</v>
      </c>
      <c r="BD2568" s="82" t="s">
        <v>15979</v>
      </c>
      <c r="BE2568" s="77"/>
      <c r="BF2568" s="77"/>
      <c r="BG2568" s="77"/>
      <c r="BH2568" s="77"/>
      <c r="BI2568" s="77"/>
    </row>
    <row r="2569" spans="1:61" x14ac:dyDescent="0.25">
      <c r="A2569" s="62" t="s">
        <v>387</v>
      </c>
      <c r="B2569" s="62" t="s">
        <v>387</v>
      </c>
      <c r="C2569" s="63"/>
      <c r="D2569" s="64"/>
      <c r="E2569" s="65"/>
      <c r="F2569" s="66"/>
      <c r="G2569" s="63"/>
      <c r="H2569" s="67"/>
      <c r="I2569" s="68"/>
      <c r="J2569" s="68"/>
      <c r="K2569" s="32"/>
      <c r="L2569" s="75">
        <v>2569</v>
      </c>
      <c r="M2569" s="75"/>
      <c r="N2569" s="70"/>
      <c r="O2569" s="77" t="s">
        <v>179</v>
      </c>
      <c r="P2569" s="79">
        <v>45119.877233796295</v>
      </c>
      <c r="Q2569" s="77" t="s">
        <v>3241</v>
      </c>
      <c r="R2569" s="77">
        <v>0</v>
      </c>
      <c r="S2569" s="77">
        <v>0</v>
      </c>
      <c r="T2569" s="77">
        <v>0</v>
      </c>
      <c r="U2569" s="77">
        <v>0</v>
      </c>
      <c r="V2569" s="77">
        <v>580</v>
      </c>
      <c r="W2569" s="82" t="s">
        <v>6047</v>
      </c>
      <c r="X2569" s="80" t="str">
        <f>HYPERLINK("https://mla.bs/a1a5dcdd")</f>
        <v>https://mla.bs/a1a5dcdd</v>
      </c>
      <c r="Y2569" s="77" t="s">
        <v>6506</v>
      </c>
      <c r="Z2569" s="77"/>
      <c r="AA2569" s="77"/>
      <c r="AB2569" s="77"/>
      <c r="AC2569" s="82" t="s">
        <v>7757</v>
      </c>
      <c r="AD2569" s="77" t="s">
        <v>7788</v>
      </c>
      <c r="AE2569" s="80" t="str">
        <f>HYPERLINK("https://twitter.com/einvestidor/status/1679234984719032322")</f>
        <v>https://twitter.com/einvestidor/status/1679234984719032322</v>
      </c>
      <c r="AF2569" s="79">
        <v>45119.877233796295</v>
      </c>
      <c r="AG2569" s="85">
        <v>45119</v>
      </c>
      <c r="AH2569" s="82" t="s">
        <v>9768</v>
      </c>
      <c r="AI2569" s="77" t="b">
        <v>0</v>
      </c>
      <c r="AJ2569" s="77"/>
      <c r="AK2569" s="77"/>
      <c r="AL2569" s="77"/>
      <c r="AM2569" s="77"/>
      <c r="AN2569" s="77"/>
      <c r="AO2569" s="77"/>
      <c r="AP2569" s="77"/>
      <c r="AQ2569" s="77"/>
      <c r="AR2569" s="77"/>
      <c r="AS2569" s="77"/>
      <c r="AT2569" s="77"/>
      <c r="AU2569" s="77"/>
      <c r="AV2569" s="80" t="str">
        <f>HYPERLINK("https://pbs.twimg.com/profile_images/1241147984924082183/gZgx_hL-_normal.jpg")</f>
        <v>https://pbs.twimg.com/profile_images/1241147984924082183/gZgx_hL-_normal.jpg</v>
      </c>
      <c r="AW2569" s="82" t="s">
        <v>14165</v>
      </c>
      <c r="AX2569" s="82" t="s">
        <v>14165</v>
      </c>
      <c r="AY2569" s="77"/>
      <c r="AZ2569" s="82" t="s">
        <v>15984</v>
      </c>
      <c r="BA2569" s="82" t="s">
        <v>15984</v>
      </c>
      <c r="BB2569" s="82" t="s">
        <v>15984</v>
      </c>
      <c r="BC2569" s="82" t="s">
        <v>14165</v>
      </c>
      <c r="BD2569" s="82" t="s">
        <v>15979</v>
      </c>
      <c r="BE2569" s="77"/>
      <c r="BF2569" s="77"/>
      <c r="BG2569" s="77"/>
      <c r="BH2569" s="77"/>
      <c r="BI2569" s="77"/>
    </row>
    <row r="2570" spans="1:61" x14ac:dyDescent="0.25">
      <c r="A2570" s="62" t="s">
        <v>387</v>
      </c>
      <c r="B2570" s="62" t="s">
        <v>387</v>
      </c>
      <c r="C2570" s="63"/>
      <c r="D2570" s="64"/>
      <c r="E2570" s="65"/>
      <c r="F2570" s="66"/>
      <c r="G2570" s="63"/>
      <c r="H2570" s="67"/>
      <c r="I2570" s="68"/>
      <c r="J2570" s="68"/>
      <c r="K2570" s="32"/>
      <c r="L2570" s="75">
        <v>2570</v>
      </c>
      <c r="M2570" s="75"/>
      <c r="N2570" s="70"/>
      <c r="O2570" s="77" t="s">
        <v>179</v>
      </c>
      <c r="P2570" s="79">
        <v>45119.875555555554</v>
      </c>
      <c r="Q2570" s="77" t="s">
        <v>3242</v>
      </c>
      <c r="R2570" s="77">
        <v>0</v>
      </c>
      <c r="S2570" s="77">
        <v>1</v>
      </c>
      <c r="T2570" s="77">
        <v>0</v>
      </c>
      <c r="U2570" s="77">
        <v>0</v>
      </c>
      <c r="V2570" s="77">
        <v>457</v>
      </c>
      <c r="W2570" s="82" t="s">
        <v>4833</v>
      </c>
      <c r="X2570" s="80" t="str">
        <f>HYPERLINK("https://mla.bs/e5bdc40b")</f>
        <v>https://mla.bs/e5bdc40b</v>
      </c>
      <c r="Y2570" s="77" t="s">
        <v>6506</v>
      </c>
      <c r="Z2570" s="77"/>
      <c r="AA2570" s="77"/>
      <c r="AB2570" s="77"/>
      <c r="AC2570" s="82" t="s">
        <v>7757</v>
      </c>
      <c r="AD2570" s="77" t="s">
        <v>7788</v>
      </c>
      <c r="AE2570" s="80" t="str">
        <f>HYPERLINK("https://twitter.com/einvestidor/status/1679234374846349314")</f>
        <v>https://twitter.com/einvestidor/status/1679234374846349314</v>
      </c>
      <c r="AF2570" s="79">
        <v>45119.875555555554</v>
      </c>
      <c r="AG2570" s="85">
        <v>45119</v>
      </c>
      <c r="AH2570" s="82" t="s">
        <v>9769</v>
      </c>
      <c r="AI2570" s="77" t="b">
        <v>0</v>
      </c>
      <c r="AJ2570" s="77"/>
      <c r="AK2570" s="77"/>
      <c r="AL2570" s="77"/>
      <c r="AM2570" s="77"/>
      <c r="AN2570" s="77"/>
      <c r="AO2570" s="77"/>
      <c r="AP2570" s="77"/>
      <c r="AQ2570" s="77"/>
      <c r="AR2570" s="77"/>
      <c r="AS2570" s="77"/>
      <c r="AT2570" s="77"/>
      <c r="AU2570" s="77"/>
      <c r="AV2570" s="80" t="str">
        <f>HYPERLINK("https://pbs.twimg.com/profile_images/1241147984924082183/gZgx_hL-_normal.jpg")</f>
        <v>https://pbs.twimg.com/profile_images/1241147984924082183/gZgx_hL-_normal.jpg</v>
      </c>
      <c r="AW2570" s="82" t="s">
        <v>14166</v>
      </c>
      <c r="AX2570" s="82" t="s">
        <v>14166</v>
      </c>
      <c r="AY2570" s="77"/>
      <c r="AZ2570" s="82" t="s">
        <v>15984</v>
      </c>
      <c r="BA2570" s="82" t="s">
        <v>15984</v>
      </c>
      <c r="BB2570" s="82" t="s">
        <v>15984</v>
      </c>
      <c r="BC2570" s="82" t="s">
        <v>14166</v>
      </c>
      <c r="BD2570" s="82" t="s">
        <v>15979</v>
      </c>
      <c r="BE2570" s="77"/>
      <c r="BF2570" s="77"/>
      <c r="BG2570" s="77"/>
      <c r="BH2570" s="77"/>
      <c r="BI2570" s="77"/>
    </row>
    <row r="2571" spans="1:61" x14ac:dyDescent="0.25">
      <c r="A2571" s="62" t="s">
        <v>387</v>
      </c>
      <c r="B2571" s="62" t="s">
        <v>387</v>
      </c>
      <c r="C2571" s="63"/>
      <c r="D2571" s="64"/>
      <c r="E2571" s="65"/>
      <c r="F2571" s="66"/>
      <c r="G2571" s="63"/>
      <c r="H2571" s="67"/>
      <c r="I2571" s="68"/>
      <c r="J2571" s="68"/>
      <c r="K2571" s="32"/>
      <c r="L2571" s="75">
        <v>2571</v>
      </c>
      <c r="M2571" s="75"/>
      <c r="N2571" s="70"/>
      <c r="O2571" s="77" t="s">
        <v>179</v>
      </c>
      <c r="P2571" s="79">
        <v>45183.885289351849</v>
      </c>
      <c r="Q2571" s="77" t="s">
        <v>3243</v>
      </c>
      <c r="R2571" s="77">
        <v>0</v>
      </c>
      <c r="S2571" s="77">
        <v>2</v>
      </c>
      <c r="T2571" s="77">
        <v>0</v>
      </c>
      <c r="U2571" s="77">
        <v>0</v>
      </c>
      <c r="V2571" s="77">
        <v>563</v>
      </c>
      <c r="W2571" s="82" t="s">
        <v>6048</v>
      </c>
      <c r="X2571" s="80" t="str">
        <f>HYPERLINK("https://einvestidor.estadao.com.br/mercado/piores-acoes-ibovespa-casas-bahia-azul-pao-de-acucar/?utm_source=twitter&amp;utm_medium=organic&amp;utm_campaign=&amp;utm_content=materia")</f>
        <v>https://einvestidor.estadao.com.br/mercado/piores-acoes-ibovespa-casas-bahia-azul-pao-de-acucar/?utm_source=twitter&amp;utm_medium=organic&amp;utm_campaign=&amp;utm_content=materia</v>
      </c>
      <c r="Y2571" s="77" t="s">
        <v>6470</v>
      </c>
      <c r="Z2571" s="77"/>
      <c r="AA2571" s="77"/>
      <c r="AB2571" s="77"/>
      <c r="AC2571" s="82" t="s">
        <v>7750</v>
      </c>
      <c r="AD2571" s="77" t="s">
        <v>7788</v>
      </c>
      <c r="AE2571" s="80" t="str">
        <f>HYPERLINK("https://twitter.com/einvestidor/status/1702430727114252785")</f>
        <v>https://twitter.com/einvestidor/status/1702430727114252785</v>
      </c>
      <c r="AF2571" s="79">
        <v>45183.885289351849</v>
      </c>
      <c r="AG2571" s="85">
        <v>45183</v>
      </c>
      <c r="AH2571" s="82" t="s">
        <v>9770</v>
      </c>
      <c r="AI2571" s="77" t="b">
        <v>0</v>
      </c>
      <c r="AJ2571" s="77"/>
      <c r="AK2571" s="77"/>
      <c r="AL2571" s="77"/>
      <c r="AM2571" s="77"/>
      <c r="AN2571" s="77"/>
      <c r="AO2571" s="77"/>
      <c r="AP2571" s="77"/>
      <c r="AQ2571" s="77"/>
      <c r="AR2571" s="77"/>
      <c r="AS2571" s="77"/>
      <c r="AT2571" s="77"/>
      <c r="AU2571" s="77"/>
      <c r="AV2571" s="80" t="str">
        <f>HYPERLINK("https://pbs.twimg.com/profile_images/1241147984924082183/gZgx_hL-_normal.jpg")</f>
        <v>https://pbs.twimg.com/profile_images/1241147984924082183/gZgx_hL-_normal.jpg</v>
      </c>
      <c r="AW2571" s="82" t="s">
        <v>14167</v>
      </c>
      <c r="AX2571" s="82" t="s">
        <v>14167</v>
      </c>
      <c r="AY2571" s="77"/>
      <c r="AZ2571" s="82" t="s">
        <v>15984</v>
      </c>
      <c r="BA2571" s="82" t="s">
        <v>15984</v>
      </c>
      <c r="BB2571" s="82" t="s">
        <v>15984</v>
      </c>
      <c r="BC2571" s="82" t="s">
        <v>14167</v>
      </c>
      <c r="BD2571" s="82" t="s">
        <v>15979</v>
      </c>
      <c r="BE2571" s="77"/>
      <c r="BF2571" s="77"/>
      <c r="BG2571" s="77"/>
      <c r="BH2571" s="77"/>
      <c r="BI2571" s="77"/>
    </row>
    <row r="2572" spans="1:61" x14ac:dyDescent="0.25">
      <c r="A2572" s="62" t="s">
        <v>387</v>
      </c>
      <c r="B2572" s="62" t="s">
        <v>387</v>
      </c>
      <c r="C2572" s="63"/>
      <c r="D2572" s="64"/>
      <c r="E2572" s="65"/>
      <c r="F2572" s="66"/>
      <c r="G2572" s="63"/>
      <c r="H2572" s="67"/>
      <c r="I2572" s="68"/>
      <c r="J2572" s="68"/>
      <c r="K2572" s="32"/>
      <c r="L2572" s="75">
        <v>2572</v>
      </c>
      <c r="M2572" s="75"/>
      <c r="N2572" s="70"/>
      <c r="O2572" s="77" t="s">
        <v>179</v>
      </c>
      <c r="P2572" s="79">
        <v>45183.479884259257</v>
      </c>
      <c r="Q2572" s="77" t="s">
        <v>3244</v>
      </c>
      <c r="R2572" s="77">
        <v>0</v>
      </c>
      <c r="S2572" s="77">
        <v>1</v>
      </c>
      <c r="T2572" s="77">
        <v>0</v>
      </c>
      <c r="U2572" s="77">
        <v>0</v>
      </c>
      <c r="V2572" s="77">
        <v>412</v>
      </c>
      <c r="W2572" s="82" t="s">
        <v>4839</v>
      </c>
      <c r="X2572" s="80" t="str">
        <f>HYPERLINK("https://einvestidor.estadao.com.br/ultimas/bolsas-europa-hoje-juros-bce/?utm_source=twitter&amp;utm_medium=organic&amp;utm_campaign=europa&amp;utm_content=materia")</f>
        <v>https://einvestidor.estadao.com.br/ultimas/bolsas-europa-hoje-juros-bce/?utm_source=twitter&amp;utm_medium=organic&amp;utm_campaign=europa&amp;utm_content=materia</v>
      </c>
      <c r="Y2572" s="77" t="s">
        <v>6470</v>
      </c>
      <c r="Z2572" s="77"/>
      <c r="AA2572" s="77"/>
      <c r="AB2572" s="77"/>
      <c r="AC2572" s="82" t="s">
        <v>7750</v>
      </c>
      <c r="AD2572" s="77" t="s">
        <v>7788</v>
      </c>
      <c r="AE2572" s="80" t="str">
        <f>HYPERLINK("https://twitter.com/einvestidor/status/1702283811726188671")</f>
        <v>https://twitter.com/einvestidor/status/1702283811726188671</v>
      </c>
      <c r="AF2572" s="79">
        <v>45183.479884259257</v>
      </c>
      <c r="AG2572" s="85">
        <v>45183</v>
      </c>
      <c r="AH2572" s="82" t="s">
        <v>9771</v>
      </c>
      <c r="AI2572" s="77" t="b">
        <v>0</v>
      </c>
      <c r="AJ2572" s="77"/>
      <c r="AK2572" s="77"/>
      <c r="AL2572" s="77"/>
      <c r="AM2572" s="77"/>
      <c r="AN2572" s="77"/>
      <c r="AO2572" s="77"/>
      <c r="AP2572" s="77"/>
      <c r="AQ2572" s="77"/>
      <c r="AR2572" s="77"/>
      <c r="AS2572" s="77"/>
      <c r="AT2572" s="77"/>
      <c r="AU2572" s="77"/>
      <c r="AV2572" s="80" t="str">
        <f>HYPERLINK("https://pbs.twimg.com/profile_images/1241147984924082183/gZgx_hL-_normal.jpg")</f>
        <v>https://pbs.twimg.com/profile_images/1241147984924082183/gZgx_hL-_normal.jpg</v>
      </c>
      <c r="AW2572" s="82" t="s">
        <v>14168</v>
      </c>
      <c r="AX2572" s="82" t="s">
        <v>14168</v>
      </c>
      <c r="AY2572" s="77"/>
      <c r="AZ2572" s="82" t="s">
        <v>15984</v>
      </c>
      <c r="BA2572" s="82" t="s">
        <v>15984</v>
      </c>
      <c r="BB2572" s="82" t="s">
        <v>15984</v>
      </c>
      <c r="BC2572" s="82" t="s">
        <v>14168</v>
      </c>
      <c r="BD2572" s="82" t="s">
        <v>15979</v>
      </c>
      <c r="BE2572" s="77"/>
      <c r="BF2572" s="77"/>
      <c r="BG2572" s="77"/>
      <c r="BH2572" s="77"/>
      <c r="BI2572" s="77"/>
    </row>
    <row r="2573" spans="1:61" x14ac:dyDescent="0.25">
      <c r="A2573" s="62" t="s">
        <v>387</v>
      </c>
      <c r="B2573" s="62" t="s">
        <v>387</v>
      </c>
      <c r="C2573" s="63"/>
      <c r="D2573" s="64"/>
      <c r="E2573" s="65"/>
      <c r="F2573" s="66"/>
      <c r="G2573" s="63"/>
      <c r="H2573" s="67"/>
      <c r="I2573" s="68"/>
      <c r="J2573" s="68"/>
      <c r="K2573" s="32"/>
      <c r="L2573" s="75">
        <v>2573</v>
      </c>
      <c r="M2573" s="75"/>
      <c r="N2573" s="70"/>
      <c r="O2573" s="77" t="s">
        <v>179</v>
      </c>
      <c r="P2573" s="79">
        <v>45183.477222222224</v>
      </c>
      <c r="Q2573" s="77" t="s">
        <v>3245</v>
      </c>
      <c r="R2573" s="77">
        <v>0</v>
      </c>
      <c r="S2573" s="77">
        <v>1</v>
      </c>
      <c r="T2573" s="77">
        <v>0</v>
      </c>
      <c r="U2573" s="77">
        <v>0</v>
      </c>
      <c r="V2573" s="77">
        <v>411</v>
      </c>
      <c r="W2573" s="82" t="s">
        <v>4839</v>
      </c>
      <c r="X2573" s="80" t="str">
        <f>HYPERLINK("https://einvestidor.estadao.com.br/ultimas/bolsas-da-asia-fechamento-hoje-virada-eua/?utm_source=twitter&amp;utm_medium=organic&amp;utm_campaign=asia&amp;utm_content=materia")</f>
        <v>https://einvestidor.estadao.com.br/ultimas/bolsas-da-asia-fechamento-hoje-virada-eua/?utm_source=twitter&amp;utm_medium=organic&amp;utm_campaign=asia&amp;utm_content=materia</v>
      </c>
      <c r="Y2573" s="77" t="s">
        <v>6470</v>
      </c>
      <c r="Z2573" s="77"/>
      <c r="AA2573" s="77"/>
      <c r="AB2573" s="77"/>
      <c r="AC2573" s="82" t="s">
        <v>7750</v>
      </c>
      <c r="AD2573" s="77" t="s">
        <v>7788</v>
      </c>
      <c r="AE2573" s="80" t="str">
        <f>HYPERLINK("https://twitter.com/einvestidor/status/1702282849905188890")</f>
        <v>https://twitter.com/einvestidor/status/1702282849905188890</v>
      </c>
      <c r="AF2573" s="79">
        <v>45183.477222222224</v>
      </c>
      <c r="AG2573" s="85">
        <v>45183</v>
      </c>
      <c r="AH2573" s="82" t="s">
        <v>9772</v>
      </c>
      <c r="AI2573" s="77" t="b">
        <v>0</v>
      </c>
      <c r="AJ2573" s="77"/>
      <c r="AK2573" s="77"/>
      <c r="AL2573" s="77"/>
      <c r="AM2573" s="77"/>
      <c r="AN2573" s="77"/>
      <c r="AO2573" s="77"/>
      <c r="AP2573" s="77"/>
      <c r="AQ2573" s="77"/>
      <c r="AR2573" s="77"/>
      <c r="AS2573" s="77"/>
      <c r="AT2573" s="77"/>
      <c r="AU2573" s="77"/>
      <c r="AV2573" s="80" t="str">
        <f>HYPERLINK("https://pbs.twimg.com/profile_images/1241147984924082183/gZgx_hL-_normal.jpg")</f>
        <v>https://pbs.twimg.com/profile_images/1241147984924082183/gZgx_hL-_normal.jpg</v>
      </c>
      <c r="AW2573" s="82" t="s">
        <v>14169</v>
      </c>
      <c r="AX2573" s="82" t="s">
        <v>14169</v>
      </c>
      <c r="AY2573" s="77"/>
      <c r="AZ2573" s="82" t="s">
        <v>15984</v>
      </c>
      <c r="BA2573" s="82" t="s">
        <v>15984</v>
      </c>
      <c r="BB2573" s="82" t="s">
        <v>15984</v>
      </c>
      <c r="BC2573" s="82" t="s">
        <v>14169</v>
      </c>
      <c r="BD2573" s="82" t="s">
        <v>15979</v>
      </c>
      <c r="BE2573" s="77"/>
      <c r="BF2573" s="77"/>
      <c r="BG2573" s="77"/>
      <c r="BH2573" s="77"/>
      <c r="BI2573" s="77"/>
    </row>
    <row r="2574" spans="1:61" x14ac:dyDescent="0.25">
      <c r="A2574" s="62" t="s">
        <v>387</v>
      </c>
      <c r="B2574" s="62" t="s">
        <v>387</v>
      </c>
      <c r="C2574" s="63"/>
      <c r="D2574" s="64"/>
      <c r="E2574" s="65"/>
      <c r="F2574" s="66"/>
      <c r="G2574" s="63"/>
      <c r="H2574" s="67"/>
      <c r="I2574" s="68"/>
      <c r="J2574" s="68"/>
      <c r="K2574" s="32"/>
      <c r="L2574" s="75">
        <v>2574</v>
      </c>
      <c r="M2574" s="75"/>
      <c r="N2574" s="70"/>
      <c r="O2574" s="77" t="s">
        <v>179</v>
      </c>
      <c r="P2574" s="79">
        <v>45181.989583333336</v>
      </c>
      <c r="Q2574" s="77" t="s">
        <v>3246</v>
      </c>
      <c r="R2574" s="77">
        <v>0</v>
      </c>
      <c r="S2574" s="77">
        <v>0</v>
      </c>
      <c r="T2574" s="77">
        <v>1</v>
      </c>
      <c r="U2574" s="77">
        <v>0</v>
      </c>
      <c r="V2574" s="77">
        <v>754</v>
      </c>
      <c r="W2574" s="82" t="s">
        <v>6049</v>
      </c>
      <c r="X2574" s="80" t="str">
        <f>HYPERLINK("https://einvestidor.estadao.com.br/ultimas/acoes-apple-aapl-fecham-queda-dia-de-lancamento/?utm_source=twitter&amp;utm_medium=organic&amp;utm_campaign=&amp;utm_content=materia")</f>
        <v>https://einvestidor.estadao.com.br/ultimas/acoes-apple-aapl-fecham-queda-dia-de-lancamento/?utm_source=twitter&amp;utm_medium=organic&amp;utm_campaign=&amp;utm_content=materia</v>
      </c>
      <c r="Y2574" s="77" t="s">
        <v>6470</v>
      </c>
      <c r="Z2574" s="77"/>
      <c r="AA2574" s="77"/>
      <c r="AB2574" s="77"/>
      <c r="AC2574" s="82" t="s">
        <v>7750</v>
      </c>
      <c r="AD2574" s="77" t="s">
        <v>7788</v>
      </c>
      <c r="AE2574" s="80" t="str">
        <f>HYPERLINK("https://twitter.com/einvestidor/status/1701743744700067860")</f>
        <v>https://twitter.com/einvestidor/status/1701743744700067860</v>
      </c>
      <c r="AF2574" s="79">
        <v>45181.989583333336</v>
      </c>
      <c r="AG2574" s="85">
        <v>45181</v>
      </c>
      <c r="AH2574" s="82" t="s">
        <v>9620</v>
      </c>
      <c r="AI2574" s="77" t="b">
        <v>0</v>
      </c>
      <c r="AJ2574" s="77"/>
      <c r="AK2574" s="77"/>
      <c r="AL2574" s="77"/>
      <c r="AM2574" s="77"/>
      <c r="AN2574" s="77"/>
      <c r="AO2574" s="77"/>
      <c r="AP2574" s="77"/>
      <c r="AQ2574" s="77"/>
      <c r="AR2574" s="77"/>
      <c r="AS2574" s="77"/>
      <c r="AT2574" s="77"/>
      <c r="AU2574" s="77"/>
      <c r="AV2574" s="80" t="str">
        <f>HYPERLINK("https://pbs.twimg.com/profile_images/1241147984924082183/gZgx_hL-_normal.jpg")</f>
        <v>https://pbs.twimg.com/profile_images/1241147984924082183/gZgx_hL-_normal.jpg</v>
      </c>
      <c r="AW2574" s="82" t="s">
        <v>14170</v>
      </c>
      <c r="AX2574" s="82" t="s">
        <v>14170</v>
      </c>
      <c r="AY2574" s="77"/>
      <c r="AZ2574" s="82" t="s">
        <v>15984</v>
      </c>
      <c r="BA2574" s="82" t="s">
        <v>15984</v>
      </c>
      <c r="BB2574" s="82" t="s">
        <v>15984</v>
      </c>
      <c r="BC2574" s="82" t="s">
        <v>14170</v>
      </c>
      <c r="BD2574" s="82" t="s">
        <v>15979</v>
      </c>
      <c r="BE2574" s="77"/>
      <c r="BF2574" s="77"/>
      <c r="BG2574" s="77"/>
      <c r="BH2574" s="77"/>
      <c r="BI2574" s="77"/>
    </row>
    <row r="2575" spans="1:61" x14ac:dyDescent="0.25">
      <c r="A2575" s="62" t="s">
        <v>387</v>
      </c>
      <c r="B2575" s="62" t="s">
        <v>387</v>
      </c>
      <c r="C2575" s="63"/>
      <c r="D2575" s="64"/>
      <c r="E2575" s="65"/>
      <c r="F2575" s="66"/>
      <c r="G2575" s="63"/>
      <c r="H2575" s="67"/>
      <c r="I2575" s="68"/>
      <c r="J2575" s="68"/>
      <c r="K2575" s="32"/>
      <c r="L2575" s="75">
        <v>2575</v>
      </c>
      <c r="M2575" s="75"/>
      <c r="N2575" s="70"/>
      <c r="O2575" s="77" t="s">
        <v>179</v>
      </c>
      <c r="P2575" s="79">
        <v>45181.979166666664</v>
      </c>
      <c r="Q2575" s="77" t="s">
        <v>3247</v>
      </c>
      <c r="R2575" s="77">
        <v>1</v>
      </c>
      <c r="S2575" s="77">
        <v>2</v>
      </c>
      <c r="T2575" s="77">
        <v>0</v>
      </c>
      <c r="U2575" s="77">
        <v>0</v>
      </c>
      <c r="V2575" s="77">
        <v>555</v>
      </c>
      <c r="W2575" s="82" t="s">
        <v>6050</v>
      </c>
      <c r="X2575" s="80" t="str">
        <f>HYPERLINK("https://einvestidor.estadao.com.br/ultimas/fundador-onecoin-prisao-fraude-criptomoedas//?utm_source=twitter&amp;utm_medium=organic&amp;utm_campaign=&amp;utm_content=materia")</f>
        <v>https://einvestidor.estadao.com.br/ultimas/fundador-onecoin-prisao-fraude-criptomoedas//?utm_source=twitter&amp;utm_medium=organic&amp;utm_campaign=&amp;utm_content=materia</v>
      </c>
      <c r="Y2575" s="77" t="s">
        <v>6470</v>
      </c>
      <c r="Z2575" s="77"/>
      <c r="AA2575" s="77"/>
      <c r="AB2575" s="77"/>
      <c r="AC2575" s="82" t="s">
        <v>7750</v>
      </c>
      <c r="AD2575" s="77" t="s">
        <v>7788</v>
      </c>
      <c r="AE2575" s="80" t="str">
        <f>HYPERLINK("https://twitter.com/einvestidor/status/1701739972183929071")</f>
        <v>https://twitter.com/einvestidor/status/1701739972183929071</v>
      </c>
      <c r="AF2575" s="79">
        <v>45181.979166666664</v>
      </c>
      <c r="AG2575" s="85">
        <v>45181</v>
      </c>
      <c r="AH2575" s="82" t="s">
        <v>7928</v>
      </c>
      <c r="AI2575" s="77" t="b">
        <v>0</v>
      </c>
      <c r="AJ2575" s="77"/>
      <c r="AK2575" s="77"/>
      <c r="AL2575" s="77"/>
      <c r="AM2575" s="77"/>
      <c r="AN2575" s="77"/>
      <c r="AO2575" s="77"/>
      <c r="AP2575" s="77"/>
      <c r="AQ2575" s="77"/>
      <c r="AR2575" s="77"/>
      <c r="AS2575" s="77"/>
      <c r="AT2575" s="77"/>
      <c r="AU2575" s="77"/>
      <c r="AV2575" s="80" t="str">
        <f>HYPERLINK("https://pbs.twimg.com/profile_images/1241147984924082183/gZgx_hL-_normal.jpg")</f>
        <v>https://pbs.twimg.com/profile_images/1241147984924082183/gZgx_hL-_normal.jpg</v>
      </c>
      <c r="AW2575" s="82" t="s">
        <v>14171</v>
      </c>
      <c r="AX2575" s="82" t="s">
        <v>14171</v>
      </c>
      <c r="AY2575" s="77"/>
      <c r="AZ2575" s="82" t="s">
        <v>15984</v>
      </c>
      <c r="BA2575" s="82" t="s">
        <v>15984</v>
      </c>
      <c r="BB2575" s="82" t="s">
        <v>15984</v>
      </c>
      <c r="BC2575" s="82" t="s">
        <v>14171</v>
      </c>
      <c r="BD2575" s="82" t="s">
        <v>15979</v>
      </c>
      <c r="BE2575" s="77"/>
      <c r="BF2575" s="77"/>
      <c r="BG2575" s="77"/>
      <c r="BH2575" s="77"/>
      <c r="BI2575" s="77"/>
    </row>
    <row r="2576" spans="1:61" x14ac:dyDescent="0.25">
      <c r="A2576" s="62" t="s">
        <v>387</v>
      </c>
      <c r="B2576" s="62" t="s">
        <v>387</v>
      </c>
      <c r="C2576" s="63"/>
      <c r="D2576" s="64"/>
      <c r="E2576" s="65"/>
      <c r="F2576" s="66"/>
      <c r="G2576" s="63"/>
      <c r="H2576" s="67"/>
      <c r="I2576" s="68"/>
      <c r="J2576" s="68"/>
      <c r="K2576" s="32"/>
      <c r="L2576" s="75">
        <v>2576</v>
      </c>
      <c r="M2576" s="75"/>
      <c r="N2576" s="70"/>
      <c r="O2576" s="77" t="s">
        <v>179</v>
      </c>
      <c r="P2576" s="79">
        <v>45181.96875</v>
      </c>
      <c r="Q2576" s="77" t="s">
        <v>3248</v>
      </c>
      <c r="R2576" s="77">
        <v>0</v>
      </c>
      <c r="S2576" s="77">
        <v>0</v>
      </c>
      <c r="T2576" s="77">
        <v>0</v>
      </c>
      <c r="U2576" s="77">
        <v>0</v>
      </c>
      <c r="V2576" s="77">
        <v>621</v>
      </c>
      <c r="W2576" s="82" t="s">
        <v>4833</v>
      </c>
      <c r="X2576" s="80" t="str">
        <f>HYPERLINK("https://einvestidor.estadao.com.br/ultimas/telefonica-impactos-fim-jcp//?utm_source=twitter&amp;utm_medium=organic&amp;utm_campaign=&amp;utm_content=materia")</f>
        <v>https://einvestidor.estadao.com.br/ultimas/telefonica-impactos-fim-jcp//?utm_source=twitter&amp;utm_medium=organic&amp;utm_campaign=&amp;utm_content=materia</v>
      </c>
      <c r="Y2576" s="77" t="s">
        <v>6470</v>
      </c>
      <c r="Z2576" s="77"/>
      <c r="AA2576" s="77"/>
      <c r="AB2576" s="77"/>
      <c r="AC2576" s="82" t="s">
        <v>7750</v>
      </c>
      <c r="AD2576" s="77" t="s">
        <v>7788</v>
      </c>
      <c r="AE2576" s="80" t="str">
        <f>HYPERLINK("https://twitter.com/einvestidor/status/1701736194659213803")</f>
        <v>https://twitter.com/einvestidor/status/1701736194659213803</v>
      </c>
      <c r="AF2576" s="79">
        <v>45181.96875</v>
      </c>
      <c r="AG2576" s="85">
        <v>45181</v>
      </c>
      <c r="AH2576" s="82" t="s">
        <v>9621</v>
      </c>
      <c r="AI2576" s="77" t="b">
        <v>0</v>
      </c>
      <c r="AJ2576" s="77"/>
      <c r="AK2576" s="77"/>
      <c r="AL2576" s="77"/>
      <c r="AM2576" s="77"/>
      <c r="AN2576" s="77"/>
      <c r="AO2576" s="77"/>
      <c r="AP2576" s="77"/>
      <c r="AQ2576" s="77"/>
      <c r="AR2576" s="77"/>
      <c r="AS2576" s="77"/>
      <c r="AT2576" s="77"/>
      <c r="AU2576" s="77"/>
      <c r="AV2576" s="80" t="str">
        <f>HYPERLINK("https://pbs.twimg.com/profile_images/1241147984924082183/gZgx_hL-_normal.jpg")</f>
        <v>https://pbs.twimg.com/profile_images/1241147984924082183/gZgx_hL-_normal.jpg</v>
      </c>
      <c r="AW2576" s="82" t="s">
        <v>14172</v>
      </c>
      <c r="AX2576" s="82" t="s">
        <v>14172</v>
      </c>
      <c r="AY2576" s="77"/>
      <c r="AZ2576" s="82" t="s">
        <v>15984</v>
      </c>
      <c r="BA2576" s="82" t="s">
        <v>15984</v>
      </c>
      <c r="BB2576" s="82" t="s">
        <v>15984</v>
      </c>
      <c r="BC2576" s="82" t="s">
        <v>14172</v>
      </c>
      <c r="BD2576" s="82" t="s">
        <v>15979</v>
      </c>
      <c r="BE2576" s="77"/>
      <c r="BF2576" s="77"/>
      <c r="BG2576" s="77"/>
      <c r="BH2576" s="77"/>
      <c r="BI2576" s="77"/>
    </row>
    <row r="2577" spans="1:61" x14ac:dyDescent="0.25">
      <c r="A2577" s="62" t="s">
        <v>387</v>
      </c>
      <c r="B2577" s="62" t="s">
        <v>387</v>
      </c>
      <c r="C2577" s="63"/>
      <c r="D2577" s="64"/>
      <c r="E2577" s="65"/>
      <c r="F2577" s="66"/>
      <c r="G2577" s="63"/>
      <c r="H2577" s="67"/>
      <c r="I2577" s="68"/>
      <c r="J2577" s="68"/>
      <c r="K2577" s="32"/>
      <c r="L2577" s="75">
        <v>2577</v>
      </c>
      <c r="M2577" s="75"/>
      <c r="N2577" s="70"/>
      <c r="O2577" s="77" t="s">
        <v>179</v>
      </c>
      <c r="P2577" s="79">
        <v>45181.958333333336</v>
      </c>
      <c r="Q2577" s="77" t="s">
        <v>3249</v>
      </c>
      <c r="R2577" s="77">
        <v>1</v>
      </c>
      <c r="S2577" s="77">
        <v>3</v>
      </c>
      <c r="T2577" s="77">
        <v>0</v>
      </c>
      <c r="U2577" s="77">
        <v>0</v>
      </c>
      <c r="V2577" s="77">
        <v>619</v>
      </c>
      <c r="W2577" s="82" t="s">
        <v>4833</v>
      </c>
      <c r="X2577" s="80" t="str">
        <f>HYPERLINK("https://einvestidor.estadao.com.br/educacao-financeira/quem-recebe-pensao-por-morte-pode-se-aposentar/?utm_source=twitter&amp;utm_medium=organic&amp;utm_campaign=&amp;utm_content=materia")</f>
        <v>https://einvestidor.estadao.com.br/educacao-financeira/quem-recebe-pensao-por-morte-pode-se-aposentar/?utm_source=twitter&amp;utm_medium=organic&amp;utm_campaign=&amp;utm_content=materia</v>
      </c>
      <c r="Y2577" s="77" t="s">
        <v>6470</v>
      </c>
      <c r="Z2577" s="77"/>
      <c r="AA2577" s="77"/>
      <c r="AB2577" s="77"/>
      <c r="AC2577" s="82" t="s">
        <v>7750</v>
      </c>
      <c r="AD2577" s="77" t="s">
        <v>7788</v>
      </c>
      <c r="AE2577" s="80" t="str">
        <f>HYPERLINK("https://twitter.com/einvestidor/status/1701732419840397427")</f>
        <v>https://twitter.com/einvestidor/status/1701732419840397427</v>
      </c>
      <c r="AF2577" s="79">
        <v>45181.958333333336</v>
      </c>
      <c r="AG2577" s="85">
        <v>45181</v>
      </c>
      <c r="AH2577" s="82" t="s">
        <v>8279</v>
      </c>
      <c r="AI2577" s="77" t="b">
        <v>0</v>
      </c>
      <c r="AJ2577" s="77"/>
      <c r="AK2577" s="77"/>
      <c r="AL2577" s="77"/>
      <c r="AM2577" s="77"/>
      <c r="AN2577" s="77"/>
      <c r="AO2577" s="77"/>
      <c r="AP2577" s="77"/>
      <c r="AQ2577" s="77"/>
      <c r="AR2577" s="77"/>
      <c r="AS2577" s="77"/>
      <c r="AT2577" s="77"/>
      <c r="AU2577" s="77"/>
      <c r="AV2577" s="80" t="str">
        <f>HYPERLINK("https://pbs.twimg.com/profile_images/1241147984924082183/gZgx_hL-_normal.jpg")</f>
        <v>https://pbs.twimg.com/profile_images/1241147984924082183/gZgx_hL-_normal.jpg</v>
      </c>
      <c r="AW2577" s="82" t="s">
        <v>14173</v>
      </c>
      <c r="AX2577" s="82" t="s">
        <v>14173</v>
      </c>
      <c r="AY2577" s="77"/>
      <c r="AZ2577" s="82" t="s">
        <v>15984</v>
      </c>
      <c r="BA2577" s="82" t="s">
        <v>15984</v>
      </c>
      <c r="BB2577" s="82" t="s">
        <v>15984</v>
      </c>
      <c r="BC2577" s="82" t="s">
        <v>14173</v>
      </c>
      <c r="BD2577" s="82" t="s">
        <v>15979</v>
      </c>
      <c r="BE2577" s="77"/>
      <c r="BF2577" s="77"/>
      <c r="BG2577" s="77"/>
      <c r="BH2577" s="77"/>
      <c r="BI2577" s="77"/>
    </row>
    <row r="2578" spans="1:61" x14ac:dyDescent="0.25">
      <c r="A2578" s="62" t="s">
        <v>387</v>
      </c>
      <c r="B2578" s="62" t="s">
        <v>387</v>
      </c>
      <c r="C2578" s="63"/>
      <c r="D2578" s="64"/>
      <c r="E2578" s="65"/>
      <c r="F2578" s="66"/>
      <c r="G2578" s="63"/>
      <c r="H2578" s="67"/>
      <c r="I2578" s="68"/>
      <c r="J2578" s="68"/>
      <c r="K2578" s="32"/>
      <c r="L2578" s="75">
        <v>2578</v>
      </c>
      <c r="M2578" s="75"/>
      <c r="N2578" s="70"/>
      <c r="O2578" s="77" t="s">
        <v>179</v>
      </c>
      <c r="P2578" s="79">
        <v>45177.479641203703</v>
      </c>
      <c r="Q2578" s="77" t="s">
        <v>3250</v>
      </c>
      <c r="R2578" s="77">
        <v>0</v>
      </c>
      <c r="S2578" s="77">
        <v>0</v>
      </c>
      <c r="T2578" s="77">
        <v>0</v>
      </c>
      <c r="U2578" s="77">
        <v>0</v>
      </c>
      <c r="V2578" s="77">
        <v>456</v>
      </c>
      <c r="W2578" s="82" t="s">
        <v>4839</v>
      </c>
      <c r="X2578" s="80" t="str">
        <f>HYPERLINK("https://einvestidor.estadao.com.br/mercado/mercado-hoje-cautela-exterior-inflacao-chinesa/?utm_source=twitter&amp;utm_medium=organic&amp;utm_campaign=mercado-hoje&amp;utm_content=materia")</f>
        <v>https://einvestidor.estadao.com.br/mercado/mercado-hoje-cautela-exterior-inflacao-chinesa/?utm_source=twitter&amp;utm_medium=organic&amp;utm_campaign=mercado-hoje&amp;utm_content=materia</v>
      </c>
      <c r="Y2578" s="77" t="s">
        <v>6470</v>
      </c>
      <c r="Z2578" s="77"/>
      <c r="AA2578" s="77"/>
      <c r="AB2578" s="77"/>
      <c r="AC2578" s="82" t="s">
        <v>7750</v>
      </c>
      <c r="AD2578" s="77" t="s">
        <v>7788</v>
      </c>
      <c r="AE2578" s="80" t="str">
        <f>HYPERLINK("https://twitter.com/einvestidor/status/1700109397588857090")</f>
        <v>https://twitter.com/einvestidor/status/1700109397588857090</v>
      </c>
      <c r="AF2578" s="79">
        <v>45177.479641203703</v>
      </c>
      <c r="AG2578" s="85">
        <v>45177</v>
      </c>
      <c r="AH2578" s="82" t="s">
        <v>9773</v>
      </c>
      <c r="AI2578" s="77" t="b">
        <v>0</v>
      </c>
      <c r="AJ2578" s="77"/>
      <c r="AK2578" s="77"/>
      <c r="AL2578" s="77"/>
      <c r="AM2578" s="77"/>
      <c r="AN2578" s="77"/>
      <c r="AO2578" s="77"/>
      <c r="AP2578" s="77"/>
      <c r="AQ2578" s="77"/>
      <c r="AR2578" s="77"/>
      <c r="AS2578" s="77"/>
      <c r="AT2578" s="77"/>
      <c r="AU2578" s="77"/>
      <c r="AV2578" s="80" t="str">
        <f>HYPERLINK("https://pbs.twimg.com/profile_images/1241147984924082183/gZgx_hL-_normal.jpg")</f>
        <v>https://pbs.twimg.com/profile_images/1241147984924082183/gZgx_hL-_normal.jpg</v>
      </c>
      <c r="AW2578" s="82" t="s">
        <v>14174</v>
      </c>
      <c r="AX2578" s="82" t="s">
        <v>14174</v>
      </c>
      <c r="AY2578" s="77"/>
      <c r="AZ2578" s="82" t="s">
        <v>15984</v>
      </c>
      <c r="BA2578" s="82" t="s">
        <v>15984</v>
      </c>
      <c r="BB2578" s="82" t="s">
        <v>15984</v>
      </c>
      <c r="BC2578" s="82" t="s">
        <v>14174</v>
      </c>
      <c r="BD2578" s="82" t="s">
        <v>15979</v>
      </c>
      <c r="BE2578" s="77"/>
      <c r="BF2578" s="77"/>
      <c r="BG2578" s="77"/>
      <c r="BH2578" s="77"/>
      <c r="BI2578" s="77"/>
    </row>
    <row r="2579" spans="1:61" x14ac:dyDescent="0.25">
      <c r="A2579" s="62" t="s">
        <v>387</v>
      </c>
      <c r="B2579" s="62" t="s">
        <v>387</v>
      </c>
      <c r="C2579" s="63"/>
      <c r="D2579" s="64"/>
      <c r="E2579" s="65"/>
      <c r="F2579" s="66"/>
      <c r="G2579" s="63"/>
      <c r="H2579" s="67"/>
      <c r="I2579" s="68"/>
      <c r="J2579" s="68"/>
      <c r="K2579" s="32"/>
      <c r="L2579" s="75">
        <v>2579</v>
      </c>
      <c r="M2579" s="75"/>
      <c r="N2579" s="70"/>
      <c r="O2579" s="77" t="s">
        <v>179</v>
      </c>
      <c r="P2579" s="79">
        <v>45177.469895833332</v>
      </c>
      <c r="Q2579" s="77" t="s">
        <v>3251</v>
      </c>
      <c r="R2579" s="77">
        <v>0</v>
      </c>
      <c r="S2579" s="77">
        <v>2</v>
      </c>
      <c r="T2579" s="77">
        <v>0</v>
      </c>
      <c r="U2579" s="77">
        <v>0</v>
      </c>
      <c r="V2579" s="77">
        <v>506</v>
      </c>
      <c r="W2579" s="82" t="s">
        <v>6051</v>
      </c>
      <c r="X2579" s="80" t="str">
        <f>HYPERLINK("https://einvestidor.estadao.com.br/ultimas/bolsas-europa-operam-queda-incertezas-economicas/?utm_source=twitter&amp;utm_medium=organic&amp;utm_campaign=europa&amp;utm_content=materia")</f>
        <v>https://einvestidor.estadao.com.br/ultimas/bolsas-europa-operam-queda-incertezas-economicas/?utm_source=twitter&amp;utm_medium=organic&amp;utm_campaign=europa&amp;utm_content=materia</v>
      </c>
      <c r="Y2579" s="77" t="s">
        <v>6470</v>
      </c>
      <c r="Z2579" s="77"/>
      <c r="AA2579" s="77"/>
      <c r="AB2579" s="77"/>
      <c r="AC2579" s="82" t="s">
        <v>7750</v>
      </c>
      <c r="AD2579" s="77" t="s">
        <v>7788</v>
      </c>
      <c r="AE2579" s="80" t="str">
        <f>HYPERLINK("https://twitter.com/einvestidor/status/1700105865498398989")</f>
        <v>https://twitter.com/einvestidor/status/1700105865498398989</v>
      </c>
      <c r="AF2579" s="79">
        <v>45177.469895833332</v>
      </c>
      <c r="AG2579" s="85">
        <v>45177</v>
      </c>
      <c r="AH2579" s="82" t="s">
        <v>9774</v>
      </c>
      <c r="AI2579" s="77" t="b">
        <v>0</v>
      </c>
      <c r="AJ2579" s="77"/>
      <c r="AK2579" s="77"/>
      <c r="AL2579" s="77"/>
      <c r="AM2579" s="77"/>
      <c r="AN2579" s="77"/>
      <c r="AO2579" s="77"/>
      <c r="AP2579" s="77"/>
      <c r="AQ2579" s="77"/>
      <c r="AR2579" s="77"/>
      <c r="AS2579" s="77"/>
      <c r="AT2579" s="77"/>
      <c r="AU2579" s="77"/>
      <c r="AV2579" s="80" t="str">
        <f>HYPERLINK("https://pbs.twimg.com/profile_images/1241147984924082183/gZgx_hL-_normal.jpg")</f>
        <v>https://pbs.twimg.com/profile_images/1241147984924082183/gZgx_hL-_normal.jpg</v>
      </c>
      <c r="AW2579" s="82" t="s">
        <v>14175</v>
      </c>
      <c r="AX2579" s="82" t="s">
        <v>14175</v>
      </c>
      <c r="AY2579" s="77"/>
      <c r="AZ2579" s="82" t="s">
        <v>15984</v>
      </c>
      <c r="BA2579" s="82" t="s">
        <v>15984</v>
      </c>
      <c r="BB2579" s="82" t="s">
        <v>15984</v>
      </c>
      <c r="BC2579" s="82" t="s">
        <v>14175</v>
      </c>
      <c r="BD2579" s="82" t="s">
        <v>15979</v>
      </c>
      <c r="BE2579" s="77"/>
      <c r="BF2579" s="77"/>
      <c r="BG2579" s="77"/>
      <c r="BH2579" s="77"/>
      <c r="BI2579" s="77"/>
    </row>
    <row r="2580" spans="1:61" x14ac:dyDescent="0.25">
      <c r="A2580" s="62" t="s">
        <v>387</v>
      </c>
      <c r="B2580" s="62" t="s">
        <v>387</v>
      </c>
      <c r="C2580" s="63"/>
      <c r="D2580" s="64"/>
      <c r="E2580" s="65"/>
      <c r="F2580" s="66"/>
      <c r="G2580" s="63"/>
      <c r="H2580" s="67"/>
      <c r="I2580" s="68"/>
      <c r="J2580" s="68"/>
      <c r="K2580" s="32"/>
      <c r="L2580" s="75">
        <v>2580</v>
      </c>
      <c r="M2580" s="75"/>
      <c r="N2580" s="70"/>
      <c r="O2580" s="77" t="s">
        <v>179</v>
      </c>
      <c r="P2580" s="79">
        <v>45177.458356481482</v>
      </c>
      <c r="Q2580" s="77" t="s">
        <v>3252</v>
      </c>
      <c r="R2580" s="77">
        <v>0</v>
      </c>
      <c r="S2580" s="77">
        <v>1</v>
      </c>
      <c r="T2580" s="77">
        <v>0</v>
      </c>
      <c r="U2580" s="77">
        <v>0</v>
      </c>
      <c r="V2580" s="77">
        <v>469</v>
      </c>
      <c r="W2580" s="82" t="s">
        <v>5076</v>
      </c>
      <c r="X2580" s="80" t="str">
        <f>HYPERLINK("https://einvestidor.estadao.com.br/ultimas/influencers-digitais-investimentos-regras-bolsa/?utm_source=twitter&amp;utm_medium=organic&amp;utm_campaign=influencers&amp;utm_content=materia")</f>
        <v>https://einvestidor.estadao.com.br/ultimas/influencers-digitais-investimentos-regras-bolsa/?utm_source=twitter&amp;utm_medium=organic&amp;utm_campaign=influencers&amp;utm_content=materia</v>
      </c>
      <c r="Y2580" s="77" t="s">
        <v>6470</v>
      </c>
      <c r="Z2580" s="77"/>
      <c r="AA2580" s="77"/>
      <c r="AB2580" s="77"/>
      <c r="AC2580" s="82" t="s">
        <v>7750</v>
      </c>
      <c r="AD2580" s="77" t="s">
        <v>7788</v>
      </c>
      <c r="AE2580" s="80" t="str">
        <f>HYPERLINK("https://twitter.com/einvestidor/status/1700101685501120937")</f>
        <v>https://twitter.com/einvestidor/status/1700101685501120937</v>
      </c>
      <c r="AF2580" s="79">
        <v>45177.458356481482</v>
      </c>
      <c r="AG2580" s="85">
        <v>45177</v>
      </c>
      <c r="AH2580" s="82" t="s">
        <v>9775</v>
      </c>
      <c r="AI2580" s="77" t="b">
        <v>0</v>
      </c>
      <c r="AJ2580" s="77"/>
      <c r="AK2580" s="77"/>
      <c r="AL2580" s="77"/>
      <c r="AM2580" s="77"/>
      <c r="AN2580" s="77"/>
      <c r="AO2580" s="77"/>
      <c r="AP2580" s="77"/>
      <c r="AQ2580" s="77"/>
      <c r="AR2580" s="77"/>
      <c r="AS2580" s="77"/>
      <c r="AT2580" s="77"/>
      <c r="AU2580" s="77"/>
      <c r="AV2580" s="80" t="str">
        <f>HYPERLINK("https://pbs.twimg.com/profile_images/1241147984924082183/gZgx_hL-_normal.jpg")</f>
        <v>https://pbs.twimg.com/profile_images/1241147984924082183/gZgx_hL-_normal.jpg</v>
      </c>
      <c r="AW2580" s="82" t="s">
        <v>14176</v>
      </c>
      <c r="AX2580" s="82" t="s">
        <v>14176</v>
      </c>
      <c r="AY2580" s="77"/>
      <c r="AZ2580" s="82" t="s">
        <v>15984</v>
      </c>
      <c r="BA2580" s="82" t="s">
        <v>15984</v>
      </c>
      <c r="BB2580" s="82" t="s">
        <v>15984</v>
      </c>
      <c r="BC2580" s="82" t="s">
        <v>14176</v>
      </c>
      <c r="BD2580" s="82" t="s">
        <v>15979</v>
      </c>
      <c r="BE2580" s="77"/>
      <c r="BF2580" s="77"/>
      <c r="BG2580" s="77"/>
      <c r="BH2580" s="77"/>
      <c r="BI2580" s="77"/>
    </row>
    <row r="2581" spans="1:61" x14ac:dyDescent="0.25">
      <c r="A2581" s="62" t="s">
        <v>387</v>
      </c>
      <c r="B2581" s="62" t="s">
        <v>387</v>
      </c>
      <c r="C2581" s="63"/>
      <c r="D2581" s="64"/>
      <c r="E2581" s="65"/>
      <c r="F2581" s="66"/>
      <c r="G2581" s="63"/>
      <c r="H2581" s="67"/>
      <c r="I2581" s="68"/>
      <c r="J2581" s="68"/>
      <c r="K2581" s="32"/>
      <c r="L2581" s="75">
        <v>2581</v>
      </c>
      <c r="M2581" s="75"/>
      <c r="N2581" s="70"/>
      <c r="O2581" s="77" t="s">
        <v>898</v>
      </c>
      <c r="P2581" s="79">
        <v>45175.459780092591</v>
      </c>
      <c r="Q2581" s="77" t="s">
        <v>3253</v>
      </c>
      <c r="R2581" s="77">
        <v>0</v>
      </c>
      <c r="S2581" s="77">
        <v>0</v>
      </c>
      <c r="T2581" s="77">
        <v>0</v>
      </c>
      <c r="U2581" s="77">
        <v>0</v>
      </c>
      <c r="V2581" s="77">
        <v>366</v>
      </c>
      <c r="W2581" s="82" t="s">
        <v>6052</v>
      </c>
      <c r="X2581" s="80" t="str">
        <f>HYPERLINK("https://einvestidor.estadao.com.br/ultimas/bolsas-da-europa-operam-em-baixa-meio-dados-fracos-regiao/?utm_source=twitter&amp;utm_medium=organic&amp;utm_campaign=europa&amp;utm_content=materia")</f>
        <v>https://einvestidor.estadao.com.br/ultimas/bolsas-da-europa-operam-em-baixa-meio-dados-fracos-regiao/?utm_source=twitter&amp;utm_medium=organic&amp;utm_campaign=europa&amp;utm_content=materia</v>
      </c>
      <c r="Y2581" s="77" t="s">
        <v>6470</v>
      </c>
      <c r="Z2581" s="77"/>
      <c r="AA2581" s="77"/>
      <c r="AB2581" s="77"/>
      <c r="AC2581" s="82" t="s">
        <v>7750</v>
      </c>
      <c r="AD2581" s="77" t="s">
        <v>7788</v>
      </c>
      <c r="AE2581" s="80" t="str">
        <f>HYPERLINK("https://twitter.com/einvestidor/status/1699377424218165470")</f>
        <v>https://twitter.com/einvestidor/status/1699377424218165470</v>
      </c>
      <c r="AF2581" s="79">
        <v>45175.459780092591</v>
      </c>
      <c r="AG2581" s="85">
        <v>45175</v>
      </c>
      <c r="AH2581" s="82" t="s">
        <v>9776</v>
      </c>
      <c r="AI2581" s="77" t="b">
        <v>0</v>
      </c>
      <c r="AJ2581" s="77"/>
      <c r="AK2581" s="77"/>
      <c r="AL2581" s="77"/>
      <c r="AM2581" s="77"/>
      <c r="AN2581" s="77"/>
      <c r="AO2581" s="77"/>
      <c r="AP2581" s="77"/>
      <c r="AQ2581" s="77"/>
      <c r="AR2581" s="77"/>
      <c r="AS2581" s="77"/>
      <c r="AT2581" s="77"/>
      <c r="AU2581" s="77"/>
      <c r="AV2581" s="80" t="str">
        <f>HYPERLINK("https://pbs.twimg.com/profile_images/1241147984924082183/gZgx_hL-_normal.jpg")</f>
        <v>https://pbs.twimg.com/profile_images/1241147984924082183/gZgx_hL-_normal.jpg</v>
      </c>
      <c r="AW2581" s="82" t="s">
        <v>14177</v>
      </c>
      <c r="AX2581" s="82" t="s">
        <v>14178</v>
      </c>
      <c r="AY2581" s="82" t="s">
        <v>15979</v>
      </c>
      <c r="AZ2581" s="82" t="s">
        <v>14178</v>
      </c>
      <c r="BA2581" s="82" t="s">
        <v>15984</v>
      </c>
      <c r="BB2581" s="82" t="s">
        <v>15984</v>
      </c>
      <c r="BC2581" s="82" t="s">
        <v>14178</v>
      </c>
      <c r="BD2581" s="82" t="s">
        <v>15979</v>
      </c>
      <c r="BE2581" s="77"/>
      <c r="BF2581" s="77"/>
      <c r="BG2581" s="77"/>
      <c r="BH2581" s="77"/>
      <c r="BI2581" s="77"/>
    </row>
    <row r="2582" spans="1:61" x14ac:dyDescent="0.25">
      <c r="A2582" s="62" t="s">
        <v>387</v>
      </c>
      <c r="B2582" s="62" t="s">
        <v>387</v>
      </c>
      <c r="C2582" s="63"/>
      <c r="D2582" s="64"/>
      <c r="E2582" s="65"/>
      <c r="F2582" s="66"/>
      <c r="G2582" s="63"/>
      <c r="H2582" s="67"/>
      <c r="I2582" s="68"/>
      <c r="J2582" s="68"/>
      <c r="K2582" s="32"/>
      <c r="L2582" s="75">
        <v>2582</v>
      </c>
      <c r="M2582" s="75"/>
      <c r="N2582" s="70"/>
      <c r="O2582" s="77" t="s">
        <v>179</v>
      </c>
      <c r="P2582" s="79">
        <v>45175.440868055557</v>
      </c>
      <c r="Q2582" s="77" t="s">
        <v>3254</v>
      </c>
      <c r="R2582" s="77">
        <v>0</v>
      </c>
      <c r="S2582" s="77">
        <v>1</v>
      </c>
      <c r="T2582" s="77">
        <v>1</v>
      </c>
      <c r="U2582" s="77">
        <v>0</v>
      </c>
      <c r="V2582" s="77">
        <v>719</v>
      </c>
      <c r="W2582" s="82" t="s">
        <v>4839</v>
      </c>
      <c r="X2582" s="80" t="str">
        <f>HYPERLINK("https://einvestidor.estadao.com.br/noticias/bolsas-da-asia-fechamento-setor-imobiliario-china/?utm_source=twitter&amp;utm_medium=organic&amp;utm_campaign=asia&amp;utm_content=materia")</f>
        <v>https://einvestidor.estadao.com.br/noticias/bolsas-da-asia-fechamento-setor-imobiliario-china/?utm_source=twitter&amp;utm_medium=organic&amp;utm_campaign=asia&amp;utm_content=materia</v>
      </c>
      <c r="Y2582" s="77" t="s">
        <v>6470</v>
      </c>
      <c r="Z2582" s="77"/>
      <c r="AA2582" s="77"/>
      <c r="AB2582" s="77"/>
      <c r="AC2582" s="82" t="s">
        <v>7750</v>
      </c>
      <c r="AD2582" s="77" t="s">
        <v>7788</v>
      </c>
      <c r="AE2582" s="80" t="str">
        <f>HYPERLINK("https://twitter.com/einvestidor/status/1699370569030889674")</f>
        <v>https://twitter.com/einvestidor/status/1699370569030889674</v>
      </c>
      <c r="AF2582" s="79">
        <v>45175.440868055557</v>
      </c>
      <c r="AG2582" s="85">
        <v>45175</v>
      </c>
      <c r="AH2582" s="82" t="s">
        <v>9777</v>
      </c>
      <c r="AI2582" s="77" t="b">
        <v>0</v>
      </c>
      <c r="AJ2582" s="77"/>
      <c r="AK2582" s="77"/>
      <c r="AL2582" s="77"/>
      <c r="AM2582" s="77"/>
      <c r="AN2582" s="77"/>
      <c r="AO2582" s="77"/>
      <c r="AP2582" s="77"/>
      <c r="AQ2582" s="77"/>
      <c r="AR2582" s="77"/>
      <c r="AS2582" s="77"/>
      <c r="AT2582" s="77"/>
      <c r="AU2582" s="77"/>
      <c r="AV2582" s="80" t="str">
        <f>HYPERLINK("https://pbs.twimg.com/profile_images/1241147984924082183/gZgx_hL-_normal.jpg")</f>
        <v>https://pbs.twimg.com/profile_images/1241147984924082183/gZgx_hL-_normal.jpg</v>
      </c>
      <c r="AW2582" s="82" t="s">
        <v>14178</v>
      </c>
      <c r="AX2582" s="82" t="s">
        <v>14178</v>
      </c>
      <c r="AY2582" s="77"/>
      <c r="AZ2582" s="82" t="s">
        <v>15984</v>
      </c>
      <c r="BA2582" s="82" t="s">
        <v>15984</v>
      </c>
      <c r="BB2582" s="82" t="s">
        <v>15984</v>
      </c>
      <c r="BC2582" s="82" t="s">
        <v>14178</v>
      </c>
      <c r="BD2582" s="82" t="s">
        <v>15979</v>
      </c>
      <c r="BE2582" s="77"/>
      <c r="BF2582" s="77"/>
      <c r="BG2582" s="77"/>
      <c r="BH2582" s="77"/>
      <c r="BI2582" s="77"/>
    </row>
    <row r="2583" spans="1:61" x14ac:dyDescent="0.25">
      <c r="A2583" s="62" t="s">
        <v>387</v>
      </c>
      <c r="B2583" s="62" t="s">
        <v>387</v>
      </c>
      <c r="C2583" s="63"/>
      <c r="D2583" s="64"/>
      <c r="E2583" s="65"/>
      <c r="F2583" s="66"/>
      <c r="G2583" s="63"/>
      <c r="H2583" s="67"/>
      <c r="I2583" s="68"/>
      <c r="J2583" s="68"/>
      <c r="K2583" s="32"/>
      <c r="L2583" s="75">
        <v>2583</v>
      </c>
      <c r="M2583" s="75"/>
      <c r="N2583" s="70"/>
      <c r="O2583" s="77" t="s">
        <v>179</v>
      </c>
      <c r="P2583" s="79">
        <v>45169.010416666664</v>
      </c>
      <c r="Q2583" s="77" t="s">
        <v>3255</v>
      </c>
      <c r="R2583" s="77">
        <v>0</v>
      </c>
      <c r="S2583" s="77">
        <v>3</v>
      </c>
      <c r="T2583" s="77">
        <v>0</v>
      </c>
      <c r="U2583" s="77">
        <v>0</v>
      </c>
      <c r="V2583" s="77">
        <v>1022</v>
      </c>
      <c r="W2583" s="82" t="s">
        <v>4833</v>
      </c>
      <c r="X2583" s="80" t="str">
        <f>HYPERLINK("https://einvestidor.estadao.com.br/ultimas/bolsas-nova-york-fecham-alta-expectativas-fim-aperto-fed/?utm_source=twitter&amp;utm_medium=organic&amp;utm_campaign=&amp;utm_content=materia")</f>
        <v>https://einvestidor.estadao.com.br/ultimas/bolsas-nova-york-fecham-alta-expectativas-fim-aperto-fed/?utm_source=twitter&amp;utm_medium=organic&amp;utm_campaign=&amp;utm_content=materia</v>
      </c>
      <c r="Y2583" s="77" t="s">
        <v>6470</v>
      </c>
      <c r="Z2583" s="77"/>
      <c r="AA2583" s="77"/>
      <c r="AB2583" s="77"/>
      <c r="AC2583" s="82" t="s">
        <v>7750</v>
      </c>
      <c r="AD2583" s="77" t="s">
        <v>7788</v>
      </c>
      <c r="AE2583" s="80" t="str">
        <f>HYPERLINK("https://twitter.com/einvestidor/status/1697040251968008254")</f>
        <v>https://twitter.com/einvestidor/status/1697040251968008254</v>
      </c>
      <c r="AF2583" s="79">
        <v>45169.010416666664</v>
      </c>
      <c r="AG2583" s="85">
        <v>45169</v>
      </c>
      <c r="AH2583" s="82" t="s">
        <v>8119</v>
      </c>
      <c r="AI2583" s="77" t="b">
        <v>0</v>
      </c>
      <c r="AJ2583" s="77"/>
      <c r="AK2583" s="77"/>
      <c r="AL2583" s="77"/>
      <c r="AM2583" s="77"/>
      <c r="AN2583" s="77"/>
      <c r="AO2583" s="77"/>
      <c r="AP2583" s="77"/>
      <c r="AQ2583" s="77"/>
      <c r="AR2583" s="77"/>
      <c r="AS2583" s="77"/>
      <c r="AT2583" s="77"/>
      <c r="AU2583" s="77"/>
      <c r="AV2583" s="80" t="str">
        <f>HYPERLINK("https://pbs.twimg.com/profile_images/1241147984924082183/gZgx_hL-_normal.jpg")</f>
        <v>https://pbs.twimg.com/profile_images/1241147984924082183/gZgx_hL-_normal.jpg</v>
      </c>
      <c r="AW2583" s="82" t="s">
        <v>14179</v>
      </c>
      <c r="AX2583" s="82" t="s">
        <v>14179</v>
      </c>
      <c r="AY2583" s="77"/>
      <c r="AZ2583" s="82" t="s">
        <v>15984</v>
      </c>
      <c r="BA2583" s="82" t="s">
        <v>15984</v>
      </c>
      <c r="BB2583" s="82" t="s">
        <v>15984</v>
      </c>
      <c r="BC2583" s="82" t="s">
        <v>14179</v>
      </c>
      <c r="BD2583" s="82" t="s">
        <v>15979</v>
      </c>
      <c r="BE2583" s="77"/>
      <c r="BF2583" s="77"/>
      <c r="BG2583" s="77"/>
      <c r="BH2583" s="77"/>
      <c r="BI2583" s="77"/>
    </row>
    <row r="2584" spans="1:61" x14ac:dyDescent="0.25">
      <c r="A2584" s="62" t="s">
        <v>387</v>
      </c>
      <c r="B2584" s="62" t="s">
        <v>387</v>
      </c>
      <c r="C2584" s="63"/>
      <c r="D2584" s="64"/>
      <c r="E2584" s="65"/>
      <c r="F2584" s="66"/>
      <c r="G2584" s="63"/>
      <c r="H2584" s="67"/>
      <c r="I2584" s="68"/>
      <c r="J2584" s="68"/>
      <c r="K2584" s="32"/>
      <c r="L2584" s="75">
        <v>2584</v>
      </c>
      <c r="M2584" s="75"/>
      <c r="N2584" s="70"/>
      <c r="O2584" s="77" t="s">
        <v>179</v>
      </c>
      <c r="P2584" s="79">
        <v>45169</v>
      </c>
      <c r="Q2584" s="77" t="s">
        <v>3256</v>
      </c>
      <c r="R2584" s="77">
        <v>0</v>
      </c>
      <c r="S2584" s="77">
        <v>2</v>
      </c>
      <c r="T2584" s="77">
        <v>0</v>
      </c>
      <c r="U2584" s="77">
        <v>0</v>
      </c>
      <c r="V2584" s="77">
        <v>867</v>
      </c>
      <c r="W2584" s="82" t="s">
        <v>5902</v>
      </c>
      <c r="X2584" s="80" t="str">
        <f>HYPERLINK("https://einvestidor.estadao.com.br/ultimas/dolar-hoje-fecha-alta-duvidas-meta-fiscal/?utm_source=twitter&amp;utm_medium=organic&amp;utm_campaign=&amp;utm_content=materia")</f>
        <v>https://einvestidor.estadao.com.br/ultimas/dolar-hoje-fecha-alta-duvidas-meta-fiscal/?utm_source=twitter&amp;utm_medium=organic&amp;utm_campaign=&amp;utm_content=materia</v>
      </c>
      <c r="Y2584" s="77" t="s">
        <v>6470</v>
      </c>
      <c r="Z2584" s="77"/>
      <c r="AA2584" s="77"/>
      <c r="AB2584" s="77"/>
      <c r="AC2584" s="82" t="s">
        <v>7750</v>
      </c>
      <c r="AD2584" s="77" t="s">
        <v>7788</v>
      </c>
      <c r="AE2584" s="80" t="str">
        <f>HYPERLINK("https://twitter.com/einvestidor/status/1697036477165695249")</f>
        <v>https://twitter.com/einvestidor/status/1697036477165695249</v>
      </c>
      <c r="AF2584" s="79">
        <v>45169</v>
      </c>
      <c r="AG2584" s="85">
        <v>45169</v>
      </c>
      <c r="AH2584" s="82" t="s">
        <v>9300</v>
      </c>
      <c r="AI2584" s="77" t="b">
        <v>0</v>
      </c>
      <c r="AJ2584" s="77"/>
      <c r="AK2584" s="77"/>
      <c r="AL2584" s="77"/>
      <c r="AM2584" s="77"/>
      <c r="AN2584" s="77"/>
      <c r="AO2584" s="77"/>
      <c r="AP2584" s="77"/>
      <c r="AQ2584" s="77"/>
      <c r="AR2584" s="77"/>
      <c r="AS2584" s="77"/>
      <c r="AT2584" s="77"/>
      <c r="AU2584" s="77"/>
      <c r="AV2584" s="80" t="str">
        <f>HYPERLINK("https://pbs.twimg.com/profile_images/1241147984924082183/gZgx_hL-_normal.jpg")</f>
        <v>https://pbs.twimg.com/profile_images/1241147984924082183/gZgx_hL-_normal.jpg</v>
      </c>
      <c r="AW2584" s="82" t="s">
        <v>14180</v>
      </c>
      <c r="AX2584" s="82" t="s">
        <v>14180</v>
      </c>
      <c r="AY2584" s="77"/>
      <c r="AZ2584" s="82" t="s">
        <v>15984</v>
      </c>
      <c r="BA2584" s="82" t="s">
        <v>15984</v>
      </c>
      <c r="BB2584" s="82" t="s">
        <v>15984</v>
      </c>
      <c r="BC2584" s="82" t="s">
        <v>14180</v>
      </c>
      <c r="BD2584" s="82" t="s">
        <v>15979</v>
      </c>
      <c r="BE2584" s="77"/>
      <c r="BF2584" s="77"/>
      <c r="BG2584" s="77"/>
      <c r="BH2584" s="77"/>
      <c r="BI2584" s="77"/>
    </row>
    <row r="2585" spans="1:61" x14ac:dyDescent="0.25">
      <c r="A2585" s="62" t="s">
        <v>387</v>
      </c>
      <c r="B2585" s="62" t="s">
        <v>387</v>
      </c>
      <c r="C2585" s="63"/>
      <c r="D2585" s="64"/>
      <c r="E2585" s="65"/>
      <c r="F2585" s="66"/>
      <c r="G2585" s="63"/>
      <c r="H2585" s="67"/>
      <c r="I2585" s="68"/>
      <c r="J2585" s="68"/>
      <c r="K2585" s="32"/>
      <c r="L2585" s="75">
        <v>2585</v>
      </c>
      <c r="M2585" s="75"/>
      <c r="N2585" s="70"/>
      <c r="O2585" s="77" t="s">
        <v>179</v>
      </c>
      <c r="P2585" s="79">
        <v>45168.989583333336</v>
      </c>
      <c r="Q2585" s="77" t="s">
        <v>3257</v>
      </c>
      <c r="R2585" s="77">
        <v>0</v>
      </c>
      <c r="S2585" s="77">
        <v>4</v>
      </c>
      <c r="T2585" s="77">
        <v>0</v>
      </c>
      <c r="U2585" s="77">
        <v>0</v>
      </c>
      <c r="V2585" s="77">
        <v>904</v>
      </c>
      <c r="W2585" s="82" t="s">
        <v>4833</v>
      </c>
      <c r="X2585" s="80" t="str">
        <f>HYPERLINK("https://einvestidor.estadao.com.br/ultimas/dolar-fecha-queda-ante-euro-libra-dados-eua/?utm_source=twitter&amp;utm_medium=organic&amp;utm_campaign=&amp;utm_content=materia")</f>
        <v>https://einvestidor.estadao.com.br/ultimas/dolar-fecha-queda-ante-euro-libra-dados-eua/?utm_source=twitter&amp;utm_medium=organic&amp;utm_campaign=&amp;utm_content=materia</v>
      </c>
      <c r="Y2585" s="77" t="s">
        <v>6470</v>
      </c>
      <c r="Z2585" s="77"/>
      <c r="AA2585" s="77"/>
      <c r="AB2585" s="77"/>
      <c r="AC2585" s="82" t="s">
        <v>7750</v>
      </c>
      <c r="AD2585" s="77" t="s">
        <v>7788</v>
      </c>
      <c r="AE2585" s="80" t="str">
        <f>HYPERLINK("https://twitter.com/einvestidor/status/1697032702506197261")</f>
        <v>https://twitter.com/einvestidor/status/1697032702506197261</v>
      </c>
      <c r="AF2585" s="79">
        <v>45168.989583333336</v>
      </c>
      <c r="AG2585" s="85">
        <v>45168</v>
      </c>
      <c r="AH2585" s="82" t="s">
        <v>9620</v>
      </c>
      <c r="AI2585" s="77" t="b">
        <v>0</v>
      </c>
      <c r="AJ2585" s="77"/>
      <c r="AK2585" s="77"/>
      <c r="AL2585" s="77"/>
      <c r="AM2585" s="77"/>
      <c r="AN2585" s="77"/>
      <c r="AO2585" s="77"/>
      <c r="AP2585" s="77"/>
      <c r="AQ2585" s="77"/>
      <c r="AR2585" s="77"/>
      <c r="AS2585" s="77"/>
      <c r="AT2585" s="77"/>
      <c r="AU2585" s="77"/>
      <c r="AV2585" s="80" t="str">
        <f>HYPERLINK("https://pbs.twimg.com/profile_images/1241147984924082183/gZgx_hL-_normal.jpg")</f>
        <v>https://pbs.twimg.com/profile_images/1241147984924082183/gZgx_hL-_normal.jpg</v>
      </c>
      <c r="AW2585" s="82" t="s">
        <v>14181</v>
      </c>
      <c r="AX2585" s="82" t="s">
        <v>14181</v>
      </c>
      <c r="AY2585" s="77"/>
      <c r="AZ2585" s="82" t="s">
        <v>15984</v>
      </c>
      <c r="BA2585" s="82" t="s">
        <v>15984</v>
      </c>
      <c r="BB2585" s="82" t="s">
        <v>15984</v>
      </c>
      <c r="BC2585" s="82" t="s">
        <v>14181</v>
      </c>
      <c r="BD2585" s="82" t="s">
        <v>15979</v>
      </c>
      <c r="BE2585" s="77"/>
      <c r="BF2585" s="77"/>
      <c r="BG2585" s="77"/>
      <c r="BH2585" s="77"/>
      <c r="BI2585" s="77"/>
    </row>
    <row r="2586" spans="1:61" x14ac:dyDescent="0.25">
      <c r="A2586" s="62" t="s">
        <v>387</v>
      </c>
      <c r="B2586" s="62" t="s">
        <v>387</v>
      </c>
      <c r="C2586" s="63"/>
      <c r="D2586" s="64"/>
      <c r="E2586" s="65"/>
      <c r="F2586" s="66"/>
      <c r="G2586" s="63"/>
      <c r="H2586" s="67"/>
      <c r="I2586" s="68"/>
      <c r="J2586" s="68"/>
      <c r="K2586" s="32"/>
      <c r="L2586" s="75">
        <v>2586</v>
      </c>
      <c r="M2586" s="75"/>
      <c r="N2586" s="70"/>
      <c r="O2586" s="77" t="s">
        <v>179</v>
      </c>
      <c r="P2586" s="79">
        <v>45168.979166666664</v>
      </c>
      <c r="Q2586" s="77" t="s">
        <v>3258</v>
      </c>
      <c r="R2586" s="77">
        <v>1</v>
      </c>
      <c r="S2586" s="77">
        <v>5</v>
      </c>
      <c r="T2586" s="77">
        <v>0</v>
      </c>
      <c r="U2586" s="77">
        <v>0</v>
      </c>
      <c r="V2586" s="77">
        <v>990</v>
      </c>
      <c r="W2586" s="82" t="s">
        <v>4833</v>
      </c>
      <c r="X2586" s="80" t="str">
        <f>HYPERLINK("https://einvestidor.estadao.com.br/ultimas/juros-curva-ganha-inclinacao-aumento-percepcao-risco-fiscal/?utm_source=twitter&amp;utm_medium=organic&amp;utm_campaign=&amp;utm_content=materia")</f>
        <v>https://einvestidor.estadao.com.br/ultimas/juros-curva-ganha-inclinacao-aumento-percepcao-risco-fiscal/?utm_source=twitter&amp;utm_medium=organic&amp;utm_campaign=&amp;utm_content=materia</v>
      </c>
      <c r="Y2586" s="77" t="s">
        <v>6470</v>
      </c>
      <c r="Z2586" s="77"/>
      <c r="AA2586" s="77"/>
      <c r="AB2586" s="77"/>
      <c r="AC2586" s="82" t="s">
        <v>7750</v>
      </c>
      <c r="AD2586" s="77" t="s">
        <v>7788</v>
      </c>
      <c r="AE2586" s="80" t="str">
        <f>HYPERLINK("https://twitter.com/einvestidor/status/1697028929297747968")</f>
        <v>https://twitter.com/einvestidor/status/1697028929297747968</v>
      </c>
      <c r="AF2586" s="79">
        <v>45168.979166666664</v>
      </c>
      <c r="AG2586" s="85">
        <v>45168</v>
      </c>
      <c r="AH2586" s="82" t="s">
        <v>7928</v>
      </c>
      <c r="AI2586" s="77" t="b">
        <v>0</v>
      </c>
      <c r="AJ2586" s="77"/>
      <c r="AK2586" s="77"/>
      <c r="AL2586" s="77"/>
      <c r="AM2586" s="77"/>
      <c r="AN2586" s="77"/>
      <c r="AO2586" s="77"/>
      <c r="AP2586" s="77"/>
      <c r="AQ2586" s="77"/>
      <c r="AR2586" s="77"/>
      <c r="AS2586" s="77"/>
      <c r="AT2586" s="77"/>
      <c r="AU2586" s="77"/>
      <c r="AV2586" s="80" t="str">
        <f>HYPERLINK("https://pbs.twimg.com/profile_images/1241147984924082183/gZgx_hL-_normal.jpg")</f>
        <v>https://pbs.twimg.com/profile_images/1241147984924082183/gZgx_hL-_normal.jpg</v>
      </c>
      <c r="AW2586" s="82" t="s">
        <v>14182</v>
      </c>
      <c r="AX2586" s="82" t="s">
        <v>14182</v>
      </c>
      <c r="AY2586" s="77"/>
      <c r="AZ2586" s="82" t="s">
        <v>15984</v>
      </c>
      <c r="BA2586" s="82" t="s">
        <v>15984</v>
      </c>
      <c r="BB2586" s="82" t="s">
        <v>15984</v>
      </c>
      <c r="BC2586" s="82" t="s">
        <v>14182</v>
      </c>
      <c r="BD2586" s="82" t="s">
        <v>15979</v>
      </c>
      <c r="BE2586" s="77"/>
      <c r="BF2586" s="77"/>
      <c r="BG2586" s="77"/>
      <c r="BH2586" s="77"/>
      <c r="BI2586" s="77"/>
    </row>
    <row r="2587" spans="1:61" x14ac:dyDescent="0.25">
      <c r="A2587" s="62" t="s">
        <v>387</v>
      </c>
      <c r="B2587" s="62" t="s">
        <v>387</v>
      </c>
      <c r="C2587" s="63"/>
      <c r="D2587" s="64"/>
      <c r="E2587" s="65"/>
      <c r="F2587" s="66"/>
      <c r="G2587" s="63"/>
      <c r="H2587" s="67"/>
      <c r="I2587" s="68"/>
      <c r="J2587" s="68"/>
      <c r="K2587" s="32"/>
      <c r="L2587" s="75">
        <v>2587</v>
      </c>
      <c r="M2587" s="75"/>
      <c r="N2587" s="70"/>
      <c r="O2587" s="77" t="s">
        <v>179</v>
      </c>
      <c r="P2587" s="79">
        <v>45168.96875</v>
      </c>
      <c r="Q2587" s="77" t="s">
        <v>3259</v>
      </c>
      <c r="R2587" s="77">
        <v>0</v>
      </c>
      <c r="S2587" s="77">
        <v>0</v>
      </c>
      <c r="T2587" s="77">
        <v>0</v>
      </c>
      <c r="U2587" s="77">
        <v>0</v>
      </c>
      <c r="V2587" s="77">
        <v>775</v>
      </c>
      <c r="W2587" s="82" t="s">
        <v>5907</v>
      </c>
      <c r="X2587" s="80" t="str">
        <f>HYPERLINK("https://einvestidor.estadao.com.br/radar-einvestidor/vale-vale3-dividendos-setembro//?utm_source=twitter&amp;utm_medium=organic&amp;utm_campaign=&amp;utm_content=materia")</f>
        <v>https://einvestidor.estadao.com.br/radar-einvestidor/vale-vale3-dividendos-setembro//?utm_source=twitter&amp;utm_medium=organic&amp;utm_campaign=&amp;utm_content=materia</v>
      </c>
      <c r="Y2587" s="77" t="s">
        <v>6470</v>
      </c>
      <c r="Z2587" s="77"/>
      <c r="AA2587" s="77"/>
      <c r="AB2587" s="77"/>
      <c r="AC2587" s="82" t="s">
        <v>7750</v>
      </c>
      <c r="AD2587" s="77" t="s">
        <v>7788</v>
      </c>
      <c r="AE2587" s="80" t="str">
        <f>HYPERLINK("https://twitter.com/einvestidor/status/1697025152427384941")</f>
        <v>https://twitter.com/einvestidor/status/1697025152427384941</v>
      </c>
      <c r="AF2587" s="79">
        <v>45168.96875</v>
      </c>
      <c r="AG2587" s="85">
        <v>45168</v>
      </c>
      <c r="AH2587" s="82" t="s">
        <v>9621</v>
      </c>
      <c r="AI2587" s="77" t="b">
        <v>0</v>
      </c>
      <c r="AJ2587" s="77"/>
      <c r="AK2587" s="77"/>
      <c r="AL2587" s="77"/>
      <c r="AM2587" s="77"/>
      <c r="AN2587" s="77"/>
      <c r="AO2587" s="77"/>
      <c r="AP2587" s="77"/>
      <c r="AQ2587" s="77"/>
      <c r="AR2587" s="77"/>
      <c r="AS2587" s="77"/>
      <c r="AT2587" s="77"/>
      <c r="AU2587" s="77"/>
      <c r="AV2587" s="80" t="str">
        <f>HYPERLINK("https://pbs.twimg.com/profile_images/1241147984924082183/gZgx_hL-_normal.jpg")</f>
        <v>https://pbs.twimg.com/profile_images/1241147984924082183/gZgx_hL-_normal.jpg</v>
      </c>
      <c r="AW2587" s="82" t="s">
        <v>14183</v>
      </c>
      <c r="AX2587" s="82" t="s">
        <v>14183</v>
      </c>
      <c r="AY2587" s="77"/>
      <c r="AZ2587" s="82" t="s">
        <v>15984</v>
      </c>
      <c r="BA2587" s="82" t="s">
        <v>15984</v>
      </c>
      <c r="BB2587" s="82" t="s">
        <v>15984</v>
      </c>
      <c r="BC2587" s="82" t="s">
        <v>14183</v>
      </c>
      <c r="BD2587" s="82" t="s">
        <v>15979</v>
      </c>
      <c r="BE2587" s="77"/>
      <c r="BF2587" s="77"/>
      <c r="BG2587" s="77"/>
      <c r="BH2587" s="77"/>
      <c r="BI2587" s="77"/>
    </row>
    <row r="2588" spans="1:61" x14ac:dyDescent="0.25">
      <c r="A2588" s="62" t="s">
        <v>387</v>
      </c>
      <c r="B2588" s="62" t="s">
        <v>387</v>
      </c>
      <c r="C2588" s="63"/>
      <c r="D2588" s="64"/>
      <c r="E2588" s="65"/>
      <c r="F2588" s="66"/>
      <c r="G2588" s="63"/>
      <c r="H2588" s="67"/>
      <c r="I2588" s="68"/>
      <c r="J2588" s="68"/>
      <c r="K2588" s="32"/>
      <c r="L2588" s="75">
        <v>2588</v>
      </c>
      <c r="M2588" s="75"/>
      <c r="N2588" s="70"/>
      <c r="O2588" s="77" t="s">
        <v>179</v>
      </c>
      <c r="P2588" s="79">
        <v>45165.833344907405</v>
      </c>
      <c r="Q2588" s="77" t="s">
        <v>3260</v>
      </c>
      <c r="R2588" s="77">
        <v>0</v>
      </c>
      <c r="S2588" s="77">
        <v>2</v>
      </c>
      <c r="T2588" s="77">
        <v>0</v>
      </c>
      <c r="U2588" s="77">
        <v>0</v>
      </c>
      <c r="V2588" s="77">
        <v>1064</v>
      </c>
      <c r="W2588" s="82" t="s">
        <v>4833</v>
      </c>
      <c r="X2588" s="80" t="str">
        <f>HYPERLINK("https://einvestidor.estadao.com.br/educacao-financeira/senha-serasa-score-30-seguranca/?utm_source=twitter&amp;utm_medium=organic&amp;utm_campaign=&amp;utm_content=materia")</f>
        <v>https://einvestidor.estadao.com.br/educacao-financeira/senha-serasa-score-30-seguranca/?utm_source=twitter&amp;utm_medium=organic&amp;utm_campaign=&amp;utm_content=materia</v>
      </c>
      <c r="Y2588" s="77" t="s">
        <v>6470</v>
      </c>
      <c r="Z2588" s="77"/>
      <c r="AA2588" s="77"/>
      <c r="AB2588" s="77"/>
      <c r="AC2588" s="82" t="s">
        <v>7750</v>
      </c>
      <c r="AD2588" s="77" t="s">
        <v>7788</v>
      </c>
      <c r="AE2588" s="80" t="str">
        <f>HYPERLINK("https://twitter.com/einvestidor/status/1695888919307673713")</f>
        <v>https://twitter.com/einvestidor/status/1695888919307673713</v>
      </c>
      <c r="AF2588" s="79">
        <v>45165.833344907405</v>
      </c>
      <c r="AG2588" s="85">
        <v>45165</v>
      </c>
      <c r="AH2588" s="82" t="s">
        <v>8284</v>
      </c>
      <c r="AI2588" s="77" t="b">
        <v>0</v>
      </c>
      <c r="AJ2588" s="77"/>
      <c r="AK2588" s="77"/>
      <c r="AL2588" s="77"/>
      <c r="AM2588" s="77"/>
      <c r="AN2588" s="77"/>
      <c r="AO2588" s="77"/>
      <c r="AP2588" s="77"/>
      <c r="AQ2588" s="77"/>
      <c r="AR2588" s="77"/>
      <c r="AS2588" s="77"/>
      <c r="AT2588" s="77"/>
      <c r="AU2588" s="77"/>
      <c r="AV2588" s="80" t="str">
        <f>HYPERLINK("https://pbs.twimg.com/profile_images/1241147984924082183/gZgx_hL-_normal.jpg")</f>
        <v>https://pbs.twimg.com/profile_images/1241147984924082183/gZgx_hL-_normal.jpg</v>
      </c>
      <c r="AW2588" s="82" t="s">
        <v>14184</v>
      </c>
      <c r="AX2588" s="82" t="s">
        <v>14184</v>
      </c>
      <c r="AY2588" s="77"/>
      <c r="AZ2588" s="82" t="s">
        <v>15984</v>
      </c>
      <c r="BA2588" s="82" t="s">
        <v>15984</v>
      </c>
      <c r="BB2588" s="82" t="s">
        <v>15984</v>
      </c>
      <c r="BC2588" s="82" t="s">
        <v>14184</v>
      </c>
      <c r="BD2588" s="82" t="s">
        <v>15979</v>
      </c>
      <c r="BE2588" s="77"/>
      <c r="BF2588" s="77"/>
      <c r="BG2588" s="77"/>
      <c r="BH2588" s="77"/>
      <c r="BI2588" s="77"/>
    </row>
    <row r="2589" spans="1:61" x14ac:dyDescent="0.25">
      <c r="A2589" s="62" t="s">
        <v>387</v>
      </c>
      <c r="B2589" s="62" t="s">
        <v>387</v>
      </c>
      <c r="C2589" s="63"/>
      <c r="D2589" s="64"/>
      <c r="E2589" s="65"/>
      <c r="F2589" s="66"/>
      <c r="G2589" s="63"/>
      <c r="H2589" s="67"/>
      <c r="I2589" s="68"/>
      <c r="J2589" s="68"/>
      <c r="K2589" s="32"/>
      <c r="L2589" s="75">
        <v>2589</v>
      </c>
      <c r="M2589" s="75"/>
      <c r="N2589" s="70"/>
      <c r="O2589" s="77" t="s">
        <v>179</v>
      </c>
      <c r="P2589" s="79">
        <v>45165.666678240741</v>
      </c>
      <c r="Q2589" s="77" t="s">
        <v>3261</v>
      </c>
      <c r="R2589" s="77">
        <v>0</v>
      </c>
      <c r="S2589" s="77">
        <v>3</v>
      </c>
      <c r="T2589" s="77">
        <v>0</v>
      </c>
      <c r="U2589" s="77">
        <v>0</v>
      </c>
      <c r="V2589" s="77">
        <v>875</v>
      </c>
      <c r="W2589" s="82" t="s">
        <v>4833</v>
      </c>
      <c r="X2589" s="80" t="str">
        <f>HYPERLINK("https://einvestidor.estadao.com.br/colunas/ana-paula-hornos/inteligencia-emocional-financas-teste/?utm_source=twitter&amp;utm_medium=organic&amp;utm_campaign=&amp;utm_content=materia")</f>
        <v>https://einvestidor.estadao.com.br/colunas/ana-paula-hornos/inteligencia-emocional-financas-teste/?utm_source=twitter&amp;utm_medium=organic&amp;utm_campaign=&amp;utm_content=materia</v>
      </c>
      <c r="Y2589" s="77" t="s">
        <v>6470</v>
      </c>
      <c r="Z2589" s="77"/>
      <c r="AA2589" s="77"/>
      <c r="AB2589" s="77"/>
      <c r="AC2589" s="82" t="s">
        <v>7750</v>
      </c>
      <c r="AD2589" s="77" t="s">
        <v>7788</v>
      </c>
      <c r="AE2589" s="80" t="str">
        <f>HYPERLINK("https://twitter.com/einvestidor/status/1695828523603124405")</f>
        <v>https://twitter.com/einvestidor/status/1695828523603124405</v>
      </c>
      <c r="AF2589" s="79">
        <v>45165.666678240741</v>
      </c>
      <c r="AG2589" s="85">
        <v>45165</v>
      </c>
      <c r="AH2589" s="82" t="s">
        <v>9639</v>
      </c>
      <c r="AI2589" s="77" t="b">
        <v>0</v>
      </c>
      <c r="AJ2589" s="77"/>
      <c r="AK2589" s="77"/>
      <c r="AL2589" s="77"/>
      <c r="AM2589" s="77"/>
      <c r="AN2589" s="77"/>
      <c r="AO2589" s="77"/>
      <c r="AP2589" s="77"/>
      <c r="AQ2589" s="77"/>
      <c r="AR2589" s="77"/>
      <c r="AS2589" s="77"/>
      <c r="AT2589" s="77"/>
      <c r="AU2589" s="77"/>
      <c r="AV2589" s="80" t="str">
        <f>HYPERLINK("https://pbs.twimg.com/profile_images/1241147984924082183/gZgx_hL-_normal.jpg")</f>
        <v>https://pbs.twimg.com/profile_images/1241147984924082183/gZgx_hL-_normal.jpg</v>
      </c>
      <c r="AW2589" s="82" t="s">
        <v>14185</v>
      </c>
      <c r="AX2589" s="82" t="s">
        <v>14185</v>
      </c>
      <c r="AY2589" s="77"/>
      <c r="AZ2589" s="82" t="s">
        <v>15984</v>
      </c>
      <c r="BA2589" s="82" t="s">
        <v>15984</v>
      </c>
      <c r="BB2589" s="82" t="s">
        <v>15984</v>
      </c>
      <c r="BC2589" s="82" t="s">
        <v>14185</v>
      </c>
      <c r="BD2589" s="82" t="s">
        <v>15979</v>
      </c>
      <c r="BE2589" s="77"/>
      <c r="BF2589" s="77"/>
      <c r="BG2589" s="77"/>
      <c r="BH2589" s="77"/>
      <c r="BI2589" s="77"/>
    </row>
    <row r="2590" spans="1:61" x14ac:dyDescent="0.25">
      <c r="A2590" s="62" t="s">
        <v>387</v>
      </c>
      <c r="B2590" s="62" t="s">
        <v>387</v>
      </c>
      <c r="C2590" s="63"/>
      <c r="D2590" s="64"/>
      <c r="E2590" s="65"/>
      <c r="F2590" s="66"/>
      <c r="G2590" s="63"/>
      <c r="H2590" s="67"/>
      <c r="I2590" s="68"/>
      <c r="J2590" s="68"/>
      <c r="K2590" s="32"/>
      <c r="L2590" s="75">
        <v>2590</v>
      </c>
      <c r="M2590" s="75"/>
      <c r="N2590" s="70"/>
      <c r="O2590" s="77" t="s">
        <v>179</v>
      </c>
      <c r="P2590" s="79">
        <v>45145.923773148148</v>
      </c>
      <c r="Q2590" s="77" t="s">
        <v>3262</v>
      </c>
      <c r="R2590" s="77">
        <v>0</v>
      </c>
      <c r="S2590" s="77">
        <v>1</v>
      </c>
      <c r="T2590" s="77">
        <v>0</v>
      </c>
      <c r="U2590" s="77">
        <v>0</v>
      </c>
      <c r="V2590" s="77">
        <v>531</v>
      </c>
      <c r="W2590" s="82" t="s">
        <v>4833</v>
      </c>
      <c r="X2590" s="80" t="str">
        <f>HYPERLINK("https://mla.bs/a965585c")</f>
        <v>https://mla.bs/a965585c</v>
      </c>
      <c r="Y2590" s="77" t="s">
        <v>6506</v>
      </c>
      <c r="Z2590" s="77"/>
      <c r="AA2590" s="77"/>
      <c r="AB2590" s="77"/>
      <c r="AC2590" s="82" t="s">
        <v>7754</v>
      </c>
      <c r="AD2590" s="77" t="s">
        <v>7788</v>
      </c>
      <c r="AE2590" s="80" t="str">
        <f>HYPERLINK("https://twitter.com/einvestidor/status/1688673932511940608")</f>
        <v>https://twitter.com/einvestidor/status/1688673932511940608</v>
      </c>
      <c r="AF2590" s="79">
        <v>45145.923773148148</v>
      </c>
      <c r="AG2590" s="85">
        <v>45145</v>
      </c>
      <c r="AH2590" s="82" t="s">
        <v>9778</v>
      </c>
      <c r="AI2590" s="77" t="b">
        <v>0</v>
      </c>
      <c r="AJ2590" s="77"/>
      <c r="AK2590" s="77"/>
      <c r="AL2590" s="77"/>
      <c r="AM2590" s="77"/>
      <c r="AN2590" s="77"/>
      <c r="AO2590" s="77"/>
      <c r="AP2590" s="77"/>
      <c r="AQ2590" s="77"/>
      <c r="AR2590" s="77"/>
      <c r="AS2590" s="77"/>
      <c r="AT2590" s="77"/>
      <c r="AU2590" s="77"/>
      <c r="AV2590" s="80" t="str">
        <f>HYPERLINK("https://pbs.twimg.com/profile_images/1241147984924082183/gZgx_hL-_normal.jpg")</f>
        <v>https://pbs.twimg.com/profile_images/1241147984924082183/gZgx_hL-_normal.jpg</v>
      </c>
      <c r="AW2590" s="82" t="s">
        <v>14186</v>
      </c>
      <c r="AX2590" s="82" t="s">
        <v>14186</v>
      </c>
      <c r="AY2590" s="77"/>
      <c r="AZ2590" s="82" t="s">
        <v>15984</v>
      </c>
      <c r="BA2590" s="82" t="s">
        <v>15984</v>
      </c>
      <c r="BB2590" s="82" t="s">
        <v>15984</v>
      </c>
      <c r="BC2590" s="82" t="s">
        <v>14186</v>
      </c>
      <c r="BD2590" s="82" t="s">
        <v>15979</v>
      </c>
      <c r="BE2590" s="77"/>
      <c r="BF2590" s="77"/>
      <c r="BG2590" s="77"/>
      <c r="BH2590" s="77"/>
      <c r="BI2590" s="77"/>
    </row>
    <row r="2591" spans="1:61" x14ac:dyDescent="0.25">
      <c r="A2591" s="62" t="s">
        <v>387</v>
      </c>
      <c r="B2591" s="62" t="s">
        <v>387</v>
      </c>
      <c r="C2591" s="63"/>
      <c r="D2591" s="64"/>
      <c r="E2591" s="65"/>
      <c r="F2591" s="66"/>
      <c r="G2591" s="63"/>
      <c r="H2591" s="67"/>
      <c r="I2591" s="68"/>
      <c r="J2591" s="68"/>
      <c r="K2591" s="32"/>
      <c r="L2591" s="75">
        <v>2591</v>
      </c>
      <c r="M2591" s="75"/>
      <c r="N2591" s="70"/>
      <c r="O2591" s="77" t="s">
        <v>179</v>
      </c>
      <c r="P2591" s="79">
        <v>45145.916666666664</v>
      </c>
      <c r="Q2591" s="77" t="s">
        <v>3263</v>
      </c>
      <c r="R2591" s="77">
        <v>0</v>
      </c>
      <c r="S2591" s="77">
        <v>0</v>
      </c>
      <c r="T2591" s="77">
        <v>0</v>
      </c>
      <c r="U2591" s="77">
        <v>0</v>
      </c>
      <c r="V2591" s="77">
        <v>516</v>
      </c>
      <c r="W2591" s="82" t="s">
        <v>6018</v>
      </c>
      <c r="X2591" s="80" t="str">
        <f>HYPERLINK("https://mla.bs/e1d5524d")</f>
        <v>https://mla.bs/e1d5524d</v>
      </c>
      <c r="Y2591" s="77" t="s">
        <v>6506</v>
      </c>
      <c r="Z2591" s="77"/>
      <c r="AA2591" s="77"/>
      <c r="AB2591" s="77"/>
      <c r="AC2591" s="82" t="s">
        <v>7754</v>
      </c>
      <c r="AD2591" s="77" t="s">
        <v>7788</v>
      </c>
      <c r="AE2591" s="80" t="str">
        <f>HYPERLINK("https://twitter.com/einvestidor/status/1688671357088026639")</f>
        <v>https://twitter.com/einvestidor/status/1688671357088026639</v>
      </c>
      <c r="AF2591" s="79">
        <v>45145.916666666664</v>
      </c>
      <c r="AG2591" s="85">
        <v>45145</v>
      </c>
      <c r="AH2591" s="82" t="s">
        <v>9577</v>
      </c>
      <c r="AI2591" s="77" t="b">
        <v>0</v>
      </c>
      <c r="AJ2591" s="77"/>
      <c r="AK2591" s="77"/>
      <c r="AL2591" s="77"/>
      <c r="AM2591" s="77"/>
      <c r="AN2591" s="77"/>
      <c r="AO2591" s="77"/>
      <c r="AP2591" s="77"/>
      <c r="AQ2591" s="77"/>
      <c r="AR2591" s="77"/>
      <c r="AS2591" s="77"/>
      <c r="AT2591" s="77"/>
      <c r="AU2591" s="77"/>
      <c r="AV2591" s="80" t="str">
        <f>HYPERLINK("https://pbs.twimg.com/profile_images/1241147984924082183/gZgx_hL-_normal.jpg")</f>
        <v>https://pbs.twimg.com/profile_images/1241147984924082183/gZgx_hL-_normal.jpg</v>
      </c>
      <c r="AW2591" s="82" t="s">
        <v>14187</v>
      </c>
      <c r="AX2591" s="82" t="s">
        <v>14187</v>
      </c>
      <c r="AY2591" s="77"/>
      <c r="AZ2591" s="82" t="s">
        <v>15984</v>
      </c>
      <c r="BA2591" s="82" t="s">
        <v>15984</v>
      </c>
      <c r="BB2591" s="82" t="s">
        <v>15984</v>
      </c>
      <c r="BC2591" s="82" t="s">
        <v>14187</v>
      </c>
      <c r="BD2591" s="82" t="s">
        <v>15979</v>
      </c>
      <c r="BE2591" s="77"/>
      <c r="BF2591" s="77"/>
      <c r="BG2591" s="77"/>
      <c r="BH2591" s="77"/>
      <c r="BI2591" s="77"/>
    </row>
    <row r="2592" spans="1:61" x14ac:dyDescent="0.25">
      <c r="A2592" s="62" t="s">
        <v>387</v>
      </c>
      <c r="B2592" s="62" t="s">
        <v>387</v>
      </c>
      <c r="C2592" s="63"/>
      <c r="D2592" s="64"/>
      <c r="E2592" s="65"/>
      <c r="F2592" s="66"/>
      <c r="G2592" s="63"/>
      <c r="H2592" s="67"/>
      <c r="I2592" s="68"/>
      <c r="J2592" s="68"/>
      <c r="K2592" s="32"/>
      <c r="L2592" s="75">
        <v>2592</v>
      </c>
      <c r="M2592" s="75"/>
      <c r="N2592" s="70"/>
      <c r="O2592" s="77" t="s">
        <v>179</v>
      </c>
      <c r="P2592" s="79">
        <v>45145.885416666664</v>
      </c>
      <c r="Q2592" s="77" t="s">
        <v>3264</v>
      </c>
      <c r="R2592" s="77">
        <v>0</v>
      </c>
      <c r="S2592" s="77">
        <v>1</v>
      </c>
      <c r="T2592" s="77">
        <v>0</v>
      </c>
      <c r="U2592" s="77">
        <v>0</v>
      </c>
      <c r="V2592" s="77">
        <v>720</v>
      </c>
      <c r="W2592" s="82" t="s">
        <v>6053</v>
      </c>
      <c r="X2592" s="80" t="str">
        <f>HYPERLINK("https://mla.bs/9d44c76d")</f>
        <v>https://mla.bs/9d44c76d</v>
      </c>
      <c r="Y2592" s="77" t="s">
        <v>6506</v>
      </c>
      <c r="Z2592" s="77"/>
      <c r="AA2592" s="77"/>
      <c r="AB2592" s="77"/>
      <c r="AC2592" s="82" t="s">
        <v>7754</v>
      </c>
      <c r="AD2592" s="77" t="s">
        <v>7788</v>
      </c>
      <c r="AE2592" s="80" t="str">
        <f>HYPERLINK("https://twitter.com/einvestidor/status/1688660033410633729")</f>
        <v>https://twitter.com/einvestidor/status/1688660033410633729</v>
      </c>
      <c r="AF2592" s="79">
        <v>45145.885416666664</v>
      </c>
      <c r="AG2592" s="85">
        <v>45145</v>
      </c>
      <c r="AH2592" s="82" t="s">
        <v>8206</v>
      </c>
      <c r="AI2592" s="77" t="b">
        <v>0</v>
      </c>
      <c r="AJ2592" s="77"/>
      <c r="AK2592" s="77"/>
      <c r="AL2592" s="77"/>
      <c r="AM2592" s="77"/>
      <c r="AN2592" s="77"/>
      <c r="AO2592" s="77"/>
      <c r="AP2592" s="77"/>
      <c r="AQ2592" s="77"/>
      <c r="AR2592" s="77"/>
      <c r="AS2592" s="77"/>
      <c r="AT2592" s="77"/>
      <c r="AU2592" s="77"/>
      <c r="AV2592" s="80" t="str">
        <f>HYPERLINK("https://pbs.twimg.com/profile_images/1241147984924082183/gZgx_hL-_normal.jpg")</f>
        <v>https://pbs.twimg.com/profile_images/1241147984924082183/gZgx_hL-_normal.jpg</v>
      </c>
      <c r="AW2592" s="82" t="s">
        <v>14188</v>
      </c>
      <c r="AX2592" s="82" t="s">
        <v>14188</v>
      </c>
      <c r="AY2592" s="77"/>
      <c r="AZ2592" s="82" t="s">
        <v>15984</v>
      </c>
      <c r="BA2592" s="82" t="s">
        <v>15984</v>
      </c>
      <c r="BB2592" s="82" t="s">
        <v>15984</v>
      </c>
      <c r="BC2592" s="82" t="s">
        <v>14188</v>
      </c>
      <c r="BD2592" s="82" t="s">
        <v>15979</v>
      </c>
      <c r="BE2592" s="77"/>
      <c r="BF2592" s="77"/>
      <c r="BG2592" s="77"/>
      <c r="BH2592" s="77"/>
      <c r="BI2592" s="77"/>
    </row>
    <row r="2593" spans="1:61" x14ac:dyDescent="0.25">
      <c r="A2593" s="62" t="s">
        <v>387</v>
      </c>
      <c r="B2593" s="62" t="s">
        <v>387</v>
      </c>
      <c r="C2593" s="63"/>
      <c r="D2593" s="64"/>
      <c r="E2593" s="65"/>
      <c r="F2593" s="66"/>
      <c r="G2593" s="63"/>
      <c r="H2593" s="67"/>
      <c r="I2593" s="68"/>
      <c r="J2593" s="68"/>
      <c r="K2593" s="32"/>
      <c r="L2593" s="75">
        <v>2593</v>
      </c>
      <c r="M2593" s="75"/>
      <c r="N2593" s="70"/>
      <c r="O2593" s="77" t="s">
        <v>179</v>
      </c>
      <c r="P2593" s="79">
        <v>45145.885416666664</v>
      </c>
      <c r="Q2593" s="77" t="s">
        <v>3265</v>
      </c>
      <c r="R2593" s="77">
        <v>0</v>
      </c>
      <c r="S2593" s="77">
        <v>0</v>
      </c>
      <c r="T2593" s="77">
        <v>0</v>
      </c>
      <c r="U2593" s="77">
        <v>0</v>
      </c>
      <c r="V2593" s="77">
        <v>517</v>
      </c>
      <c r="W2593" s="82" t="s">
        <v>4833</v>
      </c>
      <c r="X2593" s="80" t="str">
        <f>HYPERLINK("https://mla.bs/d83bfdfd")</f>
        <v>https://mla.bs/d83bfdfd</v>
      </c>
      <c r="Y2593" s="77" t="s">
        <v>6506</v>
      </c>
      <c r="Z2593" s="77"/>
      <c r="AA2593" s="77"/>
      <c r="AB2593" s="77"/>
      <c r="AC2593" s="82" t="s">
        <v>7754</v>
      </c>
      <c r="AD2593" s="77" t="s">
        <v>7788</v>
      </c>
      <c r="AE2593" s="80" t="str">
        <f>HYPERLINK("https://twitter.com/einvestidor/status/1688660032471420930")</f>
        <v>https://twitter.com/einvestidor/status/1688660032471420930</v>
      </c>
      <c r="AF2593" s="79">
        <v>45145.885416666664</v>
      </c>
      <c r="AG2593" s="85">
        <v>45145</v>
      </c>
      <c r="AH2593" s="82" t="s">
        <v>8206</v>
      </c>
      <c r="AI2593" s="77" t="b">
        <v>0</v>
      </c>
      <c r="AJ2593" s="77"/>
      <c r="AK2593" s="77"/>
      <c r="AL2593" s="77"/>
      <c r="AM2593" s="77"/>
      <c r="AN2593" s="77"/>
      <c r="AO2593" s="77"/>
      <c r="AP2593" s="77"/>
      <c r="AQ2593" s="77"/>
      <c r="AR2593" s="77"/>
      <c r="AS2593" s="77"/>
      <c r="AT2593" s="77"/>
      <c r="AU2593" s="77"/>
      <c r="AV2593" s="80" t="str">
        <f>HYPERLINK("https://pbs.twimg.com/profile_images/1241147984924082183/gZgx_hL-_normal.jpg")</f>
        <v>https://pbs.twimg.com/profile_images/1241147984924082183/gZgx_hL-_normal.jpg</v>
      </c>
      <c r="AW2593" s="82" t="s">
        <v>14189</v>
      </c>
      <c r="AX2593" s="82" t="s">
        <v>14189</v>
      </c>
      <c r="AY2593" s="77"/>
      <c r="AZ2593" s="82" t="s">
        <v>15984</v>
      </c>
      <c r="BA2593" s="82" t="s">
        <v>15984</v>
      </c>
      <c r="BB2593" s="82" t="s">
        <v>15984</v>
      </c>
      <c r="BC2593" s="82" t="s">
        <v>14189</v>
      </c>
      <c r="BD2593" s="82" t="s">
        <v>15979</v>
      </c>
      <c r="BE2593" s="77"/>
      <c r="BF2593" s="77"/>
      <c r="BG2593" s="77"/>
      <c r="BH2593" s="77"/>
      <c r="BI2593" s="77"/>
    </row>
    <row r="2594" spans="1:61" x14ac:dyDescent="0.25">
      <c r="A2594" s="62" t="s">
        <v>387</v>
      </c>
      <c r="B2594" s="62" t="s">
        <v>387</v>
      </c>
      <c r="C2594" s="63"/>
      <c r="D2594" s="64"/>
      <c r="E2594" s="65"/>
      <c r="F2594" s="66"/>
      <c r="G2594" s="63"/>
      <c r="H2594" s="67"/>
      <c r="I2594" s="68"/>
      <c r="J2594" s="68"/>
      <c r="K2594" s="32"/>
      <c r="L2594" s="75">
        <v>2594</v>
      </c>
      <c r="M2594" s="75"/>
      <c r="N2594" s="70"/>
      <c r="O2594" s="77" t="s">
        <v>179</v>
      </c>
      <c r="P2594" s="79">
        <v>45145.884629629632</v>
      </c>
      <c r="Q2594" s="77" t="s">
        <v>3266</v>
      </c>
      <c r="R2594" s="77">
        <v>0</v>
      </c>
      <c r="S2594" s="77">
        <v>0</v>
      </c>
      <c r="T2594" s="77">
        <v>0</v>
      </c>
      <c r="U2594" s="77">
        <v>0</v>
      </c>
      <c r="V2594" s="77">
        <v>640</v>
      </c>
      <c r="W2594" s="82" t="s">
        <v>6054</v>
      </c>
      <c r="X2594" s="80" t="str">
        <f>HYPERLINK("https://mla.bs/689a6f67")</f>
        <v>https://mla.bs/689a6f67</v>
      </c>
      <c r="Y2594" s="77" t="s">
        <v>6506</v>
      </c>
      <c r="Z2594" s="77"/>
      <c r="AA2594" s="77"/>
      <c r="AB2594" s="77"/>
      <c r="AC2594" s="82" t="s">
        <v>7754</v>
      </c>
      <c r="AD2594" s="77" t="s">
        <v>7788</v>
      </c>
      <c r="AE2594" s="80" t="str">
        <f>HYPERLINK("https://twitter.com/einvestidor/status/1688659746860011523")</f>
        <v>https://twitter.com/einvestidor/status/1688659746860011523</v>
      </c>
      <c r="AF2594" s="79">
        <v>45145.884629629632</v>
      </c>
      <c r="AG2594" s="85">
        <v>45145</v>
      </c>
      <c r="AH2594" s="82" t="s">
        <v>9779</v>
      </c>
      <c r="AI2594" s="77" t="b">
        <v>0</v>
      </c>
      <c r="AJ2594" s="77"/>
      <c r="AK2594" s="77"/>
      <c r="AL2594" s="77"/>
      <c r="AM2594" s="77"/>
      <c r="AN2594" s="77"/>
      <c r="AO2594" s="77"/>
      <c r="AP2594" s="77"/>
      <c r="AQ2594" s="77"/>
      <c r="AR2594" s="77"/>
      <c r="AS2594" s="77"/>
      <c r="AT2594" s="77"/>
      <c r="AU2594" s="77"/>
      <c r="AV2594" s="80" t="str">
        <f>HYPERLINK("https://pbs.twimg.com/profile_images/1241147984924082183/gZgx_hL-_normal.jpg")</f>
        <v>https://pbs.twimg.com/profile_images/1241147984924082183/gZgx_hL-_normal.jpg</v>
      </c>
      <c r="AW2594" s="82" t="s">
        <v>14190</v>
      </c>
      <c r="AX2594" s="82" t="s">
        <v>14190</v>
      </c>
      <c r="AY2594" s="77"/>
      <c r="AZ2594" s="82" t="s">
        <v>15984</v>
      </c>
      <c r="BA2594" s="82" t="s">
        <v>15984</v>
      </c>
      <c r="BB2594" s="82" t="s">
        <v>15984</v>
      </c>
      <c r="BC2594" s="82" t="s">
        <v>14190</v>
      </c>
      <c r="BD2594" s="82" t="s">
        <v>15979</v>
      </c>
      <c r="BE2594" s="77"/>
      <c r="BF2594" s="77"/>
      <c r="BG2594" s="77"/>
      <c r="BH2594" s="77"/>
      <c r="BI2594" s="77"/>
    </row>
    <row r="2595" spans="1:61" x14ac:dyDescent="0.25">
      <c r="A2595" s="62" t="s">
        <v>387</v>
      </c>
      <c r="B2595" s="62" t="s">
        <v>387</v>
      </c>
      <c r="C2595" s="63"/>
      <c r="D2595" s="64"/>
      <c r="E2595" s="65"/>
      <c r="F2595" s="66"/>
      <c r="G2595" s="63"/>
      <c r="H2595" s="67"/>
      <c r="I2595" s="68"/>
      <c r="J2595" s="68"/>
      <c r="K2595" s="32"/>
      <c r="L2595" s="75">
        <v>2595</v>
      </c>
      <c r="M2595" s="75"/>
      <c r="N2595" s="70"/>
      <c r="O2595" s="77" t="s">
        <v>179</v>
      </c>
      <c r="P2595" s="79">
        <v>45145.864583333336</v>
      </c>
      <c r="Q2595" s="77" t="s">
        <v>3267</v>
      </c>
      <c r="R2595" s="77">
        <v>0</v>
      </c>
      <c r="S2595" s="77">
        <v>0</v>
      </c>
      <c r="T2595" s="77">
        <v>0</v>
      </c>
      <c r="U2595" s="77">
        <v>0</v>
      </c>
      <c r="V2595" s="77">
        <v>518</v>
      </c>
      <c r="W2595" s="82" t="s">
        <v>4833</v>
      </c>
      <c r="X2595" s="80" t="str">
        <f>HYPERLINK("https://mla.bs/4206f980")</f>
        <v>https://mla.bs/4206f980</v>
      </c>
      <c r="Y2595" s="77" t="s">
        <v>6506</v>
      </c>
      <c r="Z2595" s="77"/>
      <c r="AA2595" s="77"/>
      <c r="AB2595" s="77"/>
      <c r="AC2595" s="82" t="s">
        <v>7754</v>
      </c>
      <c r="AD2595" s="77" t="s">
        <v>7788</v>
      </c>
      <c r="AE2595" s="80" t="str">
        <f>HYPERLINK("https://twitter.com/einvestidor/status/1688652482787135500")</f>
        <v>https://twitter.com/einvestidor/status/1688652482787135500</v>
      </c>
      <c r="AF2595" s="79">
        <v>45145.864583333336</v>
      </c>
      <c r="AG2595" s="85">
        <v>45145</v>
      </c>
      <c r="AH2595" s="82" t="s">
        <v>9596</v>
      </c>
      <c r="AI2595" s="77" t="b">
        <v>0</v>
      </c>
      <c r="AJ2595" s="77"/>
      <c r="AK2595" s="77"/>
      <c r="AL2595" s="77"/>
      <c r="AM2595" s="77"/>
      <c r="AN2595" s="77"/>
      <c r="AO2595" s="77"/>
      <c r="AP2595" s="77"/>
      <c r="AQ2595" s="77"/>
      <c r="AR2595" s="77"/>
      <c r="AS2595" s="77"/>
      <c r="AT2595" s="77"/>
      <c r="AU2595" s="77"/>
      <c r="AV2595" s="80" t="str">
        <f>HYPERLINK("https://pbs.twimg.com/profile_images/1241147984924082183/gZgx_hL-_normal.jpg")</f>
        <v>https://pbs.twimg.com/profile_images/1241147984924082183/gZgx_hL-_normal.jpg</v>
      </c>
      <c r="AW2595" s="82" t="s">
        <v>14191</v>
      </c>
      <c r="AX2595" s="82" t="s">
        <v>14191</v>
      </c>
      <c r="AY2595" s="77"/>
      <c r="AZ2595" s="82" t="s">
        <v>15984</v>
      </c>
      <c r="BA2595" s="82" t="s">
        <v>15984</v>
      </c>
      <c r="BB2595" s="82" t="s">
        <v>15984</v>
      </c>
      <c r="BC2595" s="82" t="s">
        <v>14191</v>
      </c>
      <c r="BD2595" s="82" t="s">
        <v>15979</v>
      </c>
      <c r="BE2595" s="77"/>
      <c r="BF2595" s="77"/>
      <c r="BG2595" s="77"/>
      <c r="BH2595" s="77"/>
      <c r="BI2595" s="77"/>
    </row>
    <row r="2596" spans="1:61" x14ac:dyDescent="0.25">
      <c r="A2596" s="62" t="s">
        <v>387</v>
      </c>
      <c r="B2596" s="62" t="s">
        <v>387</v>
      </c>
      <c r="C2596" s="63"/>
      <c r="D2596" s="64"/>
      <c r="E2596" s="65"/>
      <c r="F2596" s="66"/>
      <c r="G2596" s="63"/>
      <c r="H2596" s="67"/>
      <c r="I2596" s="68"/>
      <c r="J2596" s="68"/>
      <c r="K2596" s="32"/>
      <c r="L2596" s="75">
        <v>2596</v>
      </c>
      <c r="M2596" s="75"/>
      <c r="N2596" s="70"/>
      <c r="O2596" s="77" t="s">
        <v>179</v>
      </c>
      <c r="P2596" s="79">
        <v>45145.854166666664</v>
      </c>
      <c r="Q2596" s="77" t="s">
        <v>3268</v>
      </c>
      <c r="R2596" s="77">
        <v>0</v>
      </c>
      <c r="S2596" s="77">
        <v>3</v>
      </c>
      <c r="T2596" s="77">
        <v>0</v>
      </c>
      <c r="U2596" s="77">
        <v>0</v>
      </c>
      <c r="V2596" s="77">
        <v>566</v>
      </c>
      <c r="W2596" s="82" t="s">
        <v>4833</v>
      </c>
      <c r="X2596" s="80" t="str">
        <f>HYPERLINK("https://mla.bs/7244bde9")</f>
        <v>https://mla.bs/7244bde9</v>
      </c>
      <c r="Y2596" s="77" t="s">
        <v>6506</v>
      </c>
      <c r="Z2596" s="77"/>
      <c r="AA2596" s="77"/>
      <c r="AB2596" s="77"/>
      <c r="AC2596" s="82" t="s">
        <v>7754</v>
      </c>
      <c r="AD2596" s="77" t="s">
        <v>7788</v>
      </c>
      <c r="AE2596" s="80" t="str">
        <f>HYPERLINK("https://twitter.com/einvestidor/status/1688648709133742080")</f>
        <v>https://twitter.com/einvestidor/status/1688648709133742080</v>
      </c>
      <c r="AF2596" s="79">
        <v>45145.854166666664</v>
      </c>
      <c r="AG2596" s="85">
        <v>45145</v>
      </c>
      <c r="AH2596" s="82" t="s">
        <v>8090</v>
      </c>
      <c r="AI2596" s="77" t="b">
        <v>0</v>
      </c>
      <c r="AJ2596" s="77"/>
      <c r="AK2596" s="77"/>
      <c r="AL2596" s="77"/>
      <c r="AM2596" s="77"/>
      <c r="AN2596" s="77"/>
      <c r="AO2596" s="77"/>
      <c r="AP2596" s="77"/>
      <c r="AQ2596" s="77"/>
      <c r="AR2596" s="77"/>
      <c r="AS2596" s="77"/>
      <c r="AT2596" s="77"/>
      <c r="AU2596" s="77"/>
      <c r="AV2596" s="80" t="str">
        <f>HYPERLINK("https://pbs.twimg.com/profile_images/1241147984924082183/gZgx_hL-_normal.jpg")</f>
        <v>https://pbs.twimg.com/profile_images/1241147984924082183/gZgx_hL-_normal.jpg</v>
      </c>
      <c r="AW2596" s="82" t="s">
        <v>14192</v>
      </c>
      <c r="AX2596" s="82" t="s">
        <v>14192</v>
      </c>
      <c r="AY2596" s="77"/>
      <c r="AZ2596" s="82" t="s">
        <v>15984</v>
      </c>
      <c r="BA2596" s="82" t="s">
        <v>15984</v>
      </c>
      <c r="BB2596" s="82" t="s">
        <v>15984</v>
      </c>
      <c r="BC2596" s="82" t="s">
        <v>14192</v>
      </c>
      <c r="BD2596" s="82" t="s">
        <v>15979</v>
      </c>
      <c r="BE2596" s="77"/>
      <c r="BF2596" s="77"/>
      <c r="BG2596" s="77"/>
      <c r="BH2596" s="77"/>
      <c r="BI2596" s="77"/>
    </row>
    <row r="2597" spans="1:61" x14ac:dyDescent="0.25">
      <c r="A2597" s="62" t="s">
        <v>387</v>
      </c>
      <c r="B2597" s="62" t="s">
        <v>387</v>
      </c>
      <c r="C2597" s="63"/>
      <c r="D2597" s="64"/>
      <c r="E2597" s="65"/>
      <c r="F2597" s="66"/>
      <c r="G2597" s="63"/>
      <c r="H2597" s="67"/>
      <c r="I2597" s="68"/>
      <c r="J2597" s="68"/>
      <c r="K2597" s="32"/>
      <c r="L2597" s="75">
        <v>2597</v>
      </c>
      <c r="M2597" s="75"/>
      <c r="N2597" s="70"/>
      <c r="O2597" s="77" t="s">
        <v>179</v>
      </c>
      <c r="P2597" s="79">
        <v>45145.84375</v>
      </c>
      <c r="Q2597" s="77" t="s">
        <v>3269</v>
      </c>
      <c r="R2597" s="77">
        <v>0</v>
      </c>
      <c r="S2597" s="77">
        <v>0</v>
      </c>
      <c r="T2597" s="77">
        <v>0</v>
      </c>
      <c r="U2597" s="77">
        <v>0</v>
      </c>
      <c r="V2597" s="77">
        <v>515</v>
      </c>
      <c r="W2597" s="82" t="s">
        <v>4833</v>
      </c>
      <c r="X2597" s="80" t="str">
        <f>HYPERLINK("https://mla.bs/7f87c4ba")</f>
        <v>https://mla.bs/7f87c4ba</v>
      </c>
      <c r="Y2597" s="77" t="s">
        <v>6506</v>
      </c>
      <c r="Z2597" s="77"/>
      <c r="AA2597" s="77"/>
      <c r="AB2597" s="77"/>
      <c r="AC2597" s="82" t="s">
        <v>7754</v>
      </c>
      <c r="AD2597" s="77" t="s">
        <v>7788</v>
      </c>
      <c r="AE2597" s="80" t="str">
        <f>HYPERLINK("https://twitter.com/einvestidor/status/1688644933039595521")</f>
        <v>https://twitter.com/einvestidor/status/1688644933039595521</v>
      </c>
      <c r="AF2597" s="79">
        <v>45145.84375</v>
      </c>
      <c r="AG2597" s="85">
        <v>45145</v>
      </c>
      <c r="AH2597" s="82" t="s">
        <v>9296</v>
      </c>
      <c r="AI2597" s="77" t="b">
        <v>0</v>
      </c>
      <c r="AJ2597" s="77"/>
      <c r="AK2597" s="77"/>
      <c r="AL2597" s="77"/>
      <c r="AM2597" s="77"/>
      <c r="AN2597" s="77"/>
      <c r="AO2597" s="77"/>
      <c r="AP2597" s="77"/>
      <c r="AQ2597" s="77"/>
      <c r="AR2597" s="77"/>
      <c r="AS2597" s="77"/>
      <c r="AT2597" s="77"/>
      <c r="AU2597" s="77"/>
      <c r="AV2597" s="80" t="str">
        <f>HYPERLINK("https://pbs.twimg.com/profile_images/1241147984924082183/gZgx_hL-_normal.jpg")</f>
        <v>https://pbs.twimg.com/profile_images/1241147984924082183/gZgx_hL-_normal.jpg</v>
      </c>
      <c r="AW2597" s="82" t="s">
        <v>14193</v>
      </c>
      <c r="AX2597" s="82" t="s">
        <v>14193</v>
      </c>
      <c r="AY2597" s="77"/>
      <c r="AZ2597" s="82" t="s">
        <v>15984</v>
      </c>
      <c r="BA2597" s="82" t="s">
        <v>15984</v>
      </c>
      <c r="BB2597" s="82" t="s">
        <v>15984</v>
      </c>
      <c r="BC2597" s="82" t="s">
        <v>14193</v>
      </c>
      <c r="BD2597" s="82" t="s">
        <v>15979</v>
      </c>
      <c r="BE2597" s="77"/>
      <c r="BF2597" s="77"/>
      <c r="BG2597" s="77"/>
      <c r="BH2597" s="77"/>
      <c r="BI2597" s="77"/>
    </row>
    <row r="2598" spans="1:61" x14ac:dyDescent="0.25">
      <c r="A2598" s="62" t="s">
        <v>387</v>
      </c>
      <c r="B2598" s="62" t="s">
        <v>387</v>
      </c>
      <c r="C2598" s="63"/>
      <c r="D2598" s="64"/>
      <c r="E2598" s="65"/>
      <c r="F2598" s="66"/>
      <c r="G2598" s="63"/>
      <c r="H2598" s="67"/>
      <c r="I2598" s="68"/>
      <c r="J2598" s="68"/>
      <c r="K2598" s="32"/>
      <c r="L2598" s="75">
        <v>2598</v>
      </c>
      <c r="M2598" s="75"/>
      <c r="N2598" s="70"/>
      <c r="O2598" s="77" t="s">
        <v>179</v>
      </c>
      <c r="P2598" s="79">
        <v>45145.822916666664</v>
      </c>
      <c r="Q2598" s="77" t="s">
        <v>3270</v>
      </c>
      <c r="R2598" s="77">
        <v>0</v>
      </c>
      <c r="S2598" s="77">
        <v>2</v>
      </c>
      <c r="T2598" s="77">
        <v>0</v>
      </c>
      <c r="U2598" s="77">
        <v>0</v>
      </c>
      <c r="V2598" s="77">
        <v>518</v>
      </c>
      <c r="W2598" s="82" t="s">
        <v>4833</v>
      </c>
      <c r="X2598" s="80" t="str">
        <f>HYPERLINK("https://mla.bs/a837784d")</f>
        <v>https://mla.bs/a837784d</v>
      </c>
      <c r="Y2598" s="77" t="s">
        <v>6506</v>
      </c>
      <c r="Z2598" s="77"/>
      <c r="AA2598" s="77"/>
      <c r="AB2598" s="77"/>
      <c r="AC2598" s="82" t="s">
        <v>7754</v>
      </c>
      <c r="AD2598" s="77" t="s">
        <v>7788</v>
      </c>
      <c r="AE2598" s="80" t="str">
        <f>HYPERLINK("https://twitter.com/einvestidor/status/1688637383674310656")</f>
        <v>https://twitter.com/einvestidor/status/1688637383674310656</v>
      </c>
      <c r="AF2598" s="79">
        <v>45145.822916666664</v>
      </c>
      <c r="AG2598" s="85">
        <v>45145</v>
      </c>
      <c r="AH2598" s="82" t="s">
        <v>9579</v>
      </c>
      <c r="AI2598" s="77" t="b">
        <v>0</v>
      </c>
      <c r="AJ2598" s="77"/>
      <c r="AK2598" s="77"/>
      <c r="AL2598" s="77"/>
      <c r="AM2598" s="77"/>
      <c r="AN2598" s="77"/>
      <c r="AO2598" s="77"/>
      <c r="AP2598" s="77"/>
      <c r="AQ2598" s="77"/>
      <c r="AR2598" s="77"/>
      <c r="AS2598" s="77"/>
      <c r="AT2598" s="77"/>
      <c r="AU2598" s="77"/>
      <c r="AV2598" s="80" t="str">
        <f>HYPERLINK("https://pbs.twimg.com/profile_images/1241147984924082183/gZgx_hL-_normal.jpg")</f>
        <v>https://pbs.twimg.com/profile_images/1241147984924082183/gZgx_hL-_normal.jpg</v>
      </c>
      <c r="AW2598" s="82" t="s">
        <v>14194</v>
      </c>
      <c r="AX2598" s="82" t="s">
        <v>14194</v>
      </c>
      <c r="AY2598" s="77"/>
      <c r="AZ2598" s="82" t="s">
        <v>15984</v>
      </c>
      <c r="BA2598" s="82" t="s">
        <v>15984</v>
      </c>
      <c r="BB2598" s="82" t="s">
        <v>15984</v>
      </c>
      <c r="BC2598" s="82" t="s">
        <v>14194</v>
      </c>
      <c r="BD2598" s="82" t="s">
        <v>15979</v>
      </c>
      <c r="BE2598" s="77"/>
      <c r="BF2598" s="77"/>
      <c r="BG2598" s="77"/>
      <c r="BH2598" s="77"/>
      <c r="BI2598" s="77"/>
    </row>
    <row r="2599" spans="1:61" x14ac:dyDescent="0.25">
      <c r="A2599" s="62" t="s">
        <v>387</v>
      </c>
      <c r="B2599" s="62" t="s">
        <v>387</v>
      </c>
      <c r="C2599" s="63"/>
      <c r="D2599" s="64"/>
      <c r="E2599" s="65"/>
      <c r="F2599" s="66"/>
      <c r="G2599" s="63"/>
      <c r="H2599" s="67"/>
      <c r="I2599" s="68"/>
      <c r="J2599" s="68"/>
      <c r="K2599" s="32"/>
      <c r="L2599" s="75">
        <v>2599</v>
      </c>
      <c r="M2599" s="75"/>
      <c r="N2599" s="70"/>
      <c r="O2599" s="77" t="s">
        <v>179</v>
      </c>
      <c r="P2599" s="79">
        <v>45134.864583333336</v>
      </c>
      <c r="Q2599" s="77" t="s">
        <v>3271</v>
      </c>
      <c r="R2599" s="77">
        <v>0</v>
      </c>
      <c r="S2599" s="77">
        <v>1</v>
      </c>
      <c r="T2599" s="77">
        <v>0</v>
      </c>
      <c r="U2599" s="77">
        <v>0</v>
      </c>
      <c r="V2599" s="77">
        <v>523</v>
      </c>
      <c r="W2599" s="82" t="s">
        <v>4833</v>
      </c>
      <c r="X2599" s="80" t="str">
        <f>HYPERLINK("https://mla.bs/9f026138")</f>
        <v>https://mla.bs/9f026138</v>
      </c>
      <c r="Y2599" s="77" t="s">
        <v>6506</v>
      </c>
      <c r="Z2599" s="77"/>
      <c r="AA2599" s="77"/>
      <c r="AB2599" s="77"/>
      <c r="AC2599" s="82" t="s">
        <v>7754</v>
      </c>
      <c r="AD2599" s="77" t="s">
        <v>7788</v>
      </c>
      <c r="AE2599" s="80" t="str">
        <f>HYPERLINK("https://twitter.com/einvestidor/status/1684666216831725569")</f>
        <v>https://twitter.com/einvestidor/status/1684666216831725569</v>
      </c>
      <c r="AF2599" s="79">
        <v>45134.864583333336</v>
      </c>
      <c r="AG2599" s="85">
        <v>45134</v>
      </c>
      <c r="AH2599" s="82" t="s">
        <v>9596</v>
      </c>
      <c r="AI2599" s="77" t="b">
        <v>0</v>
      </c>
      <c r="AJ2599" s="77"/>
      <c r="AK2599" s="77"/>
      <c r="AL2599" s="77"/>
      <c r="AM2599" s="77"/>
      <c r="AN2599" s="77"/>
      <c r="AO2599" s="77"/>
      <c r="AP2599" s="77"/>
      <c r="AQ2599" s="77"/>
      <c r="AR2599" s="77"/>
      <c r="AS2599" s="77"/>
      <c r="AT2599" s="77"/>
      <c r="AU2599" s="77"/>
      <c r="AV2599" s="80" t="str">
        <f>HYPERLINK("https://pbs.twimg.com/profile_images/1241147984924082183/gZgx_hL-_normal.jpg")</f>
        <v>https://pbs.twimg.com/profile_images/1241147984924082183/gZgx_hL-_normal.jpg</v>
      </c>
      <c r="AW2599" s="82" t="s">
        <v>14195</v>
      </c>
      <c r="AX2599" s="82" t="s">
        <v>14195</v>
      </c>
      <c r="AY2599" s="77"/>
      <c r="AZ2599" s="82" t="s">
        <v>15984</v>
      </c>
      <c r="BA2599" s="82" t="s">
        <v>15984</v>
      </c>
      <c r="BB2599" s="82" t="s">
        <v>15984</v>
      </c>
      <c r="BC2599" s="82" t="s">
        <v>14195</v>
      </c>
      <c r="BD2599" s="82" t="s">
        <v>15979</v>
      </c>
      <c r="BE2599" s="77"/>
      <c r="BF2599" s="77"/>
      <c r="BG2599" s="77"/>
      <c r="BH2599" s="77"/>
      <c r="BI2599" s="77"/>
    </row>
    <row r="2600" spans="1:61" x14ac:dyDescent="0.25">
      <c r="A2600" s="62" t="s">
        <v>387</v>
      </c>
      <c r="B2600" s="62" t="s">
        <v>387</v>
      </c>
      <c r="C2600" s="63"/>
      <c r="D2600" s="64"/>
      <c r="E2600" s="65"/>
      <c r="F2600" s="66"/>
      <c r="G2600" s="63"/>
      <c r="H2600" s="67"/>
      <c r="I2600" s="68"/>
      <c r="J2600" s="68"/>
      <c r="K2600" s="32"/>
      <c r="L2600" s="75">
        <v>2600</v>
      </c>
      <c r="M2600" s="75"/>
      <c r="N2600" s="70"/>
      <c r="O2600" s="77" t="s">
        <v>179</v>
      </c>
      <c r="P2600" s="79">
        <v>45134.854166666664</v>
      </c>
      <c r="Q2600" s="77" t="s">
        <v>3272</v>
      </c>
      <c r="R2600" s="77">
        <v>0</v>
      </c>
      <c r="S2600" s="77">
        <v>0</v>
      </c>
      <c r="T2600" s="77">
        <v>0</v>
      </c>
      <c r="U2600" s="77">
        <v>0</v>
      </c>
      <c r="V2600" s="77">
        <v>447</v>
      </c>
      <c r="W2600" s="82" t="s">
        <v>4833</v>
      </c>
      <c r="X2600" s="80" t="str">
        <f>HYPERLINK("https://mla.bs/b7649273")</f>
        <v>https://mla.bs/b7649273</v>
      </c>
      <c r="Y2600" s="77" t="s">
        <v>6506</v>
      </c>
      <c r="Z2600" s="77"/>
      <c r="AA2600" s="77"/>
      <c r="AB2600" s="77"/>
      <c r="AC2600" s="82" t="s">
        <v>7754</v>
      </c>
      <c r="AD2600" s="77" t="s">
        <v>7788</v>
      </c>
      <c r="AE2600" s="80" t="str">
        <f>HYPERLINK("https://twitter.com/einvestidor/status/1684662442142375937")</f>
        <v>https://twitter.com/einvestidor/status/1684662442142375937</v>
      </c>
      <c r="AF2600" s="79">
        <v>45134.854166666664</v>
      </c>
      <c r="AG2600" s="85">
        <v>45134</v>
      </c>
      <c r="AH2600" s="82" t="s">
        <v>8090</v>
      </c>
      <c r="AI2600" s="77" t="b">
        <v>0</v>
      </c>
      <c r="AJ2600" s="77"/>
      <c r="AK2600" s="77"/>
      <c r="AL2600" s="77"/>
      <c r="AM2600" s="77"/>
      <c r="AN2600" s="77"/>
      <c r="AO2600" s="77"/>
      <c r="AP2600" s="77"/>
      <c r="AQ2600" s="77"/>
      <c r="AR2600" s="77"/>
      <c r="AS2600" s="77"/>
      <c r="AT2600" s="77"/>
      <c r="AU2600" s="77"/>
      <c r="AV2600" s="80" t="str">
        <f>HYPERLINK("https://pbs.twimg.com/profile_images/1241147984924082183/gZgx_hL-_normal.jpg")</f>
        <v>https://pbs.twimg.com/profile_images/1241147984924082183/gZgx_hL-_normal.jpg</v>
      </c>
      <c r="AW2600" s="82" t="s">
        <v>14196</v>
      </c>
      <c r="AX2600" s="82" t="s">
        <v>14196</v>
      </c>
      <c r="AY2600" s="77"/>
      <c r="AZ2600" s="82" t="s">
        <v>15984</v>
      </c>
      <c r="BA2600" s="82" t="s">
        <v>15984</v>
      </c>
      <c r="BB2600" s="82" t="s">
        <v>15984</v>
      </c>
      <c r="BC2600" s="82" t="s">
        <v>14196</v>
      </c>
      <c r="BD2600" s="82" t="s">
        <v>15979</v>
      </c>
      <c r="BE2600" s="77"/>
      <c r="BF2600" s="77"/>
      <c r="BG2600" s="77"/>
      <c r="BH2600" s="77"/>
      <c r="BI2600" s="77"/>
    </row>
    <row r="2601" spans="1:61" x14ac:dyDescent="0.25">
      <c r="A2601" s="62" t="s">
        <v>387</v>
      </c>
      <c r="B2601" s="62" t="s">
        <v>387</v>
      </c>
      <c r="C2601" s="63"/>
      <c r="D2601" s="64"/>
      <c r="E2601" s="65"/>
      <c r="F2601" s="66"/>
      <c r="G2601" s="63"/>
      <c r="H2601" s="67"/>
      <c r="I2601" s="68"/>
      <c r="J2601" s="68"/>
      <c r="K2601" s="32"/>
      <c r="L2601" s="75">
        <v>2601</v>
      </c>
      <c r="M2601" s="75"/>
      <c r="N2601" s="70"/>
      <c r="O2601" s="77" t="s">
        <v>898</v>
      </c>
      <c r="P2601" s="79">
        <v>45134.844560185185</v>
      </c>
      <c r="Q2601" s="77" t="s">
        <v>3273</v>
      </c>
      <c r="R2601" s="77">
        <v>0</v>
      </c>
      <c r="S2601" s="77">
        <v>0</v>
      </c>
      <c r="T2601" s="77">
        <v>0</v>
      </c>
      <c r="U2601" s="77">
        <v>0</v>
      </c>
      <c r="V2601" s="77">
        <v>430</v>
      </c>
      <c r="W2601" s="82" t="s">
        <v>4833</v>
      </c>
      <c r="X2601" s="80" t="str">
        <f>HYPERLINK("https://mla.bs/fbda7f47")</f>
        <v>https://mla.bs/fbda7f47</v>
      </c>
      <c r="Y2601" s="77" t="s">
        <v>6506</v>
      </c>
      <c r="Z2601" s="77"/>
      <c r="AA2601" s="77"/>
      <c r="AB2601" s="77"/>
      <c r="AC2601" s="82" t="s">
        <v>7750</v>
      </c>
      <c r="AD2601" s="77" t="s">
        <v>7788</v>
      </c>
      <c r="AE2601" s="80" t="str">
        <f>HYPERLINK("https://twitter.com/einvestidor/status/1684658959397814272")</f>
        <v>https://twitter.com/einvestidor/status/1684658959397814272</v>
      </c>
      <c r="AF2601" s="79">
        <v>45134.844560185185</v>
      </c>
      <c r="AG2601" s="85">
        <v>45134</v>
      </c>
      <c r="AH2601" s="82" t="s">
        <v>9780</v>
      </c>
      <c r="AI2601" s="77" t="b">
        <v>0</v>
      </c>
      <c r="AJ2601" s="77"/>
      <c r="AK2601" s="77"/>
      <c r="AL2601" s="77"/>
      <c r="AM2601" s="77"/>
      <c r="AN2601" s="77"/>
      <c r="AO2601" s="77"/>
      <c r="AP2601" s="77"/>
      <c r="AQ2601" s="77"/>
      <c r="AR2601" s="77"/>
      <c r="AS2601" s="77"/>
      <c r="AT2601" s="77"/>
      <c r="AU2601" s="77"/>
      <c r="AV2601" s="80" t="str">
        <f>HYPERLINK("https://pbs.twimg.com/profile_images/1241147984924082183/gZgx_hL-_normal.jpg")</f>
        <v>https://pbs.twimg.com/profile_images/1241147984924082183/gZgx_hL-_normal.jpg</v>
      </c>
      <c r="AW2601" s="82" t="s">
        <v>14197</v>
      </c>
      <c r="AX2601" s="82" t="s">
        <v>14436</v>
      </c>
      <c r="AY2601" s="82" t="s">
        <v>15979</v>
      </c>
      <c r="AZ2601" s="82" t="s">
        <v>14198</v>
      </c>
      <c r="BA2601" s="82" t="s">
        <v>15984</v>
      </c>
      <c r="BB2601" s="82" t="s">
        <v>15984</v>
      </c>
      <c r="BC2601" s="82" t="s">
        <v>14198</v>
      </c>
      <c r="BD2601" s="82" t="s">
        <v>15979</v>
      </c>
      <c r="BE2601" s="77"/>
      <c r="BF2601" s="77"/>
      <c r="BG2601" s="77"/>
      <c r="BH2601" s="77"/>
      <c r="BI2601" s="77"/>
    </row>
    <row r="2602" spans="1:61" x14ac:dyDescent="0.25">
      <c r="A2602" s="62" t="s">
        <v>387</v>
      </c>
      <c r="B2602" s="62" t="s">
        <v>387</v>
      </c>
      <c r="C2602" s="63"/>
      <c r="D2602" s="64"/>
      <c r="E2602" s="65"/>
      <c r="F2602" s="66"/>
      <c r="G2602" s="63"/>
      <c r="H2602" s="67"/>
      <c r="I2602" s="68"/>
      <c r="J2602" s="68"/>
      <c r="K2602" s="32"/>
      <c r="L2602" s="75">
        <v>2602</v>
      </c>
      <c r="M2602" s="75"/>
      <c r="N2602" s="70"/>
      <c r="O2602" s="77" t="s">
        <v>898</v>
      </c>
      <c r="P2602" s="79">
        <v>45134.835289351853</v>
      </c>
      <c r="Q2602" s="77" t="s">
        <v>3274</v>
      </c>
      <c r="R2602" s="77">
        <v>0</v>
      </c>
      <c r="S2602" s="77">
        <v>1</v>
      </c>
      <c r="T2602" s="77">
        <v>1</v>
      </c>
      <c r="U2602" s="77">
        <v>0</v>
      </c>
      <c r="V2602" s="77">
        <v>734</v>
      </c>
      <c r="W2602" s="82" t="s">
        <v>4833</v>
      </c>
      <c r="X2602" s="80" t="str">
        <f>HYPERLINK("https://mla.bs/819f34d6")</f>
        <v>https://mla.bs/819f34d6</v>
      </c>
      <c r="Y2602" s="77" t="s">
        <v>6506</v>
      </c>
      <c r="Z2602" s="77"/>
      <c r="AA2602" s="77"/>
      <c r="AB2602" s="77"/>
      <c r="AC2602" s="82" t="s">
        <v>7750</v>
      </c>
      <c r="AD2602" s="77" t="s">
        <v>7788</v>
      </c>
      <c r="AE2602" s="80" t="str">
        <f>HYPERLINK("https://twitter.com/einvestidor/status/1684655600993435649")</f>
        <v>https://twitter.com/einvestidor/status/1684655600993435649</v>
      </c>
      <c r="AF2602" s="79">
        <v>45134.835289351853</v>
      </c>
      <c r="AG2602" s="85">
        <v>45134</v>
      </c>
      <c r="AH2602" s="82" t="s">
        <v>9781</v>
      </c>
      <c r="AI2602" s="77" t="b">
        <v>0</v>
      </c>
      <c r="AJ2602" s="77"/>
      <c r="AK2602" s="77"/>
      <c r="AL2602" s="77"/>
      <c r="AM2602" s="77"/>
      <c r="AN2602" s="77"/>
      <c r="AO2602" s="77"/>
      <c r="AP2602" s="77"/>
      <c r="AQ2602" s="77"/>
      <c r="AR2602" s="77"/>
      <c r="AS2602" s="77"/>
      <c r="AT2602" s="77"/>
      <c r="AU2602" s="77"/>
      <c r="AV2602" s="80" t="str">
        <f>HYPERLINK("https://pbs.twimg.com/profile_images/1241147984924082183/gZgx_hL-_normal.jpg")</f>
        <v>https://pbs.twimg.com/profile_images/1241147984924082183/gZgx_hL-_normal.jpg</v>
      </c>
      <c r="AW2602" s="82" t="s">
        <v>14198</v>
      </c>
      <c r="AX2602" s="82" t="s">
        <v>14436</v>
      </c>
      <c r="AY2602" s="82" t="s">
        <v>15979</v>
      </c>
      <c r="AZ2602" s="82" t="s">
        <v>14199</v>
      </c>
      <c r="BA2602" s="82" t="s">
        <v>15984</v>
      </c>
      <c r="BB2602" s="82" t="s">
        <v>15984</v>
      </c>
      <c r="BC2602" s="82" t="s">
        <v>14199</v>
      </c>
      <c r="BD2602" s="82" t="s">
        <v>15979</v>
      </c>
      <c r="BE2602" s="77"/>
      <c r="BF2602" s="77"/>
      <c r="BG2602" s="77"/>
      <c r="BH2602" s="77"/>
      <c r="BI2602" s="77"/>
    </row>
    <row r="2603" spans="1:61" x14ac:dyDescent="0.25">
      <c r="A2603" s="62" t="s">
        <v>387</v>
      </c>
      <c r="B2603" s="62" t="s">
        <v>387</v>
      </c>
      <c r="C2603" s="63"/>
      <c r="D2603" s="64"/>
      <c r="E2603" s="65"/>
      <c r="F2603" s="66"/>
      <c r="G2603" s="63"/>
      <c r="H2603" s="67"/>
      <c r="I2603" s="68"/>
      <c r="J2603" s="68"/>
      <c r="K2603" s="32"/>
      <c r="L2603" s="75">
        <v>2603</v>
      </c>
      <c r="M2603" s="75"/>
      <c r="N2603" s="70"/>
      <c r="O2603" s="77" t="s">
        <v>898</v>
      </c>
      <c r="P2603" s="79">
        <v>45134.824490740742</v>
      </c>
      <c r="Q2603" s="77" t="s">
        <v>3275</v>
      </c>
      <c r="R2603" s="77">
        <v>0</v>
      </c>
      <c r="S2603" s="77">
        <v>0</v>
      </c>
      <c r="T2603" s="77">
        <v>1</v>
      </c>
      <c r="U2603" s="77">
        <v>0</v>
      </c>
      <c r="V2603" s="77">
        <v>473</v>
      </c>
      <c r="W2603" s="82" t="s">
        <v>4833</v>
      </c>
      <c r="X2603" s="80" t="str">
        <f>HYPERLINK("https://mla.bs/1a962f14")</f>
        <v>https://mla.bs/1a962f14</v>
      </c>
      <c r="Y2603" s="77" t="s">
        <v>6506</v>
      </c>
      <c r="Z2603" s="77"/>
      <c r="AA2603" s="77"/>
      <c r="AB2603" s="77"/>
      <c r="AC2603" s="82" t="s">
        <v>7750</v>
      </c>
      <c r="AD2603" s="77" t="s">
        <v>7788</v>
      </c>
      <c r="AE2603" s="80" t="str">
        <f>HYPERLINK("https://twitter.com/einvestidor/status/1684651689167474688")</f>
        <v>https://twitter.com/einvestidor/status/1684651689167474688</v>
      </c>
      <c r="AF2603" s="79">
        <v>45134.824490740742</v>
      </c>
      <c r="AG2603" s="85">
        <v>45134</v>
      </c>
      <c r="AH2603" s="82" t="s">
        <v>9782</v>
      </c>
      <c r="AI2603" s="77" t="b">
        <v>0</v>
      </c>
      <c r="AJ2603" s="77"/>
      <c r="AK2603" s="77"/>
      <c r="AL2603" s="77"/>
      <c r="AM2603" s="77"/>
      <c r="AN2603" s="77"/>
      <c r="AO2603" s="77"/>
      <c r="AP2603" s="77"/>
      <c r="AQ2603" s="77"/>
      <c r="AR2603" s="77"/>
      <c r="AS2603" s="77"/>
      <c r="AT2603" s="77"/>
      <c r="AU2603" s="77"/>
      <c r="AV2603" s="80" t="str">
        <f>HYPERLINK("https://pbs.twimg.com/profile_images/1241147984924082183/gZgx_hL-_normal.jpg")</f>
        <v>https://pbs.twimg.com/profile_images/1241147984924082183/gZgx_hL-_normal.jpg</v>
      </c>
      <c r="AW2603" s="82" t="s">
        <v>14199</v>
      </c>
      <c r="AX2603" s="82" t="s">
        <v>14436</v>
      </c>
      <c r="AY2603" s="82" t="s">
        <v>15979</v>
      </c>
      <c r="AZ2603" s="82" t="s">
        <v>14200</v>
      </c>
      <c r="BA2603" s="82" t="s">
        <v>15984</v>
      </c>
      <c r="BB2603" s="82" t="s">
        <v>15984</v>
      </c>
      <c r="BC2603" s="82" t="s">
        <v>14200</v>
      </c>
      <c r="BD2603" s="82" t="s">
        <v>15979</v>
      </c>
      <c r="BE2603" s="77"/>
      <c r="BF2603" s="77"/>
      <c r="BG2603" s="77"/>
      <c r="BH2603" s="77"/>
      <c r="BI2603" s="77"/>
    </row>
    <row r="2604" spans="1:61" x14ac:dyDescent="0.25">
      <c r="A2604" s="62" t="s">
        <v>387</v>
      </c>
      <c r="B2604" s="62" t="s">
        <v>387</v>
      </c>
      <c r="C2604" s="63"/>
      <c r="D2604" s="64"/>
      <c r="E2604" s="65"/>
      <c r="F2604" s="66"/>
      <c r="G2604" s="63"/>
      <c r="H2604" s="67"/>
      <c r="I2604" s="68"/>
      <c r="J2604" s="68"/>
      <c r="K2604" s="32"/>
      <c r="L2604" s="75">
        <v>2604</v>
      </c>
      <c r="M2604" s="75"/>
      <c r="N2604" s="70"/>
      <c r="O2604" s="77" t="s">
        <v>898</v>
      </c>
      <c r="P2604" s="79">
        <v>45134.8125</v>
      </c>
      <c r="Q2604" s="77" t="s">
        <v>3276</v>
      </c>
      <c r="R2604" s="77">
        <v>0</v>
      </c>
      <c r="S2604" s="77">
        <v>0</v>
      </c>
      <c r="T2604" s="77">
        <v>1</v>
      </c>
      <c r="U2604" s="77">
        <v>0</v>
      </c>
      <c r="V2604" s="77">
        <v>427</v>
      </c>
      <c r="W2604" s="82" t="s">
        <v>4833</v>
      </c>
      <c r="X2604" s="80" t="str">
        <f>HYPERLINK("https://mla.bs/74d309ca")</f>
        <v>https://mla.bs/74d309ca</v>
      </c>
      <c r="Y2604" s="77" t="s">
        <v>6506</v>
      </c>
      <c r="Z2604" s="77"/>
      <c r="AA2604" s="77"/>
      <c r="AB2604" s="77"/>
      <c r="AC2604" s="82" t="s">
        <v>7750</v>
      </c>
      <c r="AD2604" s="77" t="s">
        <v>7788</v>
      </c>
      <c r="AE2604" s="80" t="str">
        <f>HYPERLINK("https://twitter.com/einvestidor/status/1684647343831015426")</f>
        <v>https://twitter.com/einvestidor/status/1684647343831015426</v>
      </c>
      <c r="AF2604" s="79">
        <v>45134.8125</v>
      </c>
      <c r="AG2604" s="85">
        <v>45134</v>
      </c>
      <c r="AH2604" s="82" t="s">
        <v>8281</v>
      </c>
      <c r="AI2604" s="77" t="b">
        <v>0</v>
      </c>
      <c r="AJ2604" s="77"/>
      <c r="AK2604" s="77"/>
      <c r="AL2604" s="77"/>
      <c r="AM2604" s="77"/>
      <c r="AN2604" s="77"/>
      <c r="AO2604" s="77"/>
      <c r="AP2604" s="77"/>
      <c r="AQ2604" s="77"/>
      <c r="AR2604" s="77"/>
      <c r="AS2604" s="77"/>
      <c r="AT2604" s="77"/>
      <c r="AU2604" s="77"/>
      <c r="AV2604" s="80" t="str">
        <f>HYPERLINK("https://pbs.twimg.com/profile_images/1241147984924082183/gZgx_hL-_normal.jpg")</f>
        <v>https://pbs.twimg.com/profile_images/1241147984924082183/gZgx_hL-_normal.jpg</v>
      </c>
      <c r="AW2604" s="82" t="s">
        <v>14200</v>
      </c>
      <c r="AX2604" s="82" t="s">
        <v>14436</v>
      </c>
      <c r="AY2604" s="82" t="s">
        <v>15979</v>
      </c>
      <c r="AZ2604" s="82" t="s">
        <v>15261</v>
      </c>
      <c r="BA2604" s="82" t="s">
        <v>15984</v>
      </c>
      <c r="BB2604" s="82" t="s">
        <v>15984</v>
      </c>
      <c r="BC2604" s="82" t="s">
        <v>15261</v>
      </c>
      <c r="BD2604" s="82" t="s">
        <v>15979</v>
      </c>
      <c r="BE2604" s="77"/>
      <c r="BF2604" s="77"/>
      <c r="BG2604" s="77"/>
      <c r="BH2604" s="77"/>
      <c r="BI2604" s="77"/>
    </row>
    <row r="2605" spans="1:61" x14ac:dyDescent="0.25">
      <c r="A2605" s="62" t="s">
        <v>387</v>
      </c>
      <c r="B2605" s="62" t="s">
        <v>387</v>
      </c>
      <c r="C2605" s="63"/>
      <c r="D2605" s="64"/>
      <c r="E2605" s="65"/>
      <c r="F2605" s="66"/>
      <c r="G2605" s="63"/>
      <c r="H2605" s="67"/>
      <c r="I2605" s="68"/>
      <c r="J2605" s="68"/>
      <c r="K2605" s="32"/>
      <c r="L2605" s="75">
        <v>2605</v>
      </c>
      <c r="M2605" s="75"/>
      <c r="N2605" s="70"/>
      <c r="O2605" s="77" t="s">
        <v>179</v>
      </c>
      <c r="P2605" s="79">
        <v>45134.802083333336</v>
      </c>
      <c r="Q2605" s="77" t="s">
        <v>3277</v>
      </c>
      <c r="R2605" s="77">
        <v>0</v>
      </c>
      <c r="S2605" s="77">
        <v>1</v>
      </c>
      <c r="T2605" s="77">
        <v>0</v>
      </c>
      <c r="U2605" s="77">
        <v>0</v>
      </c>
      <c r="V2605" s="77">
        <v>536</v>
      </c>
      <c r="W2605" s="82" t="s">
        <v>4833</v>
      </c>
      <c r="X2605" s="80" t="str">
        <f>HYPERLINK("https://mla.bs/faf7defe")</f>
        <v>https://mla.bs/faf7defe</v>
      </c>
      <c r="Y2605" s="77" t="s">
        <v>6506</v>
      </c>
      <c r="Z2605" s="77"/>
      <c r="AA2605" s="77"/>
      <c r="AB2605" s="77"/>
      <c r="AC2605" s="82" t="s">
        <v>7754</v>
      </c>
      <c r="AD2605" s="77" t="s">
        <v>7788</v>
      </c>
      <c r="AE2605" s="80" t="str">
        <f>HYPERLINK("https://twitter.com/einvestidor/status/1684643568017866752")</f>
        <v>https://twitter.com/einvestidor/status/1684643568017866752</v>
      </c>
      <c r="AF2605" s="79">
        <v>45134.802083333336</v>
      </c>
      <c r="AG2605" s="85">
        <v>45134</v>
      </c>
      <c r="AH2605" s="82" t="s">
        <v>7868</v>
      </c>
      <c r="AI2605" s="77" t="b">
        <v>0</v>
      </c>
      <c r="AJ2605" s="77"/>
      <c r="AK2605" s="77"/>
      <c r="AL2605" s="77"/>
      <c r="AM2605" s="77"/>
      <c r="AN2605" s="77"/>
      <c r="AO2605" s="77"/>
      <c r="AP2605" s="77"/>
      <c r="AQ2605" s="77"/>
      <c r="AR2605" s="77"/>
      <c r="AS2605" s="77"/>
      <c r="AT2605" s="77"/>
      <c r="AU2605" s="77"/>
      <c r="AV2605" s="80" t="str">
        <f>HYPERLINK("https://pbs.twimg.com/profile_images/1241147984924082183/gZgx_hL-_normal.jpg")</f>
        <v>https://pbs.twimg.com/profile_images/1241147984924082183/gZgx_hL-_normal.jpg</v>
      </c>
      <c r="AW2605" s="82" t="s">
        <v>14201</v>
      </c>
      <c r="AX2605" s="82" t="s">
        <v>14201</v>
      </c>
      <c r="AY2605" s="77"/>
      <c r="AZ2605" s="82" t="s">
        <v>15984</v>
      </c>
      <c r="BA2605" s="82" t="s">
        <v>15984</v>
      </c>
      <c r="BB2605" s="82" t="s">
        <v>15984</v>
      </c>
      <c r="BC2605" s="82" t="s">
        <v>14201</v>
      </c>
      <c r="BD2605" s="82" t="s">
        <v>15979</v>
      </c>
      <c r="BE2605" s="77"/>
      <c r="BF2605" s="77"/>
      <c r="BG2605" s="77"/>
      <c r="BH2605" s="77"/>
      <c r="BI2605" s="77"/>
    </row>
    <row r="2606" spans="1:61" x14ac:dyDescent="0.25">
      <c r="A2606" s="62" t="s">
        <v>387</v>
      </c>
      <c r="B2606" s="62" t="s">
        <v>387</v>
      </c>
      <c r="C2606" s="63"/>
      <c r="D2606" s="64"/>
      <c r="E2606" s="65"/>
      <c r="F2606" s="66"/>
      <c r="G2606" s="63"/>
      <c r="H2606" s="67"/>
      <c r="I2606" s="68"/>
      <c r="J2606" s="68"/>
      <c r="K2606" s="32"/>
      <c r="L2606" s="75">
        <v>2606</v>
      </c>
      <c r="M2606" s="75"/>
      <c r="N2606" s="70"/>
      <c r="O2606" s="77" t="s">
        <v>179</v>
      </c>
      <c r="P2606" s="79">
        <v>45134.791689814818</v>
      </c>
      <c r="Q2606" s="77" t="s">
        <v>3278</v>
      </c>
      <c r="R2606" s="77">
        <v>0</v>
      </c>
      <c r="S2606" s="77">
        <v>0</v>
      </c>
      <c r="T2606" s="77">
        <v>0</v>
      </c>
      <c r="U2606" s="77">
        <v>0</v>
      </c>
      <c r="V2606" s="77">
        <v>783</v>
      </c>
      <c r="W2606" s="82" t="s">
        <v>4833</v>
      </c>
      <c r="X2606" s="80" t="str">
        <f>HYPERLINK("https://mla.bs/684fe489")</f>
        <v>https://mla.bs/684fe489</v>
      </c>
      <c r="Y2606" s="77" t="s">
        <v>6506</v>
      </c>
      <c r="Z2606" s="77"/>
      <c r="AA2606" s="77"/>
      <c r="AB2606" s="77"/>
      <c r="AC2606" s="82" t="s">
        <v>7754</v>
      </c>
      <c r="AD2606" s="77" t="s">
        <v>7788</v>
      </c>
      <c r="AE2606" s="80" t="str">
        <f>HYPERLINK("https://twitter.com/einvestidor/status/1684639800165306370")</f>
        <v>https://twitter.com/einvestidor/status/1684639800165306370</v>
      </c>
      <c r="AF2606" s="79">
        <v>45134.791689814818</v>
      </c>
      <c r="AG2606" s="85">
        <v>45134</v>
      </c>
      <c r="AH2606" s="82" t="s">
        <v>9580</v>
      </c>
      <c r="AI2606" s="77" t="b">
        <v>0</v>
      </c>
      <c r="AJ2606" s="77"/>
      <c r="AK2606" s="77"/>
      <c r="AL2606" s="77"/>
      <c r="AM2606" s="77"/>
      <c r="AN2606" s="77"/>
      <c r="AO2606" s="77"/>
      <c r="AP2606" s="77"/>
      <c r="AQ2606" s="77"/>
      <c r="AR2606" s="77"/>
      <c r="AS2606" s="77"/>
      <c r="AT2606" s="77"/>
      <c r="AU2606" s="77"/>
      <c r="AV2606" s="80" t="str">
        <f>HYPERLINK("https://pbs.twimg.com/profile_images/1241147984924082183/gZgx_hL-_normal.jpg")</f>
        <v>https://pbs.twimg.com/profile_images/1241147984924082183/gZgx_hL-_normal.jpg</v>
      </c>
      <c r="AW2606" s="82" t="s">
        <v>14202</v>
      </c>
      <c r="AX2606" s="82" t="s">
        <v>14202</v>
      </c>
      <c r="AY2606" s="77"/>
      <c r="AZ2606" s="82" t="s">
        <v>15984</v>
      </c>
      <c r="BA2606" s="82" t="s">
        <v>15984</v>
      </c>
      <c r="BB2606" s="82" t="s">
        <v>15984</v>
      </c>
      <c r="BC2606" s="82" t="s">
        <v>14202</v>
      </c>
      <c r="BD2606" s="82" t="s">
        <v>15979</v>
      </c>
      <c r="BE2606" s="77"/>
      <c r="BF2606" s="77"/>
      <c r="BG2606" s="77"/>
      <c r="BH2606" s="77"/>
      <c r="BI2606" s="77"/>
    </row>
    <row r="2607" spans="1:61" x14ac:dyDescent="0.25">
      <c r="A2607" s="62" t="s">
        <v>387</v>
      </c>
      <c r="B2607" s="62" t="s">
        <v>387</v>
      </c>
      <c r="C2607" s="63"/>
      <c r="D2607" s="64"/>
      <c r="E2607" s="65"/>
      <c r="F2607" s="66"/>
      <c r="G2607" s="63"/>
      <c r="H2607" s="67"/>
      <c r="I2607" s="68"/>
      <c r="J2607" s="68"/>
      <c r="K2607" s="32"/>
      <c r="L2607" s="75">
        <v>2607</v>
      </c>
      <c r="M2607" s="75"/>
      <c r="N2607" s="70"/>
      <c r="O2607" s="77" t="s">
        <v>898</v>
      </c>
      <c r="P2607" s="79">
        <v>45134.78125</v>
      </c>
      <c r="Q2607" s="77" t="s">
        <v>3279</v>
      </c>
      <c r="R2607" s="77">
        <v>0</v>
      </c>
      <c r="S2607" s="77">
        <v>1</v>
      </c>
      <c r="T2607" s="77">
        <v>1</v>
      </c>
      <c r="U2607" s="77">
        <v>0</v>
      </c>
      <c r="V2607" s="77">
        <v>842</v>
      </c>
      <c r="W2607" s="82" t="s">
        <v>6055</v>
      </c>
      <c r="X2607" s="80" t="str">
        <f>HYPERLINK("https://mla.bs/24956fc0")</f>
        <v>https://mla.bs/24956fc0</v>
      </c>
      <c r="Y2607" s="77" t="s">
        <v>6506</v>
      </c>
      <c r="Z2607" s="77"/>
      <c r="AA2607" s="77"/>
      <c r="AB2607" s="77"/>
      <c r="AC2607" s="82" t="s">
        <v>7750</v>
      </c>
      <c r="AD2607" s="77" t="s">
        <v>7788</v>
      </c>
      <c r="AE2607" s="80" t="str">
        <f>HYPERLINK("https://twitter.com/einvestidor/status/1684636017570017281")</f>
        <v>https://twitter.com/einvestidor/status/1684636017570017281</v>
      </c>
      <c r="AF2607" s="79">
        <v>45134.78125</v>
      </c>
      <c r="AG2607" s="85">
        <v>45134</v>
      </c>
      <c r="AH2607" s="82" t="s">
        <v>9581</v>
      </c>
      <c r="AI2607" s="77" t="b">
        <v>0</v>
      </c>
      <c r="AJ2607" s="77"/>
      <c r="AK2607" s="77"/>
      <c r="AL2607" s="77"/>
      <c r="AM2607" s="77"/>
      <c r="AN2607" s="77"/>
      <c r="AO2607" s="77"/>
      <c r="AP2607" s="77"/>
      <c r="AQ2607" s="77"/>
      <c r="AR2607" s="77"/>
      <c r="AS2607" s="77"/>
      <c r="AT2607" s="77"/>
      <c r="AU2607" s="77"/>
      <c r="AV2607" s="80" t="str">
        <f>HYPERLINK("https://pbs.twimg.com/profile_images/1241147984924082183/gZgx_hL-_normal.jpg")</f>
        <v>https://pbs.twimg.com/profile_images/1241147984924082183/gZgx_hL-_normal.jpg</v>
      </c>
      <c r="AW2607" s="82" t="s">
        <v>14203</v>
      </c>
      <c r="AX2607" s="82" t="s">
        <v>15901</v>
      </c>
      <c r="AY2607" s="82" t="s">
        <v>15979</v>
      </c>
      <c r="AZ2607" s="82" t="s">
        <v>15008</v>
      </c>
      <c r="BA2607" s="82" t="s">
        <v>15984</v>
      </c>
      <c r="BB2607" s="82" t="s">
        <v>15984</v>
      </c>
      <c r="BC2607" s="82" t="s">
        <v>15008</v>
      </c>
      <c r="BD2607" s="82" t="s">
        <v>15979</v>
      </c>
      <c r="BE2607" s="77"/>
      <c r="BF2607" s="77"/>
      <c r="BG2607" s="77"/>
      <c r="BH2607" s="77"/>
      <c r="BI2607" s="77"/>
    </row>
    <row r="2608" spans="1:61" x14ac:dyDescent="0.25">
      <c r="A2608" s="62" t="s">
        <v>387</v>
      </c>
      <c r="B2608" s="62" t="s">
        <v>387</v>
      </c>
      <c r="C2608" s="63"/>
      <c r="D2608" s="64"/>
      <c r="E2608" s="65"/>
      <c r="F2608" s="66"/>
      <c r="G2608" s="63"/>
      <c r="H2608" s="67"/>
      <c r="I2608" s="68"/>
      <c r="J2608" s="68"/>
      <c r="K2608" s="32"/>
      <c r="L2608" s="75">
        <v>2608</v>
      </c>
      <c r="M2608" s="75"/>
      <c r="N2608" s="70"/>
      <c r="O2608" s="77" t="s">
        <v>179</v>
      </c>
      <c r="P2608" s="79">
        <v>45134.727847222224</v>
      </c>
      <c r="Q2608" s="77" t="s">
        <v>3280</v>
      </c>
      <c r="R2608" s="77">
        <v>0</v>
      </c>
      <c r="S2608" s="77">
        <v>0</v>
      </c>
      <c r="T2608" s="77">
        <v>0</v>
      </c>
      <c r="U2608" s="77">
        <v>0</v>
      </c>
      <c r="V2608" s="77">
        <v>512</v>
      </c>
      <c r="W2608" s="82" t="s">
        <v>4833</v>
      </c>
      <c r="X2608" s="80" t="str">
        <f>HYPERLINK("https://mla.bs/0f098a81")</f>
        <v>https://mla.bs/0f098a81</v>
      </c>
      <c r="Y2608" s="77" t="s">
        <v>6506</v>
      </c>
      <c r="Z2608" s="77"/>
      <c r="AA2608" s="77"/>
      <c r="AB2608" s="77"/>
      <c r="AC2608" s="82" t="s">
        <v>7754</v>
      </c>
      <c r="AD2608" s="77" t="s">
        <v>7788</v>
      </c>
      <c r="AE2608" s="80" t="str">
        <f>HYPERLINK("https://twitter.com/einvestidor/status/1684616665298825216")</f>
        <v>https://twitter.com/einvestidor/status/1684616665298825216</v>
      </c>
      <c r="AF2608" s="79">
        <v>45134.727847222224</v>
      </c>
      <c r="AG2608" s="85">
        <v>45134</v>
      </c>
      <c r="AH2608" s="82" t="s">
        <v>9783</v>
      </c>
      <c r="AI2608" s="77" t="b">
        <v>0</v>
      </c>
      <c r="AJ2608" s="77"/>
      <c r="AK2608" s="77"/>
      <c r="AL2608" s="77"/>
      <c r="AM2608" s="77"/>
      <c r="AN2608" s="77"/>
      <c r="AO2608" s="77"/>
      <c r="AP2608" s="77"/>
      <c r="AQ2608" s="77"/>
      <c r="AR2608" s="77"/>
      <c r="AS2608" s="77"/>
      <c r="AT2608" s="77"/>
      <c r="AU2608" s="77"/>
      <c r="AV2608" s="80" t="str">
        <f>HYPERLINK("https://pbs.twimg.com/profile_images/1241147984924082183/gZgx_hL-_normal.jpg")</f>
        <v>https://pbs.twimg.com/profile_images/1241147984924082183/gZgx_hL-_normal.jpg</v>
      </c>
      <c r="AW2608" s="82" t="s">
        <v>14204</v>
      </c>
      <c r="AX2608" s="82" t="s">
        <v>14204</v>
      </c>
      <c r="AY2608" s="77"/>
      <c r="AZ2608" s="82" t="s">
        <v>15984</v>
      </c>
      <c r="BA2608" s="82" t="s">
        <v>15984</v>
      </c>
      <c r="BB2608" s="82" t="s">
        <v>15984</v>
      </c>
      <c r="BC2608" s="82" t="s">
        <v>14204</v>
      </c>
      <c r="BD2608" s="82" t="s">
        <v>15979</v>
      </c>
      <c r="BE2608" s="77"/>
      <c r="BF2608" s="77"/>
      <c r="BG2608" s="77"/>
      <c r="BH2608" s="77"/>
      <c r="BI2608" s="77"/>
    </row>
    <row r="2609" spans="1:61" x14ac:dyDescent="0.25">
      <c r="A2609" s="62" t="s">
        <v>387</v>
      </c>
      <c r="B2609" s="62" t="s">
        <v>387</v>
      </c>
      <c r="C2609" s="63"/>
      <c r="D2609" s="64"/>
      <c r="E2609" s="65"/>
      <c r="F2609" s="66"/>
      <c r="G2609" s="63"/>
      <c r="H2609" s="67"/>
      <c r="I2609" s="68"/>
      <c r="J2609" s="68"/>
      <c r="K2609" s="32"/>
      <c r="L2609" s="75">
        <v>2609</v>
      </c>
      <c r="M2609" s="75"/>
      <c r="N2609" s="70"/>
      <c r="O2609" s="77" t="s">
        <v>179</v>
      </c>
      <c r="P2609" s="79">
        <v>45183.854166666664</v>
      </c>
      <c r="Q2609" s="77" t="s">
        <v>3281</v>
      </c>
      <c r="R2609" s="77">
        <v>0</v>
      </c>
      <c r="S2609" s="77">
        <v>1</v>
      </c>
      <c r="T2609" s="77">
        <v>0</v>
      </c>
      <c r="U2609" s="77">
        <v>0</v>
      </c>
      <c r="V2609" s="77">
        <v>474</v>
      </c>
      <c r="W2609" s="82" t="s">
        <v>4833</v>
      </c>
      <c r="X2609" s="80" t="str">
        <f>HYPERLINK("https://einvestidor.estadao.com.br/ultimas/itau-bba-licenciamento-petrobras/?utm_source=twitter&amp;utm_medium=organic&amp;utm_campaign=&amp;utm_content=materia")</f>
        <v>https://einvestidor.estadao.com.br/ultimas/itau-bba-licenciamento-petrobras/?utm_source=twitter&amp;utm_medium=organic&amp;utm_campaign=&amp;utm_content=materia</v>
      </c>
      <c r="Y2609" s="77" t="s">
        <v>6470</v>
      </c>
      <c r="Z2609" s="77"/>
      <c r="AA2609" s="77"/>
      <c r="AB2609" s="77"/>
      <c r="AC2609" s="82" t="s">
        <v>7750</v>
      </c>
      <c r="AD2609" s="77" t="s">
        <v>7788</v>
      </c>
      <c r="AE2609" s="80" t="str">
        <f>HYPERLINK("https://twitter.com/einvestidor/status/1702419448492351777")</f>
        <v>https://twitter.com/einvestidor/status/1702419448492351777</v>
      </c>
      <c r="AF2609" s="79">
        <v>45183.854166666664</v>
      </c>
      <c r="AG2609" s="85">
        <v>45183</v>
      </c>
      <c r="AH2609" s="82" t="s">
        <v>8090</v>
      </c>
      <c r="AI2609" s="77" t="b">
        <v>0</v>
      </c>
      <c r="AJ2609" s="77"/>
      <c r="AK2609" s="77"/>
      <c r="AL2609" s="77"/>
      <c r="AM2609" s="77"/>
      <c r="AN2609" s="77"/>
      <c r="AO2609" s="77"/>
      <c r="AP2609" s="77"/>
      <c r="AQ2609" s="77"/>
      <c r="AR2609" s="77"/>
      <c r="AS2609" s="77"/>
      <c r="AT2609" s="77"/>
      <c r="AU2609" s="77"/>
      <c r="AV2609" s="80" t="str">
        <f>HYPERLINK("https://pbs.twimg.com/profile_images/1241147984924082183/gZgx_hL-_normal.jpg")</f>
        <v>https://pbs.twimg.com/profile_images/1241147984924082183/gZgx_hL-_normal.jpg</v>
      </c>
      <c r="AW2609" s="82" t="s">
        <v>14205</v>
      </c>
      <c r="AX2609" s="82" t="s">
        <v>14205</v>
      </c>
      <c r="AY2609" s="77"/>
      <c r="AZ2609" s="82" t="s">
        <v>15984</v>
      </c>
      <c r="BA2609" s="82" t="s">
        <v>15984</v>
      </c>
      <c r="BB2609" s="82" t="s">
        <v>15984</v>
      </c>
      <c r="BC2609" s="82" t="s">
        <v>14205</v>
      </c>
      <c r="BD2609" s="82" t="s">
        <v>15979</v>
      </c>
      <c r="BE2609" s="77"/>
      <c r="BF2609" s="77"/>
      <c r="BG2609" s="77"/>
      <c r="BH2609" s="77"/>
      <c r="BI2609" s="77"/>
    </row>
    <row r="2610" spans="1:61" x14ac:dyDescent="0.25">
      <c r="A2610" s="62" t="s">
        <v>387</v>
      </c>
      <c r="B2610" s="62" t="s">
        <v>387</v>
      </c>
      <c r="C2610" s="63"/>
      <c r="D2610" s="64"/>
      <c r="E2610" s="65"/>
      <c r="F2610" s="66"/>
      <c r="G2610" s="63"/>
      <c r="H2610" s="67"/>
      <c r="I2610" s="68"/>
      <c r="J2610" s="68"/>
      <c r="K2610" s="32"/>
      <c r="L2610" s="75">
        <v>2610</v>
      </c>
      <c r="M2610" s="75"/>
      <c r="N2610" s="70"/>
      <c r="O2610" s="77" t="s">
        <v>179</v>
      </c>
      <c r="P2610" s="79">
        <v>45182.947916666664</v>
      </c>
      <c r="Q2610" s="77" t="s">
        <v>3282</v>
      </c>
      <c r="R2610" s="77">
        <v>0</v>
      </c>
      <c r="S2610" s="77">
        <v>0</v>
      </c>
      <c r="T2610" s="77">
        <v>0</v>
      </c>
      <c r="U2610" s="77">
        <v>0</v>
      </c>
      <c r="V2610" s="77">
        <v>521</v>
      </c>
      <c r="W2610" s="82" t="s">
        <v>4833</v>
      </c>
      <c r="X2610" s="80" t="str">
        <f>HYPERLINK("https://einvestidor.estadao.com.br/ultimas/mercado-bitcoin-token-kanna/?utm_source=twitter&amp;utm_medium=organic&amp;utm_campaign=&amp;utm_content=materia")</f>
        <v>https://einvestidor.estadao.com.br/ultimas/mercado-bitcoin-token-kanna/?utm_source=twitter&amp;utm_medium=organic&amp;utm_campaign=&amp;utm_content=materia</v>
      </c>
      <c r="Y2610" s="77" t="s">
        <v>6470</v>
      </c>
      <c r="Z2610" s="77"/>
      <c r="AA2610" s="77"/>
      <c r="AB2610" s="77"/>
      <c r="AC2610" s="82" t="s">
        <v>7750</v>
      </c>
      <c r="AD2610" s="77" t="s">
        <v>7788</v>
      </c>
      <c r="AE2610" s="80" t="str">
        <f>HYPERLINK("https://twitter.com/einvestidor/status/1702091032760881245")</f>
        <v>https://twitter.com/einvestidor/status/1702091032760881245</v>
      </c>
      <c r="AF2610" s="79">
        <v>45182.947916666664</v>
      </c>
      <c r="AG2610" s="85">
        <v>45182</v>
      </c>
      <c r="AH2610" s="82" t="s">
        <v>9595</v>
      </c>
      <c r="AI2610" s="77" t="b">
        <v>0</v>
      </c>
      <c r="AJ2610" s="77"/>
      <c r="AK2610" s="77"/>
      <c r="AL2610" s="77"/>
      <c r="AM2610" s="77"/>
      <c r="AN2610" s="77"/>
      <c r="AO2610" s="77"/>
      <c r="AP2610" s="77"/>
      <c r="AQ2610" s="77"/>
      <c r="AR2610" s="77"/>
      <c r="AS2610" s="77"/>
      <c r="AT2610" s="77"/>
      <c r="AU2610" s="77"/>
      <c r="AV2610" s="80" t="str">
        <f>HYPERLINK("https://pbs.twimg.com/profile_images/1241147984924082183/gZgx_hL-_normal.jpg")</f>
        <v>https://pbs.twimg.com/profile_images/1241147984924082183/gZgx_hL-_normal.jpg</v>
      </c>
      <c r="AW2610" s="82" t="s">
        <v>14206</v>
      </c>
      <c r="AX2610" s="82" t="s">
        <v>14206</v>
      </c>
      <c r="AY2610" s="77"/>
      <c r="AZ2610" s="82" t="s">
        <v>15984</v>
      </c>
      <c r="BA2610" s="82" t="s">
        <v>15984</v>
      </c>
      <c r="BB2610" s="82" t="s">
        <v>15984</v>
      </c>
      <c r="BC2610" s="82" t="s">
        <v>14206</v>
      </c>
      <c r="BD2610" s="82" t="s">
        <v>15979</v>
      </c>
      <c r="BE2610" s="77"/>
      <c r="BF2610" s="77"/>
      <c r="BG2610" s="77"/>
      <c r="BH2610" s="77"/>
      <c r="BI2610" s="77"/>
    </row>
    <row r="2611" spans="1:61" x14ac:dyDescent="0.25">
      <c r="A2611" s="62" t="s">
        <v>387</v>
      </c>
      <c r="B2611" s="62" t="s">
        <v>387</v>
      </c>
      <c r="C2611" s="63"/>
      <c r="D2611" s="64"/>
      <c r="E2611" s="65"/>
      <c r="F2611" s="66"/>
      <c r="G2611" s="63"/>
      <c r="H2611" s="67"/>
      <c r="I2611" s="68"/>
      <c r="J2611" s="68"/>
      <c r="K2611" s="32"/>
      <c r="L2611" s="75">
        <v>2611</v>
      </c>
      <c r="M2611" s="75"/>
      <c r="N2611" s="70"/>
      <c r="O2611" s="77" t="s">
        <v>179</v>
      </c>
      <c r="P2611" s="79">
        <v>45181.857905092591</v>
      </c>
      <c r="Q2611" s="77" t="s">
        <v>3283</v>
      </c>
      <c r="R2611" s="77">
        <v>0</v>
      </c>
      <c r="S2611" s="77">
        <v>3</v>
      </c>
      <c r="T2611" s="77">
        <v>0</v>
      </c>
      <c r="U2611" s="77">
        <v>0</v>
      </c>
      <c r="V2611" s="77">
        <v>436</v>
      </c>
      <c r="W2611" s="82" t="s">
        <v>4833</v>
      </c>
      <c r="X2611" s="80" t="str">
        <f>HYPERLINK("https://einvestidor.estadao.com.br/radar-einvestidor/acoes-country-garden-saltam-apos-comunicado/?utm_source=twitter&amp;utm_medium=organic&amp;utm_campaign=&amp;utm_content=materia")</f>
        <v>https://einvestidor.estadao.com.br/radar-einvestidor/acoes-country-garden-saltam-apos-comunicado/?utm_source=twitter&amp;utm_medium=organic&amp;utm_campaign=&amp;utm_content=materia</v>
      </c>
      <c r="Y2611" s="77" t="s">
        <v>6470</v>
      </c>
      <c r="Z2611" s="77"/>
      <c r="AA2611" s="77"/>
      <c r="AB2611" s="77"/>
      <c r="AC2611" s="82" t="s">
        <v>7750</v>
      </c>
      <c r="AD2611" s="77" t="s">
        <v>7788</v>
      </c>
      <c r="AE2611" s="80" t="str">
        <f>HYPERLINK("https://twitter.com/einvestidor/status/1701696027911192872")</f>
        <v>https://twitter.com/einvestidor/status/1701696027911192872</v>
      </c>
      <c r="AF2611" s="79">
        <v>45181.857905092591</v>
      </c>
      <c r="AG2611" s="85">
        <v>45181</v>
      </c>
      <c r="AH2611" s="82" t="s">
        <v>9784</v>
      </c>
      <c r="AI2611" s="77" t="b">
        <v>0</v>
      </c>
      <c r="AJ2611" s="77"/>
      <c r="AK2611" s="77"/>
      <c r="AL2611" s="77"/>
      <c r="AM2611" s="77"/>
      <c r="AN2611" s="77"/>
      <c r="AO2611" s="77"/>
      <c r="AP2611" s="77"/>
      <c r="AQ2611" s="77"/>
      <c r="AR2611" s="77"/>
      <c r="AS2611" s="77"/>
      <c r="AT2611" s="77"/>
      <c r="AU2611" s="77"/>
      <c r="AV2611" s="80" t="str">
        <f>HYPERLINK("https://pbs.twimg.com/profile_images/1241147984924082183/gZgx_hL-_normal.jpg")</f>
        <v>https://pbs.twimg.com/profile_images/1241147984924082183/gZgx_hL-_normal.jpg</v>
      </c>
      <c r="AW2611" s="82" t="s">
        <v>14207</v>
      </c>
      <c r="AX2611" s="82" t="s">
        <v>14207</v>
      </c>
      <c r="AY2611" s="77"/>
      <c r="AZ2611" s="82" t="s">
        <v>15984</v>
      </c>
      <c r="BA2611" s="82" t="s">
        <v>15984</v>
      </c>
      <c r="BB2611" s="82" t="s">
        <v>15984</v>
      </c>
      <c r="BC2611" s="82" t="s">
        <v>14207</v>
      </c>
      <c r="BD2611" s="82" t="s">
        <v>15979</v>
      </c>
      <c r="BE2611" s="77"/>
      <c r="BF2611" s="77"/>
      <c r="BG2611" s="77"/>
      <c r="BH2611" s="77"/>
      <c r="BI2611" s="77"/>
    </row>
    <row r="2612" spans="1:61" x14ac:dyDescent="0.25">
      <c r="A2612" s="62" t="s">
        <v>387</v>
      </c>
      <c r="B2612" s="62" t="s">
        <v>387</v>
      </c>
      <c r="C2612" s="63"/>
      <c r="D2612" s="64"/>
      <c r="E2612" s="65"/>
      <c r="F2612" s="66"/>
      <c r="G2612" s="63"/>
      <c r="H2612" s="67"/>
      <c r="I2612" s="68"/>
      <c r="J2612" s="68"/>
      <c r="K2612" s="32"/>
      <c r="L2612" s="75">
        <v>2612</v>
      </c>
      <c r="M2612" s="75"/>
      <c r="N2612" s="70"/>
      <c r="O2612" s="77" t="s">
        <v>179</v>
      </c>
      <c r="P2612" s="79">
        <v>45181.854166666664</v>
      </c>
      <c r="Q2612" s="77" t="s">
        <v>3284</v>
      </c>
      <c r="R2612" s="77">
        <v>0</v>
      </c>
      <c r="S2612" s="77">
        <v>1</v>
      </c>
      <c r="T2612" s="77">
        <v>0</v>
      </c>
      <c r="U2612" s="77">
        <v>0</v>
      </c>
      <c r="V2612" s="77">
        <v>451</v>
      </c>
      <c r="W2612" s="82" t="s">
        <v>6056</v>
      </c>
      <c r="X2612" s="80" t="str">
        <f>HYPERLINK("https://einvestidor.estadao.com.br/ultimas/itau-bba-avalia-parceria-oncoclinicas-unimed//?utm_source=twitter&amp;utm_medium=organic&amp;utm_campaign=&amp;utm_content=materia")</f>
        <v>https://einvestidor.estadao.com.br/ultimas/itau-bba-avalia-parceria-oncoclinicas-unimed//?utm_source=twitter&amp;utm_medium=organic&amp;utm_campaign=&amp;utm_content=materia</v>
      </c>
      <c r="Y2612" s="77" t="s">
        <v>6470</v>
      </c>
      <c r="Z2612" s="77"/>
      <c r="AA2612" s="77"/>
      <c r="AB2612" s="77"/>
      <c r="AC2612" s="82" t="s">
        <v>7750</v>
      </c>
      <c r="AD2612" s="77" t="s">
        <v>7788</v>
      </c>
      <c r="AE2612" s="80" t="str">
        <f>HYPERLINK("https://twitter.com/einvestidor/status/1701694670974173645")</f>
        <v>https://twitter.com/einvestidor/status/1701694670974173645</v>
      </c>
      <c r="AF2612" s="79">
        <v>45181.854166666664</v>
      </c>
      <c r="AG2612" s="85">
        <v>45181</v>
      </c>
      <c r="AH2612" s="82" t="s">
        <v>8090</v>
      </c>
      <c r="AI2612" s="77" t="b">
        <v>0</v>
      </c>
      <c r="AJ2612" s="77"/>
      <c r="AK2612" s="77"/>
      <c r="AL2612" s="77"/>
      <c r="AM2612" s="77"/>
      <c r="AN2612" s="77"/>
      <c r="AO2612" s="77"/>
      <c r="AP2612" s="77"/>
      <c r="AQ2612" s="77"/>
      <c r="AR2612" s="77"/>
      <c r="AS2612" s="77"/>
      <c r="AT2612" s="77"/>
      <c r="AU2612" s="77"/>
      <c r="AV2612" s="80" t="str">
        <f>HYPERLINK("https://pbs.twimg.com/profile_images/1241147984924082183/gZgx_hL-_normal.jpg")</f>
        <v>https://pbs.twimg.com/profile_images/1241147984924082183/gZgx_hL-_normal.jpg</v>
      </c>
      <c r="AW2612" s="82" t="s">
        <v>14208</v>
      </c>
      <c r="AX2612" s="82" t="s">
        <v>14208</v>
      </c>
      <c r="AY2612" s="77"/>
      <c r="AZ2612" s="82" t="s">
        <v>15984</v>
      </c>
      <c r="BA2612" s="82" t="s">
        <v>15984</v>
      </c>
      <c r="BB2612" s="82" t="s">
        <v>15984</v>
      </c>
      <c r="BC2612" s="82" t="s">
        <v>14208</v>
      </c>
      <c r="BD2612" s="82" t="s">
        <v>15979</v>
      </c>
      <c r="BE2612" s="77"/>
      <c r="BF2612" s="77"/>
      <c r="BG2612" s="77"/>
      <c r="BH2612" s="77"/>
      <c r="BI2612" s="77"/>
    </row>
    <row r="2613" spans="1:61" x14ac:dyDescent="0.25">
      <c r="A2613" s="62" t="s">
        <v>387</v>
      </c>
      <c r="B2613" s="62" t="s">
        <v>387</v>
      </c>
      <c r="C2613" s="63"/>
      <c r="D2613" s="64"/>
      <c r="E2613" s="65"/>
      <c r="F2613" s="66"/>
      <c r="G2613" s="63"/>
      <c r="H2613" s="67"/>
      <c r="I2613" s="68"/>
      <c r="J2613" s="68"/>
      <c r="K2613" s="32"/>
      <c r="L2613" s="75">
        <v>2613</v>
      </c>
      <c r="M2613" s="75"/>
      <c r="N2613" s="70"/>
      <c r="O2613" s="77" t="s">
        <v>179</v>
      </c>
      <c r="P2613" s="79">
        <v>45181.739583333336</v>
      </c>
      <c r="Q2613" s="77" t="s">
        <v>3285</v>
      </c>
      <c r="R2613" s="77">
        <v>0</v>
      </c>
      <c r="S2613" s="77">
        <v>0</v>
      </c>
      <c r="T2613" s="77">
        <v>0</v>
      </c>
      <c r="U2613" s="77">
        <v>0</v>
      </c>
      <c r="V2613" s="77">
        <v>470</v>
      </c>
      <c r="W2613" s="82" t="s">
        <v>4833</v>
      </c>
      <c r="X2613" s="77"/>
      <c r="Y2613" s="77"/>
      <c r="Z2613" s="77"/>
      <c r="AA2613" s="77"/>
      <c r="AB2613" s="77"/>
      <c r="AC2613" s="82" t="s">
        <v>7750</v>
      </c>
      <c r="AD2613" s="77" t="s">
        <v>7788</v>
      </c>
      <c r="AE2613" s="80" t="str">
        <f>HYPERLINK("https://twitter.com/einvestidor/status/1701653147528356065")</f>
        <v>https://twitter.com/einvestidor/status/1701653147528356065</v>
      </c>
      <c r="AF2613" s="79">
        <v>45181.739583333336</v>
      </c>
      <c r="AG2613" s="85">
        <v>45181</v>
      </c>
      <c r="AH2613" s="82" t="s">
        <v>9626</v>
      </c>
      <c r="AI2613" s="77"/>
      <c r="AJ2613" s="77"/>
      <c r="AK2613" s="77"/>
      <c r="AL2613" s="77"/>
      <c r="AM2613" s="77"/>
      <c r="AN2613" s="77"/>
      <c r="AO2613" s="77"/>
      <c r="AP2613" s="77"/>
      <c r="AQ2613" s="77"/>
      <c r="AR2613" s="77"/>
      <c r="AS2613" s="77"/>
      <c r="AT2613" s="77"/>
      <c r="AU2613" s="77"/>
      <c r="AV2613" s="80" t="str">
        <f>HYPERLINK("https://pbs.twimg.com/profile_images/1241147984924082183/gZgx_hL-_normal.jpg")</f>
        <v>https://pbs.twimg.com/profile_images/1241147984924082183/gZgx_hL-_normal.jpg</v>
      </c>
      <c r="AW2613" s="82" t="s">
        <v>14209</v>
      </c>
      <c r="AX2613" s="82" t="s">
        <v>14209</v>
      </c>
      <c r="AY2613" s="77"/>
      <c r="AZ2613" s="82" t="s">
        <v>15984</v>
      </c>
      <c r="BA2613" s="82" t="s">
        <v>15984</v>
      </c>
      <c r="BB2613" s="82" t="s">
        <v>15984</v>
      </c>
      <c r="BC2613" s="82" t="s">
        <v>14209</v>
      </c>
      <c r="BD2613" s="82" t="s">
        <v>15979</v>
      </c>
      <c r="BE2613" s="77"/>
      <c r="BF2613" s="77"/>
      <c r="BG2613" s="77"/>
      <c r="BH2613" s="77"/>
      <c r="BI2613" s="77"/>
    </row>
    <row r="2614" spans="1:61" x14ac:dyDescent="0.25">
      <c r="A2614" s="62" t="s">
        <v>387</v>
      </c>
      <c r="B2614" s="62" t="s">
        <v>387</v>
      </c>
      <c r="C2614" s="63"/>
      <c r="D2614" s="64"/>
      <c r="E2614" s="65"/>
      <c r="F2614" s="66"/>
      <c r="G2614" s="63"/>
      <c r="H2614" s="67"/>
      <c r="I2614" s="68"/>
      <c r="J2614" s="68"/>
      <c r="K2614" s="32"/>
      <c r="L2614" s="75">
        <v>2614</v>
      </c>
      <c r="M2614" s="75"/>
      <c r="N2614" s="70"/>
      <c r="O2614" s="77" t="s">
        <v>179</v>
      </c>
      <c r="P2614" s="79">
        <v>45181.729166666664</v>
      </c>
      <c r="Q2614" s="77" t="s">
        <v>3286</v>
      </c>
      <c r="R2614" s="77">
        <v>0</v>
      </c>
      <c r="S2614" s="77">
        <v>0</v>
      </c>
      <c r="T2614" s="77">
        <v>0</v>
      </c>
      <c r="U2614" s="77">
        <v>0</v>
      </c>
      <c r="V2614" s="77">
        <v>346</v>
      </c>
      <c r="W2614" s="82" t="s">
        <v>4833</v>
      </c>
      <c r="X2614" s="80" t="str">
        <f>HYPERLINK("https://einvestidor.estadao.com.br/educacao-financeira/icms-o-que-e-mudancas-apos-reforma-tributaria/?utm_source=twitter&amp;utm_medium=organic&amp;utm_campaign=&amp;utm_content=materia")</f>
        <v>https://einvestidor.estadao.com.br/educacao-financeira/icms-o-que-e-mudancas-apos-reforma-tributaria/?utm_source=twitter&amp;utm_medium=organic&amp;utm_campaign=&amp;utm_content=materia</v>
      </c>
      <c r="Y2614" s="77" t="s">
        <v>6470</v>
      </c>
      <c r="Z2614" s="77"/>
      <c r="AA2614" s="77"/>
      <c r="AB2614" s="77"/>
      <c r="AC2614" s="82" t="s">
        <v>7750</v>
      </c>
      <c r="AD2614" s="77" t="s">
        <v>7788</v>
      </c>
      <c r="AE2614" s="80" t="str">
        <f>HYPERLINK("https://twitter.com/einvestidor/status/1701649374357631140")</f>
        <v>https://twitter.com/einvestidor/status/1701649374357631140</v>
      </c>
      <c r="AF2614" s="79">
        <v>45181.729166666664</v>
      </c>
      <c r="AG2614" s="85">
        <v>45181</v>
      </c>
      <c r="AH2614" s="82" t="s">
        <v>8091</v>
      </c>
      <c r="AI2614" s="77" t="b">
        <v>0</v>
      </c>
      <c r="AJ2614" s="77"/>
      <c r="AK2614" s="77"/>
      <c r="AL2614" s="77"/>
      <c r="AM2614" s="77"/>
      <c r="AN2614" s="77"/>
      <c r="AO2614" s="77"/>
      <c r="AP2614" s="77"/>
      <c r="AQ2614" s="77"/>
      <c r="AR2614" s="77"/>
      <c r="AS2614" s="77"/>
      <c r="AT2614" s="77"/>
      <c r="AU2614" s="77"/>
      <c r="AV2614" s="80" t="str">
        <f>HYPERLINK("https://pbs.twimg.com/profile_images/1241147984924082183/gZgx_hL-_normal.jpg")</f>
        <v>https://pbs.twimg.com/profile_images/1241147984924082183/gZgx_hL-_normal.jpg</v>
      </c>
      <c r="AW2614" s="82" t="s">
        <v>14210</v>
      </c>
      <c r="AX2614" s="82" t="s">
        <v>14210</v>
      </c>
      <c r="AY2614" s="77"/>
      <c r="AZ2614" s="82" t="s">
        <v>15984</v>
      </c>
      <c r="BA2614" s="82" t="s">
        <v>15984</v>
      </c>
      <c r="BB2614" s="82" t="s">
        <v>15984</v>
      </c>
      <c r="BC2614" s="82" t="s">
        <v>14210</v>
      </c>
      <c r="BD2614" s="82" t="s">
        <v>15979</v>
      </c>
      <c r="BE2614" s="77"/>
      <c r="BF2614" s="77"/>
      <c r="BG2614" s="77"/>
      <c r="BH2614" s="77"/>
      <c r="BI2614" s="77"/>
    </row>
    <row r="2615" spans="1:61" x14ac:dyDescent="0.25">
      <c r="A2615" s="62" t="s">
        <v>387</v>
      </c>
      <c r="B2615" s="62" t="s">
        <v>387</v>
      </c>
      <c r="C2615" s="63"/>
      <c r="D2615" s="64"/>
      <c r="E2615" s="65"/>
      <c r="F2615" s="66"/>
      <c r="G2615" s="63"/>
      <c r="H2615" s="67"/>
      <c r="I2615" s="68"/>
      <c r="J2615" s="68"/>
      <c r="K2615" s="32"/>
      <c r="L2615" s="75">
        <v>2615</v>
      </c>
      <c r="M2615" s="75"/>
      <c r="N2615" s="70"/>
      <c r="O2615" s="77" t="s">
        <v>179</v>
      </c>
      <c r="P2615" s="79">
        <v>45180.723275462966</v>
      </c>
      <c r="Q2615" s="77" t="s">
        <v>3287</v>
      </c>
      <c r="R2615" s="77">
        <v>1</v>
      </c>
      <c r="S2615" s="77">
        <v>2</v>
      </c>
      <c r="T2615" s="77">
        <v>0</v>
      </c>
      <c r="U2615" s="77">
        <v>0</v>
      </c>
      <c r="V2615" s="77">
        <v>783</v>
      </c>
      <c r="W2615" s="82" t="s">
        <v>4833</v>
      </c>
      <c r="X2615" s="80" t="str">
        <f>HYPERLINK("https://einvestidor.estadao.com.br/mercado/mercado-intraday-11-09-2023/?utm_source=twitter&amp;utm_medium=organic&amp;utm_campaign=&amp;utm_content=materia")</f>
        <v>https://einvestidor.estadao.com.br/mercado/mercado-intraday-11-09-2023/?utm_source=twitter&amp;utm_medium=organic&amp;utm_campaign=&amp;utm_content=materia</v>
      </c>
      <c r="Y2615" s="77" t="s">
        <v>6470</v>
      </c>
      <c r="Z2615" s="77"/>
      <c r="AA2615" s="77"/>
      <c r="AB2615" s="77"/>
      <c r="AC2615" s="82" t="s">
        <v>7750</v>
      </c>
      <c r="AD2615" s="77" t="s">
        <v>7788</v>
      </c>
      <c r="AE2615" s="80" t="str">
        <f>HYPERLINK("https://twitter.com/einvestidor/status/1701284851310051354")</f>
        <v>https://twitter.com/einvestidor/status/1701284851310051354</v>
      </c>
      <c r="AF2615" s="79">
        <v>45180.723275462966</v>
      </c>
      <c r="AG2615" s="85">
        <v>45180</v>
      </c>
      <c r="AH2615" s="82" t="s">
        <v>9785</v>
      </c>
      <c r="AI2615" s="77" t="b">
        <v>0</v>
      </c>
      <c r="AJ2615" s="77"/>
      <c r="AK2615" s="77"/>
      <c r="AL2615" s="77"/>
      <c r="AM2615" s="77"/>
      <c r="AN2615" s="77"/>
      <c r="AO2615" s="77"/>
      <c r="AP2615" s="77"/>
      <c r="AQ2615" s="77"/>
      <c r="AR2615" s="77"/>
      <c r="AS2615" s="77"/>
      <c r="AT2615" s="77"/>
      <c r="AU2615" s="77"/>
      <c r="AV2615" s="80" t="str">
        <f>HYPERLINK("https://pbs.twimg.com/profile_images/1241147984924082183/gZgx_hL-_normal.jpg")</f>
        <v>https://pbs.twimg.com/profile_images/1241147984924082183/gZgx_hL-_normal.jpg</v>
      </c>
      <c r="AW2615" s="82" t="s">
        <v>14211</v>
      </c>
      <c r="AX2615" s="82" t="s">
        <v>14211</v>
      </c>
      <c r="AY2615" s="77"/>
      <c r="AZ2615" s="82" t="s">
        <v>15984</v>
      </c>
      <c r="BA2615" s="82" t="s">
        <v>15984</v>
      </c>
      <c r="BB2615" s="82" t="s">
        <v>15984</v>
      </c>
      <c r="BC2615" s="82" t="s">
        <v>14211</v>
      </c>
      <c r="BD2615" s="82" t="s">
        <v>15979</v>
      </c>
      <c r="BE2615" s="77"/>
      <c r="BF2615" s="77"/>
      <c r="BG2615" s="77"/>
      <c r="BH2615" s="77"/>
      <c r="BI2615" s="77"/>
    </row>
    <row r="2616" spans="1:61" x14ac:dyDescent="0.25">
      <c r="A2616" s="62" t="s">
        <v>387</v>
      </c>
      <c r="B2616" s="62" t="s">
        <v>387</v>
      </c>
      <c r="C2616" s="63"/>
      <c r="D2616" s="64"/>
      <c r="E2616" s="65"/>
      <c r="F2616" s="66"/>
      <c r="G2616" s="63"/>
      <c r="H2616" s="67"/>
      <c r="I2616" s="68"/>
      <c r="J2616" s="68"/>
      <c r="K2616" s="32"/>
      <c r="L2616" s="75">
        <v>2616</v>
      </c>
      <c r="M2616" s="75"/>
      <c r="N2616" s="70"/>
      <c r="O2616" s="77" t="s">
        <v>179</v>
      </c>
      <c r="P2616" s="79">
        <v>45175.724456018521</v>
      </c>
      <c r="Q2616" s="77" t="s">
        <v>3288</v>
      </c>
      <c r="R2616" s="77">
        <v>0</v>
      </c>
      <c r="S2616" s="77">
        <v>4</v>
      </c>
      <c r="T2616" s="77">
        <v>0</v>
      </c>
      <c r="U2616" s="77">
        <v>0</v>
      </c>
      <c r="V2616" s="77">
        <v>462</v>
      </c>
      <c r="W2616" s="82" t="s">
        <v>4833</v>
      </c>
      <c r="X2616" s="80" t="str">
        <f>HYPERLINK("https://einvestidor.estadao.com.br/mercado/mercado-intraday-06-09-2023/?utm_source=twitter&amp;utm_medium=organic&amp;utm_campaign=&amp;utm_content=materia")</f>
        <v>https://einvestidor.estadao.com.br/mercado/mercado-intraday-06-09-2023/?utm_source=twitter&amp;utm_medium=organic&amp;utm_campaign=&amp;utm_content=materia</v>
      </c>
      <c r="Y2616" s="77" t="s">
        <v>6470</v>
      </c>
      <c r="Z2616" s="77"/>
      <c r="AA2616" s="77"/>
      <c r="AB2616" s="77"/>
      <c r="AC2616" s="82" t="s">
        <v>7750</v>
      </c>
      <c r="AD2616" s="77" t="s">
        <v>7788</v>
      </c>
      <c r="AE2616" s="80" t="str">
        <f>HYPERLINK("https://twitter.com/einvestidor/status/1699473340832817243")</f>
        <v>https://twitter.com/einvestidor/status/1699473340832817243</v>
      </c>
      <c r="AF2616" s="79">
        <v>45175.724456018521</v>
      </c>
      <c r="AG2616" s="85">
        <v>45175</v>
      </c>
      <c r="AH2616" s="82" t="s">
        <v>9786</v>
      </c>
      <c r="AI2616" s="77" t="b">
        <v>0</v>
      </c>
      <c r="AJ2616" s="77"/>
      <c r="AK2616" s="77"/>
      <c r="AL2616" s="77"/>
      <c r="AM2616" s="77"/>
      <c r="AN2616" s="77"/>
      <c r="AO2616" s="77"/>
      <c r="AP2616" s="77"/>
      <c r="AQ2616" s="77"/>
      <c r="AR2616" s="77"/>
      <c r="AS2616" s="77"/>
      <c r="AT2616" s="77"/>
      <c r="AU2616" s="77"/>
      <c r="AV2616" s="80" t="str">
        <f>HYPERLINK("https://pbs.twimg.com/profile_images/1241147984924082183/gZgx_hL-_normal.jpg")</f>
        <v>https://pbs.twimg.com/profile_images/1241147984924082183/gZgx_hL-_normal.jpg</v>
      </c>
      <c r="AW2616" s="82" t="s">
        <v>14212</v>
      </c>
      <c r="AX2616" s="82" t="s">
        <v>14212</v>
      </c>
      <c r="AY2616" s="77"/>
      <c r="AZ2616" s="82" t="s">
        <v>15984</v>
      </c>
      <c r="BA2616" s="82" t="s">
        <v>15984</v>
      </c>
      <c r="BB2616" s="82" t="s">
        <v>15984</v>
      </c>
      <c r="BC2616" s="82" t="s">
        <v>14212</v>
      </c>
      <c r="BD2616" s="82" t="s">
        <v>15979</v>
      </c>
      <c r="BE2616" s="77"/>
      <c r="BF2616" s="77"/>
      <c r="BG2616" s="77"/>
      <c r="BH2616" s="77"/>
      <c r="BI2616" s="77"/>
    </row>
    <row r="2617" spans="1:61" x14ac:dyDescent="0.25">
      <c r="A2617" s="62" t="s">
        <v>387</v>
      </c>
      <c r="B2617" s="62" t="s">
        <v>387</v>
      </c>
      <c r="C2617" s="63"/>
      <c r="D2617" s="64"/>
      <c r="E2617" s="65"/>
      <c r="F2617" s="66"/>
      <c r="G2617" s="63"/>
      <c r="H2617" s="67"/>
      <c r="I2617" s="68"/>
      <c r="J2617" s="68"/>
      <c r="K2617" s="32"/>
      <c r="L2617" s="75">
        <v>2617</v>
      </c>
      <c r="M2617" s="75"/>
      <c r="N2617" s="70"/>
      <c r="O2617" s="77" t="s">
        <v>179</v>
      </c>
      <c r="P2617" s="79">
        <v>45169.481215277781</v>
      </c>
      <c r="Q2617" s="77" t="s">
        <v>3289</v>
      </c>
      <c r="R2617" s="77">
        <v>0</v>
      </c>
      <c r="S2617" s="77">
        <v>0</v>
      </c>
      <c r="T2617" s="77">
        <v>0</v>
      </c>
      <c r="U2617" s="77">
        <v>0</v>
      </c>
      <c r="V2617" s="77">
        <v>500</v>
      </c>
      <c r="W2617" s="82" t="s">
        <v>4839</v>
      </c>
      <c r="X2617" s="80" t="str">
        <f>HYPERLINK("https://einvestidor.estadao.com.br/mercado/mercado-hoje-pnad-inflacao-eua-orcamento-2024-fed-bce/?utm_source=twitter&amp;utm_medium=organic&amp;utm_campaign=mercado-hoje&amp;utm_content=materia")</f>
        <v>https://einvestidor.estadao.com.br/mercado/mercado-hoje-pnad-inflacao-eua-orcamento-2024-fed-bce/?utm_source=twitter&amp;utm_medium=organic&amp;utm_campaign=mercado-hoje&amp;utm_content=materia</v>
      </c>
      <c r="Y2617" s="77" t="s">
        <v>6470</v>
      </c>
      <c r="Z2617" s="77"/>
      <c r="AA2617" s="77"/>
      <c r="AB2617" s="77"/>
      <c r="AC2617" s="82" t="s">
        <v>7750</v>
      </c>
      <c r="AD2617" s="77" t="s">
        <v>7788</v>
      </c>
      <c r="AE2617" s="80" t="str">
        <f>HYPERLINK("https://twitter.com/einvestidor/status/1697210865521467640")</f>
        <v>https://twitter.com/einvestidor/status/1697210865521467640</v>
      </c>
      <c r="AF2617" s="79">
        <v>45169.481215277781</v>
      </c>
      <c r="AG2617" s="85">
        <v>45169</v>
      </c>
      <c r="AH2617" s="82" t="s">
        <v>9787</v>
      </c>
      <c r="AI2617" s="77" t="b">
        <v>0</v>
      </c>
      <c r="AJ2617" s="77"/>
      <c r="AK2617" s="77"/>
      <c r="AL2617" s="77"/>
      <c r="AM2617" s="77"/>
      <c r="AN2617" s="77"/>
      <c r="AO2617" s="77"/>
      <c r="AP2617" s="77"/>
      <c r="AQ2617" s="77"/>
      <c r="AR2617" s="77"/>
      <c r="AS2617" s="77"/>
      <c r="AT2617" s="77"/>
      <c r="AU2617" s="77"/>
      <c r="AV2617" s="80" t="str">
        <f>HYPERLINK("https://pbs.twimg.com/profile_images/1241147984924082183/gZgx_hL-_normal.jpg")</f>
        <v>https://pbs.twimg.com/profile_images/1241147984924082183/gZgx_hL-_normal.jpg</v>
      </c>
      <c r="AW2617" s="82" t="s">
        <v>14213</v>
      </c>
      <c r="AX2617" s="82" t="s">
        <v>14213</v>
      </c>
      <c r="AY2617" s="77"/>
      <c r="AZ2617" s="82" t="s">
        <v>15984</v>
      </c>
      <c r="BA2617" s="82" t="s">
        <v>15984</v>
      </c>
      <c r="BB2617" s="82" t="s">
        <v>15984</v>
      </c>
      <c r="BC2617" s="82" t="s">
        <v>14213</v>
      </c>
      <c r="BD2617" s="82" t="s">
        <v>15979</v>
      </c>
      <c r="BE2617" s="77"/>
      <c r="BF2617" s="77"/>
      <c r="BG2617" s="77"/>
      <c r="BH2617" s="77"/>
      <c r="BI2617" s="77"/>
    </row>
    <row r="2618" spans="1:61" x14ac:dyDescent="0.25">
      <c r="A2618" s="62" t="s">
        <v>387</v>
      </c>
      <c r="B2618" s="62" t="s">
        <v>387</v>
      </c>
      <c r="C2618" s="63"/>
      <c r="D2618" s="64"/>
      <c r="E2618" s="65"/>
      <c r="F2618" s="66"/>
      <c r="G2618" s="63"/>
      <c r="H2618" s="67"/>
      <c r="I2618" s="68"/>
      <c r="J2618" s="68"/>
      <c r="K2618" s="32"/>
      <c r="L2618" s="75">
        <v>2618</v>
      </c>
      <c r="M2618" s="75"/>
      <c r="N2618" s="70"/>
      <c r="O2618" s="77" t="s">
        <v>179</v>
      </c>
      <c r="P2618" s="79">
        <v>45166.499236111114</v>
      </c>
      <c r="Q2618" s="77" t="s">
        <v>3290</v>
      </c>
      <c r="R2618" s="77">
        <v>2</v>
      </c>
      <c r="S2618" s="77">
        <v>5</v>
      </c>
      <c r="T2618" s="77">
        <v>0</v>
      </c>
      <c r="U2618" s="77">
        <v>0</v>
      </c>
      <c r="V2618" s="77">
        <v>892</v>
      </c>
      <c r="W2618" s="82" t="s">
        <v>4833</v>
      </c>
      <c r="X2618" s="80" t="str">
        <f>HYPERLINK("https://einvestidor.estadao.com.br/mercado/mercado-hoje-china-folega-payroll-eua-agenda-politica-brasil/?utm_source=twitter&amp;utm_medium=organic&amp;utm_campaign=mercado-hoje&amp;utm_content=materia")</f>
        <v>https://einvestidor.estadao.com.br/mercado/mercado-hoje-china-folega-payroll-eua-agenda-politica-brasil/?utm_source=twitter&amp;utm_medium=organic&amp;utm_campaign=mercado-hoje&amp;utm_content=materia</v>
      </c>
      <c r="Y2618" s="77" t="s">
        <v>6470</v>
      </c>
      <c r="Z2618" s="77"/>
      <c r="AA2618" s="77"/>
      <c r="AB2618" s="77"/>
      <c r="AC2618" s="82" t="s">
        <v>7750</v>
      </c>
      <c r="AD2618" s="77" t="s">
        <v>7788</v>
      </c>
      <c r="AE2618" s="80" t="str">
        <f>HYPERLINK("https://twitter.com/einvestidor/status/1696130233592676386")</f>
        <v>https://twitter.com/einvestidor/status/1696130233592676386</v>
      </c>
      <c r="AF2618" s="79">
        <v>45166.499236111114</v>
      </c>
      <c r="AG2618" s="85">
        <v>45166</v>
      </c>
      <c r="AH2618" s="82" t="s">
        <v>9788</v>
      </c>
      <c r="AI2618" s="77" t="b">
        <v>0</v>
      </c>
      <c r="AJ2618" s="77"/>
      <c r="AK2618" s="77"/>
      <c r="AL2618" s="77"/>
      <c r="AM2618" s="77"/>
      <c r="AN2618" s="77"/>
      <c r="AO2618" s="77"/>
      <c r="AP2618" s="77"/>
      <c r="AQ2618" s="77"/>
      <c r="AR2618" s="77"/>
      <c r="AS2618" s="77"/>
      <c r="AT2618" s="77"/>
      <c r="AU2618" s="77"/>
      <c r="AV2618" s="80" t="str">
        <f>HYPERLINK("https://pbs.twimg.com/profile_images/1241147984924082183/gZgx_hL-_normal.jpg")</f>
        <v>https://pbs.twimg.com/profile_images/1241147984924082183/gZgx_hL-_normal.jpg</v>
      </c>
      <c r="AW2618" s="82" t="s">
        <v>14214</v>
      </c>
      <c r="AX2618" s="82" t="s">
        <v>14214</v>
      </c>
      <c r="AY2618" s="77"/>
      <c r="AZ2618" s="82" t="s">
        <v>15984</v>
      </c>
      <c r="BA2618" s="82" t="s">
        <v>15984</v>
      </c>
      <c r="BB2618" s="82" t="s">
        <v>15984</v>
      </c>
      <c r="BC2618" s="82" t="s">
        <v>14214</v>
      </c>
      <c r="BD2618" s="82" t="s">
        <v>15979</v>
      </c>
      <c r="BE2618" s="77"/>
      <c r="BF2618" s="77"/>
      <c r="BG2618" s="77"/>
      <c r="BH2618" s="77"/>
      <c r="BI2618" s="77"/>
    </row>
    <row r="2619" spans="1:61" x14ac:dyDescent="0.25">
      <c r="A2619" s="62" t="s">
        <v>387</v>
      </c>
      <c r="B2619" s="62" t="s">
        <v>387</v>
      </c>
      <c r="C2619" s="63"/>
      <c r="D2619" s="64"/>
      <c r="E2619" s="65"/>
      <c r="F2619" s="66"/>
      <c r="G2619" s="63"/>
      <c r="H2619" s="67"/>
      <c r="I2619" s="68"/>
      <c r="J2619" s="68"/>
      <c r="K2619" s="32"/>
      <c r="L2619" s="75">
        <v>2619</v>
      </c>
      <c r="M2619" s="75"/>
      <c r="N2619" s="70"/>
      <c r="O2619" s="77" t="s">
        <v>179</v>
      </c>
      <c r="P2619" s="79">
        <v>45156.84375</v>
      </c>
      <c r="Q2619" s="77" t="s">
        <v>3291</v>
      </c>
      <c r="R2619" s="77">
        <v>0</v>
      </c>
      <c r="S2619" s="77">
        <v>0</v>
      </c>
      <c r="T2619" s="77">
        <v>0</v>
      </c>
      <c r="U2619" s="77">
        <v>0</v>
      </c>
      <c r="V2619" s="77">
        <v>581</v>
      </c>
      <c r="W2619" s="82" t="s">
        <v>6057</v>
      </c>
      <c r="X2619" s="80" t="str">
        <f>HYPERLINK("https://mla.bs/de5675e1")</f>
        <v>https://mla.bs/de5675e1</v>
      </c>
      <c r="Y2619" s="77" t="s">
        <v>6506</v>
      </c>
      <c r="Z2619" s="77"/>
      <c r="AA2619" s="77"/>
      <c r="AB2619" s="77"/>
      <c r="AC2619" s="82" t="s">
        <v>7750</v>
      </c>
      <c r="AD2619" s="77" t="s">
        <v>7788</v>
      </c>
      <c r="AE2619" s="80" t="str">
        <f>HYPERLINK("https://twitter.com/einvestidor/status/1692631199565697262")</f>
        <v>https://twitter.com/einvestidor/status/1692631199565697262</v>
      </c>
      <c r="AF2619" s="79">
        <v>45156.84375</v>
      </c>
      <c r="AG2619" s="85">
        <v>45156</v>
      </c>
      <c r="AH2619" s="82" t="s">
        <v>9296</v>
      </c>
      <c r="AI2619" s="77" t="b">
        <v>0</v>
      </c>
      <c r="AJ2619" s="77"/>
      <c r="AK2619" s="77"/>
      <c r="AL2619" s="77"/>
      <c r="AM2619" s="77"/>
      <c r="AN2619" s="77"/>
      <c r="AO2619" s="77"/>
      <c r="AP2619" s="77"/>
      <c r="AQ2619" s="77"/>
      <c r="AR2619" s="77"/>
      <c r="AS2619" s="77"/>
      <c r="AT2619" s="77"/>
      <c r="AU2619" s="77"/>
      <c r="AV2619" s="80" t="str">
        <f>HYPERLINK("https://pbs.twimg.com/profile_images/1241147984924082183/gZgx_hL-_normal.jpg")</f>
        <v>https://pbs.twimg.com/profile_images/1241147984924082183/gZgx_hL-_normal.jpg</v>
      </c>
      <c r="AW2619" s="82" t="s">
        <v>14215</v>
      </c>
      <c r="AX2619" s="82" t="s">
        <v>14215</v>
      </c>
      <c r="AY2619" s="77"/>
      <c r="AZ2619" s="82" t="s">
        <v>15984</v>
      </c>
      <c r="BA2619" s="82" t="s">
        <v>15984</v>
      </c>
      <c r="BB2619" s="82" t="s">
        <v>15984</v>
      </c>
      <c r="BC2619" s="82" t="s">
        <v>14215</v>
      </c>
      <c r="BD2619" s="82" t="s">
        <v>15979</v>
      </c>
      <c r="BE2619" s="77"/>
      <c r="BF2619" s="77"/>
      <c r="BG2619" s="77"/>
      <c r="BH2619" s="77"/>
      <c r="BI2619" s="77"/>
    </row>
    <row r="2620" spans="1:61" x14ac:dyDescent="0.25">
      <c r="A2620" s="62" t="s">
        <v>387</v>
      </c>
      <c r="B2620" s="62" t="s">
        <v>387</v>
      </c>
      <c r="C2620" s="63"/>
      <c r="D2620" s="64"/>
      <c r="E2620" s="65"/>
      <c r="F2620" s="66"/>
      <c r="G2620" s="63"/>
      <c r="H2620" s="67"/>
      <c r="I2620" s="68"/>
      <c r="J2620" s="68"/>
      <c r="K2620" s="32"/>
      <c r="L2620" s="75">
        <v>2620</v>
      </c>
      <c r="M2620" s="75"/>
      <c r="N2620" s="70"/>
      <c r="O2620" s="77" t="s">
        <v>179</v>
      </c>
      <c r="P2620" s="79">
        <v>45156.833333333336</v>
      </c>
      <c r="Q2620" s="77" t="s">
        <v>3292</v>
      </c>
      <c r="R2620" s="77">
        <v>0</v>
      </c>
      <c r="S2620" s="77">
        <v>0</v>
      </c>
      <c r="T2620" s="77">
        <v>0</v>
      </c>
      <c r="U2620" s="77">
        <v>0</v>
      </c>
      <c r="V2620" s="77">
        <v>421</v>
      </c>
      <c r="W2620" s="82" t="s">
        <v>6058</v>
      </c>
      <c r="X2620" s="80" t="str">
        <f>HYPERLINK("https://mla.bs/81c13d8e")</f>
        <v>https://mla.bs/81c13d8e</v>
      </c>
      <c r="Y2620" s="77" t="s">
        <v>6506</v>
      </c>
      <c r="Z2620" s="77"/>
      <c r="AA2620" s="77"/>
      <c r="AB2620" s="77"/>
      <c r="AC2620" s="82" t="s">
        <v>7750</v>
      </c>
      <c r="AD2620" s="77" t="s">
        <v>7788</v>
      </c>
      <c r="AE2620" s="80" t="str">
        <f>HYPERLINK("https://twitter.com/einvestidor/status/1692627427812319386")</f>
        <v>https://twitter.com/einvestidor/status/1692627427812319386</v>
      </c>
      <c r="AF2620" s="79">
        <v>45156.833333333336</v>
      </c>
      <c r="AG2620" s="85">
        <v>45156</v>
      </c>
      <c r="AH2620" s="82" t="s">
        <v>8381</v>
      </c>
      <c r="AI2620" s="77" t="b">
        <v>0</v>
      </c>
      <c r="AJ2620" s="77"/>
      <c r="AK2620" s="77"/>
      <c r="AL2620" s="77"/>
      <c r="AM2620" s="77"/>
      <c r="AN2620" s="77"/>
      <c r="AO2620" s="77"/>
      <c r="AP2620" s="77"/>
      <c r="AQ2620" s="77"/>
      <c r="AR2620" s="77"/>
      <c r="AS2620" s="77"/>
      <c r="AT2620" s="77"/>
      <c r="AU2620" s="77"/>
      <c r="AV2620" s="80" t="str">
        <f>HYPERLINK("https://pbs.twimg.com/profile_images/1241147984924082183/gZgx_hL-_normal.jpg")</f>
        <v>https://pbs.twimg.com/profile_images/1241147984924082183/gZgx_hL-_normal.jpg</v>
      </c>
      <c r="AW2620" s="82" t="s">
        <v>14216</v>
      </c>
      <c r="AX2620" s="82" t="s">
        <v>14216</v>
      </c>
      <c r="AY2620" s="77"/>
      <c r="AZ2620" s="82" t="s">
        <v>15984</v>
      </c>
      <c r="BA2620" s="82" t="s">
        <v>15984</v>
      </c>
      <c r="BB2620" s="82" t="s">
        <v>15984</v>
      </c>
      <c r="BC2620" s="82" t="s">
        <v>14216</v>
      </c>
      <c r="BD2620" s="82" t="s">
        <v>15979</v>
      </c>
      <c r="BE2620" s="77"/>
      <c r="BF2620" s="77"/>
      <c r="BG2620" s="77"/>
      <c r="BH2620" s="77"/>
      <c r="BI2620" s="77"/>
    </row>
    <row r="2621" spans="1:61" x14ac:dyDescent="0.25">
      <c r="A2621" s="62" t="s">
        <v>387</v>
      </c>
      <c r="B2621" s="62" t="s">
        <v>387</v>
      </c>
      <c r="C2621" s="63"/>
      <c r="D2621" s="64"/>
      <c r="E2621" s="65"/>
      <c r="F2621" s="66"/>
      <c r="G2621" s="63"/>
      <c r="H2621" s="67"/>
      <c r="I2621" s="68"/>
      <c r="J2621" s="68"/>
      <c r="K2621" s="32"/>
      <c r="L2621" s="75">
        <v>2621</v>
      </c>
      <c r="M2621" s="75"/>
      <c r="N2621" s="70"/>
      <c r="O2621" s="77" t="s">
        <v>179</v>
      </c>
      <c r="P2621" s="79">
        <v>45156.822916666664</v>
      </c>
      <c r="Q2621" s="77" t="s">
        <v>3293</v>
      </c>
      <c r="R2621" s="77">
        <v>0</v>
      </c>
      <c r="S2621" s="77">
        <v>1</v>
      </c>
      <c r="T2621" s="77">
        <v>0</v>
      </c>
      <c r="U2621" s="77">
        <v>0</v>
      </c>
      <c r="V2621" s="77">
        <v>541</v>
      </c>
      <c r="W2621" s="82" t="s">
        <v>4833</v>
      </c>
      <c r="X2621" s="80" t="str">
        <f>HYPERLINK("https://mla.bs/a2d94ff9")</f>
        <v>https://mla.bs/a2d94ff9</v>
      </c>
      <c r="Y2621" s="77" t="s">
        <v>6506</v>
      </c>
      <c r="Z2621" s="77"/>
      <c r="AA2621" s="77"/>
      <c r="AB2621" s="77"/>
      <c r="AC2621" s="82" t="s">
        <v>7750</v>
      </c>
      <c r="AD2621" s="77" t="s">
        <v>7788</v>
      </c>
      <c r="AE2621" s="80" t="str">
        <f>HYPERLINK("https://twitter.com/einvestidor/status/1692623650053034411")</f>
        <v>https://twitter.com/einvestidor/status/1692623650053034411</v>
      </c>
      <c r="AF2621" s="79">
        <v>45156.822916666664</v>
      </c>
      <c r="AG2621" s="85">
        <v>45156</v>
      </c>
      <c r="AH2621" s="82" t="s">
        <v>9579</v>
      </c>
      <c r="AI2621" s="77" t="b">
        <v>0</v>
      </c>
      <c r="AJ2621" s="77"/>
      <c r="AK2621" s="77"/>
      <c r="AL2621" s="77"/>
      <c r="AM2621" s="77"/>
      <c r="AN2621" s="77"/>
      <c r="AO2621" s="77"/>
      <c r="AP2621" s="77"/>
      <c r="AQ2621" s="77"/>
      <c r="AR2621" s="77"/>
      <c r="AS2621" s="77"/>
      <c r="AT2621" s="77"/>
      <c r="AU2621" s="77"/>
      <c r="AV2621" s="80" t="str">
        <f>HYPERLINK("https://pbs.twimg.com/profile_images/1241147984924082183/gZgx_hL-_normal.jpg")</f>
        <v>https://pbs.twimg.com/profile_images/1241147984924082183/gZgx_hL-_normal.jpg</v>
      </c>
      <c r="AW2621" s="82" t="s">
        <v>14217</v>
      </c>
      <c r="AX2621" s="82" t="s">
        <v>14217</v>
      </c>
      <c r="AY2621" s="77"/>
      <c r="AZ2621" s="82" t="s">
        <v>15984</v>
      </c>
      <c r="BA2621" s="82" t="s">
        <v>15984</v>
      </c>
      <c r="BB2621" s="82" t="s">
        <v>15984</v>
      </c>
      <c r="BC2621" s="82" t="s">
        <v>14217</v>
      </c>
      <c r="BD2621" s="82" t="s">
        <v>15979</v>
      </c>
      <c r="BE2621" s="77"/>
      <c r="BF2621" s="77"/>
      <c r="BG2621" s="77"/>
      <c r="BH2621" s="77"/>
      <c r="BI2621" s="77"/>
    </row>
    <row r="2622" spans="1:61" x14ac:dyDescent="0.25">
      <c r="A2622" s="62" t="s">
        <v>387</v>
      </c>
      <c r="B2622" s="62" t="s">
        <v>387</v>
      </c>
      <c r="C2622" s="63"/>
      <c r="D2622" s="64"/>
      <c r="E2622" s="65"/>
      <c r="F2622" s="66"/>
      <c r="G2622" s="63"/>
      <c r="H2622" s="67"/>
      <c r="I2622" s="68"/>
      <c r="J2622" s="68"/>
      <c r="K2622" s="32"/>
      <c r="L2622" s="75">
        <v>2622</v>
      </c>
      <c r="M2622" s="75"/>
      <c r="N2622" s="70"/>
      <c r="O2622" s="77" t="s">
        <v>179</v>
      </c>
      <c r="P2622" s="79">
        <v>45156.8125</v>
      </c>
      <c r="Q2622" s="77" t="s">
        <v>3294</v>
      </c>
      <c r="R2622" s="77">
        <v>0</v>
      </c>
      <c r="S2622" s="77">
        <v>1</v>
      </c>
      <c r="T2622" s="77">
        <v>0</v>
      </c>
      <c r="U2622" s="77">
        <v>0</v>
      </c>
      <c r="V2622" s="77">
        <v>504</v>
      </c>
      <c r="W2622" s="82" t="s">
        <v>6059</v>
      </c>
      <c r="X2622" s="80" t="str">
        <f>HYPERLINK("https://mla.bs/2abd8a5f")</f>
        <v>https://mla.bs/2abd8a5f</v>
      </c>
      <c r="Y2622" s="77" t="s">
        <v>6506</v>
      </c>
      <c r="Z2622" s="77"/>
      <c r="AA2622" s="77"/>
      <c r="AB2622" s="77"/>
      <c r="AC2622" s="82" t="s">
        <v>7750</v>
      </c>
      <c r="AD2622" s="77" t="s">
        <v>7788</v>
      </c>
      <c r="AE2622" s="80" t="str">
        <f>HYPERLINK("https://twitter.com/einvestidor/status/1692619875141968321")</f>
        <v>https://twitter.com/einvestidor/status/1692619875141968321</v>
      </c>
      <c r="AF2622" s="79">
        <v>45156.8125</v>
      </c>
      <c r="AG2622" s="85">
        <v>45156</v>
      </c>
      <c r="AH2622" s="82" t="s">
        <v>8281</v>
      </c>
      <c r="AI2622" s="77" t="b">
        <v>0</v>
      </c>
      <c r="AJ2622" s="77"/>
      <c r="AK2622" s="77"/>
      <c r="AL2622" s="77"/>
      <c r="AM2622" s="77"/>
      <c r="AN2622" s="77"/>
      <c r="AO2622" s="77"/>
      <c r="AP2622" s="77"/>
      <c r="AQ2622" s="77"/>
      <c r="AR2622" s="77"/>
      <c r="AS2622" s="77"/>
      <c r="AT2622" s="77"/>
      <c r="AU2622" s="77"/>
      <c r="AV2622" s="80" t="str">
        <f>HYPERLINK("https://pbs.twimg.com/profile_images/1241147984924082183/gZgx_hL-_normal.jpg")</f>
        <v>https://pbs.twimg.com/profile_images/1241147984924082183/gZgx_hL-_normal.jpg</v>
      </c>
      <c r="AW2622" s="82" t="s">
        <v>14218</v>
      </c>
      <c r="AX2622" s="82" t="s">
        <v>14218</v>
      </c>
      <c r="AY2622" s="77"/>
      <c r="AZ2622" s="82" t="s">
        <v>15984</v>
      </c>
      <c r="BA2622" s="82" t="s">
        <v>15984</v>
      </c>
      <c r="BB2622" s="82" t="s">
        <v>15984</v>
      </c>
      <c r="BC2622" s="82" t="s">
        <v>14218</v>
      </c>
      <c r="BD2622" s="82" t="s">
        <v>15979</v>
      </c>
      <c r="BE2622" s="77"/>
      <c r="BF2622" s="77"/>
      <c r="BG2622" s="77"/>
      <c r="BH2622" s="77"/>
      <c r="BI2622" s="77"/>
    </row>
    <row r="2623" spans="1:61" x14ac:dyDescent="0.25">
      <c r="A2623" s="62" t="s">
        <v>387</v>
      </c>
      <c r="B2623" s="62" t="s">
        <v>387</v>
      </c>
      <c r="C2623" s="63"/>
      <c r="D2623" s="64"/>
      <c r="E2623" s="65"/>
      <c r="F2623" s="66"/>
      <c r="G2623" s="63"/>
      <c r="H2623" s="67"/>
      <c r="I2623" s="68"/>
      <c r="J2623" s="68"/>
      <c r="K2623" s="32"/>
      <c r="L2623" s="75">
        <v>2623</v>
      </c>
      <c r="M2623" s="75"/>
      <c r="N2623" s="70"/>
      <c r="O2623" s="77" t="s">
        <v>179</v>
      </c>
      <c r="P2623" s="79">
        <v>45156.802083333336</v>
      </c>
      <c r="Q2623" s="77" t="s">
        <v>3295</v>
      </c>
      <c r="R2623" s="77">
        <v>1</v>
      </c>
      <c r="S2623" s="77">
        <v>1</v>
      </c>
      <c r="T2623" s="77">
        <v>0</v>
      </c>
      <c r="U2623" s="77">
        <v>0</v>
      </c>
      <c r="V2623" s="77">
        <v>488</v>
      </c>
      <c r="W2623" s="82" t="s">
        <v>6060</v>
      </c>
      <c r="X2623" s="80" t="str">
        <f>HYPERLINK("https://mla.bs/f48f61c1")</f>
        <v>https://mla.bs/f48f61c1</v>
      </c>
      <c r="Y2623" s="77" t="s">
        <v>6506</v>
      </c>
      <c r="Z2623" s="77"/>
      <c r="AA2623" s="77"/>
      <c r="AB2623" s="77"/>
      <c r="AC2623" s="82" t="s">
        <v>7750</v>
      </c>
      <c r="AD2623" s="77" t="s">
        <v>7788</v>
      </c>
      <c r="AE2623" s="80" t="str">
        <f>HYPERLINK("https://twitter.com/einvestidor/status/1692616100218036237")</f>
        <v>https://twitter.com/einvestidor/status/1692616100218036237</v>
      </c>
      <c r="AF2623" s="79">
        <v>45156.802083333336</v>
      </c>
      <c r="AG2623" s="85">
        <v>45156</v>
      </c>
      <c r="AH2623" s="82" t="s">
        <v>7868</v>
      </c>
      <c r="AI2623" s="77" t="b">
        <v>0</v>
      </c>
      <c r="AJ2623" s="77"/>
      <c r="AK2623" s="77"/>
      <c r="AL2623" s="77"/>
      <c r="AM2623" s="77"/>
      <c r="AN2623" s="77"/>
      <c r="AO2623" s="77"/>
      <c r="AP2623" s="77"/>
      <c r="AQ2623" s="77"/>
      <c r="AR2623" s="77"/>
      <c r="AS2623" s="77"/>
      <c r="AT2623" s="77"/>
      <c r="AU2623" s="77"/>
      <c r="AV2623" s="80" t="str">
        <f>HYPERLINK("https://pbs.twimg.com/profile_images/1241147984924082183/gZgx_hL-_normal.jpg")</f>
        <v>https://pbs.twimg.com/profile_images/1241147984924082183/gZgx_hL-_normal.jpg</v>
      </c>
      <c r="AW2623" s="82" t="s">
        <v>14219</v>
      </c>
      <c r="AX2623" s="82" t="s">
        <v>14219</v>
      </c>
      <c r="AY2623" s="77"/>
      <c r="AZ2623" s="82" t="s">
        <v>15984</v>
      </c>
      <c r="BA2623" s="82" t="s">
        <v>15984</v>
      </c>
      <c r="BB2623" s="82" t="s">
        <v>15984</v>
      </c>
      <c r="BC2623" s="82" t="s">
        <v>14219</v>
      </c>
      <c r="BD2623" s="82" t="s">
        <v>15979</v>
      </c>
      <c r="BE2623" s="77"/>
      <c r="BF2623" s="77"/>
      <c r="BG2623" s="77"/>
      <c r="BH2623" s="77"/>
      <c r="BI2623" s="77"/>
    </row>
    <row r="2624" spans="1:61" x14ac:dyDescent="0.25">
      <c r="A2624" s="62" t="s">
        <v>387</v>
      </c>
      <c r="B2624" s="62" t="s">
        <v>387</v>
      </c>
      <c r="C2624" s="63"/>
      <c r="D2624" s="64"/>
      <c r="E2624" s="65"/>
      <c r="F2624" s="66"/>
      <c r="G2624" s="63"/>
      <c r="H2624" s="67"/>
      <c r="I2624" s="68"/>
      <c r="J2624" s="68"/>
      <c r="K2624" s="32"/>
      <c r="L2624" s="75">
        <v>2624</v>
      </c>
      <c r="M2624" s="75"/>
      <c r="N2624" s="70"/>
      <c r="O2624" s="77" t="s">
        <v>179</v>
      </c>
      <c r="P2624" s="79">
        <v>45156.760416666664</v>
      </c>
      <c r="Q2624" s="77" t="s">
        <v>3296</v>
      </c>
      <c r="R2624" s="77">
        <v>1</v>
      </c>
      <c r="S2624" s="77">
        <v>2</v>
      </c>
      <c r="T2624" s="77">
        <v>0</v>
      </c>
      <c r="U2624" s="77">
        <v>0</v>
      </c>
      <c r="V2624" s="77">
        <v>488</v>
      </c>
      <c r="W2624" s="82" t="s">
        <v>4833</v>
      </c>
      <c r="X2624" s="80" t="str">
        <f>HYPERLINK("https://mla.bs/86196706")</f>
        <v>https://mla.bs/86196706</v>
      </c>
      <c r="Y2624" s="77" t="s">
        <v>6506</v>
      </c>
      <c r="Z2624" s="77"/>
      <c r="AA2624" s="77"/>
      <c r="AB2624" s="77"/>
      <c r="AC2624" s="82" t="s">
        <v>7750</v>
      </c>
      <c r="AD2624" s="77" t="s">
        <v>7788</v>
      </c>
      <c r="AE2624" s="80" t="str">
        <f>HYPERLINK("https://twitter.com/einvestidor/status/1692601000757280804")</f>
        <v>https://twitter.com/einvestidor/status/1692601000757280804</v>
      </c>
      <c r="AF2624" s="79">
        <v>45156.760416666664</v>
      </c>
      <c r="AG2624" s="85">
        <v>45156</v>
      </c>
      <c r="AH2624" s="82" t="s">
        <v>9582</v>
      </c>
      <c r="AI2624" s="77" t="b">
        <v>0</v>
      </c>
      <c r="AJ2624" s="77"/>
      <c r="AK2624" s="77"/>
      <c r="AL2624" s="77"/>
      <c r="AM2624" s="77"/>
      <c r="AN2624" s="77"/>
      <c r="AO2624" s="77"/>
      <c r="AP2624" s="77"/>
      <c r="AQ2624" s="77"/>
      <c r="AR2624" s="77"/>
      <c r="AS2624" s="77"/>
      <c r="AT2624" s="77"/>
      <c r="AU2624" s="77"/>
      <c r="AV2624" s="80" t="str">
        <f>HYPERLINK("https://pbs.twimg.com/profile_images/1241147984924082183/gZgx_hL-_normal.jpg")</f>
        <v>https://pbs.twimg.com/profile_images/1241147984924082183/gZgx_hL-_normal.jpg</v>
      </c>
      <c r="AW2624" s="82" t="s">
        <v>14220</v>
      </c>
      <c r="AX2624" s="82" t="s">
        <v>14220</v>
      </c>
      <c r="AY2624" s="77"/>
      <c r="AZ2624" s="82" t="s">
        <v>15984</v>
      </c>
      <c r="BA2624" s="82" t="s">
        <v>15984</v>
      </c>
      <c r="BB2624" s="82" t="s">
        <v>15984</v>
      </c>
      <c r="BC2624" s="82" t="s">
        <v>14220</v>
      </c>
      <c r="BD2624" s="82" t="s">
        <v>15979</v>
      </c>
      <c r="BE2624" s="77"/>
      <c r="BF2624" s="77"/>
      <c r="BG2624" s="77"/>
      <c r="BH2624" s="77"/>
      <c r="BI2624" s="77"/>
    </row>
    <row r="2625" spans="1:61" x14ac:dyDescent="0.25">
      <c r="A2625" s="62" t="s">
        <v>387</v>
      </c>
      <c r="B2625" s="62" t="s">
        <v>387</v>
      </c>
      <c r="C2625" s="63"/>
      <c r="D2625" s="64"/>
      <c r="E2625" s="65"/>
      <c r="F2625" s="66"/>
      <c r="G2625" s="63"/>
      <c r="H2625" s="67"/>
      <c r="I2625" s="68"/>
      <c r="J2625" s="68"/>
      <c r="K2625" s="32"/>
      <c r="L2625" s="75">
        <v>2625</v>
      </c>
      <c r="M2625" s="75"/>
      <c r="N2625" s="70"/>
      <c r="O2625" s="77" t="s">
        <v>179</v>
      </c>
      <c r="P2625" s="79">
        <v>45156.750011574077</v>
      </c>
      <c r="Q2625" s="77" t="s">
        <v>3297</v>
      </c>
      <c r="R2625" s="77">
        <v>0</v>
      </c>
      <c r="S2625" s="77">
        <v>0</v>
      </c>
      <c r="T2625" s="77">
        <v>0</v>
      </c>
      <c r="U2625" s="77">
        <v>0</v>
      </c>
      <c r="V2625" s="77">
        <v>441</v>
      </c>
      <c r="W2625" s="82" t="s">
        <v>4833</v>
      </c>
      <c r="X2625" s="80" t="str">
        <f>HYPERLINK("https://mla.bs/b0d40335")</f>
        <v>https://mla.bs/b0d40335</v>
      </c>
      <c r="Y2625" s="77" t="s">
        <v>6506</v>
      </c>
      <c r="Z2625" s="77"/>
      <c r="AA2625" s="77"/>
      <c r="AB2625" s="77"/>
      <c r="AC2625" s="82" t="s">
        <v>7750</v>
      </c>
      <c r="AD2625" s="77" t="s">
        <v>7788</v>
      </c>
      <c r="AE2625" s="80" t="str">
        <f>HYPERLINK("https://twitter.com/einvestidor/status/1692597231675924703")</f>
        <v>https://twitter.com/einvestidor/status/1692597231675924703</v>
      </c>
      <c r="AF2625" s="79">
        <v>45156.750011574077</v>
      </c>
      <c r="AG2625" s="85">
        <v>45156</v>
      </c>
      <c r="AH2625" s="82" t="s">
        <v>9625</v>
      </c>
      <c r="AI2625" s="77" t="b">
        <v>0</v>
      </c>
      <c r="AJ2625" s="77"/>
      <c r="AK2625" s="77"/>
      <c r="AL2625" s="77"/>
      <c r="AM2625" s="77"/>
      <c r="AN2625" s="77"/>
      <c r="AO2625" s="77"/>
      <c r="AP2625" s="77"/>
      <c r="AQ2625" s="77"/>
      <c r="AR2625" s="77"/>
      <c r="AS2625" s="77"/>
      <c r="AT2625" s="77"/>
      <c r="AU2625" s="77"/>
      <c r="AV2625" s="80" t="str">
        <f>HYPERLINK("https://pbs.twimg.com/profile_images/1241147984924082183/gZgx_hL-_normal.jpg")</f>
        <v>https://pbs.twimg.com/profile_images/1241147984924082183/gZgx_hL-_normal.jpg</v>
      </c>
      <c r="AW2625" s="82" t="s">
        <v>14221</v>
      </c>
      <c r="AX2625" s="82" t="s">
        <v>14221</v>
      </c>
      <c r="AY2625" s="77"/>
      <c r="AZ2625" s="82" t="s">
        <v>15984</v>
      </c>
      <c r="BA2625" s="82" t="s">
        <v>15984</v>
      </c>
      <c r="BB2625" s="82" t="s">
        <v>15984</v>
      </c>
      <c r="BC2625" s="82" t="s">
        <v>14221</v>
      </c>
      <c r="BD2625" s="82" t="s">
        <v>15979</v>
      </c>
      <c r="BE2625" s="77"/>
      <c r="BF2625" s="77"/>
      <c r="BG2625" s="77"/>
      <c r="BH2625" s="77"/>
      <c r="BI2625" s="77"/>
    </row>
    <row r="2626" spans="1:61" x14ac:dyDescent="0.25">
      <c r="A2626" s="62" t="s">
        <v>387</v>
      </c>
      <c r="B2626" s="62" t="s">
        <v>387</v>
      </c>
      <c r="C2626" s="63"/>
      <c r="D2626" s="64"/>
      <c r="E2626" s="65"/>
      <c r="F2626" s="66"/>
      <c r="G2626" s="63"/>
      <c r="H2626" s="67"/>
      <c r="I2626" s="68"/>
      <c r="J2626" s="68"/>
      <c r="K2626" s="32"/>
      <c r="L2626" s="75">
        <v>2626</v>
      </c>
      <c r="M2626" s="75"/>
      <c r="N2626" s="70"/>
      <c r="O2626" s="77" t="s">
        <v>179</v>
      </c>
      <c r="P2626" s="79">
        <v>45152.611111111109</v>
      </c>
      <c r="Q2626" s="77" t="s">
        <v>3298</v>
      </c>
      <c r="R2626" s="77">
        <v>1</v>
      </c>
      <c r="S2626" s="77">
        <v>2</v>
      </c>
      <c r="T2626" s="77">
        <v>0</v>
      </c>
      <c r="U2626" s="77">
        <v>0</v>
      </c>
      <c r="V2626" s="77">
        <v>653</v>
      </c>
      <c r="W2626" s="82" t="s">
        <v>4833</v>
      </c>
      <c r="X2626" s="80" t="str">
        <f>HYPERLINK("https://einvestidor.estadao.com.br/educacao-financeira/o-que-e-mercado-de-capitais/?utm_source=twitter&amp;utm_medium=organic&amp;utm_campaign=mercado-de-capitais&amp;utm_content=materia")</f>
        <v>https://einvestidor.estadao.com.br/educacao-financeira/o-que-e-mercado-de-capitais/?utm_source=twitter&amp;utm_medium=organic&amp;utm_campaign=mercado-de-capitais&amp;utm_content=materia</v>
      </c>
      <c r="Y2626" s="77" t="s">
        <v>6470</v>
      </c>
      <c r="Z2626" s="77"/>
      <c r="AA2626" s="77" t="s">
        <v>7609</v>
      </c>
      <c r="AB2626" s="77" t="s">
        <v>7742</v>
      </c>
      <c r="AC2626" s="82" t="s">
        <v>7754</v>
      </c>
      <c r="AD2626" s="77" t="s">
        <v>7788</v>
      </c>
      <c r="AE2626" s="80" t="str">
        <f>HYPERLINK("https://twitter.com/einvestidor/status/1691097342672343041")</f>
        <v>https://twitter.com/einvestidor/status/1691097342672343041</v>
      </c>
      <c r="AF2626" s="79">
        <v>45152.611111111109</v>
      </c>
      <c r="AG2626" s="85">
        <v>45152</v>
      </c>
      <c r="AH2626" s="82" t="s">
        <v>7859</v>
      </c>
      <c r="AI2626" s="77" t="b">
        <v>0</v>
      </c>
      <c r="AJ2626" s="77"/>
      <c r="AK2626" s="77"/>
      <c r="AL2626" s="77"/>
      <c r="AM2626" s="77"/>
      <c r="AN2626" s="77"/>
      <c r="AO2626" s="77"/>
      <c r="AP2626" s="77"/>
      <c r="AQ2626" s="77" t="s">
        <v>11581</v>
      </c>
      <c r="AR2626" s="77"/>
      <c r="AS2626" s="77"/>
      <c r="AT2626" s="77"/>
      <c r="AU2626" s="77"/>
      <c r="AV2626" s="80" t="str">
        <f>HYPERLINK("https://pbs.twimg.com/media/F3f3hY8W4AAHjWD.jpg")</f>
        <v>https://pbs.twimg.com/media/F3f3hY8W4AAHjWD.jpg</v>
      </c>
      <c r="AW2626" s="82" t="s">
        <v>14222</v>
      </c>
      <c r="AX2626" s="82" t="s">
        <v>14222</v>
      </c>
      <c r="AY2626" s="77"/>
      <c r="AZ2626" s="82" t="s">
        <v>15984</v>
      </c>
      <c r="BA2626" s="82" t="s">
        <v>15984</v>
      </c>
      <c r="BB2626" s="82" t="s">
        <v>15984</v>
      </c>
      <c r="BC2626" s="82" t="s">
        <v>14222</v>
      </c>
      <c r="BD2626" s="82" t="s">
        <v>15979</v>
      </c>
      <c r="BE2626" s="77"/>
      <c r="BF2626" s="77"/>
      <c r="BG2626" s="77"/>
      <c r="BH2626" s="77"/>
      <c r="BI2626" s="77"/>
    </row>
    <row r="2627" spans="1:61" x14ac:dyDescent="0.25">
      <c r="A2627" s="62" t="s">
        <v>387</v>
      </c>
      <c r="B2627" s="62" t="s">
        <v>387</v>
      </c>
      <c r="C2627" s="63"/>
      <c r="D2627" s="64"/>
      <c r="E2627" s="65"/>
      <c r="F2627" s="66"/>
      <c r="G2627" s="63"/>
      <c r="H2627" s="67"/>
      <c r="I2627" s="68"/>
      <c r="J2627" s="68"/>
      <c r="K2627" s="32"/>
      <c r="L2627" s="75">
        <v>2627</v>
      </c>
      <c r="M2627" s="75"/>
      <c r="N2627" s="70"/>
      <c r="O2627" s="77" t="s">
        <v>179</v>
      </c>
      <c r="P2627" s="79">
        <v>45142.822916666664</v>
      </c>
      <c r="Q2627" s="77" t="s">
        <v>3299</v>
      </c>
      <c r="R2627" s="77">
        <v>1</v>
      </c>
      <c r="S2627" s="77">
        <v>5</v>
      </c>
      <c r="T2627" s="77">
        <v>0</v>
      </c>
      <c r="U2627" s="77">
        <v>0</v>
      </c>
      <c r="V2627" s="77">
        <v>661</v>
      </c>
      <c r="W2627" s="82" t="s">
        <v>6061</v>
      </c>
      <c r="X2627" s="80" t="str">
        <f>HYPERLINK("https://mla.bs/aca6a464")</f>
        <v>https://mla.bs/aca6a464</v>
      </c>
      <c r="Y2627" s="77" t="s">
        <v>6506</v>
      </c>
      <c r="Z2627" s="77"/>
      <c r="AA2627" s="77"/>
      <c r="AB2627" s="77"/>
      <c r="AC2627" s="82" t="s">
        <v>7754</v>
      </c>
      <c r="AD2627" s="77" t="s">
        <v>7788</v>
      </c>
      <c r="AE2627" s="80" t="str">
        <f>HYPERLINK("https://twitter.com/einvestidor/status/1687550219758788608")</f>
        <v>https://twitter.com/einvestidor/status/1687550219758788608</v>
      </c>
      <c r="AF2627" s="79">
        <v>45142.822916666664</v>
      </c>
      <c r="AG2627" s="85">
        <v>45142</v>
      </c>
      <c r="AH2627" s="82" t="s">
        <v>9579</v>
      </c>
      <c r="AI2627" s="77" t="b">
        <v>0</v>
      </c>
      <c r="AJ2627" s="77"/>
      <c r="AK2627" s="77"/>
      <c r="AL2627" s="77"/>
      <c r="AM2627" s="77"/>
      <c r="AN2627" s="77"/>
      <c r="AO2627" s="77"/>
      <c r="AP2627" s="77"/>
      <c r="AQ2627" s="77"/>
      <c r="AR2627" s="77"/>
      <c r="AS2627" s="77"/>
      <c r="AT2627" s="77"/>
      <c r="AU2627" s="77"/>
      <c r="AV2627" s="80" t="str">
        <f>HYPERLINK("https://pbs.twimg.com/profile_images/1241147984924082183/gZgx_hL-_normal.jpg")</f>
        <v>https://pbs.twimg.com/profile_images/1241147984924082183/gZgx_hL-_normal.jpg</v>
      </c>
      <c r="AW2627" s="82" t="s">
        <v>14223</v>
      </c>
      <c r="AX2627" s="82" t="s">
        <v>14223</v>
      </c>
      <c r="AY2627" s="77"/>
      <c r="AZ2627" s="82" t="s">
        <v>15984</v>
      </c>
      <c r="BA2627" s="82" t="s">
        <v>15984</v>
      </c>
      <c r="BB2627" s="82" t="s">
        <v>15984</v>
      </c>
      <c r="BC2627" s="82" t="s">
        <v>14223</v>
      </c>
      <c r="BD2627" s="82" t="s">
        <v>15979</v>
      </c>
      <c r="BE2627" s="77"/>
      <c r="BF2627" s="77"/>
      <c r="BG2627" s="77"/>
      <c r="BH2627" s="77"/>
      <c r="BI2627" s="77"/>
    </row>
    <row r="2628" spans="1:61" x14ac:dyDescent="0.25">
      <c r="A2628" s="62" t="s">
        <v>387</v>
      </c>
      <c r="B2628" s="62" t="s">
        <v>387</v>
      </c>
      <c r="C2628" s="63"/>
      <c r="D2628" s="64"/>
      <c r="E2628" s="65"/>
      <c r="F2628" s="66"/>
      <c r="G2628" s="63"/>
      <c r="H2628" s="67"/>
      <c r="I2628" s="68"/>
      <c r="J2628" s="68"/>
      <c r="K2628" s="32"/>
      <c r="L2628" s="75">
        <v>2628</v>
      </c>
      <c r="M2628" s="75"/>
      <c r="N2628" s="70"/>
      <c r="O2628" s="77" t="s">
        <v>179</v>
      </c>
      <c r="P2628" s="79">
        <v>45142.8125</v>
      </c>
      <c r="Q2628" s="77" t="s">
        <v>3300</v>
      </c>
      <c r="R2628" s="77">
        <v>1</v>
      </c>
      <c r="S2628" s="77">
        <v>4</v>
      </c>
      <c r="T2628" s="77">
        <v>0</v>
      </c>
      <c r="U2628" s="77">
        <v>0</v>
      </c>
      <c r="V2628" s="77">
        <v>663</v>
      </c>
      <c r="W2628" s="82" t="s">
        <v>5978</v>
      </c>
      <c r="X2628" s="80" t="str">
        <f>HYPERLINK("https://mla.bs/bbdb2875")</f>
        <v>https://mla.bs/bbdb2875</v>
      </c>
      <c r="Y2628" s="77" t="s">
        <v>6506</v>
      </c>
      <c r="Z2628" s="77"/>
      <c r="AA2628" s="77"/>
      <c r="AB2628" s="77"/>
      <c r="AC2628" s="82" t="s">
        <v>7754</v>
      </c>
      <c r="AD2628" s="77" t="s">
        <v>7788</v>
      </c>
      <c r="AE2628" s="80" t="str">
        <f>HYPERLINK("https://twitter.com/einvestidor/status/1687546445237227521")</f>
        <v>https://twitter.com/einvestidor/status/1687546445237227521</v>
      </c>
      <c r="AF2628" s="79">
        <v>45142.8125</v>
      </c>
      <c r="AG2628" s="85">
        <v>45142</v>
      </c>
      <c r="AH2628" s="82" t="s">
        <v>8281</v>
      </c>
      <c r="AI2628" s="77" t="b">
        <v>0</v>
      </c>
      <c r="AJ2628" s="77"/>
      <c r="AK2628" s="77"/>
      <c r="AL2628" s="77"/>
      <c r="AM2628" s="77"/>
      <c r="AN2628" s="77"/>
      <c r="AO2628" s="77"/>
      <c r="AP2628" s="77"/>
      <c r="AQ2628" s="77"/>
      <c r="AR2628" s="77"/>
      <c r="AS2628" s="77"/>
      <c r="AT2628" s="77"/>
      <c r="AU2628" s="77"/>
      <c r="AV2628" s="80" t="str">
        <f>HYPERLINK("https://pbs.twimg.com/profile_images/1241147984924082183/gZgx_hL-_normal.jpg")</f>
        <v>https://pbs.twimg.com/profile_images/1241147984924082183/gZgx_hL-_normal.jpg</v>
      </c>
      <c r="AW2628" s="82" t="s">
        <v>14224</v>
      </c>
      <c r="AX2628" s="82" t="s">
        <v>14224</v>
      </c>
      <c r="AY2628" s="77"/>
      <c r="AZ2628" s="82" t="s">
        <v>15984</v>
      </c>
      <c r="BA2628" s="82" t="s">
        <v>15984</v>
      </c>
      <c r="BB2628" s="82" t="s">
        <v>15984</v>
      </c>
      <c r="BC2628" s="82" t="s">
        <v>14224</v>
      </c>
      <c r="BD2628" s="82" t="s">
        <v>15979</v>
      </c>
      <c r="BE2628" s="77"/>
      <c r="BF2628" s="77"/>
      <c r="BG2628" s="77"/>
      <c r="BH2628" s="77"/>
      <c r="BI2628" s="77"/>
    </row>
    <row r="2629" spans="1:61" x14ac:dyDescent="0.25">
      <c r="A2629" s="62" t="s">
        <v>387</v>
      </c>
      <c r="B2629" s="62" t="s">
        <v>387</v>
      </c>
      <c r="C2629" s="63"/>
      <c r="D2629" s="64"/>
      <c r="E2629" s="65"/>
      <c r="F2629" s="66"/>
      <c r="G2629" s="63"/>
      <c r="H2629" s="67"/>
      <c r="I2629" s="68"/>
      <c r="J2629" s="68"/>
      <c r="K2629" s="32"/>
      <c r="L2629" s="75">
        <v>2629</v>
      </c>
      <c r="M2629" s="75"/>
      <c r="N2629" s="70"/>
      <c r="O2629" s="77" t="s">
        <v>179</v>
      </c>
      <c r="P2629" s="79">
        <v>45142.802083333336</v>
      </c>
      <c r="Q2629" s="77" t="s">
        <v>3301</v>
      </c>
      <c r="R2629" s="77">
        <v>0</v>
      </c>
      <c r="S2629" s="77">
        <v>2</v>
      </c>
      <c r="T2629" s="77">
        <v>0</v>
      </c>
      <c r="U2629" s="77">
        <v>0</v>
      </c>
      <c r="V2629" s="77">
        <v>501</v>
      </c>
      <c r="W2629" s="82" t="s">
        <v>4833</v>
      </c>
      <c r="X2629" s="80" t="str">
        <f>HYPERLINK("https://mla.bs/fe078d54")</f>
        <v>https://mla.bs/fe078d54</v>
      </c>
      <c r="Y2629" s="77" t="s">
        <v>6506</v>
      </c>
      <c r="Z2629" s="77"/>
      <c r="AA2629" s="77"/>
      <c r="AB2629" s="77"/>
      <c r="AC2629" s="82" t="s">
        <v>7754</v>
      </c>
      <c r="AD2629" s="77" t="s">
        <v>7788</v>
      </c>
      <c r="AE2629" s="80" t="str">
        <f>HYPERLINK("https://twitter.com/einvestidor/status/1687542670070038528")</f>
        <v>https://twitter.com/einvestidor/status/1687542670070038528</v>
      </c>
      <c r="AF2629" s="79">
        <v>45142.802083333336</v>
      </c>
      <c r="AG2629" s="85">
        <v>45142</v>
      </c>
      <c r="AH2629" s="82" t="s">
        <v>7868</v>
      </c>
      <c r="AI2629" s="77" t="b">
        <v>0</v>
      </c>
      <c r="AJ2629" s="77"/>
      <c r="AK2629" s="77"/>
      <c r="AL2629" s="77"/>
      <c r="AM2629" s="77"/>
      <c r="AN2629" s="77"/>
      <c r="AO2629" s="77"/>
      <c r="AP2629" s="77"/>
      <c r="AQ2629" s="77"/>
      <c r="AR2629" s="77"/>
      <c r="AS2629" s="77"/>
      <c r="AT2629" s="77"/>
      <c r="AU2629" s="77"/>
      <c r="AV2629" s="80" t="str">
        <f>HYPERLINK("https://pbs.twimg.com/profile_images/1241147984924082183/gZgx_hL-_normal.jpg")</f>
        <v>https://pbs.twimg.com/profile_images/1241147984924082183/gZgx_hL-_normal.jpg</v>
      </c>
      <c r="AW2629" s="82" t="s">
        <v>14225</v>
      </c>
      <c r="AX2629" s="82" t="s">
        <v>14225</v>
      </c>
      <c r="AY2629" s="77"/>
      <c r="AZ2629" s="82" t="s">
        <v>15984</v>
      </c>
      <c r="BA2629" s="82" t="s">
        <v>15984</v>
      </c>
      <c r="BB2629" s="82" t="s">
        <v>15984</v>
      </c>
      <c r="BC2629" s="82" t="s">
        <v>14225</v>
      </c>
      <c r="BD2629" s="82" t="s">
        <v>15979</v>
      </c>
      <c r="BE2629" s="77"/>
      <c r="BF2629" s="77"/>
      <c r="BG2629" s="77"/>
      <c r="BH2629" s="77"/>
      <c r="BI2629" s="77"/>
    </row>
    <row r="2630" spans="1:61" x14ac:dyDescent="0.25">
      <c r="A2630" s="62" t="s">
        <v>387</v>
      </c>
      <c r="B2630" s="62" t="s">
        <v>387</v>
      </c>
      <c r="C2630" s="63"/>
      <c r="D2630" s="64"/>
      <c r="E2630" s="65"/>
      <c r="F2630" s="66"/>
      <c r="G2630" s="63"/>
      <c r="H2630" s="67"/>
      <c r="I2630" s="68"/>
      <c r="J2630" s="68"/>
      <c r="K2630" s="32"/>
      <c r="L2630" s="75">
        <v>2630</v>
      </c>
      <c r="M2630" s="75"/>
      <c r="N2630" s="70"/>
      <c r="O2630" s="77" t="s">
        <v>179</v>
      </c>
      <c r="P2630" s="79">
        <v>45142.791678240741</v>
      </c>
      <c r="Q2630" s="77" t="s">
        <v>3302</v>
      </c>
      <c r="R2630" s="77">
        <v>0</v>
      </c>
      <c r="S2630" s="77">
        <v>1</v>
      </c>
      <c r="T2630" s="77">
        <v>0</v>
      </c>
      <c r="U2630" s="77">
        <v>0</v>
      </c>
      <c r="V2630" s="77">
        <v>548</v>
      </c>
      <c r="W2630" s="82" t="s">
        <v>5914</v>
      </c>
      <c r="X2630" s="80" t="str">
        <f>HYPERLINK("https://mla.bs/242ffca3")</f>
        <v>https://mla.bs/242ffca3</v>
      </c>
      <c r="Y2630" s="77" t="s">
        <v>6506</v>
      </c>
      <c r="Z2630" s="77"/>
      <c r="AA2630" s="77"/>
      <c r="AB2630" s="77"/>
      <c r="AC2630" s="82" t="s">
        <v>7754</v>
      </c>
      <c r="AD2630" s="77" t="s">
        <v>7788</v>
      </c>
      <c r="AE2630" s="80" t="str">
        <f>HYPERLINK("https://twitter.com/einvestidor/status/1687538901567844352")</f>
        <v>https://twitter.com/einvestidor/status/1687538901567844352</v>
      </c>
      <c r="AF2630" s="79">
        <v>45142.791678240741</v>
      </c>
      <c r="AG2630" s="85">
        <v>45142</v>
      </c>
      <c r="AH2630" s="82" t="s">
        <v>7933</v>
      </c>
      <c r="AI2630" s="77" t="b">
        <v>0</v>
      </c>
      <c r="AJ2630" s="77"/>
      <c r="AK2630" s="77"/>
      <c r="AL2630" s="77"/>
      <c r="AM2630" s="77"/>
      <c r="AN2630" s="77"/>
      <c r="AO2630" s="77"/>
      <c r="AP2630" s="77"/>
      <c r="AQ2630" s="77"/>
      <c r="AR2630" s="77"/>
      <c r="AS2630" s="77"/>
      <c r="AT2630" s="77"/>
      <c r="AU2630" s="77"/>
      <c r="AV2630" s="80" t="str">
        <f>HYPERLINK("https://pbs.twimg.com/profile_images/1241147984924082183/gZgx_hL-_normal.jpg")</f>
        <v>https://pbs.twimg.com/profile_images/1241147984924082183/gZgx_hL-_normal.jpg</v>
      </c>
      <c r="AW2630" s="82" t="s">
        <v>14226</v>
      </c>
      <c r="AX2630" s="82" t="s">
        <v>14226</v>
      </c>
      <c r="AY2630" s="77"/>
      <c r="AZ2630" s="82" t="s">
        <v>15984</v>
      </c>
      <c r="BA2630" s="82" t="s">
        <v>15984</v>
      </c>
      <c r="BB2630" s="82" t="s">
        <v>15984</v>
      </c>
      <c r="BC2630" s="82" t="s">
        <v>14226</v>
      </c>
      <c r="BD2630" s="82" t="s">
        <v>15979</v>
      </c>
      <c r="BE2630" s="77"/>
      <c r="BF2630" s="77"/>
      <c r="BG2630" s="77"/>
      <c r="BH2630" s="77"/>
      <c r="BI2630" s="77"/>
    </row>
    <row r="2631" spans="1:61" x14ac:dyDescent="0.25">
      <c r="A2631" s="62" t="s">
        <v>387</v>
      </c>
      <c r="B2631" s="62" t="s">
        <v>387</v>
      </c>
      <c r="C2631" s="63"/>
      <c r="D2631" s="64"/>
      <c r="E2631" s="65"/>
      <c r="F2631" s="66"/>
      <c r="G2631" s="63"/>
      <c r="H2631" s="67"/>
      <c r="I2631" s="68"/>
      <c r="J2631" s="68"/>
      <c r="K2631" s="32"/>
      <c r="L2631" s="75">
        <v>2631</v>
      </c>
      <c r="M2631" s="75"/>
      <c r="N2631" s="70"/>
      <c r="O2631" s="77" t="s">
        <v>179</v>
      </c>
      <c r="P2631" s="79">
        <v>45142.78125</v>
      </c>
      <c r="Q2631" s="77" t="s">
        <v>3303</v>
      </c>
      <c r="R2631" s="77">
        <v>0</v>
      </c>
      <c r="S2631" s="77">
        <v>5</v>
      </c>
      <c r="T2631" s="77">
        <v>1</v>
      </c>
      <c r="U2631" s="77">
        <v>0</v>
      </c>
      <c r="V2631" s="77">
        <v>736</v>
      </c>
      <c r="W2631" s="82" t="s">
        <v>6062</v>
      </c>
      <c r="X2631" s="80" t="str">
        <f>HYPERLINK("https://mla.bs/aeaacc28")</f>
        <v>https://mla.bs/aeaacc28</v>
      </c>
      <c r="Y2631" s="77" t="s">
        <v>6506</v>
      </c>
      <c r="Z2631" s="77"/>
      <c r="AA2631" s="77"/>
      <c r="AB2631" s="77"/>
      <c r="AC2631" s="82" t="s">
        <v>7754</v>
      </c>
      <c r="AD2631" s="77" t="s">
        <v>7788</v>
      </c>
      <c r="AE2631" s="80" t="str">
        <f>HYPERLINK("https://twitter.com/einvestidor/status/1687535120364797956")</f>
        <v>https://twitter.com/einvestidor/status/1687535120364797956</v>
      </c>
      <c r="AF2631" s="79">
        <v>45142.78125</v>
      </c>
      <c r="AG2631" s="85">
        <v>45142</v>
      </c>
      <c r="AH2631" s="82" t="s">
        <v>9581</v>
      </c>
      <c r="AI2631" s="77" t="b">
        <v>0</v>
      </c>
      <c r="AJ2631" s="77"/>
      <c r="AK2631" s="77"/>
      <c r="AL2631" s="77"/>
      <c r="AM2631" s="77"/>
      <c r="AN2631" s="77"/>
      <c r="AO2631" s="77"/>
      <c r="AP2631" s="77"/>
      <c r="AQ2631" s="77"/>
      <c r="AR2631" s="77"/>
      <c r="AS2631" s="77"/>
      <c r="AT2631" s="77"/>
      <c r="AU2631" s="77"/>
      <c r="AV2631" s="80" t="str">
        <f>HYPERLINK("https://pbs.twimg.com/profile_images/1241147984924082183/gZgx_hL-_normal.jpg")</f>
        <v>https://pbs.twimg.com/profile_images/1241147984924082183/gZgx_hL-_normal.jpg</v>
      </c>
      <c r="AW2631" s="82" t="s">
        <v>14227</v>
      </c>
      <c r="AX2631" s="82" t="s">
        <v>14227</v>
      </c>
      <c r="AY2631" s="77"/>
      <c r="AZ2631" s="82" t="s">
        <v>15984</v>
      </c>
      <c r="BA2631" s="82" t="s">
        <v>15984</v>
      </c>
      <c r="BB2631" s="82" t="s">
        <v>15984</v>
      </c>
      <c r="BC2631" s="82" t="s">
        <v>14227</v>
      </c>
      <c r="BD2631" s="82" t="s">
        <v>15979</v>
      </c>
      <c r="BE2631" s="77"/>
      <c r="BF2631" s="77"/>
      <c r="BG2631" s="77"/>
      <c r="BH2631" s="77"/>
      <c r="BI2631" s="77"/>
    </row>
    <row r="2632" spans="1:61" x14ac:dyDescent="0.25">
      <c r="A2632" s="62" t="s">
        <v>387</v>
      </c>
      <c r="B2632" s="62" t="s">
        <v>387</v>
      </c>
      <c r="C2632" s="63"/>
      <c r="D2632" s="64"/>
      <c r="E2632" s="65"/>
      <c r="F2632" s="66"/>
      <c r="G2632" s="63"/>
      <c r="H2632" s="67"/>
      <c r="I2632" s="68"/>
      <c r="J2632" s="68"/>
      <c r="K2632" s="32"/>
      <c r="L2632" s="75">
        <v>2632</v>
      </c>
      <c r="M2632" s="75"/>
      <c r="N2632" s="70"/>
      <c r="O2632" s="77" t="s">
        <v>179</v>
      </c>
      <c r="P2632" s="79">
        <v>45142.770833333336</v>
      </c>
      <c r="Q2632" s="77" t="s">
        <v>3304</v>
      </c>
      <c r="R2632" s="77">
        <v>1</v>
      </c>
      <c r="S2632" s="77">
        <v>2</v>
      </c>
      <c r="T2632" s="77">
        <v>0</v>
      </c>
      <c r="U2632" s="77">
        <v>0</v>
      </c>
      <c r="V2632" s="77">
        <v>419</v>
      </c>
      <c r="W2632" s="82" t="s">
        <v>4833</v>
      </c>
      <c r="X2632" s="80" t="str">
        <f>HYPERLINK("https://mla.bs/e7aea003")</f>
        <v>https://mla.bs/e7aea003</v>
      </c>
      <c r="Y2632" s="77" t="s">
        <v>6506</v>
      </c>
      <c r="Z2632" s="77"/>
      <c r="AA2632" s="77"/>
      <c r="AB2632" s="77"/>
      <c r="AC2632" s="82" t="s">
        <v>7754</v>
      </c>
      <c r="AD2632" s="77" t="s">
        <v>7788</v>
      </c>
      <c r="AE2632" s="80" t="str">
        <f>HYPERLINK("https://twitter.com/einvestidor/status/1687531346405556229")</f>
        <v>https://twitter.com/einvestidor/status/1687531346405556229</v>
      </c>
      <c r="AF2632" s="79">
        <v>45142.770833333336</v>
      </c>
      <c r="AG2632" s="85">
        <v>45142</v>
      </c>
      <c r="AH2632" s="82" t="s">
        <v>7930</v>
      </c>
      <c r="AI2632" s="77" t="b">
        <v>0</v>
      </c>
      <c r="AJ2632" s="77"/>
      <c r="AK2632" s="77"/>
      <c r="AL2632" s="77"/>
      <c r="AM2632" s="77"/>
      <c r="AN2632" s="77"/>
      <c r="AO2632" s="77"/>
      <c r="AP2632" s="77"/>
      <c r="AQ2632" s="77"/>
      <c r="AR2632" s="77"/>
      <c r="AS2632" s="77"/>
      <c r="AT2632" s="77"/>
      <c r="AU2632" s="77"/>
      <c r="AV2632" s="80" t="str">
        <f>HYPERLINK("https://pbs.twimg.com/profile_images/1241147984924082183/gZgx_hL-_normal.jpg")</f>
        <v>https://pbs.twimg.com/profile_images/1241147984924082183/gZgx_hL-_normal.jpg</v>
      </c>
      <c r="AW2632" s="82" t="s">
        <v>14228</v>
      </c>
      <c r="AX2632" s="82" t="s">
        <v>14228</v>
      </c>
      <c r="AY2632" s="77"/>
      <c r="AZ2632" s="82" t="s">
        <v>15984</v>
      </c>
      <c r="BA2632" s="82" t="s">
        <v>15984</v>
      </c>
      <c r="BB2632" s="82" t="s">
        <v>15984</v>
      </c>
      <c r="BC2632" s="82" t="s">
        <v>14228</v>
      </c>
      <c r="BD2632" s="82" t="s">
        <v>15979</v>
      </c>
      <c r="BE2632" s="77"/>
      <c r="BF2632" s="77"/>
      <c r="BG2632" s="77"/>
      <c r="BH2632" s="77"/>
      <c r="BI2632" s="77"/>
    </row>
    <row r="2633" spans="1:61" x14ac:dyDescent="0.25">
      <c r="A2633" s="62" t="s">
        <v>387</v>
      </c>
      <c r="B2633" s="62" t="s">
        <v>387</v>
      </c>
      <c r="C2633" s="63"/>
      <c r="D2633" s="64"/>
      <c r="E2633" s="65"/>
      <c r="F2633" s="66"/>
      <c r="G2633" s="63"/>
      <c r="H2633" s="67"/>
      <c r="I2633" s="68"/>
      <c r="J2633" s="68"/>
      <c r="K2633" s="32"/>
      <c r="L2633" s="75">
        <v>2633</v>
      </c>
      <c r="M2633" s="75"/>
      <c r="N2633" s="70"/>
      <c r="O2633" s="77" t="s">
        <v>179</v>
      </c>
      <c r="P2633" s="79">
        <v>45142.760416666664</v>
      </c>
      <c r="Q2633" s="77" t="s">
        <v>3305</v>
      </c>
      <c r="R2633" s="77">
        <v>0</v>
      </c>
      <c r="S2633" s="77">
        <v>0</v>
      </c>
      <c r="T2633" s="77">
        <v>0</v>
      </c>
      <c r="U2633" s="77">
        <v>0</v>
      </c>
      <c r="V2633" s="77">
        <v>431</v>
      </c>
      <c r="W2633" s="82" t="s">
        <v>6063</v>
      </c>
      <c r="X2633" s="80" t="str">
        <f>HYPERLINK("https://mla.bs/9b6370bc")</f>
        <v>https://mla.bs/9b6370bc</v>
      </c>
      <c r="Y2633" s="77" t="s">
        <v>6506</v>
      </c>
      <c r="Z2633" s="77"/>
      <c r="AA2633" s="77"/>
      <c r="AB2633" s="77"/>
      <c r="AC2633" s="82" t="s">
        <v>7754</v>
      </c>
      <c r="AD2633" s="77" t="s">
        <v>7788</v>
      </c>
      <c r="AE2633" s="80" t="str">
        <f>HYPERLINK("https://twitter.com/einvestidor/status/1687527570558877701")</f>
        <v>https://twitter.com/einvestidor/status/1687527570558877701</v>
      </c>
      <c r="AF2633" s="79">
        <v>45142.760416666664</v>
      </c>
      <c r="AG2633" s="85">
        <v>45142</v>
      </c>
      <c r="AH2633" s="82" t="s">
        <v>9582</v>
      </c>
      <c r="AI2633" s="77" t="b">
        <v>0</v>
      </c>
      <c r="AJ2633" s="77"/>
      <c r="AK2633" s="77"/>
      <c r="AL2633" s="77"/>
      <c r="AM2633" s="77"/>
      <c r="AN2633" s="77"/>
      <c r="AO2633" s="77"/>
      <c r="AP2633" s="77"/>
      <c r="AQ2633" s="77"/>
      <c r="AR2633" s="77"/>
      <c r="AS2633" s="77"/>
      <c r="AT2633" s="77"/>
      <c r="AU2633" s="77"/>
      <c r="AV2633" s="80" t="str">
        <f>HYPERLINK("https://pbs.twimg.com/profile_images/1241147984924082183/gZgx_hL-_normal.jpg")</f>
        <v>https://pbs.twimg.com/profile_images/1241147984924082183/gZgx_hL-_normal.jpg</v>
      </c>
      <c r="AW2633" s="82" t="s">
        <v>14229</v>
      </c>
      <c r="AX2633" s="82" t="s">
        <v>14229</v>
      </c>
      <c r="AY2633" s="77"/>
      <c r="AZ2633" s="82" t="s">
        <v>15984</v>
      </c>
      <c r="BA2633" s="82" t="s">
        <v>15984</v>
      </c>
      <c r="BB2633" s="82" t="s">
        <v>15984</v>
      </c>
      <c r="BC2633" s="82" t="s">
        <v>14229</v>
      </c>
      <c r="BD2633" s="82" t="s">
        <v>15979</v>
      </c>
      <c r="BE2633" s="77"/>
      <c r="BF2633" s="77"/>
      <c r="BG2633" s="77"/>
      <c r="BH2633" s="77"/>
      <c r="BI2633" s="77"/>
    </row>
    <row r="2634" spans="1:61" x14ac:dyDescent="0.25">
      <c r="A2634" s="62" t="s">
        <v>387</v>
      </c>
      <c r="B2634" s="62" t="s">
        <v>387</v>
      </c>
      <c r="C2634" s="63"/>
      <c r="D2634" s="64"/>
      <c r="E2634" s="65"/>
      <c r="F2634" s="66"/>
      <c r="G2634" s="63"/>
      <c r="H2634" s="67"/>
      <c r="I2634" s="68"/>
      <c r="J2634" s="68"/>
      <c r="K2634" s="32"/>
      <c r="L2634" s="75">
        <v>2634</v>
      </c>
      <c r="M2634" s="75"/>
      <c r="N2634" s="70"/>
      <c r="O2634" s="77" t="s">
        <v>179</v>
      </c>
      <c r="P2634" s="79">
        <v>45142.750011574077</v>
      </c>
      <c r="Q2634" s="77" t="s">
        <v>3306</v>
      </c>
      <c r="R2634" s="77">
        <v>0</v>
      </c>
      <c r="S2634" s="77">
        <v>0</v>
      </c>
      <c r="T2634" s="77">
        <v>0</v>
      </c>
      <c r="U2634" s="77">
        <v>0</v>
      </c>
      <c r="V2634" s="77">
        <v>409</v>
      </c>
      <c r="W2634" s="82" t="s">
        <v>6064</v>
      </c>
      <c r="X2634" s="80" t="str">
        <f>HYPERLINK("https://mla.bs/ddcaa9d8")</f>
        <v>https://mla.bs/ddcaa9d8</v>
      </c>
      <c r="Y2634" s="77" t="s">
        <v>6506</v>
      </c>
      <c r="Z2634" s="77"/>
      <c r="AA2634" s="77"/>
      <c r="AB2634" s="77"/>
      <c r="AC2634" s="82" t="s">
        <v>7754</v>
      </c>
      <c r="AD2634" s="77" t="s">
        <v>7788</v>
      </c>
      <c r="AE2634" s="80" t="str">
        <f>HYPERLINK("https://twitter.com/einvestidor/status/1687523799431032832")</f>
        <v>https://twitter.com/einvestidor/status/1687523799431032832</v>
      </c>
      <c r="AF2634" s="79">
        <v>45142.750011574077</v>
      </c>
      <c r="AG2634" s="85">
        <v>45142</v>
      </c>
      <c r="AH2634" s="82" t="s">
        <v>9625</v>
      </c>
      <c r="AI2634" s="77" t="b">
        <v>0</v>
      </c>
      <c r="AJ2634" s="77"/>
      <c r="AK2634" s="77"/>
      <c r="AL2634" s="77"/>
      <c r="AM2634" s="77"/>
      <c r="AN2634" s="77"/>
      <c r="AO2634" s="77"/>
      <c r="AP2634" s="77"/>
      <c r="AQ2634" s="77"/>
      <c r="AR2634" s="77"/>
      <c r="AS2634" s="77"/>
      <c r="AT2634" s="77"/>
      <c r="AU2634" s="77"/>
      <c r="AV2634" s="80" t="str">
        <f>HYPERLINK("https://pbs.twimg.com/profile_images/1241147984924082183/gZgx_hL-_normal.jpg")</f>
        <v>https://pbs.twimg.com/profile_images/1241147984924082183/gZgx_hL-_normal.jpg</v>
      </c>
      <c r="AW2634" s="82" t="s">
        <v>14230</v>
      </c>
      <c r="AX2634" s="82" t="s">
        <v>14230</v>
      </c>
      <c r="AY2634" s="77"/>
      <c r="AZ2634" s="82" t="s">
        <v>15984</v>
      </c>
      <c r="BA2634" s="82" t="s">
        <v>15984</v>
      </c>
      <c r="BB2634" s="82" t="s">
        <v>15984</v>
      </c>
      <c r="BC2634" s="82" t="s">
        <v>14230</v>
      </c>
      <c r="BD2634" s="82" t="s">
        <v>15979</v>
      </c>
      <c r="BE2634" s="77"/>
      <c r="BF2634" s="77"/>
      <c r="BG2634" s="77"/>
      <c r="BH2634" s="77"/>
      <c r="BI2634" s="77"/>
    </row>
    <row r="2635" spans="1:61" x14ac:dyDescent="0.25">
      <c r="A2635" s="62" t="s">
        <v>387</v>
      </c>
      <c r="B2635" s="62" t="s">
        <v>387</v>
      </c>
      <c r="C2635" s="63"/>
      <c r="D2635" s="64"/>
      <c r="E2635" s="65"/>
      <c r="F2635" s="66"/>
      <c r="G2635" s="63"/>
      <c r="H2635" s="67"/>
      <c r="I2635" s="68"/>
      <c r="J2635" s="68"/>
      <c r="K2635" s="32"/>
      <c r="L2635" s="75">
        <v>2635</v>
      </c>
      <c r="M2635" s="75"/>
      <c r="N2635" s="70"/>
      <c r="O2635" s="77" t="s">
        <v>179</v>
      </c>
      <c r="P2635" s="79">
        <v>45142.749224537038</v>
      </c>
      <c r="Q2635" s="77" t="s">
        <v>3307</v>
      </c>
      <c r="R2635" s="77">
        <v>1</v>
      </c>
      <c r="S2635" s="77">
        <v>1</v>
      </c>
      <c r="T2635" s="77">
        <v>0</v>
      </c>
      <c r="U2635" s="77">
        <v>0</v>
      </c>
      <c r="V2635" s="77">
        <v>386</v>
      </c>
      <c r="W2635" s="82" t="s">
        <v>4833</v>
      </c>
      <c r="X2635" s="80" t="str">
        <f>HYPERLINK("https://mla.bs/e397f73a")</f>
        <v>https://mla.bs/e397f73a</v>
      </c>
      <c r="Y2635" s="77" t="s">
        <v>6506</v>
      </c>
      <c r="Z2635" s="77"/>
      <c r="AA2635" s="77"/>
      <c r="AB2635" s="77"/>
      <c r="AC2635" s="82" t="s">
        <v>7754</v>
      </c>
      <c r="AD2635" s="77" t="s">
        <v>7788</v>
      </c>
      <c r="AE2635" s="80" t="str">
        <f>HYPERLINK("https://twitter.com/einvestidor/status/1687523514729844745")</f>
        <v>https://twitter.com/einvestidor/status/1687523514729844745</v>
      </c>
      <c r="AF2635" s="79">
        <v>45142.749224537038</v>
      </c>
      <c r="AG2635" s="85">
        <v>45142</v>
      </c>
      <c r="AH2635" s="82" t="s">
        <v>9789</v>
      </c>
      <c r="AI2635" s="77" t="b">
        <v>0</v>
      </c>
      <c r="AJ2635" s="77"/>
      <c r="AK2635" s="77"/>
      <c r="AL2635" s="77"/>
      <c r="AM2635" s="77"/>
      <c r="AN2635" s="77"/>
      <c r="AO2635" s="77"/>
      <c r="AP2635" s="77"/>
      <c r="AQ2635" s="77"/>
      <c r="AR2635" s="77"/>
      <c r="AS2635" s="77"/>
      <c r="AT2635" s="77"/>
      <c r="AU2635" s="77"/>
      <c r="AV2635" s="80" t="str">
        <f>HYPERLINK("https://pbs.twimg.com/profile_images/1241147984924082183/gZgx_hL-_normal.jpg")</f>
        <v>https://pbs.twimg.com/profile_images/1241147984924082183/gZgx_hL-_normal.jpg</v>
      </c>
      <c r="AW2635" s="82" t="s">
        <v>14231</v>
      </c>
      <c r="AX2635" s="82" t="s">
        <v>14231</v>
      </c>
      <c r="AY2635" s="77"/>
      <c r="AZ2635" s="82" t="s">
        <v>15984</v>
      </c>
      <c r="BA2635" s="82" t="s">
        <v>15984</v>
      </c>
      <c r="BB2635" s="82" t="s">
        <v>15984</v>
      </c>
      <c r="BC2635" s="82" t="s">
        <v>14231</v>
      </c>
      <c r="BD2635" s="82" t="s">
        <v>15979</v>
      </c>
      <c r="BE2635" s="77"/>
      <c r="BF2635" s="77"/>
      <c r="BG2635" s="77"/>
      <c r="BH2635" s="77"/>
      <c r="BI2635" s="77"/>
    </row>
    <row r="2636" spans="1:61" x14ac:dyDescent="0.25">
      <c r="A2636" s="62" t="s">
        <v>387</v>
      </c>
      <c r="B2636" s="62" t="s">
        <v>387</v>
      </c>
      <c r="C2636" s="63"/>
      <c r="D2636" s="64"/>
      <c r="E2636" s="65"/>
      <c r="F2636" s="66"/>
      <c r="G2636" s="63"/>
      <c r="H2636" s="67"/>
      <c r="I2636" s="68"/>
      <c r="J2636" s="68"/>
      <c r="K2636" s="32"/>
      <c r="L2636" s="75">
        <v>2636</v>
      </c>
      <c r="M2636" s="75"/>
      <c r="N2636" s="70"/>
      <c r="O2636" s="77" t="s">
        <v>179</v>
      </c>
      <c r="P2636" s="79">
        <v>45142.739583333336</v>
      </c>
      <c r="Q2636" s="77" t="s">
        <v>3308</v>
      </c>
      <c r="R2636" s="77">
        <v>0</v>
      </c>
      <c r="S2636" s="77">
        <v>2</v>
      </c>
      <c r="T2636" s="77">
        <v>0</v>
      </c>
      <c r="U2636" s="77">
        <v>0</v>
      </c>
      <c r="V2636" s="77">
        <v>427</v>
      </c>
      <c r="W2636" s="82" t="s">
        <v>4833</v>
      </c>
      <c r="X2636" s="80" t="str">
        <f>HYPERLINK("https://mla.bs/31ffd662")</f>
        <v>https://mla.bs/31ffd662</v>
      </c>
      <c r="Y2636" s="77" t="s">
        <v>6506</v>
      </c>
      <c r="Z2636" s="77"/>
      <c r="AA2636" s="77"/>
      <c r="AB2636" s="77"/>
      <c r="AC2636" s="82" t="s">
        <v>7754</v>
      </c>
      <c r="AD2636" s="77" t="s">
        <v>7788</v>
      </c>
      <c r="AE2636" s="80" t="str">
        <f>HYPERLINK("https://twitter.com/einvestidor/status/1687520021168463872")</f>
        <v>https://twitter.com/einvestidor/status/1687520021168463872</v>
      </c>
      <c r="AF2636" s="79">
        <v>45142.739583333336</v>
      </c>
      <c r="AG2636" s="85">
        <v>45142</v>
      </c>
      <c r="AH2636" s="82" t="s">
        <v>9626</v>
      </c>
      <c r="AI2636" s="77" t="b">
        <v>0</v>
      </c>
      <c r="AJ2636" s="77"/>
      <c r="AK2636" s="77"/>
      <c r="AL2636" s="77"/>
      <c r="AM2636" s="77"/>
      <c r="AN2636" s="77"/>
      <c r="AO2636" s="77"/>
      <c r="AP2636" s="77"/>
      <c r="AQ2636" s="77"/>
      <c r="AR2636" s="77"/>
      <c r="AS2636" s="77"/>
      <c r="AT2636" s="77"/>
      <c r="AU2636" s="77"/>
      <c r="AV2636" s="80" t="str">
        <f>HYPERLINK("https://pbs.twimg.com/profile_images/1241147984924082183/gZgx_hL-_normal.jpg")</f>
        <v>https://pbs.twimg.com/profile_images/1241147984924082183/gZgx_hL-_normal.jpg</v>
      </c>
      <c r="AW2636" s="82" t="s">
        <v>14232</v>
      </c>
      <c r="AX2636" s="82" t="s">
        <v>14232</v>
      </c>
      <c r="AY2636" s="77"/>
      <c r="AZ2636" s="82" t="s">
        <v>15984</v>
      </c>
      <c r="BA2636" s="82" t="s">
        <v>15984</v>
      </c>
      <c r="BB2636" s="82" t="s">
        <v>15984</v>
      </c>
      <c r="BC2636" s="82" t="s">
        <v>14232</v>
      </c>
      <c r="BD2636" s="82" t="s">
        <v>15979</v>
      </c>
      <c r="BE2636" s="77"/>
      <c r="BF2636" s="77"/>
      <c r="BG2636" s="77"/>
      <c r="BH2636" s="77"/>
      <c r="BI2636" s="77"/>
    </row>
    <row r="2637" spans="1:61" x14ac:dyDescent="0.25">
      <c r="A2637" s="62" t="s">
        <v>387</v>
      </c>
      <c r="B2637" s="62" t="s">
        <v>387</v>
      </c>
      <c r="C2637" s="63"/>
      <c r="D2637" s="64"/>
      <c r="E2637" s="65"/>
      <c r="F2637" s="66"/>
      <c r="G2637" s="63"/>
      <c r="H2637" s="67"/>
      <c r="I2637" s="68"/>
      <c r="J2637" s="68"/>
      <c r="K2637" s="32"/>
      <c r="L2637" s="75">
        <v>2637</v>
      </c>
      <c r="M2637" s="75"/>
      <c r="N2637" s="70"/>
      <c r="O2637" s="77" t="s">
        <v>179</v>
      </c>
      <c r="P2637" s="79">
        <v>45132.8125</v>
      </c>
      <c r="Q2637" s="77" t="s">
        <v>3309</v>
      </c>
      <c r="R2637" s="77">
        <v>0</v>
      </c>
      <c r="S2637" s="77">
        <v>1</v>
      </c>
      <c r="T2637" s="77">
        <v>0</v>
      </c>
      <c r="U2637" s="77">
        <v>0</v>
      </c>
      <c r="V2637" s="77">
        <v>530</v>
      </c>
      <c r="W2637" s="82" t="s">
        <v>4833</v>
      </c>
      <c r="X2637" s="80" t="str">
        <f>HYPERLINK("https://mla.bs/c674fb06")</f>
        <v>https://mla.bs/c674fb06</v>
      </c>
      <c r="Y2637" s="77" t="s">
        <v>6506</v>
      </c>
      <c r="Z2637" s="77"/>
      <c r="AA2637" s="77"/>
      <c r="AB2637" s="77"/>
      <c r="AC2637" s="82" t="s">
        <v>7754</v>
      </c>
      <c r="AD2637" s="77" t="s">
        <v>7788</v>
      </c>
      <c r="AE2637" s="80" t="str">
        <f>HYPERLINK("https://twitter.com/einvestidor/status/1683922567852089352")</f>
        <v>https://twitter.com/einvestidor/status/1683922567852089352</v>
      </c>
      <c r="AF2637" s="79">
        <v>45132.8125</v>
      </c>
      <c r="AG2637" s="85">
        <v>45132</v>
      </c>
      <c r="AH2637" s="82" t="s">
        <v>8281</v>
      </c>
      <c r="AI2637" s="77" t="b">
        <v>0</v>
      </c>
      <c r="AJ2637" s="77"/>
      <c r="AK2637" s="77"/>
      <c r="AL2637" s="77"/>
      <c r="AM2637" s="77"/>
      <c r="AN2637" s="77"/>
      <c r="AO2637" s="77"/>
      <c r="AP2637" s="77"/>
      <c r="AQ2637" s="77"/>
      <c r="AR2637" s="77"/>
      <c r="AS2637" s="77"/>
      <c r="AT2637" s="77"/>
      <c r="AU2637" s="77"/>
      <c r="AV2637" s="80" t="str">
        <f>HYPERLINK("https://pbs.twimg.com/profile_images/1241147984924082183/gZgx_hL-_normal.jpg")</f>
        <v>https://pbs.twimg.com/profile_images/1241147984924082183/gZgx_hL-_normal.jpg</v>
      </c>
      <c r="AW2637" s="82" t="s">
        <v>14233</v>
      </c>
      <c r="AX2637" s="82" t="s">
        <v>14233</v>
      </c>
      <c r="AY2637" s="77"/>
      <c r="AZ2637" s="82" t="s">
        <v>15984</v>
      </c>
      <c r="BA2637" s="82" t="s">
        <v>15984</v>
      </c>
      <c r="BB2637" s="82" t="s">
        <v>15984</v>
      </c>
      <c r="BC2637" s="82" t="s">
        <v>14233</v>
      </c>
      <c r="BD2637" s="82" t="s">
        <v>15979</v>
      </c>
      <c r="BE2637" s="77"/>
      <c r="BF2637" s="77"/>
      <c r="BG2637" s="77"/>
      <c r="BH2637" s="77"/>
      <c r="BI2637" s="77"/>
    </row>
    <row r="2638" spans="1:61" x14ac:dyDescent="0.25">
      <c r="A2638" s="62" t="s">
        <v>387</v>
      </c>
      <c r="B2638" s="62" t="s">
        <v>387</v>
      </c>
      <c r="C2638" s="63"/>
      <c r="D2638" s="64"/>
      <c r="E2638" s="65"/>
      <c r="F2638" s="66"/>
      <c r="G2638" s="63"/>
      <c r="H2638" s="67"/>
      <c r="I2638" s="68"/>
      <c r="J2638" s="68"/>
      <c r="K2638" s="32"/>
      <c r="L2638" s="75">
        <v>2638</v>
      </c>
      <c r="M2638" s="75"/>
      <c r="N2638" s="70"/>
      <c r="O2638" s="77" t="s">
        <v>179</v>
      </c>
      <c r="P2638" s="79">
        <v>45132.802083333336</v>
      </c>
      <c r="Q2638" s="77" t="s">
        <v>3310</v>
      </c>
      <c r="R2638" s="77">
        <v>0</v>
      </c>
      <c r="S2638" s="77">
        <v>2</v>
      </c>
      <c r="T2638" s="77">
        <v>0</v>
      </c>
      <c r="U2638" s="77">
        <v>0</v>
      </c>
      <c r="V2638" s="77">
        <v>534</v>
      </c>
      <c r="W2638" s="82" t="s">
        <v>4833</v>
      </c>
      <c r="X2638" s="80" t="str">
        <f>HYPERLINK("https://mla.bs/7cb591d6")</f>
        <v>https://mla.bs/7cb591d6</v>
      </c>
      <c r="Y2638" s="77" t="s">
        <v>6506</v>
      </c>
      <c r="Z2638" s="77"/>
      <c r="AA2638" s="77"/>
      <c r="AB2638" s="77"/>
      <c r="AC2638" s="82" t="s">
        <v>7754</v>
      </c>
      <c r="AD2638" s="77" t="s">
        <v>7788</v>
      </c>
      <c r="AE2638" s="80" t="str">
        <f>HYPERLINK("https://twitter.com/einvestidor/status/1683918791326187520")</f>
        <v>https://twitter.com/einvestidor/status/1683918791326187520</v>
      </c>
      <c r="AF2638" s="79">
        <v>45132.802083333336</v>
      </c>
      <c r="AG2638" s="85">
        <v>45132</v>
      </c>
      <c r="AH2638" s="82" t="s">
        <v>7868</v>
      </c>
      <c r="AI2638" s="77" t="b">
        <v>0</v>
      </c>
      <c r="AJ2638" s="77"/>
      <c r="AK2638" s="77"/>
      <c r="AL2638" s="77"/>
      <c r="AM2638" s="77"/>
      <c r="AN2638" s="77"/>
      <c r="AO2638" s="77"/>
      <c r="AP2638" s="77"/>
      <c r="AQ2638" s="77"/>
      <c r="AR2638" s="77"/>
      <c r="AS2638" s="77"/>
      <c r="AT2638" s="77"/>
      <c r="AU2638" s="77"/>
      <c r="AV2638" s="80" t="str">
        <f>HYPERLINK("https://pbs.twimg.com/profile_images/1241147984924082183/gZgx_hL-_normal.jpg")</f>
        <v>https://pbs.twimg.com/profile_images/1241147984924082183/gZgx_hL-_normal.jpg</v>
      </c>
      <c r="AW2638" s="82" t="s">
        <v>14234</v>
      </c>
      <c r="AX2638" s="82" t="s">
        <v>14234</v>
      </c>
      <c r="AY2638" s="77"/>
      <c r="AZ2638" s="82" t="s">
        <v>15984</v>
      </c>
      <c r="BA2638" s="82" t="s">
        <v>15984</v>
      </c>
      <c r="BB2638" s="82" t="s">
        <v>15984</v>
      </c>
      <c r="BC2638" s="82" t="s">
        <v>14234</v>
      </c>
      <c r="BD2638" s="82" t="s">
        <v>15979</v>
      </c>
      <c r="BE2638" s="77"/>
      <c r="BF2638" s="77"/>
      <c r="BG2638" s="77"/>
      <c r="BH2638" s="77"/>
      <c r="BI2638" s="77"/>
    </row>
    <row r="2639" spans="1:61" x14ac:dyDescent="0.25">
      <c r="A2639" s="62" t="s">
        <v>387</v>
      </c>
      <c r="B2639" s="62" t="s">
        <v>387</v>
      </c>
      <c r="C2639" s="63"/>
      <c r="D2639" s="64"/>
      <c r="E2639" s="65"/>
      <c r="F2639" s="66"/>
      <c r="G2639" s="63"/>
      <c r="H2639" s="67"/>
      <c r="I2639" s="68"/>
      <c r="J2639" s="68"/>
      <c r="K2639" s="32"/>
      <c r="L2639" s="75">
        <v>2639</v>
      </c>
      <c r="M2639" s="75"/>
      <c r="N2639" s="70"/>
      <c r="O2639" s="77" t="s">
        <v>179</v>
      </c>
      <c r="P2639" s="79">
        <v>45132.791678240741</v>
      </c>
      <c r="Q2639" s="77" t="s">
        <v>3311</v>
      </c>
      <c r="R2639" s="77">
        <v>1</v>
      </c>
      <c r="S2639" s="77">
        <v>1</v>
      </c>
      <c r="T2639" s="77">
        <v>0</v>
      </c>
      <c r="U2639" s="77">
        <v>0</v>
      </c>
      <c r="V2639" s="77">
        <v>530</v>
      </c>
      <c r="W2639" s="82" t="s">
        <v>4833</v>
      </c>
      <c r="X2639" s="80" t="str">
        <f>HYPERLINK("https://mla.bs/44a42d3a")</f>
        <v>https://mla.bs/44a42d3a</v>
      </c>
      <c r="Y2639" s="77" t="s">
        <v>6506</v>
      </c>
      <c r="Z2639" s="77"/>
      <c r="AA2639" s="77"/>
      <c r="AB2639" s="77"/>
      <c r="AC2639" s="82" t="s">
        <v>7754</v>
      </c>
      <c r="AD2639" s="77" t="s">
        <v>7788</v>
      </c>
      <c r="AE2639" s="80" t="str">
        <f>HYPERLINK("https://twitter.com/einvestidor/status/1683915023276724224")</f>
        <v>https://twitter.com/einvestidor/status/1683915023276724224</v>
      </c>
      <c r="AF2639" s="79">
        <v>45132.791678240741</v>
      </c>
      <c r="AG2639" s="85">
        <v>45132</v>
      </c>
      <c r="AH2639" s="82" t="s">
        <v>7933</v>
      </c>
      <c r="AI2639" s="77" t="b">
        <v>0</v>
      </c>
      <c r="AJ2639" s="77"/>
      <c r="AK2639" s="77"/>
      <c r="AL2639" s="77"/>
      <c r="AM2639" s="77"/>
      <c r="AN2639" s="77"/>
      <c r="AO2639" s="77"/>
      <c r="AP2639" s="77"/>
      <c r="AQ2639" s="77"/>
      <c r="AR2639" s="77"/>
      <c r="AS2639" s="77"/>
      <c r="AT2639" s="77"/>
      <c r="AU2639" s="77"/>
      <c r="AV2639" s="80" t="str">
        <f>HYPERLINK("https://pbs.twimg.com/profile_images/1241147984924082183/gZgx_hL-_normal.jpg")</f>
        <v>https://pbs.twimg.com/profile_images/1241147984924082183/gZgx_hL-_normal.jpg</v>
      </c>
      <c r="AW2639" s="82" t="s">
        <v>14235</v>
      </c>
      <c r="AX2639" s="82" t="s">
        <v>14235</v>
      </c>
      <c r="AY2639" s="77"/>
      <c r="AZ2639" s="82" t="s">
        <v>15984</v>
      </c>
      <c r="BA2639" s="82" t="s">
        <v>15984</v>
      </c>
      <c r="BB2639" s="82" t="s">
        <v>15984</v>
      </c>
      <c r="BC2639" s="82" t="s">
        <v>14235</v>
      </c>
      <c r="BD2639" s="82" t="s">
        <v>15979</v>
      </c>
      <c r="BE2639" s="77"/>
      <c r="BF2639" s="77"/>
      <c r="BG2639" s="77"/>
      <c r="BH2639" s="77"/>
      <c r="BI2639" s="77"/>
    </row>
    <row r="2640" spans="1:61" x14ac:dyDescent="0.25">
      <c r="A2640" s="62" t="s">
        <v>387</v>
      </c>
      <c r="B2640" s="62" t="s">
        <v>387</v>
      </c>
      <c r="C2640" s="63"/>
      <c r="D2640" s="64"/>
      <c r="E2640" s="65"/>
      <c r="F2640" s="66"/>
      <c r="G2640" s="63"/>
      <c r="H2640" s="67"/>
      <c r="I2640" s="68"/>
      <c r="J2640" s="68"/>
      <c r="K2640" s="32"/>
      <c r="L2640" s="75">
        <v>2640</v>
      </c>
      <c r="M2640" s="75"/>
      <c r="N2640" s="70"/>
      <c r="O2640" s="77" t="s">
        <v>179</v>
      </c>
      <c r="P2640" s="79">
        <v>45132.78125</v>
      </c>
      <c r="Q2640" s="77" t="s">
        <v>3312</v>
      </c>
      <c r="R2640" s="77">
        <v>1</v>
      </c>
      <c r="S2640" s="77">
        <v>2</v>
      </c>
      <c r="T2640" s="77">
        <v>0</v>
      </c>
      <c r="U2640" s="77">
        <v>0</v>
      </c>
      <c r="V2640" s="77">
        <v>435</v>
      </c>
      <c r="W2640" s="82" t="s">
        <v>4833</v>
      </c>
      <c r="X2640" s="80" t="str">
        <f>HYPERLINK("https://mla.bs/b03cb6d6")</f>
        <v>https://mla.bs/b03cb6d6</v>
      </c>
      <c r="Y2640" s="77" t="s">
        <v>6506</v>
      </c>
      <c r="Z2640" s="77"/>
      <c r="AA2640" s="77"/>
      <c r="AB2640" s="77"/>
      <c r="AC2640" s="82" t="s">
        <v>7754</v>
      </c>
      <c r="AD2640" s="77" t="s">
        <v>7788</v>
      </c>
      <c r="AE2640" s="80" t="str">
        <f>HYPERLINK("https://twitter.com/einvestidor/status/1683911241591590917")</f>
        <v>https://twitter.com/einvestidor/status/1683911241591590917</v>
      </c>
      <c r="AF2640" s="79">
        <v>45132.78125</v>
      </c>
      <c r="AG2640" s="85">
        <v>45132</v>
      </c>
      <c r="AH2640" s="82" t="s">
        <v>9581</v>
      </c>
      <c r="AI2640" s="77" t="b">
        <v>0</v>
      </c>
      <c r="AJ2640" s="77"/>
      <c r="AK2640" s="77"/>
      <c r="AL2640" s="77"/>
      <c r="AM2640" s="77"/>
      <c r="AN2640" s="77"/>
      <c r="AO2640" s="77"/>
      <c r="AP2640" s="77"/>
      <c r="AQ2640" s="77"/>
      <c r="AR2640" s="77"/>
      <c r="AS2640" s="77"/>
      <c r="AT2640" s="77"/>
      <c r="AU2640" s="77"/>
      <c r="AV2640" s="80" t="str">
        <f>HYPERLINK("https://pbs.twimg.com/profile_images/1241147984924082183/gZgx_hL-_normal.jpg")</f>
        <v>https://pbs.twimg.com/profile_images/1241147984924082183/gZgx_hL-_normal.jpg</v>
      </c>
      <c r="AW2640" s="82" t="s">
        <v>14236</v>
      </c>
      <c r="AX2640" s="82" t="s">
        <v>14236</v>
      </c>
      <c r="AY2640" s="77"/>
      <c r="AZ2640" s="82" t="s">
        <v>15984</v>
      </c>
      <c r="BA2640" s="82" t="s">
        <v>15984</v>
      </c>
      <c r="BB2640" s="82" t="s">
        <v>15984</v>
      </c>
      <c r="BC2640" s="82" t="s">
        <v>14236</v>
      </c>
      <c r="BD2640" s="82" t="s">
        <v>15979</v>
      </c>
      <c r="BE2640" s="77"/>
      <c r="BF2640" s="77"/>
      <c r="BG2640" s="77"/>
      <c r="BH2640" s="77"/>
      <c r="BI2640" s="77"/>
    </row>
    <row r="2641" spans="1:61" x14ac:dyDescent="0.25">
      <c r="A2641" s="62" t="s">
        <v>387</v>
      </c>
      <c r="B2641" s="62" t="s">
        <v>387</v>
      </c>
      <c r="C2641" s="63"/>
      <c r="D2641" s="64"/>
      <c r="E2641" s="65"/>
      <c r="F2641" s="66"/>
      <c r="G2641" s="63"/>
      <c r="H2641" s="67"/>
      <c r="I2641" s="68"/>
      <c r="J2641" s="68"/>
      <c r="K2641" s="32"/>
      <c r="L2641" s="75">
        <v>2641</v>
      </c>
      <c r="M2641" s="75"/>
      <c r="N2641" s="70"/>
      <c r="O2641" s="77" t="s">
        <v>179</v>
      </c>
      <c r="P2641" s="79">
        <v>45132.744421296295</v>
      </c>
      <c r="Q2641" s="77" t="s">
        <v>3313</v>
      </c>
      <c r="R2641" s="77">
        <v>0</v>
      </c>
      <c r="S2641" s="77">
        <v>1</v>
      </c>
      <c r="T2641" s="77">
        <v>0</v>
      </c>
      <c r="U2641" s="77">
        <v>0</v>
      </c>
      <c r="V2641" s="77">
        <v>465</v>
      </c>
      <c r="W2641" s="82" t="s">
        <v>4833</v>
      </c>
      <c r="X2641" s="80" t="str">
        <f>HYPERLINK("https://mla.bs/9ce37c09")</f>
        <v>https://mla.bs/9ce37c09</v>
      </c>
      <c r="Y2641" s="77" t="s">
        <v>6506</v>
      </c>
      <c r="Z2641" s="77"/>
      <c r="AA2641" s="77"/>
      <c r="AB2641" s="77"/>
      <c r="AC2641" s="82" t="s">
        <v>7754</v>
      </c>
      <c r="AD2641" s="77" t="s">
        <v>7788</v>
      </c>
      <c r="AE2641" s="80" t="str">
        <f>HYPERLINK("https://twitter.com/einvestidor/status/1683897897555726337")</f>
        <v>https://twitter.com/einvestidor/status/1683897897555726337</v>
      </c>
      <c r="AF2641" s="79">
        <v>45132.744421296295</v>
      </c>
      <c r="AG2641" s="85">
        <v>45132</v>
      </c>
      <c r="AH2641" s="82" t="s">
        <v>9790</v>
      </c>
      <c r="AI2641" s="77" t="b">
        <v>0</v>
      </c>
      <c r="AJ2641" s="77"/>
      <c r="AK2641" s="77"/>
      <c r="AL2641" s="77"/>
      <c r="AM2641" s="77"/>
      <c r="AN2641" s="77"/>
      <c r="AO2641" s="77"/>
      <c r="AP2641" s="77"/>
      <c r="AQ2641" s="77"/>
      <c r="AR2641" s="77"/>
      <c r="AS2641" s="77"/>
      <c r="AT2641" s="77"/>
      <c r="AU2641" s="77"/>
      <c r="AV2641" s="80" t="str">
        <f>HYPERLINK("https://pbs.twimg.com/profile_images/1241147984924082183/gZgx_hL-_normal.jpg")</f>
        <v>https://pbs.twimg.com/profile_images/1241147984924082183/gZgx_hL-_normal.jpg</v>
      </c>
      <c r="AW2641" s="82" t="s">
        <v>14237</v>
      </c>
      <c r="AX2641" s="82" t="s">
        <v>14237</v>
      </c>
      <c r="AY2641" s="77"/>
      <c r="AZ2641" s="82" t="s">
        <v>15984</v>
      </c>
      <c r="BA2641" s="82" t="s">
        <v>15984</v>
      </c>
      <c r="BB2641" s="82" t="s">
        <v>15984</v>
      </c>
      <c r="BC2641" s="82" t="s">
        <v>14237</v>
      </c>
      <c r="BD2641" s="82" t="s">
        <v>15979</v>
      </c>
      <c r="BE2641" s="77"/>
      <c r="BF2641" s="77"/>
      <c r="BG2641" s="77"/>
      <c r="BH2641" s="77"/>
      <c r="BI2641" s="77"/>
    </row>
    <row r="2642" spans="1:61" x14ac:dyDescent="0.25">
      <c r="A2642" s="62" t="s">
        <v>387</v>
      </c>
      <c r="B2642" s="62" t="s">
        <v>387</v>
      </c>
      <c r="C2642" s="63"/>
      <c r="D2642" s="64"/>
      <c r="E2642" s="65"/>
      <c r="F2642" s="66"/>
      <c r="G2642" s="63"/>
      <c r="H2642" s="67"/>
      <c r="I2642" s="68"/>
      <c r="J2642" s="68"/>
      <c r="K2642" s="32"/>
      <c r="L2642" s="75">
        <v>2642</v>
      </c>
      <c r="M2642" s="75"/>
      <c r="N2642" s="70"/>
      <c r="O2642" s="77" t="s">
        <v>179</v>
      </c>
      <c r="P2642" s="79">
        <v>45132.739583333336</v>
      </c>
      <c r="Q2642" s="77" t="s">
        <v>3314</v>
      </c>
      <c r="R2642" s="77">
        <v>0</v>
      </c>
      <c r="S2642" s="77">
        <v>1</v>
      </c>
      <c r="T2642" s="77">
        <v>0</v>
      </c>
      <c r="U2642" s="77">
        <v>0</v>
      </c>
      <c r="V2642" s="77">
        <v>672</v>
      </c>
      <c r="W2642" s="82" t="s">
        <v>4833</v>
      </c>
      <c r="X2642" s="80" t="str">
        <f>HYPERLINK("https://mla.bs/f205efc3")</f>
        <v>https://mla.bs/f205efc3</v>
      </c>
      <c r="Y2642" s="77" t="s">
        <v>6506</v>
      </c>
      <c r="Z2642" s="77"/>
      <c r="AA2642" s="77"/>
      <c r="AB2642" s="77"/>
      <c r="AC2642" s="82" t="s">
        <v>7754</v>
      </c>
      <c r="AD2642" s="77" t="s">
        <v>7788</v>
      </c>
      <c r="AE2642" s="80" t="str">
        <f>HYPERLINK("https://twitter.com/einvestidor/status/1683896142529019904")</f>
        <v>https://twitter.com/einvestidor/status/1683896142529019904</v>
      </c>
      <c r="AF2642" s="79">
        <v>45132.739583333336</v>
      </c>
      <c r="AG2642" s="85">
        <v>45132</v>
      </c>
      <c r="AH2642" s="82" t="s">
        <v>9626</v>
      </c>
      <c r="AI2642" s="77" t="b">
        <v>0</v>
      </c>
      <c r="AJ2642" s="77"/>
      <c r="AK2642" s="77"/>
      <c r="AL2642" s="77"/>
      <c r="AM2642" s="77"/>
      <c r="AN2642" s="77"/>
      <c r="AO2642" s="77"/>
      <c r="AP2642" s="77"/>
      <c r="AQ2642" s="77"/>
      <c r="AR2642" s="77"/>
      <c r="AS2642" s="77"/>
      <c r="AT2642" s="77"/>
      <c r="AU2642" s="77"/>
      <c r="AV2642" s="80" t="str">
        <f>HYPERLINK("https://pbs.twimg.com/profile_images/1241147984924082183/gZgx_hL-_normal.jpg")</f>
        <v>https://pbs.twimg.com/profile_images/1241147984924082183/gZgx_hL-_normal.jpg</v>
      </c>
      <c r="AW2642" s="82" t="s">
        <v>14238</v>
      </c>
      <c r="AX2642" s="82" t="s">
        <v>14238</v>
      </c>
      <c r="AY2642" s="77"/>
      <c r="AZ2642" s="82" t="s">
        <v>15984</v>
      </c>
      <c r="BA2642" s="82" t="s">
        <v>15984</v>
      </c>
      <c r="BB2642" s="82" t="s">
        <v>15984</v>
      </c>
      <c r="BC2642" s="82" t="s">
        <v>14238</v>
      </c>
      <c r="BD2642" s="82" t="s">
        <v>15979</v>
      </c>
      <c r="BE2642" s="77"/>
      <c r="BF2642" s="77"/>
      <c r="BG2642" s="77"/>
      <c r="BH2642" s="77"/>
      <c r="BI2642" s="77"/>
    </row>
    <row r="2643" spans="1:61" x14ac:dyDescent="0.25">
      <c r="A2643" s="62" t="s">
        <v>387</v>
      </c>
      <c r="B2643" s="62" t="s">
        <v>387</v>
      </c>
      <c r="C2643" s="63"/>
      <c r="D2643" s="64"/>
      <c r="E2643" s="65"/>
      <c r="F2643" s="66"/>
      <c r="G2643" s="63"/>
      <c r="H2643" s="67"/>
      <c r="I2643" s="68"/>
      <c r="J2643" s="68"/>
      <c r="K2643" s="32"/>
      <c r="L2643" s="75">
        <v>2643</v>
      </c>
      <c r="M2643" s="75"/>
      <c r="N2643" s="70"/>
      <c r="O2643" s="77" t="s">
        <v>179</v>
      </c>
      <c r="P2643" s="79">
        <v>45132.697916666664</v>
      </c>
      <c r="Q2643" s="77" t="s">
        <v>3315</v>
      </c>
      <c r="R2643" s="77">
        <v>0</v>
      </c>
      <c r="S2643" s="77">
        <v>0</v>
      </c>
      <c r="T2643" s="77">
        <v>0</v>
      </c>
      <c r="U2643" s="77">
        <v>0</v>
      </c>
      <c r="V2643" s="77">
        <v>475</v>
      </c>
      <c r="W2643" s="82" t="s">
        <v>4833</v>
      </c>
      <c r="X2643" s="80" t="str">
        <f>HYPERLINK("https://mla.bs/b316bfa6")</f>
        <v>https://mla.bs/b316bfa6</v>
      </c>
      <c r="Y2643" s="77" t="s">
        <v>6506</v>
      </c>
      <c r="Z2643" s="77"/>
      <c r="AA2643" s="77"/>
      <c r="AB2643" s="77"/>
      <c r="AC2643" s="82" t="s">
        <v>7754</v>
      </c>
      <c r="AD2643" s="77" t="s">
        <v>7788</v>
      </c>
      <c r="AE2643" s="80" t="str">
        <f>HYPERLINK("https://twitter.com/einvestidor/status/1683881042963230721")</f>
        <v>https://twitter.com/einvestidor/status/1683881042963230721</v>
      </c>
      <c r="AF2643" s="79">
        <v>45132.697916666664</v>
      </c>
      <c r="AG2643" s="85">
        <v>45132</v>
      </c>
      <c r="AH2643" s="82" t="s">
        <v>9659</v>
      </c>
      <c r="AI2643" s="77" t="b">
        <v>0</v>
      </c>
      <c r="AJ2643" s="77"/>
      <c r="AK2643" s="77"/>
      <c r="AL2643" s="77"/>
      <c r="AM2643" s="77"/>
      <c r="AN2643" s="77"/>
      <c r="AO2643" s="77"/>
      <c r="AP2643" s="77"/>
      <c r="AQ2643" s="77"/>
      <c r="AR2643" s="77"/>
      <c r="AS2643" s="77"/>
      <c r="AT2643" s="77"/>
      <c r="AU2643" s="77"/>
      <c r="AV2643" s="80" t="str">
        <f>HYPERLINK("https://pbs.twimg.com/profile_images/1241147984924082183/gZgx_hL-_normal.jpg")</f>
        <v>https://pbs.twimg.com/profile_images/1241147984924082183/gZgx_hL-_normal.jpg</v>
      </c>
      <c r="AW2643" s="82" t="s">
        <v>14239</v>
      </c>
      <c r="AX2643" s="82" t="s">
        <v>14239</v>
      </c>
      <c r="AY2643" s="77"/>
      <c r="AZ2643" s="82" t="s">
        <v>15984</v>
      </c>
      <c r="BA2643" s="82" t="s">
        <v>15984</v>
      </c>
      <c r="BB2643" s="82" t="s">
        <v>15984</v>
      </c>
      <c r="BC2643" s="82" t="s">
        <v>14239</v>
      </c>
      <c r="BD2643" s="82" t="s">
        <v>15979</v>
      </c>
      <c r="BE2643" s="77"/>
      <c r="BF2643" s="77"/>
      <c r="BG2643" s="77"/>
      <c r="BH2643" s="77"/>
      <c r="BI2643" s="77"/>
    </row>
    <row r="2644" spans="1:61" x14ac:dyDescent="0.25">
      <c r="A2644" s="62" t="s">
        <v>387</v>
      </c>
      <c r="B2644" s="62" t="s">
        <v>387</v>
      </c>
      <c r="C2644" s="63"/>
      <c r="D2644" s="64"/>
      <c r="E2644" s="65"/>
      <c r="F2644" s="66"/>
      <c r="G2644" s="63"/>
      <c r="H2644" s="67"/>
      <c r="I2644" s="68"/>
      <c r="J2644" s="68"/>
      <c r="K2644" s="32"/>
      <c r="L2644" s="75">
        <v>2644</v>
      </c>
      <c r="M2644" s="75"/>
      <c r="N2644" s="70"/>
      <c r="O2644" s="77" t="s">
        <v>179</v>
      </c>
      <c r="P2644" s="79">
        <v>45132.6875</v>
      </c>
      <c r="Q2644" s="77" t="s">
        <v>3316</v>
      </c>
      <c r="R2644" s="77">
        <v>0</v>
      </c>
      <c r="S2644" s="77">
        <v>0</v>
      </c>
      <c r="T2644" s="77">
        <v>0</v>
      </c>
      <c r="U2644" s="77">
        <v>0</v>
      </c>
      <c r="V2644" s="77">
        <v>570</v>
      </c>
      <c r="W2644" s="82" t="s">
        <v>4833</v>
      </c>
      <c r="X2644" s="80" t="str">
        <f>HYPERLINK("https://mla.bs/ab01415e")</f>
        <v>https://mla.bs/ab01415e</v>
      </c>
      <c r="Y2644" s="77" t="s">
        <v>6506</v>
      </c>
      <c r="Z2644" s="77"/>
      <c r="AA2644" s="77"/>
      <c r="AB2644" s="77"/>
      <c r="AC2644" s="82" t="s">
        <v>7754</v>
      </c>
      <c r="AD2644" s="77" t="s">
        <v>7788</v>
      </c>
      <c r="AE2644" s="80" t="str">
        <f>HYPERLINK("https://twitter.com/einvestidor/status/1683877270035869701")</f>
        <v>https://twitter.com/einvestidor/status/1683877270035869701</v>
      </c>
      <c r="AF2644" s="79">
        <v>45132.6875</v>
      </c>
      <c r="AG2644" s="85">
        <v>45132</v>
      </c>
      <c r="AH2644" s="82" t="s">
        <v>9286</v>
      </c>
      <c r="AI2644" s="77" t="b">
        <v>0</v>
      </c>
      <c r="AJ2644" s="77"/>
      <c r="AK2644" s="77"/>
      <c r="AL2644" s="77"/>
      <c r="AM2644" s="77"/>
      <c r="AN2644" s="77"/>
      <c r="AO2644" s="77"/>
      <c r="AP2644" s="77"/>
      <c r="AQ2644" s="77"/>
      <c r="AR2644" s="77"/>
      <c r="AS2644" s="77"/>
      <c r="AT2644" s="77"/>
      <c r="AU2644" s="77"/>
      <c r="AV2644" s="80" t="str">
        <f>HYPERLINK("https://pbs.twimg.com/profile_images/1241147984924082183/gZgx_hL-_normal.jpg")</f>
        <v>https://pbs.twimg.com/profile_images/1241147984924082183/gZgx_hL-_normal.jpg</v>
      </c>
      <c r="AW2644" s="82" t="s">
        <v>14240</v>
      </c>
      <c r="AX2644" s="82" t="s">
        <v>14240</v>
      </c>
      <c r="AY2644" s="77"/>
      <c r="AZ2644" s="82" t="s">
        <v>15984</v>
      </c>
      <c r="BA2644" s="82" t="s">
        <v>15984</v>
      </c>
      <c r="BB2644" s="82" t="s">
        <v>15984</v>
      </c>
      <c r="BC2644" s="82" t="s">
        <v>14240</v>
      </c>
      <c r="BD2644" s="82" t="s">
        <v>15979</v>
      </c>
      <c r="BE2644" s="77"/>
      <c r="BF2644" s="77"/>
      <c r="BG2644" s="77"/>
      <c r="BH2644" s="77"/>
      <c r="BI2644" s="77"/>
    </row>
    <row r="2645" spans="1:61" x14ac:dyDescent="0.25">
      <c r="A2645" s="62" t="s">
        <v>387</v>
      </c>
      <c r="B2645" s="62" t="s">
        <v>387</v>
      </c>
      <c r="C2645" s="63"/>
      <c r="D2645" s="64"/>
      <c r="E2645" s="65"/>
      <c r="F2645" s="66"/>
      <c r="G2645" s="63"/>
      <c r="H2645" s="67"/>
      <c r="I2645" s="68"/>
      <c r="J2645" s="68"/>
      <c r="K2645" s="32"/>
      <c r="L2645" s="75">
        <v>2645</v>
      </c>
      <c r="M2645" s="75"/>
      <c r="N2645" s="70"/>
      <c r="O2645" s="77" t="s">
        <v>179</v>
      </c>
      <c r="P2645" s="79">
        <v>45132.677083333336</v>
      </c>
      <c r="Q2645" s="77" t="s">
        <v>3317</v>
      </c>
      <c r="R2645" s="77">
        <v>0</v>
      </c>
      <c r="S2645" s="77">
        <v>3</v>
      </c>
      <c r="T2645" s="77">
        <v>0</v>
      </c>
      <c r="U2645" s="77">
        <v>0</v>
      </c>
      <c r="V2645" s="77">
        <v>691</v>
      </c>
      <c r="W2645" s="82" t="s">
        <v>4833</v>
      </c>
      <c r="X2645" s="80" t="str">
        <f>HYPERLINK("https://mla.bs/44862850")</f>
        <v>https://mla.bs/44862850</v>
      </c>
      <c r="Y2645" s="77" t="s">
        <v>6506</v>
      </c>
      <c r="Z2645" s="77"/>
      <c r="AA2645" s="77"/>
      <c r="AB2645" s="77"/>
      <c r="AC2645" s="82" t="s">
        <v>7754</v>
      </c>
      <c r="AD2645" s="77" t="s">
        <v>7788</v>
      </c>
      <c r="AE2645" s="80" t="str">
        <f>HYPERLINK("https://twitter.com/einvestidor/status/1683873493069307904")</f>
        <v>https://twitter.com/einvestidor/status/1683873493069307904</v>
      </c>
      <c r="AF2645" s="79">
        <v>45132.677083333336</v>
      </c>
      <c r="AG2645" s="85">
        <v>45132</v>
      </c>
      <c r="AH2645" s="82" t="s">
        <v>9628</v>
      </c>
      <c r="AI2645" s="77" t="b">
        <v>0</v>
      </c>
      <c r="AJ2645" s="77"/>
      <c r="AK2645" s="77"/>
      <c r="AL2645" s="77"/>
      <c r="AM2645" s="77"/>
      <c r="AN2645" s="77"/>
      <c r="AO2645" s="77"/>
      <c r="AP2645" s="77"/>
      <c r="AQ2645" s="77"/>
      <c r="AR2645" s="77"/>
      <c r="AS2645" s="77"/>
      <c r="AT2645" s="77"/>
      <c r="AU2645" s="77"/>
      <c r="AV2645" s="80" t="str">
        <f>HYPERLINK("https://pbs.twimg.com/profile_images/1241147984924082183/gZgx_hL-_normal.jpg")</f>
        <v>https://pbs.twimg.com/profile_images/1241147984924082183/gZgx_hL-_normal.jpg</v>
      </c>
      <c r="AW2645" s="82" t="s">
        <v>14241</v>
      </c>
      <c r="AX2645" s="82" t="s">
        <v>14241</v>
      </c>
      <c r="AY2645" s="77"/>
      <c r="AZ2645" s="82" t="s">
        <v>15984</v>
      </c>
      <c r="BA2645" s="82" t="s">
        <v>15984</v>
      </c>
      <c r="BB2645" s="82" t="s">
        <v>15984</v>
      </c>
      <c r="BC2645" s="82" t="s">
        <v>14241</v>
      </c>
      <c r="BD2645" s="82" t="s">
        <v>15979</v>
      </c>
      <c r="BE2645" s="77"/>
      <c r="BF2645" s="77"/>
      <c r="BG2645" s="77"/>
      <c r="BH2645" s="77"/>
      <c r="BI2645" s="77"/>
    </row>
    <row r="2646" spans="1:61" x14ac:dyDescent="0.25">
      <c r="A2646" s="62" t="s">
        <v>387</v>
      </c>
      <c r="B2646" s="62" t="s">
        <v>387</v>
      </c>
      <c r="C2646" s="63"/>
      <c r="D2646" s="64"/>
      <c r="E2646" s="65"/>
      <c r="F2646" s="66"/>
      <c r="G2646" s="63"/>
      <c r="H2646" s="67"/>
      <c r="I2646" s="68"/>
      <c r="J2646" s="68"/>
      <c r="K2646" s="32"/>
      <c r="L2646" s="75">
        <v>2646</v>
      </c>
      <c r="M2646" s="75"/>
      <c r="N2646" s="70"/>
      <c r="O2646" s="77" t="s">
        <v>179</v>
      </c>
      <c r="P2646" s="79">
        <v>45132.65625</v>
      </c>
      <c r="Q2646" s="77" t="s">
        <v>3318</v>
      </c>
      <c r="R2646" s="77">
        <v>0</v>
      </c>
      <c r="S2646" s="77">
        <v>0</v>
      </c>
      <c r="T2646" s="77">
        <v>0</v>
      </c>
      <c r="U2646" s="77">
        <v>0</v>
      </c>
      <c r="V2646" s="77">
        <v>512</v>
      </c>
      <c r="W2646" s="82" t="s">
        <v>4833</v>
      </c>
      <c r="X2646" s="80" t="str">
        <f>HYPERLINK("https://mla.bs/9272b076")</f>
        <v>https://mla.bs/9272b076</v>
      </c>
      <c r="Y2646" s="77" t="s">
        <v>6506</v>
      </c>
      <c r="Z2646" s="77"/>
      <c r="AA2646" s="77"/>
      <c r="AB2646" s="77"/>
      <c r="AC2646" s="82" t="s">
        <v>7754</v>
      </c>
      <c r="AD2646" s="77" t="s">
        <v>7788</v>
      </c>
      <c r="AE2646" s="80" t="str">
        <f>HYPERLINK("https://twitter.com/einvestidor/status/1683865943175471104")</f>
        <v>https://twitter.com/einvestidor/status/1683865943175471104</v>
      </c>
      <c r="AF2646" s="79">
        <v>45132.65625</v>
      </c>
      <c r="AG2646" s="85">
        <v>45132</v>
      </c>
      <c r="AH2646" s="82" t="s">
        <v>9603</v>
      </c>
      <c r="AI2646" s="77" t="b">
        <v>0</v>
      </c>
      <c r="AJ2646" s="77"/>
      <c r="AK2646" s="77"/>
      <c r="AL2646" s="77"/>
      <c r="AM2646" s="77"/>
      <c r="AN2646" s="77"/>
      <c r="AO2646" s="77"/>
      <c r="AP2646" s="77"/>
      <c r="AQ2646" s="77"/>
      <c r="AR2646" s="77"/>
      <c r="AS2646" s="77"/>
      <c r="AT2646" s="77"/>
      <c r="AU2646" s="77"/>
      <c r="AV2646" s="80" t="str">
        <f>HYPERLINK("https://pbs.twimg.com/profile_images/1241147984924082183/gZgx_hL-_normal.jpg")</f>
        <v>https://pbs.twimg.com/profile_images/1241147984924082183/gZgx_hL-_normal.jpg</v>
      </c>
      <c r="AW2646" s="82" t="s">
        <v>14242</v>
      </c>
      <c r="AX2646" s="82" t="s">
        <v>14242</v>
      </c>
      <c r="AY2646" s="77"/>
      <c r="AZ2646" s="82" t="s">
        <v>15984</v>
      </c>
      <c r="BA2646" s="82" t="s">
        <v>15984</v>
      </c>
      <c r="BB2646" s="82" t="s">
        <v>15984</v>
      </c>
      <c r="BC2646" s="82" t="s">
        <v>14242</v>
      </c>
      <c r="BD2646" s="82" t="s">
        <v>15979</v>
      </c>
      <c r="BE2646" s="77"/>
      <c r="BF2646" s="77"/>
      <c r="BG2646" s="77"/>
      <c r="BH2646" s="77"/>
      <c r="BI2646" s="77"/>
    </row>
    <row r="2647" spans="1:61" x14ac:dyDescent="0.25">
      <c r="A2647" s="62" t="s">
        <v>387</v>
      </c>
      <c r="B2647" s="62" t="s">
        <v>387</v>
      </c>
      <c r="C2647" s="63"/>
      <c r="D2647" s="64"/>
      <c r="E2647" s="65"/>
      <c r="F2647" s="66"/>
      <c r="G2647" s="63"/>
      <c r="H2647" s="67"/>
      <c r="I2647" s="68"/>
      <c r="J2647" s="68"/>
      <c r="K2647" s="32"/>
      <c r="L2647" s="75">
        <v>2647</v>
      </c>
      <c r="M2647" s="75"/>
      <c r="N2647" s="70"/>
      <c r="O2647" s="77" t="s">
        <v>179</v>
      </c>
      <c r="P2647" s="79">
        <v>45125.69840277778</v>
      </c>
      <c r="Q2647" s="77" t="s">
        <v>3319</v>
      </c>
      <c r="R2647" s="77">
        <v>0</v>
      </c>
      <c r="S2647" s="77">
        <v>1</v>
      </c>
      <c r="T2647" s="77">
        <v>0</v>
      </c>
      <c r="U2647" s="77">
        <v>0</v>
      </c>
      <c r="V2647" s="77">
        <v>701</v>
      </c>
      <c r="W2647" s="82" t="s">
        <v>4833</v>
      </c>
      <c r="X2647" s="80" t="str">
        <f>HYPERLINK("https://mla.bs/fe7406d2")</f>
        <v>https://mla.bs/fe7406d2</v>
      </c>
      <c r="Y2647" s="77" t="s">
        <v>6506</v>
      </c>
      <c r="Z2647" s="77"/>
      <c r="AA2647" s="77"/>
      <c r="AB2647" s="77"/>
      <c r="AC2647" s="82" t="s">
        <v>7757</v>
      </c>
      <c r="AD2647" s="77" t="s">
        <v>7788</v>
      </c>
      <c r="AE2647" s="80" t="str">
        <f>HYPERLINK("https://twitter.com/einvestidor/status/1681344503108583424")</f>
        <v>https://twitter.com/einvestidor/status/1681344503108583424</v>
      </c>
      <c r="AF2647" s="79">
        <v>45125.69840277778</v>
      </c>
      <c r="AG2647" s="85">
        <v>45125</v>
      </c>
      <c r="AH2647" s="82" t="s">
        <v>9791</v>
      </c>
      <c r="AI2647" s="77" t="b">
        <v>0</v>
      </c>
      <c r="AJ2647" s="77"/>
      <c r="AK2647" s="77"/>
      <c r="AL2647" s="77"/>
      <c r="AM2647" s="77"/>
      <c r="AN2647" s="77"/>
      <c r="AO2647" s="77"/>
      <c r="AP2647" s="77"/>
      <c r="AQ2647" s="77"/>
      <c r="AR2647" s="77"/>
      <c r="AS2647" s="77"/>
      <c r="AT2647" s="77"/>
      <c r="AU2647" s="77"/>
      <c r="AV2647" s="80" t="str">
        <f>HYPERLINK("https://pbs.twimg.com/profile_images/1241147984924082183/gZgx_hL-_normal.jpg")</f>
        <v>https://pbs.twimg.com/profile_images/1241147984924082183/gZgx_hL-_normal.jpg</v>
      </c>
      <c r="AW2647" s="82" t="s">
        <v>14243</v>
      </c>
      <c r="AX2647" s="82" t="s">
        <v>14243</v>
      </c>
      <c r="AY2647" s="77"/>
      <c r="AZ2647" s="82" t="s">
        <v>15984</v>
      </c>
      <c r="BA2647" s="82" t="s">
        <v>15984</v>
      </c>
      <c r="BB2647" s="82" t="s">
        <v>15984</v>
      </c>
      <c r="BC2647" s="82" t="s">
        <v>14243</v>
      </c>
      <c r="BD2647" s="82" t="s">
        <v>15979</v>
      </c>
      <c r="BE2647" s="77"/>
      <c r="BF2647" s="77"/>
      <c r="BG2647" s="77"/>
      <c r="BH2647" s="77"/>
      <c r="BI2647" s="77"/>
    </row>
    <row r="2648" spans="1:61" x14ac:dyDescent="0.25">
      <c r="A2648" s="62" t="s">
        <v>387</v>
      </c>
      <c r="B2648" s="62" t="s">
        <v>387</v>
      </c>
      <c r="C2648" s="63"/>
      <c r="D2648" s="64"/>
      <c r="E2648" s="65"/>
      <c r="F2648" s="66"/>
      <c r="G2648" s="63"/>
      <c r="H2648" s="67"/>
      <c r="I2648" s="68"/>
      <c r="J2648" s="68"/>
      <c r="K2648" s="32"/>
      <c r="L2648" s="75">
        <v>2648</v>
      </c>
      <c r="M2648" s="75"/>
      <c r="N2648" s="70"/>
      <c r="O2648" s="77" t="s">
        <v>179</v>
      </c>
      <c r="P2648" s="79">
        <v>45125.646203703705</v>
      </c>
      <c r="Q2648" s="77" t="s">
        <v>3320</v>
      </c>
      <c r="R2648" s="77">
        <v>0</v>
      </c>
      <c r="S2648" s="77">
        <v>4</v>
      </c>
      <c r="T2648" s="77">
        <v>0</v>
      </c>
      <c r="U2648" s="77">
        <v>0</v>
      </c>
      <c r="V2648" s="77">
        <v>792</v>
      </c>
      <c r="W2648" s="82" t="s">
        <v>6065</v>
      </c>
      <c r="X2648" s="80" t="str">
        <f>HYPERLINK("https://mla.bs/a01a9619")</f>
        <v>https://mla.bs/a01a9619</v>
      </c>
      <c r="Y2648" s="77" t="s">
        <v>6506</v>
      </c>
      <c r="Z2648" s="77"/>
      <c r="AA2648" s="77"/>
      <c r="AB2648" s="77"/>
      <c r="AC2648" s="82" t="s">
        <v>7757</v>
      </c>
      <c r="AD2648" s="77" t="s">
        <v>7788</v>
      </c>
      <c r="AE2648" s="80" t="str">
        <f>HYPERLINK("https://twitter.com/einvestidor/status/1681325587296550914")</f>
        <v>https://twitter.com/einvestidor/status/1681325587296550914</v>
      </c>
      <c r="AF2648" s="79">
        <v>45125.646203703705</v>
      </c>
      <c r="AG2648" s="85">
        <v>45125</v>
      </c>
      <c r="AH2648" s="82" t="s">
        <v>9792</v>
      </c>
      <c r="AI2648" s="77" t="b">
        <v>0</v>
      </c>
      <c r="AJ2648" s="77"/>
      <c r="AK2648" s="77"/>
      <c r="AL2648" s="77"/>
      <c r="AM2648" s="77"/>
      <c r="AN2648" s="77"/>
      <c r="AO2648" s="77"/>
      <c r="AP2648" s="77"/>
      <c r="AQ2648" s="77"/>
      <c r="AR2648" s="77"/>
      <c r="AS2648" s="77"/>
      <c r="AT2648" s="77"/>
      <c r="AU2648" s="77"/>
      <c r="AV2648" s="80" t="str">
        <f>HYPERLINK("https://pbs.twimg.com/profile_images/1241147984924082183/gZgx_hL-_normal.jpg")</f>
        <v>https://pbs.twimg.com/profile_images/1241147984924082183/gZgx_hL-_normal.jpg</v>
      </c>
      <c r="AW2648" s="82" t="s">
        <v>14244</v>
      </c>
      <c r="AX2648" s="82" t="s">
        <v>14244</v>
      </c>
      <c r="AY2648" s="77"/>
      <c r="AZ2648" s="82" t="s">
        <v>15984</v>
      </c>
      <c r="BA2648" s="82" t="s">
        <v>15984</v>
      </c>
      <c r="BB2648" s="82" t="s">
        <v>15984</v>
      </c>
      <c r="BC2648" s="82" t="s">
        <v>14244</v>
      </c>
      <c r="BD2648" s="82" t="s">
        <v>15979</v>
      </c>
      <c r="BE2648" s="77"/>
      <c r="BF2648" s="77"/>
      <c r="BG2648" s="77"/>
      <c r="BH2648" s="77"/>
      <c r="BI2648" s="77"/>
    </row>
    <row r="2649" spans="1:61" x14ac:dyDescent="0.25">
      <c r="A2649" s="62" t="s">
        <v>387</v>
      </c>
      <c r="B2649" s="62" t="s">
        <v>387</v>
      </c>
      <c r="C2649" s="63"/>
      <c r="D2649" s="64"/>
      <c r="E2649" s="65"/>
      <c r="F2649" s="66"/>
      <c r="G2649" s="63"/>
      <c r="H2649" s="67"/>
      <c r="I2649" s="68"/>
      <c r="J2649" s="68"/>
      <c r="K2649" s="32"/>
      <c r="L2649" s="75">
        <v>2649</v>
      </c>
      <c r="M2649" s="75"/>
      <c r="N2649" s="70"/>
      <c r="O2649" s="77" t="s">
        <v>179</v>
      </c>
      <c r="P2649" s="79">
        <v>45125.625543981485</v>
      </c>
      <c r="Q2649" s="77" t="s">
        <v>3321</v>
      </c>
      <c r="R2649" s="77">
        <v>0</v>
      </c>
      <c r="S2649" s="77">
        <v>0</v>
      </c>
      <c r="T2649" s="77">
        <v>0</v>
      </c>
      <c r="U2649" s="77">
        <v>0</v>
      </c>
      <c r="V2649" s="77">
        <v>601</v>
      </c>
      <c r="W2649" s="82" t="s">
        <v>5076</v>
      </c>
      <c r="X2649" s="80" t="str">
        <f>HYPERLINK("https://mla.bs/53e230cb")</f>
        <v>https://mla.bs/53e230cb</v>
      </c>
      <c r="Y2649" s="77" t="s">
        <v>6506</v>
      </c>
      <c r="Z2649" s="77"/>
      <c r="AA2649" s="77"/>
      <c r="AB2649" s="77"/>
      <c r="AC2649" s="82" t="s">
        <v>7757</v>
      </c>
      <c r="AD2649" s="77" t="s">
        <v>7788</v>
      </c>
      <c r="AE2649" s="80" t="str">
        <f>HYPERLINK("https://twitter.com/einvestidor/status/1681318099885125632")</f>
        <v>https://twitter.com/einvestidor/status/1681318099885125632</v>
      </c>
      <c r="AF2649" s="79">
        <v>45125.625543981485</v>
      </c>
      <c r="AG2649" s="85">
        <v>45125</v>
      </c>
      <c r="AH2649" s="82" t="s">
        <v>9793</v>
      </c>
      <c r="AI2649" s="77" t="b">
        <v>0</v>
      </c>
      <c r="AJ2649" s="77"/>
      <c r="AK2649" s="77"/>
      <c r="AL2649" s="77"/>
      <c r="AM2649" s="77"/>
      <c r="AN2649" s="77"/>
      <c r="AO2649" s="77"/>
      <c r="AP2649" s="77"/>
      <c r="AQ2649" s="77"/>
      <c r="AR2649" s="77"/>
      <c r="AS2649" s="77"/>
      <c r="AT2649" s="77"/>
      <c r="AU2649" s="77"/>
      <c r="AV2649" s="80" t="str">
        <f>HYPERLINK("https://pbs.twimg.com/profile_images/1241147984924082183/gZgx_hL-_normal.jpg")</f>
        <v>https://pbs.twimg.com/profile_images/1241147984924082183/gZgx_hL-_normal.jpg</v>
      </c>
      <c r="AW2649" s="82" t="s">
        <v>14245</v>
      </c>
      <c r="AX2649" s="82" t="s">
        <v>14245</v>
      </c>
      <c r="AY2649" s="77"/>
      <c r="AZ2649" s="82" t="s">
        <v>15984</v>
      </c>
      <c r="BA2649" s="82" t="s">
        <v>15984</v>
      </c>
      <c r="BB2649" s="82" t="s">
        <v>15984</v>
      </c>
      <c r="BC2649" s="82" t="s">
        <v>14245</v>
      </c>
      <c r="BD2649" s="82" t="s">
        <v>15979</v>
      </c>
      <c r="BE2649" s="77"/>
      <c r="BF2649" s="77"/>
      <c r="BG2649" s="77"/>
      <c r="BH2649" s="77"/>
      <c r="BI2649" s="77"/>
    </row>
    <row r="2650" spans="1:61" x14ac:dyDescent="0.25">
      <c r="A2650" s="62" t="s">
        <v>387</v>
      </c>
      <c r="B2650" s="62" t="s">
        <v>387</v>
      </c>
      <c r="C2650" s="63"/>
      <c r="D2650" s="64"/>
      <c r="E2650" s="65"/>
      <c r="F2650" s="66"/>
      <c r="G2650" s="63"/>
      <c r="H2650" s="67"/>
      <c r="I2650" s="68"/>
      <c r="J2650" s="68"/>
      <c r="K2650" s="32"/>
      <c r="L2650" s="75">
        <v>2650</v>
      </c>
      <c r="M2650" s="75"/>
      <c r="N2650" s="70"/>
      <c r="O2650" s="77" t="s">
        <v>179</v>
      </c>
      <c r="P2650" s="79">
        <v>45183.96875</v>
      </c>
      <c r="Q2650" s="77" t="s">
        <v>3322</v>
      </c>
      <c r="R2650" s="77">
        <v>0</v>
      </c>
      <c r="S2650" s="77">
        <v>0</v>
      </c>
      <c r="T2650" s="77">
        <v>0</v>
      </c>
      <c r="U2650" s="77">
        <v>0</v>
      </c>
      <c r="V2650" s="77">
        <v>674</v>
      </c>
      <c r="W2650" s="82" t="s">
        <v>4833</v>
      </c>
      <c r="X2650" s="80" t="str">
        <f>HYPERLINK("https://einvestidor.estadao.com.br/noticias/even-aliena-acoes-melnick//?utm_source=twitter&amp;utm_medium=organic&amp;utm_campaign=&amp;utm_content=materia")</f>
        <v>https://einvestidor.estadao.com.br/noticias/even-aliena-acoes-melnick//?utm_source=twitter&amp;utm_medium=organic&amp;utm_campaign=&amp;utm_content=materia</v>
      </c>
      <c r="Y2650" s="77" t="s">
        <v>6470</v>
      </c>
      <c r="Z2650" s="77"/>
      <c r="AA2650" s="77"/>
      <c r="AB2650" s="77"/>
      <c r="AC2650" s="82" t="s">
        <v>7750</v>
      </c>
      <c r="AD2650" s="77" t="s">
        <v>7788</v>
      </c>
      <c r="AE2650" s="80" t="str">
        <f>HYPERLINK("https://twitter.com/einvestidor/status/1702460970352697483")</f>
        <v>https://twitter.com/einvestidor/status/1702460970352697483</v>
      </c>
      <c r="AF2650" s="79">
        <v>45183.96875</v>
      </c>
      <c r="AG2650" s="85">
        <v>45183</v>
      </c>
      <c r="AH2650" s="82" t="s">
        <v>9621</v>
      </c>
      <c r="AI2650" s="77" t="b">
        <v>0</v>
      </c>
      <c r="AJ2650" s="77"/>
      <c r="AK2650" s="77"/>
      <c r="AL2650" s="77"/>
      <c r="AM2650" s="77"/>
      <c r="AN2650" s="77"/>
      <c r="AO2650" s="77"/>
      <c r="AP2650" s="77"/>
      <c r="AQ2650" s="77"/>
      <c r="AR2650" s="77"/>
      <c r="AS2650" s="77"/>
      <c r="AT2650" s="77"/>
      <c r="AU2650" s="77"/>
      <c r="AV2650" s="80" t="str">
        <f>HYPERLINK("https://pbs.twimg.com/profile_images/1241147984924082183/gZgx_hL-_normal.jpg")</f>
        <v>https://pbs.twimg.com/profile_images/1241147984924082183/gZgx_hL-_normal.jpg</v>
      </c>
      <c r="AW2650" s="82" t="s">
        <v>14246</v>
      </c>
      <c r="AX2650" s="82" t="s">
        <v>14246</v>
      </c>
      <c r="AY2650" s="77"/>
      <c r="AZ2650" s="82" t="s">
        <v>15984</v>
      </c>
      <c r="BA2650" s="82" t="s">
        <v>15984</v>
      </c>
      <c r="BB2650" s="82" t="s">
        <v>15984</v>
      </c>
      <c r="BC2650" s="82" t="s">
        <v>14246</v>
      </c>
      <c r="BD2650" s="82" t="s">
        <v>15979</v>
      </c>
      <c r="BE2650" s="77"/>
      <c r="BF2650" s="77"/>
      <c r="BG2650" s="77"/>
      <c r="BH2650" s="77"/>
      <c r="BI2650" s="77"/>
    </row>
    <row r="2651" spans="1:61" x14ac:dyDescent="0.25">
      <c r="A2651" s="62" t="s">
        <v>387</v>
      </c>
      <c r="B2651" s="62" t="s">
        <v>387</v>
      </c>
      <c r="C2651" s="63"/>
      <c r="D2651" s="64"/>
      <c r="E2651" s="65"/>
      <c r="F2651" s="66"/>
      <c r="G2651" s="63"/>
      <c r="H2651" s="67"/>
      <c r="I2651" s="68"/>
      <c r="J2651" s="68"/>
      <c r="K2651" s="32"/>
      <c r="L2651" s="75">
        <v>2651</v>
      </c>
      <c r="M2651" s="75"/>
      <c r="N2651" s="70"/>
      <c r="O2651" s="77" t="s">
        <v>179</v>
      </c>
      <c r="P2651" s="79">
        <v>45183.882291666669</v>
      </c>
      <c r="Q2651" s="77" t="s">
        <v>3323</v>
      </c>
      <c r="R2651" s="77">
        <v>0</v>
      </c>
      <c r="S2651" s="77">
        <v>1</v>
      </c>
      <c r="T2651" s="77">
        <v>0</v>
      </c>
      <c r="U2651" s="77">
        <v>0</v>
      </c>
      <c r="V2651" s="77">
        <v>640</v>
      </c>
      <c r="W2651" s="82" t="s">
        <v>6066</v>
      </c>
      <c r="X2651" s="80" t="str">
        <f>HYPERLINK("https://einvestidor.estadao.com.br/mercado/melhores-acoes-ibovespa-bradespar-vale-csn/?utm_source=twitter&amp;utm_medium=organic&amp;utm_campaign=&amp;utm_content=materia")</f>
        <v>https://einvestidor.estadao.com.br/mercado/melhores-acoes-ibovespa-bradespar-vale-csn/?utm_source=twitter&amp;utm_medium=organic&amp;utm_campaign=&amp;utm_content=materia</v>
      </c>
      <c r="Y2651" s="77" t="s">
        <v>6470</v>
      </c>
      <c r="Z2651" s="77"/>
      <c r="AA2651" s="77"/>
      <c r="AB2651" s="77"/>
      <c r="AC2651" s="82" t="s">
        <v>7750</v>
      </c>
      <c r="AD2651" s="77" t="s">
        <v>7788</v>
      </c>
      <c r="AE2651" s="80" t="str">
        <f>HYPERLINK("https://twitter.com/einvestidor/status/1702429641892675665")</f>
        <v>https://twitter.com/einvestidor/status/1702429641892675665</v>
      </c>
      <c r="AF2651" s="79">
        <v>45183.882291666669</v>
      </c>
      <c r="AG2651" s="85">
        <v>45183</v>
      </c>
      <c r="AH2651" s="82" t="s">
        <v>9794</v>
      </c>
      <c r="AI2651" s="77" t="b">
        <v>0</v>
      </c>
      <c r="AJ2651" s="77"/>
      <c r="AK2651" s="77"/>
      <c r="AL2651" s="77"/>
      <c r="AM2651" s="77"/>
      <c r="AN2651" s="77"/>
      <c r="AO2651" s="77"/>
      <c r="AP2651" s="77"/>
      <c r="AQ2651" s="77"/>
      <c r="AR2651" s="77"/>
      <c r="AS2651" s="77"/>
      <c r="AT2651" s="77"/>
      <c r="AU2651" s="77"/>
      <c r="AV2651" s="80" t="str">
        <f>HYPERLINK("https://pbs.twimg.com/profile_images/1241147984924082183/gZgx_hL-_normal.jpg")</f>
        <v>https://pbs.twimg.com/profile_images/1241147984924082183/gZgx_hL-_normal.jpg</v>
      </c>
      <c r="AW2651" s="82" t="s">
        <v>14247</v>
      </c>
      <c r="AX2651" s="82" t="s">
        <v>14247</v>
      </c>
      <c r="AY2651" s="77"/>
      <c r="AZ2651" s="82" t="s">
        <v>15984</v>
      </c>
      <c r="BA2651" s="82" t="s">
        <v>15984</v>
      </c>
      <c r="BB2651" s="82" t="s">
        <v>15984</v>
      </c>
      <c r="BC2651" s="82" t="s">
        <v>14247</v>
      </c>
      <c r="BD2651" s="82" t="s">
        <v>15979</v>
      </c>
      <c r="BE2651" s="77"/>
      <c r="BF2651" s="77"/>
      <c r="BG2651" s="77"/>
      <c r="BH2651" s="77"/>
      <c r="BI2651" s="77"/>
    </row>
    <row r="2652" spans="1:61" x14ac:dyDescent="0.25">
      <c r="A2652" s="62" t="s">
        <v>387</v>
      </c>
      <c r="B2652" s="62" t="s">
        <v>387</v>
      </c>
      <c r="C2652" s="63"/>
      <c r="D2652" s="64"/>
      <c r="E2652" s="65"/>
      <c r="F2652" s="66"/>
      <c r="G2652" s="63"/>
      <c r="H2652" s="67"/>
      <c r="I2652" s="68"/>
      <c r="J2652" s="68"/>
      <c r="K2652" s="32"/>
      <c r="L2652" s="75">
        <v>2652</v>
      </c>
      <c r="M2652" s="75"/>
      <c r="N2652" s="70"/>
      <c r="O2652" s="77" t="s">
        <v>179</v>
      </c>
      <c r="P2652" s="79">
        <v>45182.989583333336</v>
      </c>
      <c r="Q2652" s="77" t="s">
        <v>3324</v>
      </c>
      <c r="R2652" s="77">
        <v>0</v>
      </c>
      <c r="S2652" s="77">
        <v>2</v>
      </c>
      <c r="T2652" s="77">
        <v>0</v>
      </c>
      <c r="U2652" s="77">
        <v>0</v>
      </c>
      <c r="V2652" s="77">
        <v>690</v>
      </c>
      <c r="W2652" s="82" t="s">
        <v>4833</v>
      </c>
      <c r="X2652" s="80" t="str">
        <f>HYPERLINK("https://einvestidor.estadao.com.br/ultimas/juros-queda-dados-inflacao-estados-unidos/?utm_source=twitter&amp;utm_medium=organic&amp;utm_campaign=&amp;utm_content=materia")</f>
        <v>https://einvestidor.estadao.com.br/ultimas/juros-queda-dados-inflacao-estados-unidos/?utm_source=twitter&amp;utm_medium=organic&amp;utm_campaign=&amp;utm_content=materia</v>
      </c>
      <c r="Y2652" s="77" t="s">
        <v>6470</v>
      </c>
      <c r="Z2652" s="77"/>
      <c r="AA2652" s="77"/>
      <c r="AB2652" s="77"/>
      <c r="AC2652" s="82" t="s">
        <v>7750</v>
      </c>
      <c r="AD2652" s="77" t="s">
        <v>7788</v>
      </c>
      <c r="AE2652" s="80" t="str">
        <f>HYPERLINK("https://twitter.com/einvestidor/status/1702106132699873461")</f>
        <v>https://twitter.com/einvestidor/status/1702106132699873461</v>
      </c>
      <c r="AF2652" s="79">
        <v>45182.989583333336</v>
      </c>
      <c r="AG2652" s="85">
        <v>45182</v>
      </c>
      <c r="AH2652" s="82" t="s">
        <v>9620</v>
      </c>
      <c r="AI2652" s="77" t="b">
        <v>0</v>
      </c>
      <c r="AJ2652" s="77"/>
      <c r="AK2652" s="77"/>
      <c r="AL2652" s="77"/>
      <c r="AM2652" s="77"/>
      <c r="AN2652" s="77"/>
      <c r="AO2652" s="77"/>
      <c r="AP2652" s="77"/>
      <c r="AQ2652" s="77"/>
      <c r="AR2652" s="77"/>
      <c r="AS2652" s="77"/>
      <c r="AT2652" s="77"/>
      <c r="AU2652" s="77"/>
      <c r="AV2652" s="80" t="str">
        <f>HYPERLINK("https://pbs.twimg.com/profile_images/1241147984924082183/gZgx_hL-_normal.jpg")</f>
        <v>https://pbs.twimg.com/profile_images/1241147984924082183/gZgx_hL-_normal.jpg</v>
      </c>
      <c r="AW2652" s="82" t="s">
        <v>14248</v>
      </c>
      <c r="AX2652" s="82" t="s">
        <v>14248</v>
      </c>
      <c r="AY2652" s="77"/>
      <c r="AZ2652" s="82" t="s">
        <v>15984</v>
      </c>
      <c r="BA2652" s="82" t="s">
        <v>15984</v>
      </c>
      <c r="BB2652" s="82" t="s">
        <v>15984</v>
      </c>
      <c r="BC2652" s="82" t="s">
        <v>14248</v>
      </c>
      <c r="BD2652" s="82" t="s">
        <v>15979</v>
      </c>
      <c r="BE2652" s="77"/>
      <c r="BF2652" s="77"/>
      <c r="BG2652" s="77"/>
      <c r="BH2652" s="77"/>
      <c r="BI2652" s="77"/>
    </row>
    <row r="2653" spans="1:61" x14ac:dyDescent="0.25">
      <c r="A2653" s="62" t="s">
        <v>387</v>
      </c>
      <c r="B2653" s="62" t="s">
        <v>387</v>
      </c>
      <c r="C2653" s="63"/>
      <c r="D2653" s="64"/>
      <c r="E2653" s="65"/>
      <c r="F2653" s="66"/>
      <c r="G2653" s="63"/>
      <c r="H2653" s="67"/>
      <c r="I2653" s="68"/>
      <c r="J2653" s="68"/>
      <c r="K2653" s="32"/>
      <c r="L2653" s="75">
        <v>2653</v>
      </c>
      <c r="M2653" s="75"/>
      <c r="N2653" s="70"/>
      <c r="O2653" s="77" t="s">
        <v>179</v>
      </c>
      <c r="P2653" s="79">
        <v>45182.979166666664</v>
      </c>
      <c r="Q2653" s="77" t="s">
        <v>3325</v>
      </c>
      <c r="R2653" s="77">
        <v>0</v>
      </c>
      <c r="S2653" s="77">
        <v>1</v>
      </c>
      <c r="T2653" s="77">
        <v>0</v>
      </c>
      <c r="U2653" s="77">
        <v>0</v>
      </c>
      <c r="V2653" s="77">
        <v>595</v>
      </c>
      <c r="W2653" s="82" t="s">
        <v>6067</v>
      </c>
      <c r="X2653" s="80" t="str">
        <f>HYPERLINK("https://einvestidor.estadao.com.br/ultimas/moedas-globais-dolar-oscila-ante-divisas-fortes-cpi-eua/?utm_source=twitter&amp;utm_medium=organic&amp;utm_campaign=&amp;utm_content=materia")</f>
        <v>https://einvestidor.estadao.com.br/ultimas/moedas-globais-dolar-oscila-ante-divisas-fortes-cpi-eua/?utm_source=twitter&amp;utm_medium=organic&amp;utm_campaign=&amp;utm_content=materia</v>
      </c>
      <c r="Y2653" s="77" t="s">
        <v>6470</v>
      </c>
      <c r="Z2653" s="77"/>
      <c r="AA2653" s="77"/>
      <c r="AB2653" s="77"/>
      <c r="AC2653" s="82" t="s">
        <v>7750</v>
      </c>
      <c r="AD2653" s="77" t="s">
        <v>7788</v>
      </c>
      <c r="AE2653" s="80" t="str">
        <f>HYPERLINK("https://twitter.com/einvestidor/status/1702102359097385037")</f>
        <v>https://twitter.com/einvestidor/status/1702102359097385037</v>
      </c>
      <c r="AF2653" s="79">
        <v>45182.979166666664</v>
      </c>
      <c r="AG2653" s="85">
        <v>45182</v>
      </c>
      <c r="AH2653" s="82" t="s">
        <v>7928</v>
      </c>
      <c r="AI2653" s="77" t="b">
        <v>0</v>
      </c>
      <c r="AJ2653" s="77"/>
      <c r="AK2653" s="77"/>
      <c r="AL2653" s="77"/>
      <c r="AM2653" s="77"/>
      <c r="AN2653" s="77"/>
      <c r="AO2653" s="77"/>
      <c r="AP2653" s="77"/>
      <c r="AQ2653" s="77"/>
      <c r="AR2653" s="77"/>
      <c r="AS2653" s="77"/>
      <c r="AT2653" s="77"/>
      <c r="AU2653" s="77"/>
      <c r="AV2653" s="80" t="str">
        <f>HYPERLINK("https://pbs.twimg.com/profile_images/1241147984924082183/gZgx_hL-_normal.jpg")</f>
        <v>https://pbs.twimg.com/profile_images/1241147984924082183/gZgx_hL-_normal.jpg</v>
      </c>
      <c r="AW2653" s="82" t="s">
        <v>14249</v>
      </c>
      <c r="AX2653" s="82" t="s">
        <v>14249</v>
      </c>
      <c r="AY2653" s="77"/>
      <c r="AZ2653" s="82" t="s">
        <v>15984</v>
      </c>
      <c r="BA2653" s="82" t="s">
        <v>15984</v>
      </c>
      <c r="BB2653" s="82" t="s">
        <v>15984</v>
      </c>
      <c r="BC2653" s="82" t="s">
        <v>14249</v>
      </c>
      <c r="BD2653" s="82" t="s">
        <v>15979</v>
      </c>
      <c r="BE2653" s="77"/>
      <c r="BF2653" s="77"/>
      <c r="BG2653" s="77"/>
      <c r="BH2653" s="77"/>
      <c r="BI2653" s="77"/>
    </row>
    <row r="2654" spans="1:61" x14ac:dyDescent="0.25">
      <c r="A2654" s="62" t="s">
        <v>387</v>
      </c>
      <c r="B2654" s="62" t="s">
        <v>387</v>
      </c>
      <c r="C2654" s="63"/>
      <c r="D2654" s="64"/>
      <c r="E2654" s="65"/>
      <c r="F2654" s="66"/>
      <c r="G2654" s="63"/>
      <c r="H2654" s="67"/>
      <c r="I2654" s="68"/>
      <c r="J2654" s="68"/>
      <c r="K2654" s="32"/>
      <c r="L2654" s="75">
        <v>2654</v>
      </c>
      <c r="M2654" s="75"/>
      <c r="N2654" s="70"/>
      <c r="O2654" s="77" t="s">
        <v>179</v>
      </c>
      <c r="P2654" s="79">
        <v>45181.9375</v>
      </c>
      <c r="Q2654" s="77" t="s">
        <v>3326</v>
      </c>
      <c r="R2654" s="77">
        <v>0</v>
      </c>
      <c r="S2654" s="77">
        <v>2</v>
      </c>
      <c r="T2654" s="77">
        <v>0</v>
      </c>
      <c r="U2654" s="77">
        <v>0</v>
      </c>
      <c r="V2654" s="77">
        <v>577</v>
      </c>
      <c r="W2654" s="82" t="s">
        <v>6068</v>
      </c>
      <c r="X2654" s="80" t="str">
        <f>HYPERLINK("https://einvestidor.estadao.com.br/ultimas/bolsas-nova-york-fecham-queda-antes-cpi-estados-unidos//?utm_source=twitter&amp;utm_medium=organic&amp;utm_campaign=&amp;utm_content=materia")</f>
        <v>https://einvestidor.estadao.com.br/ultimas/bolsas-nova-york-fecham-queda-antes-cpi-estados-unidos//?utm_source=twitter&amp;utm_medium=organic&amp;utm_campaign=&amp;utm_content=materia</v>
      </c>
      <c r="Y2654" s="77" t="s">
        <v>6470</v>
      </c>
      <c r="Z2654" s="77"/>
      <c r="AA2654" s="77"/>
      <c r="AB2654" s="77"/>
      <c r="AC2654" s="82" t="s">
        <v>7750</v>
      </c>
      <c r="AD2654" s="77" t="s">
        <v>7788</v>
      </c>
      <c r="AE2654" s="80" t="str">
        <f>HYPERLINK("https://twitter.com/einvestidor/status/1701724873213571577")</f>
        <v>https://twitter.com/einvestidor/status/1701724873213571577</v>
      </c>
      <c r="AF2654" s="79">
        <v>45181.9375</v>
      </c>
      <c r="AG2654" s="85">
        <v>45181</v>
      </c>
      <c r="AH2654" s="82" t="s">
        <v>7926</v>
      </c>
      <c r="AI2654" s="77" t="b">
        <v>0</v>
      </c>
      <c r="AJ2654" s="77"/>
      <c r="AK2654" s="77"/>
      <c r="AL2654" s="77"/>
      <c r="AM2654" s="77"/>
      <c r="AN2654" s="77"/>
      <c r="AO2654" s="77"/>
      <c r="AP2654" s="77"/>
      <c r="AQ2654" s="77"/>
      <c r="AR2654" s="77"/>
      <c r="AS2654" s="77"/>
      <c r="AT2654" s="77"/>
      <c r="AU2654" s="77"/>
      <c r="AV2654" s="80" t="str">
        <f>HYPERLINK("https://pbs.twimg.com/profile_images/1241147984924082183/gZgx_hL-_normal.jpg")</f>
        <v>https://pbs.twimg.com/profile_images/1241147984924082183/gZgx_hL-_normal.jpg</v>
      </c>
      <c r="AW2654" s="82" t="s">
        <v>14250</v>
      </c>
      <c r="AX2654" s="82" t="s">
        <v>14250</v>
      </c>
      <c r="AY2654" s="77"/>
      <c r="AZ2654" s="82" t="s">
        <v>15984</v>
      </c>
      <c r="BA2654" s="82" t="s">
        <v>15984</v>
      </c>
      <c r="BB2654" s="82" t="s">
        <v>15984</v>
      </c>
      <c r="BC2654" s="82" t="s">
        <v>14250</v>
      </c>
      <c r="BD2654" s="82" t="s">
        <v>15979</v>
      </c>
      <c r="BE2654" s="77"/>
      <c r="BF2654" s="77"/>
      <c r="BG2654" s="77"/>
      <c r="BH2654" s="77"/>
      <c r="BI2654" s="77"/>
    </row>
    <row r="2655" spans="1:61" x14ac:dyDescent="0.25">
      <c r="A2655" s="62" t="s">
        <v>387</v>
      </c>
      <c r="B2655" s="62" t="s">
        <v>387</v>
      </c>
      <c r="C2655" s="63"/>
      <c r="D2655" s="64"/>
      <c r="E2655" s="65"/>
      <c r="F2655" s="66"/>
      <c r="G2655" s="63"/>
      <c r="H2655" s="67"/>
      <c r="I2655" s="68"/>
      <c r="J2655" s="68"/>
      <c r="K2655" s="32"/>
      <c r="L2655" s="75">
        <v>2655</v>
      </c>
      <c r="M2655" s="75"/>
      <c r="N2655" s="70"/>
      <c r="O2655" s="77" t="s">
        <v>179</v>
      </c>
      <c r="P2655" s="79">
        <v>45181.927083333336</v>
      </c>
      <c r="Q2655" s="77" t="s">
        <v>3327</v>
      </c>
      <c r="R2655" s="77">
        <v>0</v>
      </c>
      <c r="S2655" s="77">
        <v>3</v>
      </c>
      <c r="T2655" s="77">
        <v>0</v>
      </c>
      <c r="U2655" s="77">
        <v>0</v>
      </c>
      <c r="V2655" s="77">
        <v>537</v>
      </c>
      <c r="W2655" s="82" t="s">
        <v>4833</v>
      </c>
      <c r="X2655" s="80" t="str">
        <f>HYPERLINK("https://einvestidor.estadao.com.br/ultimas/juros-treasuries-oscilam-de-lado-inflacao-eua/?utm_source=twitter&amp;utm_medium=organic&amp;utm_campaign=&amp;utm_content=materia")</f>
        <v>https://einvestidor.estadao.com.br/ultimas/juros-treasuries-oscilam-de-lado-inflacao-eua/?utm_source=twitter&amp;utm_medium=organic&amp;utm_campaign=&amp;utm_content=materia</v>
      </c>
      <c r="Y2655" s="77" t="s">
        <v>6470</v>
      </c>
      <c r="Z2655" s="77"/>
      <c r="AA2655" s="77"/>
      <c r="AB2655" s="77"/>
      <c r="AC2655" s="82" t="s">
        <v>7750</v>
      </c>
      <c r="AD2655" s="77" t="s">
        <v>7788</v>
      </c>
      <c r="AE2655" s="80" t="str">
        <f>HYPERLINK("https://twitter.com/einvestidor/status/1701721095487778859")</f>
        <v>https://twitter.com/einvestidor/status/1701721095487778859</v>
      </c>
      <c r="AF2655" s="79">
        <v>45181.927083333336</v>
      </c>
      <c r="AG2655" s="85">
        <v>45181</v>
      </c>
      <c r="AH2655" s="82" t="s">
        <v>9576</v>
      </c>
      <c r="AI2655" s="77" t="b">
        <v>0</v>
      </c>
      <c r="AJ2655" s="77"/>
      <c r="AK2655" s="77"/>
      <c r="AL2655" s="77"/>
      <c r="AM2655" s="77"/>
      <c r="AN2655" s="77"/>
      <c r="AO2655" s="77"/>
      <c r="AP2655" s="77"/>
      <c r="AQ2655" s="77"/>
      <c r="AR2655" s="77"/>
      <c r="AS2655" s="77"/>
      <c r="AT2655" s="77"/>
      <c r="AU2655" s="77"/>
      <c r="AV2655" s="80" t="str">
        <f>HYPERLINK("https://pbs.twimg.com/profile_images/1241147984924082183/gZgx_hL-_normal.jpg")</f>
        <v>https://pbs.twimg.com/profile_images/1241147984924082183/gZgx_hL-_normal.jpg</v>
      </c>
      <c r="AW2655" s="82" t="s">
        <v>14251</v>
      </c>
      <c r="AX2655" s="82" t="s">
        <v>14251</v>
      </c>
      <c r="AY2655" s="77"/>
      <c r="AZ2655" s="82" t="s">
        <v>15984</v>
      </c>
      <c r="BA2655" s="82" t="s">
        <v>15984</v>
      </c>
      <c r="BB2655" s="82" t="s">
        <v>15984</v>
      </c>
      <c r="BC2655" s="82" t="s">
        <v>14251</v>
      </c>
      <c r="BD2655" s="82" t="s">
        <v>15979</v>
      </c>
      <c r="BE2655" s="77"/>
      <c r="BF2655" s="77"/>
      <c r="BG2655" s="77"/>
      <c r="BH2655" s="77"/>
      <c r="BI2655" s="77"/>
    </row>
    <row r="2656" spans="1:61" x14ac:dyDescent="0.25">
      <c r="A2656" s="62" t="s">
        <v>387</v>
      </c>
      <c r="B2656" s="62" t="s">
        <v>387</v>
      </c>
      <c r="C2656" s="63"/>
      <c r="D2656" s="64"/>
      <c r="E2656" s="65"/>
      <c r="F2656" s="66"/>
      <c r="G2656" s="63"/>
      <c r="H2656" s="67"/>
      <c r="I2656" s="68"/>
      <c r="J2656" s="68"/>
      <c r="K2656" s="32"/>
      <c r="L2656" s="75">
        <v>2656</v>
      </c>
      <c r="M2656" s="75"/>
      <c r="N2656" s="70"/>
      <c r="O2656" s="77" t="s">
        <v>179</v>
      </c>
      <c r="P2656" s="79">
        <v>45181.833344907405</v>
      </c>
      <c r="Q2656" s="77" t="s">
        <v>3328</v>
      </c>
      <c r="R2656" s="77">
        <v>0</v>
      </c>
      <c r="S2656" s="77">
        <v>2</v>
      </c>
      <c r="T2656" s="77">
        <v>0</v>
      </c>
      <c r="U2656" s="77">
        <v>0</v>
      </c>
      <c r="V2656" s="77">
        <v>446</v>
      </c>
      <c r="W2656" s="82" t="s">
        <v>6069</v>
      </c>
      <c r="X2656" s="80" t="str">
        <f>HYPERLINK("https://einvestidor.estadao.com.br/investimentos/pesquisa-mercado-capitais-agosto-2023/?utm_source=twitter&amp;utm_medium=organic&amp;utm_campaign=&amp;utm_content=materia")</f>
        <v>https://einvestidor.estadao.com.br/investimentos/pesquisa-mercado-capitais-agosto-2023/?utm_source=twitter&amp;utm_medium=organic&amp;utm_campaign=&amp;utm_content=materia</v>
      </c>
      <c r="Y2656" s="77" t="s">
        <v>6470</v>
      </c>
      <c r="Z2656" s="77"/>
      <c r="AA2656" s="77"/>
      <c r="AB2656" s="77"/>
      <c r="AC2656" s="82" t="s">
        <v>7750</v>
      </c>
      <c r="AD2656" s="77" t="s">
        <v>7788</v>
      </c>
      <c r="AE2656" s="80" t="str">
        <f>HYPERLINK("https://twitter.com/einvestidor/status/1701687127350915264")</f>
        <v>https://twitter.com/einvestidor/status/1701687127350915264</v>
      </c>
      <c r="AF2656" s="79">
        <v>45181.833344907405</v>
      </c>
      <c r="AG2656" s="85">
        <v>45181</v>
      </c>
      <c r="AH2656" s="82" t="s">
        <v>8284</v>
      </c>
      <c r="AI2656" s="77" t="b">
        <v>0</v>
      </c>
      <c r="AJ2656" s="77"/>
      <c r="AK2656" s="77"/>
      <c r="AL2656" s="77"/>
      <c r="AM2656" s="77"/>
      <c r="AN2656" s="77"/>
      <c r="AO2656" s="77"/>
      <c r="AP2656" s="77"/>
      <c r="AQ2656" s="77"/>
      <c r="AR2656" s="77"/>
      <c r="AS2656" s="77"/>
      <c r="AT2656" s="77"/>
      <c r="AU2656" s="77"/>
      <c r="AV2656" s="80" t="str">
        <f>HYPERLINK("https://pbs.twimg.com/profile_images/1241147984924082183/gZgx_hL-_normal.jpg")</f>
        <v>https://pbs.twimg.com/profile_images/1241147984924082183/gZgx_hL-_normal.jpg</v>
      </c>
      <c r="AW2656" s="82" t="s">
        <v>14252</v>
      </c>
      <c r="AX2656" s="82" t="s">
        <v>14252</v>
      </c>
      <c r="AY2656" s="77"/>
      <c r="AZ2656" s="82" t="s">
        <v>15984</v>
      </c>
      <c r="BA2656" s="82" t="s">
        <v>15984</v>
      </c>
      <c r="BB2656" s="82" t="s">
        <v>15984</v>
      </c>
      <c r="BC2656" s="82" t="s">
        <v>14252</v>
      </c>
      <c r="BD2656" s="82" t="s">
        <v>15979</v>
      </c>
      <c r="BE2656" s="77"/>
      <c r="BF2656" s="77"/>
      <c r="BG2656" s="77"/>
      <c r="BH2656" s="77"/>
      <c r="BI2656" s="77"/>
    </row>
    <row r="2657" spans="1:61" x14ac:dyDescent="0.25">
      <c r="A2657" s="62" t="s">
        <v>387</v>
      </c>
      <c r="B2657" s="62" t="s">
        <v>387</v>
      </c>
      <c r="C2657" s="63"/>
      <c r="D2657" s="64"/>
      <c r="E2657" s="65"/>
      <c r="F2657" s="66"/>
      <c r="G2657" s="63"/>
      <c r="H2657" s="67"/>
      <c r="I2657" s="68"/>
      <c r="J2657" s="68"/>
      <c r="K2657" s="32"/>
      <c r="L2657" s="75">
        <v>2657</v>
      </c>
      <c r="M2657" s="75"/>
      <c r="N2657" s="70"/>
      <c r="O2657" s="77" t="s">
        <v>179</v>
      </c>
      <c r="P2657" s="79">
        <v>45181.822916666664</v>
      </c>
      <c r="Q2657" s="77" t="s">
        <v>3329</v>
      </c>
      <c r="R2657" s="77">
        <v>0</v>
      </c>
      <c r="S2657" s="77">
        <v>1</v>
      </c>
      <c r="T2657" s="77">
        <v>0</v>
      </c>
      <c r="U2657" s="77">
        <v>0</v>
      </c>
      <c r="V2657" s="77">
        <v>402</v>
      </c>
      <c r="W2657" s="82" t="s">
        <v>5947</v>
      </c>
      <c r="X2657" s="80" t="str">
        <f>HYPERLINK("https://einvestidor.estadao.com.br/ultimas/santander-oportunidades-bolsa-brasil//?utm_source=twitter&amp;utm_medium=organic&amp;utm_campaign=&amp;utm_content=materia")</f>
        <v>https://einvestidor.estadao.com.br/ultimas/santander-oportunidades-bolsa-brasil//?utm_source=twitter&amp;utm_medium=organic&amp;utm_campaign=&amp;utm_content=materia</v>
      </c>
      <c r="Y2657" s="77" t="s">
        <v>6470</v>
      </c>
      <c r="Z2657" s="77"/>
      <c r="AA2657" s="77"/>
      <c r="AB2657" s="77"/>
      <c r="AC2657" s="82" t="s">
        <v>7750</v>
      </c>
      <c r="AD2657" s="77" t="s">
        <v>7788</v>
      </c>
      <c r="AE2657" s="80" t="str">
        <f>HYPERLINK("https://twitter.com/einvestidor/status/1701683346819146179")</f>
        <v>https://twitter.com/einvestidor/status/1701683346819146179</v>
      </c>
      <c r="AF2657" s="79">
        <v>45181.822916666664</v>
      </c>
      <c r="AG2657" s="85">
        <v>45181</v>
      </c>
      <c r="AH2657" s="82" t="s">
        <v>9579</v>
      </c>
      <c r="AI2657" s="77" t="b">
        <v>0</v>
      </c>
      <c r="AJ2657" s="77"/>
      <c r="AK2657" s="77"/>
      <c r="AL2657" s="77"/>
      <c r="AM2657" s="77"/>
      <c r="AN2657" s="77"/>
      <c r="AO2657" s="77"/>
      <c r="AP2657" s="77"/>
      <c r="AQ2657" s="77"/>
      <c r="AR2657" s="77"/>
      <c r="AS2657" s="77"/>
      <c r="AT2657" s="77"/>
      <c r="AU2657" s="77"/>
      <c r="AV2657" s="80" t="str">
        <f>HYPERLINK("https://pbs.twimg.com/profile_images/1241147984924082183/gZgx_hL-_normal.jpg")</f>
        <v>https://pbs.twimg.com/profile_images/1241147984924082183/gZgx_hL-_normal.jpg</v>
      </c>
      <c r="AW2657" s="82" t="s">
        <v>14253</v>
      </c>
      <c r="AX2657" s="82" t="s">
        <v>14253</v>
      </c>
      <c r="AY2657" s="77"/>
      <c r="AZ2657" s="82" t="s">
        <v>15984</v>
      </c>
      <c r="BA2657" s="82" t="s">
        <v>15984</v>
      </c>
      <c r="BB2657" s="82" t="s">
        <v>15984</v>
      </c>
      <c r="BC2657" s="82" t="s">
        <v>14253</v>
      </c>
      <c r="BD2657" s="82" t="s">
        <v>15979</v>
      </c>
      <c r="BE2657" s="77"/>
      <c r="BF2657" s="77"/>
      <c r="BG2657" s="77"/>
      <c r="BH2657" s="77"/>
      <c r="BI2657" s="77"/>
    </row>
    <row r="2658" spans="1:61" x14ac:dyDescent="0.25">
      <c r="A2658" s="62" t="s">
        <v>387</v>
      </c>
      <c r="B2658" s="62" t="s">
        <v>387</v>
      </c>
      <c r="C2658" s="63"/>
      <c r="D2658" s="64"/>
      <c r="E2658" s="65"/>
      <c r="F2658" s="66"/>
      <c r="G2658" s="63"/>
      <c r="H2658" s="67"/>
      <c r="I2658" s="68"/>
      <c r="J2658" s="68"/>
      <c r="K2658" s="32"/>
      <c r="L2658" s="75">
        <v>2658</v>
      </c>
      <c r="M2658" s="75"/>
      <c r="N2658" s="70"/>
      <c r="O2658" s="77" t="s">
        <v>179</v>
      </c>
      <c r="P2658" s="79">
        <v>45175.84375</v>
      </c>
      <c r="Q2658" s="77" t="s">
        <v>3330</v>
      </c>
      <c r="R2658" s="77">
        <v>0</v>
      </c>
      <c r="S2658" s="77">
        <v>0</v>
      </c>
      <c r="T2658" s="77">
        <v>0</v>
      </c>
      <c r="U2658" s="77">
        <v>0</v>
      </c>
      <c r="V2658" s="77">
        <v>440</v>
      </c>
      <c r="W2658" s="82" t="s">
        <v>4833</v>
      </c>
      <c r="X2658" s="80" t="str">
        <f>HYPERLINK("https://einvestidor.estadao.com.br/educacao-financeira/quanto-custa-o-jogo-da-lotofacil-da-independencia/?utm_source=twitter&amp;utm_medium=organic&amp;utm_campaign=&amp;utm_content=materia")</f>
        <v>https://einvestidor.estadao.com.br/educacao-financeira/quanto-custa-o-jogo-da-lotofacil-da-independencia/?utm_source=twitter&amp;utm_medium=organic&amp;utm_campaign=&amp;utm_content=materia</v>
      </c>
      <c r="Y2658" s="77" t="s">
        <v>6470</v>
      </c>
      <c r="Z2658" s="77"/>
      <c r="AA2658" s="77"/>
      <c r="AB2658" s="77"/>
      <c r="AC2658" s="82" t="s">
        <v>7750</v>
      </c>
      <c r="AD2658" s="77" t="s">
        <v>7788</v>
      </c>
      <c r="AE2658" s="80" t="str">
        <f>HYPERLINK("https://twitter.com/einvestidor/status/1699516568986861959")</f>
        <v>https://twitter.com/einvestidor/status/1699516568986861959</v>
      </c>
      <c r="AF2658" s="79">
        <v>45175.84375</v>
      </c>
      <c r="AG2658" s="85">
        <v>45175</v>
      </c>
      <c r="AH2658" s="82" t="s">
        <v>9296</v>
      </c>
      <c r="AI2658" s="77" t="b">
        <v>0</v>
      </c>
      <c r="AJ2658" s="77"/>
      <c r="AK2658" s="77"/>
      <c r="AL2658" s="77"/>
      <c r="AM2658" s="77"/>
      <c r="AN2658" s="77"/>
      <c r="AO2658" s="77"/>
      <c r="AP2658" s="77"/>
      <c r="AQ2658" s="77"/>
      <c r="AR2658" s="77"/>
      <c r="AS2658" s="77"/>
      <c r="AT2658" s="77"/>
      <c r="AU2658" s="77"/>
      <c r="AV2658" s="80" t="str">
        <f>HYPERLINK("https://pbs.twimg.com/profile_images/1241147984924082183/gZgx_hL-_normal.jpg")</f>
        <v>https://pbs.twimg.com/profile_images/1241147984924082183/gZgx_hL-_normal.jpg</v>
      </c>
      <c r="AW2658" s="82" t="s">
        <v>14254</v>
      </c>
      <c r="AX2658" s="82" t="s">
        <v>14254</v>
      </c>
      <c r="AY2658" s="77"/>
      <c r="AZ2658" s="82" t="s">
        <v>15984</v>
      </c>
      <c r="BA2658" s="82" t="s">
        <v>15984</v>
      </c>
      <c r="BB2658" s="82" t="s">
        <v>15984</v>
      </c>
      <c r="BC2658" s="82" t="s">
        <v>14254</v>
      </c>
      <c r="BD2658" s="82" t="s">
        <v>15979</v>
      </c>
      <c r="BE2658" s="77"/>
      <c r="BF2658" s="77"/>
      <c r="BG2658" s="77"/>
      <c r="BH2658" s="77"/>
      <c r="BI2658" s="77"/>
    </row>
    <row r="2659" spans="1:61" x14ac:dyDescent="0.25">
      <c r="A2659" s="62" t="s">
        <v>387</v>
      </c>
      <c r="B2659" s="62" t="s">
        <v>387</v>
      </c>
      <c r="C2659" s="63"/>
      <c r="D2659" s="64"/>
      <c r="E2659" s="65"/>
      <c r="F2659" s="66"/>
      <c r="G2659" s="63"/>
      <c r="H2659" s="67"/>
      <c r="I2659" s="68"/>
      <c r="J2659" s="68"/>
      <c r="K2659" s="32"/>
      <c r="L2659" s="75">
        <v>2659</v>
      </c>
      <c r="M2659" s="75"/>
      <c r="N2659" s="70"/>
      <c r="O2659" s="77" t="s">
        <v>179</v>
      </c>
      <c r="P2659" s="79">
        <v>45175.833344907405</v>
      </c>
      <c r="Q2659" s="77" t="s">
        <v>3331</v>
      </c>
      <c r="R2659" s="77">
        <v>0</v>
      </c>
      <c r="S2659" s="77">
        <v>0</v>
      </c>
      <c r="T2659" s="77">
        <v>0</v>
      </c>
      <c r="U2659" s="77">
        <v>0</v>
      </c>
      <c r="V2659" s="77">
        <v>408</v>
      </c>
      <c r="W2659" s="82" t="s">
        <v>6070</v>
      </c>
      <c r="X2659" s="80" t="str">
        <f>HYPERLINK("https://einvestidor.estadao.com.br/ultimas/genial-corretora-adiciona-empresas-carteira-top-acoes//?utm_source=twitter&amp;utm_medium=organic&amp;utm_campaign=&amp;utm_content=materia")</f>
        <v>https://einvestidor.estadao.com.br/ultimas/genial-corretora-adiciona-empresas-carteira-top-acoes//?utm_source=twitter&amp;utm_medium=organic&amp;utm_campaign=&amp;utm_content=materia</v>
      </c>
      <c r="Y2659" s="77" t="s">
        <v>6470</v>
      </c>
      <c r="Z2659" s="77"/>
      <c r="AA2659" s="77"/>
      <c r="AB2659" s="77"/>
      <c r="AC2659" s="82" t="s">
        <v>7750</v>
      </c>
      <c r="AD2659" s="77" t="s">
        <v>7788</v>
      </c>
      <c r="AE2659" s="80" t="str">
        <f>HYPERLINK("https://twitter.com/einvestidor/status/1699512798873616724")</f>
        <v>https://twitter.com/einvestidor/status/1699512798873616724</v>
      </c>
      <c r="AF2659" s="79">
        <v>45175.833344907405</v>
      </c>
      <c r="AG2659" s="85">
        <v>45175</v>
      </c>
      <c r="AH2659" s="82" t="s">
        <v>8284</v>
      </c>
      <c r="AI2659" s="77" t="b">
        <v>0</v>
      </c>
      <c r="AJ2659" s="77"/>
      <c r="AK2659" s="77"/>
      <c r="AL2659" s="77"/>
      <c r="AM2659" s="77"/>
      <c r="AN2659" s="77"/>
      <c r="AO2659" s="77"/>
      <c r="AP2659" s="77"/>
      <c r="AQ2659" s="77"/>
      <c r="AR2659" s="77"/>
      <c r="AS2659" s="77"/>
      <c r="AT2659" s="77"/>
      <c r="AU2659" s="77"/>
      <c r="AV2659" s="80" t="str">
        <f>HYPERLINK("https://pbs.twimg.com/profile_images/1241147984924082183/gZgx_hL-_normal.jpg")</f>
        <v>https://pbs.twimg.com/profile_images/1241147984924082183/gZgx_hL-_normal.jpg</v>
      </c>
      <c r="AW2659" s="82" t="s">
        <v>14255</v>
      </c>
      <c r="AX2659" s="82" t="s">
        <v>14255</v>
      </c>
      <c r="AY2659" s="77"/>
      <c r="AZ2659" s="82" t="s">
        <v>15984</v>
      </c>
      <c r="BA2659" s="82" t="s">
        <v>15984</v>
      </c>
      <c r="BB2659" s="82" t="s">
        <v>15984</v>
      </c>
      <c r="BC2659" s="82" t="s">
        <v>14255</v>
      </c>
      <c r="BD2659" s="82" t="s">
        <v>15979</v>
      </c>
      <c r="BE2659" s="77"/>
      <c r="BF2659" s="77"/>
      <c r="BG2659" s="77"/>
      <c r="BH2659" s="77"/>
      <c r="BI2659" s="77"/>
    </row>
    <row r="2660" spans="1:61" x14ac:dyDescent="0.25">
      <c r="A2660" s="62" t="s">
        <v>387</v>
      </c>
      <c r="B2660" s="62" t="s">
        <v>387</v>
      </c>
      <c r="C2660" s="63"/>
      <c r="D2660" s="64"/>
      <c r="E2660" s="65"/>
      <c r="F2660" s="66"/>
      <c r="G2660" s="63"/>
      <c r="H2660" s="67"/>
      <c r="I2660" s="68"/>
      <c r="J2660" s="68"/>
      <c r="K2660" s="32"/>
      <c r="L2660" s="75">
        <v>2660</v>
      </c>
      <c r="M2660" s="75"/>
      <c r="N2660" s="70"/>
      <c r="O2660" s="77" t="s">
        <v>179</v>
      </c>
      <c r="P2660" s="79">
        <v>45173.90797453704</v>
      </c>
      <c r="Q2660" s="77" t="s">
        <v>3332</v>
      </c>
      <c r="R2660" s="77">
        <v>0</v>
      </c>
      <c r="S2660" s="77">
        <v>0</v>
      </c>
      <c r="T2660" s="77">
        <v>1</v>
      </c>
      <c r="U2660" s="77">
        <v>0</v>
      </c>
      <c r="V2660" s="77">
        <v>548</v>
      </c>
      <c r="W2660" s="82" t="s">
        <v>6071</v>
      </c>
      <c r="X2660" s="80" t="str">
        <f>HYPERLINK("https://einvestidor.estadao.com.br/mercado/melhores-acoes-ibovespa-minerva-beef3-meliuz-cash3-irb-re-irbr3/?utm_source=twitter&amp;utm_medium=organic&amp;utm_campaign=&amp;utm_content=materia")</f>
        <v>https://einvestidor.estadao.com.br/mercado/melhores-acoes-ibovespa-minerva-beef3-meliuz-cash3-irb-re-irbr3/?utm_source=twitter&amp;utm_medium=organic&amp;utm_campaign=&amp;utm_content=materia</v>
      </c>
      <c r="Y2660" s="77" t="s">
        <v>6470</v>
      </c>
      <c r="Z2660" s="77"/>
      <c r="AA2660" s="77"/>
      <c r="AB2660" s="77"/>
      <c r="AC2660" s="82" t="s">
        <v>7750</v>
      </c>
      <c r="AD2660" s="77" t="s">
        <v>7788</v>
      </c>
      <c r="AE2660" s="80" t="str">
        <f>HYPERLINK("https://twitter.com/einvestidor/status/1698815070652833916")</f>
        <v>https://twitter.com/einvestidor/status/1698815070652833916</v>
      </c>
      <c r="AF2660" s="79">
        <v>45173.90797453704</v>
      </c>
      <c r="AG2660" s="85">
        <v>45173</v>
      </c>
      <c r="AH2660" s="82" t="s">
        <v>9795</v>
      </c>
      <c r="AI2660" s="77" t="b">
        <v>0</v>
      </c>
      <c r="AJ2660" s="77"/>
      <c r="AK2660" s="77"/>
      <c r="AL2660" s="77"/>
      <c r="AM2660" s="77"/>
      <c r="AN2660" s="77"/>
      <c r="AO2660" s="77"/>
      <c r="AP2660" s="77"/>
      <c r="AQ2660" s="77"/>
      <c r="AR2660" s="77"/>
      <c r="AS2660" s="77"/>
      <c r="AT2660" s="77"/>
      <c r="AU2660" s="77"/>
      <c r="AV2660" s="80" t="str">
        <f>HYPERLINK("https://pbs.twimg.com/profile_images/1241147984924082183/gZgx_hL-_normal.jpg")</f>
        <v>https://pbs.twimg.com/profile_images/1241147984924082183/gZgx_hL-_normal.jpg</v>
      </c>
      <c r="AW2660" s="82" t="s">
        <v>14256</v>
      </c>
      <c r="AX2660" s="82" t="s">
        <v>14256</v>
      </c>
      <c r="AY2660" s="77"/>
      <c r="AZ2660" s="82" t="s">
        <v>15984</v>
      </c>
      <c r="BA2660" s="82" t="s">
        <v>15984</v>
      </c>
      <c r="BB2660" s="82" t="s">
        <v>15984</v>
      </c>
      <c r="BC2660" s="82" t="s">
        <v>14256</v>
      </c>
      <c r="BD2660" s="82" t="s">
        <v>15979</v>
      </c>
      <c r="BE2660" s="77"/>
      <c r="BF2660" s="77"/>
      <c r="BG2660" s="77"/>
      <c r="BH2660" s="77"/>
      <c r="BI2660" s="77"/>
    </row>
    <row r="2661" spans="1:61" x14ac:dyDescent="0.25">
      <c r="A2661" s="62" t="s">
        <v>387</v>
      </c>
      <c r="B2661" s="62" t="s">
        <v>387</v>
      </c>
      <c r="C2661" s="63"/>
      <c r="D2661" s="64"/>
      <c r="E2661" s="65"/>
      <c r="F2661" s="66"/>
      <c r="G2661" s="63"/>
      <c r="H2661" s="67"/>
      <c r="I2661" s="68"/>
      <c r="J2661" s="68"/>
      <c r="K2661" s="32"/>
      <c r="L2661" s="75">
        <v>2661</v>
      </c>
      <c r="M2661" s="75"/>
      <c r="N2661" s="70"/>
      <c r="O2661" s="77" t="s">
        <v>179</v>
      </c>
      <c r="P2661" s="79">
        <v>45173.90625</v>
      </c>
      <c r="Q2661" s="77" t="s">
        <v>3333</v>
      </c>
      <c r="R2661" s="77">
        <v>0</v>
      </c>
      <c r="S2661" s="77">
        <v>1</v>
      </c>
      <c r="T2661" s="77">
        <v>0</v>
      </c>
      <c r="U2661" s="77">
        <v>0</v>
      </c>
      <c r="V2661" s="77">
        <v>689</v>
      </c>
      <c r="W2661" s="82" t="s">
        <v>6072</v>
      </c>
      <c r="X2661" s="80" t="str">
        <f>HYPERLINK("https://einvestidor.estadao.com.br/ultimas/minerva-beef3-lidera-ganhos-ibovespa-busca-bond/?utm_source=twitter&amp;utm_medium=organic&amp;utm_campaign=&amp;utm_content=materia")</f>
        <v>https://einvestidor.estadao.com.br/ultimas/minerva-beef3-lidera-ganhos-ibovespa-busca-bond/?utm_source=twitter&amp;utm_medium=organic&amp;utm_campaign=&amp;utm_content=materia</v>
      </c>
      <c r="Y2661" s="77" t="s">
        <v>6470</v>
      </c>
      <c r="Z2661" s="77"/>
      <c r="AA2661" s="77"/>
      <c r="AB2661" s="77"/>
      <c r="AC2661" s="82" t="s">
        <v>7750</v>
      </c>
      <c r="AD2661" s="77" t="s">
        <v>7788</v>
      </c>
      <c r="AE2661" s="80" t="str">
        <f>HYPERLINK("https://twitter.com/einvestidor/status/1698814442790912189")</f>
        <v>https://twitter.com/einvestidor/status/1698814442790912189</v>
      </c>
      <c r="AF2661" s="79">
        <v>45173.90625</v>
      </c>
      <c r="AG2661" s="85">
        <v>45173</v>
      </c>
      <c r="AH2661" s="82" t="s">
        <v>9578</v>
      </c>
      <c r="AI2661" s="77" t="b">
        <v>0</v>
      </c>
      <c r="AJ2661" s="77"/>
      <c r="AK2661" s="77"/>
      <c r="AL2661" s="77"/>
      <c r="AM2661" s="77"/>
      <c r="AN2661" s="77"/>
      <c r="AO2661" s="77"/>
      <c r="AP2661" s="77"/>
      <c r="AQ2661" s="77"/>
      <c r="AR2661" s="77"/>
      <c r="AS2661" s="77"/>
      <c r="AT2661" s="77"/>
      <c r="AU2661" s="77"/>
      <c r="AV2661" s="80" t="str">
        <f>HYPERLINK("https://pbs.twimg.com/profile_images/1241147984924082183/gZgx_hL-_normal.jpg")</f>
        <v>https://pbs.twimg.com/profile_images/1241147984924082183/gZgx_hL-_normal.jpg</v>
      </c>
      <c r="AW2661" s="82" t="s">
        <v>14257</v>
      </c>
      <c r="AX2661" s="82" t="s">
        <v>14257</v>
      </c>
      <c r="AY2661" s="77"/>
      <c r="AZ2661" s="82" t="s">
        <v>15984</v>
      </c>
      <c r="BA2661" s="82" t="s">
        <v>15984</v>
      </c>
      <c r="BB2661" s="82" t="s">
        <v>15984</v>
      </c>
      <c r="BC2661" s="82" t="s">
        <v>14257</v>
      </c>
      <c r="BD2661" s="82" t="s">
        <v>15979</v>
      </c>
      <c r="BE2661" s="77"/>
      <c r="BF2661" s="77"/>
      <c r="BG2661" s="77"/>
      <c r="BH2661" s="77"/>
      <c r="BI2661" s="77"/>
    </row>
    <row r="2662" spans="1:61" x14ac:dyDescent="0.25">
      <c r="A2662" s="62" t="s">
        <v>387</v>
      </c>
      <c r="B2662" s="62" t="s">
        <v>387</v>
      </c>
      <c r="C2662" s="63"/>
      <c r="D2662" s="64"/>
      <c r="E2662" s="65"/>
      <c r="F2662" s="66"/>
      <c r="G2662" s="63"/>
      <c r="H2662" s="67"/>
      <c r="I2662" s="68"/>
      <c r="J2662" s="68"/>
      <c r="K2662" s="32"/>
      <c r="L2662" s="75">
        <v>2662</v>
      </c>
      <c r="M2662" s="75"/>
      <c r="N2662" s="70"/>
      <c r="O2662" s="77" t="s">
        <v>179</v>
      </c>
      <c r="P2662" s="79">
        <v>45173.895833333336</v>
      </c>
      <c r="Q2662" s="77" t="s">
        <v>3334</v>
      </c>
      <c r="R2662" s="77">
        <v>0</v>
      </c>
      <c r="S2662" s="77">
        <v>3</v>
      </c>
      <c r="T2662" s="77">
        <v>0</v>
      </c>
      <c r="U2662" s="77">
        <v>0</v>
      </c>
      <c r="V2662" s="77">
        <v>468</v>
      </c>
      <c r="W2662" s="82" t="s">
        <v>6073</v>
      </c>
      <c r="X2662" s="80" t="str">
        <f>HYPERLINK("https://einvestidor.estadao.com.br/ultimas/sp-rating-proposta-emissao-externa-minerva/?utm_source=twitter&amp;utm_medium=organic&amp;utm_campaign=&amp;utm_content=materia")</f>
        <v>https://einvestidor.estadao.com.br/ultimas/sp-rating-proposta-emissao-externa-minerva/?utm_source=twitter&amp;utm_medium=organic&amp;utm_campaign=&amp;utm_content=materia</v>
      </c>
      <c r="Y2662" s="77" t="s">
        <v>6470</v>
      </c>
      <c r="Z2662" s="77"/>
      <c r="AA2662" s="77"/>
      <c r="AB2662" s="77"/>
      <c r="AC2662" s="82" t="s">
        <v>7750</v>
      </c>
      <c r="AD2662" s="77" t="s">
        <v>7788</v>
      </c>
      <c r="AE2662" s="80" t="str">
        <f>HYPERLINK("https://twitter.com/einvestidor/status/1698810667715670082")</f>
        <v>https://twitter.com/einvestidor/status/1698810667715670082</v>
      </c>
      <c r="AF2662" s="79">
        <v>45173.895833333336</v>
      </c>
      <c r="AG2662" s="85">
        <v>45173</v>
      </c>
      <c r="AH2662" s="82" t="s">
        <v>8089</v>
      </c>
      <c r="AI2662" s="77" t="b">
        <v>0</v>
      </c>
      <c r="AJ2662" s="77"/>
      <c r="AK2662" s="77"/>
      <c r="AL2662" s="77"/>
      <c r="AM2662" s="77"/>
      <c r="AN2662" s="77"/>
      <c r="AO2662" s="77"/>
      <c r="AP2662" s="77"/>
      <c r="AQ2662" s="77"/>
      <c r="AR2662" s="77"/>
      <c r="AS2662" s="77"/>
      <c r="AT2662" s="77"/>
      <c r="AU2662" s="77"/>
      <c r="AV2662" s="80" t="str">
        <f>HYPERLINK("https://pbs.twimg.com/profile_images/1241147984924082183/gZgx_hL-_normal.jpg")</f>
        <v>https://pbs.twimg.com/profile_images/1241147984924082183/gZgx_hL-_normal.jpg</v>
      </c>
      <c r="AW2662" s="82" t="s">
        <v>14258</v>
      </c>
      <c r="AX2662" s="82" t="s">
        <v>14258</v>
      </c>
      <c r="AY2662" s="77"/>
      <c r="AZ2662" s="82" t="s">
        <v>15984</v>
      </c>
      <c r="BA2662" s="82" t="s">
        <v>15984</v>
      </c>
      <c r="BB2662" s="82" t="s">
        <v>15984</v>
      </c>
      <c r="BC2662" s="82" t="s">
        <v>14258</v>
      </c>
      <c r="BD2662" s="82" t="s">
        <v>15979</v>
      </c>
      <c r="BE2662" s="77"/>
      <c r="BF2662" s="77"/>
      <c r="BG2662" s="77"/>
      <c r="BH2662" s="77"/>
      <c r="BI2662" s="77"/>
    </row>
    <row r="2663" spans="1:61" x14ac:dyDescent="0.25">
      <c r="A2663" s="62" t="s">
        <v>387</v>
      </c>
      <c r="B2663" s="62" t="s">
        <v>387</v>
      </c>
      <c r="C2663" s="63"/>
      <c r="D2663" s="64"/>
      <c r="E2663" s="65"/>
      <c r="F2663" s="66"/>
      <c r="G2663" s="63"/>
      <c r="H2663" s="67"/>
      <c r="I2663" s="68"/>
      <c r="J2663" s="68"/>
      <c r="K2663" s="32"/>
      <c r="L2663" s="75">
        <v>2663</v>
      </c>
      <c r="M2663" s="75"/>
      <c r="N2663" s="70"/>
      <c r="O2663" s="77" t="s">
        <v>179</v>
      </c>
      <c r="P2663" s="79">
        <v>45173.875011574077</v>
      </c>
      <c r="Q2663" s="77" t="s">
        <v>3335</v>
      </c>
      <c r="R2663" s="77">
        <v>0</v>
      </c>
      <c r="S2663" s="77">
        <v>0</v>
      </c>
      <c r="T2663" s="77">
        <v>0</v>
      </c>
      <c r="U2663" s="77">
        <v>0</v>
      </c>
      <c r="V2663" s="77">
        <v>433</v>
      </c>
      <c r="W2663" s="82" t="s">
        <v>6074</v>
      </c>
      <c r="X2663" s="80" t="str">
        <f>HYPERLINK("https://einvestidor.estadao.com.br/educacao-financeira/salario-familia-quem-tem-direito/?utm_source=twitter&amp;utm_medium=organic&amp;utm_campaign=&amp;utm_content=materia")</f>
        <v>https://einvestidor.estadao.com.br/educacao-financeira/salario-familia-quem-tem-direito/?utm_source=twitter&amp;utm_medium=organic&amp;utm_campaign=&amp;utm_content=materia</v>
      </c>
      <c r="Y2663" s="77" t="s">
        <v>6470</v>
      </c>
      <c r="Z2663" s="77"/>
      <c r="AA2663" s="77"/>
      <c r="AB2663" s="77"/>
      <c r="AC2663" s="82" t="s">
        <v>7750</v>
      </c>
      <c r="AD2663" s="77" t="s">
        <v>7788</v>
      </c>
      <c r="AE2663" s="80" t="str">
        <f>HYPERLINK("https://twitter.com/einvestidor/status/1698803122091761698")</f>
        <v>https://twitter.com/einvestidor/status/1698803122091761698</v>
      </c>
      <c r="AF2663" s="79">
        <v>45173.875011574077</v>
      </c>
      <c r="AG2663" s="85">
        <v>45173</v>
      </c>
      <c r="AH2663" s="82" t="s">
        <v>7871</v>
      </c>
      <c r="AI2663" s="77" t="b">
        <v>0</v>
      </c>
      <c r="AJ2663" s="77"/>
      <c r="AK2663" s="77"/>
      <c r="AL2663" s="77"/>
      <c r="AM2663" s="77"/>
      <c r="AN2663" s="77"/>
      <c r="AO2663" s="77"/>
      <c r="AP2663" s="77"/>
      <c r="AQ2663" s="77"/>
      <c r="AR2663" s="77"/>
      <c r="AS2663" s="77"/>
      <c r="AT2663" s="77"/>
      <c r="AU2663" s="77"/>
      <c r="AV2663" s="80" t="str">
        <f>HYPERLINK("https://pbs.twimg.com/profile_images/1241147984924082183/gZgx_hL-_normal.jpg")</f>
        <v>https://pbs.twimg.com/profile_images/1241147984924082183/gZgx_hL-_normal.jpg</v>
      </c>
      <c r="AW2663" s="82" t="s">
        <v>14259</v>
      </c>
      <c r="AX2663" s="82" t="s">
        <v>14259</v>
      </c>
      <c r="AY2663" s="77"/>
      <c r="AZ2663" s="82" t="s">
        <v>15984</v>
      </c>
      <c r="BA2663" s="82" t="s">
        <v>15984</v>
      </c>
      <c r="BB2663" s="82" t="s">
        <v>15984</v>
      </c>
      <c r="BC2663" s="82" t="s">
        <v>14259</v>
      </c>
      <c r="BD2663" s="82" t="s">
        <v>15979</v>
      </c>
      <c r="BE2663" s="77"/>
      <c r="BF2663" s="77"/>
      <c r="BG2663" s="77"/>
      <c r="BH2663" s="77"/>
      <c r="BI2663" s="77"/>
    </row>
    <row r="2664" spans="1:61" x14ac:dyDescent="0.25">
      <c r="A2664" s="62" t="s">
        <v>387</v>
      </c>
      <c r="B2664" s="62" t="s">
        <v>387</v>
      </c>
      <c r="C2664" s="63"/>
      <c r="D2664" s="64"/>
      <c r="E2664" s="65"/>
      <c r="F2664" s="66"/>
      <c r="G2664" s="63"/>
      <c r="H2664" s="67"/>
      <c r="I2664" s="68"/>
      <c r="J2664" s="68"/>
      <c r="K2664" s="32"/>
      <c r="L2664" s="75">
        <v>2664</v>
      </c>
      <c r="M2664" s="75"/>
      <c r="N2664" s="70"/>
      <c r="O2664" s="77" t="s">
        <v>179</v>
      </c>
      <c r="P2664" s="79">
        <v>45173.864583333336</v>
      </c>
      <c r="Q2664" s="77" t="s">
        <v>3336</v>
      </c>
      <c r="R2664" s="77">
        <v>0</v>
      </c>
      <c r="S2664" s="77">
        <v>0</v>
      </c>
      <c r="T2664" s="77">
        <v>0</v>
      </c>
      <c r="U2664" s="77">
        <v>0</v>
      </c>
      <c r="V2664" s="77">
        <v>466</v>
      </c>
      <c r="W2664" s="82" t="s">
        <v>6075</v>
      </c>
      <c r="X2664" s="80" t="str">
        <f>HYPERLINK("https://einvestidor.estadao.com.br/ultimas/itau-bba-reitera-recomendacao-outperform-desempenho-localiza/?utm_source=twitter&amp;utm_medium=organic&amp;utm_campaign=&amp;utm_content=materia")</f>
        <v>https://einvestidor.estadao.com.br/ultimas/itau-bba-reitera-recomendacao-outperform-desempenho-localiza/?utm_source=twitter&amp;utm_medium=organic&amp;utm_campaign=&amp;utm_content=materia</v>
      </c>
      <c r="Y2664" s="77" t="s">
        <v>6470</v>
      </c>
      <c r="Z2664" s="77"/>
      <c r="AA2664" s="77"/>
      <c r="AB2664" s="77"/>
      <c r="AC2664" s="82" t="s">
        <v>7750</v>
      </c>
      <c r="AD2664" s="77" t="s">
        <v>7788</v>
      </c>
      <c r="AE2664" s="80" t="str">
        <f>HYPERLINK("https://twitter.com/einvestidor/status/1698799343065784334")</f>
        <v>https://twitter.com/einvestidor/status/1698799343065784334</v>
      </c>
      <c r="AF2664" s="79">
        <v>45173.864583333336</v>
      </c>
      <c r="AG2664" s="85">
        <v>45173</v>
      </c>
      <c r="AH2664" s="82" t="s">
        <v>9596</v>
      </c>
      <c r="AI2664" s="77" t="b">
        <v>0</v>
      </c>
      <c r="AJ2664" s="77"/>
      <c r="AK2664" s="77"/>
      <c r="AL2664" s="77"/>
      <c r="AM2664" s="77"/>
      <c r="AN2664" s="77"/>
      <c r="AO2664" s="77"/>
      <c r="AP2664" s="77"/>
      <c r="AQ2664" s="77"/>
      <c r="AR2664" s="77"/>
      <c r="AS2664" s="77"/>
      <c r="AT2664" s="77"/>
      <c r="AU2664" s="77"/>
      <c r="AV2664" s="80" t="str">
        <f>HYPERLINK("https://pbs.twimg.com/profile_images/1241147984924082183/gZgx_hL-_normal.jpg")</f>
        <v>https://pbs.twimg.com/profile_images/1241147984924082183/gZgx_hL-_normal.jpg</v>
      </c>
      <c r="AW2664" s="82" t="s">
        <v>14260</v>
      </c>
      <c r="AX2664" s="82" t="s">
        <v>14260</v>
      </c>
      <c r="AY2664" s="77"/>
      <c r="AZ2664" s="82" t="s">
        <v>15984</v>
      </c>
      <c r="BA2664" s="82" t="s">
        <v>15984</v>
      </c>
      <c r="BB2664" s="82" t="s">
        <v>15984</v>
      </c>
      <c r="BC2664" s="82" t="s">
        <v>14260</v>
      </c>
      <c r="BD2664" s="82" t="s">
        <v>15979</v>
      </c>
      <c r="BE2664" s="77"/>
      <c r="BF2664" s="77"/>
      <c r="BG2664" s="77"/>
      <c r="BH2664" s="77"/>
      <c r="BI2664" s="77"/>
    </row>
    <row r="2665" spans="1:61" x14ac:dyDescent="0.25">
      <c r="A2665" s="62" t="s">
        <v>387</v>
      </c>
      <c r="B2665" s="62" t="s">
        <v>387</v>
      </c>
      <c r="C2665" s="63"/>
      <c r="D2665" s="64"/>
      <c r="E2665" s="65"/>
      <c r="F2665" s="66"/>
      <c r="G2665" s="63"/>
      <c r="H2665" s="67"/>
      <c r="I2665" s="68"/>
      <c r="J2665" s="68"/>
      <c r="K2665" s="32"/>
      <c r="L2665" s="75">
        <v>2665</v>
      </c>
      <c r="M2665" s="75"/>
      <c r="N2665" s="70"/>
      <c r="O2665" s="77" t="s">
        <v>179</v>
      </c>
      <c r="P2665" s="79">
        <v>45162.833333333336</v>
      </c>
      <c r="Q2665" s="77" t="s">
        <v>3337</v>
      </c>
      <c r="R2665" s="77">
        <v>0</v>
      </c>
      <c r="S2665" s="77">
        <v>0</v>
      </c>
      <c r="T2665" s="77">
        <v>0</v>
      </c>
      <c r="U2665" s="77">
        <v>0</v>
      </c>
      <c r="V2665" s="77">
        <v>492</v>
      </c>
      <c r="W2665" s="82" t="s">
        <v>4833</v>
      </c>
      <c r="X2665" s="80" t="str">
        <f>HYPERLINK("https://mla.bs/1a58cf47")</f>
        <v>https://mla.bs/1a58cf47</v>
      </c>
      <c r="Y2665" s="77" t="s">
        <v>6506</v>
      </c>
      <c r="Z2665" s="77"/>
      <c r="AA2665" s="77"/>
      <c r="AB2665" s="77"/>
      <c r="AC2665" s="82" t="s">
        <v>7750</v>
      </c>
      <c r="AD2665" s="77" t="s">
        <v>7788</v>
      </c>
      <c r="AE2665" s="80" t="str">
        <f>HYPERLINK("https://twitter.com/einvestidor/status/1694801752732676574")</f>
        <v>https://twitter.com/einvestidor/status/1694801752732676574</v>
      </c>
      <c r="AF2665" s="79">
        <v>45162.833333333336</v>
      </c>
      <c r="AG2665" s="85">
        <v>45162</v>
      </c>
      <c r="AH2665" s="82" t="s">
        <v>8381</v>
      </c>
      <c r="AI2665" s="77" t="b">
        <v>0</v>
      </c>
      <c r="AJ2665" s="77"/>
      <c r="AK2665" s="77"/>
      <c r="AL2665" s="77"/>
      <c r="AM2665" s="77"/>
      <c r="AN2665" s="77"/>
      <c r="AO2665" s="77"/>
      <c r="AP2665" s="77"/>
      <c r="AQ2665" s="77"/>
      <c r="AR2665" s="77"/>
      <c r="AS2665" s="77"/>
      <c r="AT2665" s="77"/>
      <c r="AU2665" s="77"/>
      <c r="AV2665" s="80" t="str">
        <f>HYPERLINK("https://pbs.twimg.com/profile_images/1241147984924082183/gZgx_hL-_normal.jpg")</f>
        <v>https://pbs.twimg.com/profile_images/1241147984924082183/gZgx_hL-_normal.jpg</v>
      </c>
      <c r="AW2665" s="82" t="s">
        <v>14261</v>
      </c>
      <c r="AX2665" s="82" t="s">
        <v>14261</v>
      </c>
      <c r="AY2665" s="77"/>
      <c r="AZ2665" s="82" t="s">
        <v>15984</v>
      </c>
      <c r="BA2665" s="82" t="s">
        <v>15984</v>
      </c>
      <c r="BB2665" s="82" t="s">
        <v>15984</v>
      </c>
      <c r="BC2665" s="82" t="s">
        <v>14261</v>
      </c>
      <c r="BD2665" s="82" t="s">
        <v>15979</v>
      </c>
      <c r="BE2665" s="77"/>
      <c r="BF2665" s="77"/>
      <c r="BG2665" s="77"/>
      <c r="BH2665" s="77"/>
      <c r="BI2665" s="77"/>
    </row>
    <row r="2666" spans="1:61" x14ac:dyDescent="0.25">
      <c r="A2666" s="62" t="s">
        <v>387</v>
      </c>
      <c r="B2666" s="62" t="s">
        <v>387</v>
      </c>
      <c r="C2666" s="63"/>
      <c r="D2666" s="64"/>
      <c r="E2666" s="65"/>
      <c r="F2666" s="66"/>
      <c r="G2666" s="63"/>
      <c r="H2666" s="67"/>
      <c r="I2666" s="68"/>
      <c r="J2666" s="68"/>
      <c r="K2666" s="32"/>
      <c r="L2666" s="75">
        <v>2666</v>
      </c>
      <c r="M2666" s="75"/>
      <c r="N2666" s="70"/>
      <c r="O2666" s="77" t="s">
        <v>179</v>
      </c>
      <c r="P2666" s="79">
        <v>45162.8125</v>
      </c>
      <c r="Q2666" s="77" t="s">
        <v>3338</v>
      </c>
      <c r="R2666" s="77">
        <v>1</v>
      </c>
      <c r="S2666" s="77">
        <v>1</v>
      </c>
      <c r="T2666" s="77">
        <v>0</v>
      </c>
      <c r="U2666" s="77">
        <v>0</v>
      </c>
      <c r="V2666" s="77">
        <v>500</v>
      </c>
      <c r="W2666" s="82" t="s">
        <v>5938</v>
      </c>
      <c r="X2666" s="80" t="str">
        <f>HYPERLINK("https://mla.bs/22454fdb")</f>
        <v>https://mla.bs/22454fdb</v>
      </c>
      <c r="Y2666" s="77" t="s">
        <v>6506</v>
      </c>
      <c r="Z2666" s="77"/>
      <c r="AA2666" s="77"/>
      <c r="AB2666" s="77"/>
      <c r="AC2666" s="82" t="s">
        <v>7750</v>
      </c>
      <c r="AD2666" s="77" t="s">
        <v>7788</v>
      </c>
      <c r="AE2666" s="80" t="str">
        <f>HYPERLINK("https://twitter.com/einvestidor/status/1694794203627151606")</f>
        <v>https://twitter.com/einvestidor/status/1694794203627151606</v>
      </c>
      <c r="AF2666" s="79">
        <v>45162.8125</v>
      </c>
      <c r="AG2666" s="85">
        <v>45162</v>
      </c>
      <c r="AH2666" s="82" t="s">
        <v>8281</v>
      </c>
      <c r="AI2666" s="77" t="b">
        <v>0</v>
      </c>
      <c r="AJ2666" s="77"/>
      <c r="AK2666" s="77"/>
      <c r="AL2666" s="77"/>
      <c r="AM2666" s="77"/>
      <c r="AN2666" s="77"/>
      <c r="AO2666" s="77"/>
      <c r="AP2666" s="77"/>
      <c r="AQ2666" s="77"/>
      <c r="AR2666" s="77"/>
      <c r="AS2666" s="77"/>
      <c r="AT2666" s="77"/>
      <c r="AU2666" s="77"/>
      <c r="AV2666" s="80" t="str">
        <f>HYPERLINK("https://pbs.twimg.com/profile_images/1241147984924082183/gZgx_hL-_normal.jpg")</f>
        <v>https://pbs.twimg.com/profile_images/1241147984924082183/gZgx_hL-_normal.jpg</v>
      </c>
      <c r="AW2666" s="82" t="s">
        <v>14262</v>
      </c>
      <c r="AX2666" s="82" t="s">
        <v>14262</v>
      </c>
      <c r="AY2666" s="77"/>
      <c r="AZ2666" s="82" t="s">
        <v>15984</v>
      </c>
      <c r="BA2666" s="82" t="s">
        <v>15984</v>
      </c>
      <c r="BB2666" s="82" t="s">
        <v>15984</v>
      </c>
      <c r="BC2666" s="82" t="s">
        <v>14262</v>
      </c>
      <c r="BD2666" s="82" t="s">
        <v>15979</v>
      </c>
      <c r="BE2666" s="77"/>
      <c r="BF2666" s="77"/>
      <c r="BG2666" s="77"/>
      <c r="BH2666" s="77"/>
      <c r="BI2666" s="77"/>
    </row>
    <row r="2667" spans="1:61" x14ac:dyDescent="0.25">
      <c r="A2667" s="62" t="s">
        <v>387</v>
      </c>
      <c r="B2667" s="62" t="s">
        <v>387</v>
      </c>
      <c r="C2667" s="63"/>
      <c r="D2667" s="64"/>
      <c r="E2667" s="65"/>
      <c r="F2667" s="66"/>
      <c r="G2667" s="63"/>
      <c r="H2667" s="67"/>
      <c r="I2667" s="68"/>
      <c r="J2667" s="68"/>
      <c r="K2667" s="32"/>
      <c r="L2667" s="75">
        <v>2667</v>
      </c>
      <c r="M2667" s="75"/>
      <c r="N2667" s="70"/>
      <c r="O2667" s="77" t="s">
        <v>179</v>
      </c>
      <c r="P2667" s="79">
        <v>45162.802083333336</v>
      </c>
      <c r="Q2667" s="77" t="s">
        <v>3339</v>
      </c>
      <c r="R2667" s="77">
        <v>0</v>
      </c>
      <c r="S2667" s="77">
        <v>0</v>
      </c>
      <c r="T2667" s="77">
        <v>0</v>
      </c>
      <c r="U2667" s="77">
        <v>0</v>
      </c>
      <c r="V2667" s="77">
        <v>522</v>
      </c>
      <c r="W2667" s="82" t="s">
        <v>4833</v>
      </c>
      <c r="X2667" s="80" t="str">
        <f>HYPERLINK("https://mla.bs/4cddafc1")</f>
        <v>https://mla.bs/4cddafc1</v>
      </c>
      <c r="Y2667" s="77" t="s">
        <v>6506</v>
      </c>
      <c r="Z2667" s="77"/>
      <c r="AA2667" s="77"/>
      <c r="AB2667" s="77"/>
      <c r="AC2667" s="82" t="s">
        <v>7750</v>
      </c>
      <c r="AD2667" s="77" t="s">
        <v>7788</v>
      </c>
      <c r="AE2667" s="80" t="str">
        <f>HYPERLINK("https://twitter.com/einvestidor/status/1694790427176751441")</f>
        <v>https://twitter.com/einvestidor/status/1694790427176751441</v>
      </c>
      <c r="AF2667" s="79">
        <v>45162.802083333336</v>
      </c>
      <c r="AG2667" s="85">
        <v>45162</v>
      </c>
      <c r="AH2667" s="82" t="s">
        <v>7868</v>
      </c>
      <c r="AI2667" s="77" t="b">
        <v>0</v>
      </c>
      <c r="AJ2667" s="77"/>
      <c r="AK2667" s="77"/>
      <c r="AL2667" s="77"/>
      <c r="AM2667" s="77"/>
      <c r="AN2667" s="77"/>
      <c r="AO2667" s="77"/>
      <c r="AP2667" s="77"/>
      <c r="AQ2667" s="77"/>
      <c r="AR2667" s="77"/>
      <c r="AS2667" s="77"/>
      <c r="AT2667" s="77"/>
      <c r="AU2667" s="77"/>
      <c r="AV2667" s="80" t="str">
        <f>HYPERLINK("https://pbs.twimg.com/profile_images/1241147984924082183/gZgx_hL-_normal.jpg")</f>
        <v>https://pbs.twimg.com/profile_images/1241147984924082183/gZgx_hL-_normal.jpg</v>
      </c>
      <c r="AW2667" s="82" t="s">
        <v>14263</v>
      </c>
      <c r="AX2667" s="82" t="s">
        <v>14263</v>
      </c>
      <c r="AY2667" s="77"/>
      <c r="AZ2667" s="82" t="s">
        <v>15984</v>
      </c>
      <c r="BA2667" s="82" t="s">
        <v>15984</v>
      </c>
      <c r="BB2667" s="82" t="s">
        <v>15984</v>
      </c>
      <c r="BC2667" s="82" t="s">
        <v>14263</v>
      </c>
      <c r="BD2667" s="82" t="s">
        <v>15979</v>
      </c>
      <c r="BE2667" s="77"/>
      <c r="BF2667" s="77"/>
      <c r="BG2667" s="77"/>
      <c r="BH2667" s="77"/>
      <c r="BI2667" s="77"/>
    </row>
    <row r="2668" spans="1:61" x14ac:dyDescent="0.25">
      <c r="A2668" s="62" t="s">
        <v>387</v>
      </c>
      <c r="B2668" s="62" t="s">
        <v>387</v>
      </c>
      <c r="C2668" s="63"/>
      <c r="D2668" s="64"/>
      <c r="E2668" s="65"/>
      <c r="F2668" s="66"/>
      <c r="G2668" s="63"/>
      <c r="H2668" s="67"/>
      <c r="I2668" s="68"/>
      <c r="J2668" s="68"/>
      <c r="K2668" s="32"/>
      <c r="L2668" s="75">
        <v>2668</v>
      </c>
      <c r="M2668" s="75"/>
      <c r="N2668" s="70"/>
      <c r="O2668" s="77" t="s">
        <v>179</v>
      </c>
      <c r="P2668" s="79">
        <v>45162.791678240741</v>
      </c>
      <c r="Q2668" s="77" t="s">
        <v>3340</v>
      </c>
      <c r="R2668" s="77">
        <v>0</v>
      </c>
      <c r="S2668" s="77">
        <v>0</v>
      </c>
      <c r="T2668" s="77">
        <v>0</v>
      </c>
      <c r="U2668" s="77">
        <v>0</v>
      </c>
      <c r="V2668" s="77">
        <v>433</v>
      </c>
      <c r="W2668" s="82" t="s">
        <v>6076</v>
      </c>
      <c r="X2668" s="80" t="str">
        <f>HYPERLINK("https://mla.bs/ed8dd152")</f>
        <v>https://mla.bs/ed8dd152</v>
      </c>
      <c r="Y2668" s="77" t="s">
        <v>6506</v>
      </c>
      <c r="Z2668" s="77"/>
      <c r="AA2668" s="77"/>
      <c r="AB2668" s="77"/>
      <c r="AC2668" s="82" t="s">
        <v>7750</v>
      </c>
      <c r="AD2668" s="77" t="s">
        <v>7788</v>
      </c>
      <c r="AE2668" s="80" t="str">
        <f>HYPERLINK("https://twitter.com/einvestidor/status/1694786658275889440")</f>
        <v>https://twitter.com/einvestidor/status/1694786658275889440</v>
      </c>
      <c r="AF2668" s="79">
        <v>45162.791678240741</v>
      </c>
      <c r="AG2668" s="85">
        <v>45162</v>
      </c>
      <c r="AH2668" s="82" t="s">
        <v>7933</v>
      </c>
      <c r="AI2668" s="77" t="b">
        <v>0</v>
      </c>
      <c r="AJ2668" s="77"/>
      <c r="AK2668" s="77"/>
      <c r="AL2668" s="77"/>
      <c r="AM2668" s="77"/>
      <c r="AN2668" s="77"/>
      <c r="AO2668" s="77"/>
      <c r="AP2668" s="77"/>
      <c r="AQ2668" s="77"/>
      <c r="AR2668" s="77"/>
      <c r="AS2668" s="77"/>
      <c r="AT2668" s="77"/>
      <c r="AU2668" s="77"/>
      <c r="AV2668" s="80" t="str">
        <f>HYPERLINK("https://pbs.twimg.com/profile_images/1241147984924082183/gZgx_hL-_normal.jpg")</f>
        <v>https://pbs.twimg.com/profile_images/1241147984924082183/gZgx_hL-_normal.jpg</v>
      </c>
      <c r="AW2668" s="82" t="s">
        <v>14264</v>
      </c>
      <c r="AX2668" s="82" t="s">
        <v>14264</v>
      </c>
      <c r="AY2668" s="77"/>
      <c r="AZ2668" s="82" t="s">
        <v>15984</v>
      </c>
      <c r="BA2668" s="82" t="s">
        <v>15984</v>
      </c>
      <c r="BB2668" s="82" t="s">
        <v>15984</v>
      </c>
      <c r="BC2668" s="82" t="s">
        <v>14264</v>
      </c>
      <c r="BD2668" s="82" t="s">
        <v>15979</v>
      </c>
      <c r="BE2668" s="77"/>
      <c r="BF2668" s="77"/>
      <c r="BG2668" s="77"/>
      <c r="BH2668" s="77"/>
      <c r="BI2668" s="77"/>
    </row>
    <row r="2669" spans="1:61" x14ac:dyDescent="0.25">
      <c r="A2669" s="62" t="s">
        <v>387</v>
      </c>
      <c r="B2669" s="62" t="s">
        <v>387</v>
      </c>
      <c r="C2669" s="63"/>
      <c r="D2669" s="64"/>
      <c r="E2669" s="65"/>
      <c r="F2669" s="66"/>
      <c r="G2669" s="63"/>
      <c r="H2669" s="67"/>
      <c r="I2669" s="68"/>
      <c r="J2669" s="68"/>
      <c r="K2669" s="32"/>
      <c r="L2669" s="75">
        <v>2669</v>
      </c>
      <c r="M2669" s="75"/>
      <c r="N2669" s="70"/>
      <c r="O2669" s="77" t="s">
        <v>179</v>
      </c>
      <c r="P2669" s="79">
        <v>45162.78125</v>
      </c>
      <c r="Q2669" s="77" t="s">
        <v>3341</v>
      </c>
      <c r="R2669" s="77">
        <v>0</v>
      </c>
      <c r="S2669" s="77">
        <v>1</v>
      </c>
      <c r="T2669" s="77">
        <v>0</v>
      </c>
      <c r="U2669" s="77">
        <v>0</v>
      </c>
      <c r="V2669" s="77">
        <v>721</v>
      </c>
      <c r="W2669" s="82" t="s">
        <v>6077</v>
      </c>
      <c r="X2669" s="80" t="str">
        <f>HYPERLINK("https://mla.bs/0ba7ae88")</f>
        <v>https://mla.bs/0ba7ae88</v>
      </c>
      <c r="Y2669" s="77" t="s">
        <v>6506</v>
      </c>
      <c r="Z2669" s="77"/>
      <c r="AA2669" s="77"/>
      <c r="AB2669" s="77"/>
      <c r="AC2669" s="82" t="s">
        <v>7750</v>
      </c>
      <c r="AD2669" s="77" t="s">
        <v>7788</v>
      </c>
      <c r="AE2669" s="80" t="str">
        <f>HYPERLINK("https://twitter.com/einvestidor/status/1694782877647728780")</f>
        <v>https://twitter.com/einvestidor/status/1694782877647728780</v>
      </c>
      <c r="AF2669" s="79">
        <v>45162.78125</v>
      </c>
      <c r="AG2669" s="85">
        <v>45162</v>
      </c>
      <c r="AH2669" s="82" t="s">
        <v>9581</v>
      </c>
      <c r="AI2669" s="77" t="b">
        <v>0</v>
      </c>
      <c r="AJ2669" s="77"/>
      <c r="AK2669" s="77"/>
      <c r="AL2669" s="77"/>
      <c r="AM2669" s="77"/>
      <c r="AN2669" s="77"/>
      <c r="AO2669" s="77"/>
      <c r="AP2669" s="77"/>
      <c r="AQ2669" s="77"/>
      <c r="AR2669" s="77"/>
      <c r="AS2669" s="77"/>
      <c r="AT2669" s="77"/>
      <c r="AU2669" s="77"/>
      <c r="AV2669" s="80" t="str">
        <f>HYPERLINK("https://pbs.twimg.com/profile_images/1241147984924082183/gZgx_hL-_normal.jpg")</f>
        <v>https://pbs.twimg.com/profile_images/1241147984924082183/gZgx_hL-_normal.jpg</v>
      </c>
      <c r="AW2669" s="82" t="s">
        <v>14265</v>
      </c>
      <c r="AX2669" s="82" t="s">
        <v>14265</v>
      </c>
      <c r="AY2669" s="77"/>
      <c r="AZ2669" s="82" t="s">
        <v>15984</v>
      </c>
      <c r="BA2669" s="82" t="s">
        <v>15984</v>
      </c>
      <c r="BB2669" s="82" t="s">
        <v>15984</v>
      </c>
      <c r="BC2669" s="82" t="s">
        <v>14265</v>
      </c>
      <c r="BD2669" s="82" t="s">
        <v>15979</v>
      </c>
      <c r="BE2669" s="77"/>
      <c r="BF2669" s="77"/>
      <c r="BG2669" s="77"/>
      <c r="BH2669" s="77"/>
      <c r="BI2669" s="77"/>
    </row>
    <row r="2670" spans="1:61" x14ac:dyDescent="0.25">
      <c r="A2670" s="62" t="s">
        <v>387</v>
      </c>
      <c r="B2670" s="62" t="s">
        <v>387</v>
      </c>
      <c r="C2670" s="63"/>
      <c r="D2670" s="64"/>
      <c r="E2670" s="65"/>
      <c r="F2670" s="66"/>
      <c r="G2670" s="63"/>
      <c r="H2670" s="67"/>
      <c r="I2670" s="68"/>
      <c r="J2670" s="68"/>
      <c r="K2670" s="32"/>
      <c r="L2670" s="75">
        <v>2670</v>
      </c>
      <c r="M2670" s="75"/>
      <c r="N2670" s="70"/>
      <c r="O2670" s="77" t="s">
        <v>179</v>
      </c>
      <c r="P2670" s="79">
        <v>45162.770833333336</v>
      </c>
      <c r="Q2670" s="77" t="s">
        <v>3342</v>
      </c>
      <c r="R2670" s="77">
        <v>0</v>
      </c>
      <c r="S2670" s="77">
        <v>2</v>
      </c>
      <c r="T2670" s="77">
        <v>0</v>
      </c>
      <c r="U2670" s="77">
        <v>0</v>
      </c>
      <c r="V2670" s="77">
        <v>493</v>
      </c>
      <c r="W2670" s="82" t="s">
        <v>4833</v>
      </c>
      <c r="X2670" s="80" t="str">
        <f>HYPERLINK("https://mla.bs/a0976583")</f>
        <v>https://mla.bs/a0976583</v>
      </c>
      <c r="Y2670" s="77" t="s">
        <v>6506</v>
      </c>
      <c r="Z2670" s="77"/>
      <c r="AA2670" s="77"/>
      <c r="AB2670" s="77"/>
      <c r="AC2670" s="82" t="s">
        <v>7750</v>
      </c>
      <c r="AD2670" s="77" t="s">
        <v>7788</v>
      </c>
      <c r="AE2670" s="80" t="str">
        <f>HYPERLINK("https://twitter.com/einvestidor/status/1694779104032346406")</f>
        <v>https://twitter.com/einvestidor/status/1694779104032346406</v>
      </c>
      <c r="AF2670" s="79">
        <v>45162.770833333336</v>
      </c>
      <c r="AG2670" s="85">
        <v>45162</v>
      </c>
      <c r="AH2670" s="82" t="s">
        <v>7930</v>
      </c>
      <c r="AI2670" s="77" t="b">
        <v>0</v>
      </c>
      <c r="AJ2670" s="77"/>
      <c r="AK2670" s="77"/>
      <c r="AL2670" s="77"/>
      <c r="AM2670" s="77"/>
      <c r="AN2670" s="77"/>
      <c r="AO2670" s="77"/>
      <c r="AP2670" s="77"/>
      <c r="AQ2670" s="77"/>
      <c r="AR2670" s="77"/>
      <c r="AS2670" s="77"/>
      <c r="AT2670" s="77"/>
      <c r="AU2670" s="77"/>
      <c r="AV2670" s="80" t="str">
        <f>HYPERLINK("https://pbs.twimg.com/profile_images/1241147984924082183/gZgx_hL-_normal.jpg")</f>
        <v>https://pbs.twimg.com/profile_images/1241147984924082183/gZgx_hL-_normal.jpg</v>
      </c>
      <c r="AW2670" s="82" t="s">
        <v>14266</v>
      </c>
      <c r="AX2670" s="82" t="s">
        <v>14266</v>
      </c>
      <c r="AY2670" s="77"/>
      <c r="AZ2670" s="82" t="s">
        <v>15984</v>
      </c>
      <c r="BA2670" s="82" t="s">
        <v>15984</v>
      </c>
      <c r="BB2670" s="82" t="s">
        <v>15984</v>
      </c>
      <c r="BC2670" s="82" t="s">
        <v>14266</v>
      </c>
      <c r="BD2670" s="82" t="s">
        <v>15979</v>
      </c>
      <c r="BE2670" s="77"/>
      <c r="BF2670" s="77"/>
      <c r="BG2670" s="77"/>
      <c r="BH2670" s="77"/>
      <c r="BI2670" s="77"/>
    </row>
    <row r="2671" spans="1:61" x14ac:dyDescent="0.25">
      <c r="A2671" s="62" t="s">
        <v>387</v>
      </c>
      <c r="B2671" s="62" t="s">
        <v>387</v>
      </c>
      <c r="C2671" s="63"/>
      <c r="D2671" s="64"/>
      <c r="E2671" s="65"/>
      <c r="F2671" s="66"/>
      <c r="G2671" s="63"/>
      <c r="H2671" s="67"/>
      <c r="I2671" s="68"/>
      <c r="J2671" s="68"/>
      <c r="K2671" s="32"/>
      <c r="L2671" s="75">
        <v>2671</v>
      </c>
      <c r="M2671" s="75"/>
      <c r="N2671" s="70"/>
      <c r="O2671" s="77" t="s">
        <v>179</v>
      </c>
      <c r="P2671" s="79">
        <v>45162.760416666664</v>
      </c>
      <c r="Q2671" s="77" t="s">
        <v>3343</v>
      </c>
      <c r="R2671" s="77">
        <v>0</v>
      </c>
      <c r="S2671" s="77">
        <v>2</v>
      </c>
      <c r="T2671" s="77">
        <v>0</v>
      </c>
      <c r="U2671" s="77">
        <v>0</v>
      </c>
      <c r="V2671" s="77">
        <v>486</v>
      </c>
      <c r="W2671" s="82" t="s">
        <v>4833</v>
      </c>
      <c r="X2671" s="80" t="str">
        <f>HYPERLINK("https://mla.bs/946446ad")</f>
        <v>https://mla.bs/946446ad</v>
      </c>
      <c r="Y2671" s="77" t="s">
        <v>6506</v>
      </c>
      <c r="Z2671" s="77"/>
      <c r="AA2671" s="77"/>
      <c r="AB2671" s="77"/>
      <c r="AC2671" s="82" t="s">
        <v>7750</v>
      </c>
      <c r="AD2671" s="77" t="s">
        <v>7788</v>
      </c>
      <c r="AE2671" s="80" t="str">
        <f>HYPERLINK("https://twitter.com/einvestidor/status/1694775327954981103")</f>
        <v>https://twitter.com/einvestidor/status/1694775327954981103</v>
      </c>
      <c r="AF2671" s="79">
        <v>45162.760416666664</v>
      </c>
      <c r="AG2671" s="85">
        <v>45162</v>
      </c>
      <c r="AH2671" s="82" t="s">
        <v>9582</v>
      </c>
      <c r="AI2671" s="77" t="b">
        <v>0</v>
      </c>
      <c r="AJ2671" s="77"/>
      <c r="AK2671" s="77"/>
      <c r="AL2671" s="77"/>
      <c r="AM2671" s="77"/>
      <c r="AN2671" s="77"/>
      <c r="AO2671" s="77"/>
      <c r="AP2671" s="77"/>
      <c r="AQ2671" s="77"/>
      <c r="AR2671" s="77"/>
      <c r="AS2671" s="77"/>
      <c r="AT2671" s="77"/>
      <c r="AU2671" s="77"/>
      <c r="AV2671" s="80" t="str">
        <f>HYPERLINK("https://pbs.twimg.com/profile_images/1241147984924082183/gZgx_hL-_normal.jpg")</f>
        <v>https://pbs.twimg.com/profile_images/1241147984924082183/gZgx_hL-_normal.jpg</v>
      </c>
      <c r="AW2671" s="82" t="s">
        <v>14267</v>
      </c>
      <c r="AX2671" s="82" t="s">
        <v>14267</v>
      </c>
      <c r="AY2671" s="77"/>
      <c r="AZ2671" s="82" t="s">
        <v>15984</v>
      </c>
      <c r="BA2671" s="82" t="s">
        <v>15984</v>
      </c>
      <c r="BB2671" s="82" t="s">
        <v>15984</v>
      </c>
      <c r="BC2671" s="82" t="s">
        <v>14267</v>
      </c>
      <c r="BD2671" s="82" t="s">
        <v>15979</v>
      </c>
      <c r="BE2671" s="77"/>
      <c r="BF2671" s="77"/>
      <c r="BG2671" s="77"/>
      <c r="BH2671" s="77"/>
      <c r="BI2671" s="77"/>
    </row>
    <row r="2672" spans="1:61" x14ac:dyDescent="0.25">
      <c r="A2672" s="62" t="s">
        <v>387</v>
      </c>
      <c r="B2672" s="62" t="s">
        <v>387</v>
      </c>
      <c r="C2672" s="63"/>
      <c r="D2672" s="64"/>
      <c r="E2672" s="65"/>
      <c r="F2672" s="66"/>
      <c r="G2672" s="63"/>
      <c r="H2672" s="67"/>
      <c r="I2672" s="68"/>
      <c r="J2672" s="68"/>
      <c r="K2672" s="32"/>
      <c r="L2672" s="75">
        <v>2672</v>
      </c>
      <c r="M2672" s="75"/>
      <c r="N2672" s="70"/>
      <c r="O2672" s="77" t="s">
        <v>179</v>
      </c>
      <c r="P2672" s="79">
        <v>45162.739583333336</v>
      </c>
      <c r="Q2672" s="77" t="s">
        <v>3344</v>
      </c>
      <c r="R2672" s="77">
        <v>1</v>
      </c>
      <c r="S2672" s="77">
        <v>1</v>
      </c>
      <c r="T2672" s="77">
        <v>0</v>
      </c>
      <c r="U2672" s="77">
        <v>0</v>
      </c>
      <c r="V2672" s="77">
        <v>404</v>
      </c>
      <c r="W2672" s="82" t="s">
        <v>6078</v>
      </c>
      <c r="X2672" s="80" t="str">
        <f>HYPERLINK("https://mla.bs/a229c24a")</f>
        <v>https://mla.bs/a229c24a</v>
      </c>
      <c r="Y2672" s="77" t="s">
        <v>6506</v>
      </c>
      <c r="Z2672" s="77"/>
      <c r="AA2672" s="77"/>
      <c r="AB2672" s="77"/>
      <c r="AC2672" s="82" t="s">
        <v>7750</v>
      </c>
      <c r="AD2672" s="77" t="s">
        <v>7788</v>
      </c>
      <c r="AE2672" s="80" t="str">
        <f>HYPERLINK("https://twitter.com/einvestidor/status/1694767778077549029")</f>
        <v>https://twitter.com/einvestidor/status/1694767778077549029</v>
      </c>
      <c r="AF2672" s="79">
        <v>45162.739583333336</v>
      </c>
      <c r="AG2672" s="85">
        <v>45162</v>
      </c>
      <c r="AH2672" s="82" t="s">
        <v>9626</v>
      </c>
      <c r="AI2672" s="77" t="b">
        <v>0</v>
      </c>
      <c r="AJ2672" s="77"/>
      <c r="AK2672" s="77"/>
      <c r="AL2672" s="77"/>
      <c r="AM2672" s="77"/>
      <c r="AN2672" s="77"/>
      <c r="AO2672" s="77"/>
      <c r="AP2672" s="77"/>
      <c r="AQ2672" s="77"/>
      <c r="AR2672" s="77"/>
      <c r="AS2672" s="77"/>
      <c r="AT2672" s="77"/>
      <c r="AU2672" s="77"/>
      <c r="AV2672" s="80" t="str">
        <f>HYPERLINK("https://pbs.twimg.com/profile_images/1241147984924082183/gZgx_hL-_normal.jpg")</f>
        <v>https://pbs.twimg.com/profile_images/1241147984924082183/gZgx_hL-_normal.jpg</v>
      </c>
      <c r="AW2672" s="82" t="s">
        <v>14268</v>
      </c>
      <c r="AX2672" s="82" t="s">
        <v>14268</v>
      </c>
      <c r="AY2672" s="77"/>
      <c r="AZ2672" s="82" t="s">
        <v>15984</v>
      </c>
      <c r="BA2672" s="82" t="s">
        <v>15984</v>
      </c>
      <c r="BB2672" s="82" t="s">
        <v>15984</v>
      </c>
      <c r="BC2672" s="82" t="s">
        <v>14268</v>
      </c>
      <c r="BD2672" s="82" t="s">
        <v>15979</v>
      </c>
      <c r="BE2672" s="77"/>
      <c r="BF2672" s="77"/>
      <c r="BG2672" s="77"/>
      <c r="BH2672" s="77"/>
      <c r="BI2672" s="77"/>
    </row>
    <row r="2673" spans="1:61" x14ac:dyDescent="0.25">
      <c r="A2673" s="62" t="s">
        <v>387</v>
      </c>
      <c r="B2673" s="62" t="s">
        <v>387</v>
      </c>
      <c r="C2673" s="63"/>
      <c r="D2673" s="64"/>
      <c r="E2673" s="65"/>
      <c r="F2673" s="66"/>
      <c r="G2673" s="63"/>
      <c r="H2673" s="67"/>
      <c r="I2673" s="68"/>
      <c r="J2673" s="68"/>
      <c r="K2673" s="32"/>
      <c r="L2673" s="75">
        <v>2673</v>
      </c>
      <c r="M2673" s="75"/>
      <c r="N2673" s="70"/>
      <c r="O2673" s="77" t="s">
        <v>179</v>
      </c>
      <c r="P2673" s="79">
        <v>45154.822916666664</v>
      </c>
      <c r="Q2673" s="77" t="s">
        <v>3345</v>
      </c>
      <c r="R2673" s="77">
        <v>1</v>
      </c>
      <c r="S2673" s="77">
        <v>2</v>
      </c>
      <c r="T2673" s="77">
        <v>0</v>
      </c>
      <c r="U2673" s="77">
        <v>0</v>
      </c>
      <c r="V2673" s="77">
        <v>884</v>
      </c>
      <c r="W2673" s="82" t="s">
        <v>6079</v>
      </c>
      <c r="X2673" s="80" t="str">
        <f>HYPERLINK("https://mla.bs/5a54df4d")</f>
        <v>https://mla.bs/5a54df4d</v>
      </c>
      <c r="Y2673" s="77" t="s">
        <v>6506</v>
      </c>
      <c r="Z2673" s="77"/>
      <c r="AA2673" s="77"/>
      <c r="AB2673" s="77"/>
      <c r="AC2673" s="82" t="s">
        <v>7750</v>
      </c>
      <c r="AD2673" s="77" t="s">
        <v>7788</v>
      </c>
      <c r="AE2673" s="80" t="str">
        <f>HYPERLINK("https://twitter.com/einvestidor/status/1691898874032697750")</f>
        <v>https://twitter.com/einvestidor/status/1691898874032697750</v>
      </c>
      <c r="AF2673" s="79">
        <v>45154.822916666664</v>
      </c>
      <c r="AG2673" s="85">
        <v>45154</v>
      </c>
      <c r="AH2673" s="82" t="s">
        <v>9579</v>
      </c>
      <c r="AI2673" s="77" t="b">
        <v>0</v>
      </c>
      <c r="AJ2673" s="77"/>
      <c r="AK2673" s="77"/>
      <c r="AL2673" s="77"/>
      <c r="AM2673" s="77"/>
      <c r="AN2673" s="77"/>
      <c r="AO2673" s="77"/>
      <c r="AP2673" s="77"/>
      <c r="AQ2673" s="77"/>
      <c r="AR2673" s="77"/>
      <c r="AS2673" s="77"/>
      <c r="AT2673" s="77"/>
      <c r="AU2673" s="77"/>
      <c r="AV2673" s="80" t="str">
        <f>HYPERLINK("https://pbs.twimg.com/profile_images/1241147984924082183/gZgx_hL-_normal.jpg")</f>
        <v>https://pbs.twimg.com/profile_images/1241147984924082183/gZgx_hL-_normal.jpg</v>
      </c>
      <c r="AW2673" s="82" t="s">
        <v>14269</v>
      </c>
      <c r="AX2673" s="82" t="s">
        <v>14269</v>
      </c>
      <c r="AY2673" s="77"/>
      <c r="AZ2673" s="82" t="s">
        <v>15984</v>
      </c>
      <c r="BA2673" s="82" t="s">
        <v>15984</v>
      </c>
      <c r="BB2673" s="82" t="s">
        <v>15984</v>
      </c>
      <c r="BC2673" s="82" t="s">
        <v>14269</v>
      </c>
      <c r="BD2673" s="82" t="s">
        <v>15979</v>
      </c>
      <c r="BE2673" s="77"/>
      <c r="BF2673" s="77"/>
      <c r="BG2673" s="77"/>
      <c r="BH2673" s="77"/>
      <c r="BI2673" s="77"/>
    </row>
    <row r="2674" spans="1:61" x14ac:dyDescent="0.25">
      <c r="A2674" s="62" t="s">
        <v>387</v>
      </c>
      <c r="B2674" s="62" t="s">
        <v>387</v>
      </c>
      <c r="C2674" s="63"/>
      <c r="D2674" s="64"/>
      <c r="E2674" s="65"/>
      <c r="F2674" s="66"/>
      <c r="G2674" s="63"/>
      <c r="H2674" s="67"/>
      <c r="I2674" s="68"/>
      <c r="J2674" s="68"/>
      <c r="K2674" s="32"/>
      <c r="L2674" s="75">
        <v>2674</v>
      </c>
      <c r="M2674" s="75"/>
      <c r="N2674" s="70"/>
      <c r="O2674" s="77" t="s">
        <v>179</v>
      </c>
      <c r="P2674" s="79">
        <v>45154.802083333336</v>
      </c>
      <c r="Q2674" s="77" t="s">
        <v>3346</v>
      </c>
      <c r="R2674" s="77">
        <v>1</v>
      </c>
      <c r="S2674" s="77">
        <v>1</v>
      </c>
      <c r="T2674" s="77">
        <v>0</v>
      </c>
      <c r="U2674" s="77">
        <v>0</v>
      </c>
      <c r="V2674" s="77">
        <v>507</v>
      </c>
      <c r="W2674" s="82" t="s">
        <v>6080</v>
      </c>
      <c r="X2674" s="80" t="str">
        <f>HYPERLINK("https://mla.bs/66589824")</f>
        <v>https://mla.bs/66589824</v>
      </c>
      <c r="Y2674" s="77" t="s">
        <v>6506</v>
      </c>
      <c r="Z2674" s="77"/>
      <c r="AA2674" s="77"/>
      <c r="AB2674" s="77"/>
      <c r="AC2674" s="82" t="s">
        <v>7750</v>
      </c>
      <c r="AD2674" s="77" t="s">
        <v>7788</v>
      </c>
      <c r="AE2674" s="80" t="str">
        <f>HYPERLINK("https://twitter.com/einvestidor/status/1691891324381757946")</f>
        <v>https://twitter.com/einvestidor/status/1691891324381757946</v>
      </c>
      <c r="AF2674" s="79">
        <v>45154.802083333336</v>
      </c>
      <c r="AG2674" s="85">
        <v>45154</v>
      </c>
      <c r="AH2674" s="82" t="s">
        <v>7868</v>
      </c>
      <c r="AI2674" s="77" t="b">
        <v>0</v>
      </c>
      <c r="AJ2674" s="77"/>
      <c r="AK2674" s="77"/>
      <c r="AL2674" s="77"/>
      <c r="AM2674" s="77"/>
      <c r="AN2674" s="77"/>
      <c r="AO2674" s="77"/>
      <c r="AP2674" s="77"/>
      <c r="AQ2674" s="77"/>
      <c r="AR2674" s="77"/>
      <c r="AS2674" s="77"/>
      <c r="AT2674" s="77"/>
      <c r="AU2674" s="77"/>
      <c r="AV2674" s="80" t="str">
        <f>HYPERLINK("https://pbs.twimg.com/profile_images/1241147984924082183/gZgx_hL-_normal.jpg")</f>
        <v>https://pbs.twimg.com/profile_images/1241147984924082183/gZgx_hL-_normal.jpg</v>
      </c>
      <c r="AW2674" s="82" t="s">
        <v>14270</v>
      </c>
      <c r="AX2674" s="82" t="s">
        <v>14270</v>
      </c>
      <c r="AY2674" s="77"/>
      <c r="AZ2674" s="82" t="s">
        <v>15984</v>
      </c>
      <c r="BA2674" s="82" t="s">
        <v>15984</v>
      </c>
      <c r="BB2674" s="82" t="s">
        <v>15984</v>
      </c>
      <c r="BC2674" s="82" t="s">
        <v>14270</v>
      </c>
      <c r="BD2674" s="82" t="s">
        <v>15979</v>
      </c>
      <c r="BE2674" s="77"/>
      <c r="BF2674" s="77"/>
      <c r="BG2674" s="77"/>
      <c r="BH2674" s="77"/>
      <c r="BI2674" s="77"/>
    </row>
    <row r="2675" spans="1:61" x14ac:dyDescent="0.25">
      <c r="A2675" s="62" t="s">
        <v>387</v>
      </c>
      <c r="B2675" s="62" t="s">
        <v>387</v>
      </c>
      <c r="C2675" s="63"/>
      <c r="D2675" s="64"/>
      <c r="E2675" s="65"/>
      <c r="F2675" s="66"/>
      <c r="G2675" s="63"/>
      <c r="H2675" s="67"/>
      <c r="I2675" s="68"/>
      <c r="J2675" s="68"/>
      <c r="K2675" s="32"/>
      <c r="L2675" s="75">
        <v>2675</v>
      </c>
      <c r="M2675" s="75"/>
      <c r="N2675" s="70"/>
      <c r="O2675" s="77" t="s">
        <v>179</v>
      </c>
      <c r="P2675" s="79">
        <v>45154.791678240741</v>
      </c>
      <c r="Q2675" s="77" t="s">
        <v>3347</v>
      </c>
      <c r="R2675" s="77">
        <v>0</v>
      </c>
      <c r="S2675" s="77">
        <v>0</v>
      </c>
      <c r="T2675" s="77">
        <v>0</v>
      </c>
      <c r="U2675" s="77">
        <v>0</v>
      </c>
      <c r="V2675" s="77">
        <v>445</v>
      </c>
      <c r="W2675" s="82" t="s">
        <v>6081</v>
      </c>
      <c r="X2675" s="80" t="str">
        <f>HYPERLINK("https://mla.bs/cd7ea09c")</f>
        <v>https://mla.bs/cd7ea09c</v>
      </c>
      <c r="Y2675" s="77" t="s">
        <v>6506</v>
      </c>
      <c r="Z2675" s="77"/>
      <c r="AA2675" s="77"/>
      <c r="AB2675" s="77"/>
      <c r="AC2675" s="82" t="s">
        <v>7750</v>
      </c>
      <c r="AD2675" s="77" t="s">
        <v>7788</v>
      </c>
      <c r="AE2675" s="80" t="str">
        <f>HYPERLINK("https://twitter.com/einvestidor/status/1691887554684137953")</f>
        <v>https://twitter.com/einvestidor/status/1691887554684137953</v>
      </c>
      <c r="AF2675" s="79">
        <v>45154.791678240741</v>
      </c>
      <c r="AG2675" s="85">
        <v>45154</v>
      </c>
      <c r="AH2675" s="82" t="s">
        <v>7933</v>
      </c>
      <c r="AI2675" s="77" t="b">
        <v>0</v>
      </c>
      <c r="AJ2675" s="77"/>
      <c r="AK2675" s="77"/>
      <c r="AL2675" s="77"/>
      <c r="AM2675" s="77"/>
      <c r="AN2675" s="77"/>
      <c r="AO2675" s="77"/>
      <c r="AP2675" s="77"/>
      <c r="AQ2675" s="77"/>
      <c r="AR2675" s="77"/>
      <c r="AS2675" s="77"/>
      <c r="AT2675" s="77"/>
      <c r="AU2675" s="77"/>
      <c r="AV2675" s="80" t="str">
        <f>HYPERLINK("https://pbs.twimg.com/profile_images/1241147984924082183/gZgx_hL-_normal.jpg")</f>
        <v>https://pbs.twimg.com/profile_images/1241147984924082183/gZgx_hL-_normal.jpg</v>
      </c>
      <c r="AW2675" s="82" t="s">
        <v>14271</v>
      </c>
      <c r="AX2675" s="82" t="s">
        <v>14271</v>
      </c>
      <c r="AY2675" s="77"/>
      <c r="AZ2675" s="82" t="s">
        <v>15984</v>
      </c>
      <c r="BA2675" s="82" t="s">
        <v>15984</v>
      </c>
      <c r="BB2675" s="82" t="s">
        <v>15984</v>
      </c>
      <c r="BC2675" s="82" t="s">
        <v>14271</v>
      </c>
      <c r="BD2675" s="82" t="s">
        <v>15979</v>
      </c>
      <c r="BE2675" s="77"/>
      <c r="BF2675" s="77"/>
      <c r="BG2675" s="77"/>
      <c r="BH2675" s="77"/>
      <c r="BI2675" s="77"/>
    </row>
    <row r="2676" spans="1:61" x14ac:dyDescent="0.25">
      <c r="A2676" s="62" t="s">
        <v>387</v>
      </c>
      <c r="B2676" s="62" t="s">
        <v>387</v>
      </c>
      <c r="C2676" s="63"/>
      <c r="D2676" s="64"/>
      <c r="E2676" s="65"/>
      <c r="F2676" s="66"/>
      <c r="G2676" s="63"/>
      <c r="H2676" s="67"/>
      <c r="I2676" s="68"/>
      <c r="J2676" s="68"/>
      <c r="K2676" s="32"/>
      <c r="L2676" s="75">
        <v>2676</v>
      </c>
      <c r="M2676" s="75"/>
      <c r="N2676" s="70"/>
      <c r="O2676" s="77" t="s">
        <v>179</v>
      </c>
      <c r="P2676" s="79">
        <v>45154.78125</v>
      </c>
      <c r="Q2676" s="77" t="s">
        <v>3348</v>
      </c>
      <c r="R2676" s="77">
        <v>0</v>
      </c>
      <c r="S2676" s="77">
        <v>0</v>
      </c>
      <c r="T2676" s="77">
        <v>0</v>
      </c>
      <c r="U2676" s="77">
        <v>0</v>
      </c>
      <c r="V2676" s="77">
        <v>539</v>
      </c>
      <c r="W2676" s="82" t="s">
        <v>4833</v>
      </c>
      <c r="X2676" s="80" t="str">
        <f>HYPERLINK("https://mla.bs/66109f16")</f>
        <v>https://mla.bs/66109f16</v>
      </c>
      <c r="Y2676" s="77" t="s">
        <v>6506</v>
      </c>
      <c r="Z2676" s="77"/>
      <c r="AA2676" s="77"/>
      <c r="AB2676" s="77"/>
      <c r="AC2676" s="82" t="s">
        <v>7750</v>
      </c>
      <c r="AD2676" s="77" t="s">
        <v>7788</v>
      </c>
      <c r="AE2676" s="80" t="str">
        <f>HYPERLINK("https://twitter.com/einvestidor/status/1691883775041388739")</f>
        <v>https://twitter.com/einvestidor/status/1691883775041388739</v>
      </c>
      <c r="AF2676" s="79">
        <v>45154.78125</v>
      </c>
      <c r="AG2676" s="85">
        <v>45154</v>
      </c>
      <c r="AH2676" s="82" t="s">
        <v>9581</v>
      </c>
      <c r="AI2676" s="77" t="b">
        <v>0</v>
      </c>
      <c r="AJ2676" s="77"/>
      <c r="AK2676" s="77"/>
      <c r="AL2676" s="77"/>
      <c r="AM2676" s="77"/>
      <c r="AN2676" s="77"/>
      <c r="AO2676" s="77"/>
      <c r="AP2676" s="77"/>
      <c r="AQ2676" s="77"/>
      <c r="AR2676" s="77"/>
      <c r="AS2676" s="77"/>
      <c r="AT2676" s="77"/>
      <c r="AU2676" s="77"/>
      <c r="AV2676" s="80" t="str">
        <f>HYPERLINK("https://pbs.twimg.com/profile_images/1241147984924082183/gZgx_hL-_normal.jpg")</f>
        <v>https://pbs.twimg.com/profile_images/1241147984924082183/gZgx_hL-_normal.jpg</v>
      </c>
      <c r="AW2676" s="82" t="s">
        <v>14272</v>
      </c>
      <c r="AX2676" s="82" t="s">
        <v>14272</v>
      </c>
      <c r="AY2676" s="77"/>
      <c r="AZ2676" s="82" t="s">
        <v>15984</v>
      </c>
      <c r="BA2676" s="82" t="s">
        <v>15984</v>
      </c>
      <c r="BB2676" s="82" t="s">
        <v>15984</v>
      </c>
      <c r="BC2676" s="82" t="s">
        <v>14272</v>
      </c>
      <c r="BD2676" s="82" t="s">
        <v>15979</v>
      </c>
      <c r="BE2676" s="77"/>
      <c r="BF2676" s="77"/>
      <c r="BG2676" s="77"/>
      <c r="BH2676" s="77"/>
      <c r="BI2676" s="77"/>
    </row>
    <row r="2677" spans="1:61" x14ac:dyDescent="0.25">
      <c r="A2677" s="62" t="s">
        <v>387</v>
      </c>
      <c r="B2677" s="62" t="s">
        <v>387</v>
      </c>
      <c r="C2677" s="63"/>
      <c r="D2677" s="64"/>
      <c r="E2677" s="65"/>
      <c r="F2677" s="66"/>
      <c r="G2677" s="63"/>
      <c r="H2677" s="67"/>
      <c r="I2677" s="68"/>
      <c r="J2677" s="68"/>
      <c r="K2677" s="32"/>
      <c r="L2677" s="75">
        <v>2677</v>
      </c>
      <c r="M2677" s="75"/>
      <c r="N2677" s="70"/>
      <c r="O2677" s="77" t="s">
        <v>179</v>
      </c>
      <c r="P2677" s="79">
        <v>45154.750011574077</v>
      </c>
      <c r="Q2677" s="77" t="s">
        <v>3349</v>
      </c>
      <c r="R2677" s="77">
        <v>0</v>
      </c>
      <c r="S2677" s="77">
        <v>3</v>
      </c>
      <c r="T2677" s="77">
        <v>0</v>
      </c>
      <c r="U2677" s="77">
        <v>0</v>
      </c>
      <c r="V2677" s="77">
        <v>456</v>
      </c>
      <c r="W2677" s="82" t="s">
        <v>4833</v>
      </c>
      <c r="X2677" s="80" t="str">
        <f>HYPERLINK("https://mla.bs/9b19da37")</f>
        <v>https://mla.bs/9b19da37</v>
      </c>
      <c r="Y2677" s="77" t="s">
        <v>6506</v>
      </c>
      <c r="Z2677" s="77"/>
      <c r="AA2677" s="77"/>
      <c r="AB2677" s="77"/>
      <c r="AC2677" s="82" t="s">
        <v>7750</v>
      </c>
      <c r="AD2677" s="77" t="s">
        <v>7788</v>
      </c>
      <c r="AE2677" s="80" t="str">
        <f>HYPERLINK("https://twitter.com/einvestidor/status/1691872456129261854")</f>
        <v>https://twitter.com/einvestidor/status/1691872456129261854</v>
      </c>
      <c r="AF2677" s="79">
        <v>45154.750011574077</v>
      </c>
      <c r="AG2677" s="85">
        <v>45154</v>
      </c>
      <c r="AH2677" s="82" t="s">
        <v>9625</v>
      </c>
      <c r="AI2677" s="77" t="b">
        <v>0</v>
      </c>
      <c r="AJ2677" s="77"/>
      <c r="AK2677" s="77"/>
      <c r="AL2677" s="77"/>
      <c r="AM2677" s="77"/>
      <c r="AN2677" s="77"/>
      <c r="AO2677" s="77"/>
      <c r="AP2677" s="77"/>
      <c r="AQ2677" s="77"/>
      <c r="AR2677" s="77"/>
      <c r="AS2677" s="77"/>
      <c r="AT2677" s="77"/>
      <c r="AU2677" s="77"/>
      <c r="AV2677" s="80" t="str">
        <f>HYPERLINK("https://pbs.twimg.com/profile_images/1241147984924082183/gZgx_hL-_normal.jpg")</f>
        <v>https://pbs.twimg.com/profile_images/1241147984924082183/gZgx_hL-_normal.jpg</v>
      </c>
      <c r="AW2677" s="82" t="s">
        <v>14273</v>
      </c>
      <c r="AX2677" s="82" t="s">
        <v>14273</v>
      </c>
      <c r="AY2677" s="77"/>
      <c r="AZ2677" s="82" t="s">
        <v>15984</v>
      </c>
      <c r="BA2677" s="82" t="s">
        <v>15984</v>
      </c>
      <c r="BB2677" s="82" t="s">
        <v>15984</v>
      </c>
      <c r="BC2677" s="82" t="s">
        <v>14273</v>
      </c>
      <c r="BD2677" s="82" t="s">
        <v>15979</v>
      </c>
      <c r="BE2677" s="77"/>
      <c r="BF2677" s="77"/>
      <c r="BG2677" s="77"/>
      <c r="BH2677" s="77"/>
      <c r="BI2677" s="77"/>
    </row>
    <row r="2678" spans="1:61" x14ac:dyDescent="0.25">
      <c r="A2678" s="62" t="s">
        <v>387</v>
      </c>
      <c r="B2678" s="62" t="s">
        <v>387</v>
      </c>
      <c r="C2678" s="63"/>
      <c r="D2678" s="64"/>
      <c r="E2678" s="65"/>
      <c r="F2678" s="66"/>
      <c r="G2678" s="63"/>
      <c r="H2678" s="67"/>
      <c r="I2678" s="68"/>
      <c r="J2678" s="68"/>
      <c r="K2678" s="32"/>
      <c r="L2678" s="75">
        <v>2678</v>
      </c>
      <c r="M2678" s="75"/>
      <c r="N2678" s="70"/>
      <c r="O2678" s="77" t="s">
        <v>179</v>
      </c>
      <c r="P2678" s="79">
        <v>45154.739583333336</v>
      </c>
      <c r="Q2678" s="77" t="s">
        <v>3350</v>
      </c>
      <c r="R2678" s="77">
        <v>0</v>
      </c>
      <c r="S2678" s="77">
        <v>0</v>
      </c>
      <c r="T2678" s="77">
        <v>0</v>
      </c>
      <c r="U2678" s="77">
        <v>0</v>
      </c>
      <c r="V2678" s="77">
        <v>480</v>
      </c>
      <c r="W2678" s="82" t="s">
        <v>6069</v>
      </c>
      <c r="X2678" s="80" t="str">
        <f>HYPERLINK("https://mla.bs/1e430fad")</f>
        <v>https://mla.bs/1e430fad</v>
      </c>
      <c r="Y2678" s="77" t="s">
        <v>6506</v>
      </c>
      <c r="Z2678" s="77"/>
      <c r="AA2678" s="77"/>
      <c r="AB2678" s="77"/>
      <c r="AC2678" s="82" t="s">
        <v>7750</v>
      </c>
      <c r="AD2678" s="77" t="s">
        <v>7788</v>
      </c>
      <c r="AE2678" s="80" t="str">
        <f>HYPERLINK("https://twitter.com/einvestidor/status/1691868675194622220")</f>
        <v>https://twitter.com/einvestidor/status/1691868675194622220</v>
      </c>
      <c r="AF2678" s="79">
        <v>45154.739583333336</v>
      </c>
      <c r="AG2678" s="85">
        <v>45154</v>
      </c>
      <c r="AH2678" s="82" t="s">
        <v>9626</v>
      </c>
      <c r="AI2678" s="77" t="b">
        <v>0</v>
      </c>
      <c r="AJ2678" s="77"/>
      <c r="AK2678" s="77"/>
      <c r="AL2678" s="77"/>
      <c r="AM2678" s="77"/>
      <c r="AN2678" s="77"/>
      <c r="AO2678" s="77"/>
      <c r="AP2678" s="77"/>
      <c r="AQ2678" s="77"/>
      <c r="AR2678" s="77"/>
      <c r="AS2678" s="77"/>
      <c r="AT2678" s="77"/>
      <c r="AU2678" s="77"/>
      <c r="AV2678" s="80" t="str">
        <f>HYPERLINK("https://pbs.twimg.com/profile_images/1241147984924082183/gZgx_hL-_normal.jpg")</f>
        <v>https://pbs.twimg.com/profile_images/1241147984924082183/gZgx_hL-_normal.jpg</v>
      </c>
      <c r="AW2678" s="82" t="s">
        <v>14274</v>
      </c>
      <c r="AX2678" s="82" t="s">
        <v>14274</v>
      </c>
      <c r="AY2678" s="77"/>
      <c r="AZ2678" s="82" t="s">
        <v>15984</v>
      </c>
      <c r="BA2678" s="82" t="s">
        <v>15984</v>
      </c>
      <c r="BB2678" s="82" t="s">
        <v>15984</v>
      </c>
      <c r="BC2678" s="82" t="s">
        <v>14274</v>
      </c>
      <c r="BD2678" s="82" t="s">
        <v>15979</v>
      </c>
      <c r="BE2678" s="77"/>
      <c r="BF2678" s="77"/>
      <c r="BG2678" s="77"/>
      <c r="BH2678" s="77"/>
      <c r="BI2678" s="77"/>
    </row>
    <row r="2679" spans="1:61" x14ac:dyDescent="0.25">
      <c r="A2679" s="62" t="s">
        <v>387</v>
      </c>
      <c r="B2679" s="62" t="s">
        <v>387</v>
      </c>
      <c r="C2679" s="63"/>
      <c r="D2679" s="64"/>
      <c r="E2679" s="65"/>
      <c r="F2679" s="66"/>
      <c r="G2679" s="63"/>
      <c r="H2679" s="67"/>
      <c r="I2679" s="68"/>
      <c r="J2679" s="68"/>
      <c r="K2679" s="32"/>
      <c r="L2679" s="75">
        <v>2679</v>
      </c>
      <c r="M2679" s="75"/>
      <c r="N2679" s="70"/>
      <c r="O2679" s="77" t="s">
        <v>179</v>
      </c>
      <c r="P2679" s="79">
        <v>45154.729166666664</v>
      </c>
      <c r="Q2679" s="77" t="s">
        <v>3351</v>
      </c>
      <c r="R2679" s="77">
        <v>0</v>
      </c>
      <c r="S2679" s="77">
        <v>0</v>
      </c>
      <c r="T2679" s="77">
        <v>0</v>
      </c>
      <c r="U2679" s="77">
        <v>0</v>
      </c>
      <c r="V2679" s="77">
        <v>390</v>
      </c>
      <c r="W2679" s="82" t="s">
        <v>4833</v>
      </c>
      <c r="X2679" s="80" t="str">
        <f>HYPERLINK("https://mla.bs/e18e60ec")</f>
        <v>https://mla.bs/e18e60ec</v>
      </c>
      <c r="Y2679" s="77" t="s">
        <v>6506</v>
      </c>
      <c r="Z2679" s="77"/>
      <c r="AA2679" s="77"/>
      <c r="AB2679" s="77"/>
      <c r="AC2679" s="82" t="s">
        <v>7750</v>
      </c>
      <c r="AD2679" s="77" t="s">
        <v>7788</v>
      </c>
      <c r="AE2679" s="80" t="str">
        <f>HYPERLINK("https://twitter.com/einvestidor/status/1691864902217122125")</f>
        <v>https://twitter.com/einvestidor/status/1691864902217122125</v>
      </c>
      <c r="AF2679" s="79">
        <v>45154.729166666664</v>
      </c>
      <c r="AG2679" s="85">
        <v>45154</v>
      </c>
      <c r="AH2679" s="82" t="s">
        <v>8091</v>
      </c>
      <c r="AI2679" s="77" t="b">
        <v>0</v>
      </c>
      <c r="AJ2679" s="77"/>
      <c r="AK2679" s="77"/>
      <c r="AL2679" s="77"/>
      <c r="AM2679" s="77"/>
      <c r="AN2679" s="77"/>
      <c r="AO2679" s="77"/>
      <c r="AP2679" s="77"/>
      <c r="AQ2679" s="77"/>
      <c r="AR2679" s="77"/>
      <c r="AS2679" s="77"/>
      <c r="AT2679" s="77"/>
      <c r="AU2679" s="77"/>
      <c r="AV2679" s="80" t="str">
        <f>HYPERLINK("https://pbs.twimg.com/profile_images/1241147984924082183/gZgx_hL-_normal.jpg")</f>
        <v>https://pbs.twimg.com/profile_images/1241147984924082183/gZgx_hL-_normal.jpg</v>
      </c>
      <c r="AW2679" s="82" t="s">
        <v>14275</v>
      </c>
      <c r="AX2679" s="82" t="s">
        <v>14275</v>
      </c>
      <c r="AY2679" s="77"/>
      <c r="AZ2679" s="82" t="s">
        <v>15984</v>
      </c>
      <c r="BA2679" s="82" t="s">
        <v>15984</v>
      </c>
      <c r="BB2679" s="82" t="s">
        <v>15984</v>
      </c>
      <c r="BC2679" s="82" t="s">
        <v>14275</v>
      </c>
      <c r="BD2679" s="82" t="s">
        <v>15979</v>
      </c>
      <c r="BE2679" s="77"/>
      <c r="BF2679" s="77"/>
      <c r="BG2679" s="77"/>
      <c r="BH2679" s="77"/>
      <c r="BI2679" s="77"/>
    </row>
    <row r="2680" spans="1:61" x14ac:dyDescent="0.25">
      <c r="A2680" s="62" t="s">
        <v>387</v>
      </c>
      <c r="B2680" s="62" t="s">
        <v>387</v>
      </c>
      <c r="C2680" s="63"/>
      <c r="D2680" s="64"/>
      <c r="E2680" s="65"/>
      <c r="F2680" s="66"/>
      <c r="G2680" s="63"/>
      <c r="H2680" s="67"/>
      <c r="I2680" s="68"/>
      <c r="J2680" s="68"/>
      <c r="K2680" s="32"/>
      <c r="L2680" s="75">
        <v>2680</v>
      </c>
      <c r="M2680" s="75"/>
      <c r="N2680" s="70"/>
      <c r="O2680" s="77" t="s">
        <v>179</v>
      </c>
      <c r="P2680" s="79">
        <v>45146.895833333336</v>
      </c>
      <c r="Q2680" s="77" t="s">
        <v>3352</v>
      </c>
      <c r="R2680" s="77">
        <v>0</v>
      </c>
      <c r="S2680" s="77">
        <v>0</v>
      </c>
      <c r="T2680" s="77">
        <v>0</v>
      </c>
      <c r="U2680" s="77">
        <v>0</v>
      </c>
      <c r="V2680" s="77">
        <v>439</v>
      </c>
      <c r="W2680" s="82" t="s">
        <v>6082</v>
      </c>
      <c r="X2680" s="80" t="str">
        <f>HYPERLINK("https://mla.bs/f7b361e8")</f>
        <v>https://mla.bs/f7b361e8</v>
      </c>
      <c r="Y2680" s="77" t="s">
        <v>6506</v>
      </c>
      <c r="Z2680" s="77"/>
      <c r="AA2680" s="77"/>
      <c r="AB2680" s="77"/>
      <c r="AC2680" s="82" t="s">
        <v>7754</v>
      </c>
      <c r="AD2680" s="77" t="s">
        <v>7788</v>
      </c>
      <c r="AE2680" s="80" t="str">
        <f>HYPERLINK("https://twitter.com/einvestidor/status/1689026195252207617")</f>
        <v>https://twitter.com/einvestidor/status/1689026195252207617</v>
      </c>
      <c r="AF2680" s="79">
        <v>45146.895833333336</v>
      </c>
      <c r="AG2680" s="85">
        <v>45146</v>
      </c>
      <c r="AH2680" s="82" t="s">
        <v>8089</v>
      </c>
      <c r="AI2680" s="77" t="b">
        <v>0</v>
      </c>
      <c r="AJ2680" s="77"/>
      <c r="AK2680" s="77"/>
      <c r="AL2680" s="77"/>
      <c r="AM2680" s="77"/>
      <c r="AN2680" s="77"/>
      <c r="AO2680" s="77"/>
      <c r="AP2680" s="77"/>
      <c r="AQ2680" s="77"/>
      <c r="AR2680" s="77"/>
      <c r="AS2680" s="77"/>
      <c r="AT2680" s="77"/>
      <c r="AU2680" s="77"/>
      <c r="AV2680" s="80" t="str">
        <f>HYPERLINK("https://pbs.twimg.com/profile_images/1241147984924082183/gZgx_hL-_normal.jpg")</f>
        <v>https://pbs.twimg.com/profile_images/1241147984924082183/gZgx_hL-_normal.jpg</v>
      </c>
      <c r="AW2680" s="82" t="s">
        <v>14276</v>
      </c>
      <c r="AX2680" s="82" t="s">
        <v>14276</v>
      </c>
      <c r="AY2680" s="77"/>
      <c r="AZ2680" s="82" t="s">
        <v>15984</v>
      </c>
      <c r="BA2680" s="82" t="s">
        <v>15984</v>
      </c>
      <c r="BB2680" s="82" t="s">
        <v>15984</v>
      </c>
      <c r="BC2680" s="82" t="s">
        <v>14276</v>
      </c>
      <c r="BD2680" s="82" t="s">
        <v>15979</v>
      </c>
      <c r="BE2680" s="77"/>
      <c r="BF2680" s="77"/>
      <c r="BG2680" s="77"/>
      <c r="BH2680" s="77"/>
      <c r="BI2680" s="77"/>
    </row>
    <row r="2681" spans="1:61" x14ac:dyDescent="0.25">
      <c r="A2681" s="62" t="s">
        <v>387</v>
      </c>
      <c r="B2681" s="62" t="s">
        <v>387</v>
      </c>
      <c r="C2681" s="63"/>
      <c r="D2681" s="64"/>
      <c r="E2681" s="65"/>
      <c r="F2681" s="66"/>
      <c r="G2681" s="63"/>
      <c r="H2681" s="67"/>
      <c r="I2681" s="68"/>
      <c r="J2681" s="68"/>
      <c r="K2681" s="32"/>
      <c r="L2681" s="75">
        <v>2681</v>
      </c>
      <c r="M2681" s="75"/>
      <c r="N2681" s="70"/>
      <c r="O2681" s="77" t="s">
        <v>179</v>
      </c>
      <c r="P2681" s="79">
        <v>45146.891736111109</v>
      </c>
      <c r="Q2681" s="77" t="s">
        <v>3353</v>
      </c>
      <c r="R2681" s="77">
        <v>0</v>
      </c>
      <c r="S2681" s="77">
        <v>2</v>
      </c>
      <c r="T2681" s="77">
        <v>0</v>
      </c>
      <c r="U2681" s="77">
        <v>0</v>
      </c>
      <c r="V2681" s="77">
        <v>554</v>
      </c>
      <c r="W2681" s="82" t="s">
        <v>4833</v>
      </c>
      <c r="X2681" s="80" t="str">
        <f>HYPERLINK("https://mla.bs/8d7115d3")</f>
        <v>https://mla.bs/8d7115d3</v>
      </c>
      <c r="Y2681" s="77" t="s">
        <v>6506</v>
      </c>
      <c r="Z2681" s="77"/>
      <c r="AA2681" s="77"/>
      <c r="AB2681" s="77"/>
      <c r="AC2681" s="82" t="s">
        <v>7754</v>
      </c>
      <c r="AD2681" s="77" t="s">
        <v>7788</v>
      </c>
      <c r="AE2681" s="80" t="str">
        <f>HYPERLINK("https://twitter.com/einvestidor/status/1689024711190061056")</f>
        <v>https://twitter.com/einvestidor/status/1689024711190061056</v>
      </c>
      <c r="AF2681" s="79">
        <v>45146.891736111109</v>
      </c>
      <c r="AG2681" s="85">
        <v>45146</v>
      </c>
      <c r="AH2681" s="82" t="s">
        <v>9796</v>
      </c>
      <c r="AI2681" s="77" t="b">
        <v>0</v>
      </c>
      <c r="AJ2681" s="77"/>
      <c r="AK2681" s="77"/>
      <c r="AL2681" s="77"/>
      <c r="AM2681" s="77"/>
      <c r="AN2681" s="77"/>
      <c r="AO2681" s="77"/>
      <c r="AP2681" s="77"/>
      <c r="AQ2681" s="77"/>
      <c r="AR2681" s="77"/>
      <c r="AS2681" s="77"/>
      <c r="AT2681" s="77"/>
      <c r="AU2681" s="77"/>
      <c r="AV2681" s="80" t="str">
        <f>HYPERLINK("https://pbs.twimg.com/profile_images/1241147984924082183/gZgx_hL-_normal.jpg")</f>
        <v>https://pbs.twimg.com/profile_images/1241147984924082183/gZgx_hL-_normal.jpg</v>
      </c>
      <c r="AW2681" s="82" t="s">
        <v>14277</v>
      </c>
      <c r="AX2681" s="82" t="s">
        <v>14277</v>
      </c>
      <c r="AY2681" s="77"/>
      <c r="AZ2681" s="82" t="s">
        <v>15984</v>
      </c>
      <c r="BA2681" s="82" t="s">
        <v>15984</v>
      </c>
      <c r="BB2681" s="82" t="s">
        <v>15984</v>
      </c>
      <c r="BC2681" s="82" t="s">
        <v>14277</v>
      </c>
      <c r="BD2681" s="82" t="s">
        <v>15979</v>
      </c>
      <c r="BE2681" s="77"/>
      <c r="BF2681" s="77"/>
      <c r="BG2681" s="77"/>
      <c r="BH2681" s="77"/>
      <c r="BI2681" s="77"/>
    </row>
    <row r="2682" spans="1:61" x14ac:dyDescent="0.25">
      <c r="A2682" s="62" t="s">
        <v>387</v>
      </c>
      <c r="B2682" s="62" t="s">
        <v>387</v>
      </c>
      <c r="C2682" s="63"/>
      <c r="D2682" s="64"/>
      <c r="E2682" s="65"/>
      <c r="F2682" s="66"/>
      <c r="G2682" s="63"/>
      <c r="H2682" s="67"/>
      <c r="I2682" s="68"/>
      <c r="J2682" s="68"/>
      <c r="K2682" s="32"/>
      <c r="L2682" s="75">
        <v>2682</v>
      </c>
      <c r="M2682" s="75"/>
      <c r="N2682" s="70"/>
      <c r="O2682" s="77" t="s">
        <v>179</v>
      </c>
      <c r="P2682" s="79">
        <v>45146.885416666664</v>
      </c>
      <c r="Q2682" s="77" t="s">
        <v>3354</v>
      </c>
      <c r="R2682" s="77">
        <v>0</v>
      </c>
      <c r="S2682" s="77">
        <v>3</v>
      </c>
      <c r="T2682" s="77">
        <v>1</v>
      </c>
      <c r="U2682" s="77">
        <v>0</v>
      </c>
      <c r="V2682" s="77">
        <v>649</v>
      </c>
      <c r="W2682" s="82" t="s">
        <v>4833</v>
      </c>
      <c r="X2682" s="80" t="str">
        <f>HYPERLINK("https://mla.bs/c0a6a1f4")</f>
        <v>https://mla.bs/c0a6a1f4</v>
      </c>
      <c r="Y2682" s="77" t="s">
        <v>6506</v>
      </c>
      <c r="Z2682" s="77"/>
      <c r="AA2682" s="77"/>
      <c r="AB2682" s="77"/>
      <c r="AC2682" s="82" t="s">
        <v>7754</v>
      </c>
      <c r="AD2682" s="77" t="s">
        <v>7788</v>
      </c>
      <c r="AE2682" s="80" t="str">
        <f>HYPERLINK("https://twitter.com/einvestidor/status/1689022420424765440")</f>
        <v>https://twitter.com/einvestidor/status/1689022420424765440</v>
      </c>
      <c r="AF2682" s="79">
        <v>45146.885416666664</v>
      </c>
      <c r="AG2682" s="85">
        <v>45146</v>
      </c>
      <c r="AH2682" s="82" t="s">
        <v>8206</v>
      </c>
      <c r="AI2682" s="77" t="b">
        <v>0</v>
      </c>
      <c r="AJ2682" s="77"/>
      <c r="AK2682" s="77"/>
      <c r="AL2682" s="77"/>
      <c r="AM2682" s="77"/>
      <c r="AN2682" s="77"/>
      <c r="AO2682" s="77"/>
      <c r="AP2682" s="77"/>
      <c r="AQ2682" s="77"/>
      <c r="AR2682" s="77"/>
      <c r="AS2682" s="77"/>
      <c r="AT2682" s="77"/>
      <c r="AU2682" s="77"/>
      <c r="AV2682" s="80" t="str">
        <f>HYPERLINK("https://pbs.twimg.com/profile_images/1241147984924082183/gZgx_hL-_normal.jpg")</f>
        <v>https://pbs.twimg.com/profile_images/1241147984924082183/gZgx_hL-_normal.jpg</v>
      </c>
      <c r="AW2682" s="82" t="s">
        <v>14278</v>
      </c>
      <c r="AX2682" s="82" t="s">
        <v>14278</v>
      </c>
      <c r="AY2682" s="77"/>
      <c r="AZ2682" s="82" t="s">
        <v>15984</v>
      </c>
      <c r="BA2682" s="82" t="s">
        <v>15984</v>
      </c>
      <c r="BB2682" s="82" t="s">
        <v>15984</v>
      </c>
      <c r="BC2682" s="82" t="s">
        <v>14278</v>
      </c>
      <c r="BD2682" s="82" t="s">
        <v>15979</v>
      </c>
      <c r="BE2682" s="77"/>
      <c r="BF2682" s="77"/>
      <c r="BG2682" s="77"/>
      <c r="BH2682" s="77"/>
      <c r="BI2682" s="77"/>
    </row>
    <row r="2683" spans="1:61" x14ac:dyDescent="0.25">
      <c r="A2683" s="62" t="s">
        <v>387</v>
      </c>
      <c r="B2683" s="62" t="s">
        <v>387</v>
      </c>
      <c r="C2683" s="63"/>
      <c r="D2683" s="64"/>
      <c r="E2683" s="65"/>
      <c r="F2683" s="66"/>
      <c r="G2683" s="63"/>
      <c r="H2683" s="67"/>
      <c r="I2683" s="68"/>
      <c r="J2683" s="68"/>
      <c r="K2683" s="32"/>
      <c r="L2683" s="75">
        <v>2683</v>
      </c>
      <c r="M2683" s="75"/>
      <c r="N2683" s="70"/>
      <c r="O2683" s="77" t="s">
        <v>179</v>
      </c>
      <c r="P2683" s="79">
        <v>45146.88008101852</v>
      </c>
      <c r="Q2683" s="77" t="s">
        <v>3355</v>
      </c>
      <c r="R2683" s="77">
        <v>0</v>
      </c>
      <c r="S2683" s="77">
        <v>1</v>
      </c>
      <c r="T2683" s="77">
        <v>0</v>
      </c>
      <c r="U2683" s="77">
        <v>0</v>
      </c>
      <c r="V2683" s="77">
        <v>783</v>
      </c>
      <c r="W2683" s="82" t="s">
        <v>6083</v>
      </c>
      <c r="X2683" s="80" t="str">
        <f>HYPERLINK("https://mla.bs/c088ead8")</f>
        <v>https://mla.bs/c088ead8</v>
      </c>
      <c r="Y2683" s="77" t="s">
        <v>6506</v>
      </c>
      <c r="Z2683" s="77"/>
      <c r="AA2683" s="77"/>
      <c r="AB2683" s="77"/>
      <c r="AC2683" s="82" t="s">
        <v>7754</v>
      </c>
      <c r="AD2683" s="77" t="s">
        <v>7788</v>
      </c>
      <c r="AE2683" s="80" t="str">
        <f>HYPERLINK("https://twitter.com/einvestidor/status/1689020487089655808")</f>
        <v>https://twitter.com/einvestidor/status/1689020487089655808</v>
      </c>
      <c r="AF2683" s="79">
        <v>45146.88008101852</v>
      </c>
      <c r="AG2683" s="85">
        <v>45146</v>
      </c>
      <c r="AH2683" s="82" t="s">
        <v>9635</v>
      </c>
      <c r="AI2683" s="77" t="b">
        <v>0</v>
      </c>
      <c r="AJ2683" s="77"/>
      <c r="AK2683" s="77"/>
      <c r="AL2683" s="77"/>
      <c r="AM2683" s="77"/>
      <c r="AN2683" s="77"/>
      <c r="AO2683" s="77"/>
      <c r="AP2683" s="77"/>
      <c r="AQ2683" s="77"/>
      <c r="AR2683" s="77"/>
      <c r="AS2683" s="77"/>
      <c r="AT2683" s="77"/>
      <c r="AU2683" s="77"/>
      <c r="AV2683" s="80" t="str">
        <f>HYPERLINK("https://pbs.twimg.com/profile_images/1241147984924082183/gZgx_hL-_normal.jpg")</f>
        <v>https://pbs.twimg.com/profile_images/1241147984924082183/gZgx_hL-_normal.jpg</v>
      </c>
      <c r="AW2683" s="82" t="s">
        <v>14279</v>
      </c>
      <c r="AX2683" s="82" t="s">
        <v>14279</v>
      </c>
      <c r="AY2683" s="77"/>
      <c r="AZ2683" s="82" t="s">
        <v>15984</v>
      </c>
      <c r="BA2683" s="82" t="s">
        <v>15984</v>
      </c>
      <c r="BB2683" s="82" t="s">
        <v>15984</v>
      </c>
      <c r="BC2683" s="82" t="s">
        <v>14279</v>
      </c>
      <c r="BD2683" s="82" t="s">
        <v>15979</v>
      </c>
      <c r="BE2683" s="77"/>
      <c r="BF2683" s="77"/>
      <c r="BG2683" s="77"/>
      <c r="BH2683" s="77"/>
      <c r="BI2683" s="77"/>
    </row>
    <row r="2684" spans="1:61" x14ac:dyDescent="0.25">
      <c r="A2684" s="62" t="s">
        <v>387</v>
      </c>
      <c r="B2684" s="62" t="s">
        <v>387</v>
      </c>
      <c r="C2684" s="63"/>
      <c r="D2684" s="64"/>
      <c r="E2684" s="65"/>
      <c r="F2684" s="66"/>
      <c r="G2684" s="63"/>
      <c r="H2684" s="67"/>
      <c r="I2684" s="68"/>
      <c r="J2684" s="68"/>
      <c r="K2684" s="32"/>
      <c r="L2684" s="75">
        <v>2684</v>
      </c>
      <c r="M2684" s="75"/>
      <c r="N2684" s="70"/>
      <c r="O2684" s="77" t="s">
        <v>179</v>
      </c>
      <c r="P2684" s="79">
        <v>45146.879259259258</v>
      </c>
      <c r="Q2684" s="77" t="s">
        <v>3356</v>
      </c>
      <c r="R2684" s="77">
        <v>0</v>
      </c>
      <c r="S2684" s="77">
        <v>0</v>
      </c>
      <c r="T2684" s="77">
        <v>0</v>
      </c>
      <c r="U2684" s="77">
        <v>0</v>
      </c>
      <c r="V2684" s="77">
        <v>612</v>
      </c>
      <c r="W2684" s="82" t="s">
        <v>6084</v>
      </c>
      <c r="X2684" s="80" t="str">
        <f>HYPERLINK("https://mla.bs/779eaf61")</f>
        <v>https://mla.bs/779eaf61</v>
      </c>
      <c r="Y2684" s="77" t="s">
        <v>6506</v>
      </c>
      <c r="Z2684" s="77"/>
      <c r="AA2684" s="77"/>
      <c r="AB2684" s="77"/>
      <c r="AC2684" s="82" t="s">
        <v>7754</v>
      </c>
      <c r="AD2684" s="77" t="s">
        <v>7788</v>
      </c>
      <c r="AE2684" s="80" t="str">
        <f>HYPERLINK("https://twitter.com/einvestidor/status/1689020188358795265")</f>
        <v>https://twitter.com/einvestidor/status/1689020188358795265</v>
      </c>
      <c r="AF2684" s="79">
        <v>45146.879259259258</v>
      </c>
      <c r="AG2684" s="85">
        <v>45146</v>
      </c>
      <c r="AH2684" s="82" t="s">
        <v>9797</v>
      </c>
      <c r="AI2684" s="77" t="b">
        <v>0</v>
      </c>
      <c r="AJ2684" s="77"/>
      <c r="AK2684" s="77"/>
      <c r="AL2684" s="77"/>
      <c r="AM2684" s="77"/>
      <c r="AN2684" s="77"/>
      <c r="AO2684" s="77"/>
      <c r="AP2684" s="77"/>
      <c r="AQ2684" s="77"/>
      <c r="AR2684" s="77"/>
      <c r="AS2684" s="77"/>
      <c r="AT2684" s="77"/>
      <c r="AU2684" s="77"/>
      <c r="AV2684" s="80" t="str">
        <f>HYPERLINK("https://pbs.twimg.com/profile_images/1241147984924082183/gZgx_hL-_normal.jpg")</f>
        <v>https://pbs.twimg.com/profile_images/1241147984924082183/gZgx_hL-_normal.jpg</v>
      </c>
      <c r="AW2684" s="82" t="s">
        <v>14280</v>
      </c>
      <c r="AX2684" s="82" t="s">
        <v>14280</v>
      </c>
      <c r="AY2684" s="77"/>
      <c r="AZ2684" s="82" t="s">
        <v>15984</v>
      </c>
      <c r="BA2684" s="82" t="s">
        <v>15984</v>
      </c>
      <c r="BB2684" s="82" t="s">
        <v>15984</v>
      </c>
      <c r="BC2684" s="82" t="s">
        <v>14280</v>
      </c>
      <c r="BD2684" s="82" t="s">
        <v>15979</v>
      </c>
      <c r="BE2684" s="77"/>
      <c r="BF2684" s="77"/>
      <c r="BG2684" s="77"/>
      <c r="BH2684" s="77"/>
      <c r="BI2684" s="77"/>
    </row>
    <row r="2685" spans="1:61" x14ac:dyDescent="0.25">
      <c r="A2685" s="62" t="s">
        <v>387</v>
      </c>
      <c r="B2685" s="62" t="s">
        <v>387</v>
      </c>
      <c r="C2685" s="63"/>
      <c r="D2685" s="64"/>
      <c r="E2685" s="65"/>
      <c r="F2685" s="66"/>
      <c r="G2685" s="63"/>
      <c r="H2685" s="67"/>
      <c r="I2685" s="68"/>
      <c r="J2685" s="68"/>
      <c r="K2685" s="32"/>
      <c r="L2685" s="75">
        <v>2685</v>
      </c>
      <c r="M2685" s="75"/>
      <c r="N2685" s="70"/>
      <c r="O2685" s="77" t="s">
        <v>179</v>
      </c>
      <c r="P2685" s="79">
        <v>45146.864583333336</v>
      </c>
      <c r="Q2685" s="77" t="s">
        <v>3357</v>
      </c>
      <c r="R2685" s="77">
        <v>1</v>
      </c>
      <c r="S2685" s="77">
        <v>1</v>
      </c>
      <c r="T2685" s="77">
        <v>0</v>
      </c>
      <c r="U2685" s="77">
        <v>0</v>
      </c>
      <c r="V2685" s="77">
        <v>515</v>
      </c>
      <c r="W2685" s="82" t="s">
        <v>5940</v>
      </c>
      <c r="X2685" s="80" t="str">
        <f>HYPERLINK("https://mla.bs/06f03d71")</f>
        <v>https://mla.bs/06f03d71</v>
      </c>
      <c r="Y2685" s="77" t="s">
        <v>6506</v>
      </c>
      <c r="Z2685" s="77"/>
      <c r="AA2685" s="77"/>
      <c r="AB2685" s="77"/>
      <c r="AC2685" s="82" t="s">
        <v>7754</v>
      </c>
      <c r="AD2685" s="77" t="s">
        <v>7788</v>
      </c>
      <c r="AE2685" s="80" t="str">
        <f>HYPERLINK("https://twitter.com/einvestidor/status/1689014870685970432")</f>
        <v>https://twitter.com/einvestidor/status/1689014870685970432</v>
      </c>
      <c r="AF2685" s="79">
        <v>45146.864583333336</v>
      </c>
      <c r="AG2685" s="85">
        <v>45146</v>
      </c>
      <c r="AH2685" s="82" t="s">
        <v>9596</v>
      </c>
      <c r="AI2685" s="77" t="b">
        <v>0</v>
      </c>
      <c r="AJ2685" s="77"/>
      <c r="AK2685" s="77"/>
      <c r="AL2685" s="77"/>
      <c r="AM2685" s="77"/>
      <c r="AN2685" s="77"/>
      <c r="AO2685" s="77"/>
      <c r="AP2685" s="77"/>
      <c r="AQ2685" s="77"/>
      <c r="AR2685" s="77"/>
      <c r="AS2685" s="77"/>
      <c r="AT2685" s="77"/>
      <c r="AU2685" s="77"/>
      <c r="AV2685" s="80" t="str">
        <f>HYPERLINK("https://pbs.twimg.com/profile_images/1241147984924082183/gZgx_hL-_normal.jpg")</f>
        <v>https://pbs.twimg.com/profile_images/1241147984924082183/gZgx_hL-_normal.jpg</v>
      </c>
      <c r="AW2685" s="82" t="s">
        <v>14281</v>
      </c>
      <c r="AX2685" s="82" t="s">
        <v>14281</v>
      </c>
      <c r="AY2685" s="77"/>
      <c r="AZ2685" s="82" t="s">
        <v>15984</v>
      </c>
      <c r="BA2685" s="82" t="s">
        <v>15984</v>
      </c>
      <c r="BB2685" s="82" t="s">
        <v>15984</v>
      </c>
      <c r="BC2685" s="82" t="s">
        <v>14281</v>
      </c>
      <c r="BD2685" s="82" t="s">
        <v>15979</v>
      </c>
      <c r="BE2685" s="77"/>
      <c r="BF2685" s="77"/>
      <c r="BG2685" s="77"/>
      <c r="BH2685" s="77"/>
      <c r="BI2685" s="77"/>
    </row>
    <row r="2686" spans="1:61" x14ac:dyDescent="0.25">
      <c r="A2686" s="62" t="s">
        <v>387</v>
      </c>
      <c r="B2686" s="62" t="s">
        <v>387</v>
      </c>
      <c r="C2686" s="63"/>
      <c r="D2686" s="64"/>
      <c r="E2686" s="65"/>
      <c r="F2686" s="66"/>
      <c r="G2686" s="63"/>
      <c r="H2686" s="67"/>
      <c r="I2686" s="68"/>
      <c r="J2686" s="68"/>
      <c r="K2686" s="32"/>
      <c r="L2686" s="75">
        <v>2686</v>
      </c>
      <c r="M2686" s="75"/>
      <c r="N2686" s="70"/>
      <c r="O2686" s="77" t="s">
        <v>179</v>
      </c>
      <c r="P2686" s="79">
        <v>45146.854166666664</v>
      </c>
      <c r="Q2686" s="77" t="s">
        <v>3358</v>
      </c>
      <c r="R2686" s="77">
        <v>0</v>
      </c>
      <c r="S2686" s="77">
        <v>2</v>
      </c>
      <c r="T2686" s="77">
        <v>0</v>
      </c>
      <c r="U2686" s="77">
        <v>0</v>
      </c>
      <c r="V2686" s="77">
        <v>513</v>
      </c>
      <c r="W2686" s="82" t="s">
        <v>4833</v>
      </c>
      <c r="X2686" s="80" t="str">
        <f>HYPERLINK("https://mla.bs/b4f9542b")</f>
        <v>https://mla.bs/b4f9542b</v>
      </c>
      <c r="Y2686" s="77" t="s">
        <v>6506</v>
      </c>
      <c r="Z2686" s="77"/>
      <c r="AA2686" s="77"/>
      <c r="AB2686" s="77"/>
      <c r="AC2686" s="82" t="s">
        <v>7754</v>
      </c>
      <c r="AD2686" s="77" t="s">
        <v>7788</v>
      </c>
      <c r="AE2686" s="80" t="str">
        <f>HYPERLINK("https://twitter.com/einvestidor/status/1689011097741955074")</f>
        <v>https://twitter.com/einvestidor/status/1689011097741955074</v>
      </c>
      <c r="AF2686" s="79">
        <v>45146.854166666664</v>
      </c>
      <c r="AG2686" s="85">
        <v>45146</v>
      </c>
      <c r="AH2686" s="82" t="s">
        <v>8090</v>
      </c>
      <c r="AI2686" s="77" t="b">
        <v>0</v>
      </c>
      <c r="AJ2686" s="77"/>
      <c r="AK2686" s="77"/>
      <c r="AL2686" s="77"/>
      <c r="AM2686" s="77"/>
      <c r="AN2686" s="77"/>
      <c r="AO2686" s="77"/>
      <c r="AP2686" s="77"/>
      <c r="AQ2686" s="77"/>
      <c r="AR2686" s="77"/>
      <c r="AS2686" s="77"/>
      <c r="AT2686" s="77"/>
      <c r="AU2686" s="77"/>
      <c r="AV2686" s="80" t="str">
        <f>HYPERLINK("https://pbs.twimg.com/profile_images/1241147984924082183/gZgx_hL-_normal.jpg")</f>
        <v>https://pbs.twimg.com/profile_images/1241147984924082183/gZgx_hL-_normal.jpg</v>
      </c>
      <c r="AW2686" s="82" t="s">
        <v>14282</v>
      </c>
      <c r="AX2686" s="82" t="s">
        <v>14282</v>
      </c>
      <c r="AY2686" s="77"/>
      <c r="AZ2686" s="82" t="s">
        <v>15984</v>
      </c>
      <c r="BA2686" s="82" t="s">
        <v>15984</v>
      </c>
      <c r="BB2686" s="82" t="s">
        <v>15984</v>
      </c>
      <c r="BC2686" s="82" t="s">
        <v>14282</v>
      </c>
      <c r="BD2686" s="82" t="s">
        <v>15979</v>
      </c>
      <c r="BE2686" s="77"/>
      <c r="BF2686" s="77"/>
      <c r="BG2686" s="77"/>
      <c r="BH2686" s="77"/>
      <c r="BI2686" s="77"/>
    </row>
    <row r="2687" spans="1:61" x14ac:dyDescent="0.25">
      <c r="A2687" s="62" t="s">
        <v>387</v>
      </c>
      <c r="B2687" s="62" t="s">
        <v>387</v>
      </c>
      <c r="C2687" s="63"/>
      <c r="D2687" s="64"/>
      <c r="E2687" s="65"/>
      <c r="F2687" s="66"/>
      <c r="G2687" s="63"/>
      <c r="H2687" s="67"/>
      <c r="I2687" s="68"/>
      <c r="J2687" s="68"/>
      <c r="K2687" s="32"/>
      <c r="L2687" s="75">
        <v>2687</v>
      </c>
      <c r="M2687" s="75"/>
      <c r="N2687" s="70"/>
      <c r="O2687" s="77" t="s">
        <v>179</v>
      </c>
      <c r="P2687" s="79">
        <v>45135.46875</v>
      </c>
      <c r="Q2687" s="77" t="s">
        <v>3359</v>
      </c>
      <c r="R2687" s="77">
        <v>6</v>
      </c>
      <c r="S2687" s="77">
        <v>26</v>
      </c>
      <c r="T2687" s="77">
        <v>13</v>
      </c>
      <c r="U2687" s="77">
        <v>11</v>
      </c>
      <c r="V2687" s="77">
        <v>17831</v>
      </c>
      <c r="W2687" s="82" t="s">
        <v>4839</v>
      </c>
      <c r="X2687" s="80" t="str">
        <f>HYPERLINK("https://mla.bs/336440b1")</f>
        <v>https://mla.bs/336440b1</v>
      </c>
      <c r="Y2687" s="77" t="s">
        <v>6506</v>
      </c>
      <c r="Z2687" s="77"/>
      <c r="AA2687" s="77"/>
      <c r="AB2687" s="77"/>
      <c r="AC2687" s="82" t="s">
        <v>7754</v>
      </c>
      <c r="AD2687" s="77" t="s">
        <v>7788</v>
      </c>
      <c r="AE2687" s="80" t="str">
        <f>HYPERLINK("https://twitter.com/einvestidor/status/1684885159781478400")</f>
        <v>https://twitter.com/einvestidor/status/1684885159781478400</v>
      </c>
      <c r="AF2687" s="79">
        <v>45135.46875</v>
      </c>
      <c r="AG2687" s="85">
        <v>45135</v>
      </c>
      <c r="AH2687" s="82" t="s">
        <v>9032</v>
      </c>
      <c r="AI2687" s="77" t="b">
        <v>0</v>
      </c>
      <c r="AJ2687" s="77"/>
      <c r="AK2687" s="77"/>
      <c r="AL2687" s="77"/>
      <c r="AM2687" s="77"/>
      <c r="AN2687" s="77"/>
      <c r="AO2687" s="77"/>
      <c r="AP2687" s="77"/>
      <c r="AQ2687" s="77"/>
      <c r="AR2687" s="77"/>
      <c r="AS2687" s="77"/>
      <c r="AT2687" s="77"/>
      <c r="AU2687" s="77"/>
      <c r="AV2687" s="80" t="str">
        <f>HYPERLINK("https://pbs.twimg.com/profile_images/1241147984924082183/gZgx_hL-_normal.jpg")</f>
        <v>https://pbs.twimg.com/profile_images/1241147984924082183/gZgx_hL-_normal.jpg</v>
      </c>
      <c r="AW2687" s="82" t="s">
        <v>14283</v>
      </c>
      <c r="AX2687" s="82" t="s">
        <v>14283</v>
      </c>
      <c r="AY2687" s="77"/>
      <c r="AZ2687" s="82" t="s">
        <v>15984</v>
      </c>
      <c r="BA2687" s="82" t="s">
        <v>15984</v>
      </c>
      <c r="BB2687" s="82" t="s">
        <v>15984</v>
      </c>
      <c r="BC2687" s="82" t="s">
        <v>14283</v>
      </c>
      <c r="BD2687" s="82" t="s">
        <v>15979</v>
      </c>
      <c r="BE2687" s="77"/>
      <c r="BF2687" s="77"/>
      <c r="BG2687" s="77"/>
      <c r="BH2687" s="77"/>
      <c r="BI2687" s="77"/>
    </row>
    <row r="2688" spans="1:61" x14ac:dyDescent="0.25">
      <c r="A2688" s="62" t="s">
        <v>387</v>
      </c>
      <c r="B2688" s="62" t="s">
        <v>387</v>
      </c>
      <c r="C2688" s="63"/>
      <c r="D2688" s="64"/>
      <c r="E2688" s="65"/>
      <c r="F2688" s="66"/>
      <c r="G2688" s="63"/>
      <c r="H2688" s="67"/>
      <c r="I2688" s="68"/>
      <c r="J2688" s="68"/>
      <c r="K2688" s="32"/>
      <c r="L2688" s="75">
        <v>2688</v>
      </c>
      <c r="M2688" s="75"/>
      <c r="N2688" s="70"/>
      <c r="O2688" s="77" t="s">
        <v>179</v>
      </c>
      <c r="P2688" s="79">
        <v>45128.833333333336</v>
      </c>
      <c r="Q2688" s="77" t="s">
        <v>3360</v>
      </c>
      <c r="R2688" s="77">
        <v>0</v>
      </c>
      <c r="S2688" s="77">
        <v>1</v>
      </c>
      <c r="T2688" s="77">
        <v>0</v>
      </c>
      <c r="U2688" s="77">
        <v>0</v>
      </c>
      <c r="V2688" s="77">
        <v>427</v>
      </c>
      <c r="W2688" s="82" t="s">
        <v>4833</v>
      </c>
      <c r="X2688" s="80" t="str">
        <f>HYPERLINK("https://mla.bs/ce9882bf")</f>
        <v>https://mla.bs/ce9882bf</v>
      </c>
      <c r="Y2688" s="77" t="s">
        <v>6506</v>
      </c>
      <c r="Z2688" s="77"/>
      <c r="AA2688" s="77"/>
      <c r="AB2688" s="77"/>
      <c r="AC2688" s="82" t="s">
        <v>7754</v>
      </c>
      <c r="AD2688" s="77" t="s">
        <v>7788</v>
      </c>
      <c r="AE2688" s="80" t="str">
        <f>HYPERLINK("https://twitter.com/einvestidor/status/1682480566560759809")</f>
        <v>https://twitter.com/einvestidor/status/1682480566560759809</v>
      </c>
      <c r="AF2688" s="79">
        <v>45128.833333333336</v>
      </c>
      <c r="AG2688" s="85">
        <v>45128</v>
      </c>
      <c r="AH2688" s="82" t="s">
        <v>8381</v>
      </c>
      <c r="AI2688" s="77" t="b">
        <v>0</v>
      </c>
      <c r="AJ2688" s="77"/>
      <c r="AK2688" s="77"/>
      <c r="AL2688" s="77"/>
      <c r="AM2688" s="77"/>
      <c r="AN2688" s="77"/>
      <c r="AO2688" s="77"/>
      <c r="AP2688" s="77"/>
      <c r="AQ2688" s="77"/>
      <c r="AR2688" s="77"/>
      <c r="AS2688" s="77"/>
      <c r="AT2688" s="77"/>
      <c r="AU2688" s="77"/>
      <c r="AV2688" s="80" t="str">
        <f>HYPERLINK("https://pbs.twimg.com/profile_images/1241147984924082183/gZgx_hL-_normal.jpg")</f>
        <v>https://pbs.twimg.com/profile_images/1241147984924082183/gZgx_hL-_normal.jpg</v>
      </c>
      <c r="AW2688" s="82" t="s">
        <v>14284</v>
      </c>
      <c r="AX2688" s="82" t="s">
        <v>14284</v>
      </c>
      <c r="AY2688" s="77"/>
      <c r="AZ2688" s="82" t="s">
        <v>15984</v>
      </c>
      <c r="BA2688" s="82" t="s">
        <v>15984</v>
      </c>
      <c r="BB2688" s="82" t="s">
        <v>15984</v>
      </c>
      <c r="BC2688" s="82" t="s">
        <v>14284</v>
      </c>
      <c r="BD2688" s="82" t="s">
        <v>15979</v>
      </c>
      <c r="BE2688" s="77"/>
      <c r="BF2688" s="77"/>
      <c r="BG2688" s="77"/>
      <c r="BH2688" s="77"/>
      <c r="BI2688" s="77"/>
    </row>
    <row r="2689" spans="1:61" x14ac:dyDescent="0.25">
      <c r="A2689" s="62" t="s">
        <v>387</v>
      </c>
      <c r="B2689" s="62" t="s">
        <v>387</v>
      </c>
      <c r="C2689" s="63"/>
      <c r="D2689" s="64"/>
      <c r="E2689" s="65"/>
      <c r="F2689" s="66"/>
      <c r="G2689" s="63"/>
      <c r="H2689" s="67"/>
      <c r="I2689" s="68"/>
      <c r="J2689" s="68"/>
      <c r="K2689" s="32"/>
      <c r="L2689" s="75">
        <v>2689</v>
      </c>
      <c r="M2689" s="75"/>
      <c r="N2689" s="70"/>
      <c r="O2689" s="77" t="s">
        <v>179</v>
      </c>
      <c r="P2689" s="79">
        <v>45128.822916666664</v>
      </c>
      <c r="Q2689" s="77" t="s">
        <v>3361</v>
      </c>
      <c r="R2689" s="77">
        <v>0</v>
      </c>
      <c r="S2689" s="77">
        <v>1</v>
      </c>
      <c r="T2689" s="77">
        <v>0</v>
      </c>
      <c r="U2689" s="77">
        <v>0</v>
      </c>
      <c r="V2689" s="77">
        <v>468</v>
      </c>
      <c r="W2689" s="82" t="s">
        <v>6085</v>
      </c>
      <c r="X2689" s="80" t="str">
        <f>HYPERLINK("https://mla.bs/512e7f92")</f>
        <v>https://mla.bs/512e7f92</v>
      </c>
      <c r="Y2689" s="77" t="s">
        <v>6506</v>
      </c>
      <c r="Z2689" s="77"/>
      <c r="AA2689" s="77"/>
      <c r="AB2689" s="77"/>
      <c r="AC2689" s="82" t="s">
        <v>7754</v>
      </c>
      <c r="AD2689" s="77" t="s">
        <v>7788</v>
      </c>
      <c r="AE2689" s="80" t="str">
        <f>HYPERLINK("https://twitter.com/einvestidor/status/1682476789862653952")</f>
        <v>https://twitter.com/einvestidor/status/1682476789862653952</v>
      </c>
      <c r="AF2689" s="79">
        <v>45128.822916666664</v>
      </c>
      <c r="AG2689" s="85">
        <v>45128</v>
      </c>
      <c r="AH2689" s="82" t="s">
        <v>9579</v>
      </c>
      <c r="AI2689" s="77" t="b">
        <v>0</v>
      </c>
      <c r="AJ2689" s="77"/>
      <c r="AK2689" s="77"/>
      <c r="AL2689" s="77"/>
      <c r="AM2689" s="77"/>
      <c r="AN2689" s="77"/>
      <c r="AO2689" s="77"/>
      <c r="AP2689" s="77"/>
      <c r="AQ2689" s="77"/>
      <c r="AR2689" s="77"/>
      <c r="AS2689" s="77"/>
      <c r="AT2689" s="77"/>
      <c r="AU2689" s="77"/>
      <c r="AV2689" s="80" t="str">
        <f>HYPERLINK("https://pbs.twimg.com/profile_images/1241147984924082183/gZgx_hL-_normal.jpg")</f>
        <v>https://pbs.twimg.com/profile_images/1241147984924082183/gZgx_hL-_normal.jpg</v>
      </c>
      <c r="AW2689" s="82" t="s">
        <v>14285</v>
      </c>
      <c r="AX2689" s="82" t="s">
        <v>14285</v>
      </c>
      <c r="AY2689" s="77"/>
      <c r="AZ2689" s="82" t="s">
        <v>15984</v>
      </c>
      <c r="BA2689" s="82" t="s">
        <v>15984</v>
      </c>
      <c r="BB2689" s="82" t="s">
        <v>15984</v>
      </c>
      <c r="BC2689" s="82" t="s">
        <v>14285</v>
      </c>
      <c r="BD2689" s="82" t="s">
        <v>15979</v>
      </c>
      <c r="BE2689" s="77"/>
      <c r="BF2689" s="77"/>
      <c r="BG2689" s="77"/>
      <c r="BH2689" s="77"/>
      <c r="BI2689" s="77"/>
    </row>
    <row r="2690" spans="1:61" x14ac:dyDescent="0.25">
      <c r="A2690" s="62" t="s">
        <v>387</v>
      </c>
      <c r="B2690" s="62" t="s">
        <v>387</v>
      </c>
      <c r="C2690" s="63"/>
      <c r="D2690" s="64"/>
      <c r="E2690" s="65"/>
      <c r="F2690" s="66"/>
      <c r="G2690" s="63"/>
      <c r="H2690" s="67"/>
      <c r="I2690" s="68"/>
      <c r="J2690" s="68"/>
      <c r="K2690" s="32"/>
      <c r="L2690" s="75">
        <v>2690</v>
      </c>
      <c r="M2690" s="75"/>
      <c r="N2690" s="70"/>
      <c r="O2690" s="77" t="s">
        <v>179</v>
      </c>
      <c r="P2690" s="79">
        <v>45128.8125</v>
      </c>
      <c r="Q2690" s="77" t="s">
        <v>3362</v>
      </c>
      <c r="R2690" s="77">
        <v>0</v>
      </c>
      <c r="S2690" s="77">
        <v>2</v>
      </c>
      <c r="T2690" s="77">
        <v>0</v>
      </c>
      <c r="U2690" s="77">
        <v>0</v>
      </c>
      <c r="V2690" s="77">
        <v>511</v>
      </c>
      <c r="W2690" s="82" t="s">
        <v>4833</v>
      </c>
      <c r="X2690" s="80" t="str">
        <f>HYPERLINK("https://mla.bs/03cdd40d")</f>
        <v>https://mla.bs/03cdd40d</v>
      </c>
      <c r="Y2690" s="77" t="s">
        <v>6506</v>
      </c>
      <c r="Z2690" s="77"/>
      <c r="AA2690" s="77"/>
      <c r="AB2690" s="77"/>
      <c r="AC2690" s="82" t="s">
        <v>7754</v>
      </c>
      <c r="AD2690" s="77" t="s">
        <v>7788</v>
      </c>
      <c r="AE2690" s="80" t="str">
        <f>HYPERLINK("https://twitter.com/einvestidor/status/1682473015152373762")</f>
        <v>https://twitter.com/einvestidor/status/1682473015152373762</v>
      </c>
      <c r="AF2690" s="79">
        <v>45128.8125</v>
      </c>
      <c r="AG2690" s="85">
        <v>45128</v>
      </c>
      <c r="AH2690" s="82" t="s">
        <v>8281</v>
      </c>
      <c r="AI2690" s="77" t="b">
        <v>0</v>
      </c>
      <c r="AJ2690" s="77"/>
      <c r="AK2690" s="77"/>
      <c r="AL2690" s="77"/>
      <c r="AM2690" s="77"/>
      <c r="AN2690" s="77"/>
      <c r="AO2690" s="77"/>
      <c r="AP2690" s="77"/>
      <c r="AQ2690" s="77"/>
      <c r="AR2690" s="77"/>
      <c r="AS2690" s="77"/>
      <c r="AT2690" s="77"/>
      <c r="AU2690" s="77"/>
      <c r="AV2690" s="80" t="str">
        <f>HYPERLINK("https://pbs.twimg.com/profile_images/1241147984924082183/gZgx_hL-_normal.jpg")</f>
        <v>https://pbs.twimg.com/profile_images/1241147984924082183/gZgx_hL-_normal.jpg</v>
      </c>
      <c r="AW2690" s="82" t="s">
        <v>14286</v>
      </c>
      <c r="AX2690" s="82" t="s">
        <v>14286</v>
      </c>
      <c r="AY2690" s="77"/>
      <c r="AZ2690" s="82" t="s">
        <v>15984</v>
      </c>
      <c r="BA2690" s="82" t="s">
        <v>15984</v>
      </c>
      <c r="BB2690" s="82" t="s">
        <v>15984</v>
      </c>
      <c r="BC2690" s="82" t="s">
        <v>14286</v>
      </c>
      <c r="BD2690" s="82" t="s">
        <v>15979</v>
      </c>
      <c r="BE2690" s="77"/>
      <c r="BF2690" s="77"/>
      <c r="BG2690" s="77"/>
      <c r="BH2690" s="77"/>
      <c r="BI2690" s="77"/>
    </row>
    <row r="2691" spans="1:61" x14ac:dyDescent="0.25">
      <c r="A2691" s="62" t="s">
        <v>387</v>
      </c>
      <c r="B2691" s="62" t="s">
        <v>387</v>
      </c>
      <c r="C2691" s="63"/>
      <c r="D2691" s="64"/>
      <c r="E2691" s="65"/>
      <c r="F2691" s="66"/>
      <c r="G2691" s="63"/>
      <c r="H2691" s="67"/>
      <c r="I2691" s="68"/>
      <c r="J2691" s="68"/>
      <c r="K2691" s="32"/>
      <c r="L2691" s="75">
        <v>2691</v>
      </c>
      <c r="M2691" s="75"/>
      <c r="N2691" s="70"/>
      <c r="O2691" s="77" t="s">
        <v>179</v>
      </c>
      <c r="P2691" s="79">
        <v>45128.802083333336</v>
      </c>
      <c r="Q2691" s="77" t="s">
        <v>3363</v>
      </c>
      <c r="R2691" s="77">
        <v>0</v>
      </c>
      <c r="S2691" s="77">
        <v>0</v>
      </c>
      <c r="T2691" s="77">
        <v>0</v>
      </c>
      <c r="U2691" s="77">
        <v>0</v>
      </c>
      <c r="V2691" s="77">
        <v>537</v>
      </c>
      <c r="W2691" s="82" t="s">
        <v>4833</v>
      </c>
      <c r="X2691" s="80" t="str">
        <f>HYPERLINK("https://mla.bs/0cfcda46")</f>
        <v>https://mla.bs/0cfcda46</v>
      </c>
      <c r="Y2691" s="77" t="s">
        <v>6506</v>
      </c>
      <c r="Z2691" s="77"/>
      <c r="AA2691" s="77"/>
      <c r="AB2691" s="77"/>
      <c r="AC2691" s="82" t="s">
        <v>7754</v>
      </c>
      <c r="AD2691" s="77" t="s">
        <v>7788</v>
      </c>
      <c r="AE2691" s="80" t="str">
        <f>HYPERLINK("https://twitter.com/einvestidor/status/1682469240182394886")</f>
        <v>https://twitter.com/einvestidor/status/1682469240182394886</v>
      </c>
      <c r="AF2691" s="79">
        <v>45128.802083333336</v>
      </c>
      <c r="AG2691" s="85">
        <v>45128</v>
      </c>
      <c r="AH2691" s="82" t="s">
        <v>7868</v>
      </c>
      <c r="AI2691" s="77" t="b">
        <v>0</v>
      </c>
      <c r="AJ2691" s="77"/>
      <c r="AK2691" s="77"/>
      <c r="AL2691" s="77"/>
      <c r="AM2691" s="77"/>
      <c r="AN2691" s="77"/>
      <c r="AO2691" s="77"/>
      <c r="AP2691" s="77"/>
      <c r="AQ2691" s="77"/>
      <c r="AR2691" s="77"/>
      <c r="AS2691" s="77"/>
      <c r="AT2691" s="77"/>
      <c r="AU2691" s="77"/>
      <c r="AV2691" s="80" t="str">
        <f>HYPERLINK("https://pbs.twimg.com/profile_images/1241147984924082183/gZgx_hL-_normal.jpg")</f>
        <v>https://pbs.twimg.com/profile_images/1241147984924082183/gZgx_hL-_normal.jpg</v>
      </c>
      <c r="AW2691" s="82" t="s">
        <v>14287</v>
      </c>
      <c r="AX2691" s="82" t="s">
        <v>14287</v>
      </c>
      <c r="AY2691" s="77"/>
      <c r="AZ2691" s="82" t="s">
        <v>15984</v>
      </c>
      <c r="BA2691" s="82" t="s">
        <v>15984</v>
      </c>
      <c r="BB2691" s="82" t="s">
        <v>15984</v>
      </c>
      <c r="BC2691" s="82" t="s">
        <v>14287</v>
      </c>
      <c r="BD2691" s="82" t="s">
        <v>15979</v>
      </c>
      <c r="BE2691" s="77"/>
      <c r="BF2691" s="77"/>
      <c r="BG2691" s="77"/>
      <c r="BH2691" s="77"/>
      <c r="BI2691" s="77"/>
    </row>
    <row r="2692" spans="1:61" x14ac:dyDescent="0.25">
      <c r="A2692" s="62" t="s">
        <v>387</v>
      </c>
      <c r="B2692" s="62" t="s">
        <v>387</v>
      </c>
      <c r="C2692" s="63"/>
      <c r="D2692" s="64"/>
      <c r="E2692" s="65"/>
      <c r="F2692" s="66"/>
      <c r="G2692" s="63"/>
      <c r="H2692" s="67"/>
      <c r="I2692" s="68"/>
      <c r="J2692" s="68"/>
      <c r="K2692" s="32"/>
      <c r="L2692" s="75">
        <v>2692</v>
      </c>
      <c r="M2692" s="75"/>
      <c r="N2692" s="70"/>
      <c r="O2692" s="77" t="s">
        <v>179</v>
      </c>
      <c r="P2692" s="79">
        <v>45128.791678240741</v>
      </c>
      <c r="Q2692" s="77" t="s">
        <v>3364</v>
      </c>
      <c r="R2692" s="77">
        <v>0</v>
      </c>
      <c r="S2692" s="77">
        <v>1</v>
      </c>
      <c r="T2692" s="77">
        <v>0</v>
      </c>
      <c r="U2692" s="77">
        <v>0</v>
      </c>
      <c r="V2692" s="77">
        <v>618</v>
      </c>
      <c r="W2692" s="82" t="s">
        <v>4833</v>
      </c>
      <c r="X2692" s="80" t="str">
        <f>HYPERLINK("https://einvestidor.estadao.com.br/ultimas/sinqia-venda-evertec-acoes-acionistas/?utm_source=twitter&amp;utm_medium=organic&amp;utm_campaign=sinqia&amp;utm_content=materia")</f>
        <v>https://einvestidor.estadao.com.br/ultimas/sinqia-venda-evertec-acoes-acionistas/?utm_source=twitter&amp;utm_medium=organic&amp;utm_campaign=sinqia&amp;utm_content=materia</v>
      </c>
      <c r="Y2692" s="77" t="s">
        <v>6470</v>
      </c>
      <c r="Z2692" s="77"/>
      <c r="AA2692" s="77"/>
      <c r="AB2692" s="77"/>
      <c r="AC2692" s="82" t="s">
        <v>7754</v>
      </c>
      <c r="AD2692" s="77" t="s">
        <v>7788</v>
      </c>
      <c r="AE2692" s="80" t="str">
        <f>HYPERLINK("https://twitter.com/einvestidor/status/1682465471839207425")</f>
        <v>https://twitter.com/einvestidor/status/1682465471839207425</v>
      </c>
      <c r="AF2692" s="79">
        <v>45128.791678240741</v>
      </c>
      <c r="AG2692" s="85">
        <v>45128</v>
      </c>
      <c r="AH2692" s="82" t="s">
        <v>7933</v>
      </c>
      <c r="AI2692" s="77" t="b">
        <v>0</v>
      </c>
      <c r="AJ2692" s="77"/>
      <c r="AK2692" s="77"/>
      <c r="AL2692" s="77"/>
      <c r="AM2692" s="77"/>
      <c r="AN2692" s="77"/>
      <c r="AO2692" s="77"/>
      <c r="AP2692" s="77"/>
      <c r="AQ2692" s="77"/>
      <c r="AR2692" s="77"/>
      <c r="AS2692" s="77"/>
      <c r="AT2692" s="77"/>
      <c r="AU2692" s="77"/>
      <c r="AV2692" s="80" t="str">
        <f>HYPERLINK("https://pbs.twimg.com/profile_images/1241147984924082183/gZgx_hL-_normal.jpg")</f>
        <v>https://pbs.twimg.com/profile_images/1241147984924082183/gZgx_hL-_normal.jpg</v>
      </c>
      <c r="AW2692" s="82" t="s">
        <v>14288</v>
      </c>
      <c r="AX2692" s="82" t="s">
        <v>14288</v>
      </c>
      <c r="AY2692" s="77"/>
      <c r="AZ2692" s="82" t="s">
        <v>15984</v>
      </c>
      <c r="BA2692" s="82" t="s">
        <v>15984</v>
      </c>
      <c r="BB2692" s="82" t="s">
        <v>15984</v>
      </c>
      <c r="BC2692" s="82" t="s">
        <v>14288</v>
      </c>
      <c r="BD2692" s="82" t="s">
        <v>15979</v>
      </c>
      <c r="BE2692" s="77"/>
      <c r="BF2692" s="77"/>
      <c r="BG2692" s="77"/>
      <c r="BH2692" s="77"/>
      <c r="BI2692" s="77"/>
    </row>
    <row r="2693" spans="1:61" x14ac:dyDescent="0.25">
      <c r="A2693" s="62" t="s">
        <v>387</v>
      </c>
      <c r="B2693" s="62" t="s">
        <v>387</v>
      </c>
      <c r="C2693" s="63"/>
      <c r="D2693" s="64"/>
      <c r="E2693" s="65"/>
      <c r="F2693" s="66"/>
      <c r="G2693" s="63"/>
      <c r="H2693" s="67"/>
      <c r="I2693" s="68"/>
      <c r="J2693" s="68"/>
      <c r="K2693" s="32"/>
      <c r="L2693" s="75">
        <v>2693</v>
      </c>
      <c r="M2693" s="75"/>
      <c r="N2693" s="70"/>
      <c r="O2693" s="77" t="s">
        <v>179</v>
      </c>
      <c r="P2693" s="79">
        <v>45128.770833333336</v>
      </c>
      <c r="Q2693" s="77" t="s">
        <v>3365</v>
      </c>
      <c r="R2693" s="77">
        <v>0</v>
      </c>
      <c r="S2693" s="77">
        <v>1</v>
      </c>
      <c r="T2693" s="77">
        <v>0</v>
      </c>
      <c r="U2693" s="77">
        <v>0</v>
      </c>
      <c r="V2693" s="77">
        <v>496</v>
      </c>
      <c r="W2693" s="82" t="s">
        <v>4833</v>
      </c>
      <c r="X2693" s="80" t="str">
        <f>HYPERLINK("https://einvestidor.estadao.com.br/ultimas/sap-resultados-segundo-trimestre-acoes/?utm_source=twitter&amp;utm_medium=organic&amp;utm_campaign=sap&amp;utm_content=materia")</f>
        <v>https://einvestidor.estadao.com.br/ultimas/sap-resultados-segundo-trimestre-acoes/?utm_source=twitter&amp;utm_medium=organic&amp;utm_campaign=sap&amp;utm_content=materia</v>
      </c>
      <c r="Y2693" s="77" t="s">
        <v>6470</v>
      </c>
      <c r="Z2693" s="77"/>
      <c r="AA2693" s="77"/>
      <c r="AB2693" s="77"/>
      <c r="AC2693" s="82" t="s">
        <v>7754</v>
      </c>
      <c r="AD2693" s="77" t="s">
        <v>7788</v>
      </c>
      <c r="AE2693" s="80" t="str">
        <f>HYPERLINK("https://twitter.com/einvestidor/status/1682457917385998336")</f>
        <v>https://twitter.com/einvestidor/status/1682457917385998336</v>
      </c>
      <c r="AF2693" s="79">
        <v>45128.770833333336</v>
      </c>
      <c r="AG2693" s="85">
        <v>45128</v>
      </c>
      <c r="AH2693" s="82" t="s">
        <v>7930</v>
      </c>
      <c r="AI2693" s="77" t="b">
        <v>0</v>
      </c>
      <c r="AJ2693" s="77"/>
      <c r="AK2693" s="77"/>
      <c r="AL2693" s="77"/>
      <c r="AM2693" s="77"/>
      <c r="AN2693" s="77"/>
      <c r="AO2693" s="77"/>
      <c r="AP2693" s="77"/>
      <c r="AQ2693" s="77"/>
      <c r="AR2693" s="77"/>
      <c r="AS2693" s="77"/>
      <c r="AT2693" s="77"/>
      <c r="AU2693" s="77"/>
      <c r="AV2693" s="80" t="str">
        <f>HYPERLINK("https://pbs.twimg.com/profile_images/1241147984924082183/gZgx_hL-_normal.jpg")</f>
        <v>https://pbs.twimg.com/profile_images/1241147984924082183/gZgx_hL-_normal.jpg</v>
      </c>
      <c r="AW2693" s="82" t="s">
        <v>14289</v>
      </c>
      <c r="AX2693" s="82" t="s">
        <v>14289</v>
      </c>
      <c r="AY2693" s="77"/>
      <c r="AZ2693" s="82" t="s">
        <v>15984</v>
      </c>
      <c r="BA2693" s="82" t="s">
        <v>15984</v>
      </c>
      <c r="BB2693" s="82" t="s">
        <v>15984</v>
      </c>
      <c r="BC2693" s="82" t="s">
        <v>14289</v>
      </c>
      <c r="BD2693" s="82" t="s">
        <v>15979</v>
      </c>
      <c r="BE2693" s="77"/>
      <c r="BF2693" s="77"/>
      <c r="BG2693" s="77"/>
      <c r="BH2693" s="77"/>
      <c r="BI2693" s="77"/>
    </row>
    <row r="2694" spans="1:61" x14ac:dyDescent="0.25">
      <c r="A2694" s="62" t="s">
        <v>387</v>
      </c>
      <c r="B2694" s="62" t="s">
        <v>387</v>
      </c>
      <c r="C2694" s="63"/>
      <c r="D2694" s="64"/>
      <c r="E2694" s="65"/>
      <c r="F2694" s="66"/>
      <c r="G2694" s="63"/>
      <c r="H2694" s="67"/>
      <c r="I2694" s="68"/>
      <c r="J2694" s="68"/>
      <c r="K2694" s="32"/>
      <c r="L2694" s="75">
        <v>2694</v>
      </c>
      <c r="M2694" s="75"/>
      <c r="N2694" s="70"/>
      <c r="O2694" s="77" t="s">
        <v>179</v>
      </c>
      <c r="P2694" s="79">
        <v>45128.740763888891</v>
      </c>
      <c r="Q2694" s="77" t="s">
        <v>3366</v>
      </c>
      <c r="R2694" s="77">
        <v>0</v>
      </c>
      <c r="S2694" s="77">
        <v>1</v>
      </c>
      <c r="T2694" s="77">
        <v>0</v>
      </c>
      <c r="U2694" s="77">
        <v>0</v>
      </c>
      <c r="V2694" s="77">
        <v>545</v>
      </c>
      <c r="W2694" s="82" t="s">
        <v>4833</v>
      </c>
      <c r="X2694" s="80" t="str">
        <f>HYPERLINK("https://mla.bs/b9a5f951")</f>
        <v>https://mla.bs/b9a5f951</v>
      </c>
      <c r="Y2694" s="77" t="s">
        <v>6506</v>
      </c>
      <c r="Z2694" s="77"/>
      <c r="AA2694" s="77"/>
      <c r="AB2694" s="77"/>
      <c r="AC2694" s="82" t="s">
        <v>7754</v>
      </c>
      <c r="AD2694" s="77" t="s">
        <v>7788</v>
      </c>
      <c r="AE2694" s="80" t="str">
        <f>HYPERLINK("https://twitter.com/einvestidor/status/1682447017623146511")</f>
        <v>https://twitter.com/einvestidor/status/1682447017623146511</v>
      </c>
      <c r="AF2694" s="79">
        <v>45128.740763888891</v>
      </c>
      <c r="AG2694" s="85">
        <v>45128</v>
      </c>
      <c r="AH2694" s="82" t="s">
        <v>9798</v>
      </c>
      <c r="AI2694" s="77" t="b">
        <v>0</v>
      </c>
      <c r="AJ2694" s="77"/>
      <c r="AK2694" s="77"/>
      <c r="AL2694" s="77"/>
      <c r="AM2694" s="77"/>
      <c r="AN2694" s="77"/>
      <c r="AO2694" s="77"/>
      <c r="AP2694" s="77"/>
      <c r="AQ2694" s="77"/>
      <c r="AR2694" s="77"/>
      <c r="AS2694" s="77"/>
      <c r="AT2694" s="77"/>
      <c r="AU2694" s="77"/>
      <c r="AV2694" s="80" t="str">
        <f>HYPERLINK("https://pbs.twimg.com/profile_images/1241147984924082183/gZgx_hL-_normal.jpg")</f>
        <v>https://pbs.twimg.com/profile_images/1241147984924082183/gZgx_hL-_normal.jpg</v>
      </c>
      <c r="AW2694" s="82" t="s">
        <v>14290</v>
      </c>
      <c r="AX2694" s="82" t="s">
        <v>14290</v>
      </c>
      <c r="AY2694" s="77"/>
      <c r="AZ2694" s="82" t="s">
        <v>15984</v>
      </c>
      <c r="BA2694" s="82" t="s">
        <v>15984</v>
      </c>
      <c r="BB2694" s="82" t="s">
        <v>15984</v>
      </c>
      <c r="BC2694" s="82" t="s">
        <v>14290</v>
      </c>
      <c r="BD2694" s="82" t="s">
        <v>15979</v>
      </c>
      <c r="BE2694" s="77"/>
      <c r="BF2694" s="77"/>
      <c r="BG2694" s="77"/>
      <c r="BH2694" s="77"/>
      <c r="BI2694" s="77"/>
    </row>
    <row r="2695" spans="1:61" x14ac:dyDescent="0.25">
      <c r="A2695" s="62" t="s">
        <v>387</v>
      </c>
      <c r="B2695" s="62" t="s">
        <v>387</v>
      </c>
      <c r="C2695" s="63"/>
      <c r="D2695" s="64"/>
      <c r="E2695" s="65"/>
      <c r="F2695" s="66"/>
      <c r="G2695" s="63"/>
      <c r="H2695" s="67"/>
      <c r="I2695" s="68"/>
      <c r="J2695" s="68"/>
      <c r="K2695" s="32"/>
      <c r="L2695" s="75">
        <v>2695</v>
      </c>
      <c r="M2695" s="75"/>
      <c r="N2695" s="70"/>
      <c r="O2695" s="77" t="s">
        <v>179</v>
      </c>
      <c r="P2695" s="79">
        <v>45184.476701388892</v>
      </c>
      <c r="Q2695" s="77" t="s">
        <v>3367</v>
      </c>
      <c r="R2695" s="77">
        <v>0</v>
      </c>
      <c r="S2695" s="77">
        <v>2</v>
      </c>
      <c r="T2695" s="77">
        <v>0</v>
      </c>
      <c r="U2695" s="77">
        <v>0</v>
      </c>
      <c r="V2695" s="77">
        <v>462</v>
      </c>
      <c r="W2695" s="82" t="s">
        <v>4839</v>
      </c>
      <c r="X2695" s="80" t="str">
        <f>HYPERLINK("https://einvestidor.estadao.com.br/ultimas/bolsas-da-asia-fechamento-recuperacao-china/?utm_source=twitter&amp;utm_medium=organic&amp;utm_campaign=asia&amp;utm_content=materia")</f>
        <v>https://einvestidor.estadao.com.br/ultimas/bolsas-da-asia-fechamento-recuperacao-china/?utm_source=twitter&amp;utm_medium=organic&amp;utm_campaign=asia&amp;utm_content=materia</v>
      </c>
      <c r="Y2695" s="77" t="s">
        <v>6470</v>
      </c>
      <c r="Z2695" s="77"/>
      <c r="AA2695" s="77"/>
      <c r="AB2695" s="77"/>
      <c r="AC2695" s="82" t="s">
        <v>7750</v>
      </c>
      <c r="AD2695" s="77" t="s">
        <v>7788</v>
      </c>
      <c r="AE2695" s="80" t="str">
        <f>HYPERLINK("https://twitter.com/einvestidor/status/1702645048066674847")</f>
        <v>https://twitter.com/einvestidor/status/1702645048066674847</v>
      </c>
      <c r="AF2695" s="79">
        <v>45184.476701388892</v>
      </c>
      <c r="AG2695" s="85">
        <v>45184</v>
      </c>
      <c r="AH2695" s="82" t="s">
        <v>9799</v>
      </c>
      <c r="AI2695" s="77" t="b">
        <v>0</v>
      </c>
      <c r="AJ2695" s="77"/>
      <c r="AK2695" s="77"/>
      <c r="AL2695" s="77"/>
      <c r="AM2695" s="77"/>
      <c r="AN2695" s="77"/>
      <c r="AO2695" s="77"/>
      <c r="AP2695" s="77"/>
      <c r="AQ2695" s="77"/>
      <c r="AR2695" s="77"/>
      <c r="AS2695" s="77"/>
      <c r="AT2695" s="77"/>
      <c r="AU2695" s="77"/>
      <c r="AV2695" s="80" t="str">
        <f>HYPERLINK("https://pbs.twimg.com/profile_images/1241147984924082183/gZgx_hL-_normal.jpg")</f>
        <v>https://pbs.twimg.com/profile_images/1241147984924082183/gZgx_hL-_normal.jpg</v>
      </c>
      <c r="AW2695" s="82" t="s">
        <v>14291</v>
      </c>
      <c r="AX2695" s="82" t="s">
        <v>14291</v>
      </c>
      <c r="AY2695" s="77"/>
      <c r="AZ2695" s="82" t="s">
        <v>15984</v>
      </c>
      <c r="BA2695" s="82" t="s">
        <v>15984</v>
      </c>
      <c r="BB2695" s="82" t="s">
        <v>15984</v>
      </c>
      <c r="BC2695" s="82" t="s">
        <v>14291</v>
      </c>
      <c r="BD2695" s="82" t="s">
        <v>15979</v>
      </c>
      <c r="BE2695" s="77"/>
      <c r="BF2695" s="77"/>
      <c r="BG2695" s="77"/>
      <c r="BH2695" s="77"/>
      <c r="BI2695" s="77"/>
    </row>
    <row r="2696" spans="1:61" x14ac:dyDescent="0.25">
      <c r="A2696" s="62" t="s">
        <v>387</v>
      </c>
      <c r="B2696" s="62" t="s">
        <v>387</v>
      </c>
      <c r="C2696" s="63"/>
      <c r="D2696" s="64"/>
      <c r="E2696" s="65"/>
      <c r="F2696" s="66"/>
      <c r="G2696" s="63"/>
      <c r="H2696" s="67"/>
      <c r="I2696" s="68"/>
      <c r="J2696" s="68"/>
      <c r="K2696" s="32"/>
      <c r="L2696" s="75">
        <v>2696</v>
      </c>
      <c r="M2696" s="75"/>
      <c r="N2696" s="70"/>
      <c r="O2696" s="77" t="s">
        <v>179</v>
      </c>
      <c r="P2696" s="79">
        <v>45182.96875</v>
      </c>
      <c r="Q2696" s="77" t="s">
        <v>3368</v>
      </c>
      <c r="R2696" s="77">
        <v>0</v>
      </c>
      <c r="S2696" s="77">
        <v>2</v>
      </c>
      <c r="T2696" s="77">
        <v>0</v>
      </c>
      <c r="U2696" s="77">
        <v>0</v>
      </c>
      <c r="V2696" s="77">
        <v>606</v>
      </c>
      <c r="W2696" s="82" t="s">
        <v>4833</v>
      </c>
      <c r="X2696" s="80" t="str">
        <f>HYPERLINK("https://einvestidor.estadao.com.br/ultimas/dolar-hoje-fecha-queda-leitura-inflacao-eua/?utm_source=twitter&amp;utm_medium=organic&amp;utm_campaign=&amp;utm_content=materia")</f>
        <v>https://einvestidor.estadao.com.br/ultimas/dolar-hoje-fecha-queda-leitura-inflacao-eua/?utm_source=twitter&amp;utm_medium=organic&amp;utm_campaign=&amp;utm_content=materia</v>
      </c>
      <c r="Y2696" s="77" t="s">
        <v>6470</v>
      </c>
      <c r="Z2696" s="77"/>
      <c r="AA2696" s="77"/>
      <c r="AB2696" s="77"/>
      <c r="AC2696" s="82" t="s">
        <v>7750</v>
      </c>
      <c r="AD2696" s="77" t="s">
        <v>7788</v>
      </c>
      <c r="AE2696" s="80" t="str">
        <f>HYPERLINK("https://twitter.com/einvestidor/status/1702098583011676400")</f>
        <v>https://twitter.com/einvestidor/status/1702098583011676400</v>
      </c>
      <c r="AF2696" s="79">
        <v>45182.96875</v>
      </c>
      <c r="AG2696" s="85">
        <v>45182</v>
      </c>
      <c r="AH2696" s="82" t="s">
        <v>9621</v>
      </c>
      <c r="AI2696" s="77" t="b">
        <v>0</v>
      </c>
      <c r="AJ2696" s="77"/>
      <c r="AK2696" s="77"/>
      <c r="AL2696" s="77"/>
      <c r="AM2696" s="77"/>
      <c r="AN2696" s="77"/>
      <c r="AO2696" s="77"/>
      <c r="AP2696" s="77"/>
      <c r="AQ2696" s="77"/>
      <c r="AR2696" s="77"/>
      <c r="AS2696" s="77"/>
      <c r="AT2696" s="77"/>
      <c r="AU2696" s="77"/>
      <c r="AV2696" s="80" t="str">
        <f>HYPERLINK("https://pbs.twimg.com/profile_images/1241147984924082183/gZgx_hL-_normal.jpg")</f>
        <v>https://pbs.twimg.com/profile_images/1241147984924082183/gZgx_hL-_normal.jpg</v>
      </c>
      <c r="AW2696" s="82" t="s">
        <v>14292</v>
      </c>
      <c r="AX2696" s="82" t="s">
        <v>14292</v>
      </c>
      <c r="AY2696" s="77"/>
      <c r="AZ2696" s="82" t="s">
        <v>15984</v>
      </c>
      <c r="BA2696" s="82" t="s">
        <v>15984</v>
      </c>
      <c r="BB2696" s="82" t="s">
        <v>15984</v>
      </c>
      <c r="BC2696" s="82" t="s">
        <v>14292</v>
      </c>
      <c r="BD2696" s="82" t="s">
        <v>15979</v>
      </c>
      <c r="BE2696" s="77"/>
      <c r="BF2696" s="77"/>
      <c r="BG2696" s="77"/>
      <c r="BH2696" s="77"/>
      <c r="BI2696" s="77"/>
    </row>
    <row r="2697" spans="1:61" x14ac:dyDescent="0.25">
      <c r="A2697" s="62" t="s">
        <v>387</v>
      </c>
      <c r="B2697" s="62" t="s">
        <v>387</v>
      </c>
      <c r="C2697" s="63"/>
      <c r="D2697" s="64"/>
      <c r="E2697" s="65"/>
      <c r="F2697" s="66"/>
      <c r="G2697" s="63"/>
      <c r="H2697" s="67"/>
      <c r="I2697" s="68"/>
      <c r="J2697" s="68"/>
      <c r="K2697" s="32"/>
      <c r="L2697" s="75">
        <v>2697</v>
      </c>
      <c r="M2697" s="75"/>
      <c r="N2697" s="70"/>
      <c r="O2697" s="77" t="s">
        <v>179</v>
      </c>
      <c r="P2697" s="79">
        <v>45181.947916666664</v>
      </c>
      <c r="Q2697" s="77" t="s">
        <v>3369</v>
      </c>
      <c r="R2697" s="77">
        <v>0</v>
      </c>
      <c r="S2697" s="77">
        <v>0</v>
      </c>
      <c r="T2697" s="77">
        <v>0</v>
      </c>
      <c r="U2697" s="77">
        <v>0</v>
      </c>
      <c r="V2697" s="77">
        <v>541</v>
      </c>
      <c r="W2697" s="82" t="s">
        <v>5928</v>
      </c>
      <c r="X2697" s="80" t="str">
        <f>HYPERLINK("https://einvestidor.estadao.com.br/criptomoedas/mercado-nfts-em-baixa/?utm_source=twitter&amp;utm_medium=organic&amp;utm_campaign=&amp;utm_content=materia")</f>
        <v>https://einvestidor.estadao.com.br/criptomoedas/mercado-nfts-em-baixa/?utm_source=twitter&amp;utm_medium=organic&amp;utm_campaign=&amp;utm_content=materia</v>
      </c>
      <c r="Y2697" s="77" t="s">
        <v>6470</v>
      </c>
      <c r="Z2697" s="77"/>
      <c r="AA2697" s="77"/>
      <c r="AB2697" s="77"/>
      <c r="AC2697" s="82" t="s">
        <v>7750</v>
      </c>
      <c r="AD2697" s="77" t="s">
        <v>7788</v>
      </c>
      <c r="AE2697" s="80" t="str">
        <f>HYPERLINK("https://twitter.com/einvestidor/status/1701728645348213197")</f>
        <v>https://twitter.com/einvestidor/status/1701728645348213197</v>
      </c>
      <c r="AF2697" s="79">
        <v>45181.947916666664</v>
      </c>
      <c r="AG2697" s="85">
        <v>45181</v>
      </c>
      <c r="AH2697" s="82" t="s">
        <v>9595</v>
      </c>
      <c r="AI2697" s="77" t="b">
        <v>0</v>
      </c>
      <c r="AJ2697" s="77"/>
      <c r="AK2697" s="77"/>
      <c r="AL2697" s="77"/>
      <c r="AM2697" s="77"/>
      <c r="AN2697" s="77"/>
      <c r="AO2697" s="77"/>
      <c r="AP2697" s="77"/>
      <c r="AQ2697" s="77"/>
      <c r="AR2697" s="77"/>
      <c r="AS2697" s="77"/>
      <c r="AT2697" s="77"/>
      <c r="AU2697" s="77"/>
      <c r="AV2697" s="80" t="str">
        <f>HYPERLINK("https://pbs.twimg.com/profile_images/1241147984924082183/gZgx_hL-_normal.jpg")</f>
        <v>https://pbs.twimg.com/profile_images/1241147984924082183/gZgx_hL-_normal.jpg</v>
      </c>
      <c r="AW2697" s="82" t="s">
        <v>14293</v>
      </c>
      <c r="AX2697" s="82" t="s">
        <v>14293</v>
      </c>
      <c r="AY2697" s="77"/>
      <c r="AZ2697" s="82" t="s">
        <v>15984</v>
      </c>
      <c r="BA2697" s="82" t="s">
        <v>15984</v>
      </c>
      <c r="BB2697" s="82" t="s">
        <v>15984</v>
      </c>
      <c r="BC2697" s="82" t="s">
        <v>14293</v>
      </c>
      <c r="BD2697" s="82" t="s">
        <v>15979</v>
      </c>
      <c r="BE2697" s="77"/>
      <c r="BF2697" s="77"/>
      <c r="BG2697" s="77"/>
      <c r="BH2697" s="77"/>
      <c r="BI2697" s="77"/>
    </row>
    <row r="2698" spans="1:61" x14ac:dyDescent="0.25">
      <c r="A2698" s="62" t="s">
        <v>387</v>
      </c>
      <c r="B2698" s="62" t="s">
        <v>387</v>
      </c>
      <c r="C2698" s="63"/>
      <c r="D2698" s="64"/>
      <c r="E2698" s="65"/>
      <c r="F2698" s="66"/>
      <c r="G2698" s="63"/>
      <c r="H2698" s="67"/>
      <c r="I2698" s="68"/>
      <c r="J2698" s="68"/>
      <c r="K2698" s="32"/>
      <c r="L2698" s="75">
        <v>2698</v>
      </c>
      <c r="M2698" s="75"/>
      <c r="N2698" s="70"/>
      <c r="O2698" s="77" t="s">
        <v>179</v>
      </c>
      <c r="P2698" s="79">
        <v>45180.833333333336</v>
      </c>
      <c r="Q2698" s="77" t="s">
        <v>3370</v>
      </c>
      <c r="R2698" s="77">
        <v>0</v>
      </c>
      <c r="S2698" s="77">
        <v>0</v>
      </c>
      <c r="T2698" s="77">
        <v>0</v>
      </c>
      <c r="U2698" s="77">
        <v>0</v>
      </c>
      <c r="V2698" s="77">
        <v>456</v>
      </c>
      <c r="W2698" s="82" t="s">
        <v>4833</v>
      </c>
      <c r="X2698" s="80" t="str">
        <f>HYPERLINK("https://einvestidor.estadao.com.br/radar-einvestidor/paulinha-leite-numero-da-sorte-loterias/?utm_source=twitter&amp;utm_medium=organic&amp;utm_campaign=&amp;utm_content=materia")</f>
        <v>https://einvestidor.estadao.com.br/radar-einvestidor/paulinha-leite-numero-da-sorte-loterias/?utm_source=twitter&amp;utm_medium=organic&amp;utm_campaign=&amp;utm_content=materia</v>
      </c>
      <c r="Y2698" s="77" t="s">
        <v>6470</v>
      </c>
      <c r="Z2698" s="77"/>
      <c r="AA2698" s="77"/>
      <c r="AB2698" s="77"/>
      <c r="AC2698" s="82" t="s">
        <v>7750</v>
      </c>
      <c r="AD2698" s="77" t="s">
        <v>7788</v>
      </c>
      <c r="AE2698" s="80" t="str">
        <f>HYPERLINK("https://twitter.com/einvestidor/status/1701324735911755789")</f>
        <v>https://twitter.com/einvestidor/status/1701324735911755789</v>
      </c>
      <c r="AF2698" s="79">
        <v>45180.833333333336</v>
      </c>
      <c r="AG2698" s="85">
        <v>45180</v>
      </c>
      <c r="AH2698" s="82" t="s">
        <v>8381</v>
      </c>
      <c r="AI2698" s="77" t="b">
        <v>0</v>
      </c>
      <c r="AJ2698" s="77"/>
      <c r="AK2698" s="77"/>
      <c r="AL2698" s="77"/>
      <c r="AM2698" s="77"/>
      <c r="AN2698" s="77"/>
      <c r="AO2698" s="77"/>
      <c r="AP2698" s="77"/>
      <c r="AQ2698" s="77"/>
      <c r="AR2698" s="77"/>
      <c r="AS2698" s="77"/>
      <c r="AT2698" s="77"/>
      <c r="AU2698" s="77"/>
      <c r="AV2698" s="80" t="str">
        <f>HYPERLINK("https://pbs.twimg.com/profile_images/1241147984924082183/gZgx_hL-_normal.jpg")</f>
        <v>https://pbs.twimg.com/profile_images/1241147984924082183/gZgx_hL-_normal.jpg</v>
      </c>
      <c r="AW2698" s="82" t="s">
        <v>14294</v>
      </c>
      <c r="AX2698" s="82" t="s">
        <v>14294</v>
      </c>
      <c r="AY2698" s="77"/>
      <c r="AZ2698" s="82" t="s">
        <v>15984</v>
      </c>
      <c r="BA2698" s="82" t="s">
        <v>15984</v>
      </c>
      <c r="BB2698" s="82" t="s">
        <v>15984</v>
      </c>
      <c r="BC2698" s="82" t="s">
        <v>14294</v>
      </c>
      <c r="BD2698" s="82" t="s">
        <v>15979</v>
      </c>
      <c r="BE2698" s="77"/>
      <c r="BF2698" s="77"/>
      <c r="BG2698" s="77"/>
      <c r="BH2698" s="77"/>
      <c r="BI2698" s="77"/>
    </row>
    <row r="2699" spans="1:61" x14ac:dyDescent="0.25">
      <c r="A2699" s="62" t="s">
        <v>387</v>
      </c>
      <c r="B2699" s="62" t="s">
        <v>387</v>
      </c>
      <c r="C2699" s="63"/>
      <c r="D2699" s="64"/>
      <c r="E2699" s="65"/>
      <c r="F2699" s="66"/>
      <c r="G2699" s="63"/>
      <c r="H2699" s="67"/>
      <c r="I2699" s="68"/>
      <c r="J2699" s="68"/>
      <c r="K2699" s="32"/>
      <c r="L2699" s="75">
        <v>2699</v>
      </c>
      <c r="M2699" s="75"/>
      <c r="N2699" s="70"/>
      <c r="O2699" s="77" t="s">
        <v>179</v>
      </c>
      <c r="P2699" s="79">
        <v>45180.822916666664</v>
      </c>
      <c r="Q2699" s="77" t="s">
        <v>3371</v>
      </c>
      <c r="R2699" s="77">
        <v>0</v>
      </c>
      <c r="S2699" s="77">
        <v>0</v>
      </c>
      <c r="T2699" s="77">
        <v>0</v>
      </c>
      <c r="U2699" s="77">
        <v>0</v>
      </c>
      <c r="V2699" s="77">
        <v>528</v>
      </c>
      <c r="W2699" s="82" t="s">
        <v>5999</v>
      </c>
      <c r="X2699" s="80" t="str">
        <f>HYPERLINK("https://einvestidor.estadao.com.br/ultimas/acao-b3-b3sa3-altas-bolsa-hoje//?utm_source=twitter&amp;utm_medium=organic&amp;utm_campaign=&amp;utm_content=materia")</f>
        <v>https://einvestidor.estadao.com.br/ultimas/acao-b3-b3sa3-altas-bolsa-hoje//?utm_source=twitter&amp;utm_medium=organic&amp;utm_campaign=&amp;utm_content=materia</v>
      </c>
      <c r="Y2699" s="77" t="s">
        <v>6470</v>
      </c>
      <c r="Z2699" s="77"/>
      <c r="AA2699" s="77"/>
      <c r="AB2699" s="77"/>
      <c r="AC2699" s="82" t="s">
        <v>7750</v>
      </c>
      <c r="AD2699" s="77" t="s">
        <v>7788</v>
      </c>
      <c r="AE2699" s="80" t="str">
        <f>HYPERLINK("https://twitter.com/einvestidor/status/1701320958978523593")</f>
        <v>https://twitter.com/einvestidor/status/1701320958978523593</v>
      </c>
      <c r="AF2699" s="79">
        <v>45180.822916666664</v>
      </c>
      <c r="AG2699" s="85">
        <v>45180</v>
      </c>
      <c r="AH2699" s="82" t="s">
        <v>9579</v>
      </c>
      <c r="AI2699" s="77" t="b">
        <v>0</v>
      </c>
      <c r="AJ2699" s="77"/>
      <c r="AK2699" s="77"/>
      <c r="AL2699" s="77"/>
      <c r="AM2699" s="77"/>
      <c r="AN2699" s="77"/>
      <c r="AO2699" s="77"/>
      <c r="AP2699" s="77"/>
      <c r="AQ2699" s="77"/>
      <c r="AR2699" s="77"/>
      <c r="AS2699" s="77"/>
      <c r="AT2699" s="77"/>
      <c r="AU2699" s="77"/>
      <c r="AV2699" s="80" t="str">
        <f>HYPERLINK("https://pbs.twimg.com/profile_images/1241147984924082183/gZgx_hL-_normal.jpg")</f>
        <v>https://pbs.twimg.com/profile_images/1241147984924082183/gZgx_hL-_normal.jpg</v>
      </c>
      <c r="AW2699" s="82" t="s">
        <v>14295</v>
      </c>
      <c r="AX2699" s="82" t="s">
        <v>14295</v>
      </c>
      <c r="AY2699" s="77"/>
      <c r="AZ2699" s="82" t="s">
        <v>15984</v>
      </c>
      <c r="BA2699" s="82" t="s">
        <v>15984</v>
      </c>
      <c r="BB2699" s="82" t="s">
        <v>15984</v>
      </c>
      <c r="BC2699" s="82" t="s">
        <v>14295</v>
      </c>
      <c r="BD2699" s="82" t="s">
        <v>15979</v>
      </c>
      <c r="BE2699" s="77"/>
      <c r="BF2699" s="77"/>
      <c r="BG2699" s="77"/>
      <c r="BH2699" s="77"/>
      <c r="BI2699" s="77"/>
    </row>
    <row r="2700" spans="1:61" x14ac:dyDescent="0.25">
      <c r="A2700" s="62" t="s">
        <v>387</v>
      </c>
      <c r="B2700" s="62" t="s">
        <v>387</v>
      </c>
      <c r="C2700" s="63"/>
      <c r="D2700" s="64"/>
      <c r="E2700" s="65"/>
      <c r="F2700" s="66"/>
      <c r="G2700" s="63"/>
      <c r="H2700" s="67"/>
      <c r="I2700" s="68"/>
      <c r="J2700" s="68"/>
      <c r="K2700" s="32"/>
      <c r="L2700" s="75">
        <v>2700</v>
      </c>
      <c r="M2700" s="75"/>
      <c r="N2700" s="70"/>
      <c r="O2700" s="77" t="s">
        <v>179</v>
      </c>
      <c r="P2700" s="79">
        <v>45176.666678240741</v>
      </c>
      <c r="Q2700" s="77" t="s">
        <v>3372</v>
      </c>
      <c r="R2700" s="77">
        <v>0</v>
      </c>
      <c r="S2700" s="77">
        <v>0</v>
      </c>
      <c r="T2700" s="77">
        <v>0</v>
      </c>
      <c r="U2700" s="77">
        <v>0</v>
      </c>
      <c r="V2700" s="77">
        <v>592</v>
      </c>
      <c r="W2700" s="82" t="s">
        <v>5189</v>
      </c>
      <c r="X2700" s="80" t="str">
        <f>HYPERLINK("https://einvestidor.estadao.com.br/videos/como-se-planejar-para-ter-um-pet/?utm_source=twitter&amp;utm_medium=organic&amp;utm_campaign=&amp;utm_content=materia")</f>
        <v>https://einvestidor.estadao.com.br/videos/como-se-planejar-para-ter-um-pet/?utm_source=twitter&amp;utm_medium=organic&amp;utm_campaign=&amp;utm_content=materia</v>
      </c>
      <c r="Y2700" s="77" t="s">
        <v>6470</v>
      </c>
      <c r="Z2700" s="77"/>
      <c r="AA2700" s="77"/>
      <c r="AB2700" s="77"/>
      <c r="AC2700" s="82" t="s">
        <v>7750</v>
      </c>
      <c r="AD2700" s="77" t="s">
        <v>7788</v>
      </c>
      <c r="AE2700" s="80" t="str">
        <f>HYPERLINK("https://twitter.com/einvestidor/status/1699814789881471228")</f>
        <v>https://twitter.com/einvestidor/status/1699814789881471228</v>
      </c>
      <c r="AF2700" s="79">
        <v>45176.666678240741</v>
      </c>
      <c r="AG2700" s="85">
        <v>45176</v>
      </c>
      <c r="AH2700" s="82" t="s">
        <v>9639</v>
      </c>
      <c r="AI2700" s="77" t="b">
        <v>0</v>
      </c>
      <c r="AJ2700" s="77"/>
      <c r="AK2700" s="77"/>
      <c r="AL2700" s="77"/>
      <c r="AM2700" s="77"/>
      <c r="AN2700" s="77"/>
      <c r="AO2700" s="77"/>
      <c r="AP2700" s="77"/>
      <c r="AQ2700" s="77"/>
      <c r="AR2700" s="77"/>
      <c r="AS2700" s="77"/>
      <c r="AT2700" s="77"/>
      <c r="AU2700" s="77"/>
      <c r="AV2700" s="80" t="str">
        <f>HYPERLINK("https://pbs.twimg.com/profile_images/1241147984924082183/gZgx_hL-_normal.jpg")</f>
        <v>https://pbs.twimg.com/profile_images/1241147984924082183/gZgx_hL-_normal.jpg</v>
      </c>
      <c r="AW2700" s="82" t="s">
        <v>14296</v>
      </c>
      <c r="AX2700" s="82" t="s">
        <v>14296</v>
      </c>
      <c r="AY2700" s="77"/>
      <c r="AZ2700" s="82" t="s">
        <v>15984</v>
      </c>
      <c r="BA2700" s="82" t="s">
        <v>15984</v>
      </c>
      <c r="BB2700" s="82" t="s">
        <v>15984</v>
      </c>
      <c r="BC2700" s="82" t="s">
        <v>14296</v>
      </c>
      <c r="BD2700" s="82" t="s">
        <v>15979</v>
      </c>
      <c r="BE2700" s="77"/>
      <c r="BF2700" s="77"/>
      <c r="BG2700" s="77"/>
      <c r="BH2700" s="77"/>
      <c r="BI2700" s="77"/>
    </row>
    <row r="2701" spans="1:61" x14ac:dyDescent="0.25">
      <c r="A2701" s="62" t="s">
        <v>387</v>
      </c>
      <c r="B2701" s="62" t="s">
        <v>387</v>
      </c>
      <c r="C2701" s="63"/>
      <c r="D2701" s="64"/>
      <c r="E2701" s="65"/>
      <c r="F2701" s="66"/>
      <c r="G2701" s="63"/>
      <c r="H2701" s="67"/>
      <c r="I2701" s="68"/>
      <c r="J2701" s="68"/>
      <c r="K2701" s="32"/>
      <c r="L2701" s="75">
        <v>2701</v>
      </c>
      <c r="M2701" s="75"/>
      <c r="N2701" s="70"/>
      <c r="O2701" s="77" t="s">
        <v>179</v>
      </c>
      <c r="P2701" s="79">
        <v>45174.864583333336</v>
      </c>
      <c r="Q2701" s="77" t="s">
        <v>3373</v>
      </c>
      <c r="R2701" s="77">
        <v>0</v>
      </c>
      <c r="S2701" s="77">
        <v>1</v>
      </c>
      <c r="T2701" s="77">
        <v>0</v>
      </c>
      <c r="U2701" s="77">
        <v>0</v>
      </c>
      <c r="V2701" s="77">
        <v>436</v>
      </c>
      <c r="W2701" s="82" t="s">
        <v>4833</v>
      </c>
      <c r="X2701" s="80" t="str">
        <f>HYPERLINK("https://einvestidor.estadao.com.br/ultimas/legacy-pondera-se-ciclo-alta-juros-eua-acabou//?utm_source=twitter&amp;utm_medium=organic&amp;utm_campaign=&amp;utm_content=materia")</f>
        <v>https://einvestidor.estadao.com.br/ultimas/legacy-pondera-se-ciclo-alta-juros-eua-acabou//?utm_source=twitter&amp;utm_medium=organic&amp;utm_campaign=&amp;utm_content=materia</v>
      </c>
      <c r="Y2701" s="77" t="s">
        <v>6470</v>
      </c>
      <c r="Z2701" s="77"/>
      <c r="AA2701" s="77"/>
      <c r="AB2701" s="77"/>
      <c r="AC2701" s="82" t="s">
        <v>7750</v>
      </c>
      <c r="AD2701" s="77" t="s">
        <v>7788</v>
      </c>
      <c r="AE2701" s="80" t="str">
        <f>HYPERLINK("https://twitter.com/einvestidor/status/1699161731191501006")</f>
        <v>https://twitter.com/einvestidor/status/1699161731191501006</v>
      </c>
      <c r="AF2701" s="79">
        <v>45174.864583333336</v>
      </c>
      <c r="AG2701" s="85">
        <v>45174</v>
      </c>
      <c r="AH2701" s="82" t="s">
        <v>9596</v>
      </c>
      <c r="AI2701" s="77" t="b">
        <v>0</v>
      </c>
      <c r="AJ2701" s="77"/>
      <c r="AK2701" s="77"/>
      <c r="AL2701" s="77"/>
      <c r="AM2701" s="77"/>
      <c r="AN2701" s="77"/>
      <c r="AO2701" s="77"/>
      <c r="AP2701" s="77"/>
      <c r="AQ2701" s="77"/>
      <c r="AR2701" s="77"/>
      <c r="AS2701" s="77"/>
      <c r="AT2701" s="77"/>
      <c r="AU2701" s="77"/>
      <c r="AV2701" s="80" t="str">
        <f>HYPERLINK("https://pbs.twimg.com/profile_images/1241147984924082183/gZgx_hL-_normal.jpg")</f>
        <v>https://pbs.twimg.com/profile_images/1241147984924082183/gZgx_hL-_normal.jpg</v>
      </c>
      <c r="AW2701" s="82" t="s">
        <v>14297</v>
      </c>
      <c r="AX2701" s="82" t="s">
        <v>14297</v>
      </c>
      <c r="AY2701" s="77"/>
      <c r="AZ2701" s="82" t="s">
        <v>15984</v>
      </c>
      <c r="BA2701" s="82" t="s">
        <v>15984</v>
      </c>
      <c r="BB2701" s="82" t="s">
        <v>15984</v>
      </c>
      <c r="BC2701" s="82" t="s">
        <v>14297</v>
      </c>
      <c r="BD2701" s="82" t="s">
        <v>15979</v>
      </c>
      <c r="BE2701" s="77"/>
      <c r="BF2701" s="77"/>
      <c r="BG2701" s="77"/>
      <c r="BH2701" s="77"/>
      <c r="BI2701" s="77"/>
    </row>
    <row r="2702" spans="1:61" x14ac:dyDescent="0.25">
      <c r="A2702" s="62" t="s">
        <v>387</v>
      </c>
      <c r="B2702" s="62" t="s">
        <v>387</v>
      </c>
      <c r="C2702" s="63"/>
      <c r="D2702" s="64"/>
      <c r="E2702" s="65"/>
      <c r="F2702" s="66"/>
      <c r="G2702" s="63"/>
      <c r="H2702" s="67"/>
      <c r="I2702" s="68"/>
      <c r="J2702" s="68"/>
      <c r="K2702" s="32"/>
      <c r="L2702" s="75">
        <v>2702</v>
      </c>
      <c r="M2702" s="75"/>
      <c r="N2702" s="70"/>
      <c r="O2702" s="77" t="s">
        <v>179</v>
      </c>
      <c r="P2702" s="79">
        <v>45174.854166666664</v>
      </c>
      <c r="Q2702" s="77" t="s">
        <v>3374</v>
      </c>
      <c r="R2702" s="77">
        <v>0</v>
      </c>
      <c r="S2702" s="77">
        <v>2</v>
      </c>
      <c r="T2702" s="77">
        <v>0</v>
      </c>
      <c r="U2702" s="77">
        <v>0</v>
      </c>
      <c r="V2702" s="77">
        <v>510</v>
      </c>
      <c r="W2702" s="82" t="s">
        <v>6086</v>
      </c>
      <c r="X2702" s="80" t="str">
        <f>HYPERLINK("https://einvestidor.estadao.com.br/ultimas/bank-of-america-eleva-petrobras-carteira-latam/?utm_source=twitter&amp;utm_medium=organic&amp;utm_campaign=&amp;utm_content=materia")</f>
        <v>https://einvestidor.estadao.com.br/ultimas/bank-of-america-eleva-petrobras-carteira-latam/?utm_source=twitter&amp;utm_medium=organic&amp;utm_campaign=&amp;utm_content=materia</v>
      </c>
      <c r="Y2702" s="77" t="s">
        <v>6470</v>
      </c>
      <c r="Z2702" s="77"/>
      <c r="AA2702" s="77"/>
      <c r="AB2702" s="77"/>
      <c r="AC2702" s="82" t="s">
        <v>7750</v>
      </c>
      <c r="AD2702" s="77" t="s">
        <v>7788</v>
      </c>
      <c r="AE2702" s="80" t="str">
        <f>HYPERLINK("https://twitter.com/einvestidor/status/1699157957278044459")</f>
        <v>https://twitter.com/einvestidor/status/1699157957278044459</v>
      </c>
      <c r="AF2702" s="79">
        <v>45174.854166666664</v>
      </c>
      <c r="AG2702" s="85">
        <v>45174</v>
      </c>
      <c r="AH2702" s="82" t="s">
        <v>8090</v>
      </c>
      <c r="AI2702" s="77" t="b">
        <v>0</v>
      </c>
      <c r="AJ2702" s="77"/>
      <c r="AK2702" s="77"/>
      <c r="AL2702" s="77"/>
      <c r="AM2702" s="77"/>
      <c r="AN2702" s="77"/>
      <c r="AO2702" s="77"/>
      <c r="AP2702" s="77"/>
      <c r="AQ2702" s="77"/>
      <c r="AR2702" s="77"/>
      <c r="AS2702" s="77"/>
      <c r="AT2702" s="77"/>
      <c r="AU2702" s="77"/>
      <c r="AV2702" s="80" t="str">
        <f>HYPERLINK("https://pbs.twimg.com/profile_images/1241147984924082183/gZgx_hL-_normal.jpg")</f>
        <v>https://pbs.twimg.com/profile_images/1241147984924082183/gZgx_hL-_normal.jpg</v>
      </c>
      <c r="AW2702" s="82" t="s">
        <v>14298</v>
      </c>
      <c r="AX2702" s="82" t="s">
        <v>14298</v>
      </c>
      <c r="AY2702" s="77"/>
      <c r="AZ2702" s="82" t="s">
        <v>15984</v>
      </c>
      <c r="BA2702" s="82" t="s">
        <v>15984</v>
      </c>
      <c r="BB2702" s="82" t="s">
        <v>15984</v>
      </c>
      <c r="BC2702" s="82" t="s">
        <v>14298</v>
      </c>
      <c r="BD2702" s="82" t="s">
        <v>15979</v>
      </c>
      <c r="BE2702" s="77"/>
      <c r="BF2702" s="77"/>
      <c r="BG2702" s="77"/>
      <c r="BH2702" s="77"/>
      <c r="BI2702" s="77"/>
    </row>
    <row r="2703" spans="1:61" x14ac:dyDescent="0.25">
      <c r="A2703" s="62" t="s">
        <v>387</v>
      </c>
      <c r="B2703" s="62" t="s">
        <v>387</v>
      </c>
      <c r="C2703" s="63"/>
      <c r="D2703" s="64"/>
      <c r="E2703" s="65"/>
      <c r="F2703" s="66"/>
      <c r="G2703" s="63"/>
      <c r="H2703" s="67"/>
      <c r="I2703" s="68"/>
      <c r="J2703" s="68"/>
      <c r="K2703" s="32"/>
      <c r="L2703" s="75">
        <v>2703</v>
      </c>
      <c r="M2703" s="75"/>
      <c r="N2703" s="70"/>
      <c r="O2703" s="77" t="s">
        <v>179</v>
      </c>
      <c r="P2703" s="79">
        <v>45170.43173611111</v>
      </c>
      <c r="Q2703" s="77" t="s">
        <v>3375</v>
      </c>
      <c r="R2703" s="77">
        <v>0</v>
      </c>
      <c r="S2703" s="77">
        <v>0</v>
      </c>
      <c r="T2703" s="77">
        <v>0</v>
      </c>
      <c r="U2703" s="77">
        <v>0</v>
      </c>
      <c r="V2703" s="77">
        <v>610</v>
      </c>
      <c r="W2703" s="82" t="s">
        <v>5076</v>
      </c>
      <c r="X2703" s="80" t="str">
        <f>HYPERLINK("https://einvestidor.estadao.com.br/investimentos/onde-investir-em-setembro-2023/?utm_source=twitter&amp;utm_medium=organic&amp;utm_campaign=investimentos&amp;utm_content=materia")</f>
        <v>https://einvestidor.estadao.com.br/investimentos/onde-investir-em-setembro-2023/?utm_source=twitter&amp;utm_medium=organic&amp;utm_campaign=investimentos&amp;utm_content=materia</v>
      </c>
      <c r="Y2703" s="77" t="s">
        <v>6470</v>
      </c>
      <c r="Z2703" s="77"/>
      <c r="AA2703" s="77"/>
      <c r="AB2703" s="77"/>
      <c r="AC2703" s="82" t="s">
        <v>7750</v>
      </c>
      <c r="AD2703" s="77" t="s">
        <v>7788</v>
      </c>
      <c r="AE2703" s="80" t="str">
        <f>HYPERLINK("https://twitter.com/einvestidor/status/1697555321097506997")</f>
        <v>https://twitter.com/einvestidor/status/1697555321097506997</v>
      </c>
      <c r="AF2703" s="79">
        <v>45170.43173611111</v>
      </c>
      <c r="AG2703" s="85">
        <v>45170</v>
      </c>
      <c r="AH2703" s="82" t="s">
        <v>9800</v>
      </c>
      <c r="AI2703" s="77" t="b">
        <v>0</v>
      </c>
      <c r="AJ2703" s="77"/>
      <c r="AK2703" s="77"/>
      <c r="AL2703" s="77"/>
      <c r="AM2703" s="77"/>
      <c r="AN2703" s="77"/>
      <c r="AO2703" s="77"/>
      <c r="AP2703" s="77"/>
      <c r="AQ2703" s="77"/>
      <c r="AR2703" s="77"/>
      <c r="AS2703" s="77"/>
      <c r="AT2703" s="77"/>
      <c r="AU2703" s="77"/>
      <c r="AV2703" s="80" t="str">
        <f>HYPERLINK("https://pbs.twimg.com/profile_images/1241147984924082183/gZgx_hL-_normal.jpg")</f>
        <v>https://pbs.twimg.com/profile_images/1241147984924082183/gZgx_hL-_normal.jpg</v>
      </c>
      <c r="AW2703" s="82" t="s">
        <v>14299</v>
      </c>
      <c r="AX2703" s="82" t="s">
        <v>14299</v>
      </c>
      <c r="AY2703" s="77"/>
      <c r="AZ2703" s="82" t="s">
        <v>15984</v>
      </c>
      <c r="BA2703" s="82" t="s">
        <v>15984</v>
      </c>
      <c r="BB2703" s="82" t="s">
        <v>15984</v>
      </c>
      <c r="BC2703" s="82" t="s">
        <v>14299</v>
      </c>
      <c r="BD2703" s="82" t="s">
        <v>15979</v>
      </c>
      <c r="BE2703" s="77"/>
      <c r="BF2703" s="77"/>
      <c r="BG2703" s="77"/>
      <c r="BH2703" s="77"/>
      <c r="BI2703" s="77"/>
    </row>
    <row r="2704" spans="1:61" x14ac:dyDescent="0.25">
      <c r="A2704" s="62" t="s">
        <v>387</v>
      </c>
      <c r="B2704" s="62" t="s">
        <v>387</v>
      </c>
      <c r="C2704" s="63"/>
      <c r="D2704" s="64"/>
      <c r="E2704" s="65"/>
      <c r="F2704" s="66"/>
      <c r="G2704" s="63"/>
      <c r="H2704" s="67"/>
      <c r="I2704" s="68"/>
      <c r="J2704" s="68"/>
      <c r="K2704" s="32"/>
      <c r="L2704" s="75">
        <v>2704</v>
      </c>
      <c r="M2704" s="75"/>
      <c r="N2704" s="70"/>
      <c r="O2704" s="77" t="s">
        <v>179</v>
      </c>
      <c r="P2704" s="79">
        <v>45167.833333333336</v>
      </c>
      <c r="Q2704" s="77" t="s">
        <v>3376</v>
      </c>
      <c r="R2704" s="77">
        <v>0</v>
      </c>
      <c r="S2704" s="77">
        <v>1</v>
      </c>
      <c r="T2704" s="77">
        <v>0</v>
      </c>
      <c r="U2704" s="77">
        <v>0</v>
      </c>
      <c r="V2704" s="77">
        <v>458</v>
      </c>
      <c r="W2704" s="82" t="s">
        <v>4833</v>
      </c>
      <c r="X2704" s="80" t="str">
        <f>HYPERLINK("https://einvestidor.estadao.com.br/educacao-financeira/issqn-o-que-e-como-calcular/?utm_source=twitter&amp;utm_medium=organic&amp;utm_campaign=&amp;utm_content=materia")</f>
        <v>https://einvestidor.estadao.com.br/educacao-financeira/issqn-o-que-e-como-calcular/?utm_source=twitter&amp;utm_medium=organic&amp;utm_campaign=&amp;utm_content=materia</v>
      </c>
      <c r="Y2704" s="77" t="s">
        <v>6470</v>
      </c>
      <c r="Z2704" s="77"/>
      <c r="AA2704" s="77"/>
      <c r="AB2704" s="77"/>
      <c r="AC2704" s="82" t="s">
        <v>7750</v>
      </c>
      <c r="AD2704" s="77" t="s">
        <v>7788</v>
      </c>
      <c r="AE2704" s="80" t="str">
        <f>HYPERLINK("https://twitter.com/einvestidor/status/1696613693662888421")</f>
        <v>https://twitter.com/einvestidor/status/1696613693662888421</v>
      </c>
      <c r="AF2704" s="79">
        <v>45167.833333333336</v>
      </c>
      <c r="AG2704" s="85">
        <v>45167</v>
      </c>
      <c r="AH2704" s="82" t="s">
        <v>8381</v>
      </c>
      <c r="AI2704" s="77" t="b">
        <v>0</v>
      </c>
      <c r="AJ2704" s="77"/>
      <c r="AK2704" s="77"/>
      <c r="AL2704" s="77"/>
      <c r="AM2704" s="77"/>
      <c r="AN2704" s="77"/>
      <c r="AO2704" s="77"/>
      <c r="AP2704" s="77"/>
      <c r="AQ2704" s="77"/>
      <c r="AR2704" s="77"/>
      <c r="AS2704" s="77"/>
      <c r="AT2704" s="77"/>
      <c r="AU2704" s="77"/>
      <c r="AV2704" s="80" t="str">
        <f>HYPERLINK("https://pbs.twimg.com/profile_images/1241147984924082183/gZgx_hL-_normal.jpg")</f>
        <v>https://pbs.twimg.com/profile_images/1241147984924082183/gZgx_hL-_normal.jpg</v>
      </c>
      <c r="AW2704" s="82" t="s">
        <v>14300</v>
      </c>
      <c r="AX2704" s="82" t="s">
        <v>14300</v>
      </c>
      <c r="AY2704" s="77"/>
      <c r="AZ2704" s="82" t="s">
        <v>15984</v>
      </c>
      <c r="BA2704" s="82" t="s">
        <v>15984</v>
      </c>
      <c r="BB2704" s="82" t="s">
        <v>15984</v>
      </c>
      <c r="BC2704" s="82" t="s">
        <v>14300</v>
      </c>
      <c r="BD2704" s="82" t="s">
        <v>15979</v>
      </c>
      <c r="BE2704" s="77"/>
      <c r="BF2704" s="77"/>
      <c r="BG2704" s="77"/>
      <c r="BH2704" s="77"/>
      <c r="BI2704" s="77"/>
    </row>
    <row r="2705" spans="1:61" x14ac:dyDescent="0.25">
      <c r="A2705" s="62" t="s">
        <v>387</v>
      </c>
      <c r="B2705" s="62" t="s">
        <v>387</v>
      </c>
      <c r="C2705" s="63"/>
      <c r="D2705" s="64"/>
      <c r="E2705" s="65"/>
      <c r="F2705" s="66"/>
      <c r="G2705" s="63"/>
      <c r="H2705" s="67"/>
      <c r="I2705" s="68"/>
      <c r="J2705" s="68"/>
      <c r="K2705" s="32"/>
      <c r="L2705" s="75">
        <v>2705</v>
      </c>
      <c r="M2705" s="75"/>
      <c r="N2705" s="70"/>
      <c r="O2705" s="77" t="s">
        <v>179</v>
      </c>
      <c r="P2705" s="79">
        <v>45167.822916666664</v>
      </c>
      <c r="Q2705" s="77" t="s">
        <v>3377</v>
      </c>
      <c r="R2705" s="77">
        <v>0</v>
      </c>
      <c r="S2705" s="77">
        <v>2</v>
      </c>
      <c r="T2705" s="77">
        <v>0</v>
      </c>
      <c r="U2705" s="77">
        <v>0</v>
      </c>
      <c r="V2705" s="77">
        <v>496</v>
      </c>
      <c r="W2705" s="82" t="s">
        <v>6087</v>
      </c>
      <c r="X2705" s="80" t="str">
        <f>HYPERLINK("https://einvestidor.estadao.com.br/ultimas/pessoa-milhoes-esquecidos-banco/?utm_source=twitter&amp;utm_medium=organic&amp;utm_campaign=&amp;utm_content=materia")</f>
        <v>https://einvestidor.estadao.com.br/ultimas/pessoa-milhoes-esquecidos-banco/?utm_source=twitter&amp;utm_medium=organic&amp;utm_campaign=&amp;utm_content=materia</v>
      </c>
      <c r="Y2705" s="77" t="s">
        <v>6470</v>
      </c>
      <c r="Z2705" s="77"/>
      <c r="AA2705" s="77"/>
      <c r="AB2705" s="77"/>
      <c r="AC2705" s="82" t="s">
        <v>7750</v>
      </c>
      <c r="AD2705" s="77" t="s">
        <v>7788</v>
      </c>
      <c r="AE2705" s="80" t="str">
        <f>HYPERLINK("https://twitter.com/einvestidor/status/1696609916855697880")</f>
        <v>https://twitter.com/einvestidor/status/1696609916855697880</v>
      </c>
      <c r="AF2705" s="79">
        <v>45167.822916666664</v>
      </c>
      <c r="AG2705" s="85">
        <v>45167</v>
      </c>
      <c r="AH2705" s="82" t="s">
        <v>9579</v>
      </c>
      <c r="AI2705" s="77" t="b">
        <v>0</v>
      </c>
      <c r="AJ2705" s="77"/>
      <c r="AK2705" s="77"/>
      <c r="AL2705" s="77"/>
      <c r="AM2705" s="77"/>
      <c r="AN2705" s="77"/>
      <c r="AO2705" s="77"/>
      <c r="AP2705" s="77"/>
      <c r="AQ2705" s="77"/>
      <c r="AR2705" s="77"/>
      <c r="AS2705" s="77"/>
      <c r="AT2705" s="77"/>
      <c r="AU2705" s="77"/>
      <c r="AV2705" s="80" t="str">
        <f>HYPERLINK("https://pbs.twimg.com/profile_images/1241147984924082183/gZgx_hL-_normal.jpg")</f>
        <v>https://pbs.twimg.com/profile_images/1241147984924082183/gZgx_hL-_normal.jpg</v>
      </c>
      <c r="AW2705" s="82" t="s">
        <v>14301</v>
      </c>
      <c r="AX2705" s="82" t="s">
        <v>14301</v>
      </c>
      <c r="AY2705" s="77"/>
      <c r="AZ2705" s="82" t="s">
        <v>15984</v>
      </c>
      <c r="BA2705" s="82" t="s">
        <v>15984</v>
      </c>
      <c r="BB2705" s="82" t="s">
        <v>15984</v>
      </c>
      <c r="BC2705" s="82" t="s">
        <v>14301</v>
      </c>
      <c r="BD2705" s="82" t="s">
        <v>15979</v>
      </c>
      <c r="BE2705" s="77"/>
      <c r="BF2705" s="77"/>
      <c r="BG2705" s="77"/>
      <c r="BH2705" s="77"/>
      <c r="BI2705" s="77"/>
    </row>
    <row r="2706" spans="1:61" x14ac:dyDescent="0.25">
      <c r="A2706" s="62" t="s">
        <v>387</v>
      </c>
      <c r="B2706" s="62" t="s">
        <v>387</v>
      </c>
      <c r="C2706" s="63"/>
      <c r="D2706" s="64"/>
      <c r="E2706" s="65"/>
      <c r="F2706" s="66"/>
      <c r="G2706" s="63"/>
      <c r="H2706" s="67"/>
      <c r="I2706" s="68"/>
      <c r="J2706" s="68"/>
      <c r="K2706" s="32"/>
      <c r="L2706" s="75">
        <v>2706</v>
      </c>
      <c r="M2706" s="75"/>
      <c r="N2706" s="70"/>
      <c r="O2706" s="77" t="s">
        <v>179</v>
      </c>
      <c r="P2706" s="79">
        <v>45167.8125</v>
      </c>
      <c r="Q2706" s="77" t="s">
        <v>3378</v>
      </c>
      <c r="R2706" s="77">
        <v>0</v>
      </c>
      <c r="S2706" s="77">
        <v>2</v>
      </c>
      <c r="T2706" s="77">
        <v>0</v>
      </c>
      <c r="U2706" s="77">
        <v>0</v>
      </c>
      <c r="V2706" s="77">
        <v>508</v>
      </c>
      <c r="W2706" s="82" t="s">
        <v>5961</v>
      </c>
      <c r="X2706" s="80" t="str">
        <f>HYPERLINK("https://einvestidor.estadao.com.br/ultimas/petrobras-petr3-petr4-diversidade-b3/?utm_source=twitter&amp;utm_medium=organic&amp;utm_campaign=&amp;utm_content=materia")</f>
        <v>https://einvestidor.estadao.com.br/ultimas/petrobras-petr3-petr4-diversidade-b3/?utm_source=twitter&amp;utm_medium=organic&amp;utm_campaign=&amp;utm_content=materia</v>
      </c>
      <c r="Y2706" s="77" t="s">
        <v>6470</v>
      </c>
      <c r="Z2706" s="77"/>
      <c r="AA2706" s="77"/>
      <c r="AB2706" s="77"/>
      <c r="AC2706" s="82" t="s">
        <v>7750</v>
      </c>
      <c r="AD2706" s="77" t="s">
        <v>7788</v>
      </c>
      <c r="AE2706" s="80" t="str">
        <f>HYPERLINK("https://twitter.com/einvestidor/status/1696606141499969554")</f>
        <v>https://twitter.com/einvestidor/status/1696606141499969554</v>
      </c>
      <c r="AF2706" s="79">
        <v>45167.8125</v>
      </c>
      <c r="AG2706" s="85">
        <v>45167</v>
      </c>
      <c r="AH2706" s="82" t="s">
        <v>8281</v>
      </c>
      <c r="AI2706" s="77" t="b">
        <v>0</v>
      </c>
      <c r="AJ2706" s="77"/>
      <c r="AK2706" s="77"/>
      <c r="AL2706" s="77"/>
      <c r="AM2706" s="77"/>
      <c r="AN2706" s="77"/>
      <c r="AO2706" s="77"/>
      <c r="AP2706" s="77"/>
      <c r="AQ2706" s="77"/>
      <c r="AR2706" s="77"/>
      <c r="AS2706" s="77"/>
      <c r="AT2706" s="77"/>
      <c r="AU2706" s="77"/>
      <c r="AV2706" s="80" t="str">
        <f>HYPERLINK("https://pbs.twimg.com/profile_images/1241147984924082183/gZgx_hL-_normal.jpg")</f>
        <v>https://pbs.twimg.com/profile_images/1241147984924082183/gZgx_hL-_normal.jpg</v>
      </c>
      <c r="AW2706" s="82" t="s">
        <v>14302</v>
      </c>
      <c r="AX2706" s="82" t="s">
        <v>14302</v>
      </c>
      <c r="AY2706" s="77"/>
      <c r="AZ2706" s="82" t="s">
        <v>15984</v>
      </c>
      <c r="BA2706" s="82" t="s">
        <v>15984</v>
      </c>
      <c r="BB2706" s="82" t="s">
        <v>15984</v>
      </c>
      <c r="BC2706" s="82" t="s">
        <v>14302</v>
      </c>
      <c r="BD2706" s="82" t="s">
        <v>15979</v>
      </c>
      <c r="BE2706" s="77"/>
      <c r="BF2706" s="77"/>
      <c r="BG2706" s="77"/>
      <c r="BH2706" s="77"/>
      <c r="BI2706" s="77"/>
    </row>
    <row r="2707" spans="1:61" x14ac:dyDescent="0.25">
      <c r="A2707" s="62" t="s">
        <v>387</v>
      </c>
      <c r="B2707" s="62" t="s">
        <v>387</v>
      </c>
      <c r="C2707" s="63"/>
      <c r="D2707" s="64"/>
      <c r="E2707" s="65"/>
      <c r="F2707" s="66"/>
      <c r="G2707" s="63"/>
      <c r="H2707" s="67"/>
      <c r="I2707" s="68"/>
      <c r="J2707" s="68"/>
      <c r="K2707" s="32"/>
      <c r="L2707" s="75">
        <v>2707</v>
      </c>
      <c r="M2707" s="75"/>
      <c r="N2707" s="70"/>
      <c r="O2707" s="77" t="s">
        <v>179</v>
      </c>
      <c r="P2707" s="79">
        <v>45167.802083333336</v>
      </c>
      <c r="Q2707" s="77" t="s">
        <v>3379</v>
      </c>
      <c r="R2707" s="77">
        <v>0</v>
      </c>
      <c r="S2707" s="77">
        <v>3</v>
      </c>
      <c r="T2707" s="77">
        <v>0</v>
      </c>
      <c r="U2707" s="77">
        <v>0</v>
      </c>
      <c r="V2707" s="77">
        <v>499</v>
      </c>
      <c r="W2707" s="82" t="s">
        <v>6088</v>
      </c>
      <c r="X2707" s="80" t="str">
        <f>HYPERLINK("https://einvestidor.estadao.com.br/negocios/pagamento-acionistas-tesla-twitter-elon-musk/?utm_source=twitter&amp;utm_medium=organic&amp;utm_campaign=&amp;utm_content=materia")</f>
        <v>https://einvestidor.estadao.com.br/negocios/pagamento-acionistas-tesla-twitter-elon-musk/?utm_source=twitter&amp;utm_medium=organic&amp;utm_campaign=&amp;utm_content=materia</v>
      </c>
      <c r="Y2707" s="77" t="s">
        <v>6470</v>
      </c>
      <c r="Z2707" s="77"/>
      <c r="AA2707" s="77"/>
      <c r="AB2707" s="77"/>
      <c r="AC2707" s="82" t="s">
        <v>7750</v>
      </c>
      <c r="AD2707" s="77" t="s">
        <v>7788</v>
      </c>
      <c r="AE2707" s="80" t="str">
        <f>HYPERLINK("https://twitter.com/einvestidor/status/1696602366651535689")</f>
        <v>https://twitter.com/einvestidor/status/1696602366651535689</v>
      </c>
      <c r="AF2707" s="79">
        <v>45167.802083333336</v>
      </c>
      <c r="AG2707" s="85">
        <v>45167</v>
      </c>
      <c r="AH2707" s="82" t="s">
        <v>7868</v>
      </c>
      <c r="AI2707" s="77" t="b">
        <v>0</v>
      </c>
      <c r="AJ2707" s="77"/>
      <c r="AK2707" s="77"/>
      <c r="AL2707" s="77"/>
      <c r="AM2707" s="77"/>
      <c r="AN2707" s="77"/>
      <c r="AO2707" s="77"/>
      <c r="AP2707" s="77"/>
      <c r="AQ2707" s="77"/>
      <c r="AR2707" s="77"/>
      <c r="AS2707" s="77"/>
      <c r="AT2707" s="77"/>
      <c r="AU2707" s="77"/>
      <c r="AV2707" s="80" t="str">
        <f>HYPERLINK("https://pbs.twimg.com/profile_images/1241147984924082183/gZgx_hL-_normal.jpg")</f>
        <v>https://pbs.twimg.com/profile_images/1241147984924082183/gZgx_hL-_normal.jpg</v>
      </c>
      <c r="AW2707" s="82" t="s">
        <v>14303</v>
      </c>
      <c r="AX2707" s="82" t="s">
        <v>14303</v>
      </c>
      <c r="AY2707" s="77"/>
      <c r="AZ2707" s="82" t="s">
        <v>15984</v>
      </c>
      <c r="BA2707" s="82" t="s">
        <v>15984</v>
      </c>
      <c r="BB2707" s="82" t="s">
        <v>15984</v>
      </c>
      <c r="BC2707" s="82" t="s">
        <v>14303</v>
      </c>
      <c r="BD2707" s="82" t="s">
        <v>15979</v>
      </c>
      <c r="BE2707" s="77"/>
      <c r="BF2707" s="77"/>
      <c r="BG2707" s="77"/>
      <c r="BH2707" s="77"/>
      <c r="BI2707" s="77"/>
    </row>
    <row r="2708" spans="1:61" x14ac:dyDescent="0.25">
      <c r="A2708" s="62" t="s">
        <v>387</v>
      </c>
      <c r="B2708" s="62" t="s">
        <v>387</v>
      </c>
      <c r="C2708" s="63"/>
      <c r="D2708" s="64"/>
      <c r="E2708" s="65"/>
      <c r="F2708" s="66"/>
      <c r="G2708" s="63"/>
      <c r="H2708" s="67"/>
      <c r="I2708" s="68"/>
      <c r="J2708" s="68"/>
      <c r="K2708" s="32"/>
      <c r="L2708" s="75">
        <v>2708</v>
      </c>
      <c r="M2708" s="75"/>
      <c r="N2708" s="70"/>
      <c r="O2708" s="77" t="s">
        <v>179</v>
      </c>
      <c r="P2708" s="79">
        <v>45167.791666666664</v>
      </c>
      <c r="Q2708" s="77" t="s">
        <v>3380</v>
      </c>
      <c r="R2708" s="77">
        <v>0</v>
      </c>
      <c r="S2708" s="77">
        <v>3</v>
      </c>
      <c r="T2708" s="77">
        <v>0</v>
      </c>
      <c r="U2708" s="77">
        <v>0</v>
      </c>
      <c r="V2708" s="77">
        <v>598</v>
      </c>
      <c r="W2708" s="82" t="s">
        <v>6089</v>
      </c>
      <c r="X2708" s="80" t="str">
        <f>HYPERLINK("https://einvestidor.estadao.com.br/ultimas/minerva-beef3-acordo-marfrig-mrfg3-queda-acoes/?utm_source=twitter&amp;utm_medium=organic&amp;utm_campaign=&amp;utm_content=materia")</f>
        <v>https://einvestidor.estadao.com.br/ultimas/minerva-beef3-acordo-marfrig-mrfg3-queda-acoes/?utm_source=twitter&amp;utm_medium=organic&amp;utm_campaign=&amp;utm_content=materia</v>
      </c>
      <c r="Y2708" s="77" t="s">
        <v>6470</v>
      </c>
      <c r="Z2708" s="77"/>
      <c r="AA2708" s="77"/>
      <c r="AB2708" s="77"/>
      <c r="AC2708" s="82" t="s">
        <v>7750</v>
      </c>
      <c r="AD2708" s="77" t="s">
        <v>7788</v>
      </c>
      <c r="AE2708" s="80" t="str">
        <f>HYPERLINK("https://twitter.com/einvestidor/status/1696598591773843539")</f>
        <v>https://twitter.com/einvestidor/status/1696598591773843539</v>
      </c>
      <c r="AF2708" s="79">
        <v>45167.791666666664</v>
      </c>
      <c r="AG2708" s="85">
        <v>45167</v>
      </c>
      <c r="AH2708" s="82" t="s">
        <v>9299</v>
      </c>
      <c r="AI2708" s="77" t="b">
        <v>0</v>
      </c>
      <c r="AJ2708" s="77"/>
      <c r="AK2708" s="77"/>
      <c r="AL2708" s="77"/>
      <c r="AM2708" s="77"/>
      <c r="AN2708" s="77"/>
      <c r="AO2708" s="77"/>
      <c r="AP2708" s="77"/>
      <c r="AQ2708" s="77"/>
      <c r="AR2708" s="77"/>
      <c r="AS2708" s="77"/>
      <c r="AT2708" s="77"/>
      <c r="AU2708" s="77"/>
      <c r="AV2708" s="80" t="str">
        <f>HYPERLINK("https://pbs.twimg.com/profile_images/1241147984924082183/gZgx_hL-_normal.jpg")</f>
        <v>https://pbs.twimg.com/profile_images/1241147984924082183/gZgx_hL-_normal.jpg</v>
      </c>
      <c r="AW2708" s="82" t="s">
        <v>14304</v>
      </c>
      <c r="AX2708" s="82" t="s">
        <v>14304</v>
      </c>
      <c r="AY2708" s="77"/>
      <c r="AZ2708" s="82" t="s">
        <v>15984</v>
      </c>
      <c r="BA2708" s="82" t="s">
        <v>15984</v>
      </c>
      <c r="BB2708" s="82" t="s">
        <v>15984</v>
      </c>
      <c r="BC2708" s="82" t="s">
        <v>14304</v>
      </c>
      <c r="BD2708" s="82" t="s">
        <v>15979</v>
      </c>
      <c r="BE2708" s="77"/>
      <c r="BF2708" s="77"/>
      <c r="BG2708" s="77"/>
      <c r="BH2708" s="77"/>
      <c r="BI2708" s="77"/>
    </row>
    <row r="2709" spans="1:61" x14ac:dyDescent="0.25">
      <c r="A2709" s="62" t="s">
        <v>387</v>
      </c>
      <c r="B2709" s="62" t="s">
        <v>387</v>
      </c>
      <c r="C2709" s="63"/>
      <c r="D2709" s="64"/>
      <c r="E2709" s="65"/>
      <c r="F2709" s="66"/>
      <c r="G2709" s="63"/>
      <c r="H2709" s="67"/>
      <c r="I2709" s="68"/>
      <c r="J2709" s="68"/>
      <c r="K2709" s="32"/>
      <c r="L2709" s="75">
        <v>2709</v>
      </c>
      <c r="M2709" s="75"/>
      <c r="N2709" s="70"/>
      <c r="O2709" s="77" t="s">
        <v>179</v>
      </c>
      <c r="P2709" s="79">
        <v>45167.790185185186</v>
      </c>
      <c r="Q2709" s="77" t="s">
        <v>3381</v>
      </c>
      <c r="R2709" s="77">
        <v>0</v>
      </c>
      <c r="S2709" s="77">
        <v>1</v>
      </c>
      <c r="T2709" s="77">
        <v>0</v>
      </c>
      <c r="U2709" s="77">
        <v>0</v>
      </c>
      <c r="V2709" s="77">
        <v>395</v>
      </c>
      <c r="W2709" s="82" t="s">
        <v>5914</v>
      </c>
      <c r="X2709" s="80" t="str">
        <f>HYPERLINK("https://einvestidor.estadao.com.br/ultimas/o-que-diz-haddad-tributacao-fundos-exclusivos/?utm_source=twitter&amp;utm_medium=organic&amp;utm_campaign=&amp;utm_content=materia")</f>
        <v>https://einvestidor.estadao.com.br/ultimas/o-que-diz-haddad-tributacao-fundos-exclusivos/?utm_source=twitter&amp;utm_medium=organic&amp;utm_campaign=&amp;utm_content=materia</v>
      </c>
      <c r="Y2709" s="77" t="s">
        <v>6470</v>
      </c>
      <c r="Z2709" s="77"/>
      <c r="AA2709" s="77"/>
      <c r="AB2709" s="77"/>
      <c r="AC2709" s="82" t="s">
        <v>7750</v>
      </c>
      <c r="AD2709" s="77" t="s">
        <v>7788</v>
      </c>
      <c r="AE2709" s="80" t="str">
        <f>HYPERLINK("https://twitter.com/einvestidor/status/1696598057075286428")</f>
        <v>https://twitter.com/einvestidor/status/1696598057075286428</v>
      </c>
      <c r="AF2709" s="79">
        <v>45167.790185185186</v>
      </c>
      <c r="AG2709" s="85">
        <v>45167</v>
      </c>
      <c r="AH2709" s="82" t="s">
        <v>9801</v>
      </c>
      <c r="AI2709" s="77" t="b">
        <v>0</v>
      </c>
      <c r="AJ2709" s="77"/>
      <c r="AK2709" s="77"/>
      <c r="AL2709" s="77"/>
      <c r="AM2709" s="77"/>
      <c r="AN2709" s="77"/>
      <c r="AO2709" s="77"/>
      <c r="AP2709" s="77"/>
      <c r="AQ2709" s="77"/>
      <c r="AR2709" s="77"/>
      <c r="AS2709" s="77"/>
      <c r="AT2709" s="77"/>
      <c r="AU2709" s="77"/>
      <c r="AV2709" s="80" t="str">
        <f>HYPERLINK("https://pbs.twimg.com/profile_images/1241147984924082183/gZgx_hL-_normal.jpg")</f>
        <v>https://pbs.twimg.com/profile_images/1241147984924082183/gZgx_hL-_normal.jpg</v>
      </c>
      <c r="AW2709" s="82" t="s">
        <v>14305</v>
      </c>
      <c r="AX2709" s="82" t="s">
        <v>14305</v>
      </c>
      <c r="AY2709" s="77"/>
      <c r="AZ2709" s="82" t="s">
        <v>15984</v>
      </c>
      <c r="BA2709" s="82" t="s">
        <v>15984</v>
      </c>
      <c r="BB2709" s="82" t="s">
        <v>15984</v>
      </c>
      <c r="BC2709" s="82" t="s">
        <v>14305</v>
      </c>
      <c r="BD2709" s="82" t="s">
        <v>15979</v>
      </c>
      <c r="BE2709" s="77"/>
      <c r="BF2709" s="77"/>
      <c r="BG2709" s="77"/>
      <c r="BH2709" s="77"/>
      <c r="BI2709" s="77"/>
    </row>
    <row r="2710" spans="1:61" x14ac:dyDescent="0.25">
      <c r="A2710" s="62" t="s">
        <v>387</v>
      </c>
      <c r="B2710" s="62" t="s">
        <v>387</v>
      </c>
      <c r="C2710" s="63"/>
      <c r="D2710" s="64"/>
      <c r="E2710" s="65"/>
      <c r="F2710" s="66"/>
      <c r="G2710" s="63"/>
      <c r="H2710" s="67"/>
      <c r="I2710" s="68"/>
      <c r="J2710" s="68"/>
      <c r="K2710" s="32"/>
      <c r="L2710" s="75">
        <v>2710</v>
      </c>
      <c r="M2710" s="75"/>
      <c r="N2710" s="70"/>
      <c r="O2710" s="77" t="s">
        <v>179</v>
      </c>
      <c r="P2710" s="79">
        <v>45167.779444444444</v>
      </c>
      <c r="Q2710" s="77" t="s">
        <v>3382</v>
      </c>
      <c r="R2710" s="77">
        <v>0</v>
      </c>
      <c r="S2710" s="77">
        <v>1</v>
      </c>
      <c r="T2710" s="77">
        <v>1</v>
      </c>
      <c r="U2710" s="77">
        <v>0</v>
      </c>
      <c r="V2710" s="77">
        <v>394</v>
      </c>
      <c r="W2710" s="82" t="s">
        <v>6090</v>
      </c>
      <c r="X2710" s="80" t="str">
        <f>HYPERLINK("https://einvestidor.estadao.com.br/ultimas/jp-morgan-aumenta-participacao-c6/?utm_source=twitter&amp;utm_medium=organic&amp;utm_campaign=&amp;utm_content=materia")</f>
        <v>https://einvestidor.estadao.com.br/ultimas/jp-morgan-aumenta-participacao-c6/?utm_source=twitter&amp;utm_medium=organic&amp;utm_campaign=&amp;utm_content=materia</v>
      </c>
      <c r="Y2710" s="77" t="s">
        <v>6470</v>
      </c>
      <c r="Z2710" s="77"/>
      <c r="AA2710" s="77"/>
      <c r="AB2710" s="77"/>
      <c r="AC2710" s="82" t="s">
        <v>7750</v>
      </c>
      <c r="AD2710" s="77" t="s">
        <v>7788</v>
      </c>
      <c r="AE2710" s="80" t="str">
        <f>HYPERLINK("https://twitter.com/einvestidor/status/1696594165767819642")</f>
        <v>https://twitter.com/einvestidor/status/1696594165767819642</v>
      </c>
      <c r="AF2710" s="79">
        <v>45167.779444444444</v>
      </c>
      <c r="AG2710" s="85">
        <v>45167</v>
      </c>
      <c r="AH2710" s="82" t="s">
        <v>9802</v>
      </c>
      <c r="AI2710" s="77" t="b">
        <v>0</v>
      </c>
      <c r="AJ2710" s="77"/>
      <c r="AK2710" s="77"/>
      <c r="AL2710" s="77"/>
      <c r="AM2710" s="77"/>
      <c r="AN2710" s="77"/>
      <c r="AO2710" s="77"/>
      <c r="AP2710" s="77"/>
      <c r="AQ2710" s="77"/>
      <c r="AR2710" s="77"/>
      <c r="AS2710" s="77"/>
      <c r="AT2710" s="77"/>
      <c r="AU2710" s="77"/>
      <c r="AV2710" s="80" t="str">
        <f>HYPERLINK("https://pbs.twimg.com/profile_images/1241147984924082183/gZgx_hL-_normal.jpg")</f>
        <v>https://pbs.twimg.com/profile_images/1241147984924082183/gZgx_hL-_normal.jpg</v>
      </c>
      <c r="AW2710" s="82" t="s">
        <v>14306</v>
      </c>
      <c r="AX2710" s="82" t="s">
        <v>14306</v>
      </c>
      <c r="AY2710" s="77"/>
      <c r="AZ2710" s="82" t="s">
        <v>15984</v>
      </c>
      <c r="BA2710" s="82" t="s">
        <v>15984</v>
      </c>
      <c r="BB2710" s="82" t="s">
        <v>15984</v>
      </c>
      <c r="BC2710" s="82" t="s">
        <v>14306</v>
      </c>
      <c r="BD2710" s="82" t="s">
        <v>15979</v>
      </c>
      <c r="BE2710" s="77"/>
      <c r="BF2710" s="77"/>
      <c r="BG2710" s="77"/>
      <c r="BH2710" s="77"/>
      <c r="BI2710" s="77"/>
    </row>
    <row r="2711" spans="1:61" x14ac:dyDescent="0.25">
      <c r="A2711" s="62" t="s">
        <v>387</v>
      </c>
      <c r="B2711" s="62" t="s">
        <v>387</v>
      </c>
      <c r="C2711" s="63"/>
      <c r="D2711" s="64"/>
      <c r="E2711" s="65"/>
      <c r="F2711" s="66"/>
      <c r="G2711" s="63"/>
      <c r="H2711" s="67"/>
      <c r="I2711" s="68"/>
      <c r="J2711" s="68"/>
      <c r="K2711" s="32"/>
      <c r="L2711" s="75">
        <v>2711</v>
      </c>
      <c r="M2711" s="75"/>
      <c r="N2711" s="70"/>
      <c r="O2711" s="77" t="s">
        <v>179</v>
      </c>
      <c r="P2711" s="79">
        <v>45160.916678240741</v>
      </c>
      <c r="Q2711" s="77" t="s">
        <v>3383</v>
      </c>
      <c r="R2711" s="77">
        <v>0</v>
      </c>
      <c r="S2711" s="77">
        <v>0</v>
      </c>
      <c r="T2711" s="77">
        <v>0</v>
      </c>
      <c r="U2711" s="77">
        <v>0</v>
      </c>
      <c r="V2711" s="77">
        <v>569</v>
      </c>
      <c r="W2711" s="82" t="s">
        <v>4833</v>
      </c>
      <c r="X2711" s="80" t="str">
        <f>HYPERLINK("https://mla.bs/feb1451b")</f>
        <v>https://mla.bs/feb1451b</v>
      </c>
      <c r="Y2711" s="77" t="s">
        <v>6506</v>
      </c>
      <c r="Z2711" s="77"/>
      <c r="AA2711" s="77"/>
      <c r="AB2711" s="77"/>
      <c r="AC2711" s="82" t="s">
        <v>7750</v>
      </c>
      <c r="AD2711" s="77" t="s">
        <v>7788</v>
      </c>
      <c r="AE2711" s="80" t="str">
        <f>HYPERLINK("https://twitter.com/einvestidor/status/1694107181849653735")</f>
        <v>https://twitter.com/einvestidor/status/1694107181849653735</v>
      </c>
      <c r="AF2711" s="79">
        <v>45160.916678240741</v>
      </c>
      <c r="AG2711" s="85">
        <v>45160</v>
      </c>
      <c r="AH2711" s="82" t="s">
        <v>8052</v>
      </c>
      <c r="AI2711" s="77" t="b">
        <v>0</v>
      </c>
      <c r="AJ2711" s="77"/>
      <c r="AK2711" s="77"/>
      <c r="AL2711" s="77"/>
      <c r="AM2711" s="77"/>
      <c r="AN2711" s="77"/>
      <c r="AO2711" s="77"/>
      <c r="AP2711" s="77"/>
      <c r="AQ2711" s="77"/>
      <c r="AR2711" s="77"/>
      <c r="AS2711" s="77"/>
      <c r="AT2711" s="77"/>
      <c r="AU2711" s="77"/>
      <c r="AV2711" s="80" t="str">
        <f>HYPERLINK("https://pbs.twimg.com/profile_images/1241147984924082183/gZgx_hL-_normal.jpg")</f>
        <v>https://pbs.twimg.com/profile_images/1241147984924082183/gZgx_hL-_normal.jpg</v>
      </c>
      <c r="AW2711" s="82" t="s">
        <v>14307</v>
      </c>
      <c r="AX2711" s="82" t="s">
        <v>14307</v>
      </c>
      <c r="AY2711" s="77"/>
      <c r="AZ2711" s="82" t="s">
        <v>15984</v>
      </c>
      <c r="BA2711" s="82" t="s">
        <v>15984</v>
      </c>
      <c r="BB2711" s="82" t="s">
        <v>15984</v>
      </c>
      <c r="BC2711" s="82" t="s">
        <v>14307</v>
      </c>
      <c r="BD2711" s="82" t="s">
        <v>15979</v>
      </c>
      <c r="BE2711" s="77"/>
      <c r="BF2711" s="77"/>
      <c r="BG2711" s="77"/>
      <c r="BH2711" s="77"/>
      <c r="BI2711" s="77"/>
    </row>
    <row r="2712" spans="1:61" x14ac:dyDescent="0.25">
      <c r="A2712" s="62" t="s">
        <v>387</v>
      </c>
      <c r="B2712" s="62" t="s">
        <v>387</v>
      </c>
      <c r="C2712" s="63"/>
      <c r="D2712" s="64"/>
      <c r="E2712" s="65"/>
      <c r="F2712" s="66"/>
      <c r="G2712" s="63"/>
      <c r="H2712" s="67"/>
      <c r="I2712" s="68"/>
      <c r="J2712" s="68"/>
      <c r="K2712" s="32"/>
      <c r="L2712" s="75">
        <v>2712</v>
      </c>
      <c r="M2712" s="75"/>
      <c r="N2712" s="70"/>
      <c r="O2712" s="77" t="s">
        <v>179</v>
      </c>
      <c r="P2712" s="79">
        <v>45160.912673611114</v>
      </c>
      <c r="Q2712" s="77" t="s">
        <v>3384</v>
      </c>
      <c r="R2712" s="77">
        <v>0</v>
      </c>
      <c r="S2712" s="77">
        <v>2</v>
      </c>
      <c r="T2712" s="77">
        <v>0</v>
      </c>
      <c r="U2712" s="77">
        <v>0</v>
      </c>
      <c r="V2712" s="77">
        <v>825</v>
      </c>
      <c r="W2712" s="82" t="s">
        <v>6091</v>
      </c>
      <c r="X2712" s="80" t="str">
        <f>HYPERLINK("https://mla.bs/f114ae20")</f>
        <v>https://mla.bs/f114ae20</v>
      </c>
      <c r="Y2712" s="77" t="s">
        <v>6506</v>
      </c>
      <c r="Z2712" s="77"/>
      <c r="AA2712" s="77"/>
      <c r="AB2712" s="77"/>
      <c r="AC2712" s="82" t="s">
        <v>7750</v>
      </c>
      <c r="AD2712" s="77" t="s">
        <v>7788</v>
      </c>
      <c r="AE2712" s="80" t="str">
        <f>HYPERLINK("https://twitter.com/einvestidor/status/1694105729261596806")</f>
        <v>https://twitter.com/einvestidor/status/1694105729261596806</v>
      </c>
      <c r="AF2712" s="79">
        <v>45160.912673611114</v>
      </c>
      <c r="AG2712" s="85">
        <v>45160</v>
      </c>
      <c r="AH2712" s="82" t="s">
        <v>9803</v>
      </c>
      <c r="AI2712" s="77" t="b">
        <v>0</v>
      </c>
      <c r="AJ2712" s="77"/>
      <c r="AK2712" s="77"/>
      <c r="AL2712" s="77"/>
      <c r="AM2712" s="77"/>
      <c r="AN2712" s="77"/>
      <c r="AO2712" s="77"/>
      <c r="AP2712" s="77"/>
      <c r="AQ2712" s="77"/>
      <c r="AR2712" s="77"/>
      <c r="AS2712" s="77"/>
      <c r="AT2712" s="77"/>
      <c r="AU2712" s="77"/>
      <c r="AV2712" s="80" t="str">
        <f>HYPERLINK("https://pbs.twimg.com/profile_images/1241147984924082183/gZgx_hL-_normal.jpg")</f>
        <v>https://pbs.twimg.com/profile_images/1241147984924082183/gZgx_hL-_normal.jpg</v>
      </c>
      <c r="AW2712" s="82" t="s">
        <v>14308</v>
      </c>
      <c r="AX2712" s="82" t="s">
        <v>14308</v>
      </c>
      <c r="AY2712" s="77"/>
      <c r="AZ2712" s="82" t="s">
        <v>15984</v>
      </c>
      <c r="BA2712" s="82" t="s">
        <v>15984</v>
      </c>
      <c r="BB2712" s="82" t="s">
        <v>15984</v>
      </c>
      <c r="BC2712" s="82" t="s">
        <v>14308</v>
      </c>
      <c r="BD2712" s="82" t="s">
        <v>15979</v>
      </c>
      <c r="BE2712" s="77"/>
      <c r="BF2712" s="77"/>
      <c r="BG2712" s="77"/>
      <c r="BH2712" s="77"/>
      <c r="BI2712" s="77"/>
    </row>
    <row r="2713" spans="1:61" x14ac:dyDescent="0.25">
      <c r="A2713" s="62" t="s">
        <v>387</v>
      </c>
      <c r="B2713" s="62" t="s">
        <v>387</v>
      </c>
      <c r="C2713" s="63"/>
      <c r="D2713" s="64"/>
      <c r="E2713" s="65"/>
      <c r="F2713" s="66"/>
      <c r="G2713" s="63"/>
      <c r="H2713" s="67"/>
      <c r="I2713" s="68"/>
      <c r="J2713" s="68"/>
      <c r="K2713" s="32"/>
      <c r="L2713" s="75">
        <v>2713</v>
      </c>
      <c r="M2713" s="75"/>
      <c r="N2713" s="70"/>
      <c r="O2713" s="77" t="s">
        <v>179</v>
      </c>
      <c r="P2713" s="79">
        <v>45160.911921296298</v>
      </c>
      <c r="Q2713" s="77" t="s">
        <v>3385</v>
      </c>
      <c r="R2713" s="77">
        <v>0</v>
      </c>
      <c r="S2713" s="77">
        <v>1</v>
      </c>
      <c r="T2713" s="77">
        <v>0</v>
      </c>
      <c r="U2713" s="77">
        <v>0</v>
      </c>
      <c r="V2713" s="77">
        <v>648</v>
      </c>
      <c r="W2713" s="82" t="s">
        <v>6092</v>
      </c>
      <c r="X2713" s="80" t="str">
        <f>HYPERLINK("https://mla.bs/6ce22971")</f>
        <v>https://mla.bs/6ce22971</v>
      </c>
      <c r="Y2713" s="77" t="s">
        <v>6506</v>
      </c>
      <c r="Z2713" s="77"/>
      <c r="AA2713" s="77"/>
      <c r="AB2713" s="77"/>
      <c r="AC2713" s="82" t="s">
        <v>7750</v>
      </c>
      <c r="AD2713" s="77" t="s">
        <v>7788</v>
      </c>
      <c r="AE2713" s="80" t="str">
        <f>HYPERLINK("https://twitter.com/einvestidor/status/1694105454887026967")</f>
        <v>https://twitter.com/einvestidor/status/1694105454887026967</v>
      </c>
      <c r="AF2713" s="79">
        <v>45160.911921296298</v>
      </c>
      <c r="AG2713" s="85">
        <v>45160</v>
      </c>
      <c r="AH2713" s="82" t="s">
        <v>8663</v>
      </c>
      <c r="AI2713" s="77" t="b">
        <v>0</v>
      </c>
      <c r="AJ2713" s="77"/>
      <c r="AK2713" s="77"/>
      <c r="AL2713" s="77"/>
      <c r="AM2713" s="77"/>
      <c r="AN2713" s="77"/>
      <c r="AO2713" s="77"/>
      <c r="AP2713" s="77"/>
      <c r="AQ2713" s="77"/>
      <c r="AR2713" s="77"/>
      <c r="AS2713" s="77"/>
      <c r="AT2713" s="77"/>
      <c r="AU2713" s="77"/>
      <c r="AV2713" s="80" t="str">
        <f>HYPERLINK("https://pbs.twimg.com/profile_images/1241147984924082183/gZgx_hL-_normal.jpg")</f>
        <v>https://pbs.twimg.com/profile_images/1241147984924082183/gZgx_hL-_normal.jpg</v>
      </c>
      <c r="AW2713" s="82" t="s">
        <v>14309</v>
      </c>
      <c r="AX2713" s="82" t="s">
        <v>14309</v>
      </c>
      <c r="AY2713" s="77"/>
      <c r="AZ2713" s="82" t="s">
        <v>15984</v>
      </c>
      <c r="BA2713" s="82" t="s">
        <v>15984</v>
      </c>
      <c r="BB2713" s="82" t="s">
        <v>15984</v>
      </c>
      <c r="BC2713" s="82" t="s">
        <v>14309</v>
      </c>
      <c r="BD2713" s="82" t="s">
        <v>15979</v>
      </c>
      <c r="BE2713" s="77"/>
      <c r="BF2713" s="77"/>
      <c r="BG2713" s="77"/>
      <c r="BH2713" s="77"/>
      <c r="BI2713" s="77"/>
    </row>
    <row r="2714" spans="1:61" x14ac:dyDescent="0.25">
      <c r="A2714" s="62" t="s">
        <v>387</v>
      </c>
      <c r="B2714" s="62" t="s">
        <v>387</v>
      </c>
      <c r="C2714" s="63"/>
      <c r="D2714" s="64"/>
      <c r="E2714" s="65"/>
      <c r="F2714" s="66"/>
      <c r="G2714" s="63"/>
      <c r="H2714" s="67"/>
      <c r="I2714" s="68"/>
      <c r="J2714" s="68"/>
      <c r="K2714" s="32"/>
      <c r="L2714" s="75">
        <v>2714</v>
      </c>
      <c r="M2714" s="75"/>
      <c r="N2714" s="70"/>
      <c r="O2714" s="77" t="s">
        <v>179</v>
      </c>
      <c r="P2714" s="79">
        <v>45160.90625</v>
      </c>
      <c r="Q2714" s="77" t="s">
        <v>3386</v>
      </c>
      <c r="R2714" s="77">
        <v>0</v>
      </c>
      <c r="S2714" s="77">
        <v>0</v>
      </c>
      <c r="T2714" s="77">
        <v>0</v>
      </c>
      <c r="U2714" s="77">
        <v>0</v>
      </c>
      <c r="V2714" s="77">
        <v>550</v>
      </c>
      <c r="W2714" s="82" t="s">
        <v>4833</v>
      </c>
      <c r="X2714" s="80" t="str">
        <f>HYPERLINK("https://mla.bs/f86c3896")</f>
        <v>https://mla.bs/f86c3896</v>
      </c>
      <c r="Y2714" s="77" t="s">
        <v>6506</v>
      </c>
      <c r="Z2714" s="77"/>
      <c r="AA2714" s="77"/>
      <c r="AB2714" s="77"/>
      <c r="AC2714" s="82" t="s">
        <v>7750</v>
      </c>
      <c r="AD2714" s="77" t="s">
        <v>7788</v>
      </c>
      <c r="AE2714" s="80" t="str">
        <f>HYPERLINK("https://twitter.com/einvestidor/status/1694103400546263277")</f>
        <v>https://twitter.com/einvestidor/status/1694103400546263277</v>
      </c>
      <c r="AF2714" s="79">
        <v>45160.90625</v>
      </c>
      <c r="AG2714" s="85">
        <v>45160</v>
      </c>
      <c r="AH2714" s="82" t="s">
        <v>9578</v>
      </c>
      <c r="AI2714" s="77" t="b">
        <v>0</v>
      </c>
      <c r="AJ2714" s="77"/>
      <c r="AK2714" s="77"/>
      <c r="AL2714" s="77"/>
      <c r="AM2714" s="77"/>
      <c r="AN2714" s="77"/>
      <c r="AO2714" s="77"/>
      <c r="AP2714" s="77"/>
      <c r="AQ2714" s="77"/>
      <c r="AR2714" s="77"/>
      <c r="AS2714" s="77"/>
      <c r="AT2714" s="77"/>
      <c r="AU2714" s="77"/>
      <c r="AV2714" s="80" t="str">
        <f>HYPERLINK("https://pbs.twimg.com/profile_images/1241147984924082183/gZgx_hL-_normal.jpg")</f>
        <v>https://pbs.twimg.com/profile_images/1241147984924082183/gZgx_hL-_normal.jpg</v>
      </c>
      <c r="AW2714" s="82" t="s">
        <v>14310</v>
      </c>
      <c r="AX2714" s="82" t="s">
        <v>14310</v>
      </c>
      <c r="AY2714" s="77"/>
      <c r="AZ2714" s="82" t="s">
        <v>15984</v>
      </c>
      <c r="BA2714" s="82" t="s">
        <v>15984</v>
      </c>
      <c r="BB2714" s="82" t="s">
        <v>15984</v>
      </c>
      <c r="BC2714" s="82" t="s">
        <v>14310</v>
      </c>
      <c r="BD2714" s="82" t="s">
        <v>15979</v>
      </c>
      <c r="BE2714" s="77"/>
      <c r="BF2714" s="77"/>
      <c r="BG2714" s="77"/>
      <c r="BH2714" s="77"/>
      <c r="BI2714" s="77"/>
    </row>
    <row r="2715" spans="1:61" x14ac:dyDescent="0.25">
      <c r="A2715" s="62" t="s">
        <v>387</v>
      </c>
      <c r="B2715" s="62" t="s">
        <v>387</v>
      </c>
      <c r="C2715" s="63"/>
      <c r="D2715" s="64"/>
      <c r="E2715" s="65"/>
      <c r="F2715" s="66"/>
      <c r="G2715" s="63"/>
      <c r="H2715" s="67"/>
      <c r="I2715" s="68"/>
      <c r="J2715" s="68"/>
      <c r="K2715" s="32"/>
      <c r="L2715" s="75">
        <v>2715</v>
      </c>
      <c r="M2715" s="75"/>
      <c r="N2715" s="70"/>
      <c r="O2715" s="77" t="s">
        <v>179</v>
      </c>
      <c r="P2715" s="79">
        <v>45160.895833333336</v>
      </c>
      <c r="Q2715" s="77" t="s">
        <v>3387</v>
      </c>
      <c r="R2715" s="77">
        <v>0</v>
      </c>
      <c r="S2715" s="77">
        <v>1</v>
      </c>
      <c r="T2715" s="77">
        <v>0</v>
      </c>
      <c r="U2715" s="77">
        <v>0</v>
      </c>
      <c r="V2715" s="77">
        <v>542</v>
      </c>
      <c r="W2715" s="82" t="s">
        <v>6093</v>
      </c>
      <c r="X2715" s="80" t="str">
        <f>HYPERLINK("https://mla.bs/423b1077")</f>
        <v>https://mla.bs/423b1077</v>
      </c>
      <c r="Y2715" s="77" t="s">
        <v>6506</v>
      </c>
      <c r="Z2715" s="77"/>
      <c r="AA2715" s="77"/>
      <c r="AB2715" s="77"/>
      <c r="AC2715" s="82" t="s">
        <v>7750</v>
      </c>
      <c r="AD2715" s="77" t="s">
        <v>7788</v>
      </c>
      <c r="AE2715" s="80" t="str">
        <f>HYPERLINK("https://twitter.com/einvestidor/status/1694099626750541859")</f>
        <v>https://twitter.com/einvestidor/status/1694099626750541859</v>
      </c>
      <c r="AF2715" s="79">
        <v>45160.895833333336</v>
      </c>
      <c r="AG2715" s="85">
        <v>45160</v>
      </c>
      <c r="AH2715" s="82" t="s">
        <v>8089</v>
      </c>
      <c r="AI2715" s="77" t="b">
        <v>0</v>
      </c>
      <c r="AJ2715" s="77"/>
      <c r="AK2715" s="77"/>
      <c r="AL2715" s="77"/>
      <c r="AM2715" s="77"/>
      <c r="AN2715" s="77"/>
      <c r="AO2715" s="77"/>
      <c r="AP2715" s="77"/>
      <c r="AQ2715" s="77"/>
      <c r="AR2715" s="77"/>
      <c r="AS2715" s="77"/>
      <c r="AT2715" s="77"/>
      <c r="AU2715" s="77"/>
      <c r="AV2715" s="80" t="str">
        <f>HYPERLINK("https://pbs.twimg.com/profile_images/1241147984924082183/gZgx_hL-_normal.jpg")</f>
        <v>https://pbs.twimg.com/profile_images/1241147984924082183/gZgx_hL-_normal.jpg</v>
      </c>
      <c r="AW2715" s="82" t="s">
        <v>14311</v>
      </c>
      <c r="AX2715" s="82" t="s">
        <v>14311</v>
      </c>
      <c r="AY2715" s="77"/>
      <c r="AZ2715" s="82" t="s">
        <v>15984</v>
      </c>
      <c r="BA2715" s="82" t="s">
        <v>15984</v>
      </c>
      <c r="BB2715" s="82" t="s">
        <v>15984</v>
      </c>
      <c r="BC2715" s="82" t="s">
        <v>14311</v>
      </c>
      <c r="BD2715" s="82" t="s">
        <v>15979</v>
      </c>
      <c r="BE2715" s="77"/>
      <c r="BF2715" s="77"/>
      <c r="BG2715" s="77"/>
      <c r="BH2715" s="77"/>
      <c r="BI2715" s="77"/>
    </row>
    <row r="2716" spans="1:61" x14ac:dyDescent="0.25">
      <c r="A2716" s="62" t="s">
        <v>387</v>
      </c>
      <c r="B2716" s="62" t="s">
        <v>387</v>
      </c>
      <c r="C2716" s="63"/>
      <c r="D2716" s="64"/>
      <c r="E2716" s="65"/>
      <c r="F2716" s="66"/>
      <c r="G2716" s="63"/>
      <c r="H2716" s="67"/>
      <c r="I2716" s="68"/>
      <c r="J2716" s="68"/>
      <c r="K2716" s="32"/>
      <c r="L2716" s="75">
        <v>2716</v>
      </c>
      <c r="M2716" s="75"/>
      <c r="N2716" s="70"/>
      <c r="O2716" s="77" t="s">
        <v>179</v>
      </c>
      <c r="P2716" s="79">
        <v>45156.739583333336</v>
      </c>
      <c r="Q2716" s="77" t="s">
        <v>3388</v>
      </c>
      <c r="R2716" s="77">
        <v>0</v>
      </c>
      <c r="S2716" s="77">
        <v>2</v>
      </c>
      <c r="T2716" s="77">
        <v>0</v>
      </c>
      <c r="U2716" s="77">
        <v>0</v>
      </c>
      <c r="V2716" s="77">
        <v>526</v>
      </c>
      <c r="W2716" s="82" t="s">
        <v>4833</v>
      </c>
      <c r="X2716" s="80" t="str">
        <f>HYPERLINK("https://mla.bs/559bfa57")</f>
        <v>https://mla.bs/559bfa57</v>
      </c>
      <c r="Y2716" s="77" t="s">
        <v>6506</v>
      </c>
      <c r="Z2716" s="77"/>
      <c r="AA2716" s="77"/>
      <c r="AB2716" s="77"/>
      <c r="AC2716" s="82" t="s">
        <v>7750</v>
      </c>
      <c r="AD2716" s="77" t="s">
        <v>7788</v>
      </c>
      <c r="AE2716" s="80" t="str">
        <f>HYPERLINK("https://twitter.com/einvestidor/status/1692593451051933826")</f>
        <v>https://twitter.com/einvestidor/status/1692593451051933826</v>
      </c>
      <c r="AF2716" s="79">
        <v>45156.739583333336</v>
      </c>
      <c r="AG2716" s="85">
        <v>45156</v>
      </c>
      <c r="AH2716" s="82" t="s">
        <v>9626</v>
      </c>
      <c r="AI2716" s="77" t="b">
        <v>0</v>
      </c>
      <c r="AJ2716" s="77"/>
      <c r="AK2716" s="77"/>
      <c r="AL2716" s="77"/>
      <c r="AM2716" s="77"/>
      <c r="AN2716" s="77"/>
      <c r="AO2716" s="77"/>
      <c r="AP2716" s="77"/>
      <c r="AQ2716" s="77"/>
      <c r="AR2716" s="77"/>
      <c r="AS2716" s="77"/>
      <c r="AT2716" s="77"/>
      <c r="AU2716" s="77"/>
      <c r="AV2716" s="80" t="str">
        <f>HYPERLINK("https://pbs.twimg.com/profile_images/1241147984924082183/gZgx_hL-_normal.jpg")</f>
        <v>https://pbs.twimg.com/profile_images/1241147984924082183/gZgx_hL-_normal.jpg</v>
      </c>
      <c r="AW2716" s="82" t="s">
        <v>14312</v>
      </c>
      <c r="AX2716" s="82" t="s">
        <v>14312</v>
      </c>
      <c r="AY2716" s="77"/>
      <c r="AZ2716" s="82" t="s">
        <v>15984</v>
      </c>
      <c r="BA2716" s="82" t="s">
        <v>15984</v>
      </c>
      <c r="BB2716" s="82" t="s">
        <v>15984</v>
      </c>
      <c r="BC2716" s="82" t="s">
        <v>14312</v>
      </c>
      <c r="BD2716" s="82" t="s">
        <v>15979</v>
      </c>
      <c r="BE2716" s="77"/>
      <c r="BF2716" s="77"/>
      <c r="BG2716" s="77"/>
      <c r="BH2716" s="77"/>
      <c r="BI2716" s="77"/>
    </row>
    <row r="2717" spans="1:61" x14ac:dyDescent="0.25">
      <c r="A2717" s="62" t="s">
        <v>387</v>
      </c>
      <c r="B2717" s="62" t="s">
        <v>387</v>
      </c>
      <c r="C2717" s="63"/>
      <c r="D2717" s="64"/>
      <c r="E2717" s="65"/>
      <c r="F2717" s="66"/>
      <c r="G2717" s="63"/>
      <c r="H2717" s="67"/>
      <c r="I2717" s="68"/>
      <c r="J2717" s="68"/>
      <c r="K2717" s="32"/>
      <c r="L2717" s="75">
        <v>2717</v>
      </c>
      <c r="M2717" s="75"/>
      <c r="N2717" s="70"/>
      <c r="O2717" s="77" t="s">
        <v>179</v>
      </c>
      <c r="P2717" s="79">
        <v>45156.566076388888</v>
      </c>
      <c r="Q2717" s="77" t="s">
        <v>3389</v>
      </c>
      <c r="R2717" s="77">
        <v>0</v>
      </c>
      <c r="S2717" s="77">
        <v>1</v>
      </c>
      <c r="T2717" s="77">
        <v>0</v>
      </c>
      <c r="U2717" s="77">
        <v>0</v>
      </c>
      <c r="V2717" s="77">
        <v>445</v>
      </c>
      <c r="W2717" s="82" t="s">
        <v>6094</v>
      </c>
      <c r="X2717" s="80" t="str">
        <f>HYPERLINK("https://einvestidor.estadao.com.br/ultimas/dolar-hoje-5-china/?utm_source=twitter&amp;utm_medium=organic&amp;utm_campaign=dolar&amp;utm_content=materia")</f>
        <v>https://einvestidor.estadao.com.br/ultimas/dolar-hoje-5-china/?utm_source=twitter&amp;utm_medium=organic&amp;utm_campaign=dolar&amp;utm_content=materia</v>
      </c>
      <c r="Y2717" s="77" t="s">
        <v>6470</v>
      </c>
      <c r="Z2717" s="77"/>
      <c r="AA2717" s="77"/>
      <c r="AB2717" s="77"/>
      <c r="AC2717" s="82" t="s">
        <v>7750</v>
      </c>
      <c r="AD2717" s="77" t="s">
        <v>7788</v>
      </c>
      <c r="AE2717" s="80" t="str">
        <f>HYPERLINK("https://twitter.com/einvestidor/status/1692530574152384680")</f>
        <v>https://twitter.com/einvestidor/status/1692530574152384680</v>
      </c>
      <c r="AF2717" s="79">
        <v>45156.566076388888</v>
      </c>
      <c r="AG2717" s="85">
        <v>45156</v>
      </c>
      <c r="AH2717" s="82" t="s">
        <v>9804</v>
      </c>
      <c r="AI2717" s="77" t="b">
        <v>0</v>
      </c>
      <c r="AJ2717" s="77"/>
      <c r="AK2717" s="77"/>
      <c r="AL2717" s="77"/>
      <c r="AM2717" s="77"/>
      <c r="AN2717" s="77"/>
      <c r="AO2717" s="77"/>
      <c r="AP2717" s="77"/>
      <c r="AQ2717" s="77"/>
      <c r="AR2717" s="77"/>
      <c r="AS2717" s="77"/>
      <c r="AT2717" s="77"/>
      <c r="AU2717" s="77"/>
      <c r="AV2717" s="80" t="str">
        <f>HYPERLINK("https://pbs.twimg.com/profile_images/1241147984924082183/gZgx_hL-_normal.jpg")</f>
        <v>https://pbs.twimg.com/profile_images/1241147984924082183/gZgx_hL-_normal.jpg</v>
      </c>
      <c r="AW2717" s="82" t="s">
        <v>14313</v>
      </c>
      <c r="AX2717" s="82" t="s">
        <v>14313</v>
      </c>
      <c r="AY2717" s="77"/>
      <c r="AZ2717" s="82" t="s">
        <v>15984</v>
      </c>
      <c r="BA2717" s="82" t="s">
        <v>15984</v>
      </c>
      <c r="BB2717" s="82" t="s">
        <v>15984</v>
      </c>
      <c r="BC2717" s="82" t="s">
        <v>14313</v>
      </c>
      <c r="BD2717" s="82" t="s">
        <v>15979</v>
      </c>
      <c r="BE2717" s="77"/>
      <c r="BF2717" s="77"/>
      <c r="BG2717" s="77"/>
      <c r="BH2717" s="77"/>
      <c r="BI2717" s="77"/>
    </row>
    <row r="2718" spans="1:61" x14ac:dyDescent="0.25">
      <c r="A2718" s="62" t="s">
        <v>387</v>
      </c>
      <c r="B2718" s="62" t="s">
        <v>387</v>
      </c>
      <c r="C2718" s="63"/>
      <c r="D2718" s="64"/>
      <c r="E2718" s="65"/>
      <c r="F2718" s="66"/>
      <c r="G2718" s="63"/>
      <c r="H2718" s="67"/>
      <c r="I2718" s="68"/>
      <c r="J2718" s="68"/>
      <c r="K2718" s="32"/>
      <c r="L2718" s="75">
        <v>2718</v>
      </c>
      <c r="M2718" s="75"/>
      <c r="N2718" s="70"/>
      <c r="O2718" s="77" t="s">
        <v>179</v>
      </c>
      <c r="P2718" s="79">
        <v>45151.5</v>
      </c>
      <c r="Q2718" s="77" t="s">
        <v>3390</v>
      </c>
      <c r="R2718" s="77">
        <v>0</v>
      </c>
      <c r="S2718" s="77">
        <v>1</v>
      </c>
      <c r="T2718" s="77">
        <v>0</v>
      </c>
      <c r="U2718" s="77">
        <v>0</v>
      </c>
      <c r="V2718" s="77">
        <v>809</v>
      </c>
      <c r="W2718" s="82" t="s">
        <v>4833</v>
      </c>
      <c r="X2718" s="80" t="str">
        <f>HYPERLINK("https://mla.bs/71f7d705")</f>
        <v>https://mla.bs/71f7d705</v>
      </c>
      <c r="Y2718" s="77" t="s">
        <v>6506</v>
      </c>
      <c r="Z2718" s="77"/>
      <c r="AA2718" s="77"/>
      <c r="AB2718" s="77"/>
      <c r="AC2718" s="82" t="s">
        <v>7754</v>
      </c>
      <c r="AD2718" s="77" t="s">
        <v>7788</v>
      </c>
      <c r="AE2718" s="80" t="str">
        <f>HYPERLINK("https://twitter.com/einvestidor/status/1690694692030308353")</f>
        <v>https://twitter.com/einvestidor/status/1690694692030308353</v>
      </c>
      <c r="AF2718" s="79">
        <v>45151.5</v>
      </c>
      <c r="AG2718" s="85">
        <v>45151</v>
      </c>
      <c r="AH2718" s="82" t="s">
        <v>7872</v>
      </c>
      <c r="AI2718" s="77" t="b">
        <v>0</v>
      </c>
      <c r="AJ2718" s="77"/>
      <c r="AK2718" s="77"/>
      <c r="AL2718" s="77"/>
      <c r="AM2718" s="77"/>
      <c r="AN2718" s="77"/>
      <c r="AO2718" s="77"/>
      <c r="AP2718" s="77"/>
      <c r="AQ2718" s="77"/>
      <c r="AR2718" s="77"/>
      <c r="AS2718" s="77"/>
      <c r="AT2718" s="77"/>
      <c r="AU2718" s="77"/>
      <c r="AV2718" s="80" t="str">
        <f>HYPERLINK("https://pbs.twimg.com/profile_images/1241147984924082183/gZgx_hL-_normal.jpg")</f>
        <v>https://pbs.twimg.com/profile_images/1241147984924082183/gZgx_hL-_normal.jpg</v>
      </c>
      <c r="AW2718" s="82" t="s">
        <v>14314</v>
      </c>
      <c r="AX2718" s="82" t="s">
        <v>14314</v>
      </c>
      <c r="AY2718" s="77"/>
      <c r="AZ2718" s="82" t="s">
        <v>15984</v>
      </c>
      <c r="BA2718" s="82" t="s">
        <v>15984</v>
      </c>
      <c r="BB2718" s="82" t="s">
        <v>15984</v>
      </c>
      <c r="BC2718" s="82" t="s">
        <v>14314</v>
      </c>
      <c r="BD2718" s="82" t="s">
        <v>15979</v>
      </c>
      <c r="BE2718" s="77"/>
      <c r="BF2718" s="77"/>
      <c r="BG2718" s="77"/>
      <c r="BH2718" s="77"/>
      <c r="BI2718" s="77"/>
    </row>
    <row r="2719" spans="1:61" x14ac:dyDescent="0.25">
      <c r="A2719" s="62" t="s">
        <v>387</v>
      </c>
      <c r="B2719" s="62" t="s">
        <v>387</v>
      </c>
      <c r="C2719" s="63"/>
      <c r="D2719" s="64"/>
      <c r="E2719" s="65"/>
      <c r="F2719" s="66"/>
      <c r="G2719" s="63"/>
      <c r="H2719" s="67"/>
      <c r="I2719" s="68"/>
      <c r="J2719" s="68"/>
      <c r="K2719" s="32"/>
      <c r="L2719" s="75">
        <v>2719</v>
      </c>
      <c r="M2719" s="75"/>
      <c r="N2719" s="70"/>
      <c r="O2719" s="77" t="s">
        <v>179</v>
      </c>
      <c r="P2719" s="79">
        <v>45150.833333333336</v>
      </c>
      <c r="Q2719" s="77" t="s">
        <v>3391</v>
      </c>
      <c r="R2719" s="77">
        <v>1</v>
      </c>
      <c r="S2719" s="77">
        <v>2</v>
      </c>
      <c r="T2719" s="77">
        <v>0</v>
      </c>
      <c r="U2719" s="77">
        <v>0</v>
      </c>
      <c r="V2719" s="77">
        <v>778</v>
      </c>
      <c r="W2719" s="82" t="s">
        <v>6095</v>
      </c>
      <c r="X2719" s="80" t="str">
        <f>HYPERLINK("https://mla.bs/4aacc551")</f>
        <v>https://mla.bs/4aacc551</v>
      </c>
      <c r="Y2719" s="77" t="s">
        <v>6506</v>
      </c>
      <c r="Z2719" s="77"/>
      <c r="AA2719" s="77"/>
      <c r="AB2719" s="77"/>
      <c r="AC2719" s="82" t="s">
        <v>7754</v>
      </c>
      <c r="AD2719" s="77" t="s">
        <v>7788</v>
      </c>
      <c r="AE2719" s="80" t="str">
        <f>HYPERLINK("https://twitter.com/einvestidor/status/1690453099725623296")</f>
        <v>https://twitter.com/einvestidor/status/1690453099725623296</v>
      </c>
      <c r="AF2719" s="79">
        <v>45150.833333333336</v>
      </c>
      <c r="AG2719" s="85">
        <v>45150</v>
      </c>
      <c r="AH2719" s="82" t="s">
        <v>8381</v>
      </c>
      <c r="AI2719" s="77" t="b">
        <v>0</v>
      </c>
      <c r="AJ2719" s="77"/>
      <c r="AK2719" s="77"/>
      <c r="AL2719" s="77"/>
      <c r="AM2719" s="77"/>
      <c r="AN2719" s="77"/>
      <c r="AO2719" s="77"/>
      <c r="AP2719" s="77"/>
      <c r="AQ2719" s="77"/>
      <c r="AR2719" s="77"/>
      <c r="AS2719" s="77"/>
      <c r="AT2719" s="77"/>
      <c r="AU2719" s="77"/>
      <c r="AV2719" s="80" t="str">
        <f>HYPERLINK("https://pbs.twimg.com/profile_images/1241147984924082183/gZgx_hL-_normal.jpg")</f>
        <v>https://pbs.twimg.com/profile_images/1241147984924082183/gZgx_hL-_normal.jpg</v>
      </c>
      <c r="AW2719" s="82" t="s">
        <v>14315</v>
      </c>
      <c r="AX2719" s="82" t="s">
        <v>14315</v>
      </c>
      <c r="AY2719" s="77"/>
      <c r="AZ2719" s="82" t="s">
        <v>15984</v>
      </c>
      <c r="BA2719" s="82" t="s">
        <v>15984</v>
      </c>
      <c r="BB2719" s="82" t="s">
        <v>15984</v>
      </c>
      <c r="BC2719" s="82" t="s">
        <v>14315</v>
      </c>
      <c r="BD2719" s="82" t="s">
        <v>15979</v>
      </c>
      <c r="BE2719" s="77"/>
      <c r="BF2719" s="77"/>
      <c r="BG2719" s="77"/>
      <c r="BH2719" s="77"/>
      <c r="BI2719" s="77"/>
    </row>
    <row r="2720" spans="1:61" x14ac:dyDescent="0.25">
      <c r="A2720" s="62" t="s">
        <v>387</v>
      </c>
      <c r="B2720" s="62" t="s">
        <v>387</v>
      </c>
      <c r="C2720" s="63"/>
      <c r="D2720" s="64"/>
      <c r="E2720" s="65"/>
      <c r="F2720" s="66"/>
      <c r="G2720" s="63"/>
      <c r="H2720" s="67"/>
      <c r="I2720" s="68"/>
      <c r="J2720" s="68"/>
      <c r="K2720" s="32"/>
      <c r="L2720" s="75">
        <v>2720</v>
      </c>
      <c r="M2720" s="75"/>
      <c r="N2720" s="70"/>
      <c r="O2720" s="77" t="s">
        <v>179</v>
      </c>
      <c r="P2720" s="79">
        <v>45150.666678240741</v>
      </c>
      <c r="Q2720" s="77" t="s">
        <v>3392</v>
      </c>
      <c r="R2720" s="77">
        <v>1</v>
      </c>
      <c r="S2720" s="77">
        <v>3</v>
      </c>
      <c r="T2720" s="77">
        <v>0</v>
      </c>
      <c r="U2720" s="77">
        <v>0</v>
      </c>
      <c r="V2720" s="77">
        <v>777</v>
      </c>
      <c r="W2720" s="82" t="s">
        <v>6096</v>
      </c>
      <c r="X2720" s="80" t="str">
        <f>HYPERLINK("https://mla.bs/9983dbe7")</f>
        <v>https://mla.bs/9983dbe7</v>
      </c>
      <c r="Y2720" s="77" t="s">
        <v>6506</v>
      </c>
      <c r="Z2720" s="77"/>
      <c r="AA2720" s="77"/>
      <c r="AB2720" s="77"/>
      <c r="AC2720" s="82" t="s">
        <v>7754</v>
      </c>
      <c r="AD2720" s="77" t="s">
        <v>7788</v>
      </c>
      <c r="AE2720" s="80" t="str">
        <f>HYPERLINK("https://twitter.com/einvestidor/status/1690392706046947328")</f>
        <v>https://twitter.com/einvestidor/status/1690392706046947328</v>
      </c>
      <c r="AF2720" s="79">
        <v>45150.666678240741</v>
      </c>
      <c r="AG2720" s="85">
        <v>45150</v>
      </c>
      <c r="AH2720" s="82" t="s">
        <v>9639</v>
      </c>
      <c r="AI2720" s="77" t="b">
        <v>0</v>
      </c>
      <c r="AJ2720" s="77"/>
      <c r="AK2720" s="77"/>
      <c r="AL2720" s="77"/>
      <c r="AM2720" s="77"/>
      <c r="AN2720" s="77"/>
      <c r="AO2720" s="77"/>
      <c r="AP2720" s="77"/>
      <c r="AQ2720" s="77"/>
      <c r="AR2720" s="77"/>
      <c r="AS2720" s="77"/>
      <c r="AT2720" s="77"/>
      <c r="AU2720" s="77"/>
      <c r="AV2720" s="80" t="str">
        <f>HYPERLINK("https://pbs.twimg.com/profile_images/1241147984924082183/gZgx_hL-_normal.jpg")</f>
        <v>https://pbs.twimg.com/profile_images/1241147984924082183/gZgx_hL-_normal.jpg</v>
      </c>
      <c r="AW2720" s="82" t="s">
        <v>14316</v>
      </c>
      <c r="AX2720" s="82" t="s">
        <v>14316</v>
      </c>
      <c r="AY2720" s="77"/>
      <c r="AZ2720" s="82" t="s">
        <v>15984</v>
      </c>
      <c r="BA2720" s="82" t="s">
        <v>15984</v>
      </c>
      <c r="BB2720" s="82" t="s">
        <v>15984</v>
      </c>
      <c r="BC2720" s="82" t="s">
        <v>14316</v>
      </c>
      <c r="BD2720" s="82" t="s">
        <v>15979</v>
      </c>
      <c r="BE2720" s="77"/>
      <c r="BF2720" s="77"/>
      <c r="BG2720" s="77"/>
      <c r="BH2720" s="77"/>
      <c r="BI2720" s="77"/>
    </row>
    <row r="2721" spans="1:61" x14ac:dyDescent="0.25">
      <c r="A2721" s="62" t="s">
        <v>387</v>
      </c>
      <c r="B2721" s="62" t="s">
        <v>387</v>
      </c>
      <c r="C2721" s="63"/>
      <c r="D2721" s="64"/>
      <c r="E2721" s="65"/>
      <c r="F2721" s="66"/>
      <c r="G2721" s="63"/>
      <c r="H2721" s="67"/>
      <c r="I2721" s="68"/>
      <c r="J2721" s="68"/>
      <c r="K2721" s="32"/>
      <c r="L2721" s="75">
        <v>2721</v>
      </c>
      <c r="M2721" s="75"/>
      <c r="N2721" s="70"/>
      <c r="O2721" s="77" t="s">
        <v>179</v>
      </c>
      <c r="P2721" s="79">
        <v>45150.625023148146</v>
      </c>
      <c r="Q2721" s="77" t="s">
        <v>3393</v>
      </c>
      <c r="R2721" s="77">
        <v>0</v>
      </c>
      <c r="S2721" s="77">
        <v>0</v>
      </c>
      <c r="T2721" s="77">
        <v>0</v>
      </c>
      <c r="U2721" s="77">
        <v>0</v>
      </c>
      <c r="V2721" s="77">
        <v>578</v>
      </c>
      <c r="W2721" s="82" t="s">
        <v>6097</v>
      </c>
      <c r="X2721" s="77"/>
      <c r="Y2721" s="77"/>
      <c r="Z2721" s="77"/>
      <c r="AA2721" s="77" t="s">
        <v>7610</v>
      </c>
      <c r="AB2721" s="77" t="s">
        <v>7743</v>
      </c>
      <c r="AC2721" s="82" t="s">
        <v>7754</v>
      </c>
      <c r="AD2721" s="77" t="s">
        <v>7788</v>
      </c>
      <c r="AE2721" s="80" t="str">
        <f>HYPERLINK("https://twitter.com/einvestidor/status/1690377611158171648")</f>
        <v>https://twitter.com/einvestidor/status/1690377611158171648</v>
      </c>
      <c r="AF2721" s="79">
        <v>45150.625023148146</v>
      </c>
      <c r="AG2721" s="85">
        <v>45150</v>
      </c>
      <c r="AH2721" s="82" t="s">
        <v>7869</v>
      </c>
      <c r="AI2721" s="77" t="b">
        <v>0</v>
      </c>
      <c r="AJ2721" s="77"/>
      <c r="AK2721" s="77"/>
      <c r="AL2721" s="77"/>
      <c r="AM2721" s="77"/>
      <c r="AN2721" s="77"/>
      <c r="AO2721" s="77"/>
      <c r="AP2721" s="77"/>
      <c r="AQ2721" s="77" t="s">
        <v>11582</v>
      </c>
      <c r="AR2721" s="77">
        <v>75408</v>
      </c>
      <c r="AS2721" s="77"/>
      <c r="AT2721" s="77"/>
      <c r="AU2721" s="77"/>
      <c r="AV2721" s="80" t="str">
        <f>HYPERLINK("https://pbs.twimg.com/ext_tw_video_thumb/1690332180394778624/pu/img/_KqGuGpTVZmsuFlY.jpg")</f>
        <v>https://pbs.twimg.com/ext_tw_video_thumb/1690332180394778624/pu/img/_KqGuGpTVZmsuFlY.jpg</v>
      </c>
      <c r="AW2721" s="82" t="s">
        <v>14317</v>
      </c>
      <c r="AX2721" s="82" t="s">
        <v>14317</v>
      </c>
      <c r="AY2721" s="77"/>
      <c r="AZ2721" s="82" t="s">
        <v>15984</v>
      </c>
      <c r="BA2721" s="82" t="s">
        <v>15984</v>
      </c>
      <c r="BB2721" s="82" t="s">
        <v>15984</v>
      </c>
      <c r="BC2721" s="82" t="s">
        <v>14317</v>
      </c>
      <c r="BD2721" s="82" t="s">
        <v>15979</v>
      </c>
      <c r="BE2721" s="77"/>
      <c r="BF2721" s="77"/>
      <c r="BG2721" s="77"/>
      <c r="BH2721" s="77"/>
      <c r="BI2721" s="77"/>
    </row>
    <row r="2722" spans="1:61" x14ac:dyDescent="0.25">
      <c r="A2722" s="62" t="s">
        <v>387</v>
      </c>
      <c r="B2722" s="62" t="s">
        <v>387</v>
      </c>
      <c r="C2722" s="63"/>
      <c r="D2722" s="64"/>
      <c r="E2722" s="65"/>
      <c r="F2722" s="66"/>
      <c r="G2722" s="63"/>
      <c r="H2722" s="67"/>
      <c r="I2722" s="68"/>
      <c r="J2722" s="68"/>
      <c r="K2722" s="32"/>
      <c r="L2722" s="75">
        <v>2722</v>
      </c>
      <c r="M2722" s="75"/>
      <c r="N2722" s="70"/>
      <c r="O2722" s="77" t="s">
        <v>179</v>
      </c>
      <c r="P2722" s="79">
        <v>45150.500023148146</v>
      </c>
      <c r="Q2722" s="77" t="s">
        <v>3394</v>
      </c>
      <c r="R2722" s="77">
        <v>1</v>
      </c>
      <c r="S2722" s="77">
        <v>1</v>
      </c>
      <c r="T2722" s="77">
        <v>0</v>
      </c>
      <c r="U2722" s="77">
        <v>0</v>
      </c>
      <c r="V2722" s="77">
        <v>823</v>
      </c>
      <c r="W2722" s="82" t="s">
        <v>4833</v>
      </c>
      <c r="X2722" s="80" t="str">
        <f>HYPERLINK("https://mla.bs/6207a4df")</f>
        <v>https://mla.bs/6207a4df</v>
      </c>
      <c r="Y2722" s="77" t="s">
        <v>6506</v>
      </c>
      <c r="Z2722" s="77"/>
      <c r="AA2722" s="77"/>
      <c r="AB2722" s="77"/>
      <c r="AC2722" s="82" t="s">
        <v>7754</v>
      </c>
      <c r="AD2722" s="77" t="s">
        <v>7788</v>
      </c>
      <c r="AE2722" s="80" t="str">
        <f>HYPERLINK("https://twitter.com/einvestidor/status/1690332309910585345")</f>
        <v>https://twitter.com/einvestidor/status/1690332309910585345</v>
      </c>
      <c r="AF2722" s="79">
        <v>45150.500023148146</v>
      </c>
      <c r="AG2722" s="85">
        <v>45150</v>
      </c>
      <c r="AH2722" s="82" t="s">
        <v>8525</v>
      </c>
      <c r="AI2722" s="77" t="b">
        <v>0</v>
      </c>
      <c r="AJ2722" s="77"/>
      <c r="AK2722" s="77"/>
      <c r="AL2722" s="77"/>
      <c r="AM2722" s="77"/>
      <c r="AN2722" s="77"/>
      <c r="AO2722" s="77"/>
      <c r="AP2722" s="77"/>
      <c r="AQ2722" s="77"/>
      <c r="AR2722" s="77"/>
      <c r="AS2722" s="77"/>
      <c r="AT2722" s="77"/>
      <c r="AU2722" s="77"/>
      <c r="AV2722" s="80" t="str">
        <f>HYPERLINK("https://pbs.twimg.com/profile_images/1241147984924082183/gZgx_hL-_normal.jpg")</f>
        <v>https://pbs.twimg.com/profile_images/1241147984924082183/gZgx_hL-_normal.jpg</v>
      </c>
      <c r="AW2722" s="82" t="s">
        <v>14318</v>
      </c>
      <c r="AX2722" s="82" t="s">
        <v>14318</v>
      </c>
      <c r="AY2722" s="77"/>
      <c r="AZ2722" s="82" t="s">
        <v>15984</v>
      </c>
      <c r="BA2722" s="82" t="s">
        <v>15984</v>
      </c>
      <c r="BB2722" s="82" t="s">
        <v>15984</v>
      </c>
      <c r="BC2722" s="82" t="s">
        <v>14318</v>
      </c>
      <c r="BD2722" s="82" t="s">
        <v>15979</v>
      </c>
      <c r="BE2722" s="77"/>
      <c r="BF2722" s="77"/>
      <c r="BG2722" s="77"/>
      <c r="BH2722" s="77"/>
      <c r="BI2722" s="77"/>
    </row>
    <row r="2723" spans="1:61" x14ac:dyDescent="0.25">
      <c r="A2723" s="62" t="s">
        <v>387</v>
      </c>
      <c r="B2723" s="62" t="s">
        <v>387</v>
      </c>
      <c r="C2723" s="63"/>
      <c r="D2723" s="64"/>
      <c r="E2723" s="65"/>
      <c r="F2723" s="66"/>
      <c r="G2723" s="63"/>
      <c r="H2723" s="67"/>
      <c r="I2723" s="68"/>
      <c r="J2723" s="68"/>
      <c r="K2723" s="32"/>
      <c r="L2723" s="75">
        <v>2723</v>
      </c>
      <c r="M2723" s="75"/>
      <c r="N2723" s="70"/>
      <c r="O2723" s="77" t="s">
        <v>179</v>
      </c>
      <c r="P2723" s="79">
        <v>45143.833333333336</v>
      </c>
      <c r="Q2723" s="77" t="s">
        <v>3395</v>
      </c>
      <c r="R2723" s="77">
        <v>0</v>
      </c>
      <c r="S2723" s="77">
        <v>0</v>
      </c>
      <c r="T2723" s="77">
        <v>0</v>
      </c>
      <c r="U2723" s="77">
        <v>0</v>
      </c>
      <c r="V2723" s="77">
        <v>840</v>
      </c>
      <c r="W2723" s="82" t="s">
        <v>4833</v>
      </c>
      <c r="X2723" s="80" t="str">
        <f>HYPERLINK("https://mla.bs/9cd14dbe")</f>
        <v>https://mla.bs/9cd14dbe</v>
      </c>
      <c r="Y2723" s="77" t="s">
        <v>6506</v>
      </c>
      <c r="Z2723" s="77"/>
      <c r="AA2723" s="77"/>
      <c r="AB2723" s="77"/>
      <c r="AC2723" s="82" t="s">
        <v>7754</v>
      </c>
      <c r="AD2723" s="77" t="s">
        <v>7788</v>
      </c>
      <c r="AE2723" s="80" t="str">
        <f>HYPERLINK("https://twitter.com/einvestidor/status/1687916385135976448")</f>
        <v>https://twitter.com/einvestidor/status/1687916385135976448</v>
      </c>
      <c r="AF2723" s="79">
        <v>45143.833333333336</v>
      </c>
      <c r="AG2723" s="85">
        <v>45143</v>
      </c>
      <c r="AH2723" s="82" t="s">
        <v>8381</v>
      </c>
      <c r="AI2723" s="77" t="b">
        <v>0</v>
      </c>
      <c r="AJ2723" s="77"/>
      <c r="AK2723" s="77"/>
      <c r="AL2723" s="77"/>
      <c r="AM2723" s="77"/>
      <c r="AN2723" s="77"/>
      <c r="AO2723" s="77"/>
      <c r="AP2723" s="77"/>
      <c r="AQ2723" s="77"/>
      <c r="AR2723" s="77"/>
      <c r="AS2723" s="77"/>
      <c r="AT2723" s="77"/>
      <c r="AU2723" s="77"/>
      <c r="AV2723" s="80" t="str">
        <f>HYPERLINK("https://pbs.twimg.com/profile_images/1241147984924082183/gZgx_hL-_normal.jpg")</f>
        <v>https://pbs.twimg.com/profile_images/1241147984924082183/gZgx_hL-_normal.jpg</v>
      </c>
      <c r="AW2723" s="82" t="s">
        <v>14319</v>
      </c>
      <c r="AX2723" s="82" t="s">
        <v>14319</v>
      </c>
      <c r="AY2723" s="77"/>
      <c r="AZ2723" s="82" t="s">
        <v>15984</v>
      </c>
      <c r="BA2723" s="82" t="s">
        <v>15984</v>
      </c>
      <c r="BB2723" s="82" t="s">
        <v>15984</v>
      </c>
      <c r="BC2723" s="82" t="s">
        <v>14319</v>
      </c>
      <c r="BD2723" s="82" t="s">
        <v>15979</v>
      </c>
      <c r="BE2723" s="77"/>
      <c r="BF2723" s="77"/>
      <c r="BG2723" s="77"/>
      <c r="BH2723" s="77"/>
      <c r="BI2723" s="77"/>
    </row>
    <row r="2724" spans="1:61" x14ac:dyDescent="0.25">
      <c r="A2724" s="62" t="s">
        <v>387</v>
      </c>
      <c r="B2724" s="62" t="s">
        <v>387</v>
      </c>
      <c r="C2724" s="63"/>
      <c r="D2724" s="64"/>
      <c r="E2724" s="65"/>
      <c r="F2724" s="66"/>
      <c r="G2724" s="63"/>
      <c r="H2724" s="67"/>
      <c r="I2724" s="68"/>
      <c r="J2724" s="68"/>
      <c r="K2724" s="32"/>
      <c r="L2724" s="75">
        <v>2724</v>
      </c>
      <c r="M2724" s="75"/>
      <c r="N2724" s="70"/>
      <c r="O2724" s="77" t="s">
        <v>179</v>
      </c>
      <c r="P2724" s="79">
        <v>45143.791666666664</v>
      </c>
      <c r="Q2724" s="77" t="s">
        <v>3396</v>
      </c>
      <c r="R2724" s="77">
        <v>0</v>
      </c>
      <c r="S2724" s="77">
        <v>0</v>
      </c>
      <c r="T2724" s="77">
        <v>1</v>
      </c>
      <c r="U2724" s="77">
        <v>0</v>
      </c>
      <c r="V2724" s="77">
        <v>634</v>
      </c>
      <c r="W2724" s="82" t="s">
        <v>4833</v>
      </c>
      <c r="X2724" s="80" t="str">
        <f>HYPERLINK("https://einvestidor.estadao.com.br/ultimas/fed-juros-setembro/?utm_source=twitter&amp;utm_medium=organic&amp;utm_campaign=fed&amp;utm_content=materia")</f>
        <v>https://einvestidor.estadao.com.br/ultimas/fed-juros-setembro/?utm_source=twitter&amp;utm_medium=organic&amp;utm_campaign=fed&amp;utm_content=materia</v>
      </c>
      <c r="Y2724" s="77" t="s">
        <v>6470</v>
      </c>
      <c r="Z2724" s="77"/>
      <c r="AA2724" s="77"/>
      <c r="AB2724" s="77"/>
      <c r="AC2724" s="82" t="s">
        <v>7754</v>
      </c>
      <c r="AD2724" s="77" t="s">
        <v>7788</v>
      </c>
      <c r="AE2724" s="80" t="str">
        <f>HYPERLINK("https://twitter.com/einvestidor/status/1687901285004255232")</f>
        <v>https://twitter.com/einvestidor/status/1687901285004255232</v>
      </c>
      <c r="AF2724" s="79">
        <v>45143.791666666664</v>
      </c>
      <c r="AG2724" s="85">
        <v>45143</v>
      </c>
      <c r="AH2724" s="82" t="s">
        <v>9299</v>
      </c>
      <c r="AI2724" s="77" t="b">
        <v>0</v>
      </c>
      <c r="AJ2724" s="77"/>
      <c r="AK2724" s="77"/>
      <c r="AL2724" s="77"/>
      <c r="AM2724" s="77"/>
      <c r="AN2724" s="77"/>
      <c r="AO2724" s="77"/>
      <c r="AP2724" s="77"/>
      <c r="AQ2724" s="77"/>
      <c r="AR2724" s="77"/>
      <c r="AS2724" s="77"/>
      <c r="AT2724" s="77"/>
      <c r="AU2724" s="77"/>
      <c r="AV2724" s="80" t="str">
        <f>HYPERLINK("https://pbs.twimg.com/profile_images/1241147984924082183/gZgx_hL-_normal.jpg")</f>
        <v>https://pbs.twimg.com/profile_images/1241147984924082183/gZgx_hL-_normal.jpg</v>
      </c>
      <c r="AW2724" s="82" t="s">
        <v>14320</v>
      </c>
      <c r="AX2724" s="82" t="s">
        <v>14320</v>
      </c>
      <c r="AY2724" s="77"/>
      <c r="AZ2724" s="82" t="s">
        <v>15984</v>
      </c>
      <c r="BA2724" s="82" t="s">
        <v>15984</v>
      </c>
      <c r="BB2724" s="82" t="s">
        <v>15984</v>
      </c>
      <c r="BC2724" s="82" t="s">
        <v>14320</v>
      </c>
      <c r="BD2724" s="82" t="s">
        <v>15979</v>
      </c>
      <c r="BE2724" s="77"/>
      <c r="BF2724" s="77"/>
      <c r="BG2724" s="77"/>
      <c r="BH2724" s="77"/>
      <c r="BI2724" s="77"/>
    </row>
    <row r="2725" spans="1:61" x14ac:dyDescent="0.25">
      <c r="A2725" s="62" t="s">
        <v>387</v>
      </c>
      <c r="B2725" s="62" t="s">
        <v>387</v>
      </c>
      <c r="C2725" s="63"/>
      <c r="D2725" s="64"/>
      <c r="E2725" s="65"/>
      <c r="F2725" s="66"/>
      <c r="G2725" s="63"/>
      <c r="H2725" s="67"/>
      <c r="I2725" s="68"/>
      <c r="J2725" s="68"/>
      <c r="K2725" s="32"/>
      <c r="L2725" s="75">
        <v>2725</v>
      </c>
      <c r="M2725" s="75"/>
      <c r="N2725" s="70"/>
      <c r="O2725" s="77" t="s">
        <v>179</v>
      </c>
      <c r="P2725" s="79">
        <v>45143.708333333336</v>
      </c>
      <c r="Q2725" s="77" t="s">
        <v>3397</v>
      </c>
      <c r="R2725" s="77">
        <v>1</v>
      </c>
      <c r="S2725" s="77">
        <v>3</v>
      </c>
      <c r="T2725" s="77">
        <v>0</v>
      </c>
      <c r="U2725" s="77">
        <v>0</v>
      </c>
      <c r="V2725" s="77">
        <v>848</v>
      </c>
      <c r="W2725" s="82" t="s">
        <v>4833</v>
      </c>
      <c r="X2725" s="80" t="str">
        <f>HYPERLINK("https://einvestidor.estadao.com.br/ultimas/sao-martinho-dividendos/?utm_source=twitter&amp;utm_medium=organic&amp;utm_campaign=sao-martinho&amp;utm_content=materia")</f>
        <v>https://einvestidor.estadao.com.br/ultimas/sao-martinho-dividendos/?utm_source=twitter&amp;utm_medium=organic&amp;utm_campaign=sao-martinho&amp;utm_content=materia</v>
      </c>
      <c r="Y2725" s="77" t="s">
        <v>6470</v>
      </c>
      <c r="Z2725" s="77"/>
      <c r="AA2725" s="77"/>
      <c r="AB2725" s="77"/>
      <c r="AC2725" s="82" t="s">
        <v>7754</v>
      </c>
      <c r="AD2725" s="77" t="s">
        <v>7788</v>
      </c>
      <c r="AE2725" s="80" t="str">
        <f>HYPERLINK("https://twitter.com/einvestidor/status/1687871085159784448")</f>
        <v>https://twitter.com/einvestidor/status/1687871085159784448</v>
      </c>
      <c r="AF2725" s="79">
        <v>45143.708333333336</v>
      </c>
      <c r="AG2725" s="85">
        <v>45143</v>
      </c>
      <c r="AH2725" s="82" t="s">
        <v>9697</v>
      </c>
      <c r="AI2725" s="77" t="b">
        <v>0</v>
      </c>
      <c r="AJ2725" s="77"/>
      <c r="AK2725" s="77"/>
      <c r="AL2725" s="77"/>
      <c r="AM2725" s="77"/>
      <c r="AN2725" s="77"/>
      <c r="AO2725" s="77"/>
      <c r="AP2725" s="77"/>
      <c r="AQ2725" s="77"/>
      <c r="AR2725" s="77"/>
      <c r="AS2725" s="77"/>
      <c r="AT2725" s="77"/>
      <c r="AU2725" s="77"/>
      <c r="AV2725" s="80" t="str">
        <f>HYPERLINK("https://pbs.twimg.com/profile_images/1241147984924082183/gZgx_hL-_normal.jpg")</f>
        <v>https://pbs.twimg.com/profile_images/1241147984924082183/gZgx_hL-_normal.jpg</v>
      </c>
      <c r="AW2725" s="82" t="s">
        <v>14321</v>
      </c>
      <c r="AX2725" s="82" t="s">
        <v>14321</v>
      </c>
      <c r="AY2725" s="77"/>
      <c r="AZ2725" s="82" t="s">
        <v>15984</v>
      </c>
      <c r="BA2725" s="82" t="s">
        <v>15984</v>
      </c>
      <c r="BB2725" s="82" t="s">
        <v>15984</v>
      </c>
      <c r="BC2725" s="82" t="s">
        <v>14321</v>
      </c>
      <c r="BD2725" s="82" t="s">
        <v>15979</v>
      </c>
      <c r="BE2725" s="77"/>
      <c r="BF2725" s="77"/>
      <c r="BG2725" s="77"/>
      <c r="BH2725" s="77"/>
      <c r="BI2725" s="77"/>
    </row>
    <row r="2726" spans="1:61" x14ac:dyDescent="0.25">
      <c r="A2726" s="62" t="s">
        <v>387</v>
      </c>
      <c r="B2726" s="62" t="s">
        <v>387</v>
      </c>
      <c r="C2726" s="63"/>
      <c r="D2726" s="64"/>
      <c r="E2726" s="65"/>
      <c r="F2726" s="66"/>
      <c r="G2726" s="63"/>
      <c r="H2726" s="67"/>
      <c r="I2726" s="68"/>
      <c r="J2726" s="68"/>
      <c r="K2726" s="32"/>
      <c r="L2726" s="75">
        <v>2726</v>
      </c>
      <c r="M2726" s="75"/>
      <c r="N2726" s="70"/>
      <c r="O2726" s="77" t="s">
        <v>179</v>
      </c>
      <c r="P2726" s="79">
        <v>45143.666666666664</v>
      </c>
      <c r="Q2726" s="77" t="s">
        <v>3398</v>
      </c>
      <c r="R2726" s="77">
        <v>1</v>
      </c>
      <c r="S2726" s="77">
        <v>3</v>
      </c>
      <c r="T2726" s="77">
        <v>0</v>
      </c>
      <c r="U2726" s="77">
        <v>0</v>
      </c>
      <c r="V2726" s="77">
        <v>627</v>
      </c>
      <c r="W2726" s="82" t="s">
        <v>6098</v>
      </c>
      <c r="X2726" s="80" t="str">
        <f>HYPERLINK("https://mla.bs/e77bbc0f")</f>
        <v>https://mla.bs/e77bbc0f</v>
      </c>
      <c r="Y2726" s="77" t="s">
        <v>6506</v>
      </c>
      <c r="Z2726" s="77"/>
      <c r="AA2726" s="77"/>
      <c r="AB2726" s="77"/>
      <c r="AC2726" s="82" t="s">
        <v>7754</v>
      </c>
      <c r="AD2726" s="77" t="s">
        <v>7788</v>
      </c>
      <c r="AE2726" s="80" t="str">
        <f>HYPERLINK("https://twitter.com/einvestidor/status/1687855985828765696")</f>
        <v>https://twitter.com/einvestidor/status/1687855985828765696</v>
      </c>
      <c r="AF2726" s="79">
        <v>45143.666666666664</v>
      </c>
      <c r="AG2726" s="85">
        <v>45143</v>
      </c>
      <c r="AH2726" s="82" t="s">
        <v>8120</v>
      </c>
      <c r="AI2726" s="77" t="b">
        <v>0</v>
      </c>
      <c r="AJ2726" s="77"/>
      <c r="AK2726" s="77"/>
      <c r="AL2726" s="77"/>
      <c r="AM2726" s="77"/>
      <c r="AN2726" s="77"/>
      <c r="AO2726" s="77"/>
      <c r="AP2726" s="77"/>
      <c r="AQ2726" s="77"/>
      <c r="AR2726" s="77"/>
      <c r="AS2726" s="77"/>
      <c r="AT2726" s="77"/>
      <c r="AU2726" s="77"/>
      <c r="AV2726" s="80" t="str">
        <f>HYPERLINK("https://pbs.twimg.com/profile_images/1241147984924082183/gZgx_hL-_normal.jpg")</f>
        <v>https://pbs.twimg.com/profile_images/1241147984924082183/gZgx_hL-_normal.jpg</v>
      </c>
      <c r="AW2726" s="82" t="s">
        <v>14322</v>
      </c>
      <c r="AX2726" s="82" t="s">
        <v>14322</v>
      </c>
      <c r="AY2726" s="77"/>
      <c r="AZ2726" s="82" t="s">
        <v>15984</v>
      </c>
      <c r="BA2726" s="82" t="s">
        <v>15984</v>
      </c>
      <c r="BB2726" s="82" t="s">
        <v>15984</v>
      </c>
      <c r="BC2726" s="82" t="s">
        <v>14322</v>
      </c>
      <c r="BD2726" s="82" t="s">
        <v>15979</v>
      </c>
      <c r="BE2726" s="77"/>
      <c r="BF2726" s="77"/>
      <c r="BG2726" s="77"/>
      <c r="BH2726" s="77"/>
      <c r="BI2726" s="77"/>
    </row>
    <row r="2727" spans="1:61" x14ac:dyDescent="0.25">
      <c r="A2727" s="62" t="s">
        <v>387</v>
      </c>
      <c r="B2727" s="62" t="s">
        <v>387</v>
      </c>
      <c r="C2727" s="63"/>
      <c r="D2727" s="64"/>
      <c r="E2727" s="65"/>
      <c r="F2727" s="66"/>
      <c r="G2727" s="63"/>
      <c r="H2727" s="67"/>
      <c r="I2727" s="68"/>
      <c r="J2727" s="68"/>
      <c r="K2727" s="32"/>
      <c r="L2727" s="75">
        <v>2727</v>
      </c>
      <c r="M2727" s="75"/>
      <c r="N2727" s="70"/>
      <c r="O2727" s="77" t="s">
        <v>179</v>
      </c>
      <c r="P2727" s="79">
        <v>45143.583344907405</v>
      </c>
      <c r="Q2727" s="77" t="s">
        <v>3399</v>
      </c>
      <c r="R2727" s="77">
        <v>0</v>
      </c>
      <c r="S2727" s="77">
        <v>1</v>
      </c>
      <c r="T2727" s="77">
        <v>0</v>
      </c>
      <c r="U2727" s="77">
        <v>0</v>
      </c>
      <c r="V2727" s="77">
        <v>764</v>
      </c>
      <c r="W2727" s="82" t="s">
        <v>4833</v>
      </c>
      <c r="X2727" s="80" t="str">
        <f>HYPERLINK("https://einvestidor.estadao.com.br/ultimas/taurus-tasa4-parceria-arabia-saudita/?utm_source=twitter&amp;utm_medium=organic&amp;utm_campaign=taurus&amp;utm_content=materia")</f>
        <v>https://einvestidor.estadao.com.br/ultimas/taurus-tasa4-parceria-arabia-saudita/?utm_source=twitter&amp;utm_medium=organic&amp;utm_campaign=taurus&amp;utm_content=materia</v>
      </c>
      <c r="Y2727" s="77" t="s">
        <v>6470</v>
      </c>
      <c r="Z2727" s="77"/>
      <c r="AA2727" s="77"/>
      <c r="AB2727" s="77"/>
      <c r="AC2727" s="82" t="s">
        <v>7754</v>
      </c>
      <c r="AD2727" s="77" t="s">
        <v>7788</v>
      </c>
      <c r="AE2727" s="80" t="str">
        <f>HYPERLINK("https://twitter.com/einvestidor/status/1687825792846479360")</f>
        <v>https://twitter.com/einvestidor/status/1687825792846479360</v>
      </c>
      <c r="AF2727" s="79">
        <v>45143.583344907405</v>
      </c>
      <c r="AG2727" s="85">
        <v>45143</v>
      </c>
      <c r="AH2727" s="82" t="s">
        <v>7860</v>
      </c>
      <c r="AI2727" s="77" t="b">
        <v>0</v>
      </c>
      <c r="AJ2727" s="77"/>
      <c r="AK2727" s="77"/>
      <c r="AL2727" s="77"/>
      <c r="AM2727" s="77"/>
      <c r="AN2727" s="77"/>
      <c r="AO2727" s="77"/>
      <c r="AP2727" s="77"/>
      <c r="AQ2727" s="77"/>
      <c r="AR2727" s="77"/>
      <c r="AS2727" s="77"/>
      <c r="AT2727" s="77"/>
      <c r="AU2727" s="77"/>
      <c r="AV2727" s="80" t="str">
        <f>HYPERLINK("https://pbs.twimg.com/profile_images/1241147984924082183/gZgx_hL-_normal.jpg")</f>
        <v>https://pbs.twimg.com/profile_images/1241147984924082183/gZgx_hL-_normal.jpg</v>
      </c>
      <c r="AW2727" s="82" t="s">
        <v>14323</v>
      </c>
      <c r="AX2727" s="82" t="s">
        <v>14323</v>
      </c>
      <c r="AY2727" s="77"/>
      <c r="AZ2727" s="82" t="s">
        <v>15984</v>
      </c>
      <c r="BA2727" s="82" t="s">
        <v>15984</v>
      </c>
      <c r="BB2727" s="82" t="s">
        <v>15984</v>
      </c>
      <c r="BC2727" s="82" t="s">
        <v>14323</v>
      </c>
      <c r="BD2727" s="82" t="s">
        <v>15979</v>
      </c>
      <c r="BE2727" s="77"/>
      <c r="BF2727" s="77"/>
      <c r="BG2727" s="77"/>
      <c r="BH2727" s="77"/>
      <c r="BI2727" s="77"/>
    </row>
    <row r="2728" spans="1:61" x14ac:dyDescent="0.25">
      <c r="A2728" s="62" t="s">
        <v>387</v>
      </c>
      <c r="B2728" s="62" t="s">
        <v>387</v>
      </c>
      <c r="C2728" s="63"/>
      <c r="D2728" s="64"/>
      <c r="E2728" s="65"/>
      <c r="F2728" s="66"/>
      <c r="G2728" s="63"/>
      <c r="H2728" s="67"/>
      <c r="I2728" s="68"/>
      <c r="J2728" s="68"/>
      <c r="K2728" s="32"/>
      <c r="L2728" s="75">
        <v>2728</v>
      </c>
      <c r="M2728" s="75"/>
      <c r="N2728" s="70"/>
      <c r="O2728" s="77" t="s">
        <v>179</v>
      </c>
      <c r="P2728" s="79">
        <v>45143.541689814818</v>
      </c>
      <c r="Q2728" s="77" t="s">
        <v>3400</v>
      </c>
      <c r="R2728" s="77">
        <v>0</v>
      </c>
      <c r="S2728" s="77">
        <v>0</v>
      </c>
      <c r="T2728" s="77">
        <v>0</v>
      </c>
      <c r="U2728" s="77">
        <v>0</v>
      </c>
      <c r="V2728" s="77">
        <v>789</v>
      </c>
      <c r="W2728" s="82" t="s">
        <v>4833</v>
      </c>
      <c r="X2728" s="80" t="str">
        <f>HYPERLINK("https://einvestidor.estadao.com.br/ultimas/fitch-notas-principais-empresas-brasil/?utm_source=twitter&amp;utm_medium=organic&amp;utm_campaign=fitch-brasil&amp;utm_content=materia")</f>
        <v>https://einvestidor.estadao.com.br/ultimas/fitch-notas-principais-empresas-brasil/?utm_source=twitter&amp;utm_medium=organic&amp;utm_campaign=fitch-brasil&amp;utm_content=materia</v>
      </c>
      <c r="Y2728" s="77" t="s">
        <v>6470</v>
      </c>
      <c r="Z2728" s="77"/>
      <c r="AA2728" s="77"/>
      <c r="AB2728" s="77"/>
      <c r="AC2728" s="82" t="s">
        <v>7754</v>
      </c>
      <c r="AD2728" s="77" t="s">
        <v>7788</v>
      </c>
      <c r="AE2728" s="80" t="str">
        <f>HYPERLINK("https://twitter.com/einvestidor/status/1687810696052916224")</f>
        <v>https://twitter.com/einvestidor/status/1687810696052916224</v>
      </c>
      <c r="AF2728" s="79">
        <v>45143.541689814818</v>
      </c>
      <c r="AG2728" s="85">
        <v>45143</v>
      </c>
      <c r="AH2728" s="82" t="s">
        <v>8312</v>
      </c>
      <c r="AI2728" s="77" t="b">
        <v>0</v>
      </c>
      <c r="AJ2728" s="77"/>
      <c r="AK2728" s="77"/>
      <c r="AL2728" s="77"/>
      <c r="AM2728" s="77"/>
      <c r="AN2728" s="77"/>
      <c r="AO2728" s="77"/>
      <c r="AP2728" s="77"/>
      <c r="AQ2728" s="77"/>
      <c r="AR2728" s="77"/>
      <c r="AS2728" s="77"/>
      <c r="AT2728" s="77"/>
      <c r="AU2728" s="77"/>
      <c r="AV2728" s="80" t="str">
        <f>HYPERLINK("https://pbs.twimg.com/profile_images/1241147984924082183/gZgx_hL-_normal.jpg")</f>
        <v>https://pbs.twimg.com/profile_images/1241147984924082183/gZgx_hL-_normal.jpg</v>
      </c>
      <c r="AW2728" s="82" t="s">
        <v>14324</v>
      </c>
      <c r="AX2728" s="82" t="s">
        <v>14324</v>
      </c>
      <c r="AY2728" s="77"/>
      <c r="AZ2728" s="82" t="s">
        <v>15984</v>
      </c>
      <c r="BA2728" s="82" t="s">
        <v>15984</v>
      </c>
      <c r="BB2728" s="82" t="s">
        <v>15984</v>
      </c>
      <c r="BC2728" s="82" t="s">
        <v>14324</v>
      </c>
      <c r="BD2728" s="82" t="s">
        <v>15979</v>
      </c>
      <c r="BE2728" s="77"/>
      <c r="BF2728" s="77"/>
      <c r="BG2728" s="77"/>
      <c r="BH2728" s="77"/>
      <c r="BI2728" s="77"/>
    </row>
    <row r="2729" spans="1:61" x14ac:dyDescent="0.25">
      <c r="A2729" s="62" t="s">
        <v>387</v>
      </c>
      <c r="B2729" s="62" t="s">
        <v>387</v>
      </c>
      <c r="C2729" s="63"/>
      <c r="D2729" s="64"/>
      <c r="E2729" s="65"/>
      <c r="F2729" s="66"/>
      <c r="G2729" s="63"/>
      <c r="H2729" s="67"/>
      <c r="I2729" s="68"/>
      <c r="J2729" s="68"/>
      <c r="K2729" s="32"/>
      <c r="L2729" s="75">
        <v>2729</v>
      </c>
      <c r="M2729" s="75"/>
      <c r="N2729" s="70"/>
      <c r="O2729" s="77" t="s">
        <v>179</v>
      </c>
      <c r="P2729" s="79">
        <v>45143.500023148146</v>
      </c>
      <c r="Q2729" s="77" t="s">
        <v>3401</v>
      </c>
      <c r="R2729" s="77">
        <v>0</v>
      </c>
      <c r="S2729" s="77">
        <v>1</v>
      </c>
      <c r="T2729" s="77">
        <v>0</v>
      </c>
      <c r="U2729" s="77">
        <v>0</v>
      </c>
      <c r="V2729" s="77">
        <v>668</v>
      </c>
      <c r="W2729" s="82" t="s">
        <v>4833</v>
      </c>
      <c r="X2729" s="80" t="str">
        <f>HYPERLINK("https://mla.bs/43a6d02f")</f>
        <v>https://mla.bs/43a6d02f</v>
      </c>
      <c r="Y2729" s="77" t="s">
        <v>6506</v>
      </c>
      <c r="Z2729" s="77"/>
      <c r="AA2729" s="77"/>
      <c r="AB2729" s="77"/>
      <c r="AC2729" s="82" t="s">
        <v>7754</v>
      </c>
      <c r="AD2729" s="77" t="s">
        <v>7788</v>
      </c>
      <c r="AE2729" s="80" t="str">
        <f>HYPERLINK("https://twitter.com/einvestidor/status/1687795595547947008")</f>
        <v>https://twitter.com/einvestidor/status/1687795595547947008</v>
      </c>
      <c r="AF2729" s="79">
        <v>45143.500023148146</v>
      </c>
      <c r="AG2729" s="85">
        <v>45143</v>
      </c>
      <c r="AH2729" s="82" t="s">
        <v>8525</v>
      </c>
      <c r="AI2729" s="77" t="b">
        <v>0</v>
      </c>
      <c r="AJ2729" s="77"/>
      <c r="AK2729" s="77"/>
      <c r="AL2729" s="77"/>
      <c r="AM2729" s="77"/>
      <c r="AN2729" s="77"/>
      <c r="AO2729" s="77"/>
      <c r="AP2729" s="77"/>
      <c r="AQ2729" s="77"/>
      <c r="AR2729" s="77"/>
      <c r="AS2729" s="77"/>
      <c r="AT2729" s="77"/>
      <c r="AU2729" s="77"/>
      <c r="AV2729" s="80" t="str">
        <f>HYPERLINK("https://pbs.twimg.com/profile_images/1241147984924082183/gZgx_hL-_normal.jpg")</f>
        <v>https://pbs.twimg.com/profile_images/1241147984924082183/gZgx_hL-_normal.jpg</v>
      </c>
      <c r="AW2729" s="82" t="s">
        <v>14325</v>
      </c>
      <c r="AX2729" s="82" t="s">
        <v>14325</v>
      </c>
      <c r="AY2729" s="77"/>
      <c r="AZ2729" s="82" t="s">
        <v>15984</v>
      </c>
      <c r="BA2729" s="82" t="s">
        <v>15984</v>
      </c>
      <c r="BB2729" s="82" t="s">
        <v>15984</v>
      </c>
      <c r="BC2729" s="82" t="s">
        <v>14325</v>
      </c>
      <c r="BD2729" s="82" t="s">
        <v>15979</v>
      </c>
      <c r="BE2729" s="77"/>
      <c r="BF2729" s="77"/>
      <c r="BG2729" s="77"/>
      <c r="BH2729" s="77"/>
      <c r="BI2729" s="77"/>
    </row>
    <row r="2730" spans="1:61" x14ac:dyDescent="0.25">
      <c r="A2730" s="62" t="s">
        <v>387</v>
      </c>
      <c r="B2730" s="62" t="s">
        <v>387</v>
      </c>
      <c r="C2730" s="63"/>
      <c r="D2730" s="64"/>
      <c r="E2730" s="65"/>
      <c r="F2730" s="66"/>
      <c r="G2730" s="63"/>
      <c r="H2730" s="67"/>
      <c r="I2730" s="68"/>
      <c r="J2730" s="68"/>
      <c r="K2730" s="32"/>
      <c r="L2730" s="75">
        <v>2730</v>
      </c>
      <c r="M2730" s="75"/>
      <c r="N2730" s="70"/>
      <c r="O2730" s="77" t="s">
        <v>179</v>
      </c>
      <c r="P2730" s="79">
        <v>45142.958344907405</v>
      </c>
      <c r="Q2730" s="77" t="s">
        <v>3402</v>
      </c>
      <c r="R2730" s="77">
        <v>0</v>
      </c>
      <c r="S2730" s="77">
        <v>0</v>
      </c>
      <c r="T2730" s="77">
        <v>0</v>
      </c>
      <c r="U2730" s="77">
        <v>0</v>
      </c>
      <c r="V2730" s="77">
        <v>685</v>
      </c>
      <c r="W2730" s="82" t="s">
        <v>4833</v>
      </c>
      <c r="X2730" s="80" t="str">
        <f>HYPERLINK("https://mla.bs/3da29ffa")</f>
        <v>https://mla.bs/3da29ffa</v>
      </c>
      <c r="Y2730" s="77" t="s">
        <v>6506</v>
      </c>
      <c r="Z2730" s="77"/>
      <c r="AA2730" s="77"/>
      <c r="AB2730" s="77"/>
      <c r="AC2730" s="82" t="s">
        <v>7754</v>
      </c>
      <c r="AD2730" s="77" t="s">
        <v>7788</v>
      </c>
      <c r="AE2730" s="80" t="str">
        <f>HYPERLINK("https://twitter.com/einvestidor/status/1687599299541250050")</f>
        <v>https://twitter.com/einvestidor/status/1687599299541250050</v>
      </c>
      <c r="AF2730" s="79">
        <v>45142.958344907405</v>
      </c>
      <c r="AG2730" s="85">
        <v>45142</v>
      </c>
      <c r="AH2730" s="82" t="s">
        <v>9241</v>
      </c>
      <c r="AI2730" s="77" t="b">
        <v>0</v>
      </c>
      <c r="AJ2730" s="77"/>
      <c r="AK2730" s="77"/>
      <c r="AL2730" s="77"/>
      <c r="AM2730" s="77"/>
      <c r="AN2730" s="77"/>
      <c r="AO2730" s="77"/>
      <c r="AP2730" s="77"/>
      <c r="AQ2730" s="77"/>
      <c r="AR2730" s="77"/>
      <c r="AS2730" s="77"/>
      <c r="AT2730" s="77"/>
      <c r="AU2730" s="77"/>
      <c r="AV2730" s="80" t="str">
        <f>HYPERLINK("https://pbs.twimg.com/profile_images/1241147984924082183/gZgx_hL-_normal.jpg")</f>
        <v>https://pbs.twimg.com/profile_images/1241147984924082183/gZgx_hL-_normal.jpg</v>
      </c>
      <c r="AW2730" s="82" t="s">
        <v>14326</v>
      </c>
      <c r="AX2730" s="82" t="s">
        <v>14326</v>
      </c>
      <c r="AY2730" s="77"/>
      <c r="AZ2730" s="82" t="s">
        <v>15984</v>
      </c>
      <c r="BA2730" s="82" t="s">
        <v>15984</v>
      </c>
      <c r="BB2730" s="82" t="s">
        <v>15984</v>
      </c>
      <c r="BC2730" s="82" t="s">
        <v>14326</v>
      </c>
      <c r="BD2730" s="82" t="s">
        <v>15979</v>
      </c>
      <c r="BE2730" s="77"/>
      <c r="BF2730" s="77"/>
      <c r="BG2730" s="77"/>
      <c r="BH2730" s="77"/>
      <c r="BI2730" s="77"/>
    </row>
    <row r="2731" spans="1:61" x14ac:dyDescent="0.25">
      <c r="A2731" s="62" t="s">
        <v>387</v>
      </c>
      <c r="B2731" s="62" t="s">
        <v>387</v>
      </c>
      <c r="C2731" s="63"/>
      <c r="D2731" s="64"/>
      <c r="E2731" s="65"/>
      <c r="F2731" s="66"/>
      <c r="G2731" s="63"/>
      <c r="H2731" s="67"/>
      <c r="I2731" s="68"/>
      <c r="J2731" s="68"/>
      <c r="K2731" s="32"/>
      <c r="L2731" s="75">
        <v>2731</v>
      </c>
      <c r="M2731" s="75"/>
      <c r="N2731" s="70"/>
      <c r="O2731" s="77" t="s">
        <v>179</v>
      </c>
      <c r="P2731" s="79">
        <v>45133.500011574077</v>
      </c>
      <c r="Q2731" s="77" t="s">
        <v>3403</v>
      </c>
      <c r="R2731" s="77">
        <v>0</v>
      </c>
      <c r="S2731" s="77">
        <v>0</v>
      </c>
      <c r="T2731" s="77">
        <v>0</v>
      </c>
      <c r="U2731" s="77">
        <v>0</v>
      </c>
      <c r="V2731" s="77">
        <v>437</v>
      </c>
      <c r="W2731" s="82" t="s">
        <v>4839</v>
      </c>
      <c r="X2731" s="80" t="str">
        <f>HYPERLINK("https://mla.bs/0e9d8445")</f>
        <v>https://mla.bs/0e9d8445</v>
      </c>
      <c r="Y2731" s="77" t="s">
        <v>6506</v>
      </c>
      <c r="Z2731" s="77"/>
      <c r="AA2731" s="77"/>
      <c r="AB2731" s="77"/>
      <c r="AC2731" s="82" t="s">
        <v>7754</v>
      </c>
      <c r="AD2731" s="77" t="s">
        <v>7788</v>
      </c>
      <c r="AE2731" s="80" t="str">
        <f>HYPERLINK("https://twitter.com/einvestidor/status/1684171711791640578")</f>
        <v>https://twitter.com/einvestidor/status/1684171711791640578</v>
      </c>
      <c r="AF2731" s="79">
        <v>45133.500011574077</v>
      </c>
      <c r="AG2731" s="85">
        <v>45133</v>
      </c>
      <c r="AH2731" s="82" t="s">
        <v>9002</v>
      </c>
      <c r="AI2731" s="77" t="b">
        <v>0</v>
      </c>
      <c r="AJ2731" s="77"/>
      <c r="AK2731" s="77"/>
      <c r="AL2731" s="77"/>
      <c r="AM2731" s="77"/>
      <c r="AN2731" s="77"/>
      <c r="AO2731" s="77"/>
      <c r="AP2731" s="77"/>
      <c r="AQ2731" s="77"/>
      <c r="AR2731" s="77"/>
      <c r="AS2731" s="77"/>
      <c r="AT2731" s="77"/>
      <c r="AU2731" s="77"/>
      <c r="AV2731" s="80" t="str">
        <f>HYPERLINK("https://pbs.twimg.com/profile_images/1241147984924082183/gZgx_hL-_normal.jpg")</f>
        <v>https://pbs.twimg.com/profile_images/1241147984924082183/gZgx_hL-_normal.jpg</v>
      </c>
      <c r="AW2731" s="82" t="s">
        <v>14327</v>
      </c>
      <c r="AX2731" s="82" t="s">
        <v>14327</v>
      </c>
      <c r="AY2731" s="77"/>
      <c r="AZ2731" s="82" t="s">
        <v>15984</v>
      </c>
      <c r="BA2731" s="82" t="s">
        <v>15984</v>
      </c>
      <c r="BB2731" s="82" t="s">
        <v>15984</v>
      </c>
      <c r="BC2731" s="82" t="s">
        <v>14327</v>
      </c>
      <c r="BD2731" s="82" t="s">
        <v>15979</v>
      </c>
      <c r="BE2731" s="77"/>
      <c r="BF2731" s="77"/>
      <c r="BG2731" s="77"/>
      <c r="BH2731" s="77"/>
      <c r="BI2731" s="77"/>
    </row>
    <row r="2732" spans="1:61" x14ac:dyDescent="0.25">
      <c r="A2732" s="62" t="s">
        <v>387</v>
      </c>
      <c r="B2732" s="62" t="s">
        <v>387</v>
      </c>
      <c r="C2732" s="63"/>
      <c r="D2732" s="64"/>
      <c r="E2732" s="65"/>
      <c r="F2732" s="66"/>
      <c r="G2732" s="63"/>
      <c r="H2732" s="67"/>
      <c r="I2732" s="68"/>
      <c r="J2732" s="68"/>
      <c r="K2732" s="32"/>
      <c r="L2732" s="75">
        <v>2732</v>
      </c>
      <c r="M2732" s="75"/>
      <c r="N2732" s="70"/>
      <c r="O2732" s="77" t="s">
        <v>179</v>
      </c>
      <c r="P2732" s="79">
        <v>45133.486111111109</v>
      </c>
      <c r="Q2732" s="77" t="s">
        <v>3404</v>
      </c>
      <c r="R2732" s="77">
        <v>0</v>
      </c>
      <c r="S2732" s="77">
        <v>7</v>
      </c>
      <c r="T2732" s="77">
        <v>0</v>
      </c>
      <c r="U2732" s="77">
        <v>0</v>
      </c>
      <c r="V2732" s="77">
        <v>681</v>
      </c>
      <c r="W2732" s="82" t="s">
        <v>6099</v>
      </c>
      <c r="X2732" s="80" t="str">
        <f>HYPERLINK("https://mla.bs/0f5b3f73")</f>
        <v>https://mla.bs/0f5b3f73</v>
      </c>
      <c r="Y2732" s="77" t="s">
        <v>6506</v>
      </c>
      <c r="Z2732" s="77"/>
      <c r="AA2732" s="77"/>
      <c r="AB2732" s="77"/>
      <c r="AC2732" s="82" t="s">
        <v>7754</v>
      </c>
      <c r="AD2732" s="77" t="s">
        <v>7788</v>
      </c>
      <c r="AE2732" s="80" t="str">
        <f>HYPERLINK("https://twitter.com/einvestidor/status/1684166674784878592")</f>
        <v>https://twitter.com/einvestidor/status/1684166674784878592</v>
      </c>
      <c r="AF2732" s="79">
        <v>45133.486111111109</v>
      </c>
      <c r="AG2732" s="85">
        <v>45133</v>
      </c>
      <c r="AH2732" s="82" t="s">
        <v>9805</v>
      </c>
      <c r="AI2732" s="77" t="b">
        <v>0</v>
      </c>
      <c r="AJ2732" s="77"/>
      <c r="AK2732" s="77"/>
      <c r="AL2732" s="77"/>
      <c r="AM2732" s="77"/>
      <c r="AN2732" s="77"/>
      <c r="AO2732" s="77"/>
      <c r="AP2732" s="77"/>
      <c r="AQ2732" s="77"/>
      <c r="AR2732" s="77"/>
      <c r="AS2732" s="77"/>
      <c r="AT2732" s="77"/>
      <c r="AU2732" s="77"/>
      <c r="AV2732" s="80" t="str">
        <f>HYPERLINK("https://pbs.twimg.com/profile_images/1241147984924082183/gZgx_hL-_normal.jpg")</f>
        <v>https://pbs.twimg.com/profile_images/1241147984924082183/gZgx_hL-_normal.jpg</v>
      </c>
      <c r="AW2732" s="82" t="s">
        <v>14328</v>
      </c>
      <c r="AX2732" s="82" t="s">
        <v>14328</v>
      </c>
      <c r="AY2732" s="77"/>
      <c r="AZ2732" s="82" t="s">
        <v>15984</v>
      </c>
      <c r="BA2732" s="82" t="s">
        <v>15984</v>
      </c>
      <c r="BB2732" s="82" t="s">
        <v>15984</v>
      </c>
      <c r="BC2732" s="82" t="s">
        <v>14328</v>
      </c>
      <c r="BD2732" s="82" t="s">
        <v>15979</v>
      </c>
      <c r="BE2732" s="77"/>
      <c r="BF2732" s="77"/>
      <c r="BG2732" s="77"/>
      <c r="BH2732" s="77"/>
      <c r="BI2732" s="77"/>
    </row>
    <row r="2733" spans="1:61" x14ac:dyDescent="0.25">
      <c r="A2733" s="62" t="s">
        <v>387</v>
      </c>
      <c r="B2733" s="62" t="s">
        <v>387</v>
      </c>
      <c r="C2733" s="63"/>
      <c r="D2733" s="64"/>
      <c r="E2733" s="65"/>
      <c r="F2733" s="66"/>
      <c r="G2733" s="63"/>
      <c r="H2733" s="67"/>
      <c r="I2733" s="68"/>
      <c r="J2733" s="68"/>
      <c r="K2733" s="32"/>
      <c r="L2733" s="75">
        <v>2733</v>
      </c>
      <c r="M2733" s="75"/>
      <c r="N2733" s="70"/>
      <c r="O2733" s="77" t="s">
        <v>179</v>
      </c>
      <c r="P2733" s="79">
        <v>45133.125011574077</v>
      </c>
      <c r="Q2733" s="77" t="s">
        <v>3405</v>
      </c>
      <c r="R2733" s="77">
        <v>0</v>
      </c>
      <c r="S2733" s="77">
        <v>1</v>
      </c>
      <c r="T2733" s="77">
        <v>0</v>
      </c>
      <c r="U2733" s="77">
        <v>0</v>
      </c>
      <c r="V2733" s="77">
        <v>619</v>
      </c>
      <c r="W2733" s="82" t="s">
        <v>4833</v>
      </c>
      <c r="X2733" s="80" t="str">
        <f>HYPERLINK("https://mla.bs/f215c73b")</f>
        <v>https://mla.bs/f215c73b</v>
      </c>
      <c r="Y2733" s="77" t="s">
        <v>6506</v>
      </c>
      <c r="Z2733" s="77"/>
      <c r="AA2733" s="77"/>
      <c r="AB2733" s="77"/>
      <c r="AC2733" s="82" t="s">
        <v>7754</v>
      </c>
      <c r="AD2733" s="77" t="s">
        <v>7788</v>
      </c>
      <c r="AE2733" s="80" t="str">
        <f>HYPERLINK("https://twitter.com/einvestidor/status/1684035817659047936")</f>
        <v>https://twitter.com/einvestidor/status/1684035817659047936</v>
      </c>
      <c r="AF2733" s="79">
        <v>45133.125011574077</v>
      </c>
      <c r="AG2733" s="85">
        <v>45133</v>
      </c>
      <c r="AH2733" s="82" t="s">
        <v>9806</v>
      </c>
      <c r="AI2733" s="77" t="b">
        <v>0</v>
      </c>
      <c r="AJ2733" s="77"/>
      <c r="AK2733" s="77"/>
      <c r="AL2733" s="77"/>
      <c r="AM2733" s="77"/>
      <c r="AN2733" s="77"/>
      <c r="AO2733" s="77"/>
      <c r="AP2733" s="77"/>
      <c r="AQ2733" s="77"/>
      <c r="AR2733" s="77"/>
      <c r="AS2733" s="77"/>
      <c r="AT2733" s="77"/>
      <c r="AU2733" s="77"/>
      <c r="AV2733" s="80" t="str">
        <f>HYPERLINK("https://pbs.twimg.com/profile_images/1241147984924082183/gZgx_hL-_normal.jpg")</f>
        <v>https://pbs.twimg.com/profile_images/1241147984924082183/gZgx_hL-_normal.jpg</v>
      </c>
      <c r="AW2733" s="82" t="s">
        <v>14329</v>
      </c>
      <c r="AX2733" s="82" t="s">
        <v>14329</v>
      </c>
      <c r="AY2733" s="77"/>
      <c r="AZ2733" s="82" t="s">
        <v>15984</v>
      </c>
      <c r="BA2733" s="82" t="s">
        <v>15984</v>
      </c>
      <c r="BB2733" s="82" t="s">
        <v>15984</v>
      </c>
      <c r="BC2733" s="82" t="s">
        <v>14329</v>
      </c>
      <c r="BD2733" s="82" t="s">
        <v>15979</v>
      </c>
      <c r="BE2733" s="77"/>
      <c r="BF2733" s="77"/>
      <c r="BG2733" s="77"/>
      <c r="BH2733" s="77"/>
      <c r="BI2733" s="77"/>
    </row>
    <row r="2734" spans="1:61" x14ac:dyDescent="0.25">
      <c r="A2734" s="62" t="s">
        <v>387</v>
      </c>
      <c r="B2734" s="62" t="s">
        <v>387</v>
      </c>
      <c r="C2734" s="63"/>
      <c r="D2734" s="64"/>
      <c r="E2734" s="65"/>
      <c r="F2734" s="66"/>
      <c r="G2734" s="63"/>
      <c r="H2734" s="67"/>
      <c r="I2734" s="68"/>
      <c r="J2734" s="68"/>
      <c r="K2734" s="32"/>
      <c r="L2734" s="75">
        <v>2734</v>
      </c>
      <c r="M2734" s="75"/>
      <c r="N2734" s="70"/>
      <c r="O2734" s="77" t="s">
        <v>179</v>
      </c>
      <c r="P2734" s="79">
        <v>45133.114583333336</v>
      </c>
      <c r="Q2734" s="77" t="s">
        <v>3406</v>
      </c>
      <c r="R2734" s="77">
        <v>0</v>
      </c>
      <c r="S2734" s="77">
        <v>0</v>
      </c>
      <c r="T2734" s="77">
        <v>0</v>
      </c>
      <c r="U2734" s="77">
        <v>0</v>
      </c>
      <c r="V2734" s="77">
        <v>769</v>
      </c>
      <c r="W2734" s="82" t="s">
        <v>4833</v>
      </c>
      <c r="X2734" s="80" t="str">
        <f>HYPERLINK("https://mla.bs/a5a99e78")</f>
        <v>https://mla.bs/a5a99e78</v>
      </c>
      <c r="Y2734" s="77" t="s">
        <v>6506</v>
      </c>
      <c r="Z2734" s="77"/>
      <c r="AA2734" s="77"/>
      <c r="AB2734" s="77"/>
      <c r="AC2734" s="82" t="s">
        <v>7754</v>
      </c>
      <c r="AD2734" s="77" t="s">
        <v>7788</v>
      </c>
      <c r="AE2734" s="80" t="str">
        <f>HYPERLINK("https://twitter.com/einvestidor/status/1684032037462880257")</f>
        <v>https://twitter.com/einvestidor/status/1684032037462880257</v>
      </c>
      <c r="AF2734" s="79">
        <v>45133.114583333336</v>
      </c>
      <c r="AG2734" s="85">
        <v>45133</v>
      </c>
      <c r="AH2734" s="82" t="s">
        <v>9807</v>
      </c>
      <c r="AI2734" s="77" t="b">
        <v>0</v>
      </c>
      <c r="AJ2734" s="77"/>
      <c r="AK2734" s="77"/>
      <c r="AL2734" s="77"/>
      <c r="AM2734" s="77"/>
      <c r="AN2734" s="77"/>
      <c r="AO2734" s="77"/>
      <c r="AP2734" s="77"/>
      <c r="AQ2734" s="77"/>
      <c r="AR2734" s="77"/>
      <c r="AS2734" s="77"/>
      <c r="AT2734" s="77"/>
      <c r="AU2734" s="77"/>
      <c r="AV2734" s="80" t="str">
        <f>HYPERLINK("https://pbs.twimg.com/profile_images/1241147984924082183/gZgx_hL-_normal.jpg")</f>
        <v>https://pbs.twimg.com/profile_images/1241147984924082183/gZgx_hL-_normal.jpg</v>
      </c>
      <c r="AW2734" s="82" t="s">
        <v>14330</v>
      </c>
      <c r="AX2734" s="82" t="s">
        <v>14330</v>
      </c>
      <c r="AY2734" s="77"/>
      <c r="AZ2734" s="82" t="s">
        <v>15984</v>
      </c>
      <c r="BA2734" s="82" t="s">
        <v>15984</v>
      </c>
      <c r="BB2734" s="82" t="s">
        <v>15984</v>
      </c>
      <c r="BC2734" s="82" t="s">
        <v>14330</v>
      </c>
      <c r="BD2734" s="82" t="s">
        <v>15979</v>
      </c>
      <c r="BE2734" s="77"/>
      <c r="BF2734" s="77"/>
      <c r="BG2734" s="77"/>
      <c r="BH2734" s="77"/>
      <c r="BI2734" s="77"/>
    </row>
    <row r="2735" spans="1:61" x14ac:dyDescent="0.25">
      <c r="A2735" s="62" t="s">
        <v>387</v>
      </c>
      <c r="B2735" s="62" t="s">
        <v>387</v>
      </c>
      <c r="C2735" s="63"/>
      <c r="D2735" s="64"/>
      <c r="E2735" s="65"/>
      <c r="F2735" s="66"/>
      <c r="G2735" s="63"/>
      <c r="H2735" s="67"/>
      <c r="I2735" s="68"/>
      <c r="J2735" s="68"/>
      <c r="K2735" s="32"/>
      <c r="L2735" s="75">
        <v>2735</v>
      </c>
      <c r="M2735" s="75"/>
      <c r="N2735" s="70"/>
      <c r="O2735" s="77" t="s">
        <v>179</v>
      </c>
      <c r="P2735" s="79">
        <v>45133.104166666664</v>
      </c>
      <c r="Q2735" s="77" t="s">
        <v>3407</v>
      </c>
      <c r="R2735" s="77">
        <v>1</v>
      </c>
      <c r="S2735" s="77">
        <v>4</v>
      </c>
      <c r="T2735" s="77">
        <v>0</v>
      </c>
      <c r="U2735" s="77">
        <v>0</v>
      </c>
      <c r="V2735" s="77">
        <v>851</v>
      </c>
      <c r="W2735" s="82" t="s">
        <v>4833</v>
      </c>
      <c r="X2735" s="80" t="str">
        <f>HYPERLINK("https://mla.bs/73dd89b3")</f>
        <v>https://mla.bs/73dd89b3</v>
      </c>
      <c r="Y2735" s="77" t="s">
        <v>6506</v>
      </c>
      <c r="Z2735" s="77"/>
      <c r="AA2735" s="77"/>
      <c r="AB2735" s="77"/>
      <c r="AC2735" s="82" t="s">
        <v>7754</v>
      </c>
      <c r="AD2735" s="77" t="s">
        <v>7788</v>
      </c>
      <c r="AE2735" s="80" t="str">
        <f>HYPERLINK("https://twitter.com/einvestidor/status/1684028262932967425")</f>
        <v>https://twitter.com/einvestidor/status/1684028262932967425</v>
      </c>
      <c r="AF2735" s="79">
        <v>45133.104166666664</v>
      </c>
      <c r="AG2735" s="85">
        <v>45133</v>
      </c>
      <c r="AH2735" s="82" t="s">
        <v>9287</v>
      </c>
      <c r="AI2735" s="77" t="b">
        <v>0</v>
      </c>
      <c r="AJ2735" s="77"/>
      <c r="AK2735" s="77"/>
      <c r="AL2735" s="77"/>
      <c r="AM2735" s="77"/>
      <c r="AN2735" s="77"/>
      <c r="AO2735" s="77"/>
      <c r="AP2735" s="77"/>
      <c r="AQ2735" s="77"/>
      <c r="AR2735" s="77"/>
      <c r="AS2735" s="77"/>
      <c r="AT2735" s="77"/>
      <c r="AU2735" s="77"/>
      <c r="AV2735" s="80" t="str">
        <f>HYPERLINK("https://pbs.twimg.com/profile_images/1241147984924082183/gZgx_hL-_normal.jpg")</f>
        <v>https://pbs.twimg.com/profile_images/1241147984924082183/gZgx_hL-_normal.jpg</v>
      </c>
      <c r="AW2735" s="82" t="s">
        <v>14331</v>
      </c>
      <c r="AX2735" s="82" t="s">
        <v>14331</v>
      </c>
      <c r="AY2735" s="77"/>
      <c r="AZ2735" s="82" t="s">
        <v>15984</v>
      </c>
      <c r="BA2735" s="82" t="s">
        <v>15984</v>
      </c>
      <c r="BB2735" s="82" t="s">
        <v>15984</v>
      </c>
      <c r="BC2735" s="82" t="s">
        <v>14331</v>
      </c>
      <c r="BD2735" s="82" t="s">
        <v>15979</v>
      </c>
      <c r="BE2735" s="77"/>
      <c r="BF2735" s="77"/>
      <c r="BG2735" s="77"/>
      <c r="BH2735" s="77"/>
      <c r="BI2735" s="77"/>
    </row>
    <row r="2736" spans="1:61" x14ac:dyDescent="0.25">
      <c r="A2736" s="62" t="s">
        <v>387</v>
      </c>
      <c r="B2736" s="62" t="s">
        <v>387</v>
      </c>
      <c r="C2736" s="63"/>
      <c r="D2736" s="64"/>
      <c r="E2736" s="65"/>
      <c r="F2736" s="66"/>
      <c r="G2736" s="63"/>
      <c r="H2736" s="67"/>
      <c r="I2736" s="68"/>
      <c r="J2736" s="68"/>
      <c r="K2736" s="32"/>
      <c r="L2736" s="75">
        <v>2736</v>
      </c>
      <c r="M2736" s="75"/>
      <c r="N2736" s="70"/>
      <c r="O2736" s="77" t="s">
        <v>179</v>
      </c>
      <c r="P2736" s="79">
        <v>45133.09375</v>
      </c>
      <c r="Q2736" s="77" t="s">
        <v>3408</v>
      </c>
      <c r="R2736" s="77">
        <v>0</v>
      </c>
      <c r="S2736" s="77">
        <v>5</v>
      </c>
      <c r="T2736" s="77">
        <v>1</v>
      </c>
      <c r="U2736" s="77">
        <v>1</v>
      </c>
      <c r="V2736" s="77">
        <v>800</v>
      </c>
      <c r="W2736" s="82" t="s">
        <v>6088</v>
      </c>
      <c r="X2736" s="80" t="str">
        <f>HYPERLINK("https://mla.bs/e08f7fc7")</f>
        <v>https://mla.bs/e08f7fc7</v>
      </c>
      <c r="Y2736" s="77" t="s">
        <v>6506</v>
      </c>
      <c r="Z2736" s="77"/>
      <c r="AA2736" s="77"/>
      <c r="AB2736" s="77"/>
      <c r="AC2736" s="82" t="s">
        <v>7754</v>
      </c>
      <c r="AD2736" s="77" t="s">
        <v>7788</v>
      </c>
      <c r="AE2736" s="80" t="str">
        <f>HYPERLINK("https://twitter.com/einvestidor/status/1684024487811973122")</f>
        <v>https://twitter.com/einvestidor/status/1684024487811973122</v>
      </c>
      <c r="AF2736" s="79">
        <v>45133.09375</v>
      </c>
      <c r="AG2736" s="85">
        <v>45133</v>
      </c>
      <c r="AH2736" s="82" t="s">
        <v>9808</v>
      </c>
      <c r="AI2736" s="77" t="b">
        <v>0</v>
      </c>
      <c r="AJ2736" s="77"/>
      <c r="AK2736" s="77"/>
      <c r="AL2736" s="77"/>
      <c r="AM2736" s="77"/>
      <c r="AN2736" s="77"/>
      <c r="AO2736" s="77"/>
      <c r="AP2736" s="77"/>
      <c r="AQ2736" s="77"/>
      <c r="AR2736" s="77"/>
      <c r="AS2736" s="77"/>
      <c r="AT2736" s="77"/>
      <c r="AU2736" s="77"/>
      <c r="AV2736" s="80" t="str">
        <f>HYPERLINK("https://pbs.twimg.com/profile_images/1241147984924082183/gZgx_hL-_normal.jpg")</f>
        <v>https://pbs.twimg.com/profile_images/1241147984924082183/gZgx_hL-_normal.jpg</v>
      </c>
      <c r="AW2736" s="82" t="s">
        <v>14332</v>
      </c>
      <c r="AX2736" s="82" t="s">
        <v>14332</v>
      </c>
      <c r="AY2736" s="77"/>
      <c r="AZ2736" s="82" t="s">
        <v>15984</v>
      </c>
      <c r="BA2736" s="82" t="s">
        <v>15984</v>
      </c>
      <c r="BB2736" s="82" t="s">
        <v>15984</v>
      </c>
      <c r="BC2736" s="82" t="s">
        <v>14332</v>
      </c>
      <c r="BD2736" s="82" t="s">
        <v>15979</v>
      </c>
      <c r="BE2736" s="77"/>
      <c r="BF2736" s="77"/>
      <c r="BG2736" s="77"/>
      <c r="BH2736" s="77"/>
      <c r="BI2736" s="77"/>
    </row>
    <row r="2737" spans="1:61" x14ac:dyDescent="0.25">
      <c r="A2737" s="62" t="s">
        <v>387</v>
      </c>
      <c r="B2737" s="62" t="s">
        <v>387</v>
      </c>
      <c r="C2737" s="63"/>
      <c r="D2737" s="64"/>
      <c r="E2737" s="65"/>
      <c r="F2737" s="66"/>
      <c r="G2737" s="63"/>
      <c r="H2737" s="67"/>
      <c r="I2737" s="68"/>
      <c r="J2737" s="68"/>
      <c r="K2737" s="32"/>
      <c r="L2737" s="75">
        <v>2737</v>
      </c>
      <c r="M2737" s="75"/>
      <c r="N2737" s="70"/>
      <c r="O2737" s="77" t="s">
        <v>179</v>
      </c>
      <c r="P2737" s="79">
        <v>45133.083333333336</v>
      </c>
      <c r="Q2737" s="77" t="s">
        <v>3409</v>
      </c>
      <c r="R2737" s="77">
        <v>0</v>
      </c>
      <c r="S2737" s="77">
        <v>3</v>
      </c>
      <c r="T2737" s="77">
        <v>0</v>
      </c>
      <c r="U2737" s="77">
        <v>0</v>
      </c>
      <c r="V2737" s="77">
        <v>845</v>
      </c>
      <c r="W2737" s="82" t="s">
        <v>4833</v>
      </c>
      <c r="X2737" s="80" t="str">
        <f>HYPERLINK("https://mla.bs/96f4be47")</f>
        <v>https://mla.bs/96f4be47</v>
      </c>
      <c r="Y2737" s="77" t="s">
        <v>6506</v>
      </c>
      <c r="Z2737" s="77"/>
      <c r="AA2737" s="77"/>
      <c r="AB2737" s="77"/>
      <c r="AC2737" s="82" t="s">
        <v>7754</v>
      </c>
      <c r="AD2737" s="77" t="s">
        <v>7788</v>
      </c>
      <c r="AE2737" s="80" t="str">
        <f>HYPERLINK("https://twitter.com/einvestidor/status/1684020715643875328")</f>
        <v>https://twitter.com/einvestidor/status/1684020715643875328</v>
      </c>
      <c r="AF2737" s="79">
        <v>45133.083333333336</v>
      </c>
      <c r="AG2737" s="85">
        <v>45133</v>
      </c>
      <c r="AH2737" s="82" t="s">
        <v>9638</v>
      </c>
      <c r="AI2737" s="77" t="b">
        <v>0</v>
      </c>
      <c r="AJ2737" s="77"/>
      <c r="AK2737" s="77"/>
      <c r="AL2737" s="77"/>
      <c r="AM2737" s="77"/>
      <c r="AN2737" s="77"/>
      <c r="AO2737" s="77"/>
      <c r="AP2737" s="77"/>
      <c r="AQ2737" s="77"/>
      <c r="AR2737" s="77"/>
      <c r="AS2737" s="77"/>
      <c r="AT2737" s="77"/>
      <c r="AU2737" s="77"/>
      <c r="AV2737" s="80" t="str">
        <f>HYPERLINK("https://pbs.twimg.com/profile_images/1241147984924082183/gZgx_hL-_normal.jpg")</f>
        <v>https://pbs.twimg.com/profile_images/1241147984924082183/gZgx_hL-_normal.jpg</v>
      </c>
      <c r="AW2737" s="82" t="s">
        <v>14333</v>
      </c>
      <c r="AX2737" s="82" t="s">
        <v>14333</v>
      </c>
      <c r="AY2737" s="77"/>
      <c r="AZ2737" s="82" t="s">
        <v>15984</v>
      </c>
      <c r="BA2737" s="82" t="s">
        <v>15984</v>
      </c>
      <c r="BB2737" s="82" t="s">
        <v>15984</v>
      </c>
      <c r="BC2737" s="82" t="s">
        <v>14333</v>
      </c>
      <c r="BD2737" s="82" t="s">
        <v>15979</v>
      </c>
      <c r="BE2737" s="77"/>
      <c r="BF2737" s="77"/>
      <c r="BG2737" s="77"/>
      <c r="BH2737" s="77"/>
      <c r="BI2737" s="77"/>
    </row>
    <row r="2738" spans="1:61" x14ac:dyDescent="0.25">
      <c r="A2738" s="62" t="s">
        <v>387</v>
      </c>
      <c r="B2738" s="62" t="s">
        <v>387</v>
      </c>
      <c r="C2738" s="63"/>
      <c r="D2738" s="64"/>
      <c r="E2738" s="65"/>
      <c r="F2738" s="66"/>
      <c r="G2738" s="63"/>
      <c r="H2738" s="67"/>
      <c r="I2738" s="68"/>
      <c r="J2738" s="68"/>
      <c r="K2738" s="32"/>
      <c r="L2738" s="75">
        <v>2738</v>
      </c>
      <c r="M2738" s="75"/>
      <c r="N2738" s="70"/>
      <c r="O2738" s="77" t="s">
        <v>179</v>
      </c>
      <c r="P2738" s="79">
        <v>45133.072916666664</v>
      </c>
      <c r="Q2738" s="77" t="s">
        <v>3410</v>
      </c>
      <c r="R2738" s="77">
        <v>0</v>
      </c>
      <c r="S2738" s="77">
        <v>1</v>
      </c>
      <c r="T2738" s="77">
        <v>0</v>
      </c>
      <c r="U2738" s="77">
        <v>0</v>
      </c>
      <c r="V2738" s="77">
        <v>1058</v>
      </c>
      <c r="W2738" s="82" t="s">
        <v>4833</v>
      </c>
      <c r="X2738" s="80" t="str">
        <f>HYPERLINK("https://mla.bs/6cd4d90b")</f>
        <v>https://mla.bs/6cd4d90b</v>
      </c>
      <c r="Y2738" s="77" t="s">
        <v>6506</v>
      </c>
      <c r="Z2738" s="77"/>
      <c r="AA2738" s="77"/>
      <c r="AB2738" s="77"/>
      <c r="AC2738" s="82" t="s">
        <v>7754</v>
      </c>
      <c r="AD2738" s="77" t="s">
        <v>7788</v>
      </c>
      <c r="AE2738" s="80" t="str">
        <f>HYPERLINK("https://twitter.com/einvestidor/status/1684016938329178112")</f>
        <v>https://twitter.com/einvestidor/status/1684016938329178112</v>
      </c>
      <c r="AF2738" s="79">
        <v>45133.072916666664</v>
      </c>
      <c r="AG2738" s="85">
        <v>45133</v>
      </c>
      <c r="AH2738" s="82" t="s">
        <v>9599</v>
      </c>
      <c r="AI2738" s="77" t="b">
        <v>0</v>
      </c>
      <c r="AJ2738" s="77"/>
      <c r="AK2738" s="77"/>
      <c r="AL2738" s="77"/>
      <c r="AM2738" s="77"/>
      <c r="AN2738" s="77"/>
      <c r="AO2738" s="77"/>
      <c r="AP2738" s="77"/>
      <c r="AQ2738" s="77"/>
      <c r="AR2738" s="77"/>
      <c r="AS2738" s="77"/>
      <c r="AT2738" s="77"/>
      <c r="AU2738" s="77"/>
      <c r="AV2738" s="80" t="str">
        <f>HYPERLINK("https://pbs.twimg.com/profile_images/1241147984924082183/gZgx_hL-_normal.jpg")</f>
        <v>https://pbs.twimg.com/profile_images/1241147984924082183/gZgx_hL-_normal.jpg</v>
      </c>
      <c r="AW2738" s="82" t="s">
        <v>14334</v>
      </c>
      <c r="AX2738" s="82" t="s">
        <v>14334</v>
      </c>
      <c r="AY2738" s="77"/>
      <c r="AZ2738" s="82" t="s">
        <v>15984</v>
      </c>
      <c r="BA2738" s="82" t="s">
        <v>15984</v>
      </c>
      <c r="BB2738" s="82" t="s">
        <v>15984</v>
      </c>
      <c r="BC2738" s="82" t="s">
        <v>14334</v>
      </c>
      <c r="BD2738" s="82" t="s">
        <v>15979</v>
      </c>
      <c r="BE2738" s="77"/>
      <c r="BF2738" s="77"/>
      <c r="BG2738" s="77"/>
      <c r="BH2738" s="77"/>
      <c r="BI2738" s="77"/>
    </row>
    <row r="2739" spans="1:61" x14ac:dyDescent="0.25">
      <c r="A2739" s="62" t="s">
        <v>387</v>
      </c>
      <c r="B2739" s="62" t="s">
        <v>387</v>
      </c>
      <c r="C2739" s="63"/>
      <c r="D2739" s="64"/>
      <c r="E2739" s="65"/>
      <c r="F2739" s="66"/>
      <c r="G2739" s="63"/>
      <c r="H2739" s="67"/>
      <c r="I2739" s="68"/>
      <c r="J2739" s="68"/>
      <c r="K2739" s="32"/>
      <c r="L2739" s="75">
        <v>2739</v>
      </c>
      <c r="M2739" s="75"/>
      <c r="N2739" s="70"/>
      <c r="O2739" s="77" t="s">
        <v>179</v>
      </c>
      <c r="P2739" s="79">
        <v>45133.0625</v>
      </c>
      <c r="Q2739" s="77" t="s">
        <v>3411</v>
      </c>
      <c r="R2739" s="77">
        <v>0</v>
      </c>
      <c r="S2739" s="77">
        <v>3</v>
      </c>
      <c r="T2739" s="77">
        <v>0</v>
      </c>
      <c r="U2739" s="77">
        <v>0</v>
      </c>
      <c r="V2739" s="77">
        <v>737</v>
      </c>
      <c r="W2739" s="82" t="s">
        <v>4833</v>
      </c>
      <c r="X2739" s="80" t="str">
        <f>HYPERLINK("https://mla.bs/5023dcfe")</f>
        <v>https://mla.bs/5023dcfe</v>
      </c>
      <c r="Y2739" s="77" t="s">
        <v>6506</v>
      </c>
      <c r="Z2739" s="77"/>
      <c r="AA2739" s="77"/>
      <c r="AB2739" s="77"/>
      <c r="AC2739" s="82" t="s">
        <v>7754</v>
      </c>
      <c r="AD2739" s="77" t="s">
        <v>7788</v>
      </c>
      <c r="AE2739" s="80" t="str">
        <f>HYPERLINK("https://twitter.com/einvestidor/status/1684013165032652801")</f>
        <v>https://twitter.com/einvestidor/status/1684013165032652801</v>
      </c>
      <c r="AF2739" s="79">
        <v>45133.0625</v>
      </c>
      <c r="AG2739" s="85">
        <v>45133</v>
      </c>
      <c r="AH2739" s="82" t="s">
        <v>9600</v>
      </c>
      <c r="AI2739" s="77" t="b">
        <v>0</v>
      </c>
      <c r="AJ2739" s="77"/>
      <c r="AK2739" s="77"/>
      <c r="AL2739" s="77"/>
      <c r="AM2739" s="77"/>
      <c r="AN2739" s="77"/>
      <c r="AO2739" s="77"/>
      <c r="AP2739" s="77"/>
      <c r="AQ2739" s="77"/>
      <c r="AR2739" s="77"/>
      <c r="AS2739" s="77"/>
      <c r="AT2739" s="77"/>
      <c r="AU2739" s="77"/>
      <c r="AV2739" s="80" t="str">
        <f>HYPERLINK("https://pbs.twimg.com/profile_images/1241147984924082183/gZgx_hL-_normal.jpg")</f>
        <v>https://pbs.twimg.com/profile_images/1241147984924082183/gZgx_hL-_normal.jpg</v>
      </c>
      <c r="AW2739" s="82" t="s">
        <v>14335</v>
      </c>
      <c r="AX2739" s="82" t="s">
        <v>14335</v>
      </c>
      <c r="AY2739" s="77"/>
      <c r="AZ2739" s="82" t="s">
        <v>15984</v>
      </c>
      <c r="BA2739" s="82" t="s">
        <v>15984</v>
      </c>
      <c r="BB2739" s="82" t="s">
        <v>15984</v>
      </c>
      <c r="BC2739" s="82" t="s">
        <v>14335</v>
      </c>
      <c r="BD2739" s="82" t="s">
        <v>15979</v>
      </c>
      <c r="BE2739" s="77"/>
      <c r="BF2739" s="77"/>
      <c r="BG2739" s="77"/>
      <c r="BH2739" s="77"/>
      <c r="BI2739" s="77"/>
    </row>
    <row r="2740" spans="1:61" x14ac:dyDescent="0.25">
      <c r="A2740" s="62" t="s">
        <v>387</v>
      </c>
      <c r="B2740" s="62" t="s">
        <v>387</v>
      </c>
      <c r="C2740" s="63"/>
      <c r="D2740" s="64"/>
      <c r="E2740" s="65"/>
      <c r="F2740" s="66"/>
      <c r="G2740" s="63"/>
      <c r="H2740" s="67"/>
      <c r="I2740" s="68"/>
      <c r="J2740" s="68"/>
      <c r="K2740" s="32"/>
      <c r="L2740" s="75">
        <v>2740</v>
      </c>
      <c r="M2740" s="75"/>
      <c r="N2740" s="70"/>
      <c r="O2740" s="77" t="s">
        <v>179</v>
      </c>
      <c r="P2740" s="79">
        <v>45133.052083333336</v>
      </c>
      <c r="Q2740" s="77" t="s">
        <v>3412</v>
      </c>
      <c r="R2740" s="77">
        <v>0</v>
      </c>
      <c r="S2740" s="77">
        <v>1</v>
      </c>
      <c r="T2740" s="77">
        <v>0</v>
      </c>
      <c r="U2740" s="77">
        <v>0</v>
      </c>
      <c r="V2740" s="77">
        <v>832</v>
      </c>
      <c r="W2740" s="82" t="s">
        <v>4833</v>
      </c>
      <c r="X2740" s="80" t="str">
        <f>HYPERLINK("https://mla.bs/bcbaee22")</f>
        <v>https://mla.bs/bcbaee22</v>
      </c>
      <c r="Y2740" s="77" t="s">
        <v>6506</v>
      </c>
      <c r="Z2740" s="77"/>
      <c r="AA2740" s="77"/>
      <c r="AB2740" s="77"/>
      <c r="AC2740" s="82" t="s">
        <v>7754</v>
      </c>
      <c r="AD2740" s="77" t="s">
        <v>7788</v>
      </c>
      <c r="AE2740" s="80" t="str">
        <f>HYPERLINK("https://twitter.com/einvestidor/status/1684009388590104576")</f>
        <v>https://twitter.com/einvestidor/status/1684009388590104576</v>
      </c>
      <c r="AF2740" s="79">
        <v>45133.052083333336</v>
      </c>
      <c r="AG2740" s="85">
        <v>45133</v>
      </c>
      <c r="AH2740" s="82" t="s">
        <v>9297</v>
      </c>
      <c r="AI2740" s="77" t="b">
        <v>0</v>
      </c>
      <c r="AJ2740" s="77"/>
      <c r="AK2740" s="77"/>
      <c r="AL2740" s="77"/>
      <c r="AM2740" s="77"/>
      <c r="AN2740" s="77"/>
      <c r="AO2740" s="77"/>
      <c r="AP2740" s="77"/>
      <c r="AQ2740" s="77"/>
      <c r="AR2740" s="77"/>
      <c r="AS2740" s="77"/>
      <c r="AT2740" s="77"/>
      <c r="AU2740" s="77"/>
      <c r="AV2740" s="80" t="str">
        <f>HYPERLINK("https://pbs.twimg.com/profile_images/1241147984924082183/gZgx_hL-_normal.jpg")</f>
        <v>https://pbs.twimg.com/profile_images/1241147984924082183/gZgx_hL-_normal.jpg</v>
      </c>
      <c r="AW2740" s="82" t="s">
        <v>14336</v>
      </c>
      <c r="AX2740" s="82" t="s">
        <v>14336</v>
      </c>
      <c r="AY2740" s="77"/>
      <c r="AZ2740" s="82" t="s">
        <v>15984</v>
      </c>
      <c r="BA2740" s="82" t="s">
        <v>15984</v>
      </c>
      <c r="BB2740" s="82" t="s">
        <v>15984</v>
      </c>
      <c r="BC2740" s="82" t="s">
        <v>14336</v>
      </c>
      <c r="BD2740" s="82" t="s">
        <v>15979</v>
      </c>
      <c r="BE2740" s="77"/>
      <c r="BF2740" s="77"/>
      <c r="BG2740" s="77"/>
      <c r="BH2740" s="77"/>
      <c r="BI2740" s="77"/>
    </row>
    <row r="2741" spans="1:61" x14ac:dyDescent="0.25">
      <c r="A2741" s="62" t="s">
        <v>387</v>
      </c>
      <c r="B2741" s="62" t="s">
        <v>387</v>
      </c>
      <c r="C2741" s="63"/>
      <c r="D2741" s="64"/>
      <c r="E2741" s="65"/>
      <c r="F2741" s="66"/>
      <c r="G2741" s="63"/>
      <c r="H2741" s="67"/>
      <c r="I2741" s="68"/>
      <c r="J2741" s="68"/>
      <c r="K2741" s="32"/>
      <c r="L2741" s="75">
        <v>2741</v>
      </c>
      <c r="M2741" s="75"/>
      <c r="N2741" s="70"/>
      <c r="O2741" s="77" t="s">
        <v>179</v>
      </c>
      <c r="P2741" s="79">
        <v>45133.041666666664</v>
      </c>
      <c r="Q2741" s="77" t="s">
        <v>3413</v>
      </c>
      <c r="R2741" s="77">
        <v>0</v>
      </c>
      <c r="S2741" s="77">
        <v>2</v>
      </c>
      <c r="T2741" s="77">
        <v>0</v>
      </c>
      <c r="U2741" s="77">
        <v>0</v>
      </c>
      <c r="V2741" s="77">
        <v>731</v>
      </c>
      <c r="W2741" s="82" t="s">
        <v>4833</v>
      </c>
      <c r="X2741" s="80" t="str">
        <f>HYPERLINK("https://mla.bs/e0d55c32")</f>
        <v>https://mla.bs/e0d55c32</v>
      </c>
      <c r="Y2741" s="77" t="s">
        <v>6506</v>
      </c>
      <c r="Z2741" s="77"/>
      <c r="AA2741" s="77"/>
      <c r="AB2741" s="77"/>
      <c r="AC2741" s="82" t="s">
        <v>7754</v>
      </c>
      <c r="AD2741" s="77" t="s">
        <v>7788</v>
      </c>
      <c r="AE2741" s="80" t="str">
        <f>HYPERLINK("https://twitter.com/einvestidor/status/1684005613360267265")</f>
        <v>https://twitter.com/einvestidor/status/1684005613360267265</v>
      </c>
      <c r="AF2741" s="79">
        <v>45133.041666666664</v>
      </c>
      <c r="AG2741" s="85">
        <v>45133</v>
      </c>
      <c r="AH2741" s="82" t="s">
        <v>8283</v>
      </c>
      <c r="AI2741" s="77" t="b">
        <v>0</v>
      </c>
      <c r="AJ2741" s="77"/>
      <c r="AK2741" s="77"/>
      <c r="AL2741" s="77"/>
      <c r="AM2741" s="77"/>
      <c r="AN2741" s="77"/>
      <c r="AO2741" s="77"/>
      <c r="AP2741" s="77"/>
      <c r="AQ2741" s="77"/>
      <c r="AR2741" s="77"/>
      <c r="AS2741" s="77"/>
      <c r="AT2741" s="77"/>
      <c r="AU2741" s="77"/>
      <c r="AV2741" s="80" t="str">
        <f>HYPERLINK("https://pbs.twimg.com/profile_images/1241147984924082183/gZgx_hL-_normal.jpg")</f>
        <v>https://pbs.twimg.com/profile_images/1241147984924082183/gZgx_hL-_normal.jpg</v>
      </c>
      <c r="AW2741" s="82" t="s">
        <v>14337</v>
      </c>
      <c r="AX2741" s="82" t="s">
        <v>14337</v>
      </c>
      <c r="AY2741" s="77"/>
      <c r="AZ2741" s="82" t="s">
        <v>15984</v>
      </c>
      <c r="BA2741" s="82" t="s">
        <v>15984</v>
      </c>
      <c r="BB2741" s="82" t="s">
        <v>15984</v>
      </c>
      <c r="BC2741" s="82" t="s">
        <v>14337</v>
      </c>
      <c r="BD2741" s="82" t="s">
        <v>15979</v>
      </c>
      <c r="BE2741" s="77"/>
      <c r="BF2741" s="77"/>
      <c r="BG2741" s="77"/>
      <c r="BH2741" s="77"/>
      <c r="BI2741" s="77"/>
    </row>
    <row r="2742" spans="1:61" x14ac:dyDescent="0.25">
      <c r="A2742" s="62" t="s">
        <v>387</v>
      </c>
      <c r="B2742" s="62" t="s">
        <v>387</v>
      </c>
      <c r="C2742" s="63"/>
      <c r="D2742" s="64"/>
      <c r="E2742" s="65"/>
      <c r="F2742" s="66"/>
      <c r="G2742" s="63"/>
      <c r="H2742" s="67"/>
      <c r="I2742" s="68"/>
      <c r="J2742" s="68"/>
      <c r="K2742" s="32"/>
      <c r="L2742" s="75">
        <v>2742</v>
      </c>
      <c r="M2742" s="75"/>
      <c r="N2742" s="70"/>
      <c r="O2742" s="77" t="s">
        <v>179</v>
      </c>
      <c r="P2742" s="79">
        <v>45133.03125</v>
      </c>
      <c r="Q2742" s="77" t="s">
        <v>3414</v>
      </c>
      <c r="R2742" s="77">
        <v>0</v>
      </c>
      <c r="S2742" s="77">
        <v>2</v>
      </c>
      <c r="T2742" s="77">
        <v>0</v>
      </c>
      <c r="U2742" s="77">
        <v>0</v>
      </c>
      <c r="V2742" s="77">
        <v>778</v>
      </c>
      <c r="W2742" s="82" t="s">
        <v>4833</v>
      </c>
      <c r="X2742" s="80" t="str">
        <f>HYPERLINK("https://mla.bs/bc83d9bf")</f>
        <v>https://mla.bs/bc83d9bf</v>
      </c>
      <c r="Y2742" s="77" t="s">
        <v>6506</v>
      </c>
      <c r="Z2742" s="77"/>
      <c r="AA2742" s="77"/>
      <c r="AB2742" s="77"/>
      <c r="AC2742" s="82" t="s">
        <v>7754</v>
      </c>
      <c r="AD2742" s="77" t="s">
        <v>7788</v>
      </c>
      <c r="AE2742" s="80" t="str">
        <f>HYPERLINK("https://twitter.com/einvestidor/status/1684001838536728578")</f>
        <v>https://twitter.com/einvestidor/status/1684001838536728578</v>
      </c>
      <c r="AF2742" s="79">
        <v>45133.03125</v>
      </c>
      <c r="AG2742" s="85">
        <v>45133</v>
      </c>
      <c r="AH2742" s="82" t="s">
        <v>9602</v>
      </c>
      <c r="AI2742" s="77" t="b">
        <v>0</v>
      </c>
      <c r="AJ2742" s="77"/>
      <c r="AK2742" s="77"/>
      <c r="AL2742" s="77"/>
      <c r="AM2742" s="77"/>
      <c r="AN2742" s="77"/>
      <c r="AO2742" s="77"/>
      <c r="AP2742" s="77"/>
      <c r="AQ2742" s="77"/>
      <c r="AR2742" s="77"/>
      <c r="AS2742" s="77"/>
      <c r="AT2742" s="77"/>
      <c r="AU2742" s="77"/>
      <c r="AV2742" s="80" t="str">
        <f>HYPERLINK("https://pbs.twimg.com/profile_images/1241147984924082183/gZgx_hL-_normal.jpg")</f>
        <v>https://pbs.twimg.com/profile_images/1241147984924082183/gZgx_hL-_normal.jpg</v>
      </c>
      <c r="AW2742" s="82" t="s">
        <v>14338</v>
      </c>
      <c r="AX2742" s="82" t="s">
        <v>14338</v>
      </c>
      <c r="AY2742" s="77"/>
      <c r="AZ2742" s="82" t="s">
        <v>15984</v>
      </c>
      <c r="BA2742" s="82" t="s">
        <v>15984</v>
      </c>
      <c r="BB2742" s="82" t="s">
        <v>15984</v>
      </c>
      <c r="BC2742" s="82" t="s">
        <v>14338</v>
      </c>
      <c r="BD2742" s="82" t="s">
        <v>15979</v>
      </c>
      <c r="BE2742" s="77"/>
      <c r="BF2742" s="77"/>
      <c r="BG2742" s="77"/>
      <c r="BH2742" s="77"/>
      <c r="BI2742" s="77"/>
    </row>
    <row r="2743" spans="1:61" x14ac:dyDescent="0.25">
      <c r="A2743" s="62" t="s">
        <v>387</v>
      </c>
      <c r="B2743" s="62" t="s">
        <v>387</v>
      </c>
      <c r="C2743" s="63"/>
      <c r="D2743" s="64"/>
      <c r="E2743" s="65"/>
      <c r="F2743" s="66"/>
      <c r="G2743" s="63"/>
      <c r="H2743" s="67"/>
      <c r="I2743" s="68"/>
      <c r="J2743" s="68"/>
      <c r="K2743" s="32"/>
      <c r="L2743" s="75">
        <v>2743</v>
      </c>
      <c r="M2743" s="75"/>
      <c r="N2743" s="70"/>
      <c r="O2743" s="77" t="s">
        <v>179</v>
      </c>
      <c r="P2743" s="79">
        <v>45133.020833333336</v>
      </c>
      <c r="Q2743" s="77" t="s">
        <v>3415</v>
      </c>
      <c r="R2743" s="77">
        <v>0</v>
      </c>
      <c r="S2743" s="77">
        <v>3</v>
      </c>
      <c r="T2743" s="77">
        <v>0</v>
      </c>
      <c r="U2743" s="77">
        <v>0</v>
      </c>
      <c r="V2743" s="77">
        <v>666</v>
      </c>
      <c r="W2743" s="82" t="s">
        <v>4833</v>
      </c>
      <c r="X2743" s="80" t="str">
        <f>HYPERLINK("https://mla.bs/5a2aa501")</f>
        <v>https://mla.bs/5a2aa501</v>
      </c>
      <c r="Y2743" s="77" t="s">
        <v>6506</v>
      </c>
      <c r="Z2743" s="77"/>
      <c r="AA2743" s="77"/>
      <c r="AB2743" s="77"/>
      <c r="AC2743" s="82" t="s">
        <v>7754</v>
      </c>
      <c r="AD2743" s="77" t="s">
        <v>7788</v>
      </c>
      <c r="AE2743" s="80" t="str">
        <f>HYPERLINK("https://twitter.com/einvestidor/status/1683998066326794242")</f>
        <v>https://twitter.com/einvestidor/status/1683998066326794242</v>
      </c>
      <c r="AF2743" s="79">
        <v>45133.020833333336</v>
      </c>
      <c r="AG2743" s="85">
        <v>45133</v>
      </c>
      <c r="AH2743" s="82" t="s">
        <v>8088</v>
      </c>
      <c r="AI2743" s="77" t="b">
        <v>0</v>
      </c>
      <c r="AJ2743" s="77"/>
      <c r="AK2743" s="77"/>
      <c r="AL2743" s="77"/>
      <c r="AM2743" s="77"/>
      <c r="AN2743" s="77"/>
      <c r="AO2743" s="77"/>
      <c r="AP2743" s="77"/>
      <c r="AQ2743" s="77"/>
      <c r="AR2743" s="77"/>
      <c r="AS2743" s="77"/>
      <c r="AT2743" s="77"/>
      <c r="AU2743" s="77"/>
      <c r="AV2743" s="80" t="str">
        <f>HYPERLINK("https://pbs.twimg.com/profile_images/1241147984924082183/gZgx_hL-_normal.jpg")</f>
        <v>https://pbs.twimg.com/profile_images/1241147984924082183/gZgx_hL-_normal.jpg</v>
      </c>
      <c r="AW2743" s="82" t="s">
        <v>14339</v>
      </c>
      <c r="AX2743" s="82" t="s">
        <v>14339</v>
      </c>
      <c r="AY2743" s="77"/>
      <c r="AZ2743" s="82" t="s">
        <v>15984</v>
      </c>
      <c r="BA2743" s="82" t="s">
        <v>15984</v>
      </c>
      <c r="BB2743" s="82" t="s">
        <v>15984</v>
      </c>
      <c r="BC2743" s="82" t="s">
        <v>14339</v>
      </c>
      <c r="BD2743" s="82" t="s">
        <v>15979</v>
      </c>
      <c r="BE2743" s="77"/>
      <c r="BF2743" s="77"/>
      <c r="BG2743" s="77"/>
      <c r="BH2743" s="77"/>
      <c r="BI2743" s="77"/>
    </row>
    <row r="2744" spans="1:61" x14ac:dyDescent="0.25">
      <c r="A2744" s="62" t="s">
        <v>387</v>
      </c>
      <c r="B2744" s="62" t="s">
        <v>387</v>
      </c>
      <c r="C2744" s="63"/>
      <c r="D2744" s="64"/>
      <c r="E2744" s="65"/>
      <c r="F2744" s="66"/>
      <c r="G2744" s="63"/>
      <c r="H2744" s="67"/>
      <c r="I2744" s="68"/>
      <c r="J2744" s="68"/>
      <c r="K2744" s="32"/>
      <c r="L2744" s="75">
        <v>2744</v>
      </c>
      <c r="M2744" s="75"/>
      <c r="N2744" s="70"/>
      <c r="O2744" s="77" t="s">
        <v>179</v>
      </c>
      <c r="P2744" s="79">
        <v>45133.010416666664</v>
      </c>
      <c r="Q2744" s="77" t="s">
        <v>3416</v>
      </c>
      <c r="R2744" s="77">
        <v>1</v>
      </c>
      <c r="S2744" s="77">
        <v>1</v>
      </c>
      <c r="T2744" s="77">
        <v>0</v>
      </c>
      <c r="U2744" s="77">
        <v>0</v>
      </c>
      <c r="V2744" s="77">
        <v>713</v>
      </c>
      <c r="W2744" s="82" t="s">
        <v>4833</v>
      </c>
      <c r="X2744" s="80" t="str">
        <f>HYPERLINK("https://mla.bs/05786535")</f>
        <v>https://mla.bs/05786535</v>
      </c>
      <c r="Y2744" s="77" t="s">
        <v>6506</v>
      </c>
      <c r="Z2744" s="77"/>
      <c r="AA2744" s="77"/>
      <c r="AB2744" s="77"/>
      <c r="AC2744" s="82" t="s">
        <v>7754</v>
      </c>
      <c r="AD2744" s="77" t="s">
        <v>7788</v>
      </c>
      <c r="AE2744" s="80" t="str">
        <f>HYPERLINK("https://twitter.com/einvestidor/status/1683994288705925120")</f>
        <v>https://twitter.com/einvestidor/status/1683994288705925120</v>
      </c>
      <c r="AF2744" s="79">
        <v>45133.010416666664</v>
      </c>
      <c r="AG2744" s="85">
        <v>45133</v>
      </c>
      <c r="AH2744" s="82" t="s">
        <v>8119</v>
      </c>
      <c r="AI2744" s="77" t="b">
        <v>0</v>
      </c>
      <c r="AJ2744" s="77"/>
      <c r="AK2744" s="77"/>
      <c r="AL2744" s="77"/>
      <c r="AM2744" s="77"/>
      <c r="AN2744" s="77"/>
      <c r="AO2744" s="77"/>
      <c r="AP2744" s="77"/>
      <c r="AQ2744" s="77"/>
      <c r="AR2744" s="77"/>
      <c r="AS2744" s="77"/>
      <c r="AT2744" s="77"/>
      <c r="AU2744" s="77"/>
      <c r="AV2744" s="80" t="str">
        <f>HYPERLINK("https://pbs.twimg.com/profile_images/1241147984924082183/gZgx_hL-_normal.jpg")</f>
        <v>https://pbs.twimg.com/profile_images/1241147984924082183/gZgx_hL-_normal.jpg</v>
      </c>
      <c r="AW2744" s="82" t="s">
        <v>14340</v>
      </c>
      <c r="AX2744" s="82" t="s">
        <v>14340</v>
      </c>
      <c r="AY2744" s="77"/>
      <c r="AZ2744" s="82" t="s">
        <v>15984</v>
      </c>
      <c r="BA2744" s="82" t="s">
        <v>15984</v>
      </c>
      <c r="BB2744" s="82" t="s">
        <v>15984</v>
      </c>
      <c r="BC2744" s="82" t="s">
        <v>14340</v>
      </c>
      <c r="BD2744" s="82" t="s">
        <v>15979</v>
      </c>
      <c r="BE2744" s="77"/>
      <c r="BF2744" s="77"/>
      <c r="BG2744" s="77"/>
      <c r="BH2744" s="77"/>
      <c r="BI2744" s="77"/>
    </row>
    <row r="2745" spans="1:61" x14ac:dyDescent="0.25">
      <c r="A2745" s="62" t="s">
        <v>387</v>
      </c>
      <c r="B2745" s="62" t="s">
        <v>387</v>
      </c>
      <c r="C2745" s="63"/>
      <c r="D2745" s="64"/>
      <c r="E2745" s="65"/>
      <c r="F2745" s="66"/>
      <c r="G2745" s="63"/>
      <c r="H2745" s="67"/>
      <c r="I2745" s="68"/>
      <c r="J2745" s="68"/>
      <c r="K2745" s="32"/>
      <c r="L2745" s="75">
        <v>2745</v>
      </c>
      <c r="M2745" s="75"/>
      <c r="N2745" s="70"/>
      <c r="O2745" s="77" t="s">
        <v>179</v>
      </c>
      <c r="P2745" s="79">
        <v>45133.000011574077</v>
      </c>
      <c r="Q2745" s="77" t="s">
        <v>3417</v>
      </c>
      <c r="R2745" s="77">
        <v>0</v>
      </c>
      <c r="S2745" s="77">
        <v>4</v>
      </c>
      <c r="T2745" s="77">
        <v>0</v>
      </c>
      <c r="U2745" s="77">
        <v>0</v>
      </c>
      <c r="V2745" s="77">
        <v>797</v>
      </c>
      <c r="W2745" s="82" t="s">
        <v>4833</v>
      </c>
      <c r="X2745" s="80" t="str">
        <f>HYPERLINK("https://mla.bs/51ebed41")</f>
        <v>https://mla.bs/51ebed41</v>
      </c>
      <c r="Y2745" s="77" t="s">
        <v>6506</v>
      </c>
      <c r="Z2745" s="77"/>
      <c r="AA2745" s="77"/>
      <c r="AB2745" s="77"/>
      <c r="AC2745" s="82" t="s">
        <v>7754</v>
      </c>
      <c r="AD2745" s="77" t="s">
        <v>7788</v>
      </c>
      <c r="AE2745" s="80" t="str">
        <f>HYPERLINK("https://twitter.com/einvestidor/status/1683990517955145728")</f>
        <v>https://twitter.com/einvestidor/status/1683990517955145728</v>
      </c>
      <c r="AF2745" s="79">
        <v>45133.000011574077</v>
      </c>
      <c r="AG2745" s="85">
        <v>45133</v>
      </c>
      <c r="AH2745" s="82" t="s">
        <v>7883</v>
      </c>
      <c r="AI2745" s="77" t="b">
        <v>0</v>
      </c>
      <c r="AJ2745" s="77"/>
      <c r="AK2745" s="77"/>
      <c r="AL2745" s="77"/>
      <c r="AM2745" s="77"/>
      <c r="AN2745" s="77"/>
      <c r="AO2745" s="77"/>
      <c r="AP2745" s="77"/>
      <c r="AQ2745" s="77"/>
      <c r="AR2745" s="77"/>
      <c r="AS2745" s="77"/>
      <c r="AT2745" s="77"/>
      <c r="AU2745" s="77"/>
      <c r="AV2745" s="80" t="str">
        <f>HYPERLINK("https://pbs.twimg.com/profile_images/1241147984924082183/gZgx_hL-_normal.jpg")</f>
        <v>https://pbs.twimg.com/profile_images/1241147984924082183/gZgx_hL-_normal.jpg</v>
      </c>
      <c r="AW2745" s="82" t="s">
        <v>14341</v>
      </c>
      <c r="AX2745" s="82" t="s">
        <v>14341</v>
      </c>
      <c r="AY2745" s="77"/>
      <c r="AZ2745" s="82" t="s">
        <v>15984</v>
      </c>
      <c r="BA2745" s="82" t="s">
        <v>15984</v>
      </c>
      <c r="BB2745" s="82" t="s">
        <v>15984</v>
      </c>
      <c r="BC2745" s="82" t="s">
        <v>14341</v>
      </c>
      <c r="BD2745" s="82" t="s">
        <v>15979</v>
      </c>
      <c r="BE2745" s="77"/>
      <c r="BF2745" s="77"/>
      <c r="BG2745" s="77"/>
      <c r="BH2745" s="77"/>
      <c r="BI2745" s="77"/>
    </row>
    <row r="2746" spans="1:61" x14ac:dyDescent="0.25">
      <c r="A2746" s="62" t="s">
        <v>387</v>
      </c>
      <c r="B2746" s="62" t="s">
        <v>387</v>
      </c>
      <c r="C2746" s="63"/>
      <c r="D2746" s="64"/>
      <c r="E2746" s="65"/>
      <c r="F2746" s="66"/>
      <c r="G2746" s="63"/>
      <c r="H2746" s="67"/>
      <c r="I2746" s="68"/>
      <c r="J2746" s="68"/>
      <c r="K2746" s="32"/>
      <c r="L2746" s="75">
        <v>2746</v>
      </c>
      <c r="M2746" s="75"/>
      <c r="N2746" s="70"/>
      <c r="O2746" s="77" t="s">
        <v>179</v>
      </c>
      <c r="P2746" s="79">
        <v>45132.989583333336</v>
      </c>
      <c r="Q2746" s="77" t="s">
        <v>3418</v>
      </c>
      <c r="R2746" s="77">
        <v>0</v>
      </c>
      <c r="S2746" s="77">
        <v>2</v>
      </c>
      <c r="T2746" s="77">
        <v>0</v>
      </c>
      <c r="U2746" s="77">
        <v>0</v>
      </c>
      <c r="V2746" s="77">
        <v>738</v>
      </c>
      <c r="W2746" s="82" t="s">
        <v>4833</v>
      </c>
      <c r="X2746" s="80" t="str">
        <f>HYPERLINK("https://mla.bs/677f3c47")</f>
        <v>https://mla.bs/677f3c47</v>
      </c>
      <c r="Y2746" s="77" t="s">
        <v>6506</v>
      </c>
      <c r="Z2746" s="77"/>
      <c r="AA2746" s="77"/>
      <c r="AB2746" s="77"/>
      <c r="AC2746" s="82" t="s">
        <v>7754</v>
      </c>
      <c r="AD2746" s="77" t="s">
        <v>7788</v>
      </c>
      <c r="AE2746" s="80" t="str">
        <f>HYPERLINK("https://twitter.com/einvestidor/status/1683986739118104577")</f>
        <v>https://twitter.com/einvestidor/status/1683986739118104577</v>
      </c>
      <c r="AF2746" s="79">
        <v>45132.989583333336</v>
      </c>
      <c r="AG2746" s="85">
        <v>45132</v>
      </c>
      <c r="AH2746" s="82" t="s">
        <v>9620</v>
      </c>
      <c r="AI2746" s="77" t="b">
        <v>0</v>
      </c>
      <c r="AJ2746" s="77"/>
      <c r="AK2746" s="77"/>
      <c r="AL2746" s="77"/>
      <c r="AM2746" s="77"/>
      <c r="AN2746" s="77"/>
      <c r="AO2746" s="77"/>
      <c r="AP2746" s="77"/>
      <c r="AQ2746" s="77"/>
      <c r="AR2746" s="77"/>
      <c r="AS2746" s="77"/>
      <c r="AT2746" s="77"/>
      <c r="AU2746" s="77"/>
      <c r="AV2746" s="80" t="str">
        <f>HYPERLINK("https://pbs.twimg.com/profile_images/1241147984924082183/gZgx_hL-_normal.jpg")</f>
        <v>https://pbs.twimg.com/profile_images/1241147984924082183/gZgx_hL-_normal.jpg</v>
      </c>
      <c r="AW2746" s="82" t="s">
        <v>14342</v>
      </c>
      <c r="AX2746" s="82" t="s">
        <v>14342</v>
      </c>
      <c r="AY2746" s="77"/>
      <c r="AZ2746" s="82" t="s">
        <v>15984</v>
      </c>
      <c r="BA2746" s="82" t="s">
        <v>15984</v>
      </c>
      <c r="BB2746" s="82" t="s">
        <v>15984</v>
      </c>
      <c r="BC2746" s="82" t="s">
        <v>14342</v>
      </c>
      <c r="BD2746" s="82" t="s">
        <v>15979</v>
      </c>
      <c r="BE2746" s="77"/>
      <c r="BF2746" s="77"/>
      <c r="BG2746" s="77"/>
      <c r="BH2746" s="77"/>
      <c r="BI2746" s="77"/>
    </row>
    <row r="2747" spans="1:61" x14ac:dyDescent="0.25">
      <c r="A2747" s="62" t="s">
        <v>387</v>
      </c>
      <c r="B2747" s="62" t="s">
        <v>387</v>
      </c>
      <c r="C2747" s="63"/>
      <c r="D2747" s="64"/>
      <c r="E2747" s="65"/>
      <c r="F2747" s="66"/>
      <c r="G2747" s="63"/>
      <c r="H2747" s="67"/>
      <c r="I2747" s="68"/>
      <c r="J2747" s="68"/>
      <c r="K2747" s="32"/>
      <c r="L2747" s="75">
        <v>2747</v>
      </c>
      <c r="M2747" s="75"/>
      <c r="N2747" s="70"/>
      <c r="O2747" s="77" t="s">
        <v>179</v>
      </c>
      <c r="P2747" s="79">
        <v>45132.979166666664</v>
      </c>
      <c r="Q2747" s="77" t="s">
        <v>3419</v>
      </c>
      <c r="R2747" s="77">
        <v>0</v>
      </c>
      <c r="S2747" s="77">
        <v>0</v>
      </c>
      <c r="T2747" s="77">
        <v>0</v>
      </c>
      <c r="U2747" s="77">
        <v>0</v>
      </c>
      <c r="V2747" s="77">
        <v>616</v>
      </c>
      <c r="W2747" s="82" t="s">
        <v>4833</v>
      </c>
      <c r="X2747" s="80" t="str">
        <f>HYPERLINK("https://mla.bs/5c122ee7")</f>
        <v>https://mla.bs/5c122ee7</v>
      </c>
      <c r="Y2747" s="77" t="s">
        <v>6506</v>
      </c>
      <c r="Z2747" s="77"/>
      <c r="AA2747" s="77"/>
      <c r="AB2747" s="77"/>
      <c r="AC2747" s="82" t="s">
        <v>7754</v>
      </c>
      <c r="AD2747" s="77" t="s">
        <v>7788</v>
      </c>
      <c r="AE2747" s="80" t="str">
        <f>HYPERLINK("https://twitter.com/einvestidor/status/1683982964961542145")</f>
        <v>https://twitter.com/einvestidor/status/1683982964961542145</v>
      </c>
      <c r="AF2747" s="79">
        <v>45132.979166666664</v>
      </c>
      <c r="AG2747" s="85">
        <v>45132</v>
      </c>
      <c r="AH2747" s="82" t="s">
        <v>7928</v>
      </c>
      <c r="AI2747" s="77" t="b">
        <v>0</v>
      </c>
      <c r="AJ2747" s="77"/>
      <c r="AK2747" s="77"/>
      <c r="AL2747" s="77"/>
      <c r="AM2747" s="77"/>
      <c r="AN2747" s="77"/>
      <c r="AO2747" s="77"/>
      <c r="AP2747" s="77"/>
      <c r="AQ2747" s="77"/>
      <c r="AR2747" s="77"/>
      <c r="AS2747" s="77"/>
      <c r="AT2747" s="77"/>
      <c r="AU2747" s="77"/>
      <c r="AV2747" s="80" t="str">
        <f>HYPERLINK("https://pbs.twimg.com/profile_images/1241147984924082183/gZgx_hL-_normal.jpg")</f>
        <v>https://pbs.twimg.com/profile_images/1241147984924082183/gZgx_hL-_normal.jpg</v>
      </c>
      <c r="AW2747" s="82" t="s">
        <v>14343</v>
      </c>
      <c r="AX2747" s="82" t="s">
        <v>14343</v>
      </c>
      <c r="AY2747" s="77"/>
      <c r="AZ2747" s="82" t="s">
        <v>15984</v>
      </c>
      <c r="BA2747" s="82" t="s">
        <v>15984</v>
      </c>
      <c r="BB2747" s="82" t="s">
        <v>15984</v>
      </c>
      <c r="BC2747" s="82" t="s">
        <v>14343</v>
      </c>
      <c r="BD2747" s="82" t="s">
        <v>15979</v>
      </c>
      <c r="BE2747" s="77"/>
      <c r="BF2747" s="77"/>
      <c r="BG2747" s="77"/>
      <c r="BH2747" s="77"/>
      <c r="BI2747" s="77"/>
    </row>
    <row r="2748" spans="1:61" x14ac:dyDescent="0.25">
      <c r="A2748" s="62" t="s">
        <v>387</v>
      </c>
      <c r="B2748" s="62" t="s">
        <v>387</v>
      </c>
      <c r="C2748" s="63"/>
      <c r="D2748" s="64"/>
      <c r="E2748" s="65"/>
      <c r="F2748" s="66"/>
      <c r="G2748" s="63"/>
      <c r="H2748" s="67"/>
      <c r="I2748" s="68"/>
      <c r="J2748" s="68"/>
      <c r="K2748" s="32"/>
      <c r="L2748" s="75">
        <v>2748</v>
      </c>
      <c r="M2748" s="75"/>
      <c r="N2748" s="70"/>
      <c r="O2748" s="77" t="s">
        <v>179</v>
      </c>
      <c r="P2748" s="79">
        <v>45184.475081018521</v>
      </c>
      <c r="Q2748" s="77" t="s">
        <v>3420</v>
      </c>
      <c r="R2748" s="77">
        <v>0</v>
      </c>
      <c r="S2748" s="77">
        <v>1</v>
      </c>
      <c r="T2748" s="77">
        <v>0</v>
      </c>
      <c r="U2748" s="77">
        <v>0</v>
      </c>
      <c r="V2748" s="77">
        <v>437</v>
      </c>
      <c r="W2748" s="82" t="s">
        <v>4839</v>
      </c>
      <c r="X2748" s="80" t="str">
        <f>HYPERLINK("https://einvestidor.estadao.com.br/ultimas/bolsas-europa-juros-bce-ganhos-ontem/?utm_source=twitter&amp;utm_medium=organic&amp;utm_campaign=europa&amp;utm_content=materia")</f>
        <v>https://einvestidor.estadao.com.br/ultimas/bolsas-europa-juros-bce-ganhos-ontem/?utm_source=twitter&amp;utm_medium=organic&amp;utm_campaign=europa&amp;utm_content=materia</v>
      </c>
      <c r="Y2748" s="77" t="s">
        <v>6470</v>
      </c>
      <c r="Z2748" s="77"/>
      <c r="AA2748" s="77"/>
      <c r="AB2748" s="77"/>
      <c r="AC2748" s="82" t="s">
        <v>7750</v>
      </c>
      <c r="AD2748" s="77" t="s">
        <v>7788</v>
      </c>
      <c r="AE2748" s="80" t="str">
        <f>HYPERLINK("https://twitter.com/einvestidor/status/1702644458557247623")</f>
        <v>https://twitter.com/einvestidor/status/1702644458557247623</v>
      </c>
      <c r="AF2748" s="79">
        <v>45184.475081018521</v>
      </c>
      <c r="AG2748" s="85">
        <v>45184</v>
      </c>
      <c r="AH2748" s="82" t="s">
        <v>9809</v>
      </c>
      <c r="AI2748" s="77" t="b">
        <v>0</v>
      </c>
      <c r="AJ2748" s="77"/>
      <c r="AK2748" s="77"/>
      <c r="AL2748" s="77"/>
      <c r="AM2748" s="77"/>
      <c r="AN2748" s="77"/>
      <c r="AO2748" s="77"/>
      <c r="AP2748" s="77"/>
      <c r="AQ2748" s="77"/>
      <c r="AR2748" s="77"/>
      <c r="AS2748" s="77"/>
      <c r="AT2748" s="77"/>
      <c r="AU2748" s="77"/>
      <c r="AV2748" s="80" t="str">
        <f>HYPERLINK("https://pbs.twimg.com/profile_images/1241147984924082183/gZgx_hL-_normal.jpg")</f>
        <v>https://pbs.twimg.com/profile_images/1241147984924082183/gZgx_hL-_normal.jpg</v>
      </c>
      <c r="AW2748" s="82" t="s">
        <v>14344</v>
      </c>
      <c r="AX2748" s="82" t="s">
        <v>14344</v>
      </c>
      <c r="AY2748" s="77"/>
      <c r="AZ2748" s="82" t="s">
        <v>15984</v>
      </c>
      <c r="BA2748" s="82" t="s">
        <v>15984</v>
      </c>
      <c r="BB2748" s="82" t="s">
        <v>15984</v>
      </c>
      <c r="BC2748" s="82" t="s">
        <v>14344</v>
      </c>
      <c r="BD2748" s="82" t="s">
        <v>15979</v>
      </c>
      <c r="BE2748" s="77"/>
      <c r="BF2748" s="77"/>
      <c r="BG2748" s="77"/>
      <c r="BH2748" s="77"/>
      <c r="BI2748" s="77"/>
    </row>
    <row r="2749" spans="1:61" x14ac:dyDescent="0.25">
      <c r="A2749" s="62" t="s">
        <v>387</v>
      </c>
      <c r="B2749" s="62" t="s">
        <v>387</v>
      </c>
      <c r="C2749" s="63"/>
      <c r="D2749" s="64"/>
      <c r="E2749" s="65"/>
      <c r="F2749" s="66"/>
      <c r="G2749" s="63"/>
      <c r="H2749" s="67"/>
      <c r="I2749" s="68"/>
      <c r="J2749" s="68"/>
      <c r="K2749" s="32"/>
      <c r="L2749" s="75">
        <v>2749</v>
      </c>
      <c r="M2749" s="75"/>
      <c r="N2749" s="70"/>
      <c r="O2749" s="77" t="s">
        <v>179</v>
      </c>
      <c r="P2749" s="79">
        <v>45183.979166666664</v>
      </c>
      <c r="Q2749" s="77" t="s">
        <v>3421</v>
      </c>
      <c r="R2749" s="77">
        <v>0</v>
      </c>
      <c r="S2749" s="77">
        <v>1</v>
      </c>
      <c r="T2749" s="77">
        <v>0</v>
      </c>
      <c r="U2749" s="77">
        <v>0</v>
      </c>
      <c r="V2749" s="77">
        <v>657</v>
      </c>
      <c r="W2749" s="82" t="s">
        <v>4833</v>
      </c>
      <c r="X2749" s="80" t="str">
        <f>HYPERLINK("https://einvestidor.estadao.com.br/ultimas/xp-avalia-dados-operacionais-agosto-b3/?utm_source=twitter&amp;utm_medium=organic&amp;utm_campaign=&amp;utm_content=materia")</f>
        <v>https://einvestidor.estadao.com.br/ultimas/xp-avalia-dados-operacionais-agosto-b3/?utm_source=twitter&amp;utm_medium=organic&amp;utm_campaign=&amp;utm_content=materia</v>
      </c>
      <c r="Y2749" s="77" t="s">
        <v>6470</v>
      </c>
      <c r="Z2749" s="77"/>
      <c r="AA2749" s="77"/>
      <c r="AB2749" s="77"/>
      <c r="AC2749" s="82" t="s">
        <v>7750</v>
      </c>
      <c r="AD2749" s="77" t="s">
        <v>7788</v>
      </c>
      <c r="AE2749" s="80" t="str">
        <f>HYPERLINK("https://twitter.com/einvestidor/status/1702464747461886239")</f>
        <v>https://twitter.com/einvestidor/status/1702464747461886239</v>
      </c>
      <c r="AF2749" s="79">
        <v>45183.979166666664</v>
      </c>
      <c r="AG2749" s="85">
        <v>45183</v>
      </c>
      <c r="AH2749" s="82" t="s">
        <v>7928</v>
      </c>
      <c r="AI2749" s="77" t="b">
        <v>0</v>
      </c>
      <c r="AJ2749" s="77"/>
      <c r="AK2749" s="77"/>
      <c r="AL2749" s="77"/>
      <c r="AM2749" s="77"/>
      <c r="AN2749" s="77"/>
      <c r="AO2749" s="77"/>
      <c r="AP2749" s="77"/>
      <c r="AQ2749" s="77"/>
      <c r="AR2749" s="77"/>
      <c r="AS2749" s="77"/>
      <c r="AT2749" s="77"/>
      <c r="AU2749" s="77"/>
      <c r="AV2749" s="80" t="str">
        <f>HYPERLINK("https://pbs.twimg.com/profile_images/1241147984924082183/gZgx_hL-_normal.jpg")</f>
        <v>https://pbs.twimg.com/profile_images/1241147984924082183/gZgx_hL-_normal.jpg</v>
      </c>
      <c r="AW2749" s="82" t="s">
        <v>14345</v>
      </c>
      <c r="AX2749" s="82" t="s">
        <v>14345</v>
      </c>
      <c r="AY2749" s="77"/>
      <c r="AZ2749" s="82" t="s">
        <v>15984</v>
      </c>
      <c r="BA2749" s="82" t="s">
        <v>15984</v>
      </c>
      <c r="BB2749" s="82" t="s">
        <v>15984</v>
      </c>
      <c r="BC2749" s="82" t="s">
        <v>14345</v>
      </c>
      <c r="BD2749" s="82" t="s">
        <v>15979</v>
      </c>
      <c r="BE2749" s="77"/>
      <c r="BF2749" s="77"/>
      <c r="BG2749" s="77"/>
      <c r="BH2749" s="77"/>
      <c r="BI2749" s="77"/>
    </row>
    <row r="2750" spans="1:61" x14ac:dyDescent="0.25">
      <c r="A2750" s="62" t="s">
        <v>387</v>
      </c>
      <c r="B2750" s="62" t="s">
        <v>387</v>
      </c>
      <c r="C2750" s="63"/>
      <c r="D2750" s="64"/>
      <c r="E2750" s="65"/>
      <c r="F2750" s="66"/>
      <c r="G2750" s="63"/>
      <c r="H2750" s="67"/>
      <c r="I2750" s="68"/>
      <c r="J2750" s="68"/>
      <c r="K2750" s="32"/>
      <c r="L2750" s="75">
        <v>2750</v>
      </c>
      <c r="M2750" s="75"/>
      <c r="N2750" s="70"/>
      <c r="O2750" s="77" t="s">
        <v>179</v>
      </c>
      <c r="P2750" s="79">
        <v>45183.84375</v>
      </c>
      <c r="Q2750" s="77" t="s">
        <v>3422</v>
      </c>
      <c r="R2750" s="77">
        <v>0</v>
      </c>
      <c r="S2750" s="77">
        <v>2</v>
      </c>
      <c r="T2750" s="77">
        <v>0</v>
      </c>
      <c r="U2750" s="77">
        <v>0</v>
      </c>
      <c r="V2750" s="77">
        <v>431</v>
      </c>
      <c r="W2750" s="82" t="s">
        <v>6100</v>
      </c>
      <c r="X2750" s="80" t="str">
        <f>HYPERLINK("https://einvestidor.estadao.com.br/radar-einvestidor/sony-snec34-acoes-sobem-apos-anuncio-sobre-blockchain/?utm_source=twitter&amp;utm_medium=organic&amp;utm_campaign=&amp;utm_content=materia")</f>
        <v>https://einvestidor.estadao.com.br/radar-einvestidor/sony-snec34-acoes-sobem-apos-anuncio-sobre-blockchain/?utm_source=twitter&amp;utm_medium=organic&amp;utm_campaign=&amp;utm_content=materia</v>
      </c>
      <c r="Y2750" s="77" t="s">
        <v>6470</v>
      </c>
      <c r="Z2750" s="77"/>
      <c r="AA2750" s="77"/>
      <c r="AB2750" s="77"/>
      <c r="AC2750" s="82" t="s">
        <v>7750</v>
      </c>
      <c r="AD2750" s="77" t="s">
        <v>7788</v>
      </c>
      <c r="AE2750" s="80" t="str">
        <f>HYPERLINK("https://twitter.com/einvestidor/status/1702415672184021458")</f>
        <v>https://twitter.com/einvestidor/status/1702415672184021458</v>
      </c>
      <c r="AF2750" s="79">
        <v>45183.84375</v>
      </c>
      <c r="AG2750" s="85">
        <v>45183</v>
      </c>
      <c r="AH2750" s="82" t="s">
        <v>9296</v>
      </c>
      <c r="AI2750" s="77" t="b">
        <v>0</v>
      </c>
      <c r="AJ2750" s="77"/>
      <c r="AK2750" s="77"/>
      <c r="AL2750" s="77"/>
      <c r="AM2750" s="77"/>
      <c r="AN2750" s="77"/>
      <c r="AO2750" s="77"/>
      <c r="AP2750" s="77"/>
      <c r="AQ2750" s="77"/>
      <c r="AR2750" s="77"/>
      <c r="AS2750" s="77"/>
      <c r="AT2750" s="77"/>
      <c r="AU2750" s="77"/>
      <c r="AV2750" s="80" t="str">
        <f>HYPERLINK("https://pbs.twimg.com/profile_images/1241147984924082183/gZgx_hL-_normal.jpg")</f>
        <v>https://pbs.twimg.com/profile_images/1241147984924082183/gZgx_hL-_normal.jpg</v>
      </c>
      <c r="AW2750" s="82" t="s">
        <v>14346</v>
      </c>
      <c r="AX2750" s="82" t="s">
        <v>14346</v>
      </c>
      <c r="AY2750" s="77"/>
      <c r="AZ2750" s="82" t="s">
        <v>15984</v>
      </c>
      <c r="BA2750" s="82" t="s">
        <v>15984</v>
      </c>
      <c r="BB2750" s="82" t="s">
        <v>15984</v>
      </c>
      <c r="BC2750" s="82" t="s">
        <v>14346</v>
      </c>
      <c r="BD2750" s="82" t="s">
        <v>15979</v>
      </c>
      <c r="BE2750" s="77"/>
      <c r="BF2750" s="77"/>
      <c r="BG2750" s="77"/>
      <c r="BH2750" s="77"/>
      <c r="BI2750" s="77"/>
    </row>
    <row r="2751" spans="1:61" x14ac:dyDescent="0.25">
      <c r="A2751" s="62" t="s">
        <v>387</v>
      </c>
      <c r="B2751" s="62" t="s">
        <v>387</v>
      </c>
      <c r="C2751" s="63"/>
      <c r="D2751" s="64"/>
      <c r="E2751" s="65"/>
      <c r="F2751" s="66"/>
      <c r="G2751" s="63"/>
      <c r="H2751" s="67"/>
      <c r="I2751" s="68"/>
      <c r="J2751" s="68"/>
      <c r="K2751" s="32"/>
      <c r="L2751" s="75">
        <v>2751</v>
      </c>
      <c r="M2751" s="75"/>
      <c r="N2751" s="70"/>
      <c r="O2751" s="77" t="s">
        <v>179</v>
      </c>
      <c r="P2751" s="79">
        <v>45182.9375</v>
      </c>
      <c r="Q2751" s="77" t="s">
        <v>3423</v>
      </c>
      <c r="R2751" s="77">
        <v>0</v>
      </c>
      <c r="S2751" s="77">
        <v>0</v>
      </c>
      <c r="T2751" s="77">
        <v>0</v>
      </c>
      <c r="U2751" s="77">
        <v>0</v>
      </c>
      <c r="V2751" s="77">
        <v>486</v>
      </c>
      <c r="W2751" s="82" t="s">
        <v>4833</v>
      </c>
      <c r="X2751" s="80" t="str">
        <f>HYPERLINK("https://einvestidor.estadao.com.br/ultimas/juros-treasuries-fecham-mistos-apos-cpi-eua-ampliar-incertezas-fed/?utm_source=twitter&amp;utm_medium=organic&amp;utm_campaign=&amp;utm_content=materia")</f>
        <v>https://einvestidor.estadao.com.br/ultimas/juros-treasuries-fecham-mistos-apos-cpi-eua-ampliar-incertezas-fed/?utm_source=twitter&amp;utm_medium=organic&amp;utm_campaign=&amp;utm_content=materia</v>
      </c>
      <c r="Y2751" s="77" t="s">
        <v>6470</v>
      </c>
      <c r="Z2751" s="77"/>
      <c r="AA2751" s="77"/>
      <c r="AB2751" s="77"/>
      <c r="AC2751" s="82" t="s">
        <v>7750</v>
      </c>
      <c r="AD2751" s="77" t="s">
        <v>7788</v>
      </c>
      <c r="AE2751" s="80" t="str">
        <f>HYPERLINK("https://twitter.com/einvestidor/status/1702087260542255615")</f>
        <v>https://twitter.com/einvestidor/status/1702087260542255615</v>
      </c>
      <c r="AF2751" s="79">
        <v>45182.9375</v>
      </c>
      <c r="AG2751" s="85">
        <v>45182</v>
      </c>
      <c r="AH2751" s="82" t="s">
        <v>7926</v>
      </c>
      <c r="AI2751" s="77" t="b">
        <v>0</v>
      </c>
      <c r="AJ2751" s="77"/>
      <c r="AK2751" s="77"/>
      <c r="AL2751" s="77"/>
      <c r="AM2751" s="77"/>
      <c r="AN2751" s="77"/>
      <c r="AO2751" s="77"/>
      <c r="AP2751" s="77"/>
      <c r="AQ2751" s="77"/>
      <c r="AR2751" s="77"/>
      <c r="AS2751" s="77"/>
      <c r="AT2751" s="77"/>
      <c r="AU2751" s="77"/>
      <c r="AV2751" s="80" t="str">
        <f>HYPERLINK("https://pbs.twimg.com/profile_images/1241147984924082183/gZgx_hL-_normal.jpg")</f>
        <v>https://pbs.twimg.com/profile_images/1241147984924082183/gZgx_hL-_normal.jpg</v>
      </c>
      <c r="AW2751" s="82" t="s">
        <v>14347</v>
      </c>
      <c r="AX2751" s="82" t="s">
        <v>14347</v>
      </c>
      <c r="AY2751" s="77"/>
      <c r="AZ2751" s="82" t="s">
        <v>15984</v>
      </c>
      <c r="BA2751" s="82" t="s">
        <v>15984</v>
      </c>
      <c r="BB2751" s="82" t="s">
        <v>15984</v>
      </c>
      <c r="BC2751" s="82" t="s">
        <v>14347</v>
      </c>
      <c r="BD2751" s="82" t="s">
        <v>15979</v>
      </c>
      <c r="BE2751" s="77"/>
      <c r="BF2751" s="77"/>
      <c r="BG2751" s="77"/>
      <c r="BH2751" s="77"/>
      <c r="BI2751" s="77"/>
    </row>
    <row r="2752" spans="1:61" x14ac:dyDescent="0.25">
      <c r="A2752" s="62" t="s">
        <v>387</v>
      </c>
      <c r="B2752" s="62" t="s">
        <v>387</v>
      </c>
      <c r="C2752" s="63"/>
      <c r="D2752" s="64"/>
      <c r="E2752" s="65"/>
      <c r="F2752" s="66"/>
      <c r="G2752" s="63"/>
      <c r="H2752" s="67"/>
      <c r="I2752" s="68"/>
      <c r="J2752" s="68"/>
      <c r="K2752" s="32"/>
      <c r="L2752" s="75">
        <v>2752</v>
      </c>
      <c r="M2752" s="75"/>
      <c r="N2752" s="70"/>
      <c r="O2752" s="77" t="s">
        <v>179</v>
      </c>
      <c r="P2752" s="79">
        <v>45181.888171296298</v>
      </c>
      <c r="Q2752" s="77" t="s">
        <v>3424</v>
      </c>
      <c r="R2752" s="77">
        <v>0</v>
      </c>
      <c r="S2752" s="77">
        <v>2</v>
      </c>
      <c r="T2752" s="77">
        <v>0</v>
      </c>
      <c r="U2752" s="77">
        <v>0</v>
      </c>
      <c r="V2752" s="77">
        <v>489</v>
      </c>
      <c r="W2752" s="82" t="s">
        <v>6101</v>
      </c>
      <c r="X2752" s="80" t="str">
        <f>HYPERLINK("https://einvestidor.estadao.com.br/mercado/piores-acoes-ibovespa-braskem-locaweb-csn/?utm_source=twitter&amp;utm_medium=organic&amp;utm_campaign=&amp;utm_content=materia")</f>
        <v>https://einvestidor.estadao.com.br/mercado/piores-acoes-ibovespa-braskem-locaweb-csn/?utm_source=twitter&amp;utm_medium=organic&amp;utm_campaign=&amp;utm_content=materia</v>
      </c>
      <c r="Y2752" s="77" t="s">
        <v>6470</v>
      </c>
      <c r="Z2752" s="77"/>
      <c r="AA2752" s="77"/>
      <c r="AB2752" s="77"/>
      <c r="AC2752" s="82" t="s">
        <v>7750</v>
      </c>
      <c r="AD2752" s="77" t="s">
        <v>7788</v>
      </c>
      <c r="AE2752" s="80" t="str">
        <f>HYPERLINK("https://twitter.com/einvestidor/status/1701706996029014425")</f>
        <v>https://twitter.com/einvestidor/status/1701706996029014425</v>
      </c>
      <c r="AF2752" s="79">
        <v>45181.888171296298</v>
      </c>
      <c r="AG2752" s="85">
        <v>45181</v>
      </c>
      <c r="AH2752" s="82" t="s">
        <v>9810</v>
      </c>
      <c r="AI2752" s="77" t="b">
        <v>0</v>
      </c>
      <c r="AJ2752" s="77"/>
      <c r="AK2752" s="77"/>
      <c r="AL2752" s="77"/>
      <c r="AM2752" s="77"/>
      <c r="AN2752" s="77"/>
      <c r="AO2752" s="77"/>
      <c r="AP2752" s="77"/>
      <c r="AQ2752" s="77"/>
      <c r="AR2752" s="77"/>
      <c r="AS2752" s="77"/>
      <c r="AT2752" s="77"/>
      <c r="AU2752" s="77"/>
      <c r="AV2752" s="80" t="str">
        <f>HYPERLINK("https://pbs.twimg.com/profile_images/1241147984924082183/gZgx_hL-_normal.jpg")</f>
        <v>https://pbs.twimg.com/profile_images/1241147984924082183/gZgx_hL-_normal.jpg</v>
      </c>
      <c r="AW2752" s="82" t="s">
        <v>14348</v>
      </c>
      <c r="AX2752" s="82" t="s">
        <v>14348</v>
      </c>
      <c r="AY2752" s="77"/>
      <c r="AZ2752" s="82" t="s">
        <v>15984</v>
      </c>
      <c r="BA2752" s="82" t="s">
        <v>15984</v>
      </c>
      <c r="BB2752" s="82" t="s">
        <v>15984</v>
      </c>
      <c r="BC2752" s="82" t="s">
        <v>14348</v>
      </c>
      <c r="BD2752" s="82" t="s">
        <v>15979</v>
      </c>
      <c r="BE2752" s="77"/>
      <c r="BF2752" s="77"/>
      <c r="BG2752" s="77"/>
      <c r="BH2752" s="77"/>
      <c r="BI2752" s="77"/>
    </row>
    <row r="2753" spans="1:61" x14ac:dyDescent="0.25">
      <c r="A2753" s="62" t="s">
        <v>387</v>
      </c>
      <c r="B2753" s="62" t="s">
        <v>387</v>
      </c>
      <c r="C2753" s="63"/>
      <c r="D2753" s="64"/>
      <c r="E2753" s="65"/>
      <c r="F2753" s="66"/>
      <c r="G2753" s="63"/>
      <c r="H2753" s="67"/>
      <c r="I2753" s="68"/>
      <c r="J2753" s="68"/>
      <c r="K2753" s="32"/>
      <c r="L2753" s="75">
        <v>2753</v>
      </c>
      <c r="M2753" s="75"/>
      <c r="N2753" s="70"/>
      <c r="O2753" s="77" t="s">
        <v>179</v>
      </c>
      <c r="P2753" s="79">
        <v>45181.886516203704</v>
      </c>
      <c r="Q2753" s="77" t="s">
        <v>3425</v>
      </c>
      <c r="R2753" s="77">
        <v>0</v>
      </c>
      <c r="S2753" s="77">
        <v>1</v>
      </c>
      <c r="T2753" s="77">
        <v>0</v>
      </c>
      <c r="U2753" s="77">
        <v>0</v>
      </c>
      <c r="V2753" s="77">
        <v>454</v>
      </c>
      <c r="W2753" s="82" t="s">
        <v>6102</v>
      </c>
      <c r="X2753" s="80" t="str">
        <f>HYPERLINK("https://einvestidor.estadao.com.br/mercado/melhores-acoes-ibovespa-petz-petz3-assai-asai3-hapvida-hapv3/?utm_source=twitter&amp;utm_medium=organic&amp;utm_campaign=&amp;utm_content=materia")</f>
        <v>https://einvestidor.estadao.com.br/mercado/melhores-acoes-ibovespa-petz-petz3-assai-asai3-hapvida-hapv3/?utm_source=twitter&amp;utm_medium=organic&amp;utm_campaign=&amp;utm_content=materia</v>
      </c>
      <c r="Y2753" s="77" t="s">
        <v>6470</v>
      </c>
      <c r="Z2753" s="77"/>
      <c r="AA2753" s="77"/>
      <c r="AB2753" s="77"/>
      <c r="AC2753" s="82" t="s">
        <v>7750</v>
      </c>
      <c r="AD2753" s="77" t="s">
        <v>7788</v>
      </c>
      <c r="AE2753" s="80" t="str">
        <f>HYPERLINK("https://twitter.com/einvestidor/status/1701706393697575333")</f>
        <v>https://twitter.com/einvestidor/status/1701706393697575333</v>
      </c>
      <c r="AF2753" s="79">
        <v>45181.886516203704</v>
      </c>
      <c r="AG2753" s="85">
        <v>45181</v>
      </c>
      <c r="AH2753" s="82" t="s">
        <v>9811</v>
      </c>
      <c r="AI2753" s="77" t="b">
        <v>0</v>
      </c>
      <c r="AJ2753" s="77"/>
      <c r="AK2753" s="77"/>
      <c r="AL2753" s="77"/>
      <c r="AM2753" s="77"/>
      <c r="AN2753" s="77"/>
      <c r="AO2753" s="77"/>
      <c r="AP2753" s="77"/>
      <c r="AQ2753" s="77"/>
      <c r="AR2753" s="77"/>
      <c r="AS2753" s="77"/>
      <c r="AT2753" s="77"/>
      <c r="AU2753" s="77"/>
      <c r="AV2753" s="80" t="str">
        <f>HYPERLINK("https://pbs.twimg.com/profile_images/1241147984924082183/gZgx_hL-_normal.jpg")</f>
        <v>https://pbs.twimg.com/profile_images/1241147984924082183/gZgx_hL-_normal.jpg</v>
      </c>
      <c r="AW2753" s="82" t="s">
        <v>14349</v>
      </c>
      <c r="AX2753" s="82" t="s">
        <v>14349</v>
      </c>
      <c r="AY2753" s="77"/>
      <c r="AZ2753" s="82" t="s">
        <v>15984</v>
      </c>
      <c r="BA2753" s="82" t="s">
        <v>15984</v>
      </c>
      <c r="BB2753" s="82" t="s">
        <v>15984</v>
      </c>
      <c r="BC2753" s="82" t="s">
        <v>14349</v>
      </c>
      <c r="BD2753" s="82" t="s">
        <v>15979</v>
      </c>
      <c r="BE2753" s="77"/>
      <c r="BF2753" s="77"/>
      <c r="BG2753" s="77"/>
      <c r="BH2753" s="77"/>
      <c r="BI2753" s="77"/>
    </row>
    <row r="2754" spans="1:61" x14ac:dyDescent="0.25">
      <c r="A2754" s="62" t="s">
        <v>387</v>
      </c>
      <c r="B2754" s="62" t="s">
        <v>387</v>
      </c>
      <c r="C2754" s="63"/>
      <c r="D2754" s="64"/>
      <c r="E2754" s="65"/>
      <c r="F2754" s="66"/>
      <c r="G2754" s="63"/>
      <c r="H2754" s="67"/>
      <c r="I2754" s="68"/>
      <c r="J2754" s="68"/>
      <c r="K2754" s="32"/>
      <c r="L2754" s="75">
        <v>2754</v>
      </c>
      <c r="M2754" s="75"/>
      <c r="N2754" s="70"/>
      <c r="O2754" s="77" t="s">
        <v>179</v>
      </c>
      <c r="P2754" s="79">
        <v>45181.875011574077</v>
      </c>
      <c r="Q2754" s="77" t="s">
        <v>3426</v>
      </c>
      <c r="R2754" s="77">
        <v>0</v>
      </c>
      <c r="S2754" s="77">
        <v>0</v>
      </c>
      <c r="T2754" s="77">
        <v>0</v>
      </c>
      <c r="U2754" s="77">
        <v>0</v>
      </c>
      <c r="V2754" s="77">
        <v>480</v>
      </c>
      <c r="W2754" s="82" t="s">
        <v>6103</v>
      </c>
      <c r="X2754" s="80" t="str">
        <f>HYPERLINK("https://einvestidor.estadao.com.br/educacao-financeira/como-antecipar-saque-aniversario-fgts-nubank/?utm_source=twitter&amp;utm_medium=organic&amp;utm_campaign=&amp;utm_content=materia")</f>
        <v>https://einvestidor.estadao.com.br/educacao-financeira/como-antecipar-saque-aniversario-fgts-nubank/?utm_source=twitter&amp;utm_medium=organic&amp;utm_campaign=&amp;utm_content=materia</v>
      </c>
      <c r="Y2754" s="77" t="s">
        <v>6470</v>
      </c>
      <c r="Z2754" s="77"/>
      <c r="AA2754" s="77"/>
      <c r="AB2754" s="77"/>
      <c r="AC2754" s="82" t="s">
        <v>7750</v>
      </c>
      <c r="AD2754" s="77" t="s">
        <v>7788</v>
      </c>
      <c r="AE2754" s="80" t="str">
        <f>HYPERLINK("https://twitter.com/einvestidor/status/1701702227164090691")</f>
        <v>https://twitter.com/einvestidor/status/1701702227164090691</v>
      </c>
      <c r="AF2754" s="79">
        <v>45181.875011574077</v>
      </c>
      <c r="AG2754" s="85">
        <v>45181</v>
      </c>
      <c r="AH2754" s="82" t="s">
        <v>7871</v>
      </c>
      <c r="AI2754" s="77" t="b">
        <v>0</v>
      </c>
      <c r="AJ2754" s="77"/>
      <c r="AK2754" s="77"/>
      <c r="AL2754" s="77"/>
      <c r="AM2754" s="77"/>
      <c r="AN2754" s="77"/>
      <c r="AO2754" s="77"/>
      <c r="AP2754" s="77"/>
      <c r="AQ2754" s="77"/>
      <c r="AR2754" s="77"/>
      <c r="AS2754" s="77"/>
      <c r="AT2754" s="77"/>
      <c r="AU2754" s="77"/>
      <c r="AV2754" s="80" t="str">
        <f>HYPERLINK("https://pbs.twimg.com/profile_images/1241147984924082183/gZgx_hL-_normal.jpg")</f>
        <v>https://pbs.twimg.com/profile_images/1241147984924082183/gZgx_hL-_normal.jpg</v>
      </c>
      <c r="AW2754" s="82" t="s">
        <v>14350</v>
      </c>
      <c r="AX2754" s="82" t="s">
        <v>14350</v>
      </c>
      <c r="AY2754" s="77"/>
      <c r="AZ2754" s="82" t="s">
        <v>15984</v>
      </c>
      <c r="BA2754" s="82" t="s">
        <v>15984</v>
      </c>
      <c r="BB2754" s="82" t="s">
        <v>15984</v>
      </c>
      <c r="BC2754" s="82" t="s">
        <v>14350</v>
      </c>
      <c r="BD2754" s="82" t="s">
        <v>15979</v>
      </c>
      <c r="BE2754" s="77"/>
      <c r="BF2754" s="77"/>
      <c r="BG2754" s="77"/>
      <c r="BH2754" s="77"/>
      <c r="BI2754" s="77"/>
    </row>
    <row r="2755" spans="1:61" x14ac:dyDescent="0.25">
      <c r="A2755" s="62" t="s">
        <v>387</v>
      </c>
      <c r="B2755" s="62" t="s">
        <v>387</v>
      </c>
      <c r="C2755" s="63"/>
      <c r="D2755" s="64"/>
      <c r="E2755" s="65"/>
      <c r="F2755" s="66"/>
      <c r="G2755" s="63"/>
      <c r="H2755" s="67"/>
      <c r="I2755" s="68"/>
      <c r="J2755" s="68"/>
      <c r="K2755" s="32"/>
      <c r="L2755" s="75">
        <v>2755</v>
      </c>
      <c r="M2755" s="75"/>
      <c r="N2755" s="70"/>
      <c r="O2755" s="77" t="s">
        <v>179</v>
      </c>
      <c r="P2755" s="79">
        <v>45177.020833333336</v>
      </c>
      <c r="Q2755" s="77" t="s">
        <v>3427</v>
      </c>
      <c r="R2755" s="77">
        <v>0</v>
      </c>
      <c r="S2755" s="77">
        <v>0</v>
      </c>
      <c r="T2755" s="77">
        <v>0</v>
      </c>
      <c r="U2755" s="77">
        <v>0</v>
      </c>
      <c r="V2755" s="77">
        <v>727</v>
      </c>
      <c r="W2755" s="82" t="s">
        <v>6088</v>
      </c>
      <c r="X2755" s="80" t="str">
        <f>HYPERLINK("https://einvestidor.estadao.com.br/negocios/elon-musk-tesla-casa-regulamentacoes-federais/?utm_source=twitter&amp;utm_medium=organic&amp;utm_campaign=&amp;utm_content=materia")</f>
        <v>https://einvestidor.estadao.com.br/negocios/elon-musk-tesla-casa-regulamentacoes-federais/?utm_source=twitter&amp;utm_medium=organic&amp;utm_campaign=&amp;utm_content=materia</v>
      </c>
      <c r="Y2755" s="77" t="s">
        <v>6470</v>
      </c>
      <c r="Z2755" s="77"/>
      <c r="AA2755" s="77"/>
      <c r="AB2755" s="77"/>
      <c r="AC2755" s="82" t="s">
        <v>7750</v>
      </c>
      <c r="AD2755" s="77" t="s">
        <v>7788</v>
      </c>
      <c r="AE2755" s="80" t="str">
        <f>HYPERLINK("https://twitter.com/einvestidor/status/1699943130609721811")</f>
        <v>https://twitter.com/einvestidor/status/1699943130609721811</v>
      </c>
      <c r="AF2755" s="79">
        <v>45177.020833333336</v>
      </c>
      <c r="AG2755" s="85">
        <v>45177</v>
      </c>
      <c r="AH2755" s="82" t="s">
        <v>8088</v>
      </c>
      <c r="AI2755" s="77" t="b">
        <v>0</v>
      </c>
      <c r="AJ2755" s="77"/>
      <c r="AK2755" s="77"/>
      <c r="AL2755" s="77"/>
      <c r="AM2755" s="77"/>
      <c r="AN2755" s="77"/>
      <c r="AO2755" s="77"/>
      <c r="AP2755" s="77"/>
      <c r="AQ2755" s="77"/>
      <c r="AR2755" s="77"/>
      <c r="AS2755" s="77"/>
      <c r="AT2755" s="77"/>
      <c r="AU2755" s="77"/>
      <c r="AV2755" s="80" t="str">
        <f>HYPERLINK("https://pbs.twimg.com/profile_images/1241147984924082183/gZgx_hL-_normal.jpg")</f>
        <v>https://pbs.twimg.com/profile_images/1241147984924082183/gZgx_hL-_normal.jpg</v>
      </c>
      <c r="AW2755" s="82" t="s">
        <v>14351</v>
      </c>
      <c r="AX2755" s="82" t="s">
        <v>14351</v>
      </c>
      <c r="AY2755" s="77"/>
      <c r="AZ2755" s="82" t="s">
        <v>15984</v>
      </c>
      <c r="BA2755" s="82" t="s">
        <v>15984</v>
      </c>
      <c r="BB2755" s="82" t="s">
        <v>15984</v>
      </c>
      <c r="BC2755" s="82" t="s">
        <v>14351</v>
      </c>
      <c r="BD2755" s="82" t="s">
        <v>15979</v>
      </c>
      <c r="BE2755" s="77"/>
      <c r="BF2755" s="77"/>
      <c r="BG2755" s="77"/>
      <c r="BH2755" s="77"/>
      <c r="BI2755" s="77"/>
    </row>
    <row r="2756" spans="1:61" x14ac:dyDescent="0.25">
      <c r="A2756" s="62" t="s">
        <v>387</v>
      </c>
      <c r="B2756" s="62" t="s">
        <v>387</v>
      </c>
      <c r="C2756" s="63"/>
      <c r="D2756" s="64"/>
      <c r="E2756" s="65"/>
      <c r="F2756" s="66"/>
      <c r="G2756" s="63"/>
      <c r="H2756" s="67"/>
      <c r="I2756" s="68"/>
      <c r="J2756" s="68"/>
      <c r="K2756" s="32"/>
      <c r="L2756" s="75">
        <v>2756</v>
      </c>
      <c r="M2756" s="75"/>
      <c r="N2756" s="70"/>
      <c r="O2756" s="77" t="s">
        <v>179</v>
      </c>
      <c r="P2756" s="79">
        <v>45174.890046296299</v>
      </c>
      <c r="Q2756" s="77" t="s">
        <v>3428</v>
      </c>
      <c r="R2756" s="77">
        <v>0</v>
      </c>
      <c r="S2756" s="77">
        <v>0</v>
      </c>
      <c r="T2756" s="77">
        <v>0</v>
      </c>
      <c r="U2756" s="77">
        <v>0</v>
      </c>
      <c r="V2756" s="77">
        <v>595</v>
      </c>
      <c r="W2756" s="82" t="s">
        <v>6104</v>
      </c>
      <c r="X2756" s="80" t="str">
        <f>HYPERLINK("https://einvestidor.estadao.com.br/mercado/piores-acoes-ibovespa-via-viia3-cvc-cvcb3-azul-azul4/?utm_source=twitter&amp;utm_medium=organic&amp;utm_campaign=&amp;utm_content=materia")</f>
        <v>https://einvestidor.estadao.com.br/mercado/piores-acoes-ibovespa-via-viia3-cvc-cvcb3-azul-azul4/?utm_source=twitter&amp;utm_medium=organic&amp;utm_campaign=&amp;utm_content=materia</v>
      </c>
      <c r="Y2756" s="77" t="s">
        <v>6470</v>
      </c>
      <c r="Z2756" s="77"/>
      <c r="AA2756" s="77"/>
      <c r="AB2756" s="77"/>
      <c r="AC2756" s="82" t="s">
        <v>7750</v>
      </c>
      <c r="AD2756" s="77" t="s">
        <v>7788</v>
      </c>
      <c r="AE2756" s="80" t="str">
        <f>HYPERLINK("https://twitter.com/einvestidor/status/1699170961495323024")</f>
        <v>https://twitter.com/einvestidor/status/1699170961495323024</v>
      </c>
      <c r="AF2756" s="79">
        <v>45174.890046296299</v>
      </c>
      <c r="AG2756" s="85">
        <v>45174</v>
      </c>
      <c r="AH2756" s="82" t="s">
        <v>9812</v>
      </c>
      <c r="AI2756" s="77" t="b">
        <v>0</v>
      </c>
      <c r="AJ2756" s="77"/>
      <c r="AK2756" s="77"/>
      <c r="AL2756" s="77"/>
      <c r="AM2756" s="77"/>
      <c r="AN2756" s="77"/>
      <c r="AO2756" s="77"/>
      <c r="AP2756" s="77"/>
      <c r="AQ2756" s="77"/>
      <c r="AR2756" s="77"/>
      <c r="AS2756" s="77"/>
      <c r="AT2756" s="77"/>
      <c r="AU2756" s="77"/>
      <c r="AV2756" s="80" t="str">
        <f>HYPERLINK("https://pbs.twimg.com/profile_images/1241147984924082183/gZgx_hL-_normal.jpg")</f>
        <v>https://pbs.twimg.com/profile_images/1241147984924082183/gZgx_hL-_normal.jpg</v>
      </c>
      <c r="AW2756" s="82" t="s">
        <v>14352</v>
      </c>
      <c r="AX2756" s="82" t="s">
        <v>14352</v>
      </c>
      <c r="AY2756" s="77"/>
      <c r="AZ2756" s="82" t="s">
        <v>15984</v>
      </c>
      <c r="BA2756" s="82" t="s">
        <v>15984</v>
      </c>
      <c r="BB2756" s="82" t="s">
        <v>15984</v>
      </c>
      <c r="BC2756" s="82" t="s">
        <v>14352</v>
      </c>
      <c r="BD2756" s="82" t="s">
        <v>15979</v>
      </c>
      <c r="BE2756" s="77"/>
      <c r="BF2756" s="77"/>
      <c r="BG2756" s="77"/>
      <c r="BH2756" s="77"/>
      <c r="BI2756" s="77"/>
    </row>
    <row r="2757" spans="1:61" x14ac:dyDescent="0.25">
      <c r="A2757" s="62" t="s">
        <v>387</v>
      </c>
      <c r="B2757" s="62" t="s">
        <v>387</v>
      </c>
      <c r="C2757" s="63"/>
      <c r="D2757" s="64"/>
      <c r="E2757" s="65"/>
      <c r="F2757" s="66"/>
      <c r="G2757" s="63"/>
      <c r="H2757" s="67"/>
      <c r="I2757" s="68"/>
      <c r="J2757" s="68"/>
      <c r="K2757" s="32"/>
      <c r="L2757" s="75">
        <v>2757</v>
      </c>
      <c r="M2757" s="75"/>
      <c r="N2757" s="70"/>
      <c r="O2757" s="77" t="s">
        <v>179</v>
      </c>
      <c r="P2757" s="79">
        <v>45174.889097222222</v>
      </c>
      <c r="Q2757" s="77" t="s">
        <v>3429</v>
      </c>
      <c r="R2757" s="77">
        <v>0</v>
      </c>
      <c r="S2757" s="77">
        <v>0</v>
      </c>
      <c r="T2757" s="77">
        <v>0</v>
      </c>
      <c r="U2757" s="77">
        <v>0</v>
      </c>
      <c r="V2757" s="77">
        <v>458</v>
      </c>
      <c r="W2757" s="82" t="s">
        <v>6105</v>
      </c>
      <c r="X2757" s="80" t="str">
        <f>HYPERLINK("https://einvestidor.estadao.com.br/mercado/melhores-acoes-ibovespa-petrobras-petr3-assai-asai3-raizen-raiz4/?utm_source=twitter&amp;utm_medium=organic&amp;utm_campaign=&amp;utm_content=materia")</f>
        <v>https://einvestidor.estadao.com.br/mercado/melhores-acoes-ibovespa-petrobras-petr3-assai-asai3-raizen-raiz4/?utm_source=twitter&amp;utm_medium=organic&amp;utm_campaign=&amp;utm_content=materia</v>
      </c>
      <c r="Y2757" s="77" t="s">
        <v>6470</v>
      </c>
      <c r="Z2757" s="77"/>
      <c r="AA2757" s="77"/>
      <c r="AB2757" s="77"/>
      <c r="AC2757" s="82" t="s">
        <v>7750</v>
      </c>
      <c r="AD2757" s="77" t="s">
        <v>7788</v>
      </c>
      <c r="AE2757" s="80" t="str">
        <f>HYPERLINK("https://twitter.com/einvestidor/status/1699170617008812352")</f>
        <v>https://twitter.com/einvestidor/status/1699170617008812352</v>
      </c>
      <c r="AF2757" s="79">
        <v>45174.889097222222</v>
      </c>
      <c r="AG2757" s="85">
        <v>45174</v>
      </c>
      <c r="AH2757" s="82" t="s">
        <v>9813</v>
      </c>
      <c r="AI2757" s="77" t="b">
        <v>0</v>
      </c>
      <c r="AJ2757" s="77"/>
      <c r="AK2757" s="77"/>
      <c r="AL2757" s="77"/>
      <c r="AM2757" s="77"/>
      <c r="AN2757" s="77"/>
      <c r="AO2757" s="77"/>
      <c r="AP2757" s="77"/>
      <c r="AQ2757" s="77"/>
      <c r="AR2757" s="77"/>
      <c r="AS2757" s="77"/>
      <c r="AT2757" s="77"/>
      <c r="AU2757" s="77"/>
      <c r="AV2757" s="80" t="str">
        <f>HYPERLINK("https://pbs.twimg.com/profile_images/1241147984924082183/gZgx_hL-_normal.jpg")</f>
        <v>https://pbs.twimg.com/profile_images/1241147984924082183/gZgx_hL-_normal.jpg</v>
      </c>
      <c r="AW2757" s="82" t="s">
        <v>14353</v>
      </c>
      <c r="AX2757" s="82" t="s">
        <v>14353</v>
      </c>
      <c r="AY2757" s="77"/>
      <c r="AZ2757" s="82" t="s">
        <v>15984</v>
      </c>
      <c r="BA2757" s="82" t="s">
        <v>15984</v>
      </c>
      <c r="BB2757" s="82" t="s">
        <v>15984</v>
      </c>
      <c r="BC2757" s="82" t="s">
        <v>14353</v>
      </c>
      <c r="BD2757" s="82" t="s">
        <v>15979</v>
      </c>
      <c r="BE2757" s="77"/>
      <c r="BF2757" s="77"/>
      <c r="BG2757" s="77"/>
      <c r="BH2757" s="77"/>
      <c r="BI2757" s="77"/>
    </row>
    <row r="2758" spans="1:61" x14ac:dyDescent="0.25">
      <c r="A2758" s="62" t="s">
        <v>387</v>
      </c>
      <c r="B2758" s="62" t="s">
        <v>387</v>
      </c>
      <c r="C2758" s="63"/>
      <c r="D2758" s="64"/>
      <c r="E2758" s="65"/>
      <c r="F2758" s="66"/>
      <c r="G2758" s="63"/>
      <c r="H2758" s="67"/>
      <c r="I2758" s="68"/>
      <c r="J2758" s="68"/>
      <c r="K2758" s="32"/>
      <c r="L2758" s="75">
        <v>2758</v>
      </c>
      <c r="M2758" s="75"/>
      <c r="N2758" s="70"/>
      <c r="O2758" s="77" t="s">
        <v>179</v>
      </c>
      <c r="P2758" s="79">
        <v>45174.885416666664</v>
      </c>
      <c r="Q2758" s="77" t="s">
        <v>3430</v>
      </c>
      <c r="R2758" s="77">
        <v>0</v>
      </c>
      <c r="S2758" s="77">
        <v>1</v>
      </c>
      <c r="T2758" s="77">
        <v>0</v>
      </c>
      <c r="U2758" s="77">
        <v>0</v>
      </c>
      <c r="V2758" s="77">
        <v>444</v>
      </c>
      <c r="W2758" s="82" t="s">
        <v>6037</v>
      </c>
      <c r="X2758" s="80" t="str">
        <f>HYPERLINK("https://einvestidor.estadao.com.br/radar-einvestidor/lotofacil-da-independencia-2023-horario-apostas/?utm_source=twitter&amp;utm_medium=organic&amp;utm_campaign=&amp;utm_content=materia")</f>
        <v>https://einvestidor.estadao.com.br/radar-einvestidor/lotofacil-da-independencia-2023-horario-apostas/?utm_source=twitter&amp;utm_medium=organic&amp;utm_campaign=&amp;utm_content=materia</v>
      </c>
      <c r="Y2758" s="77" t="s">
        <v>6470</v>
      </c>
      <c r="Z2758" s="77"/>
      <c r="AA2758" s="77"/>
      <c r="AB2758" s="77"/>
      <c r="AC2758" s="82" t="s">
        <v>7750</v>
      </c>
      <c r="AD2758" s="77" t="s">
        <v>7788</v>
      </c>
      <c r="AE2758" s="80" t="str">
        <f>HYPERLINK("https://twitter.com/einvestidor/status/1699169280733159745")</f>
        <v>https://twitter.com/einvestidor/status/1699169280733159745</v>
      </c>
      <c r="AF2758" s="79">
        <v>45174.885416666664</v>
      </c>
      <c r="AG2758" s="85">
        <v>45174</v>
      </c>
      <c r="AH2758" s="82" t="s">
        <v>8206</v>
      </c>
      <c r="AI2758" s="77" t="b">
        <v>0</v>
      </c>
      <c r="AJ2758" s="77"/>
      <c r="AK2758" s="77"/>
      <c r="AL2758" s="77"/>
      <c r="AM2758" s="77"/>
      <c r="AN2758" s="77"/>
      <c r="AO2758" s="77"/>
      <c r="AP2758" s="77"/>
      <c r="AQ2758" s="77"/>
      <c r="AR2758" s="77"/>
      <c r="AS2758" s="77"/>
      <c r="AT2758" s="77"/>
      <c r="AU2758" s="77"/>
      <c r="AV2758" s="80" t="str">
        <f>HYPERLINK("https://pbs.twimg.com/profile_images/1241147984924082183/gZgx_hL-_normal.jpg")</f>
        <v>https://pbs.twimg.com/profile_images/1241147984924082183/gZgx_hL-_normal.jpg</v>
      </c>
      <c r="AW2758" s="82" t="s">
        <v>14354</v>
      </c>
      <c r="AX2758" s="82" t="s">
        <v>14354</v>
      </c>
      <c r="AY2758" s="77"/>
      <c r="AZ2758" s="82" t="s">
        <v>15984</v>
      </c>
      <c r="BA2758" s="82" t="s">
        <v>15984</v>
      </c>
      <c r="BB2758" s="82" t="s">
        <v>15984</v>
      </c>
      <c r="BC2758" s="82" t="s">
        <v>14354</v>
      </c>
      <c r="BD2758" s="82" t="s">
        <v>15979</v>
      </c>
      <c r="BE2758" s="77"/>
      <c r="BF2758" s="77"/>
      <c r="BG2758" s="77"/>
      <c r="BH2758" s="77"/>
      <c r="BI2758" s="77"/>
    </row>
    <row r="2759" spans="1:61" x14ac:dyDescent="0.25">
      <c r="A2759" s="62" t="s">
        <v>387</v>
      </c>
      <c r="B2759" s="62" t="s">
        <v>387</v>
      </c>
      <c r="C2759" s="63"/>
      <c r="D2759" s="64"/>
      <c r="E2759" s="65"/>
      <c r="F2759" s="66"/>
      <c r="G2759" s="63"/>
      <c r="H2759" s="67"/>
      <c r="I2759" s="68"/>
      <c r="J2759" s="68"/>
      <c r="K2759" s="32"/>
      <c r="L2759" s="75">
        <v>2759</v>
      </c>
      <c r="M2759" s="75"/>
      <c r="N2759" s="70"/>
      <c r="O2759" s="77" t="s">
        <v>179</v>
      </c>
      <c r="P2759" s="79">
        <v>45170.75</v>
      </c>
      <c r="Q2759" s="77" t="s">
        <v>3431</v>
      </c>
      <c r="R2759" s="77">
        <v>0</v>
      </c>
      <c r="S2759" s="77">
        <v>3</v>
      </c>
      <c r="T2759" s="77">
        <v>0</v>
      </c>
      <c r="U2759" s="77">
        <v>0</v>
      </c>
      <c r="V2759" s="77">
        <v>545</v>
      </c>
      <c r="W2759" s="82" t="s">
        <v>4833</v>
      </c>
      <c r="X2759" s="80" t="str">
        <f>HYPERLINK("https://einvestidor.estadao.com.br/ultimas/banco-central-nova-regra-investigacoes-crimes-pix/?utm_source=twitter&amp;utm_medium=organic&amp;utm_campaign=&amp;utm_content=materia")</f>
        <v>https://einvestidor.estadao.com.br/ultimas/banco-central-nova-regra-investigacoes-crimes-pix/?utm_source=twitter&amp;utm_medium=organic&amp;utm_campaign=&amp;utm_content=materia</v>
      </c>
      <c r="Y2759" s="77" t="s">
        <v>6470</v>
      </c>
      <c r="Z2759" s="77"/>
      <c r="AA2759" s="77"/>
      <c r="AB2759" s="77"/>
      <c r="AC2759" s="82" t="s">
        <v>7750</v>
      </c>
      <c r="AD2759" s="77" t="s">
        <v>7788</v>
      </c>
      <c r="AE2759" s="80" t="str">
        <f>HYPERLINK("https://twitter.com/einvestidor/status/1697670656719036637")</f>
        <v>https://twitter.com/einvestidor/status/1697670656719036637</v>
      </c>
      <c r="AF2759" s="79">
        <v>45170.75</v>
      </c>
      <c r="AG2759" s="85">
        <v>45170</v>
      </c>
      <c r="AH2759" s="82" t="s">
        <v>7934</v>
      </c>
      <c r="AI2759" s="77" t="b">
        <v>0</v>
      </c>
      <c r="AJ2759" s="77"/>
      <c r="AK2759" s="77"/>
      <c r="AL2759" s="77"/>
      <c r="AM2759" s="77"/>
      <c r="AN2759" s="77"/>
      <c r="AO2759" s="77"/>
      <c r="AP2759" s="77"/>
      <c r="AQ2759" s="77"/>
      <c r="AR2759" s="77"/>
      <c r="AS2759" s="77"/>
      <c r="AT2759" s="77"/>
      <c r="AU2759" s="77"/>
      <c r="AV2759" s="80" t="str">
        <f>HYPERLINK("https://pbs.twimg.com/profile_images/1241147984924082183/gZgx_hL-_normal.jpg")</f>
        <v>https://pbs.twimg.com/profile_images/1241147984924082183/gZgx_hL-_normal.jpg</v>
      </c>
      <c r="AW2759" s="82" t="s">
        <v>14355</v>
      </c>
      <c r="AX2759" s="82" t="s">
        <v>14355</v>
      </c>
      <c r="AY2759" s="77"/>
      <c r="AZ2759" s="82" t="s">
        <v>15984</v>
      </c>
      <c r="BA2759" s="82" t="s">
        <v>15984</v>
      </c>
      <c r="BB2759" s="82" t="s">
        <v>15984</v>
      </c>
      <c r="BC2759" s="82" t="s">
        <v>14355</v>
      </c>
      <c r="BD2759" s="82" t="s">
        <v>15979</v>
      </c>
      <c r="BE2759" s="77"/>
      <c r="BF2759" s="77"/>
      <c r="BG2759" s="77"/>
      <c r="BH2759" s="77"/>
      <c r="BI2759" s="77"/>
    </row>
    <row r="2760" spans="1:61" x14ac:dyDescent="0.25">
      <c r="A2760" s="62" t="s">
        <v>387</v>
      </c>
      <c r="B2760" s="62" t="s">
        <v>387</v>
      </c>
      <c r="C2760" s="63"/>
      <c r="D2760" s="64"/>
      <c r="E2760" s="65"/>
      <c r="F2760" s="66"/>
      <c r="G2760" s="63"/>
      <c r="H2760" s="67"/>
      <c r="I2760" s="68"/>
      <c r="J2760" s="68"/>
      <c r="K2760" s="32"/>
      <c r="L2760" s="75">
        <v>2760</v>
      </c>
      <c r="M2760" s="75"/>
      <c r="N2760" s="70"/>
      <c r="O2760" s="77" t="s">
        <v>179</v>
      </c>
      <c r="P2760" s="79">
        <v>45170.729166666664</v>
      </c>
      <c r="Q2760" s="77" t="s">
        <v>3432</v>
      </c>
      <c r="R2760" s="77">
        <v>0</v>
      </c>
      <c r="S2760" s="77">
        <v>1</v>
      </c>
      <c r="T2760" s="77">
        <v>0</v>
      </c>
      <c r="U2760" s="77">
        <v>0</v>
      </c>
      <c r="V2760" s="77">
        <v>573</v>
      </c>
      <c r="W2760" s="82" t="s">
        <v>4833</v>
      </c>
      <c r="X2760" s="80" t="str">
        <f>HYPERLINK("https://einvestidor.estadao.com.br/criptomoedas/criptos-que-subiram-agosto-apostas-setembro/?utm_source=twitter&amp;utm_medium=organic&amp;utm_campaign=&amp;utm_content=materia")</f>
        <v>https://einvestidor.estadao.com.br/criptomoedas/criptos-que-subiram-agosto-apostas-setembro/?utm_source=twitter&amp;utm_medium=organic&amp;utm_campaign=&amp;utm_content=materia</v>
      </c>
      <c r="Y2760" s="77" t="s">
        <v>6470</v>
      </c>
      <c r="Z2760" s="77"/>
      <c r="AA2760" s="77"/>
      <c r="AB2760" s="77"/>
      <c r="AC2760" s="82" t="s">
        <v>7750</v>
      </c>
      <c r="AD2760" s="77" t="s">
        <v>7788</v>
      </c>
      <c r="AE2760" s="80" t="str">
        <f>HYPERLINK("https://twitter.com/einvestidor/status/1697663106800029919")</f>
        <v>https://twitter.com/einvestidor/status/1697663106800029919</v>
      </c>
      <c r="AF2760" s="79">
        <v>45170.729166666664</v>
      </c>
      <c r="AG2760" s="85">
        <v>45170</v>
      </c>
      <c r="AH2760" s="82" t="s">
        <v>8091</v>
      </c>
      <c r="AI2760" s="77" t="b">
        <v>0</v>
      </c>
      <c r="AJ2760" s="77"/>
      <c r="AK2760" s="77"/>
      <c r="AL2760" s="77"/>
      <c r="AM2760" s="77"/>
      <c r="AN2760" s="77"/>
      <c r="AO2760" s="77"/>
      <c r="AP2760" s="77"/>
      <c r="AQ2760" s="77"/>
      <c r="AR2760" s="77"/>
      <c r="AS2760" s="77"/>
      <c r="AT2760" s="77"/>
      <c r="AU2760" s="77"/>
      <c r="AV2760" s="80" t="str">
        <f>HYPERLINK("https://pbs.twimg.com/profile_images/1241147984924082183/gZgx_hL-_normal.jpg")</f>
        <v>https://pbs.twimg.com/profile_images/1241147984924082183/gZgx_hL-_normal.jpg</v>
      </c>
      <c r="AW2760" s="82" t="s">
        <v>14356</v>
      </c>
      <c r="AX2760" s="82" t="s">
        <v>14356</v>
      </c>
      <c r="AY2760" s="77"/>
      <c r="AZ2760" s="82" t="s">
        <v>15984</v>
      </c>
      <c r="BA2760" s="82" t="s">
        <v>15984</v>
      </c>
      <c r="BB2760" s="82" t="s">
        <v>15984</v>
      </c>
      <c r="BC2760" s="82" t="s">
        <v>14356</v>
      </c>
      <c r="BD2760" s="82" t="s">
        <v>15979</v>
      </c>
      <c r="BE2760" s="77"/>
      <c r="BF2760" s="77"/>
      <c r="BG2760" s="77"/>
      <c r="BH2760" s="77"/>
      <c r="BI2760" s="77"/>
    </row>
    <row r="2761" spans="1:61" x14ac:dyDescent="0.25">
      <c r="A2761" s="62" t="s">
        <v>387</v>
      </c>
      <c r="B2761" s="62" t="s">
        <v>387</v>
      </c>
      <c r="C2761" s="63"/>
      <c r="D2761" s="64"/>
      <c r="E2761" s="65"/>
      <c r="F2761" s="66"/>
      <c r="G2761" s="63"/>
      <c r="H2761" s="67"/>
      <c r="I2761" s="68"/>
      <c r="J2761" s="68"/>
      <c r="K2761" s="32"/>
      <c r="L2761" s="75">
        <v>2761</v>
      </c>
      <c r="M2761" s="75"/>
      <c r="N2761" s="70"/>
      <c r="O2761" s="77" t="s">
        <v>179</v>
      </c>
      <c r="P2761" s="79">
        <v>45170.568333333336</v>
      </c>
      <c r="Q2761" s="77" t="s">
        <v>3433</v>
      </c>
      <c r="R2761" s="77">
        <v>0</v>
      </c>
      <c r="S2761" s="77">
        <v>0</v>
      </c>
      <c r="T2761" s="77">
        <v>0</v>
      </c>
      <c r="U2761" s="77">
        <v>0</v>
      </c>
      <c r="V2761" s="77">
        <v>487</v>
      </c>
      <c r="W2761" s="82" t="s">
        <v>5574</v>
      </c>
      <c r="X2761" s="80" t="str">
        <f>HYPERLINK("https://einvestidor.estadao.com.br/ultimas/ibovespa-hoje-alta-exterior-pl-orcamentaria/?utm_source=twitter&amp;utm_medium=organic&amp;utm_campaign=ibovespa-hoje&amp;utm_content=materia")</f>
        <v>https://einvestidor.estadao.com.br/ultimas/ibovespa-hoje-alta-exterior-pl-orcamentaria/?utm_source=twitter&amp;utm_medium=organic&amp;utm_campaign=ibovespa-hoje&amp;utm_content=materia</v>
      </c>
      <c r="Y2761" s="77" t="s">
        <v>6470</v>
      </c>
      <c r="Z2761" s="77"/>
      <c r="AA2761" s="77"/>
      <c r="AB2761" s="77"/>
      <c r="AC2761" s="82" t="s">
        <v>7750</v>
      </c>
      <c r="AD2761" s="77" t="s">
        <v>7788</v>
      </c>
      <c r="AE2761" s="80" t="str">
        <f>HYPERLINK("https://twitter.com/einvestidor/status/1697604824374886433")</f>
        <v>https://twitter.com/einvestidor/status/1697604824374886433</v>
      </c>
      <c r="AF2761" s="79">
        <v>45170.568333333336</v>
      </c>
      <c r="AG2761" s="85">
        <v>45170</v>
      </c>
      <c r="AH2761" s="82" t="s">
        <v>9814</v>
      </c>
      <c r="AI2761" s="77" t="b">
        <v>0</v>
      </c>
      <c r="AJ2761" s="77"/>
      <c r="AK2761" s="77"/>
      <c r="AL2761" s="77"/>
      <c r="AM2761" s="77"/>
      <c r="AN2761" s="77"/>
      <c r="AO2761" s="77"/>
      <c r="AP2761" s="77"/>
      <c r="AQ2761" s="77"/>
      <c r="AR2761" s="77"/>
      <c r="AS2761" s="77"/>
      <c r="AT2761" s="77"/>
      <c r="AU2761" s="77"/>
      <c r="AV2761" s="80" t="str">
        <f>HYPERLINK("https://pbs.twimg.com/profile_images/1241147984924082183/gZgx_hL-_normal.jpg")</f>
        <v>https://pbs.twimg.com/profile_images/1241147984924082183/gZgx_hL-_normal.jpg</v>
      </c>
      <c r="AW2761" s="82" t="s">
        <v>14357</v>
      </c>
      <c r="AX2761" s="82" t="s">
        <v>14357</v>
      </c>
      <c r="AY2761" s="77"/>
      <c r="AZ2761" s="82" t="s">
        <v>15984</v>
      </c>
      <c r="BA2761" s="82" t="s">
        <v>15984</v>
      </c>
      <c r="BB2761" s="82" t="s">
        <v>15984</v>
      </c>
      <c r="BC2761" s="82" t="s">
        <v>14357</v>
      </c>
      <c r="BD2761" s="82" t="s">
        <v>15979</v>
      </c>
      <c r="BE2761" s="77"/>
      <c r="BF2761" s="77"/>
      <c r="BG2761" s="77"/>
      <c r="BH2761" s="77"/>
      <c r="BI2761" s="77"/>
    </row>
    <row r="2762" spans="1:61" x14ac:dyDescent="0.25">
      <c r="A2762" s="62" t="s">
        <v>387</v>
      </c>
      <c r="B2762" s="62" t="s">
        <v>387</v>
      </c>
      <c r="C2762" s="63"/>
      <c r="D2762" s="64"/>
      <c r="E2762" s="65"/>
      <c r="F2762" s="66"/>
      <c r="G2762" s="63"/>
      <c r="H2762" s="67"/>
      <c r="I2762" s="68"/>
      <c r="J2762" s="68"/>
      <c r="K2762" s="32"/>
      <c r="L2762" s="75">
        <v>2762</v>
      </c>
      <c r="M2762" s="75"/>
      <c r="N2762" s="70"/>
      <c r="O2762" s="77" t="s">
        <v>179</v>
      </c>
      <c r="P2762" s="79">
        <v>45166.735914351855</v>
      </c>
      <c r="Q2762" s="77" t="s">
        <v>3434</v>
      </c>
      <c r="R2762" s="77">
        <v>0</v>
      </c>
      <c r="S2762" s="77">
        <v>1</v>
      </c>
      <c r="T2762" s="77">
        <v>0</v>
      </c>
      <c r="U2762" s="77">
        <v>0</v>
      </c>
      <c r="V2762" s="77">
        <v>611</v>
      </c>
      <c r="W2762" s="82" t="s">
        <v>4833</v>
      </c>
      <c r="X2762" s="80" t="str">
        <f>HYPERLINK("https://einvestidor.estadao.com.br/mercado/mercado-intraday-28-08-2023/?utm_source=twitter&amp;utm_medium=organic&amp;utm_campaign=&amp;utm_content=materia")</f>
        <v>https://einvestidor.estadao.com.br/mercado/mercado-intraday-28-08-2023/?utm_source=twitter&amp;utm_medium=organic&amp;utm_campaign=&amp;utm_content=materia</v>
      </c>
      <c r="Y2762" s="77" t="s">
        <v>6470</v>
      </c>
      <c r="Z2762" s="77"/>
      <c r="AA2762" s="77"/>
      <c r="AB2762" s="77"/>
      <c r="AC2762" s="82" t="s">
        <v>7750</v>
      </c>
      <c r="AD2762" s="77" t="s">
        <v>7788</v>
      </c>
      <c r="AE2762" s="80" t="str">
        <f>HYPERLINK("https://twitter.com/einvestidor/status/1696216001564586107")</f>
        <v>https://twitter.com/einvestidor/status/1696216001564586107</v>
      </c>
      <c r="AF2762" s="79">
        <v>45166.735914351855</v>
      </c>
      <c r="AG2762" s="85">
        <v>45166</v>
      </c>
      <c r="AH2762" s="82" t="s">
        <v>9815</v>
      </c>
      <c r="AI2762" s="77" t="b">
        <v>0</v>
      </c>
      <c r="AJ2762" s="77"/>
      <c r="AK2762" s="77"/>
      <c r="AL2762" s="77"/>
      <c r="AM2762" s="77"/>
      <c r="AN2762" s="77"/>
      <c r="AO2762" s="77"/>
      <c r="AP2762" s="77"/>
      <c r="AQ2762" s="77"/>
      <c r="AR2762" s="77"/>
      <c r="AS2762" s="77"/>
      <c r="AT2762" s="77"/>
      <c r="AU2762" s="77"/>
      <c r="AV2762" s="80" t="str">
        <f>HYPERLINK("https://pbs.twimg.com/profile_images/1241147984924082183/gZgx_hL-_normal.jpg")</f>
        <v>https://pbs.twimg.com/profile_images/1241147984924082183/gZgx_hL-_normal.jpg</v>
      </c>
      <c r="AW2762" s="82" t="s">
        <v>14358</v>
      </c>
      <c r="AX2762" s="82" t="s">
        <v>14358</v>
      </c>
      <c r="AY2762" s="77"/>
      <c r="AZ2762" s="82" t="s">
        <v>15984</v>
      </c>
      <c r="BA2762" s="82" t="s">
        <v>15984</v>
      </c>
      <c r="BB2762" s="82" t="s">
        <v>15984</v>
      </c>
      <c r="BC2762" s="82" t="s">
        <v>14358</v>
      </c>
      <c r="BD2762" s="82" t="s">
        <v>15979</v>
      </c>
      <c r="BE2762" s="77"/>
      <c r="BF2762" s="77"/>
      <c r="BG2762" s="77"/>
      <c r="BH2762" s="77"/>
      <c r="BI2762" s="77"/>
    </row>
    <row r="2763" spans="1:61" x14ac:dyDescent="0.25">
      <c r="A2763" s="62" t="s">
        <v>387</v>
      </c>
      <c r="B2763" s="62" t="s">
        <v>387</v>
      </c>
      <c r="C2763" s="63"/>
      <c r="D2763" s="64"/>
      <c r="E2763" s="65"/>
      <c r="F2763" s="66"/>
      <c r="G2763" s="63"/>
      <c r="H2763" s="67"/>
      <c r="I2763" s="68"/>
      <c r="J2763" s="68"/>
      <c r="K2763" s="32"/>
      <c r="L2763" s="75">
        <v>2763</v>
      </c>
      <c r="M2763" s="75"/>
      <c r="N2763" s="70"/>
      <c r="O2763" s="77" t="s">
        <v>179</v>
      </c>
      <c r="P2763" s="79">
        <v>45154.083344907405</v>
      </c>
      <c r="Q2763" s="77" t="s">
        <v>3435</v>
      </c>
      <c r="R2763" s="77">
        <v>0</v>
      </c>
      <c r="S2763" s="77">
        <v>1</v>
      </c>
      <c r="T2763" s="77">
        <v>0</v>
      </c>
      <c r="U2763" s="77">
        <v>0</v>
      </c>
      <c r="V2763" s="77">
        <v>769</v>
      </c>
      <c r="W2763" s="82" t="s">
        <v>6106</v>
      </c>
      <c r="X2763" s="80" t="str">
        <f>HYPERLINK("https://mla.bs/e14acfa8")</f>
        <v>https://mla.bs/e14acfa8</v>
      </c>
      <c r="Y2763" s="77" t="s">
        <v>6506</v>
      </c>
      <c r="Z2763" s="77"/>
      <c r="AA2763" s="77"/>
      <c r="AB2763" s="77"/>
      <c r="AC2763" s="82" t="s">
        <v>7754</v>
      </c>
      <c r="AD2763" s="77" t="s">
        <v>7788</v>
      </c>
      <c r="AE2763" s="80" t="str">
        <f>HYPERLINK("https://twitter.com/einvestidor/status/1691630861689503999")</f>
        <v>https://twitter.com/einvestidor/status/1691630861689503999</v>
      </c>
      <c r="AF2763" s="79">
        <v>45154.083344907405</v>
      </c>
      <c r="AG2763" s="85">
        <v>45154</v>
      </c>
      <c r="AH2763" s="82" t="s">
        <v>9637</v>
      </c>
      <c r="AI2763" s="77" t="b">
        <v>0</v>
      </c>
      <c r="AJ2763" s="77"/>
      <c r="AK2763" s="77"/>
      <c r="AL2763" s="77"/>
      <c r="AM2763" s="77"/>
      <c r="AN2763" s="77"/>
      <c r="AO2763" s="77"/>
      <c r="AP2763" s="77"/>
      <c r="AQ2763" s="77"/>
      <c r="AR2763" s="77"/>
      <c r="AS2763" s="77"/>
      <c r="AT2763" s="77"/>
      <c r="AU2763" s="77"/>
      <c r="AV2763" s="80" t="str">
        <f>HYPERLINK("https://pbs.twimg.com/profile_images/1241147984924082183/gZgx_hL-_normal.jpg")</f>
        <v>https://pbs.twimg.com/profile_images/1241147984924082183/gZgx_hL-_normal.jpg</v>
      </c>
      <c r="AW2763" s="82" t="s">
        <v>14359</v>
      </c>
      <c r="AX2763" s="82" t="s">
        <v>14359</v>
      </c>
      <c r="AY2763" s="77"/>
      <c r="AZ2763" s="82" t="s">
        <v>15984</v>
      </c>
      <c r="BA2763" s="82" t="s">
        <v>15984</v>
      </c>
      <c r="BB2763" s="82" t="s">
        <v>15984</v>
      </c>
      <c r="BC2763" s="82" t="s">
        <v>14359</v>
      </c>
      <c r="BD2763" s="82" t="s">
        <v>15979</v>
      </c>
      <c r="BE2763" s="77"/>
      <c r="BF2763" s="77"/>
      <c r="BG2763" s="77"/>
      <c r="BH2763" s="77"/>
      <c r="BI2763" s="77"/>
    </row>
    <row r="2764" spans="1:61" x14ac:dyDescent="0.25">
      <c r="A2764" s="62" t="s">
        <v>387</v>
      </c>
      <c r="B2764" s="62" t="s">
        <v>387</v>
      </c>
      <c r="C2764" s="63"/>
      <c r="D2764" s="64"/>
      <c r="E2764" s="65"/>
      <c r="F2764" s="66"/>
      <c r="G2764" s="63"/>
      <c r="H2764" s="67"/>
      <c r="I2764" s="68"/>
      <c r="J2764" s="68"/>
      <c r="K2764" s="32"/>
      <c r="L2764" s="75">
        <v>2764</v>
      </c>
      <c r="M2764" s="75"/>
      <c r="N2764" s="70"/>
      <c r="O2764" s="77" t="s">
        <v>179</v>
      </c>
      <c r="P2764" s="79">
        <v>45154.072916666664</v>
      </c>
      <c r="Q2764" s="77" t="s">
        <v>3436</v>
      </c>
      <c r="R2764" s="77">
        <v>0</v>
      </c>
      <c r="S2764" s="77">
        <v>5</v>
      </c>
      <c r="T2764" s="77">
        <v>0</v>
      </c>
      <c r="U2764" s="77">
        <v>1</v>
      </c>
      <c r="V2764" s="77">
        <v>969</v>
      </c>
      <c r="W2764" s="82" t="s">
        <v>4833</v>
      </c>
      <c r="X2764" s="80" t="str">
        <f>HYPERLINK("https://mla.bs/60837687")</f>
        <v>https://mla.bs/60837687</v>
      </c>
      <c r="Y2764" s="77" t="s">
        <v>6506</v>
      </c>
      <c r="Z2764" s="77"/>
      <c r="AA2764" s="77"/>
      <c r="AB2764" s="77"/>
      <c r="AC2764" s="82" t="s">
        <v>7754</v>
      </c>
      <c r="AD2764" s="77" t="s">
        <v>7788</v>
      </c>
      <c r="AE2764" s="80" t="str">
        <f>HYPERLINK("https://twitter.com/einvestidor/status/1691627083305501056")</f>
        <v>https://twitter.com/einvestidor/status/1691627083305501056</v>
      </c>
      <c r="AF2764" s="79">
        <v>45154.072916666664</v>
      </c>
      <c r="AG2764" s="85">
        <v>45154</v>
      </c>
      <c r="AH2764" s="82" t="s">
        <v>9599</v>
      </c>
      <c r="AI2764" s="77" t="b">
        <v>0</v>
      </c>
      <c r="AJ2764" s="77"/>
      <c r="AK2764" s="77"/>
      <c r="AL2764" s="77"/>
      <c r="AM2764" s="77"/>
      <c r="AN2764" s="77"/>
      <c r="AO2764" s="77"/>
      <c r="AP2764" s="77"/>
      <c r="AQ2764" s="77"/>
      <c r="AR2764" s="77"/>
      <c r="AS2764" s="77"/>
      <c r="AT2764" s="77"/>
      <c r="AU2764" s="77"/>
      <c r="AV2764" s="80" t="str">
        <f>HYPERLINK("https://pbs.twimg.com/profile_images/1241147984924082183/gZgx_hL-_normal.jpg")</f>
        <v>https://pbs.twimg.com/profile_images/1241147984924082183/gZgx_hL-_normal.jpg</v>
      </c>
      <c r="AW2764" s="82" t="s">
        <v>14360</v>
      </c>
      <c r="AX2764" s="82" t="s">
        <v>14360</v>
      </c>
      <c r="AY2764" s="77"/>
      <c r="AZ2764" s="82" t="s">
        <v>15984</v>
      </c>
      <c r="BA2764" s="82" t="s">
        <v>15984</v>
      </c>
      <c r="BB2764" s="82" t="s">
        <v>15984</v>
      </c>
      <c r="BC2764" s="82" t="s">
        <v>14360</v>
      </c>
      <c r="BD2764" s="82" t="s">
        <v>15979</v>
      </c>
      <c r="BE2764" s="77"/>
      <c r="BF2764" s="77"/>
      <c r="BG2764" s="77"/>
      <c r="BH2764" s="77"/>
      <c r="BI2764" s="77"/>
    </row>
    <row r="2765" spans="1:61" x14ac:dyDescent="0.25">
      <c r="A2765" s="62" t="s">
        <v>387</v>
      </c>
      <c r="B2765" s="62" t="s">
        <v>387</v>
      </c>
      <c r="C2765" s="63"/>
      <c r="D2765" s="64"/>
      <c r="E2765" s="65"/>
      <c r="F2765" s="66"/>
      <c r="G2765" s="63"/>
      <c r="H2765" s="67"/>
      <c r="I2765" s="68"/>
      <c r="J2765" s="68"/>
      <c r="K2765" s="32"/>
      <c r="L2765" s="75">
        <v>2765</v>
      </c>
      <c r="M2765" s="75"/>
      <c r="N2765" s="70"/>
      <c r="O2765" s="77" t="s">
        <v>179</v>
      </c>
      <c r="P2765" s="79">
        <v>45154.0625</v>
      </c>
      <c r="Q2765" s="77" t="s">
        <v>3437</v>
      </c>
      <c r="R2765" s="77">
        <v>0</v>
      </c>
      <c r="S2765" s="77">
        <v>0</v>
      </c>
      <c r="T2765" s="77">
        <v>0</v>
      </c>
      <c r="U2765" s="77">
        <v>0</v>
      </c>
      <c r="V2765" s="77">
        <v>795</v>
      </c>
      <c r="W2765" s="82" t="s">
        <v>6107</v>
      </c>
      <c r="X2765" s="80" t="str">
        <f>HYPERLINK("https://mla.bs/217cd248")</f>
        <v>https://mla.bs/217cd248</v>
      </c>
      <c r="Y2765" s="77" t="s">
        <v>6506</v>
      </c>
      <c r="Z2765" s="77"/>
      <c r="AA2765" s="77"/>
      <c r="AB2765" s="77"/>
      <c r="AC2765" s="82" t="s">
        <v>7754</v>
      </c>
      <c r="AD2765" s="77" t="s">
        <v>7788</v>
      </c>
      <c r="AE2765" s="80" t="str">
        <f>HYPERLINK("https://twitter.com/einvestidor/status/1691623309656379549")</f>
        <v>https://twitter.com/einvestidor/status/1691623309656379549</v>
      </c>
      <c r="AF2765" s="79">
        <v>45154.0625</v>
      </c>
      <c r="AG2765" s="85">
        <v>45154</v>
      </c>
      <c r="AH2765" s="82" t="s">
        <v>9600</v>
      </c>
      <c r="AI2765" s="77" t="b">
        <v>0</v>
      </c>
      <c r="AJ2765" s="77"/>
      <c r="AK2765" s="77"/>
      <c r="AL2765" s="77"/>
      <c r="AM2765" s="77"/>
      <c r="AN2765" s="77"/>
      <c r="AO2765" s="77"/>
      <c r="AP2765" s="77"/>
      <c r="AQ2765" s="77"/>
      <c r="AR2765" s="77"/>
      <c r="AS2765" s="77"/>
      <c r="AT2765" s="77"/>
      <c r="AU2765" s="77"/>
      <c r="AV2765" s="80" t="str">
        <f>HYPERLINK("https://pbs.twimg.com/profile_images/1241147984924082183/gZgx_hL-_normal.jpg")</f>
        <v>https://pbs.twimg.com/profile_images/1241147984924082183/gZgx_hL-_normal.jpg</v>
      </c>
      <c r="AW2765" s="82" t="s">
        <v>14361</v>
      </c>
      <c r="AX2765" s="82" t="s">
        <v>14361</v>
      </c>
      <c r="AY2765" s="77"/>
      <c r="AZ2765" s="82" t="s">
        <v>15984</v>
      </c>
      <c r="BA2765" s="82" t="s">
        <v>15984</v>
      </c>
      <c r="BB2765" s="82" t="s">
        <v>15984</v>
      </c>
      <c r="BC2765" s="82" t="s">
        <v>14361</v>
      </c>
      <c r="BD2765" s="82" t="s">
        <v>15979</v>
      </c>
      <c r="BE2765" s="77"/>
      <c r="BF2765" s="77"/>
      <c r="BG2765" s="77"/>
      <c r="BH2765" s="77"/>
      <c r="BI2765" s="77"/>
    </row>
    <row r="2766" spans="1:61" x14ac:dyDescent="0.25">
      <c r="A2766" s="62" t="s">
        <v>387</v>
      </c>
      <c r="B2766" s="62" t="s">
        <v>387</v>
      </c>
      <c r="C2766" s="63"/>
      <c r="D2766" s="64"/>
      <c r="E2766" s="65"/>
      <c r="F2766" s="66"/>
      <c r="G2766" s="63"/>
      <c r="H2766" s="67"/>
      <c r="I2766" s="68"/>
      <c r="J2766" s="68"/>
      <c r="K2766" s="32"/>
      <c r="L2766" s="75">
        <v>2766</v>
      </c>
      <c r="M2766" s="75"/>
      <c r="N2766" s="70"/>
      <c r="O2766" s="77" t="s">
        <v>179</v>
      </c>
      <c r="P2766" s="79">
        <v>45154.052083333336</v>
      </c>
      <c r="Q2766" s="77" t="s">
        <v>3438</v>
      </c>
      <c r="R2766" s="77">
        <v>0</v>
      </c>
      <c r="S2766" s="77">
        <v>0</v>
      </c>
      <c r="T2766" s="77">
        <v>0</v>
      </c>
      <c r="U2766" s="77">
        <v>0</v>
      </c>
      <c r="V2766" s="77">
        <v>797</v>
      </c>
      <c r="W2766" s="82" t="s">
        <v>4833</v>
      </c>
      <c r="X2766" s="80" t="str">
        <f>HYPERLINK("https://mla.bs/7a4e3ed1")</f>
        <v>https://mla.bs/7a4e3ed1</v>
      </c>
      <c r="Y2766" s="77" t="s">
        <v>6506</v>
      </c>
      <c r="Z2766" s="77"/>
      <c r="AA2766" s="77"/>
      <c r="AB2766" s="77"/>
      <c r="AC2766" s="82" t="s">
        <v>7754</v>
      </c>
      <c r="AD2766" s="77" t="s">
        <v>7788</v>
      </c>
      <c r="AE2766" s="80" t="str">
        <f>HYPERLINK("https://twitter.com/einvestidor/status/1691619533532828151")</f>
        <v>https://twitter.com/einvestidor/status/1691619533532828151</v>
      </c>
      <c r="AF2766" s="79">
        <v>45154.052083333336</v>
      </c>
      <c r="AG2766" s="85">
        <v>45154</v>
      </c>
      <c r="AH2766" s="82" t="s">
        <v>9297</v>
      </c>
      <c r="AI2766" s="77" t="b">
        <v>0</v>
      </c>
      <c r="AJ2766" s="77"/>
      <c r="AK2766" s="77"/>
      <c r="AL2766" s="77"/>
      <c r="AM2766" s="77"/>
      <c r="AN2766" s="77"/>
      <c r="AO2766" s="77"/>
      <c r="AP2766" s="77"/>
      <c r="AQ2766" s="77"/>
      <c r="AR2766" s="77"/>
      <c r="AS2766" s="77"/>
      <c r="AT2766" s="77"/>
      <c r="AU2766" s="77"/>
      <c r="AV2766" s="80" t="str">
        <f>HYPERLINK("https://pbs.twimg.com/profile_images/1241147984924082183/gZgx_hL-_normal.jpg")</f>
        <v>https://pbs.twimg.com/profile_images/1241147984924082183/gZgx_hL-_normal.jpg</v>
      </c>
      <c r="AW2766" s="82" t="s">
        <v>14362</v>
      </c>
      <c r="AX2766" s="82" t="s">
        <v>14362</v>
      </c>
      <c r="AY2766" s="77"/>
      <c r="AZ2766" s="82" t="s">
        <v>15984</v>
      </c>
      <c r="BA2766" s="82" t="s">
        <v>15984</v>
      </c>
      <c r="BB2766" s="82" t="s">
        <v>15984</v>
      </c>
      <c r="BC2766" s="82" t="s">
        <v>14362</v>
      </c>
      <c r="BD2766" s="82" t="s">
        <v>15979</v>
      </c>
      <c r="BE2766" s="77"/>
      <c r="BF2766" s="77"/>
      <c r="BG2766" s="77"/>
      <c r="BH2766" s="77"/>
      <c r="BI2766" s="77"/>
    </row>
    <row r="2767" spans="1:61" x14ac:dyDescent="0.25">
      <c r="A2767" s="62" t="s">
        <v>387</v>
      </c>
      <c r="B2767" s="62" t="s">
        <v>387</v>
      </c>
      <c r="C2767" s="63"/>
      <c r="D2767" s="64"/>
      <c r="E2767" s="65"/>
      <c r="F2767" s="66"/>
      <c r="G2767" s="63"/>
      <c r="H2767" s="67"/>
      <c r="I2767" s="68"/>
      <c r="J2767" s="68"/>
      <c r="K2767" s="32"/>
      <c r="L2767" s="75">
        <v>2767</v>
      </c>
      <c r="M2767" s="75"/>
      <c r="N2767" s="70"/>
      <c r="O2767" s="77" t="s">
        <v>179</v>
      </c>
      <c r="P2767" s="79">
        <v>45154.041666666664</v>
      </c>
      <c r="Q2767" s="77" t="s">
        <v>3439</v>
      </c>
      <c r="R2767" s="77">
        <v>0</v>
      </c>
      <c r="S2767" s="77">
        <v>0</v>
      </c>
      <c r="T2767" s="77">
        <v>0</v>
      </c>
      <c r="U2767" s="77">
        <v>0</v>
      </c>
      <c r="V2767" s="77">
        <v>707</v>
      </c>
      <c r="W2767" s="82" t="s">
        <v>5961</v>
      </c>
      <c r="X2767" s="80" t="str">
        <f>HYPERLINK("https://mla.bs/8e12cbe5")</f>
        <v>https://mla.bs/8e12cbe5</v>
      </c>
      <c r="Y2767" s="77" t="s">
        <v>6506</v>
      </c>
      <c r="Z2767" s="77"/>
      <c r="AA2767" s="77"/>
      <c r="AB2767" s="77"/>
      <c r="AC2767" s="82" t="s">
        <v>7754</v>
      </c>
      <c r="AD2767" s="77" t="s">
        <v>7788</v>
      </c>
      <c r="AE2767" s="80" t="str">
        <f>HYPERLINK("https://twitter.com/einvestidor/status/1691615760001491134")</f>
        <v>https://twitter.com/einvestidor/status/1691615760001491134</v>
      </c>
      <c r="AF2767" s="79">
        <v>45154.041666666664</v>
      </c>
      <c r="AG2767" s="85">
        <v>45154</v>
      </c>
      <c r="AH2767" s="82" t="s">
        <v>8283</v>
      </c>
      <c r="AI2767" s="77" t="b">
        <v>0</v>
      </c>
      <c r="AJ2767" s="77"/>
      <c r="AK2767" s="77"/>
      <c r="AL2767" s="77"/>
      <c r="AM2767" s="77"/>
      <c r="AN2767" s="77"/>
      <c r="AO2767" s="77"/>
      <c r="AP2767" s="77"/>
      <c r="AQ2767" s="77"/>
      <c r="AR2767" s="77"/>
      <c r="AS2767" s="77"/>
      <c r="AT2767" s="77"/>
      <c r="AU2767" s="77"/>
      <c r="AV2767" s="80" t="str">
        <f>HYPERLINK("https://pbs.twimg.com/profile_images/1241147984924082183/gZgx_hL-_normal.jpg")</f>
        <v>https://pbs.twimg.com/profile_images/1241147984924082183/gZgx_hL-_normal.jpg</v>
      </c>
      <c r="AW2767" s="82" t="s">
        <v>14363</v>
      </c>
      <c r="AX2767" s="82" t="s">
        <v>14363</v>
      </c>
      <c r="AY2767" s="77"/>
      <c r="AZ2767" s="82" t="s">
        <v>15984</v>
      </c>
      <c r="BA2767" s="82" t="s">
        <v>15984</v>
      </c>
      <c r="BB2767" s="82" t="s">
        <v>15984</v>
      </c>
      <c r="BC2767" s="82" t="s">
        <v>14363</v>
      </c>
      <c r="BD2767" s="82" t="s">
        <v>15979</v>
      </c>
      <c r="BE2767" s="77"/>
      <c r="BF2767" s="77"/>
      <c r="BG2767" s="77"/>
      <c r="BH2767" s="77"/>
      <c r="BI2767" s="77"/>
    </row>
    <row r="2768" spans="1:61" x14ac:dyDescent="0.25">
      <c r="A2768" s="62" t="s">
        <v>387</v>
      </c>
      <c r="B2768" s="62" t="s">
        <v>387</v>
      </c>
      <c r="C2768" s="63"/>
      <c r="D2768" s="64"/>
      <c r="E2768" s="65"/>
      <c r="F2768" s="66"/>
      <c r="G2768" s="63"/>
      <c r="H2768" s="67"/>
      <c r="I2768" s="68"/>
      <c r="J2768" s="68"/>
      <c r="K2768" s="32"/>
      <c r="L2768" s="75">
        <v>2768</v>
      </c>
      <c r="M2768" s="75"/>
      <c r="N2768" s="70"/>
      <c r="O2768" s="77" t="s">
        <v>179</v>
      </c>
      <c r="P2768" s="79">
        <v>45154.03125</v>
      </c>
      <c r="Q2768" s="77" t="s">
        <v>3440</v>
      </c>
      <c r="R2768" s="77">
        <v>0</v>
      </c>
      <c r="S2768" s="77">
        <v>2</v>
      </c>
      <c r="T2768" s="77">
        <v>0</v>
      </c>
      <c r="U2768" s="77">
        <v>0</v>
      </c>
      <c r="V2768" s="77">
        <v>865</v>
      </c>
      <c r="W2768" s="82" t="s">
        <v>4833</v>
      </c>
      <c r="X2768" s="80" t="str">
        <f>HYPERLINK("https://mla.bs/dd150e10")</f>
        <v>https://mla.bs/dd150e10</v>
      </c>
      <c r="Y2768" s="77" t="s">
        <v>6506</v>
      </c>
      <c r="Z2768" s="77"/>
      <c r="AA2768" s="77"/>
      <c r="AB2768" s="77"/>
      <c r="AC2768" s="82" t="s">
        <v>7754</v>
      </c>
      <c r="AD2768" s="77" t="s">
        <v>7788</v>
      </c>
      <c r="AE2768" s="80" t="str">
        <f>HYPERLINK("https://twitter.com/einvestidor/status/1691611983726985474")</f>
        <v>https://twitter.com/einvestidor/status/1691611983726985474</v>
      </c>
      <c r="AF2768" s="79">
        <v>45154.03125</v>
      </c>
      <c r="AG2768" s="85">
        <v>45154</v>
      </c>
      <c r="AH2768" s="82" t="s">
        <v>9602</v>
      </c>
      <c r="AI2768" s="77" t="b">
        <v>0</v>
      </c>
      <c r="AJ2768" s="77"/>
      <c r="AK2768" s="77"/>
      <c r="AL2768" s="77"/>
      <c r="AM2768" s="77"/>
      <c r="AN2768" s="77"/>
      <c r="AO2768" s="77"/>
      <c r="AP2768" s="77"/>
      <c r="AQ2768" s="77"/>
      <c r="AR2768" s="77"/>
      <c r="AS2768" s="77"/>
      <c r="AT2768" s="77"/>
      <c r="AU2768" s="77"/>
      <c r="AV2768" s="80" t="str">
        <f>HYPERLINK("https://pbs.twimg.com/profile_images/1241147984924082183/gZgx_hL-_normal.jpg")</f>
        <v>https://pbs.twimg.com/profile_images/1241147984924082183/gZgx_hL-_normal.jpg</v>
      </c>
      <c r="AW2768" s="82" t="s">
        <v>14364</v>
      </c>
      <c r="AX2768" s="82" t="s">
        <v>14364</v>
      </c>
      <c r="AY2768" s="77"/>
      <c r="AZ2768" s="82" t="s">
        <v>15984</v>
      </c>
      <c r="BA2768" s="82" t="s">
        <v>15984</v>
      </c>
      <c r="BB2768" s="82" t="s">
        <v>15984</v>
      </c>
      <c r="BC2768" s="82" t="s">
        <v>14364</v>
      </c>
      <c r="BD2768" s="82" t="s">
        <v>15979</v>
      </c>
      <c r="BE2768" s="77"/>
      <c r="BF2768" s="77"/>
      <c r="BG2768" s="77"/>
      <c r="BH2768" s="77"/>
      <c r="BI2768" s="77"/>
    </row>
    <row r="2769" spans="1:61" x14ac:dyDescent="0.25">
      <c r="A2769" s="62" t="s">
        <v>387</v>
      </c>
      <c r="B2769" s="62" t="s">
        <v>387</v>
      </c>
      <c r="C2769" s="63"/>
      <c r="D2769" s="64"/>
      <c r="E2769" s="65"/>
      <c r="F2769" s="66"/>
      <c r="G2769" s="63"/>
      <c r="H2769" s="67"/>
      <c r="I2769" s="68"/>
      <c r="J2769" s="68"/>
      <c r="K2769" s="32"/>
      <c r="L2769" s="75">
        <v>2769</v>
      </c>
      <c r="M2769" s="75"/>
      <c r="N2769" s="70"/>
      <c r="O2769" s="77" t="s">
        <v>179</v>
      </c>
      <c r="P2769" s="79">
        <v>45154.020833333336</v>
      </c>
      <c r="Q2769" s="77" t="s">
        <v>3441</v>
      </c>
      <c r="R2769" s="77">
        <v>0</v>
      </c>
      <c r="S2769" s="77">
        <v>1</v>
      </c>
      <c r="T2769" s="77">
        <v>0</v>
      </c>
      <c r="U2769" s="77">
        <v>0</v>
      </c>
      <c r="V2769" s="77">
        <v>754</v>
      </c>
      <c r="W2769" s="82" t="s">
        <v>6022</v>
      </c>
      <c r="X2769" s="80" t="str">
        <f>HYPERLINK("https://mla.bs/ec6e0b17")</f>
        <v>https://mla.bs/ec6e0b17</v>
      </c>
      <c r="Y2769" s="77" t="s">
        <v>6506</v>
      </c>
      <c r="Z2769" s="77"/>
      <c r="AA2769" s="77"/>
      <c r="AB2769" s="77"/>
      <c r="AC2769" s="82" t="s">
        <v>7754</v>
      </c>
      <c r="AD2769" s="77" t="s">
        <v>7788</v>
      </c>
      <c r="AE2769" s="80" t="str">
        <f>HYPERLINK("https://twitter.com/einvestidor/status/1691608210728206697")</f>
        <v>https://twitter.com/einvestidor/status/1691608210728206697</v>
      </c>
      <c r="AF2769" s="79">
        <v>45154.020833333336</v>
      </c>
      <c r="AG2769" s="85">
        <v>45154</v>
      </c>
      <c r="AH2769" s="82" t="s">
        <v>8088</v>
      </c>
      <c r="AI2769" s="77" t="b">
        <v>0</v>
      </c>
      <c r="AJ2769" s="77"/>
      <c r="AK2769" s="77"/>
      <c r="AL2769" s="77"/>
      <c r="AM2769" s="77"/>
      <c r="AN2769" s="77"/>
      <c r="AO2769" s="77"/>
      <c r="AP2769" s="77"/>
      <c r="AQ2769" s="77"/>
      <c r="AR2769" s="77"/>
      <c r="AS2769" s="77"/>
      <c r="AT2769" s="77"/>
      <c r="AU2769" s="77"/>
      <c r="AV2769" s="80" t="str">
        <f>HYPERLINK("https://pbs.twimg.com/profile_images/1241147984924082183/gZgx_hL-_normal.jpg")</f>
        <v>https://pbs.twimg.com/profile_images/1241147984924082183/gZgx_hL-_normal.jpg</v>
      </c>
      <c r="AW2769" s="82" t="s">
        <v>14365</v>
      </c>
      <c r="AX2769" s="82" t="s">
        <v>14365</v>
      </c>
      <c r="AY2769" s="77"/>
      <c r="AZ2769" s="82" t="s">
        <v>15984</v>
      </c>
      <c r="BA2769" s="82" t="s">
        <v>15984</v>
      </c>
      <c r="BB2769" s="82" t="s">
        <v>15984</v>
      </c>
      <c r="BC2769" s="82" t="s">
        <v>14365</v>
      </c>
      <c r="BD2769" s="82" t="s">
        <v>15979</v>
      </c>
      <c r="BE2769" s="77"/>
      <c r="BF2769" s="77"/>
      <c r="BG2769" s="77"/>
      <c r="BH2769" s="77"/>
      <c r="BI2769" s="77"/>
    </row>
    <row r="2770" spans="1:61" x14ac:dyDescent="0.25">
      <c r="A2770" s="62" t="s">
        <v>387</v>
      </c>
      <c r="B2770" s="62" t="s">
        <v>387</v>
      </c>
      <c r="C2770" s="63"/>
      <c r="D2770" s="64"/>
      <c r="E2770" s="65"/>
      <c r="F2770" s="66"/>
      <c r="G2770" s="63"/>
      <c r="H2770" s="67"/>
      <c r="I2770" s="68"/>
      <c r="J2770" s="68"/>
      <c r="K2770" s="32"/>
      <c r="L2770" s="75">
        <v>2770</v>
      </c>
      <c r="M2770" s="75"/>
      <c r="N2770" s="70"/>
      <c r="O2770" s="77" t="s">
        <v>179</v>
      </c>
      <c r="P2770" s="79">
        <v>45154.010416666664</v>
      </c>
      <c r="Q2770" s="77" t="s">
        <v>3442</v>
      </c>
      <c r="R2770" s="77">
        <v>0</v>
      </c>
      <c r="S2770" s="77">
        <v>1</v>
      </c>
      <c r="T2770" s="77">
        <v>0</v>
      </c>
      <c r="U2770" s="77">
        <v>0</v>
      </c>
      <c r="V2770" s="77">
        <v>764</v>
      </c>
      <c r="W2770" s="82" t="s">
        <v>5902</v>
      </c>
      <c r="X2770" s="80" t="str">
        <f>HYPERLINK("https://mla.bs/68d3f1f3")</f>
        <v>https://mla.bs/68d3f1f3</v>
      </c>
      <c r="Y2770" s="77" t="s">
        <v>6506</v>
      </c>
      <c r="Z2770" s="77"/>
      <c r="AA2770" s="77"/>
      <c r="AB2770" s="77"/>
      <c r="AC2770" s="82" t="s">
        <v>7754</v>
      </c>
      <c r="AD2770" s="77" t="s">
        <v>7788</v>
      </c>
      <c r="AE2770" s="80" t="str">
        <f>HYPERLINK("https://twitter.com/einvestidor/status/1691604434114187342")</f>
        <v>https://twitter.com/einvestidor/status/1691604434114187342</v>
      </c>
      <c r="AF2770" s="79">
        <v>45154.010416666664</v>
      </c>
      <c r="AG2770" s="85">
        <v>45154</v>
      </c>
      <c r="AH2770" s="82" t="s">
        <v>8119</v>
      </c>
      <c r="AI2770" s="77" t="b">
        <v>0</v>
      </c>
      <c r="AJ2770" s="77"/>
      <c r="AK2770" s="77"/>
      <c r="AL2770" s="77"/>
      <c r="AM2770" s="77"/>
      <c r="AN2770" s="77"/>
      <c r="AO2770" s="77"/>
      <c r="AP2770" s="77"/>
      <c r="AQ2770" s="77"/>
      <c r="AR2770" s="77"/>
      <c r="AS2770" s="77"/>
      <c r="AT2770" s="77"/>
      <c r="AU2770" s="77"/>
      <c r="AV2770" s="80" t="str">
        <f>HYPERLINK("https://pbs.twimg.com/profile_images/1241147984924082183/gZgx_hL-_normal.jpg")</f>
        <v>https://pbs.twimg.com/profile_images/1241147984924082183/gZgx_hL-_normal.jpg</v>
      </c>
      <c r="AW2770" s="82" t="s">
        <v>14366</v>
      </c>
      <c r="AX2770" s="82" t="s">
        <v>14366</v>
      </c>
      <c r="AY2770" s="77"/>
      <c r="AZ2770" s="82" t="s">
        <v>15984</v>
      </c>
      <c r="BA2770" s="82" t="s">
        <v>15984</v>
      </c>
      <c r="BB2770" s="82" t="s">
        <v>15984</v>
      </c>
      <c r="BC2770" s="82" t="s">
        <v>14366</v>
      </c>
      <c r="BD2770" s="82" t="s">
        <v>15979</v>
      </c>
      <c r="BE2770" s="77"/>
      <c r="BF2770" s="77"/>
      <c r="BG2770" s="77"/>
      <c r="BH2770" s="77"/>
      <c r="BI2770" s="77"/>
    </row>
    <row r="2771" spans="1:61" x14ac:dyDescent="0.25">
      <c r="A2771" s="62" t="s">
        <v>387</v>
      </c>
      <c r="B2771" s="62" t="s">
        <v>387</v>
      </c>
      <c r="C2771" s="63"/>
      <c r="D2771" s="64"/>
      <c r="E2771" s="65"/>
      <c r="F2771" s="66"/>
      <c r="G2771" s="63"/>
      <c r="H2771" s="67"/>
      <c r="I2771" s="68"/>
      <c r="J2771" s="68"/>
      <c r="K2771" s="32"/>
      <c r="L2771" s="75">
        <v>2771</v>
      </c>
      <c r="M2771" s="75"/>
      <c r="N2771" s="70"/>
      <c r="O2771" s="77" t="s">
        <v>179</v>
      </c>
      <c r="P2771" s="79">
        <v>45154</v>
      </c>
      <c r="Q2771" s="77" t="s">
        <v>3443</v>
      </c>
      <c r="R2771" s="77">
        <v>0</v>
      </c>
      <c r="S2771" s="77">
        <v>0</v>
      </c>
      <c r="T2771" s="77">
        <v>0</v>
      </c>
      <c r="U2771" s="77">
        <v>0</v>
      </c>
      <c r="V2771" s="77">
        <v>672</v>
      </c>
      <c r="W2771" s="82" t="s">
        <v>4833</v>
      </c>
      <c r="X2771" s="80" t="str">
        <f>HYPERLINK("https://mla.bs/78fc2936")</f>
        <v>https://mla.bs/78fc2936</v>
      </c>
      <c r="Y2771" s="77" t="s">
        <v>6506</v>
      </c>
      <c r="Z2771" s="77"/>
      <c r="AA2771" s="77"/>
      <c r="AB2771" s="77"/>
      <c r="AC2771" s="82" t="s">
        <v>7754</v>
      </c>
      <c r="AD2771" s="77" t="s">
        <v>7788</v>
      </c>
      <c r="AE2771" s="80" t="str">
        <f>HYPERLINK("https://twitter.com/einvestidor/status/1691600661794971873")</f>
        <v>https://twitter.com/einvestidor/status/1691600661794971873</v>
      </c>
      <c r="AF2771" s="79">
        <v>45154</v>
      </c>
      <c r="AG2771" s="85">
        <v>45154</v>
      </c>
      <c r="AH2771" s="82" t="s">
        <v>9300</v>
      </c>
      <c r="AI2771" s="77" t="b">
        <v>0</v>
      </c>
      <c r="AJ2771" s="77"/>
      <c r="AK2771" s="77"/>
      <c r="AL2771" s="77"/>
      <c r="AM2771" s="77"/>
      <c r="AN2771" s="77"/>
      <c r="AO2771" s="77"/>
      <c r="AP2771" s="77"/>
      <c r="AQ2771" s="77"/>
      <c r="AR2771" s="77"/>
      <c r="AS2771" s="77"/>
      <c r="AT2771" s="77"/>
      <c r="AU2771" s="77"/>
      <c r="AV2771" s="80" t="str">
        <f>HYPERLINK("https://pbs.twimg.com/profile_images/1241147984924082183/gZgx_hL-_normal.jpg")</f>
        <v>https://pbs.twimg.com/profile_images/1241147984924082183/gZgx_hL-_normal.jpg</v>
      </c>
      <c r="AW2771" s="82" t="s">
        <v>14367</v>
      </c>
      <c r="AX2771" s="82" t="s">
        <v>14367</v>
      </c>
      <c r="AY2771" s="77"/>
      <c r="AZ2771" s="82" t="s">
        <v>15984</v>
      </c>
      <c r="BA2771" s="82" t="s">
        <v>15984</v>
      </c>
      <c r="BB2771" s="82" t="s">
        <v>15984</v>
      </c>
      <c r="BC2771" s="82" t="s">
        <v>14367</v>
      </c>
      <c r="BD2771" s="82" t="s">
        <v>15979</v>
      </c>
      <c r="BE2771" s="77"/>
      <c r="BF2771" s="77"/>
      <c r="BG2771" s="77"/>
      <c r="BH2771" s="77"/>
      <c r="BI2771" s="77"/>
    </row>
    <row r="2772" spans="1:61" x14ac:dyDescent="0.25">
      <c r="A2772" s="62" t="s">
        <v>387</v>
      </c>
      <c r="B2772" s="62" t="s">
        <v>387</v>
      </c>
      <c r="C2772" s="63"/>
      <c r="D2772" s="64"/>
      <c r="E2772" s="65"/>
      <c r="F2772" s="66"/>
      <c r="G2772" s="63"/>
      <c r="H2772" s="67"/>
      <c r="I2772" s="68"/>
      <c r="J2772" s="68"/>
      <c r="K2772" s="32"/>
      <c r="L2772" s="75">
        <v>2772</v>
      </c>
      <c r="M2772" s="75"/>
      <c r="N2772" s="70"/>
      <c r="O2772" s="77" t="s">
        <v>179</v>
      </c>
      <c r="P2772" s="79">
        <v>45153.989583333336</v>
      </c>
      <c r="Q2772" s="77" t="s">
        <v>3444</v>
      </c>
      <c r="R2772" s="77">
        <v>1</v>
      </c>
      <c r="S2772" s="77">
        <v>0</v>
      </c>
      <c r="T2772" s="77">
        <v>0</v>
      </c>
      <c r="U2772" s="77">
        <v>0</v>
      </c>
      <c r="V2772" s="77">
        <v>692</v>
      </c>
      <c r="W2772" s="82" t="s">
        <v>6108</v>
      </c>
      <c r="X2772" s="80" t="str">
        <f>HYPERLINK("https://mla.bs/271162d9")</f>
        <v>https://mla.bs/271162d9</v>
      </c>
      <c r="Y2772" s="77" t="s">
        <v>6506</v>
      </c>
      <c r="Z2772" s="77"/>
      <c r="AA2772" s="77"/>
      <c r="AB2772" s="77"/>
      <c r="AC2772" s="82" t="s">
        <v>7754</v>
      </c>
      <c r="AD2772" s="77" t="s">
        <v>7788</v>
      </c>
      <c r="AE2772" s="80" t="str">
        <f>HYPERLINK("https://twitter.com/einvestidor/status/1691596884153131357")</f>
        <v>https://twitter.com/einvestidor/status/1691596884153131357</v>
      </c>
      <c r="AF2772" s="79">
        <v>45153.989583333336</v>
      </c>
      <c r="AG2772" s="85">
        <v>45153</v>
      </c>
      <c r="AH2772" s="82" t="s">
        <v>9620</v>
      </c>
      <c r="AI2772" s="77" t="b">
        <v>0</v>
      </c>
      <c r="AJ2772" s="77"/>
      <c r="AK2772" s="77"/>
      <c r="AL2772" s="77"/>
      <c r="AM2772" s="77"/>
      <c r="AN2772" s="77"/>
      <c r="AO2772" s="77"/>
      <c r="AP2772" s="77"/>
      <c r="AQ2772" s="77"/>
      <c r="AR2772" s="77"/>
      <c r="AS2772" s="77"/>
      <c r="AT2772" s="77"/>
      <c r="AU2772" s="77"/>
      <c r="AV2772" s="80" t="str">
        <f>HYPERLINK("https://pbs.twimg.com/profile_images/1241147984924082183/gZgx_hL-_normal.jpg")</f>
        <v>https://pbs.twimg.com/profile_images/1241147984924082183/gZgx_hL-_normal.jpg</v>
      </c>
      <c r="AW2772" s="82" t="s">
        <v>14368</v>
      </c>
      <c r="AX2772" s="82" t="s">
        <v>14368</v>
      </c>
      <c r="AY2772" s="77"/>
      <c r="AZ2772" s="82" t="s">
        <v>15984</v>
      </c>
      <c r="BA2772" s="82" t="s">
        <v>15984</v>
      </c>
      <c r="BB2772" s="82" t="s">
        <v>15984</v>
      </c>
      <c r="BC2772" s="82" t="s">
        <v>14368</v>
      </c>
      <c r="BD2772" s="82" t="s">
        <v>15979</v>
      </c>
      <c r="BE2772" s="77"/>
      <c r="BF2772" s="77"/>
      <c r="BG2772" s="77"/>
      <c r="BH2772" s="77"/>
      <c r="BI2772" s="77"/>
    </row>
    <row r="2773" spans="1:61" x14ac:dyDescent="0.25">
      <c r="A2773" s="62" t="s">
        <v>387</v>
      </c>
      <c r="B2773" s="62" t="s">
        <v>387</v>
      </c>
      <c r="C2773" s="63"/>
      <c r="D2773" s="64"/>
      <c r="E2773" s="65"/>
      <c r="F2773" s="66"/>
      <c r="G2773" s="63"/>
      <c r="H2773" s="67"/>
      <c r="I2773" s="68"/>
      <c r="J2773" s="68"/>
      <c r="K2773" s="32"/>
      <c r="L2773" s="75">
        <v>2773</v>
      </c>
      <c r="M2773" s="75"/>
      <c r="N2773" s="70"/>
      <c r="O2773" s="77" t="s">
        <v>179</v>
      </c>
      <c r="P2773" s="79">
        <v>45147.03125</v>
      </c>
      <c r="Q2773" s="77" t="s">
        <v>3445</v>
      </c>
      <c r="R2773" s="77">
        <v>0</v>
      </c>
      <c r="S2773" s="77">
        <v>5</v>
      </c>
      <c r="T2773" s="77">
        <v>0</v>
      </c>
      <c r="U2773" s="77">
        <v>0</v>
      </c>
      <c r="V2773" s="77">
        <v>1037</v>
      </c>
      <c r="W2773" s="82" t="s">
        <v>6109</v>
      </c>
      <c r="X2773" s="80" t="str">
        <f>HYPERLINK("https://mla.bs/39c31622")</f>
        <v>https://mla.bs/39c31622</v>
      </c>
      <c r="Y2773" s="77" t="s">
        <v>6506</v>
      </c>
      <c r="Z2773" s="77"/>
      <c r="AA2773" s="77"/>
      <c r="AB2773" s="77"/>
      <c r="AC2773" s="82" t="s">
        <v>7754</v>
      </c>
      <c r="AD2773" s="77" t="s">
        <v>7788</v>
      </c>
      <c r="AE2773" s="80" t="str">
        <f>HYPERLINK("https://twitter.com/einvestidor/status/1689075268558667776")</f>
        <v>https://twitter.com/einvestidor/status/1689075268558667776</v>
      </c>
      <c r="AF2773" s="79">
        <v>45147.03125</v>
      </c>
      <c r="AG2773" s="85">
        <v>45147</v>
      </c>
      <c r="AH2773" s="82" t="s">
        <v>9602</v>
      </c>
      <c r="AI2773" s="77" t="b">
        <v>0</v>
      </c>
      <c r="AJ2773" s="77"/>
      <c r="AK2773" s="77"/>
      <c r="AL2773" s="77"/>
      <c r="AM2773" s="77"/>
      <c r="AN2773" s="77"/>
      <c r="AO2773" s="77"/>
      <c r="AP2773" s="77"/>
      <c r="AQ2773" s="77"/>
      <c r="AR2773" s="77"/>
      <c r="AS2773" s="77"/>
      <c r="AT2773" s="77"/>
      <c r="AU2773" s="77"/>
      <c r="AV2773" s="80" t="str">
        <f>HYPERLINK("https://pbs.twimg.com/profile_images/1241147984924082183/gZgx_hL-_normal.jpg")</f>
        <v>https://pbs.twimg.com/profile_images/1241147984924082183/gZgx_hL-_normal.jpg</v>
      </c>
      <c r="AW2773" s="82" t="s">
        <v>14369</v>
      </c>
      <c r="AX2773" s="82" t="s">
        <v>14369</v>
      </c>
      <c r="AY2773" s="77"/>
      <c r="AZ2773" s="82" t="s">
        <v>15984</v>
      </c>
      <c r="BA2773" s="82" t="s">
        <v>15984</v>
      </c>
      <c r="BB2773" s="82" t="s">
        <v>15984</v>
      </c>
      <c r="BC2773" s="82" t="s">
        <v>14369</v>
      </c>
      <c r="BD2773" s="82" t="s">
        <v>15979</v>
      </c>
      <c r="BE2773" s="77"/>
      <c r="BF2773" s="77"/>
      <c r="BG2773" s="77"/>
      <c r="BH2773" s="77"/>
      <c r="BI2773" s="77"/>
    </row>
    <row r="2774" spans="1:61" x14ac:dyDescent="0.25">
      <c r="A2774" s="62" t="s">
        <v>387</v>
      </c>
      <c r="B2774" s="62" t="s">
        <v>387</v>
      </c>
      <c r="C2774" s="63"/>
      <c r="D2774" s="64"/>
      <c r="E2774" s="65"/>
      <c r="F2774" s="66"/>
      <c r="G2774" s="63"/>
      <c r="H2774" s="67"/>
      <c r="I2774" s="68"/>
      <c r="J2774" s="68"/>
      <c r="K2774" s="32"/>
      <c r="L2774" s="75">
        <v>2774</v>
      </c>
      <c r="M2774" s="75"/>
      <c r="N2774" s="70"/>
      <c r="O2774" s="77" t="s">
        <v>179</v>
      </c>
      <c r="P2774" s="79">
        <v>45134.9375</v>
      </c>
      <c r="Q2774" s="77" t="s">
        <v>3446</v>
      </c>
      <c r="R2774" s="77">
        <v>0</v>
      </c>
      <c r="S2774" s="77">
        <v>1</v>
      </c>
      <c r="T2774" s="77">
        <v>0</v>
      </c>
      <c r="U2774" s="77">
        <v>0</v>
      </c>
      <c r="V2774" s="77">
        <v>645</v>
      </c>
      <c r="W2774" s="82" t="s">
        <v>4833</v>
      </c>
      <c r="X2774" s="80" t="str">
        <f>HYPERLINK("https://mla.bs/0e4bdfc7")</f>
        <v>https://mla.bs/0e4bdfc7</v>
      </c>
      <c r="Y2774" s="77" t="s">
        <v>6506</v>
      </c>
      <c r="Z2774" s="77"/>
      <c r="AA2774" s="77"/>
      <c r="AB2774" s="77"/>
      <c r="AC2774" s="82" t="s">
        <v>7754</v>
      </c>
      <c r="AD2774" s="77" t="s">
        <v>7788</v>
      </c>
      <c r="AE2774" s="80" t="str">
        <f>HYPERLINK("https://twitter.com/einvestidor/status/1684692641039200258")</f>
        <v>https://twitter.com/einvestidor/status/1684692641039200258</v>
      </c>
      <c r="AF2774" s="79">
        <v>45134.9375</v>
      </c>
      <c r="AG2774" s="85">
        <v>45134</v>
      </c>
      <c r="AH2774" s="82" t="s">
        <v>7926</v>
      </c>
      <c r="AI2774" s="77" t="b">
        <v>0</v>
      </c>
      <c r="AJ2774" s="77"/>
      <c r="AK2774" s="77"/>
      <c r="AL2774" s="77"/>
      <c r="AM2774" s="77"/>
      <c r="AN2774" s="77"/>
      <c r="AO2774" s="77"/>
      <c r="AP2774" s="77"/>
      <c r="AQ2774" s="77"/>
      <c r="AR2774" s="77"/>
      <c r="AS2774" s="77"/>
      <c r="AT2774" s="77"/>
      <c r="AU2774" s="77"/>
      <c r="AV2774" s="80" t="str">
        <f>HYPERLINK("https://pbs.twimg.com/profile_images/1241147984924082183/gZgx_hL-_normal.jpg")</f>
        <v>https://pbs.twimg.com/profile_images/1241147984924082183/gZgx_hL-_normal.jpg</v>
      </c>
      <c r="AW2774" s="82" t="s">
        <v>14370</v>
      </c>
      <c r="AX2774" s="82" t="s">
        <v>14370</v>
      </c>
      <c r="AY2774" s="77"/>
      <c r="AZ2774" s="82" t="s">
        <v>15984</v>
      </c>
      <c r="BA2774" s="82" t="s">
        <v>15984</v>
      </c>
      <c r="BB2774" s="82" t="s">
        <v>15984</v>
      </c>
      <c r="BC2774" s="82" t="s">
        <v>14370</v>
      </c>
      <c r="BD2774" s="82" t="s">
        <v>15979</v>
      </c>
      <c r="BE2774" s="77"/>
      <c r="BF2774" s="77"/>
      <c r="BG2774" s="77"/>
      <c r="BH2774" s="77"/>
      <c r="BI2774" s="77"/>
    </row>
    <row r="2775" spans="1:61" x14ac:dyDescent="0.25">
      <c r="A2775" s="62" t="s">
        <v>387</v>
      </c>
      <c r="B2775" s="62" t="s">
        <v>387</v>
      </c>
      <c r="C2775" s="63"/>
      <c r="D2775" s="64"/>
      <c r="E2775" s="65"/>
      <c r="F2775" s="66"/>
      <c r="G2775" s="63"/>
      <c r="H2775" s="67"/>
      <c r="I2775" s="68"/>
      <c r="J2775" s="68"/>
      <c r="K2775" s="32"/>
      <c r="L2775" s="75">
        <v>2775</v>
      </c>
      <c r="M2775" s="75"/>
      <c r="N2775" s="70"/>
      <c r="O2775" s="77" t="s">
        <v>179</v>
      </c>
      <c r="P2775" s="79">
        <v>45134.927083333336</v>
      </c>
      <c r="Q2775" s="77" t="s">
        <v>3447</v>
      </c>
      <c r="R2775" s="77">
        <v>0</v>
      </c>
      <c r="S2775" s="77">
        <v>2</v>
      </c>
      <c r="T2775" s="77">
        <v>0</v>
      </c>
      <c r="U2775" s="77">
        <v>0</v>
      </c>
      <c r="V2775" s="77">
        <v>556</v>
      </c>
      <c r="W2775" s="82" t="s">
        <v>4833</v>
      </c>
      <c r="X2775" s="80" t="str">
        <f>HYPERLINK("https://mla.bs/d1e5ca7d")</f>
        <v>https://mla.bs/d1e5ca7d</v>
      </c>
      <c r="Y2775" s="77" t="s">
        <v>6506</v>
      </c>
      <c r="Z2775" s="77"/>
      <c r="AA2775" s="77"/>
      <c r="AB2775" s="77"/>
      <c r="AC2775" s="82" t="s">
        <v>7754</v>
      </c>
      <c r="AD2775" s="77" t="s">
        <v>7788</v>
      </c>
      <c r="AE2775" s="80" t="str">
        <f>HYPERLINK("https://twitter.com/einvestidor/status/1684688865523556352")</f>
        <v>https://twitter.com/einvestidor/status/1684688865523556352</v>
      </c>
      <c r="AF2775" s="79">
        <v>45134.927083333336</v>
      </c>
      <c r="AG2775" s="85">
        <v>45134</v>
      </c>
      <c r="AH2775" s="82" t="s">
        <v>9576</v>
      </c>
      <c r="AI2775" s="77" t="b">
        <v>0</v>
      </c>
      <c r="AJ2775" s="77"/>
      <c r="AK2775" s="77"/>
      <c r="AL2775" s="77"/>
      <c r="AM2775" s="77"/>
      <c r="AN2775" s="77"/>
      <c r="AO2775" s="77"/>
      <c r="AP2775" s="77"/>
      <c r="AQ2775" s="77"/>
      <c r="AR2775" s="77"/>
      <c r="AS2775" s="77"/>
      <c r="AT2775" s="77"/>
      <c r="AU2775" s="77"/>
      <c r="AV2775" s="80" t="str">
        <f>HYPERLINK("https://pbs.twimg.com/profile_images/1241147984924082183/gZgx_hL-_normal.jpg")</f>
        <v>https://pbs.twimg.com/profile_images/1241147984924082183/gZgx_hL-_normal.jpg</v>
      </c>
      <c r="AW2775" s="82" t="s">
        <v>14371</v>
      </c>
      <c r="AX2775" s="82" t="s">
        <v>14371</v>
      </c>
      <c r="AY2775" s="77"/>
      <c r="AZ2775" s="82" t="s">
        <v>15984</v>
      </c>
      <c r="BA2775" s="82" t="s">
        <v>15984</v>
      </c>
      <c r="BB2775" s="82" t="s">
        <v>15984</v>
      </c>
      <c r="BC2775" s="82" t="s">
        <v>14371</v>
      </c>
      <c r="BD2775" s="82" t="s">
        <v>15979</v>
      </c>
      <c r="BE2775" s="77"/>
      <c r="BF2775" s="77"/>
      <c r="BG2775" s="77"/>
      <c r="BH2775" s="77"/>
      <c r="BI2775" s="77"/>
    </row>
    <row r="2776" spans="1:61" x14ac:dyDescent="0.25">
      <c r="A2776" s="62" t="s">
        <v>387</v>
      </c>
      <c r="B2776" s="62" t="s">
        <v>387</v>
      </c>
      <c r="C2776" s="63"/>
      <c r="D2776" s="64"/>
      <c r="E2776" s="65"/>
      <c r="F2776" s="66"/>
      <c r="G2776" s="63"/>
      <c r="H2776" s="67"/>
      <c r="I2776" s="68"/>
      <c r="J2776" s="68"/>
      <c r="K2776" s="32"/>
      <c r="L2776" s="75">
        <v>2776</v>
      </c>
      <c r="M2776" s="75"/>
      <c r="N2776" s="70"/>
      <c r="O2776" s="77" t="s">
        <v>898</v>
      </c>
      <c r="P2776" s="79">
        <v>45134.916678240741</v>
      </c>
      <c r="Q2776" s="77" t="s">
        <v>3448</v>
      </c>
      <c r="R2776" s="77">
        <v>0</v>
      </c>
      <c r="S2776" s="77">
        <v>1</v>
      </c>
      <c r="T2776" s="77">
        <v>0</v>
      </c>
      <c r="U2776" s="77">
        <v>0</v>
      </c>
      <c r="V2776" s="77">
        <v>521</v>
      </c>
      <c r="W2776" s="82" t="s">
        <v>4833</v>
      </c>
      <c r="X2776" s="80" t="str">
        <f>HYPERLINK("https://mla.bs/bc9d297d")</f>
        <v>https://mla.bs/bc9d297d</v>
      </c>
      <c r="Y2776" s="77" t="s">
        <v>6506</v>
      </c>
      <c r="Z2776" s="77"/>
      <c r="AA2776" s="77"/>
      <c r="AB2776" s="77"/>
      <c r="AC2776" s="82" t="s">
        <v>7750</v>
      </c>
      <c r="AD2776" s="77" t="s">
        <v>7788</v>
      </c>
      <c r="AE2776" s="80" t="str">
        <f>HYPERLINK("https://twitter.com/einvestidor/status/1684685097092722697")</f>
        <v>https://twitter.com/einvestidor/status/1684685097092722697</v>
      </c>
      <c r="AF2776" s="79">
        <v>45134.916678240741</v>
      </c>
      <c r="AG2776" s="85">
        <v>45134</v>
      </c>
      <c r="AH2776" s="82" t="s">
        <v>8052</v>
      </c>
      <c r="AI2776" s="77" t="b">
        <v>0</v>
      </c>
      <c r="AJ2776" s="77"/>
      <c r="AK2776" s="77"/>
      <c r="AL2776" s="77"/>
      <c r="AM2776" s="77"/>
      <c r="AN2776" s="77"/>
      <c r="AO2776" s="77"/>
      <c r="AP2776" s="77"/>
      <c r="AQ2776" s="77"/>
      <c r="AR2776" s="77"/>
      <c r="AS2776" s="77"/>
      <c r="AT2776" s="77"/>
      <c r="AU2776" s="77"/>
      <c r="AV2776" s="80" t="str">
        <f>HYPERLINK("https://pbs.twimg.com/profile_images/1241147984924082183/gZgx_hL-_normal.jpg")</f>
        <v>https://pbs.twimg.com/profile_images/1241147984924082183/gZgx_hL-_normal.jpg</v>
      </c>
      <c r="AW2776" s="82" t="s">
        <v>14372</v>
      </c>
      <c r="AX2776" s="82" t="s">
        <v>15901</v>
      </c>
      <c r="AY2776" s="82" t="s">
        <v>15979</v>
      </c>
      <c r="AZ2776" s="82" t="s">
        <v>14203</v>
      </c>
      <c r="BA2776" s="82" t="s">
        <v>15984</v>
      </c>
      <c r="BB2776" s="82" t="s">
        <v>15984</v>
      </c>
      <c r="BC2776" s="82" t="s">
        <v>14203</v>
      </c>
      <c r="BD2776" s="82" t="s">
        <v>15979</v>
      </c>
      <c r="BE2776" s="77"/>
      <c r="BF2776" s="77"/>
      <c r="BG2776" s="77"/>
      <c r="BH2776" s="77"/>
      <c r="BI2776" s="77"/>
    </row>
    <row r="2777" spans="1:61" x14ac:dyDescent="0.25">
      <c r="A2777" s="62" t="s">
        <v>387</v>
      </c>
      <c r="B2777" s="62" t="s">
        <v>387</v>
      </c>
      <c r="C2777" s="63"/>
      <c r="D2777" s="64"/>
      <c r="E2777" s="65"/>
      <c r="F2777" s="66"/>
      <c r="G2777" s="63"/>
      <c r="H2777" s="67"/>
      <c r="I2777" s="68"/>
      <c r="J2777" s="68"/>
      <c r="K2777" s="32"/>
      <c r="L2777" s="75">
        <v>2777</v>
      </c>
      <c r="M2777" s="75"/>
      <c r="N2777" s="70"/>
      <c r="O2777" s="77" t="s">
        <v>179</v>
      </c>
      <c r="P2777" s="79">
        <v>45134.908993055556</v>
      </c>
      <c r="Q2777" s="77" t="s">
        <v>3449</v>
      </c>
      <c r="R2777" s="77">
        <v>0</v>
      </c>
      <c r="S2777" s="77">
        <v>3</v>
      </c>
      <c r="T2777" s="77">
        <v>0</v>
      </c>
      <c r="U2777" s="77">
        <v>0</v>
      </c>
      <c r="V2777" s="77">
        <v>644</v>
      </c>
      <c r="W2777" s="82" t="s">
        <v>4833</v>
      </c>
      <c r="X2777" s="80" t="str">
        <f>HYPERLINK("https://mla.bs/437e3cc5")</f>
        <v>https://mla.bs/437e3cc5</v>
      </c>
      <c r="Y2777" s="77" t="s">
        <v>6506</v>
      </c>
      <c r="Z2777" s="77"/>
      <c r="AA2777" s="77"/>
      <c r="AB2777" s="77"/>
      <c r="AC2777" s="82" t="s">
        <v>7754</v>
      </c>
      <c r="AD2777" s="77" t="s">
        <v>7788</v>
      </c>
      <c r="AE2777" s="80" t="str">
        <f>HYPERLINK("https://twitter.com/einvestidor/status/1684682309797097472")</f>
        <v>https://twitter.com/einvestidor/status/1684682309797097472</v>
      </c>
      <c r="AF2777" s="79">
        <v>45134.908993055556</v>
      </c>
      <c r="AG2777" s="85">
        <v>45134</v>
      </c>
      <c r="AH2777" s="82" t="s">
        <v>9816</v>
      </c>
      <c r="AI2777" s="77" t="b">
        <v>0</v>
      </c>
      <c r="AJ2777" s="77"/>
      <c r="AK2777" s="77"/>
      <c r="AL2777" s="77"/>
      <c r="AM2777" s="77"/>
      <c r="AN2777" s="77"/>
      <c r="AO2777" s="77"/>
      <c r="AP2777" s="77"/>
      <c r="AQ2777" s="77"/>
      <c r="AR2777" s="77"/>
      <c r="AS2777" s="77"/>
      <c r="AT2777" s="77"/>
      <c r="AU2777" s="77"/>
      <c r="AV2777" s="80" t="str">
        <f>HYPERLINK("https://pbs.twimg.com/profile_images/1241147984924082183/gZgx_hL-_normal.jpg")</f>
        <v>https://pbs.twimg.com/profile_images/1241147984924082183/gZgx_hL-_normal.jpg</v>
      </c>
      <c r="AW2777" s="82" t="s">
        <v>14373</v>
      </c>
      <c r="AX2777" s="82" t="s">
        <v>14373</v>
      </c>
      <c r="AY2777" s="77"/>
      <c r="AZ2777" s="82" t="s">
        <v>15984</v>
      </c>
      <c r="BA2777" s="82" t="s">
        <v>15984</v>
      </c>
      <c r="BB2777" s="82" t="s">
        <v>15984</v>
      </c>
      <c r="BC2777" s="82" t="s">
        <v>14373</v>
      </c>
      <c r="BD2777" s="82" t="s">
        <v>15979</v>
      </c>
      <c r="BE2777" s="77"/>
      <c r="BF2777" s="77"/>
      <c r="BG2777" s="77"/>
      <c r="BH2777" s="77"/>
      <c r="BI2777" s="77"/>
    </row>
    <row r="2778" spans="1:61" x14ac:dyDescent="0.25">
      <c r="A2778" s="62" t="s">
        <v>387</v>
      </c>
      <c r="B2778" s="62" t="s">
        <v>387</v>
      </c>
      <c r="C2778" s="63"/>
      <c r="D2778" s="64"/>
      <c r="E2778" s="65"/>
      <c r="F2778" s="66"/>
      <c r="G2778" s="63"/>
      <c r="H2778" s="67"/>
      <c r="I2778" s="68"/>
      <c r="J2778" s="68"/>
      <c r="K2778" s="32"/>
      <c r="L2778" s="75">
        <v>2778</v>
      </c>
      <c r="M2778" s="75"/>
      <c r="N2778" s="70"/>
      <c r="O2778" s="77" t="s">
        <v>179</v>
      </c>
      <c r="P2778" s="79">
        <v>45134.90625</v>
      </c>
      <c r="Q2778" s="77" t="s">
        <v>3450</v>
      </c>
      <c r="R2778" s="77">
        <v>0</v>
      </c>
      <c r="S2778" s="77">
        <v>1</v>
      </c>
      <c r="T2778" s="77">
        <v>0</v>
      </c>
      <c r="U2778" s="77">
        <v>0</v>
      </c>
      <c r="V2778" s="77">
        <v>804</v>
      </c>
      <c r="W2778" s="82" t="s">
        <v>4833</v>
      </c>
      <c r="X2778" s="80" t="str">
        <f>HYPERLINK("https://mla.bs/e813140c")</f>
        <v>https://mla.bs/e813140c</v>
      </c>
      <c r="Y2778" s="77" t="s">
        <v>6506</v>
      </c>
      <c r="Z2778" s="77"/>
      <c r="AA2778" s="77"/>
      <c r="AB2778" s="77"/>
      <c r="AC2778" s="82" t="s">
        <v>7754</v>
      </c>
      <c r="AD2778" s="77" t="s">
        <v>7788</v>
      </c>
      <c r="AE2778" s="80" t="str">
        <f>HYPERLINK("https://twitter.com/einvestidor/status/1684681316095172608")</f>
        <v>https://twitter.com/einvestidor/status/1684681316095172608</v>
      </c>
      <c r="AF2778" s="79">
        <v>45134.90625</v>
      </c>
      <c r="AG2778" s="85">
        <v>45134</v>
      </c>
      <c r="AH2778" s="82" t="s">
        <v>9578</v>
      </c>
      <c r="AI2778" s="77" t="b">
        <v>0</v>
      </c>
      <c r="AJ2778" s="77"/>
      <c r="AK2778" s="77"/>
      <c r="AL2778" s="77"/>
      <c r="AM2778" s="77"/>
      <c r="AN2778" s="77"/>
      <c r="AO2778" s="77"/>
      <c r="AP2778" s="77"/>
      <c r="AQ2778" s="77"/>
      <c r="AR2778" s="77"/>
      <c r="AS2778" s="77"/>
      <c r="AT2778" s="77"/>
      <c r="AU2778" s="77"/>
      <c r="AV2778" s="80" t="str">
        <f>HYPERLINK("https://pbs.twimg.com/profile_images/1241147984924082183/gZgx_hL-_normal.jpg")</f>
        <v>https://pbs.twimg.com/profile_images/1241147984924082183/gZgx_hL-_normal.jpg</v>
      </c>
      <c r="AW2778" s="82" t="s">
        <v>14374</v>
      </c>
      <c r="AX2778" s="82" t="s">
        <v>14374</v>
      </c>
      <c r="AY2778" s="77"/>
      <c r="AZ2778" s="82" t="s">
        <v>15984</v>
      </c>
      <c r="BA2778" s="82" t="s">
        <v>15984</v>
      </c>
      <c r="BB2778" s="82" t="s">
        <v>15984</v>
      </c>
      <c r="BC2778" s="82" t="s">
        <v>14374</v>
      </c>
      <c r="BD2778" s="82" t="s">
        <v>15979</v>
      </c>
      <c r="BE2778" s="77"/>
      <c r="BF2778" s="77"/>
      <c r="BG2778" s="77"/>
      <c r="BH2778" s="77"/>
      <c r="BI2778" s="77"/>
    </row>
    <row r="2779" spans="1:61" x14ac:dyDescent="0.25">
      <c r="A2779" s="62" t="s">
        <v>387</v>
      </c>
      <c r="B2779" s="62" t="s">
        <v>387</v>
      </c>
      <c r="C2779" s="63"/>
      <c r="D2779" s="64"/>
      <c r="E2779" s="65"/>
      <c r="F2779" s="66"/>
      <c r="G2779" s="63"/>
      <c r="H2779" s="67"/>
      <c r="I2779" s="68"/>
      <c r="J2779" s="68"/>
      <c r="K2779" s="32"/>
      <c r="L2779" s="75">
        <v>2779</v>
      </c>
      <c r="M2779" s="75"/>
      <c r="N2779" s="70"/>
      <c r="O2779" s="77" t="s">
        <v>179</v>
      </c>
      <c r="P2779" s="79">
        <v>45134.895833333336</v>
      </c>
      <c r="Q2779" s="77" t="s">
        <v>3451</v>
      </c>
      <c r="R2779" s="77">
        <v>0</v>
      </c>
      <c r="S2779" s="77">
        <v>0</v>
      </c>
      <c r="T2779" s="77">
        <v>0</v>
      </c>
      <c r="U2779" s="77">
        <v>0</v>
      </c>
      <c r="V2779" s="77">
        <v>499</v>
      </c>
      <c r="W2779" s="82" t="s">
        <v>4833</v>
      </c>
      <c r="X2779" s="80" t="str">
        <f>HYPERLINK("https://mla.bs/eec9433c")</f>
        <v>https://mla.bs/eec9433c</v>
      </c>
      <c r="Y2779" s="77" t="s">
        <v>6506</v>
      </c>
      <c r="Z2779" s="77"/>
      <c r="AA2779" s="77"/>
      <c r="AB2779" s="77"/>
      <c r="AC2779" s="82" t="s">
        <v>7754</v>
      </c>
      <c r="AD2779" s="77" t="s">
        <v>7788</v>
      </c>
      <c r="AE2779" s="80" t="str">
        <f>HYPERLINK("https://twitter.com/einvestidor/status/1684677542438178816")</f>
        <v>https://twitter.com/einvestidor/status/1684677542438178816</v>
      </c>
      <c r="AF2779" s="79">
        <v>45134.895833333336</v>
      </c>
      <c r="AG2779" s="85">
        <v>45134</v>
      </c>
      <c r="AH2779" s="82" t="s">
        <v>8089</v>
      </c>
      <c r="AI2779" s="77" t="b">
        <v>0</v>
      </c>
      <c r="AJ2779" s="77"/>
      <c r="AK2779" s="77"/>
      <c r="AL2779" s="77"/>
      <c r="AM2779" s="77"/>
      <c r="AN2779" s="77"/>
      <c r="AO2779" s="77"/>
      <c r="AP2779" s="77"/>
      <c r="AQ2779" s="77"/>
      <c r="AR2779" s="77"/>
      <c r="AS2779" s="77"/>
      <c r="AT2779" s="77"/>
      <c r="AU2779" s="77"/>
      <c r="AV2779" s="80" t="str">
        <f>HYPERLINK("https://pbs.twimg.com/profile_images/1241147984924082183/gZgx_hL-_normal.jpg")</f>
        <v>https://pbs.twimg.com/profile_images/1241147984924082183/gZgx_hL-_normal.jpg</v>
      </c>
      <c r="AW2779" s="82" t="s">
        <v>14375</v>
      </c>
      <c r="AX2779" s="82" t="s">
        <v>14375</v>
      </c>
      <c r="AY2779" s="77"/>
      <c r="AZ2779" s="82" t="s">
        <v>15984</v>
      </c>
      <c r="BA2779" s="82" t="s">
        <v>15984</v>
      </c>
      <c r="BB2779" s="82" t="s">
        <v>15984</v>
      </c>
      <c r="BC2779" s="82" t="s">
        <v>14375</v>
      </c>
      <c r="BD2779" s="82" t="s">
        <v>15979</v>
      </c>
      <c r="BE2779" s="77"/>
      <c r="BF2779" s="77"/>
      <c r="BG2779" s="77"/>
      <c r="BH2779" s="77"/>
      <c r="BI2779" s="77"/>
    </row>
    <row r="2780" spans="1:61" x14ac:dyDescent="0.25">
      <c r="A2780" s="62" t="s">
        <v>387</v>
      </c>
      <c r="B2780" s="62" t="s">
        <v>387</v>
      </c>
      <c r="C2780" s="63"/>
      <c r="D2780" s="64"/>
      <c r="E2780" s="65"/>
      <c r="F2780" s="66"/>
      <c r="G2780" s="63"/>
      <c r="H2780" s="67"/>
      <c r="I2780" s="68"/>
      <c r="J2780" s="68"/>
      <c r="K2780" s="32"/>
      <c r="L2780" s="75">
        <v>2780</v>
      </c>
      <c r="M2780" s="75"/>
      <c r="N2780" s="70"/>
      <c r="O2780" s="77" t="s">
        <v>179</v>
      </c>
      <c r="P2780" s="79">
        <v>45134.893379629626</v>
      </c>
      <c r="Q2780" s="77" t="s">
        <v>3452</v>
      </c>
      <c r="R2780" s="77">
        <v>0</v>
      </c>
      <c r="S2780" s="77">
        <v>2</v>
      </c>
      <c r="T2780" s="77">
        <v>0</v>
      </c>
      <c r="U2780" s="77">
        <v>0</v>
      </c>
      <c r="V2780" s="77">
        <v>748</v>
      </c>
      <c r="W2780" s="82" t="s">
        <v>6110</v>
      </c>
      <c r="X2780" s="80" t="str">
        <f>HYPERLINK("https://mla.bs/ca2436dd")</f>
        <v>https://mla.bs/ca2436dd</v>
      </c>
      <c r="Y2780" s="77" t="s">
        <v>6506</v>
      </c>
      <c r="Z2780" s="77"/>
      <c r="AA2780" s="77"/>
      <c r="AB2780" s="77"/>
      <c r="AC2780" s="82" t="s">
        <v>7754</v>
      </c>
      <c r="AD2780" s="77" t="s">
        <v>7788</v>
      </c>
      <c r="AE2780" s="80" t="str">
        <f>HYPERLINK("https://twitter.com/einvestidor/status/1684676651664166913")</f>
        <v>https://twitter.com/einvestidor/status/1684676651664166913</v>
      </c>
      <c r="AF2780" s="79">
        <v>45134.893379629626</v>
      </c>
      <c r="AG2780" s="85">
        <v>45134</v>
      </c>
      <c r="AH2780" s="82" t="s">
        <v>9817</v>
      </c>
      <c r="AI2780" s="77" t="b">
        <v>0</v>
      </c>
      <c r="AJ2780" s="77"/>
      <c r="AK2780" s="77"/>
      <c r="AL2780" s="77"/>
      <c r="AM2780" s="77"/>
      <c r="AN2780" s="77"/>
      <c r="AO2780" s="77"/>
      <c r="AP2780" s="77"/>
      <c r="AQ2780" s="77"/>
      <c r="AR2780" s="77"/>
      <c r="AS2780" s="77"/>
      <c r="AT2780" s="77"/>
      <c r="AU2780" s="77"/>
      <c r="AV2780" s="80" t="str">
        <f>HYPERLINK("https://pbs.twimg.com/profile_images/1241147984924082183/gZgx_hL-_normal.jpg")</f>
        <v>https://pbs.twimg.com/profile_images/1241147984924082183/gZgx_hL-_normal.jpg</v>
      </c>
      <c r="AW2780" s="82" t="s">
        <v>14376</v>
      </c>
      <c r="AX2780" s="82" t="s">
        <v>14376</v>
      </c>
      <c r="AY2780" s="77"/>
      <c r="AZ2780" s="82" t="s">
        <v>15984</v>
      </c>
      <c r="BA2780" s="82" t="s">
        <v>15984</v>
      </c>
      <c r="BB2780" s="82" t="s">
        <v>15984</v>
      </c>
      <c r="BC2780" s="82" t="s">
        <v>14376</v>
      </c>
      <c r="BD2780" s="82" t="s">
        <v>15979</v>
      </c>
      <c r="BE2780" s="77"/>
      <c r="BF2780" s="77"/>
      <c r="BG2780" s="77"/>
      <c r="BH2780" s="77"/>
      <c r="BI2780" s="77"/>
    </row>
    <row r="2781" spans="1:61" x14ac:dyDescent="0.25">
      <c r="A2781" s="62" t="s">
        <v>387</v>
      </c>
      <c r="B2781" s="62" t="s">
        <v>387</v>
      </c>
      <c r="C2781" s="63"/>
      <c r="D2781" s="64"/>
      <c r="E2781" s="65"/>
      <c r="F2781" s="66"/>
      <c r="G2781" s="63"/>
      <c r="H2781" s="67"/>
      <c r="I2781" s="68"/>
      <c r="J2781" s="68"/>
      <c r="K2781" s="32"/>
      <c r="L2781" s="75">
        <v>2781</v>
      </c>
      <c r="M2781" s="75"/>
      <c r="N2781" s="70"/>
      <c r="O2781" s="77" t="s">
        <v>179</v>
      </c>
      <c r="P2781" s="79">
        <v>45134.892870370371</v>
      </c>
      <c r="Q2781" s="77" t="s">
        <v>3453</v>
      </c>
      <c r="R2781" s="77">
        <v>0</v>
      </c>
      <c r="S2781" s="77">
        <v>0</v>
      </c>
      <c r="T2781" s="77">
        <v>0</v>
      </c>
      <c r="U2781" s="77">
        <v>0</v>
      </c>
      <c r="V2781" s="77">
        <v>628</v>
      </c>
      <c r="W2781" s="82" t="s">
        <v>6111</v>
      </c>
      <c r="X2781" s="80" t="str">
        <f>HYPERLINK("https://mla.bs/b4ebd6ee")</f>
        <v>https://mla.bs/b4ebd6ee</v>
      </c>
      <c r="Y2781" s="77" t="s">
        <v>6506</v>
      </c>
      <c r="Z2781" s="77"/>
      <c r="AA2781" s="77"/>
      <c r="AB2781" s="77"/>
      <c r="AC2781" s="82" t="s">
        <v>7754</v>
      </c>
      <c r="AD2781" s="77" t="s">
        <v>7788</v>
      </c>
      <c r="AE2781" s="80" t="str">
        <f>HYPERLINK("https://twitter.com/einvestidor/status/1684676467228110848")</f>
        <v>https://twitter.com/einvestidor/status/1684676467228110848</v>
      </c>
      <c r="AF2781" s="79">
        <v>45134.892870370371</v>
      </c>
      <c r="AG2781" s="85">
        <v>45134</v>
      </c>
      <c r="AH2781" s="82" t="s">
        <v>9818</v>
      </c>
      <c r="AI2781" s="77" t="b">
        <v>0</v>
      </c>
      <c r="AJ2781" s="77"/>
      <c r="AK2781" s="77"/>
      <c r="AL2781" s="77"/>
      <c r="AM2781" s="77"/>
      <c r="AN2781" s="77"/>
      <c r="AO2781" s="77"/>
      <c r="AP2781" s="77"/>
      <c r="AQ2781" s="77"/>
      <c r="AR2781" s="77"/>
      <c r="AS2781" s="77"/>
      <c r="AT2781" s="77"/>
      <c r="AU2781" s="77"/>
      <c r="AV2781" s="80" t="str">
        <f>HYPERLINK("https://pbs.twimg.com/profile_images/1241147984924082183/gZgx_hL-_normal.jpg")</f>
        <v>https://pbs.twimg.com/profile_images/1241147984924082183/gZgx_hL-_normal.jpg</v>
      </c>
      <c r="AW2781" s="82" t="s">
        <v>14377</v>
      </c>
      <c r="AX2781" s="82" t="s">
        <v>14377</v>
      </c>
      <c r="AY2781" s="77"/>
      <c r="AZ2781" s="82" t="s">
        <v>15984</v>
      </c>
      <c r="BA2781" s="82" t="s">
        <v>15984</v>
      </c>
      <c r="BB2781" s="82" t="s">
        <v>15984</v>
      </c>
      <c r="BC2781" s="82" t="s">
        <v>14377</v>
      </c>
      <c r="BD2781" s="82" t="s">
        <v>15979</v>
      </c>
      <c r="BE2781" s="77"/>
      <c r="BF2781" s="77"/>
      <c r="BG2781" s="77"/>
      <c r="BH2781" s="77"/>
      <c r="BI2781" s="77"/>
    </row>
    <row r="2782" spans="1:61" x14ac:dyDescent="0.25">
      <c r="A2782" s="62" t="s">
        <v>387</v>
      </c>
      <c r="B2782" s="62" t="s">
        <v>387</v>
      </c>
      <c r="C2782" s="63"/>
      <c r="D2782" s="64"/>
      <c r="E2782" s="65"/>
      <c r="F2782" s="66"/>
      <c r="G2782" s="63"/>
      <c r="H2782" s="67"/>
      <c r="I2782" s="68"/>
      <c r="J2782" s="68"/>
      <c r="K2782" s="32"/>
      <c r="L2782" s="75">
        <v>2782</v>
      </c>
      <c r="M2782" s="75"/>
      <c r="N2782" s="70"/>
      <c r="O2782" s="77" t="s">
        <v>179</v>
      </c>
      <c r="P2782" s="79">
        <v>45134.885416666664</v>
      </c>
      <c r="Q2782" s="77" t="s">
        <v>3454</v>
      </c>
      <c r="R2782" s="77">
        <v>0</v>
      </c>
      <c r="S2782" s="77">
        <v>2</v>
      </c>
      <c r="T2782" s="77">
        <v>0</v>
      </c>
      <c r="U2782" s="77">
        <v>0</v>
      </c>
      <c r="V2782" s="77">
        <v>536</v>
      </c>
      <c r="W2782" s="82" t="s">
        <v>4833</v>
      </c>
      <c r="X2782" s="80" t="str">
        <f>HYPERLINK("https://mla.bs/cd29d4e5")</f>
        <v>https://mla.bs/cd29d4e5</v>
      </c>
      <c r="Y2782" s="77" t="s">
        <v>6506</v>
      </c>
      <c r="Z2782" s="77"/>
      <c r="AA2782" s="77"/>
      <c r="AB2782" s="77"/>
      <c r="AC2782" s="82" t="s">
        <v>7754</v>
      </c>
      <c r="AD2782" s="77" t="s">
        <v>7788</v>
      </c>
      <c r="AE2782" s="80" t="str">
        <f>HYPERLINK("https://twitter.com/einvestidor/status/1684673766134034432")</f>
        <v>https://twitter.com/einvestidor/status/1684673766134034432</v>
      </c>
      <c r="AF2782" s="79">
        <v>45134.885416666664</v>
      </c>
      <c r="AG2782" s="85">
        <v>45134</v>
      </c>
      <c r="AH2782" s="82" t="s">
        <v>8206</v>
      </c>
      <c r="AI2782" s="77" t="b">
        <v>0</v>
      </c>
      <c r="AJ2782" s="77"/>
      <c r="AK2782" s="77"/>
      <c r="AL2782" s="77"/>
      <c r="AM2782" s="77"/>
      <c r="AN2782" s="77"/>
      <c r="AO2782" s="77"/>
      <c r="AP2782" s="77"/>
      <c r="AQ2782" s="77"/>
      <c r="AR2782" s="77"/>
      <c r="AS2782" s="77"/>
      <c r="AT2782" s="77"/>
      <c r="AU2782" s="77"/>
      <c r="AV2782" s="80" t="str">
        <f>HYPERLINK("https://pbs.twimg.com/profile_images/1241147984924082183/gZgx_hL-_normal.jpg")</f>
        <v>https://pbs.twimg.com/profile_images/1241147984924082183/gZgx_hL-_normal.jpg</v>
      </c>
      <c r="AW2782" s="82" t="s">
        <v>14378</v>
      </c>
      <c r="AX2782" s="82" t="s">
        <v>14378</v>
      </c>
      <c r="AY2782" s="77"/>
      <c r="AZ2782" s="82" t="s">
        <v>15984</v>
      </c>
      <c r="BA2782" s="82" t="s">
        <v>15984</v>
      </c>
      <c r="BB2782" s="82" t="s">
        <v>15984</v>
      </c>
      <c r="BC2782" s="82" t="s">
        <v>14378</v>
      </c>
      <c r="BD2782" s="82" t="s">
        <v>15979</v>
      </c>
      <c r="BE2782" s="77"/>
      <c r="BF2782" s="77"/>
      <c r="BG2782" s="77"/>
      <c r="BH2782" s="77"/>
      <c r="BI2782" s="77"/>
    </row>
    <row r="2783" spans="1:61" x14ac:dyDescent="0.25">
      <c r="A2783" s="62" t="s">
        <v>387</v>
      </c>
      <c r="B2783" s="62" t="s">
        <v>387</v>
      </c>
      <c r="C2783" s="63"/>
      <c r="D2783" s="64"/>
      <c r="E2783" s="65"/>
      <c r="F2783" s="66"/>
      <c r="G2783" s="63"/>
      <c r="H2783" s="67"/>
      <c r="I2783" s="68"/>
      <c r="J2783" s="68"/>
      <c r="K2783" s="32"/>
      <c r="L2783" s="75">
        <v>2783</v>
      </c>
      <c r="M2783" s="75"/>
      <c r="N2783" s="70"/>
      <c r="O2783" s="77" t="s">
        <v>179</v>
      </c>
      <c r="P2783" s="79">
        <v>45128.000011574077</v>
      </c>
      <c r="Q2783" s="77" t="s">
        <v>3455</v>
      </c>
      <c r="R2783" s="77">
        <v>0</v>
      </c>
      <c r="S2783" s="77">
        <v>1</v>
      </c>
      <c r="T2783" s="77">
        <v>0</v>
      </c>
      <c r="U2783" s="77">
        <v>0</v>
      </c>
      <c r="V2783" s="77">
        <v>786</v>
      </c>
      <c r="W2783" s="82" t="s">
        <v>4833</v>
      </c>
      <c r="X2783" s="80" t="str">
        <f>HYPERLINK("https://mla.bs/9d562fee")</f>
        <v>https://mla.bs/9d562fee</v>
      </c>
      <c r="Y2783" s="77" t="s">
        <v>6506</v>
      </c>
      <c r="Z2783" s="77"/>
      <c r="AA2783" s="77"/>
      <c r="AB2783" s="77"/>
      <c r="AC2783" s="82" t="s">
        <v>7754</v>
      </c>
      <c r="AD2783" s="77" t="s">
        <v>7788</v>
      </c>
      <c r="AE2783" s="80" t="str">
        <f>HYPERLINK("https://twitter.com/einvestidor/status/1682178580598632449")</f>
        <v>https://twitter.com/einvestidor/status/1682178580598632449</v>
      </c>
      <c r="AF2783" s="79">
        <v>45128.000011574077</v>
      </c>
      <c r="AG2783" s="85">
        <v>45128</v>
      </c>
      <c r="AH2783" s="82" t="s">
        <v>7883</v>
      </c>
      <c r="AI2783" s="77" t="b">
        <v>0</v>
      </c>
      <c r="AJ2783" s="77"/>
      <c r="AK2783" s="77"/>
      <c r="AL2783" s="77"/>
      <c r="AM2783" s="77"/>
      <c r="AN2783" s="77"/>
      <c r="AO2783" s="77"/>
      <c r="AP2783" s="77"/>
      <c r="AQ2783" s="77"/>
      <c r="AR2783" s="77"/>
      <c r="AS2783" s="77"/>
      <c r="AT2783" s="77"/>
      <c r="AU2783" s="77"/>
      <c r="AV2783" s="80" t="str">
        <f>HYPERLINK("https://pbs.twimg.com/profile_images/1241147984924082183/gZgx_hL-_normal.jpg")</f>
        <v>https://pbs.twimg.com/profile_images/1241147984924082183/gZgx_hL-_normal.jpg</v>
      </c>
      <c r="AW2783" s="82" t="s">
        <v>14379</v>
      </c>
      <c r="AX2783" s="82" t="s">
        <v>14379</v>
      </c>
      <c r="AY2783" s="77"/>
      <c r="AZ2783" s="82" t="s">
        <v>15984</v>
      </c>
      <c r="BA2783" s="82" t="s">
        <v>15984</v>
      </c>
      <c r="BB2783" s="82" t="s">
        <v>15984</v>
      </c>
      <c r="BC2783" s="82" t="s">
        <v>14379</v>
      </c>
      <c r="BD2783" s="82" t="s">
        <v>15979</v>
      </c>
      <c r="BE2783" s="77"/>
      <c r="BF2783" s="77"/>
      <c r="BG2783" s="77"/>
      <c r="BH2783" s="77"/>
      <c r="BI2783" s="77"/>
    </row>
    <row r="2784" spans="1:61" x14ac:dyDescent="0.25">
      <c r="A2784" s="62" t="s">
        <v>387</v>
      </c>
      <c r="B2784" s="62" t="s">
        <v>387</v>
      </c>
      <c r="C2784" s="63"/>
      <c r="D2784" s="64"/>
      <c r="E2784" s="65"/>
      <c r="F2784" s="66"/>
      <c r="G2784" s="63"/>
      <c r="H2784" s="67"/>
      <c r="I2784" s="68"/>
      <c r="J2784" s="68"/>
      <c r="K2784" s="32"/>
      <c r="L2784" s="75">
        <v>2784</v>
      </c>
      <c r="M2784" s="75"/>
      <c r="N2784" s="70"/>
      <c r="O2784" s="77" t="s">
        <v>179</v>
      </c>
      <c r="P2784" s="79">
        <v>45127.986111111109</v>
      </c>
      <c r="Q2784" s="77" t="s">
        <v>3456</v>
      </c>
      <c r="R2784" s="77">
        <v>0</v>
      </c>
      <c r="S2784" s="77">
        <v>1</v>
      </c>
      <c r="T2784" s="77">
        <v>0</v>
      </c>
      <c r="U2784" s="77">
        <v>0</v>
      </c>
      <c r="V2784" s="77">
        <v>701</v>
      </c>
      <c r="W2784" s="82" t="s">
        <v>4833</v>
      </c>
      <c r="X2784" s="80" t="str">
        <f>HYPERLINK("https://mla.bs/2bdb8ea5")</f>
        <v>https://mla.bs/2bdb8ea5</v>
      </c>
      <c r="Y2784" s="77" t="s">
        <v>6506</v>
      </c>
      <c r="Z2784" s="77"/>
      <c r="AA2784" s="77"/>
      <c r="AB2784" s="77"/>
      <c r="AC2784" s="82" t="s">
        <v>7754</v>
      </c>
      <c r="AD2784" s="77" t="s">
        <v>7788</v>
      </c>
      <c r="AE2784" s="80" t="str">
        <f>HYPERLINK("https://twitter.com/einvestidor/status/1682173541263847426")</f>
        <v>https://twitter.com/einvestidor/status/1682173541263847426</v>
      </c>
      <c r="AF2784" s="79">
        <v>45127.986111111109</v>
      </c>
      <c r="AG2784" s="85">
        <v>45127</v>
      </c>
      <c r="AH2784" s="82" t="s">
        <v>9819</v>
      </c>
      <c r="AI2784" s="77" t="b">
        <v>0</v>
      </c>
      <c r="AJ2784" s="77"/>
      <c r="AK2784" s="77"/>
      <c r="AL2784" s="77"/>
      <c r="AM2784" s="77"/>
      <c r="AN2784" s="77"/>
      <c r="AO2784" s="77"/>
      <c r="AP2784" s="77"/>
      <c r="AQ2784" s="77"/>
      <c r="AR2784" s="77"/>
      <c r="AS2784" s="77"/>
      <c r="AT2784" s="77"/>
      <c r="AU2784" s="77"/>
      <c r="AV2784" s="80" t="str">
        <f>HYPERLINK("https://pbs.twimg.com/profile_images/1241147984924082183/gZgx_hL-_normal.jpg")</f>
        <v>https://pbs.twimg.com/profile_images/1241147984924082183/gZgx_hL-_normal.jpg</v>
      </c>
      <c r="AW2784" s="82" t="s">
        <v>14380</v>
      </c>
      <c r="AX2784" s="82" t="s">
        <v>14380</v>
      </c>
      <c r="AY2784" s="77"/>
      <c r="AZ2784" s="82" t="s">
        <v>15984</v>
      </c>
      <c r="BA2784" s="82" t="s">
        <v>15984</v>
      </c>
      <c r="BB2784" s="82" t="s">
        <v>15984</v>
      </c>
      <c r="BC2784" s="82" t="s">
        <v>14380</v>
      </c>
      <c r="BD2784" s="82" t="s">
        <v>15979</v>
      </c>
      <c r="BE2784" s="77"/>
      <c r="BF2784" s="77"/>
      <c r="BG2784" s="77"/>
      <c r="BH2784" s="77"/>
      <c r="BI2784" s="77"/>
    </row>
    <row r="2785" spans="1:61" x14ac:dyDescent="0.25">
      <c r="A2785" s="62" t="s">
        <v>387</v>
      </c>
      <c r="B2785" s="62" t="s">
        <v>387</v>
      </c>
      <c r="C2785" s="63"/>
      <c r="D2785" s="64"/>
      <c r="E2785" s="65"/>
      <c r="F2785" s="66"/>
      <c r="G2785" s="63"/>
      <c r="H2785" s="67"/>
      <c r="I2785" s="68"/>
      <c r="J2785" s="68"/>
      <c r="K2785" s="32"/>
      <c r="L2785" s="75">
        <v>2785</v>
      </c>
      <c r="M2785" s="75"/>
      <c r="N2785" s="70"/>
      <c r="O2785" s="77" t="s">
        <v>179</v>
      </c>
      <c r="P2785" s="79">
        <v>45127.972222222219</v>
      </c>
      <c r="Q2785" s="77" t="s">
        <v>3457</v>
      </c>
      <c r="R2785" s="77">
        <v>0</v>
      </c>
      <c r="S2785" s="77">
        <v>2</v>
      </c>
      <c r="T2785" s="77">
        <v>0</v>
      </c>
      <c r="U2785" s="77">
        <v>0</v>
      </c>
      <c r="V2785" s="77">
        <v>691</v>
      </c>
      <c r="W2785" s="82" t="s">
        <v>6085</v>
      </c>
      <c r="X2785" s="80" t="str">
        <f>HYPERLINK("https://mla.bs/fc6fbe7a")</f>
        <v>https://mla.bs/fc6fbe7a</v>
      </c>
      <c r="Y2785" s="77" t="s">
        <v>6506</v>
      </c>
      <c r="Z2785" s="77"/>
      <c r="AA2785" s="77"/>
      <c r="AB2785" s="77"/>
      <c r="AC2785" s="82" t="s">
        <v>7754</v>
      </c>
      <c r="AD2785" s="77" t="s">
        <v>7788</v>
      </c>
      <c r="AE2785" s="80" t="str">
        <f>HYPERLINK("https://twitter.com/einvestidor/status/1682168508267003907")</f>
        <v>https://twitter.com/einvestidor/status/1682168508267003907</v>
      </c>
      <c r="AF2785" s="79">
        <v>45127.972222222219</v>
      </c>
      <c r="AG2785" s="85">
        <v>45127</v>
      </c>
      <c r="AH2785" s="82" t="s">
        <v>8310</v>
      </c>
      <c r="AI2785" s="77" t="b">
        <v>0</v>
      </c>
      <c r="AJ2785" s="77"/>
      <c r="AK2785" s="77"/>
      <c r="AL2785" s="77"/>
      <c r="AM2785" s="77"/>
      <c r="AN2785" s="77"/>
      <c r="AO2785" s="77"/>
      <c r="AP2785" s="77"/>
      <c r="AQ2785" s="77"/>
      <c r="AR2785" s="77"/>
      <c r="AS2785" s="77"/>
      <c r="AT2785" s="77"/>
      <c r="AU2785" s="77"/>
      <c r="AV2785" s="80" t="str">
        <f>HYPERLINK("https://pbs.twimg.com/profile_images/1241147984924082183/gZgx_hL-_normal.jpg")</f>
        <v>https://pbs.twimg.com/profile_images/1241147984924082183/gZgx_hL-_normal.jpg</v>
      </c>
      <c r="AW2785" s="82" t="s">
        <v>14381</v>
      </c>
      <c r="AX2785" s="82" t="s">
        <v>14381</v>
      </c>
      <c r="AY2785" s="77"/>
      <c r="AZ2785" s="82" t="s">
        <v>15984</v>
      </c>
      <c r="BA2785" s="82" t="s">
        <v>15984</v>
      </c>
      <c r="BB2785" s="82" t="s">
        <v>15984</v>
      </c>
      <c r="BC2785" s="82" t="s">
        <v>14381</v>
      </c>
      <c r="BD2785" s="82" t="s">
        <v>15979</v>
      </c>
      <c r="BE2785" s="77"/>
      <c r="BF2785" s="77"/>
      <c r="BG2785" s="77"/>
      <c r="BH2785" s="77"/>
      <c r="BI2785" s="77"/>
    </row>
    <row r="2786" spans="1:61" x14ac:dyDescent="0.25">
      <c r="A2786" s="62" t="s">
        <v>387</v>
      </c>
      <c r="B2786" s="62" t="s">
        <v>387</v>
      </c>
      <c r="C2786" s="63"/>
      <c r="D2786" s="64"/>
      <c r="E2786" s="65"/>
      <c r="F2786" s="66"/>
      <c r="G2786" s="63"/>
      <c r="H2786" s="67"/>
      <c r="I2786" s="68"/>
      <c r="J2786" s="68"/>
      <c r="K2786" s="32"/>
      <c r="L2786" s="75">
        <v>2786</v>
      </c>
      <c r="M2786" s="75"/>
      <c r="N2786" s="70"/>
      <c r="O2786" s="77" t="s">
        <v>179</v>
      </c>
      <c r="P2786" s="79">
        <v>45127.958333333336</v>
      </c>
      <c r="Q2786" s="77" t="s">
        <v>3458</v>
      </c>
      <c r="R2786" s="77">
        <v>0</v>
      </c>
      <c r="S2786" s="77">
        <v>4</v>
      </c>
      <c r="T2786" s="77">
        <v>0</v>
      </c>
      <c r="U2786" s="77">
        <v>0</v>
      </c>
      <c r="V2786" s="77">
        <v>706</v>
      </c>
      <c r="W2786" s="82" t="s">
        <v>6085</v>
      </c>
      <c r="X2786" s="80" t="str">
        <f>HYPERLINK("https://mla.bs/f34e3b46")</f>
        <v>https://mla.bs/f34e3b46</v>
      </c>
      <c r="Y2786" s="77" t="s">
        <v>6506</v>
      </c>
      <c r="Z2786" s="77"/>
      <c r="AA2786" s="77"/>
      <c r="AB2786" s="77"/>
      <c r="AC2786" s="82" t="s">
        <v>7754</v>
      </c>
      <c r="AD2786" s="77" t="s">
        <v>7788</v>
      </c>
      <c r="AE2786" s="80" t="str">
        <f>HYPERLINK("https://twitter.com/einvestidor/status/1682163476830261250")</f>
        <v>https://twitter.com/einvestidor/status/1682163476830261250</v>
      </c>
      <c r="AF2786" s="79">
        <v>45127.958333333336</v>
      </c>
      <c r="AG2786" s="85">
        <v>45127</v>
      </c>
      <c r="AH2786" s="82" t="s">
        <v>8279</v>
      </c>
      <c r="AI2786" s="77" t="b">
        <v>0</v>
      </c>
      <c r="AJ2786" s="77"/>
      <c r="AK2786" s="77"/>
      <c r="AL2786" s="77"/>
      <c r="AM2786" s="77"/>
      <c r="AN2786" s="77"/>
      <c r="AO2786" s="77"/>
      <c r="AP2786" s="77"/>
      <c r="AQ2786" s="77"/>
      <c r="AR2786" s="77"/>
      <c r="AS2786" s="77"/>
      <c r="AT2786" s="77"/>
      <c r="AU2786" s="77"/>
      <c r="AV2786" s="80" t="str">
        <f>HYPERLINK("https://pbs.twimg.com/profile_images/1241147984924082183/gZgx_hL-_normal.jpg")</f>
        <v>https://pbs.twimg.com/profile_images/1241147984924082183/gZgx_hL-_normal.jpg</v>
      </c>
      <c r="AW2786" s="82" t="s">
        <v>14382</v>
      </c>
      <c r="AX2786" s="82" t="s">
        <v>14382</v>
      </c>
      <c r="AY2786" s="77"/>
      <c r="AZ2786" s="82" t="s">
        <v>15984</v>
      </c>
      <c r="BA2786" s="82" t="s">
        <v>15984</v>
      </c>
      <c r="BB2786" s="82" t="s">
        <v>15984</v>
      </c>
      <c r="BC2786" s="82" t="s">
        <v>14382</v>
      </c>
      <c r="BD2786" s="82" t="s">
        <v>15979</v>
      </c>
      <c r="BE2786" s="77"/>
      <c r="BF2786" s="77"/>
      <c r="BG2786" s="77"/>
      <c r="BH2786" s="77"/>
      <c r="BI2786" s="77"/>
    </row>
    <row r="2787" spans="1:61" x14ac:dyDescent="0.25">
      <c r="A2787" s="62" t="s">
        <v>387</v>
      </c>
      <c r="B2787" s="62" t="s">
        <v>387</v>
      </c>
      <c r="C2787" s="63"/>
      <c r="D2787" s="64"/>
      <c r="E2787" s="65"/>
      <c r="F2787" s="66"/>
      <c r="G2787" s="63"/>
      <c r="H2787" s="67"/>
      <c r="I2787" s="68"/>
      <c r="J2787" s="68"/>
      <c r="K2787" s="32"/>
      <c r="L2787" s="75">
        <v>2787</v>
      </c>
      <c r="M2787" s="75"/>
      <c r="N2787" s="70"/>
      <c r="O2787" s="77" t="s">
        <v>179</v>
      </c>
      <c r="P2787" s="79">
        <v>45127.944444444445</v>
      </c>
      <c r="Q2787" s="77" t="s">
        <v>3459</v>
      </c>
      <c r="R2787" s="77">
        <v>0</v>
      </c>
      <c r="S2787" s="77">
        <v>1</v>
      </c>
      <c r="T2787" s="77">
        <v>0</v>
      </c>
      <c r="U2787" s="77">
        <v>0</v>
      </c>
      <c r="V2787" s="77">
        <v>593</v>
      </c>
      <c r="W2787" s="82" t="s">
        <v>4833</v>
      </c>
      <c r="X2787" s="80" t="str">
        <f>HYPERLINK("https://mla.bs/ce0b53a6")</f>
        <v>https://mla.bs/ce0b53a6</v>
      </c>
      <c r="Y2787" s="77" t="s">
        <v>6506</v>
      </c>
      <c r="Z2787" s="77"/>
      <c r="AA2787" s="77"/>
      <c r="AB2787" s="77"/>
      <c r="AC2787" s="82" t="s">
        <v>7754</v>
      </c>
      <c r="AD2787" s="77" t="s">
        <v>7788</v>
      </c>
      <c r="AE2787" s="80" t="str">
        <f>HYPERLINK("https://twitter.com/einvestidor/status/1682158441954152448")</f>
        <v>https://twitter.com/einvestidor/status/1682158441954152448</v>
      </c>
      <c r="AF2787" s="79">
        <v>45127.944444444445</v>
      </c>
      <c r="AG2787" s="85">
        <v>45127</v>
      </c>
      <c r="AH2787" s="82" t="s">
        <v>7876</v>
      </c>
      <c r="AI2787" s="77" t="b">
        <v>0</v>
      </c>
      <c r="AJ2787" s="77"/>
      <c r="AK2787" s="77"/>
      <c r="AL2787" s="77"/>
      <c r="AM2787" s="77"/>
      <c r="AN2787" s="77"/>
      <c r="AO2787" s="77"/>
      <c r="AP2787" s="77"/>
      <c r="AQ2787" s="77"/>
      <c r="AR2787" s="77"/>
      <c r="AS2787" s="77"/>
      <c r="AT2787" s="77"/>
      <c r="AU2787" s="77"/>
      <c r="AV2787" s="80" t="str">
        <f>HYPERLINK("https://pbs.twimg.com/profile_images/1241147984924082183/gZgx_hL-_normal.jpg")</f>
        <v>https://pbs.twimg.com/profile_images/1241147984924082183/gZgx_hL-_normal.jpg</v>
      </c>
      <c r="AW2787" s="82" t="s">
        <v>14383</v>
      </c>
      <c r="AX2787" s="82" t="s">
        <v>14383</v>
      </c>
      <c r="AY2787" s="77"/>
      <c r="AZ2787" s="82" t="s">
        <v>15984</v>
      </c>
      <c r="BA2787" s="82" t="s">
        <v>15984</v>
      </c>
      <c r="BB2787" s="82" t="s">
        <v>15984</v>
      </c>
      <c r="BC2787" s="82" t="s">
        <v>14383</v>
      </c>
      <c r="BD2787" s="82" t="s">
        <v>15979</v>
      </c>
      <c r="BE2787" s="77"/>
      <c r="BF2787" s="77"/>
      <c r="BG2787" s="77"/>
      <c r="BH2787" s="77"/>
      <c r="BI2787" s="77"/>
    </row>
    <row r="2788" spans="1:61" x14ac:dyDescent="0.25">
      <c r="A2788" s="62" t="s">
        <v>387</v>
      </c>
      <c r="B2788" s="62" t="s">
        <v>387</v>
      </c>
      <c r="C2788" s="63"/>
      <c r="D2788" s="64"/>
      <c r="E2788" s="65"/>
      <c r="F2788" s="66"/>
      <c r="G2788" s="63"/>
      <c r="H2788" s="67"/>
      <c r="I2788" s="68"/>
      <c r="J2788" s="68"/>
      <c r="K2788" s="32"/>
      <c r="L2788" s="75">
        <v>2788</v>
      </c>
      <c r="M2788" s="75"/>
      <c r="N2788" s="70"/>
      <c r="O2788" s="77" t="s">
        <v>179</v>
      </c>
      <c r="P2788" s="79">
        <v>45127.939212962963</v>
      </c>
      <c r="Q2788" s="77" t="s">
        <v>3460</v>
      </c>
      <c r="R2788" s="77">
        <v>0</v>
      </c>
      <c r="S2788" s="77">
        <v>0</v>
      </c>
      <c r="T2788" s="77">
        <v>0</v>
      </c>
      <c r="U2788" s="77">
        <v>0</v>
      </c>
      <c r="V2788" s="77">
        <v>671</v>
      </c>
      <c r="W2788" s="82" t="s">
        <v>4833</v>
      </c>
      <c r="X2788" s="80" t="str">
        <f>HYPERLINK("https://mla.bs/e84086ce")</f>
        <v>https://mla.bs/e84086ce</v>
      </c>
      <c r="Y2788" s="77" t="s">
        <v>6506</v>
      </c>
      <c r="Z2788" s="77"/>
      <c r="AA2788" s="77"/>
      <c r="AB2788" s="77"/>
      <c r="AC2788" s="82" t="s">
        <v>7754</v>
      </c>
      <c r="AD2788" s="77" t="s">
        <v>7788</v>
      </c>
      <c r="AE2788" s="80" t="str">
        <f>HYPERLINK("https://twitter.com/einvestidor/status/1682156548607361025")</f>
        <v>https://twitter.com/einvestidor/status/1682156548607361025</v>
      </c>
      <c r="AF2788" s="79">
        <v>45127.939212962963</v>
      </c>
      <c r="AG2788" s="85">
        <v>45127</v>
      </c>
      <c r="AH2788" s="82" t="s">
        <v>9820</v>
      </c>
      <c r="AI2788" s="77" t="b">
        <v>0</v>
      </c>
      <c r="AJ2788" s="77"/>
      <c r="AK2788" s="77"/>
      <c r="AL2788" s="77"/>
      <c r="AM2788" s="77"/>
      <c r="AN2788" s="77"/>
      <c r="AO2788" s="77"/>
      <c r="AP2788" s="77"/>
      <c r="AQ2788" s="77"/>
      <c r="AR2788" s="77"/>
      <c r="AS2788" s="77"/>
      <c r="AT2788" s="77"/>
      <c r="AU2788" s="77"/>
      <c r="AV2788" s="80" t="str">
        <f>HYPERLINK("https://pbs.twimg.com/profile_images/1241147984924082183/gZgx_hL-_normal.jpg")</f>
        <v>https://pbs.twimg.com/profile_images/1241147984924082183/gZgx_hL-_normal.jpg</v>
      </c>
      <c r="AW2788" s="82" t="s">
        <v>14384</v>
      </c>
      <c r="AX2788" s="82" t="s">
        <v>14384</v>
      </c>
      <c r="AY2788" s="77"/>
      <c r="AZ2788" s="82" t="s">
        <v>15984</v>
      </c>
      <c r="BA2788" s="82" t="s">
        <v>15984</v>
      </c>
      <c r="BB2788" s="82" t="s">
        <v>15984</v>
      </c>
      <c r="BC2788" s="82" t="s">
        <v>14384</v>
      </c>
      <c r="BD2788" s="82" t="s">
        <v>15979</v>
      </c>
      <c r="BE2788" s="77"/>
      <c r="BF2788" s="77"/>
      <c r="BG2788" s="77"/>
      <c r="BH2788" s="77"/>
      <c r="BI2788" s="77"/>
    </row>
    <row r="2789" spans="1:61" x14ac:dyDescent="0.25">
      <c r="A2789" s="62" t="s">
        <v>387</v>
      </c>
      <c r="B2789" s="62" t="s">
        <v>387</v>
      </c>
      <c r="C2789" s="63"/>
      <c r="D2789" s="64"/>
      <c r="E2789" s="65"/>
      <c r="F2789" s="66"/>
      <c r="G2789" s="63"/>
      <c r="H2789" s="67"/>
      <c r="I2789" s="68"/>
      <c r="J2789" s="68"/>
      <c r="K2789" s="32"/>
      <c r="L2789" s="75">
        <v>2789</v>
      </c>
      <c r="M2789" s="75"/>
      <c r="N2789" s="70"/>
      <c r="O2789" s="77" t="s">
        <v>179</v>
      </c>
      <c r="P2789" s="79">
        <v>45127.936863425923</v>
      </c>
      <c r="Q2789" s="77" t="s">
        <v>3461</v>
      </c>
      <c r="R2789" s="77">
        <v>0</v>
      </c>
      <c r="S2789" s="77">
        <v>1</v>
      </c>
      <c r="T2789" s="77">
        <v>0</v>
      </c>
      <c r="U2789" s="77">
        <v>0</v>
      </c>
      <c r="V2789" s="77">
        <v>570</v>
      </c>
      <c r="W2789" s="82" t="s">
        <v>6112</v>
      </c>
      <c r="X2789" s="80" t="str">
        <f>HYPERLINK("https://mla.bs/a2b87365")</f>
        <v>https://mla.bs/a2b87365</v>
      </c>
      <c r="Y2789" s="77" t="s">
        <v>6506</v>
      </c>
      <c r="Z2789" s="77"/>
      <c r="AA2789" s="77"/>
      <c r="AB2789" s="77"/>
      <c r="AC2789" s="82" t="s">
        <v>7754</v>
      </c>
      <c r="AD2789" s="77" t="s">
        <v>7788</v>
      </c>
      <c r="AE2789" s="80" t="str">
        <f>HYPERLINK("https://twitter.com/einvestidor/status/1682155697537007621")</f>
        <v>https://twitter.com/einvestidor/status/1682155697537007621</v>
      </c>
      <c r="AF2789" s="79">
        <v>45127.936863425923</v>
      </c>
      <c r="AG2789" s="85">
        <v>45127</v>
      </c>
      <c r="AH2789" s="82" t="s">
        <v>9821</v>
      </c>
      <c r="AI2789" s="77" t="b">
        <v>0</v>
      </c>
      <c r="AJ2789" s="77"/>
      <c r="AK2789" s="77"/>
      <c r="AL2789" s="77"/>
      <c r="AM2789" s="77"/>
      <c r="AN2789" s="77"/>
      <c r="AO2789" s="77"/>
      <c r="AP2789" s="77"/>
      <c r="AQ2789" s="77"/>
      <c r="AR2789" s="77"/>
      <c r="AS2789" s="77"/>
      <c r="AT2789" s="77"/>
      <c r="AU2789" s="77"/>
      <c r="AV2789" s="80" t="str">
        <f>HYPERLINK("https://pbs.twimg.com/profile_images/1241147984924082183/gZgx_hL-_normal.jpg")</f>
        <v>https://pbs.twimg.com/profile_images/1241147984924082183/gZgx_hL-_normal.jpg</v>
      </c>
      <c r="AW2789" s="82" t="s">
        <v>14385</v>
      </c>
      <c r="AX2789" s="82" t="s">
        <v>14385</v>
      </c>
      <c r="AY2789" s="77"/>
      <c r="AZ2789" s="82" t="s">
        <v>15984</v>
      </c>
      <c r="BA2789" s="82" t="s">
        <v>15984</v>
      </c>
      <c r="BB2789" s="82" t="s">
        <v>15984</v>
      </c>
      <c r="BC2789" s="82" t="s">
        <v>14385</v>
      </c>
      <c r="BD2789" s="82" t="s">
        <v>15979</v>
      </c>
      <c r="BE2789" s="77"/>
      <c r="BF2789" s="77"/>
      <c r="BG2789" s="77"/>
      <c r="BH2789" s="77"/>
      <c r="BI2789" s="77"/>
    </row>
    <row r="2790" spans="1:61" x14ac:dyDescent="0.25">
      <c r="A2790" s="62" t="s">
        <v>387</v>
      </c>
      <c r="B2790" s="62" t="s">
        <v>387</v>
      </c>
      <c r="C2790" s="63"/>
      <c r="D2790" s="64"/>
      <c r="E2790" s="65"/>
      <c r="F2790" s="66"/>
      <c r="G2790" s="63"/>
      <c r="H2790" s="67"/>
      <c r="I2790" s="68"/>
      <c r="J2790" s="68"/>
      <c r="K2790" s="32"/>
      <c r="L2790" s="75">
        <v>2790</v>
      </c>
      <c r="M2790" s="75"/>
      <c r="N2790" s="70"/>
      <c r="O2790" s="77" t="s">
        <v>179</v>
      </c>
      <c r="P2790" s="79">
        <v>45127.934374999997</v>
      </c>
      <c r="Q2790" s="77" t="s">
        <v>3462</v>
      </c>
      <c r="R2790" s="77">
        <v>0</v>
      </c>
      <c r="S2790" s="77">
        <v>2</v>
      </c>
      <c r="T2790" s="77">
        <v>0</v>
      </c>
      <c r="U2790" s="77">
        <v>0</v>
      </c>
      <c r="V2790" s="77">
        <v>660</v>
      </c>
      <c r="W2790" s="82" t="s">
        <v>5942</v>
      </c>
      <c r="X2790" s="80" t="str">
        <f>HYPERLINK("https://mla.bs/0e096bc2")</f>
        <v>https://mla.bs/0e096bc2</v>
      </c>
      <c r="Y2790" s="77" t="s">
        <v>6506</v>
      </c>
      <c r="Z2790" s="77"/>
      <c r="AA2790" s="77"/>
      <c r="AB2790" s="77"/>
      <c r="AC2790" s="82" t="s">
        <v>7754</v>
      </c>
      <c r="AD2790" s="77" t="s">
        <v>7788</v>
      </c>
      <c r="AE2790" s="80" t="str">
        <f>HYPERLINK("https://twitter.com/einvestidor/status/1682154793790218241")</f>
        <v>https://twitter.com/einvestidor/status/1682154793790218241</v>
      </c>
      <c r="AF2790" s="79">
        <v>45127.934374999997</v>
      </c>
      <c r="AG2790" s="85">
        <v>45127</v>
      </c>
      <c r="AH2790" s="82" t="s">
        <v>9822</v>
      </c>
      <c r="AI2790" s="77" t="b">
        <v>0</v>
      </c>
      <c r="AJ2790" s="77"/>
      <c r="AK2790" s="77"/>
      <c r="AL2790" s="77"/>
      <c r="AM2790" s="77"/>
      <c r="AN2790" s="77"/>
      <c r="AO2790" s="77"/>
      <c r="AP2790" s="77"/>
      <c r="AQ2790" s="77"/>
      <c r="AR2790" s="77"/>
      <c r="AS2790" s="77"/>
      <c r="AT2790" s="77"/>
      <c r="AU2790" s="77"/>
      <c r="AV2790" s="80" t="str">
        <f>HYPERLINK("https://pbs.twimg.com/profile_images/1241147984924082183/gZgx_hL-_normal.jpg")</f>
        <v>https://pbs.twimg.com/profile_images/1241147984924082183/gZgx_hL-_normal.jpg</v>
      </c>
      <c r="AW2790" s="82" t="s">
        <v>14386</v>
      </c>
      <c r="AX2790" s="82" t="s">
        <v>14386</v>
      </c>
      <c r="AY2790" s="77"/>
      <c r="AZ2790" s="82" t="s">
        <v>15984</v>
      </c>
      <c r="BA2790" s="82" t="s">
        <v>15984</v>
      </c>
      <c r="BB2790" s="82" t="s">
        <v>15984</v>
      </c>
      <c r="BC2790" s="82" t="s">
        <v>14386</v>
      </c>
      <c r="BD2790" s="82" t="s">
        <v>15979</v>
      </c>
      <c r="BE2790" s="77"/>
      <c r="BF2790" s="77"/>
      <c r="BG2790" s="77"/>
      <c r="BH2790" s="77"/>
      <c r="BI2790" s="77"/>
    </row>
    <row r="2791" spans="1:61" x14ac:dyDescent="0.25">
      <c r="A2791" s="62" t="s">
        <v>387</v>
      </c>
      <c r="B2791" s="62" t="s">
        <v>387</v>
      </c>
      <c r="C2791" s="63"/>
      <c r="D2791" s="64"/>
      <c r="E2791" s="65"/>
      <c r="F2791" s="66"/>
      <c r="G2791" s="63"/>
      <c r="H2791" s="67"/>
      <c r="I2791" s="68"/>
      <c r="J2791" s="68"/>
      <c r="K2791" s="32"/>
      <c r="L2791" s="75">
        <v>2791</v>
      </c>
      <c r="M2791" s="75"/>
      <c r="N2791" s="70"/>
      <c r="O2791" s="77" t="s">
        <v>179</v>
      </c>
      <c r="P2791" s="79">
        <v>45127.931585648148</v>
      </c>
      <c r="Q2791" s="77" t="s">
        <v>3463</v>
      </c>
      <c r="R2791" s="77">
        <v>0</v>
      </c>
      <c r="S2791" s="77">
        <v>1</v>
      </c>
      <c r="T2791" s="77">
        <v>0</v>
      </c>
      <c r="U2791" s="77">
        <v>0</v>
      </c>
      <c r="V2791" s="77">
        <v>605</v>
      </c>
      <c r="W2791" s="82" t="s">
        <v>6113</v>
      </c>
      <c r="X2791" s="80" t="str">
        <f>HYPERLINK("https://mla.bs/624daa47")</f>
        <v>https://mla.bs/624daa47</v>
      </c>
      <c r="Y2791" s="77" t="s">
        <v>6506</v>
      </c>
      <c r="Z2791" s="77"/>
      <c r="AA2791" s="77"/>
      <c r="AB2791" s="77"/>
      <c r="AC2791" s="82" t="s">
        <v>7754</v>
      </c>
      <c r="AD2791" s="77" t="s">
        <v>7788</v>
      </c>
      <c r="AE2791" s="80" t="str">
        <f>HYPERLINK("https://twitter.com/einvestidor/status/1682153784888156161")</f>
        <v>https://twitter.com/einvestidor/status/1682153784888156161</v>
      </c>
      <c r="AF2791" s="79">
        <v>45127.931585648148</v>
      </c>
      <c r="AG2791" s="85">
        <v>45127</v>
      </c>
      <c r="AH2791" s="82" t="s">
        <v>9823</v>
      </c>
      <c r="AI2791" s="77" t="b">
        <v>0</v>
      </c>
      <c r="AJ2791" s="77"/>
      <c r="AK2791" s="77"/>
      <c r="AL2791" s="77"/>
      <c r="AM2791" s="77"/>
      <c r="AN2791" s="77"/>
      <c r="AO2791" s="77"/>
      <c r="AP2791" s="77"/>
      <c r="AQ2791" s="77"/>
      <c r="AR2791" s="77"/>
      <c r="AS2791" s="77"/>
      <c r="AT2791" s="77"/>
      <c r="AU2791" s="77"/>
      <c r="AV2791" s="80" t="str">
        <f>HYPERLINK("https://pbs.twimg.com/profile_images/1241147984924082183/gZgx_hL-_normal.jpg")</f>
        <v>https://pbs.twimg.com/profile_images/1241147984924082183/gZgx_hL-_normal.jpg</v>
      </c>
      <c r="AW2791" s="82" t="s">
        <v>14387</v>
      </c>
      <c r="AX2791" s="82" t="s">
        <v>14387</v>
      </c>
      <c r="AY2791" s="77"/>
      <c r="AZ2791" s="82" t="s">
        <v>15984</v>
      </c>
      <c r="BA2791" s="82" t="s">
        <v>15984</v>
      </c>
      <c r="BB2791" s="82" t="s">
        <v>15984</v>
      </c>
      <c r="BC2791" s="82" t="s">
        <v>14387</v>
      </c>
      <c r="BD2791" s="82" t="s">
        <v>15979</v>
      </c>
      <c r="BE2791" s="77"/>
      <c r="BF2791" s="77"/>
      <c r="BG2791" s="77"/>
      <c r="BH2791" s="77"/>
      <c r="BI2791" s="77"/>
    </row>
    <row r="2792" spans="1:61" x14ac:dyDescent="0.25">
      <c r="A2792" s="62" t="s">
        <v>387</v>
      </c>
      <c r="B2792" s="62" t="s">
        <v>387</v>
      </c>
      <c r="C2792" s="63"/>
      <c r="D2792" s="64"/>
      <c r="E2792" s="65"/>
      <c r="F2792" s="66"/>
      <c r="G2792" s="63"/>
      <c r="H2792" s="67"/>
      <c r="I2792" s="68"/>
      <c r="J2792" s="68"/>
      <c r="K2792" s="32"/>
      <c r="L2792" s="75">
        <v>2792</v>
      </c>
      <c r="M2792" s="75"/>
      <c r="N2792" s="70"/>
      <c r="O2792" s="77" t="s">
        <v>179</v>
      </c>
      <c r="P2792" s="79">
        <v>45127.928182870368</v>
      </c>
      <c r="Q2792" s="77" t="s">
        <v>3464</v>
      </c>
      <c r="R2792" s="77">
        <v>1</v>
      </c>
      <c r="S2792" s="77">
        <v>3</v>
      </c>
      <c r="T2792" s="77">
        <v>0</v>
      </c>
      <c r="U2792" s="77">
        <v>0</v>
      </c>
      <c r="V2792" s="77">
        <v>769</v>
      </c>
      <c r="W2792" s="82" t="s">
        <v>6114</v>
      </c>
      <c r="X2792" s="80" t="str">
        <f>HYPERLINK("https://mla.bs/536bebec")</f>
        <v>https://mla.bs/536bebec</v>
      </c>
      <c r="Y2792" s="77" t="s">
        <v>6506</v>
      </c>
      <c r="Z2792" s="77"/>
      <c r="AA2792" s="77"/>
      <c r="AB2792" s="77"/>
      <c r="AC2792" s="82" t="s">
        <v>7754</v>
      </c>
      <c r="AD2792" s="77" t="s">
        <v>7788</v>
      </c>
      <c r="AE2792" s="80" t="str">
        <f>HYPERLINK("https://twitter.com/einvestidor/status/1682152552169709568")</f>
        <v>https://twitter.com/einvestidor/status/1682152552169709568</v>
      </c>
      <c r="AF2792" s="79">
        <v>45127.928182870368</v>
      </c>
      <c r="AG2792" s="85">
        <v>45127</v>
      </c>
      <c r="AH2792" s="82" t="s">
        <v>9824</v>
      </c>
      <c r="AI2792" s="77" t="b">
        <v>0</v>
      </c>
      <c r="AJ2792" s="77"/>
      <c r="AK2792" s="77"/>
      <c r="AL2792" s="77"/>
      <c r="AM2792" s="77"/>
      <c r="AN2792" s="77"/>
      <c r="AO2792" s="77"/>
      <c r="AP2792" s="77"/>
      <c r="AQ2792" s="77"/>
      <c r="AR2792" s="77"/>
      <c r="AS2792" s="77"/>
      <c r="AT2792" s="77"/>
      <c r="AU2792" s="77"/>
      <c r="AV2792" s="80" t="str">
        <f>HYPERLINK("https://pbs.twimg.com/profile_images/1241147984924082183/gZgx_hL-_normal.jpg")</f>
        <v>https://pbs.twimg.com/profile_images/1241147984924082183/gZgx_hL-_normal.jpg</v>
      </c>
      <c r="AW2792" s="82" t="s">
        <v>14388</v>
      </c>
      <c r="AX2792" s="82" t="s">
        <v>14388</v>
      </c>
      <c r="AY2792" s="77"/>
      <c r="AZ2792" s="82" t="s">
        <v>15984</v>
      </c>
      <c r="BA2792" s="82" t="s">
        <v>15984</v>
      </c>
      <c r="BB2792" s="82" t="s">
        <v>15984</v>
      </c>
      <c r="BC2792" s="82" t="s">
        <v>14388</v>
      </c>
      <c r="BD2792" s="82" t="s">
        <v>15979</v>
      </c>
      <c r="BE2792" s="77"/>
      <c r="BF2792" s="77"/>
      <c r="BG2792" s="77"/>
      <c r="BH2792" s="77"/>
      <c r="BI2792" s="77"/>
    </row>
    <row r="2793" spans="1:61" x14ac:dyDescent="0.25">
      <c r="A2793" s="62" t="s">
        <v>387</v>
      </c>
      <c r="B2793" s="62" t="s">
        <v>387</v>
      </c>
      <c r="C2793" s="63"/>
      <c r="D2793" s="64"/>
      <c r="E2793" s="65"/>
      <c r="F2793" s="66"/>
      <c r="G2793" s="63"/>
      <c r="H2793" s="67"/>
      <c r="I2793" s="68"/>
      <c r="J2793" s="68"/>
      <c r="K2793" s="32"/>
      <c r="L2793" s="75">
        <v>2793</v>
      </c>
      <c r="M2793" s="75"/>
      <c r="N2793" s="70"/>
      <c r="O2793" s="77" t="s">
        <v>179</v>
      </c>
      <c r="P2793" s="79">
        <v>45127.92491898148</v>
      </c>
      <c r="Q2793" s="77" t="s">
        <v>3465</v>
      </c>
      <c r="R2793" s="77">
        <v>0</v>
      </c>
      <c r="S2793" s="77">
        <v>0</v>
      </c>
      <c r="T2793" s="77">
        <v>0</v>
      </c>
      <c r="U2793" s="77">
        <v>0</v>
      </c>
      <c r="V2793" s="77">
        <v>606</v>
      </c>
      <c r="W2793" s="82" t="s">
        <v>6115</v>
      </c>
      <c r="X2793" s="80" t="str">
        <f>HYPERLINK("https://mla.bs/1a56aebb")</f>
        <v>https://mla.bs/1a56aebb</v>
      </c>
      <c r="Y2793" s="77" t="s">
        <v>6506</v>
      </c>
      <c r="Z2793" s="77"/>
      <c r="AA2793" s="77"/>
      <c r="AB2793" s="77"/>
      <c r="AC2793" s="82" t="s">
        <v>7752</v>
      </c>
      <c r="AD2793" s="77" t="s">
        <v>7788</v>
      </c>
      <c r="AE2793" s="80" t="str">
        <f>HYPERLINK("https://twitter.com/einvestidor/status/1682151365311643649")</f>
        <v>https://twitter.com/einvestidor/status/1682151365311643649</v>
      </c>
      <c r="AF2793" s="79">
        <v>45127.92491898148</v>
      </c>
      <c r="AG2793" s="85">
        <v>45127</v>
      </c>
      <c r="AH2793" s="82" t="s">
        <v>9825</v>
      </c>
      <c r="AI2793" s="77" t="b">
        <v>0</v>
      </c>
      <c r="AJ2793" s="77"/>
      <c r="AK2793" s="77"/>
      <c r="AL2793" s="77"/>
      <c r="AM2793" s="77"/>
      <c r="AN2793" s="77"/>
      <c r="AO2793" s="77"/>
      <c r="AP2793" s="77"/>
      <c r="AQ2793" s="77"/>
      <c r="AR2793" s="77"/>
      <c r="AS2793" s="77"/>
      <c r="AT2793" s="77"/>
      <c r="AU2793" s="77"/>
      <c r="AV2793" s="80" t="str">
        <f>HYPERLINK("https://pbs.twimg.com/profile_images/1241147984924082183/gZgx_hL-_normal.jpg")</f>
        <v>https://pbs.twimg.com/profile_images/1241147984924082183/gZgx_hL-_normal.jpg</v>
      </c>
      <c r="AW2793" s="82" t="s">
        <v>14389</v>
      </c>
      <c r="AX2793" s="82" t="s">
        <v>14389</v>
      </c>
      <c r="AY2793" s="77"/>
      <c r="AZ2793" s="82" t="s">
        <v>15984</v>
      </c>
      <c r="BA2793" s="82" t="s">
        <v>15984</v>
      </c>
      <c r="BB2793" s="82" t="s">
        <v>15984</v>
      </c>
      <c r="BC2793" s="82" t="s">
        <v>14389</v>
      </c>
      <c r="BD2793" s="82" t="s">
        <v>15979</v>
      </c>
      <c r="BE2793" s="77"/>
      <c r="BF2793" s="77"/>
      <c r="BG2793" s="77"/>
      <c r="BH2793" s="77"/>
      <c r="BI2793" s="77"/>
    </row>
    <row r="2794" spans="1:61" x14ac:dyDescent="0.25">
      <c r="A2794" s="62" t="s">
        <v>387</v>
      </c>
      <c r="B2794" s="62" t="s">
        <v>387</v>
      </c>
      <c r="C2794" s="63"/>
      <c r="D2794" s="64"/>
      <c r="E2794" s="65"/>
      <c r="F2794" s="66"/>
      <c r="G2794" s="63"/>
      <c r="H2794" s="67"/>
      <c r="I2794" s="68"/>
      <c r="J2794" s="68"/>
      <c r="K2794" s="32"/>
      <c r="L2794" s="75">
        <v>2794</v>
      </c>
      <c r="M2794" s="75"/>
      <c r="N2794" s="70"/>
      <c r="O2794" s="77" t="s">
        <v>179</v>
      </c>
      <c r="P2794" s="79">
        <v>45127.915925925925</v>
      </c>
      <c r="Q2794" s="77" t="s">
        <v>3466</v>
      </c>
      <c r="R2794" s="77">
        <v>0</v>
      </c>
      <c r="S2794" s="77">
        <v>0</v>
      </c>
      <c r="T2794" s="77">
        <v>0</v>
      </c>
      <c r="U2794" s="77">
        <v>0</v>
      </c>
      <c r="V2794" s="77">
        <v>569</v>
      </c>
      <c r="W2794" s="82" t="s">
        <v>4833</v>
      </c>
      <c r="X2794" s="80" t="str">
        <f>HYPERLINK("https://mla.bs/927c3ad4")</f>
        <v>https://mla.bs/927c3ad4</v>
      </c>
      <c r="Y2794" s="77" t="s">
        <v>6506</v>
      </c>
      <c r="Z2794" s="77"/>
      <c r="AA2794" s="77"/>
      <c r="AB2794" s="77"/>
      <c r="AC2794" s="82" t="s">
        <v>7752</v>
      </c>
      <c r="AD2794" s="77" t="s">
        <v>7788</v>
      </c>
      <c r="AE2794" s="80" t="str">
        <f>HYPERLINK("https://twitter.com/einvestidor/status/1682148107360825347")</f>
        <v>https://twitter.com/einvestidor/status/1682148107360825347</v>
      </c>
      <c r="AF2794" s="79">
        <v>45127.915925925925</v>
      </c>
      <c r="AG2794" s="85">
        <v>45127</v>
      </c>
      <c r="AH2794" s="82" t="s">
        <v>9826</v>
      </c>
      <c r="AI2794" s="77" t="b">
        <v>0</v>
      </c>
      <c r="AJ2794" s="77"/>
      <c r="AK2794" s="77"/>
      <c r="AL2794" s="77"/>
      <c r="AM2794" s="77"/>
      <c r="AN2794" s="77"/>
      <c r="AO2794" s="77"/>
      <c r="AP2794" s="77"/>
      <c r="AQ2794" s="77"/>
      <c r="AR2794" s="77"/>
      <c r="AS2794" s="77"/>
      <c r="AT2794" s="77"/>
      <c r="AU2794" s="77"/>
      <c r="AV2794" s="80" t="str">
        <f>HYPERLINK("https://pbs.twimg.com/profile_images/1241147984924082183/gZgx_hL-_normal.jpg")</f>
        <v>https://pbs.twimg.com/profile_images/1241147984924082183/gZgx_hL-_normal.jpg</v>
      </c>
      <c r="AW2794" s="82" t="s">
        <v>14390</v>
      </c>
      <c r="AX2794" s="82" t="s">
        <v>14390</v>
      </c>
      <c r="AY2794" s="77"/>
      <c r="AZ2794" s="82" t="s">
        <v>15984</v>
      </c>
      <c r="BA2794" s="82" t="s">
        <v>15984</v>
      </c>
      <c r="BB2794" s="82" t="s">
        <v>15984</v>
      </c>
      <c r="BC2794" s="82" t="s">
        <v>14390</v>
      </c>
      <c r="BD2794" s="82" t="s">
        <v>15979</v>
      </c>
      <c r="BE2794" s="77"/>
      <c r="BF2794" s="77"/>
      <c r="BG2794" s="77"/>
      <c r="BH2794" s="77"/>
      <c r="BI2794" s="77"/>
    </row>
    <row r="2795" spans="1:61" x14ac:dyDescent="0.25">
      <c r="A2795" s="62" t="s">
        <v>387</v>
      </c>
      <c r="B2795" s="62" t="s">
        <v>387</v>
      </c>
      <c r="C2795" s="63"/>
      <c r="D2795" s="64"/>
      <c r="E2795" s="65"/>
      <c r="F2795" s="66"/>
      <c r="G2795" s="63"/>
      <c r="H2795" s="67"/>
      <c r="I2795" s="68"/>
      <c r="J2795" s="68"/>
      <c r="K2795" s="32"/>
      <c r="L2795" s="75">
        <v>2795</v>
      </c>
      <c r="M2795" s="75"/>
      <c r="N2795" s="70"/>
      <c r="O2795" s="77" t="s">
        <v>179</v>
      </c>
      <c r="P2795" s="79">
        <v>45127.913912037038</v>
      </c>
      <c r="Q2795" s="77" t="s">
        <v>3467</v>
      </c>
      <c r="R2795" s="77">
        <v>0</v>
      </c>
      <c r="S2795" s="77">
        <v>0</v>
      </c>
      <c r="T2795" s="77">
        <v>0</v>
      </c>
      <c r="U2795" s="77">
        <v>0</v>
      </c>
      <c r="V2795" s="77">
        <v>650</v>
      </c>
      <c r="W2795" s="82" t="s">
        <v>6116</v>
      </c>
      <c r="X2795" s="80" t="str">
        <f>HYPERLINK("https://mla.bs/8d784687")</f>
        <v>https://mla.bs/8d784687</v>
      </c>
      <c r="Y2795" s="77" t="s">
        <v>6506</v>
      </c>
      <c r="Z2795" s="77"/>
      <c r="AA2795" s="77"/>
      <c r="AB2795" s="77"/>
      <c r="AC2795" s="82" t="s">
        <v>7752</v>
      </c>
      <c r="AD2795" s="77" t="s">
        <v>7788</v>
      </c>
      <c r="AE2795" s="80" t="str">
        <f>HYPERLINK("https://twitter.com/einvestidor/status/1682147380064288775")</f>
        <v>https://twitter.com/einvestidor/status/1682147380064288775</v>
      </c>
      <c r="AF2795" s="79">
        <v>45127.913912037038</v>
      </c>
      <c r="AG2795" s="85">
        <v>45127</v>
      </c>
      <c r="AH2795" s="82" t="s">
        <v>9827</v>
      </c>
      <c r="AI2795" s="77" t="b">
        <v>0</v>
      </c>
      <c r="AJ2795" s="77"/>
      <c r="AK2795" s="77"/>
      <c r="AL2795" s="77"/>
      <c r="AM2795" s="77"/>
      <c r="AN2795" s="77"/>
      <c r="AO2795" s="77"/>
      <c r="AP2795" s="77"/>
      <c r="AQ2795" s="77"/>
      <c r="AR2795" s="77"/>
      <c r="AS2795" s="77"/>
      <c r="AT2795" s="77"/>
      <c r="AU2795" s="77"/>
      <c r="AV2795" s="80" t="str">
        <f>HYPERLINK("https://pbs.twimg.com/profile_images/1241147984924082183/gZgx_hL-_normal.jpg")</f>
        <v>https://pbs.twimg.com/profile_images/1241147984924082183/gZgx_hL-_normal.jpg</v>
      </c>
      <c r="AW2795" s="82" t="s">
        <v>14391</v>
      </c>
      <c r="AX2795" s="82" t="s">
        <v>14391</v>
      </c>
      <c r="AY2795" s="77"/>
      <c r="AZ2795" s="82" t="s">
        <v>15984</v>
      </c>
      <c r="BA2795" s="82" t="s">
        <v>15984</v>
      </c>
      <c r="BB2795" s="82" t="s">
        <v>15984</v>
      </c>
      <c r="BC2795" s="82" t="s">
        <v>14391</v>
      </c>
      <c r="BD2795" s="82" t="s">
        <v>15979</v>
      </c>
      <c r="BE2795" s="77"/>
      <c r="BF2795" s="77"/>
      <c r="BG2795" s="77"/>
      <c r="BH2795" s="77"/>
      <c r="BI2795" s="77"/>
    </row>
    <row r="2796" spans="1:61" x14ac:dyDescent="0.25">
      <c r="A2796" s="62" t="s">
        <v>387</v>
      </c>
      <c r="B2796" s="62" t="s">
        <v>387</v>
      </c>
      <c r="C2796" s="63"/>
      <c r="D2796" s="64"/>
      <c r="E2796" s="65"/>
      <c r="F2796" s="66"/>
      <c r="G2796" s="63"/>
      <c r="H2796" s="67"/>
      <c r="I2796" s="68"/>
      <c r="J2796" s="68"/>
      <c r="K2796" s="32"/>
      <c r="L2796" s="75">
        <v>2796</v>
      </c>
      <c r="M2796" s="75"/>
      <c r="N2796" s="70"/>
      <c r="O2796" s="77" t="s">
        <v>179</v>
      </c>
      <c r="P2796" s="79">
        <v>45127.912615740737</v>
      </c>
      <c r="Q2796" s="77" t="s">
        <v>3468</v>
      </c>
      <c r="R2796" s="77">
        <v>0</v>
      </c>
      <c r="S2796" s="77">
        <v>1</v>
      </c>
      <c r="T2796" s="77">
        <v>0</v>
      </c>
      <c r="U2796" s="77">
        <v>0</v>
      </c>
      <c r="V2796" s="77">
        <v>622</v>
      </c>
      <c r="W2796" s="82" t="s">
        <v>6117</v>
      </c>
      <c r="X2796" s="80" t="str">
        <f>HYPERLINK("https://mla.bs/8ff1b4bf")</f>
        <v>https://mla.bs/8ff1b4bf</v>
      </c>
      <c r="Y2796" s="77" t="s">
        <v>6506</v>
      </c>
      <c r="Z2796" s="77"/>
      <c r="AA2796" s="77"/>
      <c r="AB2796" s="77"/>
      <c r="AC2796" s="82" t="s">
        <v>7752</v>
      </c>
      <c r="AD2796" s="77" t="s">
        <v>7788</v>
      </c>
      <c r="AE2796" s="80" t="str">
        <f>HYPERLINK("https://twitter.com/einvestidor/status/1682146908100341761")</f>
        <v>https://twitter.com/einvestidor/status/1682146908100341761</v>
      </c>
      <c r="AF2796" s="79">
        <v>45127.912615740737</v>
      </c>
      <c r="AG2796" s="85">
        <v>45127</v>
      </c>
      <c r="AH2796" s="82" t="s">
        <v>9828</v>
      </c>
      <c r="AI2796" s="77" t="b">
        <v>0</v>
      </c>
      <c r="AJ2796" s="77"/>
      <c r="AK2796" s="77"/>
      <c r="AL2796" s="77"/>
      <c r="AM2796" s="77"/>
      <c r="AN2796" s="77"/>
      <c r="AO2796" s="77"/>
      <c r="AP2796" s="77"/>
      <c r="AQ2796" s="77"/>
      <c r="AR2796" s="77"/>
      <c r="AS2796" s="77"/>
      <c r="AT2796" s="77"/>
      <c r="AU2796" s="77"/>
      <c r="AV2796" s="80" t="str">
        <f>HYPERLINK("https://pbs.twimg.com/profile_images/1241147984924082183/gZgx_hL-_normal.jpg")</f>
        <v>https://pbs.twimg.com/profile_images/1241147984924082183/gZgx_hL-_normal.jpg</v>
      </c>
      <c r="AW2796" s="82" t="s">
        <v>14392</v>
      </c>
      <c r="AX2796" s="82" t="s">
        <v>14392</v>
      </c>
      <c r="AY2796" s="77"/>
      <c r="AZ2796" s="82" t="s">
        <v>15984</v>
      </c>
      <c r="BA2796" s="82" t="s">
        <v>15984</v>
      </c>
      <c r="BB2796" s="82" t="s">
        <v>15984</v>
      </c>
      <c r="BC2796" s="82" t="s">
        <v>14392</v>
      </c>
      <c r="BD2796" s="82" t="s">
        <v>15979</v>
      </c>
      <c r="BE2796" s="77"/>
      <c r="BF2796" s="77"/>
      <c r="BG2796" s="77"/>
      <c r="BH2796" s="77"/>
      <c r="BI2796" s="77"/>
    </row>
    <row r="2797" spans="1:61" x14ac:dyDescent="0.25">
      <c r="A2797" s="62" t="s">
        <v>387</v>
      </c>
      <c r="B2797" s="62" t="s">
        <v>387</v>
      </c>
      <c r="C2797" s="63"/>
      <c r="D2797" s="64"/>
      <c r="E2797" s="65"/>
      <c r="F2797" s="66"/>
      <c r="G2797" s="63"/>
      <c r="H2797" s="67"/>
      <c r="I2797" s="68"/>
      <c r="J2797" s="68"/>
      <c r="K2797" s="32"/>
      <c r="L2797" s="75">
        <v>2797</v>
      </c>
      <c r="M2797" s="75"/>
      <c r="N2797" s="70"/>
      <c r="O2797" s="77" t="s">
        <v>179</v>
      </c>
      <c r="P2797" s="79">
        <v>45184.864583333336</v>
      </c>
      <c r="Q2797" s="77" t="s">
        <v>3469</v>
      </c>
      <c r="R2797" s="77">
        <v>0</v>
      </c>
      <c r="S2797" s="77">
        <v>1</v>
      </c>
      <c r="T2797" s="77">
        <v>0</v>
      </c>
      <c r="U2797" s="77">
        <v>0</v>
      </c>
      <c r="V2797" s="77">
        <v>426</v>
      </c>
      <c r="W2797" s="82" t="s">
        <v>4833</v>
      </c>
      <c r="X2797" s="80" t="str">
        <f>HYPERLINK("https://einvestidor.estadao.com.br/ultimas/acoes-uber-despencam-decisao-justica-do-trabalho/?utm_source=twitter&amp;utm_medium=organic&amp;utm_campaign=&amp;utm_content=materia")</f>
        <v>https://einvestidor.estadao.com.br/ultimas/acoes-uber-despencam-decisao-justica-do-trabalho/?utm_source=twitter&amp;utm_medium=organic&amp;utm_campaign=&amp;utm_content=materia</v>
      </c>
      <c r="Y2797" s="77" t="s">
        <v>6470</v>
      </c>
      <c r="Z2797" s="77"/>
      <c r="AA2797" s="77"/>
      <c r="AB2797" s="77"/>
      <c r="AC2797" s="82" t="s">
        <v>7750</v>
      </c>
      <c r="AD2797" s="77" t="s">
        <v>7788</v>
      </c>
      <c r="AE2797" s="80" t="str">
        <f>HYPERLINK("https://twitter.com/einvestidor/status/1702785609645891939")</f>
        <v>https://twitter.com/einvestidor/status/1702785609645891939</v>
      </c>
      <c r="AF2797" s="79">
        <v>45184.864583333336</v>
      </c>
      <c r="AG2797" s="85">
        <v>45184</v>
      </c>
      <c r="AH2797" s="82" t="s">
        <v>9596</v>
      </c>
      <c r="AI2797" s="77" t="b">
        <v>0</v>
      </c>
      <c r="AJ2797" s="77"/>
      <c r="AK2797" s="77"/>
      <c r="AL2797" s="77"/>
      <c r="AM2797" s="77"/>
      <c r="AN2797" s="77"/>
      <c r="AO2797" s="77"/>
      <c r="AP2797" s="77"/>
      <c r="AQ2797" s="77"/>
      <c r="AR2797" s="77"/>
      <c r="AS2797" s="77"/>
      <c r="AT2797" s="77"/>
      <c r="AU2797" s="77"/>
      <c r="AV2797" s="80" t="str">
        <f>HYPERLINK("https://pbs.twimg.com/profile_images/1241147984924082183/gZgx_hL-_normal.jpg")</f>
        <v>https://pbs.twimg.com/profile_images/1241147984924082183/gZgx_hL-_normal.jpg</v>
      </c>
      <c r="AW2797" s="82" t="s">
        <v>14393</v>
      </c>
      <c r="AX2797" s="82" t="s">
        <v>14393</v>
      </c>
      <c r="AY2797" s="77"/>
      <c r="AZ2797" s="82" t="s">
        <v>15984</v>
      </c>
      <c r="BA2797" s="82" t="s">
        <v>15984</v>
      </c>
      <c r="BB2797" s="82" t="s">
        <v>15984</v>
      </c>
      <c r="BC2797" s="82" t="s">
        <v>14393</v>
      </c>
      <c r="BD2797" s="82" t="s">
        <v>15979</v>
      </c>
      <c r="BE2797" s="77"/>
      <c r="BF2797" s="77"/>
      <c r="BG2797" s="77"/>
      <c r="BH2797" s="77"/>
      <c r="BI2797" s="77"/>
    </row>
    <row r="2798" spans="1:61" x14ac:dyDescent="0.25">
      <c r="A2798" s="62" t="s">
        <v>387</v>
      </c>
      <c r="B2798" s="62" t="s">
        <v>387</v>
      </c>
      <c r="C2798" s="63"/>
      <c r="D2798" s="64"/>
      <c r="E2798" s="65"/>
      <c r="F2798" s="66"/>
      <c r="G2798" s="63"/>
      <c r="H2798" s="67"/>
      <c r="I2798" s="68"/>
      <c r="J2798" s="68"/>
      <c r="K2798" s="32"/>
      <c r="L2798" s="75">
        <v>2798</v>
      </c>
      <c r="M2798" s="75"/>
      <c r="N2798" s="70"/>
      <c r="O2798" s="77" t="s">
        <v>179</v>
      </c>
      <c r="P2798" s="79">
        <v>45183.958333333336</v>
      </c>
      <c r="Q2798" s="77" t="s">
        <v>3470</v>
      </c>
      <c r="R2798" s="77">
        <v>0</v>
      </c>
      <c r="S2798" s="77">
        <v>3</v>
      </c>
      <c r="T2798" s="77">
        <v>0</v>
      </c>
      <c r="U2798" s="77">
        <v>0</v>
      </c>
      <c r="V2798" s="77">
        <v>645</v>
      </c>
      <c r="W2798" s="82" t="s">
        <v>6086</v>
      </c>
      <c r="X2798" s="80" t="str">
        <f>HYPERLINK("https://einvestidor.estadao.com.br/ultimas/itau-bba-receita-weg-petrobras//?utm_source=twitter&amp;utm_medium=organic&amp;utm_campaign=&amp;utm_content=materia")</f>
        <v>https://einvestidor.estadao.com.br/ultimas/itau-bba-receita-weg-petrobras//?utm_source=twitter&amp;utm_medium=organic&amp;utm_campaign=&amp;utm_content=materia</v>
      </c>
      <c r="Y2798" s="77" t="s">
        <v>6470</v>
      </c>
      <c r="Z2798" s="77"/>
      <c r="AA2798" s="77"/>
      <c r="AB2798" s="77"/>
      <c r="AC2798" s="82" t="s">
        <v>7750</v>
      </c>
      <c r="AD2798" s="77" t="s">
        <v>7788</v>
      </c>
      <c r="AE2798" s="80" t="str">
        <f>HYPERLINK("https://twitter.com/einvestidor/status/1702457196653715559")</f>
        <v>https://twitter.com/einvestidor/status/1702457196653715559</v>
      </c>
      <c r="AF2798" s="79">
        <v>45183.958333333336</v>
      </c>
      <c r="AG2798" s="85">
        <v>45183</v>
      </c>
      <c r="AH2798" s="82" t="s">
        <v>8279</v>
      </c>
      <c r="AI2798" s="77" t="b">
        <v>0</v>
      </c>
      <c r="AJ2798" s="77"/>
      <c r="AK2798" s="77"/>
      <c r="AL2798" s="77"/>
      <c r="AM2798" s="77"/>
      <c r="AN2798" s="77"/>
      <c r="AO2798" s="77"/>
      <c r="AP2798" s="77"/>
      <c r="AQ2798" s="77"/>
      <c r="AR2798" s="77"/>
      <c r="AS2798" s="77"/>
      <c r="AT2798" s="77"/>
      <c r="AU2798" s="77"/>
      <c r="AV2798" s="80" t="str">
        <f>HYPERLINK("https://pbs.twimg.com/profile_images/1241147984924082183/gZgx_hL-_normal.jpg")</f>
        <v>https://pbs.twimg.com/profile_images/1241147984924082183/gZgx_hL-_normal.jpg</v>
      </c>
      <c r="AW2798" s="82" t="s">
        <v>14394</v>
      </c>
      <c r="AX2798" s="82" t="s">
        <v>14394</v>
      </c>
      <c r="AY2798" s="77"/>
      <c r="AZ2798" s="82" t="s">
        <v>15984</v>
      </c>
      <c r="BA2798" s="82" t="s">
        <v>15984</v>
      </c>
      <c r="BB2798" s="82" t="s">
        <v>15984</v>
      </c>
      <c r="BC2798" s="82" t="s">
        <v>14394</v>
      </c>
      <c r="BD2798" s="82" t="s">
        <v>15979</v>
      </c>
      <c r="BE2798" s="77"/>
      <c r="BF2798" s="77"/>
      <c r="BG2798" s="77"/>
      <c r="BH2798" s="77"/>
      <c r="BI2798" s="77"/>
    </row>
    <row r="2799" spans="1:61" x14ac:dyDescent="0.25">
      <c r="A2799" s="62" t="s">
        <v>387</v>
      </c>
      <c r="B2799" s="62" t="s">
        <v>387</v>
      </c>
      <c r="C2799" s="63"/>
      <c r="D2799" s="64"/>
      <c r="E2799" s="65"/>
      <c r="F2799" s="66"/>
      <c r="G2799" s="63"/>
      <c r="H2799" s="67"/>
      <c r="I2799" s="68"/>
      <c r="J2799" s="68"/>
      <c r="K2799" s="32"/>
      <c r="L2799" s="75">
        <v>2799</v>
      </c>
      <c r="M2799" s="75"/>
      <c r="N2799" s="70"/>
      <c r="O2799" s="77" t="s">
        <v>179</v>
      </c>
      <c r="P2799" s="79">
        <v>45182.958356481482</v>
      </c>
      <c r="Q2799" s="77" t="s">
        <v>3471</v>
      </c>
      <c r="R2799" s="77">
        <v>0</v>
      </c>
      <c r="S2799" s="77">
        <v>1</v>
      </c>
      <c r="T2799" s="77">
        <v>0</v>
      </c>
      <c r="U2799" s="77">
        <v>0</v>
      </c>
      <c r="V2799" s="77">
        <v>541</v>
      </c>
      <c r="W2799" s="82" t="s">
        <v>4833</v>
      </c>
      <c r="X2799" s="80" t="str">
        <f>HYPERLINK("https://einvestidor.estadao.com.br/educacao-financeira/quem-recebe-pensao-por-morte-pode-se-aposentar/?utm_source=twitter&amp;utm_medium=organic&amp;utm_campaign=&amp;utm_content=materia")</f>
        <v>https://einvestidor.estadao.com.br/educacao-financeira/quem-recebe-pensao-por-morte-pode-se-aposentar/?utm_source=twitter&amp;utm_medium=organic&amp;utm_campaign=&amp;utm_content=materia</v>
      </c>
      <c r="Y2799" s="77" t="s">
        <v>6470</v>
      </c>
      <c r="Z2799" s="77"/>
      <c r="AA2799" s="77"/>
      <c r="AB2799" s="77"/>
      <c r="AC2799" s="82" t="s">
        <v>7750</v>
      </c>
      <c r="AD2799" s="77" t="s">
        <v>7788</v>
      </c>
      <c r="AE2799" s="80" t="str">
        <f>HYPERLINK("https://twitter.com/einvestidor/status/1702094815620374665")</f>
        <v>https://twitter.com/einvestidor/status/1702094815620374665</v>
      </c>
      <c r="AF2799" s="79">
        <v>45182.958356481482</v>
      </c>
      <c r="AG2799" s="85">
        <v>45182</v>
      </c>
      <c r="AH2799" s="82" t="s">
        <v>9725</v>
      </c>
      <c r="AI2799" s="77" t="b">
        <v>0</v>
      </c>
      <c r="AJ2799" s="77"/>
      <c r="AK2799" s="77"/>
      <c r="AL2799" s="77"/>
      <c r="AM2799" s="77"/>
      <c r="AN2799" s="77"/>
      <c r="AO2799" s="77"/>
      <c r="AP2799" s="77"/>
      <c r="AQ2799" s="77"/>
      <c r="AR2799" s="77"/>
      <c r="AS2799" s="77"/>
      <c r="AT2799" s="77"/>
      <c r="AU2799" s="77"/>
      <c r="AV2799" s="80" t="str">
        <f>HYPERLINK("https://pbs.twimg.com/profile_images/1241147984924082183/gZgx_hL-_normal.jpg")</f>
        <v>https://pbs.twimg.com/profile_images/1241147984924082183/gZgx_hL-_normal.jpg</v>
      </c>
      <c r="AW2799" s="82" t="s">
        <v>14395</v>
      </c>
      <c r="AX2799" s="82" t="s">
        <v>14395</v>
      </c>
      <c r="AY2799" s="77"/>
      <c r="AZ2799" s="82" t="s">
        <v>15984</v>
      </c>
      <c r="BA2799" s="82" t="s">
        <v>15984</v>
      </c>
      <c r="BB2799" s="82" t="s">
        <v>15984</v>
      </c>
      <c r="BC2799" s="82" t="s">
        <v>14395</v>
      </c>
      <c r="BD2799" s="82" t="s">
        <v>15979</v>
      </c>
      <c r="BE2799" s="77"/>
      <c r="BF2799" s="77"/>
      <c r="BG2799" s="77"/>
      <c r="BH2799" s="77"/>
      <c r="BI2799" s="77"/>
    </row>
    <row r="2800" spans="1:61" x14ac:dyDescent="0.25">
      <c r="A2800" s="62" t="s">
        <v>387</v>
      </c>
      <c r="B2800" s="62" t="s">
        <v>387</v>
      </c>
      <c r="C2800" s="63"/>
      <c r="D2800" s="64"/>
      <c r="E2800" s="65"/>
      <c r="F2800" s="66"/>
      <c r="G2800" s="63"/>
      <c r="H2800" s="67"/>
      <c r="I2800" s="68"/>
      <c r="J2800" s="68"/>
      <c r="K2800" s="32"/>
      <c r="L2800" s="75">
        <v>2800</v>
      </c>
      <c r="M2800" s="75"/>
      <c r="N2800" s="70"/>
      <c r="O2800" s="77" t="s">
        <v>179</v>
      </c>
      <c r="P2800" s="79">
        <v>45181.916678240741</v>
      </c>
      <c r="Q2800" s="77" t="s">
        <v>3472</v>
      </c>
      <c r="R2800" s="77">
        <v>0</v>
      </c>
      <c r="S2800" s="77">
        <v>0</v>
      </c>
      <c r="T2800" s="77">
        <v>0</v>
      </c>
      <c r="U2800" s="77">
        <v>0</v>
      </c>
      <c r="V2800" s="77">
        <v>421</v>
      </c>
      <c r="W2800" s="82" t="s">
        <v>4833</v>
      </c>
      <c r="X2800" s="80" t="str">
        <f>HYPERLINK("https://einvestidor.estadao.com.br/ultimas/fitch-previsao-impacto-teto-rotativo//?utm_source=twitter&amp;utm_medium=organic&amp;utm_campaign=&amp;utm_content=materia")</f>
        <v>https://einvestidor.estadao.com.br/ultimas/fitch-previsao-impacto-teto-rotativo//?utm_source=twitter&amp;utm_medium=organic&amp;utm_campaign=&amp;utm_content=materia</v>
      </c>
      <c r="Y2800" s="77" t="s">
        <v>6470</v>
      </c>
      <c r="Z2800" s="77"/>
      <c r="AA2800" s="77"/>
      <c r="AB2800" s="77"/>
      <c r="AC2800" s="82" t="s">
        <v>7750</v>
      </c>
      <c r="AD2800" s="77" t="s">
        <v>7788</v>
      </c>
      <c r="AE2800" s="80" t="str">
        <f>HYPERLINK("https://twitter.com/einvestidor/status/1701717324192002366")</f>
        <v>https://twitter.com/einvestidor/status/1701717324192002366</v>
      </c>
      <c r="AF2800" s="79">
        <v>45181.916678240741</v>
      </c>
      <c r="AG2800" s="85">
        <v>45181</v>
      </c>
      <c r="AH2800" s="82" t="s">
        <v>8052</v>
      </c>
      <c r="AI2800" s="77" t="b">
        <v>0</v>
      </c>
      <c r="AJ2800" s="77"/>
      <c r="AK2800" s="77"/>
      <c r="AL2800" s="77"/>
      <c r="AM2800" s="77"/>
      <c r="AN2800" s="77"/>
      <c r="AO2800" s="77"/>
      <c r="AP2800" s="77"/>
      <c r="AQ2800" s="77"/>
      <c r="AR2800" s="77"/>
      <c r="AS2800" s="77"/>
      <c r="AT2800" s="77"/>
      <c r="AU2800" s="77"/>
      <c r="AV2800" s="80" t="str">
        <f>HYPERLINK("https://pbs.twimg.com/profile_images/1241147984924082183/gZgx_hL-_normal.jpg")</f>
        <v>https://pbs.twimg.com/profile_images/1241147984924082183/gZgx_hL-_normal.jpg</v>
      </c>
      <c r="AW2800" s="82" t="s">
        <v>14396</v>
      </c>
      <c r="AX2800" s="82" t="s">
        <v>14396</v>
      </c>
      <c r="AY2800" s="77"/>
      <c r="AZ2800" s="82" t="s">
        <v>15984</v>
      </c>
      <c r="BA2800" s="82" t="s">
        <v>15984</v>
      </c>
      <c r="BB2800" s="82" t="s">
        <v>15984</v>
      </c>
      <c r="BC2800" s="82" t="s">
        <v>14396</v>
      </c>
      <c r="BD2800" s="82" t="s">
        <v>15979</v>
      </c>
      <c r="BE2800" s="77"/>
      <c r="BF2800" s="77"/>
      <c r="BG2800" s="77"/>
      <c r="BH2800" s="77"/>
      <c r="BI2800" s="77"/>
    </row>
    <row r="2801" spans="1:61" x14ac:dyDescent="0.25">
      <c r="A2801" s="62" t="s">
        <v>387</v>
      </c>
      <c r="B2801" s="62" t="s">
        <v>387</v>
      </c>
      <c r="C2801" s="63"/>
      <c r="D2801" s="64"/>
      <c r="E2801" s="65"/>
      <c r="F2801" s="66"/>
      <c r="G2801" s="63"/>
      <c r="H2801" s="67"/>
      <c r="I2801" s="68"/>
      <c r="J2801" s="68"/>
      <c r="K2801" s="32"/>
      <c r="L2801" s="75">
        <v>2801</v>
      </c>
      <c r="M2801" s="75"/>
      <c r="N2801" s="70"/>
      <c r="O2801" s="77" t="s">
        <v>179</v>
      </c>
      <c r="P2801" s="79">
        <v>45181.90625</v>
      </c>
      <c r="Q2801" s="77" t="s">
        <v>3473</v>
      </c>
      <c r="R2801" s="77">
        <v>0</v>
      </c>
      <c r="S2801" s="77">
        <v>0</v>
      </c>
      <c r="T2801" s="77">
        <v>0</v>
      </c>
      <c r="U2801" s="77">
        <v>0</v>
      </c>
      <c r="V2801" s="77">
        <v>449</v>
      </c>
      <c r="W2801" s="82" t="s">
        <v>4833</v>
      </c>
      <c r="X2801" s="80" t="str">
        <f>HYPERLINK("https://einvestidor.estadao.com.br/ultimas/secretario-receita-federal-modelo-jcp//?utm_source=twitter&amp;utm_medium=organic&amp;utm_campaign=&amp;utm_content=materia")</f>
        <v>https://einvestidor.estadao.com.br/ultimas/secretario-receita-federal-modelo-jcp//?utm_source=twitter&amp;utm_medium=organic&amp;utm_campaign=&amp;utm_content=materia</v>
      </c>
      <c r="Y2801" s="77" t="s">
        <v>6470</v>
      </c>
      <c r="Z2801" s="77"/>
      <c r="AA2801" s="77"/>
      <c r="AB2801" s="77"/>
      <c r="AC2801" s="82" t="s">
        <v>7750</v>
      </c>
      <c r="AD2801" s="77" t="s">
        <v>7788</v>
      </c>
      <c r="AE2801" s="80" t="str">
        <f>HYPERLINK("https://twitter.com/einvestidor/status/1701713545593762054")</f>
        <v>https://twitter.com/einvestidor/status/1701713545593762054</v>
      </c>
      <c r="AF2801" s="79">
        <v>45181.90625</v>
      </c>
      <c r="AG2801" s="85">
        <v>45181</v>
      </c>
      <c r="AH2801" s="82" t="s">
        <v>9578</v>
      </c>
      <c r="AI2801" s="77" t="b">
        <v>0</v>
      </c>
      <c r="AJ2801" s="77"/>
      <c r="AK2801" s="77"/>
      <c r="AL2801" s="77"/>
      <c r="AM2801" s="77"/>
      <c r="AN2801" s="77"/>
      <c r="AO2801" s="77"/>
      <c r="AP2801" s="77"/>
      <c r="AQ2801" s="77"/>
      <c r="AR2801" s="77"/>
      <c r="AS2801" s="77"/>
      <c r="AT2801" s="77"/>
      <c r="AU2801" s="77"/>
      <c r="AV2801" s="80" t="str">
        <f>HYPERLINK("https://pbs.twimg.com/profile_images/1241147984924082183/gZgx_hL-_normal.jpg")</f>
        <v>https://pbs.twimg.com/profile_images/1241147984924082183/gZgx_hL-_normal.jpg</v>
      </c>
      <c r="AW2801" s="82" t="s">
        <v>14397</v>
      </c>
      <c r="AX2801" s="82" t="s">
        <v>14397</v>
      </c>
      <c r="AY2801" s="77"/>
      <c r="AZ2801" s="82" t="s">
        <v>15984</v>
      </c>
      <c r="BA2801" s="82" t="s">
        <v>15984</v>
      </c>
      <c r="BB2801" s="82" t="s">
        <v>15984</v>
      </c>
      <c r="BC2801" s="82" t="s">
        <v>14397</v>
      </c>
      <c r="BD2801" s="82" t="s">
        <v>15979</v>
      </c>
      <c r="BE2801" s="77"/>
      <c r="BF2801" s="77"/>
      <c r="BG2801" s="77"/>
      <c r="BH2801" s="77"/>
      <c r="BI2801" s="77"/>
    </row>
    <row r="2802" spans="1:61" x14ac:dyDescent="0.25">
      <c r="A2802" s="62" t="s">
        <v>387</v>
      </c>
      <c r="B2802" s="62" t="s">
        <v>387</v>
      </c>
      <c r="C2802" s="63"/>
      <c r="D2802" s="64"/>
      <c r="E2802" s="65"/>
      <c r="F2802" s="66"/>
      <c r="G2802" s="63"/>
      <c r="H2802" s="67"/>
      <c r="I2802" s="68"/>
      <c r="J2802" s="68"/>
      <c r="K2802" s="32"/>
      <c r="L2802" s="75">
        <v>2802</v>
      </c>
      <c r="M2802" s="75"/>
      <c r="N2802" s="70"/>
      <c r="O2802" s="77" t="s">
        <v>179</v>
      </c>
      <c r="P2802" s="79">
        <v>45180.758981481478</v>
      </c>
      <c r="Q2802" s="77" t="s">
        <v>3474</v>
      </c>
      <c r="R2802" s="77">
        <v>0</v>
      </c>
      <c r="S2802" s="77">
        <v>1</v>
      </c>
      <c r="T2802" s="77">
        <v>0</v>
      </c>
      <c r="U2802" s="77">
        <v>0</v>
      </c>
      <c r="V2802" s="77">
        <v>433</v>
      </c>
      <c r="W2802" s="82" t="s">
        <v>4833</v>
      </c>
      <c r="X2802" s="80" t="str">
        <f>HYPERLINK("https://einvestidor.estadao.com.br/ultimas/metais-cobre-fechamento-11-09-2023//?utm_source=twitter&amp;utm_medium=organic&amp;utm_campaign=&amp;utm_content=materia")</f>
        <v>https://einvestidor.estadao.com.br/ultimas/metais-cobre-fechamento-11-09-2023//?utm_source=twitter&amp;utm_medium=organic&amp;utm_campaign=&amp;utm_content=materia</v>
      </c>
      <c r="Y2802" s="77" t="s">
        <v>6470</v>
      </c>
      <c r="Z2802" s="77"/>
      <c r="AA2802" s="77"/>
      <c r="AB2802" s="77"/>
      <c r="AC2802" s="82" t="s">
        <v>7750</v>
      </c>
      <c r="AD2802" s="77" t="s">
        <v>7788</v>
      </c>
      <c r="AE2802" s="80" t="str">
        <f>HYPERLINK("https://twitter.com/einvestidor/status/1701297790201241950")</f>
        <v>https://twitter.com/einvestidor/status/1701297790201241950</v>
      </c>
      <c r="AF2802" s="79">
        <v>45180.758981481478</v>
      </c>
      <c r="AG2802" s="85">
        <v>45180</v>
      </c>
      <c r="AH2802" s="82" t="s">
        <v>9829</v>
      </c>
      <c r="AI2802" s="77" t="b">
        <v>0</v>
      </c>
      <c r="AJ2802" s="77"/>
      <c r="AK2802" s="77"/>
      <c r="AL2802" s="77"/>
      <c r="AM2802" s="77"/>
      <c r="AN2802" s="77"/>
      <c r="AO2802" s="77"/>
      <c r="AP2802" s="77"/>
      <c r="AQ2802" s="77"/>
      <c r="AR2802" s="77"/>
      <c r="AS2802" s="77"/>
      <c r="AT2802" s="77"/>
      <c r="AU2802" s="77"/>
      <c r="AV2802" s="80" t="str">
        <f>HYPERLINK("https://pbs.twimg.com/profile_images/1241147984924082183/gZgx_hL-_normal.jpg")</f>
        <v>https://pbs.twimg.com/profile_images/1241147984924082183/gZgx_hL-_normal.jpg</v>
      </c>
      <c r="AW2802" s="82" t="s">
        <v>14398</v>
      </c>
      <c r="AX2802" s="82" t="s">
        <v>14398</v>
      </c>
      <c r="AY2802" s="77"/>
      <c r="AZ2802" s="82" t="s">
        <v>15984</v>
      </c>
      <c r="BA2802" s="82" t="s">
        <v>15984</v>
      </c>
      <c r="BB2802" s="82" t="s">
        <v>15984</v>
      </c>
      <c r="BC2802" s="82" t="s">
        <v>14398</v>
      </c>
      <c r="BD2802" s="82" t="s">
        <v>15979</v>
      </c>
      <c r="BE2802" s="77"/>
      <c r="BF2802" s="77"/>
      <c r="BG2802" s="77"/>
      <c r="BH2802" s="77"/>
      <c r="BI2802" s="77"/>
    </row>
    <row r="2803" spans="1:61" x14ac:dyDescent="0.25">
      <c r="A2803" s="62" t="s">
        <v>387</v>
      </c>
      <c r="B2803" s="62" t="s">
        <v>387</v>
      </c>
      <c r="C2803" s="63"/>
      <c r="D2803" s="64"/>
      <c r="E2803" s="65"/>
      <c r="F2803" s="66"/>
      <c r="G2803" s="63"/>
      <c r="H2803" s="67"/>
      <c r="I2803" s="68"/>
      <c r="J2803" s="68"/>
      <c r="K2803" s="32"/>
      <c r="L2803" s="75">
        <v>2803</v>
      </c>
      <c r="M2803" s="75"/>
      <c r="N2803" s="70"/>
      <c r="O2803" s="77" t="s">
        <v>179</v>
      </c>
      <c r="P2803" s="79">
        <v>45180.739583333336</v>
      </c>
      <c r="Q2803" s="77" t="s">
        <v>3475</v>
      </c>
      <c r="R2803" s="77">
        <v>0</v>
      </c>
      <c r="S2803" s="77">
        <v>1</v>
      </c>
      <c r="T2803" s="77">
        <v>0</v>
      </c>
      <c r="U2803" s="77">
        <v>0</v>
      </c>
      <c r="V2803" s="77">
        <v>525</v>
      </c>
      <c r="W2803" s="82" t="s">
        <v>6118</v>
      </c>
      <c r="X2803" s="80" t="str">
        <f>HYPERLINK("https://einvestidor.estadao.com.br/ultimas/xp-indica-cobertura-unipar-unip6-braskem-brkm5/?utm_source=twitter&amp;utm_medium=organic&amp;utm_campaign=&amp;utm_content=materia")</f>
        <v>https://einvestidor.estadao.com.br/ultimas/xp-indica-cobertura-unipar-unip6-braskem-brkm5/?utm_source=twitter&amp;utm_medium=organic&amp;utm_campaign=&amp;utm_content=materia</v>
      </c>
      <c r="Y2803" s="77" t="s">
        <v>6470</v>
      </c>
      <c r="Z2803" s="77"/>
      <c r="AA2803" s="77"/>
      <c r="AB2803" s="77"/>
      <c r="AC2803" s="82" t="s">
        <v>7750</v>
      </c>
      <c r="AD2803" s="77" t="s">
        <v>7788</v>
      </c>
      <c r="AE2803" s="80" t="str">
        <f>HYPERLINK("https://twitter.com/einvestidor/status/1701290759666934059")</f>
        <v>https://twitter.com/einvestidor/status/1701290759666934059</v>
      </c>
      <c r="AF2803" s="79">
        <v>45180.739583333336</v>
      </c>
      <c r="AG2803" s="85">
        <v>45180</v>
      </c>
      <c r="AH2803" s="82" t="s">
        <v>9626</v>
      </c>
      <c r="AI2803" s="77" t="b">
        <v>0</v>
      </c>
      <c r="AJ2803" s="77"/>
      <c r="AK2803" s="77"/>
      <c r="AL2803" s="77"/>
      <c r="AM2803" s="77"/>
      <c r="AN2803" s="77"/>
      <c r="AO2803" s="77"/>
      <c r="AP2803" s="77"/>
      <c r="AQ2803" s="77"/>
      <c r="AR2803" s="77"/>
      <c r="AS2803" s="77"/>
      <c r="AT2803" s="77"/>
      <c r="AU2803" s="77"/>
      <c r="AV2803" s="80" t="str">
        <f>HYPERLINK("https://pbs.twimg.com/profile_images/1241147984924082183/gZgx_hL-_normal.jpg")</f>
        <v>https://pbs.twimg.com/profile_images/1241147984924082183/gZgx_hL-_normal.jpg</v>
      </c>
      <c r="AW2803" s="82" t="s">
        <v>14399</v>
      </c>
      <c r="AX2803" s="82" t="s">
        <v>14399</v>
      </c>
      <c r="AY2803" s="77"/>
      <c r="AZ2803" s="82" t="s">
        <v>15984</v>
      </c>
      <c r="BA2803" s="82" t="s">
        <v>15984</v>
      </c>
      <c r="BB2803" s="82" t="s">
        <v>15984</v>
      </c>
      <c r="BC2803" s="82" t="s">
        <v>14399</v>
      </c>
      <c r="BD2803" s="82" t="s">
        <v>15979</v>
      </c>
      <c r="BE2803" s="77"/>
      <c r="BF2803" s="77"/>
      <c r="BG2803" s="77"/>
      <c r="BH2803" s="77"/>
      <c r="BI2803" s="77"/>
    </row>
    <row r="2804" spans="1:61" x14ac:dyDescent="0.25">
      <c r="A2804" s="62" t="s">
        <v>387</v>
      </c>
      <c r="B2804" s="62" t="s">
        <v>387</v>
      </c>
      <c r="C2804" s="63"/>
      <c r="D2804" s="64"/>
      <c r="E2804" s="65"/>
      <c r="F2804" s="66"/>
      <c r="G2804" s="63"/>
      <c r="H2804" s="67"/>
      <c r="I2804" s="68"/>
      <c r="J2804" s="68"/>
      <c r="K2804" s="32"/>
      <c r="L2804" s="75">
        <v>2804</v>
      </c>
      <c r="M2804" s="75"/>
      <c r="N2804" s="70"/>
      <c r="O2804" s="77" t="s">
        <v>179</v>
      </c>
      <c r="P2804" s="79">
        <v>45173.9375</v>
      </c>
      <c r="Q2804" s="77" t="s">
        <v>3476</v>
      </c>
      <c r="R2804" s="77">
        <v>0</v>
      </c>
      <c r="S2804" s="77">
        <v>0</v>
      </c>
      <c r="T2804" s="77">
        <v>0</v>
      </c>
      <c r="U2804" s="77">
        <v>0</v>
      </c>
      <c r="V2804" s="77">
        <v>701</v>
      </c>
      <c r="W2804" s="82" t="s">
        <v>6119</v>
      </c>
      <c r="X2804" s="80" t="str">
        <f>HYPERLINK("https://einvestidor.estadao.com.br/ultimas/nova-carteira-do-ibovespa/?utm_source=twitter&amp;utm_medium=organic&amp;utm_campaign=&amp;utm_content=materia")</f>
        <v>https://einvestidor.estadao.com.br/ultimas/nova-carteira-do-ibovespa/?utm_source=twitter&amp;utm_medium=organic&amp;utm_campaign=&amp;utm_content=materia</v>
      </c>
      <c r="Y2804" s="77" t="s">
        <v>6470</v>
      </c>
      <c r="Z2804" s="77"/>
      <c r="AA2804" s="77"/>
      <c r="AB2804" s="77"/>
      <c r="AC2804" s="82" t="s">
        <v>7750</v>
      </c>
      <c r="AD2804" s="77" t="s">
        <v>7788</v>
      </c>
      <c r="AE2804" s="80" t="str">
        <f>HYPERLINK("https://twitter.com/einvestidor/status/1698825768292262056")</f>
        <v>https://twitter.com/einvestidor/status/1698825768292262056</v>
      </c>
      <c r="AF2804" s="79">
        <v>45173.9375</v>
      </c>
      <c r="AG2804" s="85">
        <v>45173</v>
      </c>
      <c r="AH2804" s="82" t="s">
        <v>7926</v>
      </c>
      <c r="AI2804" s="77" t="b">
        <v>0</v>
      </c>
      <c r="AJ2804" s="77"/>
      <c r="AK2804" s="77"/>
      <c r="AL2804" s="77"/>
      <c r="AM2804" s="77"/>
      <c r="AN2804" s="77"/>
      <c r="AO2804" s="77"/>
      <c r="AP2804" s="77"/>
      <c r="AQ2804" s="77"/>
      <c r="AR2804" s="77"/>
      <c r="AS2804" s="77"/>
      <c r="AT2804" s="77"/>
      <c r="AU2804" s="77"/>
      <c r="AV2804" s="80" t="str">
        <f>HYPERLINK("https://pbs.twimg.com/profile_images/1241147984924082183/gZgx_hL-_normal.jpg")</f>
        <v>https://pbs.twimg.com/profile_images/1241147984924082183/gZgx_hL-_normal.jpg</v>
      </c>
      <c r="AW2804" s="82" t="s">
        <v>14400</v>
      </c>
      <c r="AX2804" s="82" t="s">
        <v>14400</v>
      </c>
      <c r="AY2804" s="77"/>
      <c r="AZ2804" s="82" t="s">
        <v>15984</v>
      </c>
      <c r="BA2804" s="82" t="s">
        <v>15984</v>
      </c>
      <c r="BB2804" s="82" t="s">
        <v>15984</v>
      </c>
      <c r="BC2804" s="82" t="s">
        <v>14400</v>
      </c>
      <c r="BD2804" s="82" t="s">
        <v>15979</v>
      </c>
      <c r="BE2804" s="77"/>
      <c r="BF2804" s="77"/>
      <c r="BG2804" s="77"/>
      <c r="BH2804" s="77"/>
      <c r="BI2804" s="77"/>
    </row>
    <row r="2805" spans="1:61" x14ac:dyDescent="0.25">
      <c r="A2805" s="62" t="s">
        <v>387</v>
      </c>
      <c r="B2805" s="62" t="s">
        <v>387</v>
      </c>
      <c r="C2805" s="63"/>
      <c r="D2805" s="64"/>
      <c r="E2805" s="65"/>
      <c r="F2805" s="66"/>
      <c r="G2805" s="63"/>
      <c r="H2805" s="67"/>
      <c r="I2805" s="68"/>
      <c r="J2805" s="68"/>
      <c r="K2805" s="32"/>
      <c r="L2805" s="75">
        <v>2805</v>
      </c>
      <c r="M2805" s="75"/>
      <c r="N2805" s="70"/>
      <c r="O2805" s="77" t="s">
        <v>179</v>
      </c>
      <c r="P2805" s="79">
        <v>45173.927083333336</v>
      </c>
      <c r="Q2805" s="77" t="s">
        <v>3477</v>
      </c>
      <c r="R2805" s="77">
        <v>0</v>
      </c>
      <c r="S2805" s="77">
        <v>0</v>
      </c>
      <c r="T2805" s="77">
        <v>0</v>
      </c>
      <c r="U2805" s="77">
        <v>0</v>
      </c>
      <c r="V2805" s="77">
        <v>484</v>
      </c>
      <c r="W2805" s="82" t="s">
        <v>4833</v>
      </c>
      <c r="X2805" s="80" t="str">
        <f>HYPERLINK("https://einvestidor.estadao.com.br/ultimas/picpay-amplia-oferta-investimentos-fundos-aplicativo/?utm_source=twitter&amp;utm_medium=organic&amp;utm_campaign=&amp;utm_content=materia")</f>
        <v>https://einvestidor.estadao.com.br/ultimas/picpay-amplia-oferta-investimentos-fundos-aplicativo/?utm_source=twitter&amp;utm_medium=organic&amp;utm_campaign=&amp;utm_content=materia</v>
      </c>
      <c r="Y2805" s="77" t="s">
        <v>6470</v>
      </c>
      <c r="Z2805" s="77"/>
      <c r="AA2805" s="77"/>
      <c r="AB2805" s="77"/>
      <c r="AC2805" s="82" t="s">
        <v>7750</v>
      </c>
      <c r="AD2805" s="77" t="s">
        <v>7788</v>
      </c>
      <c r="AE2805" s="80" t="str">
        <f>HYPERLINK("https://twitter.com/einvestidor/status/1698821992277749989")</f>
        <v>https://twitter.com/einvestidor/status/1698821992277749989</v>
      </c>
      <c r="AF2805" s="79">
        <v>45173.927083333336</v>
      </c>
      <c r="AG2805" s="85">
        <v>45173</v>
      </c>
      <c r="AH2805" s="82" t="s">
        <v>9576</v>
      </c>
      <c r="AI2805" s="77" t="b">
        <v>0</v>
      </c>
      <c r="AJ2805" s="77"/>
      <c r="AK2805" s="77"/>
      <c r="AL2805" s="77"/>
      <c r="AM2805" s="77"/>
      <c r="AN2805" s="77"/>
      <c r="AO2805" s="77"/>
      <c r="AP2805" s="77"/>
      <c r="AQ2805" s="77"/>
      <c r="AR2805" s="77"/>
      <c r="AS2805" s="77"/>
      <c r="AT2805" s="77"/>
      <c r="AU2805" s="77"/>
      <c r="AV2805" s="80" t="str">
        <f>HYPERLINK("https://pbs.twimg.com/profile_images/1241147984924082183/gZgx_hL-_normal.jpg")</f>
        <v>https://pbs.twimg.com/profile_images/1241147984924082183/gZgx_hL-_normal.jpg</v>
      </c>
      <c r="AW2805" s="82" t="s">
        <v>14401</v>
      </c>
      <c r="AX2805" s="82" t="s">
        <v>14401</v>
      </c>
      <c r="AY2805" s="77"/>
      <c r="AZ2805" s="82" t="s">
        <v>15984</v>
      </c>
      <c r="BA2805" s="82" t="s">
        <v>15984</v>
      </c>
      <c r="BB2805" s="82" t="s">
        <v>15984</v>
      </c>
      <c r="BC2805" s="82" t="s">
        <v>14401</v>
      </c>
      <c r="BD2805" s="82" t="s">
        <v>15979</v>
      </c>
      <c r="BE2805" s="77"/>
      <c r="BF2805" s="77"/>
      <c r="BG2805" s="77"/>
      <c r="BH2805" s="77"/>
      <c r="BI2805" s="77"/>
    </row>
    <row r="2806" spans="1:61" x14ac:dyDescent="0.25">
      <c r="A2806" s="62" t="s">
        <v>387</v>
      </c>
      <c r="B2806" s="62" t="s">
        <v>387</v>
      </c>
      <c r="C2806" s="63"/>
      <c r="D2806" s="64"/>
      <c r="E2806" s="65"/>
      <c r="F2806" s="66"/>
      <c r="G2806" s="63"/>
      <c r="H2806" s="67"/>
      <c r="I2806" s="68"/>
      <c r="J2806" s="68"/>
      <c r="K2806" s="32"/>
      <c r="L2806" s="75">
        <v>2806</v>
      </c>
      <c r="M2806" s="75"/>
      <c r="N2806" s="70"/>
      <c r="O2806" s="77" t="s">
        <v>179</v>
      </c>
      <c r="P2806" s="79">
        <v>45173.916666666664</v>
      </c>
      <c r="Q2806" s="77" t="s">
        <v>3478</v>
      </c>
      <c r="R2806" s="77">
        <v>0</v>
      </c>
      <c r="S2806" s="77">
        <v>0</v>
      </c>
      <c r="T2806" s="77">
        <v>0</v>
      </c>
      <c r="U2806" s="77">
        <v>0</v>
      </c>
      <c r="V2806" s="77">
        <v>395</v>
      </c>
      <c r="W2806" s="82" t="s">
        <v>4833</v>
      </c>
      <c r="X2806" s="80" t="str">
        <f>HYPERLINK("https://einvestidor.estadao.com.br/ultimas/ibovespa-hoje-fecha-queda-recuo-petrobras-petr3-petr4/?utm_source=twitter&amp;utm_medium=organic&amp;utm_campaign=&amp;utm_content=materia")</f>
        <v>https://einvestidor.estadao.com.br/ultimas/ibovespa-hoje-fecha-queda-recuo-petrobras-petr3-petr4/?utm_source=twitter&amp;utm_medium=organic&amp;utm_campaign=&amp;utm_content=materia</v>
      </c>
      <c r="Y2806" s="77" t="s">
        <v>6470</v>
      </c>
      <c r="Z2806" s="77"/>
      <c r="AA2806" s="77"/>
      <c r="AB2806" s="77"/>
      <c r="AC2806" s="82" t="s">
        <v>7750</v>
      </c>
      <c r="AD2806" s="77" t="s">
        <v>7788</v>
      </c>
      <c r="AE2806" s="80" t="str">
        <f>HYPERLINK("https://twitter.com/einvestidor/status/1698818219275108487")</f>
        <v>https://twitter.com/einvestidor/status/1698818219275108487</v>
      </c>
      <c r="AF2806" s="79">
        <v>45173.916666666664</v>
      </c>
      <c r="AG2806" s="85">
        <v>45173</v>
      </c>
      <c r="AH2806" s="82" t="s">
        <v>9577</v>
      </c>
      <c r="AI2806" s="77" t="b">
        <v>0</v>
      </c>
      <c r="AJ2806" s="77"/>
      <c r="AK2806" s="77"/>
      <c r="AL2806" s="77"/>
      <c r="AM2806" s="77"/>
      <c r="AN2806" s="77"/>
      <c r="AO2806" s="77"/>
      <c r="AP2806" s="77"/>
      <c r="AQ2806" s="77"/>
      <c r="AR2806" s="77"/>
      <c r="AS2806" s="77"/>
      <c r="AT2806" s="77"/>
      <c r="AU2806" s="77"/>
      <c r="AV2806" s="80" t="str">
        <f>HYPERLINK("https://pbs.twimg.com/profile_images/1241147984924082183/gZgx_hL-_normal.jpg")</f>
        <v>https://pbs.twimg.com/profile_images/1241147984924082183/gZgx_hL-_normal.jpg</v>
      </c>
      <c r="AW2806" s="82" t="s">
        <v>14402</v>
      </c>
      <c r="AX2806" s="82" t="s">
        <v>14402</v>
      </c>
      <c r="AY2806" s="77"/>
      <c r="AZ2806" s="82" t="s">
        <v>15984</v>
      </c>
      <c r="BA2806" s="82" t="s">
        <v>15984</v>
      </c>
      <c r="BB2806" s="82" t="s">
        <v>15984</v>
      </c>
      <c r="BC2806" s="82" t="s">
        <v>14402</v>
      </c>
      <c r="BD2806" s="82" t="s">
        <v>15979</v>
      </c>
      <c r="BE2806" s="77"/>
      <c r="BF2806" s="77"/>
      <c r="BG2806" s="77"/>
      <c r="BH2806" s="77"/>
      <c r="BI2806" s="77"/>
    </row>
    <row r="2807" spans="1:61" x14ac:dyDescent="0.25">
      <c r="A2807" s="62" t="s">
        <v>387</v>
      </c>
      <c r="B2807" s="62" t="s">
        <v>387</v>
      </c>
      <c r="C2807" s="63"/>
      <c r="D2807" s="64"/>
      <c r="E2807" s="65"/>
      <c r="F2807" s="66"/>
      <c r="G2807" s="63"/>
      <c r="H2807" s="67"/>
      <c r="I2807" s="68"/>
      <c r="J2807" s="68"/>
      <c r="K2807" s="32"/>
      <c r="L2807" s="75">
        <v>2807</v>
      </c>
      <c r="M2807" s="75"/>
      <c r="N2807" s="70"/>
      <c r="O2807" s="77" t="s">
        <v>179</v>
      </c>
      <c r="P2807" s="79">
        <v>45169.889108796298</v>
      </c>
      <c r="Q2807" s="77" t="s">
        <v>3479</v>
      </c>
      <c r="R2807" s="77">
        <v>0</v>
      </c>
      <c r="S2807" s="77">
        <v>1</v>
      </c>
      <c r="T2807" s="77">
        <v>0</v>
      </c>
      <c r="U2807" s="77">
        <v>0</v>
      </c>
      <c r="V2807" s="77">
        <v>614</v>
      </c>
      <c r="W2807" s="82" t="s">
        <v>6120</v>
      </c>
      <c r="X2807" s="80" t="str">
        <f>HYPERLINK("https://einvestidor.estadao.com.br/mercado/melhores-acoes-ibovespa-petz-petz3-3rpetroleum-rrrp3-petrorio-prio3/?utm_source=twitter&amp;utm_medium=organic&amp;utm_campaign=&amp;utm_content=materia")</f>
        <v>https://einvestidor.estadao.com.br/mercado/melhores-acoes-ibovespa-petz-petz3-3rpetroleum-rrrp3-petrorio-prio3/?utm_source=twitter&amp;utm_medium=organic&amp;utm_campaign=&amp;utm_content=materia</v>
      </c>
      <c r="Y2807" s="77" t="s">
        <v>6470</v>
      </c>
      <c r="Z2807" s="77"/>
      <c r="AA2807" s="77"/>
      <c r="AB2807" s="77"/>
      <c r="AC2807" s="82" t="s">
        <v>7750</v>
      </c>
      <c r="AD2807" s="77" t="s">
        <v>7788</v>
      </c>
      <c r="AE2807" s="80" t="str">
        <f>HYPERLINK("https://twitter.com/einvestidor/status/1697358679878623359")</f>
        <v>https://twitter.com/einvestidor/status/1697358679878623359</v>
      </c>
      <c r="AF2807" s="79">
        <v>45169.889108796298</v>
      </c>
      <c r="AG2807" s="85">
        <v>45169</v>
      </c>
      <c r="AH2807" s="82" t="s">
        <v>9830</v>
      </c>
      <c r="AI2807" s="77" t="b">
        <v>0</v>
      </c>
      <c r="AJ2807" s="77"/>
      <c r="AK2807" s="77"/>
      <c r="AL2807" s="77"/>
      <c r="AM2807" s="77"/>
      <c r="AN2807" s="77"/>
      <c r="AO2807" s="77"/>
      <c r="AP2807" s="77"/>
      <c r="AQ2807" s="77"/>
      <c r="AR2807" s="77"/>
      <c r="AS2807" s="77"/>
      <c r="AT2807" s="77"/>
      <c r="AU2807" s="77"/>
      <c r="AV2807" s="80" t="str">
        <f>HYPERLINK("https://pbs.twimg.com/profile_images/1241147984924082183/gZgx_hL-_normal.jpg")</f>
        <v>https://pbs.twimg.com/profile_images/1241147984924082183/gZgx_hL-_normal.jpg</v>
      </c>
      <c r="AW2807" s="82" t="s">
        <v>14403</v>
      </c>
      <c r="AX2807" s="82" t="s">
        <v>14403</v>
      </c>
      <c r="AY2807" s="77"/>
      <c r="AZ2807" s="82" t="s">
        <v>15984</v>
      </c>
      <c r="BA2807" s="82" t="s">
        <v>15984</v>
      </c>
      <c r="BB2807" s="82" t="s">
        <v>15984</v>
      </c>
      <c r="BC2807" s="82" t="s">
        <v>14403</v>
      </c>
      <c r="BD2807" s="82" t="s">
        <v>15979</v>
      </c>
      <c r="BE2807" s="77"/>
      <c r="BF2807" s="77"/>
      <c r="BG2807" s="77"/>
      <c r="BH2807" s="77"/>
      <c r="BI2807" s="77"/>
    </row>
    <row r="2808" spans="1:61" x14ac:dyDescent="0.25">
      <c r="A2808" s="62" t="s">
        <v>387</v>
      </c>
      <c r="B2808" s="62" t="s">
        <v>387</v>
      </c>
      <c r="C2808" s="63"/>
      <c r="D2808" s="64"/>
      <c r="E2808" s="65"/>
      <c r="F2808" s="66"/>
      <c r="G2808" s="63"/>
      <c r="H2808" s="67"/>
      <c r="I2808" s="68"/>
      <c r="J2808" s="68"/>
      <c r="K2808" s="32"/>
      <c r="L2808" s="75">
        <v>2808</v>
      </c>
      <c r="M2808" s="75"/>
      <c r="N2808" s="70"/>
      <c r="O2808" s="77" t="s">
        <v>898</v>
      </c>
      <c r="P2808" s="79">
        <v>45169.884398148148</v>
      </c>
      <c r="Q2808" s="77" t="s">
        <v>3480</v>
      </c>
      <c r="R2808" s="77">
        <v>0</v>
      </c>
      <c r="S2808" s="77">
        <v>0</v>
      </c>
      <c r="T2808" s="77">
        <v>0</v>
      </c>
      <c r="U2808" s="77">
        <v>0</v>
      </c>
      <c r="V2808" s="77">
        <v>449</v>
      </c>
      <c r="W2808" s="82" t="s">
        <v>6121</v>
      </c>
      <c r="X2808" s="80" t="str">
        <f>HYPERLINK("https://einvestidor.estadao.com.br/mercado/acoes-menos-rentaveis-ibovespa-agosto/?utm_source=twitter&amp;utm_medium=organic&amp;utm_campaign=&amp;utm_content=materia")</f>
        <v>https://einvestidor.estadao.com.br/mercado/acoes-menos-rentaveis-ibovespa-agosto/?utm_source=twitter&amp;utm_medium=organic&amp;utm_campaign=&amp;utm_content=materia</v>
      </c>
      <c r="Y2808" s="77" t="s">
        <v>6470</v>
      </c>
      <c r="Z2808" s="77"/>
      <c r="AA2808" s="77"/>
      <c r="AB2808" s="77"/>
      <c r="AC2808" s="82" t="s">
        <v>7750</v>
      </c>
      <c r="AD2808" s="77" t="s">
        <v>7788</v>
      </c>
      <c r="AE2808" s="80" t="str">
        <f>HYPERLINK("https://twitter.com/einvestidor/status/1697356974269104562")</f>
        <v>https://twitter.com/einvestidor/status/1697356974269104562</v>
      </c>
      <c r="AF2808" s="79">
        <v>45169.884398148148</v>
      </c>
      <c r="AG2808" s="85">
        <v>45169</v>
      </c>
      <c r="AH2808" s="82" t="s">
        <v>9831</v>
      </c>
      <c r="AI2808" s="77" t="b">
        <v>0</v>
      </c>
      <c r="AJ2808" s="77"/>
      <c r="AK2808" s="77"/>
      <c r="AL2808" s="77"/>
      <c r="AM2808" s="77"/>
      <c r="AN2808" s="77"/>
      <c r="AO2808" s="77"/>
      <c r="AP2808" s="77"/>
      <c r="AQ2808" s="77"/>
      <c r="AR2808" s="77"/>
      <c r="AS2808" s="77"/>
      <c r="AT2808" s="77"/>
      <c r="AU2808" s="77"/>
      <c r="AV2808" s="80" t="str">
        <f>HYPERLINK("https://pbs.twimg.com/profile_images/1241147984924082183/gZgx_hL-_normal.jpg")</f>
        <v>https://pbs.twimg.com/profile_images/1241147984924082183/gZgx_hL-_normal.jpg</v>
      </c>
      <c r="AW2808" s="82" t="s">
        <v>14404</v>
      </c>
      <c r="AX2808" s="82" t="s">
        <v>14405</v>
      </c>
      <c r="AY2808" s="82" t="s">
        <v>15979</v>
      </c>
      <c r="AZ2808" s="82" t="s">
        <v>14405</v>
      </c>
      <c r="BA2808" s="82" t="s">
        <v>15984</v>
      </c>
      <c r="BB2808" s="82" t="s">
        <v>15984</v>
      </c>
      <c r="BC2808" s="82" t="s">
        <v>14405</v>
      </c>
      <c r="BD2808" s="82" t="s">
        <v>15979</v>
      </c>
      <c r="BE2808" s="77"/>
      <c r="BF2808" s="77"/>
      <c r="BG2808" s="77"/>
      <c r="BH2808" s="77"/>
      <c r="BI2808" s="77"/>
    </row>
    <row r="2809" spans="1:61" x14ac:dyDescent="0.25">
      <c r="A2809" s="62" t="s">
        <v>387</v>
      </c>
      <c r="B2809" s="62" t="s">
        <v>387</v>
      </c>
      <c r="C2809" s="63"/>
      <c r="D2809" s="64"/>
      <c r="E2809" s="65"/>
      <c r="F2809" s="66"/>
      <c r="G2809" s="63"/>
      <c r="H2809" s="67"/>
      <c r="I2809" s="68"/>
      <c r="J2809" s="68"/>
      <c r="K2809" s="32"/>
      <c r="L2809" s="75">
        <v>2809</v>
      </c>
      <c r="M2809" s="75"/>
      <c r="N2809" s="70"/>
      <c r="O2809" s="77" t="s">
        <v>179</v>
      </c>
      <c r="P2809" s="79">
        <v>45169.882557870369</v>
      </c>
      <c r="Q2809" s="77" t="s">
        <v>3481</v>
      </c>
      <c r="R2809" s="77">
        <v>0</v>
      </c>
      <c r="S2809" s="77">
        <v>1</v>
      </c>
      <c r="T2809" s="77">
        <v>1</v>
      </c>
      <c r="U2809" s="77">
        <v>0</v>
      </c>
      <c r="V2809" s="77">
        <v>657</v>
      </c>
      <c r="W2809" s="82" t="s">
        <v>4833</v>
      </c>
      <c r="X2809" s="80" t="str">
        <f>HYPERLINK("https://einvestidor.estadao.com.br/mercado/acoes-mais-rentaveis-ibovespa-agosto-2023/?utm_source=twitter&amp;utm_medium=organic&amp;utm_campaign=melhores-acoes-agosto&amp;utm_content=materia")</f>
        <v>https://einvestidor.estadao.com.br/mercado/acoes-mais-rentaveis-ibovespa-agosto-2023/?utm_source=twitter&amp;utm_medium=organic&amp;utm_campaign=melhores-acoes-agosto&amp;utm_content=materia</v>
      </c>
      <c r="Y2809" s="77" t="s">
        <v>6470</v>
      </c>
      <c r="Z2809" s="77"/>
      <c r="AA2809" s="77"/>
      <c r="AB2809" s="77"/>
      <c r="AC2809" s="82" t="s">
        <v>7750</v>
      </c>
      <c r="AD2809" s="77" t="s">
        <v>7788</v>
      </c>
      <c r="AE2809" s="80" t="str">
        <f>HYPERLINK("https://twitter.com/einvestidor/status/1697356304728137890")</f>
        <v>https://twitter.com/einvestidor/status/1697356304728137890</v>
      </c>
      <c r="AF2809" s="79">
        <v>45169.882557870369</v>
      </c>
      <c r="AG2809" s="85">
        <v>45169</v>
      </c>
      <c r="AH2809" s="82" t="s">
        <v>9832</v>
      </c>
      <c r="AI2809" s="77" t="b">
        <v>0</v>
      </c>
      <c r="AJ2809" s="77"/>
      <c r="AK2809" s="77"/>
      <c r="AL2809" s="77"/>
      <c r="AM2809" s="77"/>
      <c r="AN2809" s="77"/>
      <c r="AO2809" s="77"/>
      <c r="AP2809" s="77"/>
      <c r="AQ2809" s="77"/>
      <c r="AR2809" s="77"/>
      <c r="AS2809" s="77"/>
      <c r="AT2809" s="77"/>
      <c r="AU2809" s="77"/>
      <c r="AV2809" s="80" t="str">
        <f>HYPERLINK("https://pbs.twimg.com/profile_images/1241147984924082183/gZgx_hL-_normal.jpg")</f>
        <v>https://pbs.twimg.com/profile_images/1241147984924082183/gZgx_hL-_normal.jpg</v>
      </c>
      <c r="AW2809" s="82" t="s">
        <v>14405</v>
      </c>
      <c r="AX2809" s="82" t="s">
        <v>14405</v>
      </c>
      <c r="AY2809" s="77"/>
      <c r="AZ2809" s="82" t="s">
        <v>15984</v>
      </c>
      <c r="BA2809" s="82" t="s">
        <v>15984</v>
      </c>
      <c r="BB2809" s="82" t="s">
        <v>15984</v>
      </c>
      <c r="BC2809" s="82" t="s">
        <v>14405</v>
      </c>
      <c r="BD2809" s="82" t="s">
        <v>15979</v>
      </c>
      <c r="BE2809" s="77"/>
      <c r="BF2809" s="77"/>
      <c r="BG2809" s="77"/>
      <c r="BH2809" s="77"/>
      <c r="BI2809" s="77"/>
    </row>
    <row r="2810" spans="1:61" x14ac:dyDescent="0.25">
      <c r="A2810" s="62" t="s">
        <v>387</v>
      </c>
      <c r="B2810" s="62" t="s">
        <v>387</v>
      </c>
      <c r="C2810" s="63"/>
      <c r="D2810" s="64"/>
      <c r="E2810" s="65"/>
      <c r="F2810" s="66"/>
      <c r="G2810" s="63"/>
      <c r="H2810" s="67"/>
      <c r="I2810" s="68"/>
      <c r="J2810" s="68"/>
      <c r="K2810" s="32"/>
      <c r="L2810" s="75">
        <v>2810</v>
      </c>
      <c r="M2810" s="75"/>
      <c r="N2810" s="70"/>
      <c r="O2810" s="77" t="s">
        <v>179</v>
      </c>
      <c r="P2810" s="79">
        <v>45169.875</v>
      </c>
      <c r="Q2810" s="77" t="s">
        <v>3482</v>
      </c>
      <c r="R2810" s="77">
        <v>0</v>
      </c>
      <c r="S2810" s="77">
        <v>1</v>
      </c>
      <c r="T2810" s="77">
        <v>0</v>
      </c>
      <c r="U2810" s="77">
        <v>0</v>
      </c>
      <c r="V2810" s="77">
        <v>412</v>
      </c>
      <c r="W2810" s="82" t="s">
        <v>6122</v>
      </c>
      <c r="X2810" s="80" t="str">
        <f>HYPERLINK("https://einvestidor.estadao.com.br/noticias/fim-jcp-especialistas-avaliam/?utm_source=twitter&amp;utm_medium=organic&amp;utm_campaign=&amp;utm_content=materia")</f>
        <v>https://einvestidor.estadao.com.br/noticias/fim-jcp-especialistas-avaliam/?utm_source=twitter&amp;utm_medium=organic&amp;utm_campaign=&amp;utm_content=materia</v>
      </c>
      <c r="Y2810" s="77" t="s">
        <v>6470</v>
      </c>
      <c r="Z2810" s="77"/>
      <c r="AA2810" s="77"/>
      <c r="AB2810" s="77"/>
      <c r="AC2810" s="82" t="s">
        <v>7750</v>
      </c>
      <c r="AD2810" s="77" t="s">
        <v>7788</v>
      </c>
      <c r="AE2810" s="80" t="str">
        <f>HYPERLINK("https://twitter.com/einvestidor/status/1697353567240142863")</f>
        <v>https://twitter.com/einvestidor/status/1697353567240142863</v>
      </c>
      <c r="AF2810" s="79">
        <v>45169.875</v>
      </c>
      <c r="AG2810" s="85">
        <v>45169</v>
      </c>
      <c r="AH2810" s="82" t="s">
        <v>9647</v>
      </c>
      <c r="AI2810" s="77" t="b">
        <v>0</v>
      </c>
      <c r="AJ2810" s="77"/>
      <c r="AK2810" s="77"/>
      <c r="AL2810" s="77"/>
      <c r="AM2810" s="77"/>
      <c r="AN2810" s="77"/>
      <c r="AO2810" s="77"/>
      <c r="AP2810" s="77"/>
      <c r="AQ2810" s="77"/>
      <c r="AR2810" s="77"/>
      <c r="AS2810" s="77"/>
      <c r="AT2810" s="77"/>
      <c r="AU2810" s="77"/>
      <c r="AV2810" s="80" t="str">
        <f>HYPERLINK("https://pbs.twimg.com/profile_images/1241147984924082183/gZgx_hL-_normal.jpg")</f>
        <v>https://pbs.twimg.com/profile_images/1241147984924082183/gZgx_hL-_normal.jpg</v>
      </c>
      <c r="AW2810" s="82" t="s">
        <v>14406</v>
      </c>
      <c r="AX2810" s="82" t="s">
        <v>14406</v>
      </c>
      <c r="AY2810" s="77"/>
      <c r="AZ2810" s="82" t="s">
        <v>15984</v>
      </c>
      <c r="BA2810" s="82" t="s">
        <v>15984</v>
      </c>
      <c r="BB2810" s="82" t="s">
        <v>15984</v>
      </c>
      <c r="BC2810" s="82" t="s">
        <v>14406</v>
      </c>
      <c r="BD2810" s="82" t="s">
        <v>15979</v>
      </c>
      <c r="BE2810" s="77"/>
      <c r="BF2810" s="77"/>
      <c r="BG2810" s="77"/>
      <c r="BH2810" s="77"/>
      <c r="BI2810" s="77"/>
    </row>
    <row r="2811" spans="1:61" x14ac:dyDescent="0.25">
      <c r="A2811" s="62" t="s">
        <v>387</v>
      </c>
      <c r="B2811" s="62" t="s">
        <v>387</v>
      </c>
      <c r="C2811" s="63"/>
      <c r="D2811" s="64"/>
      <c r="E2811" s="65"/>
      <c r="F2811" s="66"/>
      <c r="G2811" s="63"/>
      <c r="H2811" s="67"/>
      <c r="I2811" s="68"/>
      <c r="J2811" s="68"/>
      <c r="K2811" s="32"/>
      <c r="L2811" s="75">
        <v>2811</v>
      </c>
      <c r="M2811" s="75"/>
      <c r="N2811" s="70"/>
      <c r="O2811" s="77" t="s">
        <v>179</v>
      </c>
      <c r="P2811" s="79">
        <v>45169.864583333336</v>
      </c>
      <c r="Q2811" s="77" t="s">
        <v>3483</v>
      </c>
      <c r="R2811" s="77">
        <v>0</v>
      </c>
      <c r="S2811" s="77">
        <v>1</v>
      </c>
      <c r="T2811" s="77">
        <v>0</v>
      </c>
      <c r="U2811" s="77">
        <v>0</v>
      </c>
      <c r="V2811" s="77">
        <v>604</v>
      </c>
      <c r="W2811" s="82" t="s">
        <v>4833</v>
      </c>
      <c r="X2811" s="80" t="str">
        <f>HYPERLINK("https://einvestidor.estadao.com.br/ultimas/em-projeto-de-lei-casa-civil-extingue-jcp-a-partir-de-2024/?utm_source=twitter&amp;utm_medium=organic&amp;utm_campaign=&amp;utm_content=materia")</f>
        <v>https://einvestidor.estadao.com.br/ultimas/em-projeto-de-lei-casa-civil-extingue-jcp-a-partir-de-2024/?utm_source=twitter&amp;utm_medium=organic&amp;utm_campaign=&amp;utm_content=materia</v>
      </c>
      <c r="Y2811" s="77" t="s">
        <v>6470</v>
      </c>
      <c r="Z2811" s="77"/>
      <c r="AA2811" s="77"/>
      <c r="AB2811" s="77"/>
      <c r="AC2811" s="82" t="s">
        <v>7750</v>
      </c>
      <c r="AD2811" s="77" t="s">
        <v>7788</v>
      </c>
      <c r="AE2811" s="80" t="str">
        <f>HYPERLINK("https://twitter.com/einvestidor/status/1697349792043561103")</f>
        <v>https://twitter.com/einvestidor/status/1697349792043561103</v>
      </c>
      <c r="AF2811" s="79">
        <v>45169.864583333336</v>
      </c>
      <c r="AG2811" s="85">
        <v>45169</v>
      </c>
      <c r="AH2811" s="82" t="s">
        <v>9596</v>
      </c>
      <c r="AI2811" s="77" t="b">
        <v>0</v>
      </c>
      <c r="AJ2811" s="77"/>
      <c r="AK2811" s="77"/>
      <c r="AL2811" s="77"/>
      <c r="AM2811" s="77"/>
      <c r="AN2811" s="77"/>
      <c r="AO2811" s="77"/>
      <c r="AP2811" s="77"/>
      <c r="AQ2811" s="77"/>
      <c r="AR2811" s="77"/>
      <c r="AS2811" s="77"/>
      <c r="AT2811" s="77"/>
      <c r="AU2811" s="77"/>
      <c r="AV2811" s="80" t="str">
        <f>HYPERLINK("https://pbs.twimg.com/profile_images/1241147984924082183/gZgx_hL-_normal.jpg")</f>
        <v>https://pbs.twimg.com/profile_images/1241147984924082183/gZgx_hL-_normal.jpg</v>
      </c>
      <c r="AW2811" s="82" t="s">
        <v>14407</v>
      </c>
      <c r="AX2811" s="82" t="s">
        <v>14407</v>
      </c>
      <c r="AY2811" s="77"/>
      <c r="AZ2811" s="82" t="s">
        <v>15984</v>
      </c>
      <c r="BA2811" s="82" t="s">
        <v>15984</v>
      </c>
      <c r="BB2811" s="82" t="s">
        <v>15984</v>
      </c>
      <c r="BC2811" s="82" t="s">
        <v>14407</v>
      </c>
      <c r="BD2811" s="82" t="s">
        <v>15979</v>
      </c>
      <c r="BE2811" s="77"/>
      <c r="BF2811" s="77"/>
      <c r="BG2811" s="77"/>
      <c r="BH2811" s="77"/>
      <c r="BI2811" s="77"/>
    </row>
    <row r="2812" spans="1:61" x14ac:dyDescent="0.25">
      <c r="A2812" s="62" t="s">
        <v>387</v>
      </c>
      <c r="B2812" s="62" t="s">
        <v>387</v>
      </c>
      <c r="C2812" s="63"/>
      <c r="D2812" s="64"/>
      <c r="E2812" s="65"/>
      <c r="F2812" s="66"/>
      <c r="G2812" s="63"/>
      <c r="H2812" s="67"/>
      <c r="I2812" s="68"/>
      <c r="J2812" s="68"/>
      <c r="K2812" s="32"/>
      <c r="L2812" s="75">
        <v>2812</v>
      </c>
      <c r="M2812" s="75"/>
      <c r="N2812" s="70"/>
      <c r="O2812" s="77" t="s">
        <v>179</v>
      </c>
      <c r="P2812" s="79">
        <v>45169.854166666664</v>
      </c>
      <c r="Q2812" s="77" t="s">
        <v>3484</v>
      </c>
      <c r="R2812" s="77">
        <v>0</v>
      </c>
      <c r="S2812" s="77">
        <v>0</v>
      </c>
      <c r="T2812" s="77">
        <v>1</v>
      </c>
      <c r="U2812" s="77">
        <v>0</v>
      </c>
      <c r="V2812" s="77">
        <v>507</v>
      </c>
      <c r="W2812" s="82" t="s">
        <v>4833</v>
      </c>
      <c r="X2812" s="80" t="str">
        <f>HYPERLINK("https://einvestidor.estadao.com.br/educacao-financeira/restituicao-imposto-de-renda-2023-por-que-nao-caiu-na-conta/?utm_source=twitter&amp;utm_medium=organic&amp;utm_campaign=&amp;utm_content=materia")</f>
        <v>https://einvestidor.estadao.com.br/educacao-financeira/restituicao-imposto-de-renda-2023-por-que-nao-caiu-na-conta/?utm_source=twitter&amp;utm_medium=organic&amp;utm_campaign=&amp;utm_content=materia</v>
      </c>
      <c r="Y2812" s="77" t="s">
        <v>6470</v>
      </c>
      <c r="Z2812" s="77"/>
      <c r="AA2812" s="77"/>
      <c r="AB2812" s="77"/>
      <c r="AC2812" s="82" t="s">
        <v>7750</v>
      </c>
      <c r="AD2812" s="77" t="s">
        <v>7788</v>
      </c>
      <c r="AE2812" s="80" t="str">
        <f>HYPERLINK("https://twitter.com/einvestidor/status/1697346016587165825")</f>
        <v>https://twitter.com/einvestidor/status/1697346016587165825</v>
      </c>
      <c r="AF2812" s="79">
        <v>45169.854166666664</v>
      </c>
      <c r="AG2812" s="85">
        <v>45169</v>
      </c>
      <c r="AH2812" s="82" t="s">
        <v>8090</v>
      </c>
      <c r="AI2812" s="77" t="b">
        <v>0</v>
      </c>
      <c r="AJ2812" s="77"/>
      <c r="AK2812" s="77"/>
      <c r="AL2812" s="77"/>
      <c r="AM2812" s="77"/>
      <c r="AN2812" s="77"/>
      <c r="AO2812" s="77"/>
      <c r="AP2812" s="77"/>
      <c r="AQ2812" s="77"/>
      <c r="AR2812" s="77"/>
      <c r="AS2812" s="77"/>
      <c r="AT2812" s="77"/>
      <c r="AU2812" s="77"/>
      <c r="AV2812" s="80" t="str">
        <f>HYPERLINK("https://pbs.twimg.com/profile_images/1241147984924082183/gZgx_hL-_normal.jpg")</f>
        <v>https://pbs.twimg.com/profile_images/1241147984924082183/gZgx_hL-_normal.jpg</v>
      </c>
      <c r="AW2812" s="82" t="s">
        <v>14408</v>
      </c>
      <c r="AX2812" s="82" t="s">
        <v>14408</v>
      </c>
      <c r="AY2812" s="77"/>
      <c r="AZ2812" s="82" t="s">
        <v>15984</v>
      </c>
      <c r="BA2812" s="82" t="s">
        <v>15984</v>
      </c>
      <c r="BB2812" s="82" t="s">
        <v>15984</v>
      </c>
      <c r="BC2812" s="82" t="s">
        <v>14408</v>
      </c>
      <c r="BD2812" s="82" t="s">
        <v>15979</v>
      </c>
      <c r="BE2812" s="77"/>
      <c r="BF2812" s="77"/>
      <c r="BG2812" s="77"/>
      <c r="BH2812" s="77"/>
      <c r="BI2812" s="77"/>
    </row>
    <row r="2813" spans="1:61" x14ac:dyDescent="0.25">
      <c r="A2813" s="62" t="s">
        <v>387</v>
      </c>
      <c r="B2813" s="62" t="s">
        <v>387</v>
      </c>
      <c r="C2813" s="63"/>
      <c r="D2813" s="64"/>
      <c r="E2813" s="65"/>
      <c r="F2813" s="66"/>
      <c r="G2813" s="63"/>
      <c r="H2813" s="67"/>
      <c r="I2813" s="68"/>
      <c r="J2813" s="68"/>
      <c r="K2813" s="32"/>
      <c r="L2813" s="75">
        <v>2813</v>
      </c>
      <c r="M2813" s="75"/>
      <c r="N2813" s="70"/>
      <c r="O2813" s="77" t="s">
        <v>179</v>
      </c>
      <c r="P2813" s="79">
        <v>45167.733101851853</v>
      </c>
      <c r="Q2813" s="77" t="s">
        <v>3485</v>
      </c>
      <c r="R2813" s="77">
        <v>0</v>
      </c>
      <c r="S2813" s="77">
        <v>1</v>
      </c>
      <c r="T2813" s="77">
        <v>0</v>
      </c>
      <c r="U2813" s="77">
        <v>0</v>
      </c>
      <c r="V2813" s="77">
        <v>434</v>
      </c>
      <c r="W2813" s="82" t="s">
        <v>4833</v>
      </c>
      <c r="X2813" s="80" t="str">
        <f>HYPERLINK("https://einvestidor.estadao.com.br/mercado/mercado-intraday-29-08-2023/?utm_source=twitter&amp;utm_medium=organic&amp;utm_campaign=&amp;utm_content=materia")</f>
        <v>https://einvestidor.estadao.com.br/mercado/mercado-intraday-29-08-2023/?utm_source=twitter&amp;utm_medium=organic&amp;utm_campaign=&amp;utm_content=materia</v>
      </c>
      <c r="Y2813" s="77" t="s">
        <v>6470</v>
      </c>
      <c r="Z2813" s="77"/>
      <c r="AA2813" s="77"/>
      <c r="AB2813" s="77"/>
      <c r="AC2813" s="82" t="s">
        <v>7750</v>
      </c>
      <c r="AD2813" s="77" t="s">
        <v>7788</v>
      </c>
      <c r="AE2813" s="80" t="str">
        <f>HYPERLINK("https://twitter.com/einvestidor/status/1696577370268791204")</f>
        <v>https://twitter.com/einvestidor/status/1696577370268791204</v>
      </c>
      <c r="AF2813" s="79">
        <v>45167.733101851853</v>
      </c>
      <c r="AG2813" s="85">
        <v>45167</v>
      </c>
      <c r="AH2813" s="82" t="s">
        <v>9833</v>
      </c>
      <c r="AI2813" s="77" t="b">
        <v>0</v>
      </c>
      <c r="AJ2813" s="77"/>
      <c r="AK2813" s="77"/>
      <c r="AL2813" s="77"/>
      <c r="AM2813" s="77"/>
      <c r="AN2813" s="77"/>
      <c r="AO2813" s="77"/>
      <c r="AP2813" s="77"/>
      <c r="AQ2813" s="77"/>
      <c r="AR2813" s="77"/>
      <c r="AS2813" s="77"/>
      <c r="AT2813" s="77"/>
      <c r="AU2813" s="77"/>
      <c r="AV2813" s="80" t="str">
        <f>HYPERLINK("https://pbs.twimg.com/profile_images/1241147984924082183/gZgx_hL-_normal.jpg")</f>
        <v>https://pbs.twimg.com/profile_images/1241147984924082183/gZgx_hL-_normal.jpg</v>
      </c>
      <c r="AW2813" s="82" t="s">
        <v>14409</v>
      </c>
      <c r="AX2813" s="82" t="s">
        <v>14409</v>
      </c>
      <c r="AY2813" s="77"/>
      <c r="AZ2813" s="82" t="s">
        <v>15984</v>
      </c>
      <c r="BA2813" s="82" t="s">
        <v>15984</v>
      </c>
      <c r="BB2813" s="82" t="s">
        <v>15984</v>
      </c>
      <c r="BC2813" s="82" t="s">
        <v>14409</v>
      </c>
      <c r="BD2813" s="82" t="s">
        <v>15979</v>
      </c>
      <c r="BE2813" s="77"/>
      <c r="BF2813" s="77"/>
      <c r="BG2813" s="77"/>
      <c r="BH2813" s="77"/>
      <c r="BI2813" s="77"/>
    </row>
    <row r="2814" spans="1:61" x14ac:dyDescent="0.25">
      <c r="A2814" s="62" t="s">
        <v>387</v>
      </c>
      <c r="B2814" s="62" t="s">
        <v>387</v>
      </c>
      <c r="C2814" s="63"/>
      <c r="D2814" s="64"/>
      <c r="E2814" s="65"/>
      <c r="F2814" s="66"/>
      <c r="G2814" s="63"/>
      <c r="H2814" s="67"/>
      <c r="I2814" s="68"/>
      <c r="J2814" s="68"/>
      <c r="K2814" s="32"/>
      <c r="L2814" s="75">
        <v>2814</v>
      </c>
      <c r="M2814" s="75"/>
      <c r="N2814" s="70"/>
      <c r="O2814" s="77" t="s">
        <v>179</v>
      </c>
      <c r="P2814" s="79">
        <v>45167.729166666664</v>
      </c>
      <c r="Q2814" s="77" t="s">
        <v>3486</v>
      </c>
      <c r="R2814" s="77">
        <v>0</v>
      </c>
      <c r="S2814" s="77">
        <v>2</v>
      </c>
      <c r="T2814" s="77">
        <v>0</v>
      </c>
      <c r="U2814" s="77">
        <v>0</v>
      </c>
      <c r="V2814" s="77">
        <v>457</v>
      </c>
      <c r="W2814" s="82" t="s">
        <v>6123</v>
      </c>
      <c r="X2814" s="80" t="str">
        <f>HYPERLINK("https://einvestidor.estadao.com.br/ultimas/ubs-corta-preco-alvo-braskem-brkm5/?utm_source=twitter&amp;utm_medium=organic&amp;utm_campaign=&amp;utm_content=materia")</f>
        <v>https://einvestidor.estadao.com.br/ultimas/ubs-corta-preco-alvo-braskem-brkm5/?utm_source=twitter&amp;utm_medium=organic&amp;utm_campaign=&amp;utm_content=materia</v>
      </c>
      <c r="Y2814" s="77" t="s">
        <v>6470</v>
      </c>
      <c r="Z2814" s="77"/>
      <c r="AA2814" s="77"/>
      <c r="AB2814" s="77"/>
      <c r="AC2814" s="82" t="s">
        <v>7750</v>
      </c>
      <c r="AD2814" s="77" t="s">
        <v>7788</v>
      </c>
      <c r="AE2814" s="80" t="str">
        <f>HYPERLINK("https://twitter.com/einvestidor/status/1696575943555621219")</f>
        <v>https://twitter.com/einvestidor/status/1696575943555621219</v>
      </c>
      <c r="AF2814" s="79">
        <v>45167.729166666664</v>
      </c>
      <c r="AG2814" s="85">
        <v>45167</v>
      </c>
      <c r="AH2814" s="82" t="s">
        <v>8091</v>
      </c>
      <c r="AI2814" s="77" t="b">
        <v>0</v>
      </c>
      <c r="AJ2814" s="77"/>
      <c r="AK2814" s="77"/>
      <c r="AL2814" s="77"/>
      <c r="AM2814" s="77"/>
      <c r="AN2814" s="77"/>
      <c r="AO2814" s="77"/>
      <c r="AP2814" s="77"/>
      <c r="AQ2814" s="77"/>
      <c r="AR2814" s="77"/>
      <c r="AS2814" s="77"/>
      <c r="AT2814" s="77"/>
      <c r="AU2814" s="77"/>
      <c r="AV2814" s="80" t="str">
        <f>HYPERLINK("https://pbs.twimg.com/profile_images/1241147984924082183/gZgx_hL-_normal.jpg")</f>
        <v>https://pbs.twimg.com/profile_images/1241147984924082183/gZgx_hL-_normal.jpg</v>
      </c>
      <c r="AW2814" s="82" t="s">
        <v>14410</v>
      </c>
      <c r="AX2814" s="82" t="s">
        <v>14410</v>
      </c>
      <c r="AY2814" s="77"/>
      <c r="AZ2814" s="82" t="s">
        <v>15984</v>
      </c>
      <c r="BA2814" s="82" t="s">
        <v>15984</v>
      </c>
      <c r="BB2814" s="82" t="s">
        <v>15984</v>
      </c>
      <c r="BC2814" s="82" t="s">
        <v>14410</v>
      </c>
      <c r="BD2814" s="82" t="s">
        <v>15979</v>
      </c>
      <c r="BE2814" s="77"/>
      <c r="BF2814" s="77"/>
      <c r="BG2814" s="77"/>
      <c r="BH2814" s="77"/>
      <c r="BI2814" s="77"/>
    </row>
    <row r="2815" spans="1:61" x14ac:dyDescent="0.25">
      <c r="A2815" s="62" t="s">
        <v>387</v>
      </c>
      <c r="B2815" s="62" t="s">
        <v>387</v>
      </c>
      <c r="C2815" s="63"/>
      <c r="D2815" s="64"/>
      <c r="E2815" s="65"/>
      <c r="F2815" s="66"/>
      <c r="G2815" s="63"/>
      <c r="H2815" s="67"/>
      <c r="I2815" s="68"/>
      <c r="J2815" s="68"/>
      <c r="K2815" s="32"/>
      <c r="L2815" s="75">
        <v>2815</v>
      </c>
      <c r="M2815" s="75"/>
      <c r="N2815" s="70"/>
      <c r="O2815" s="77" t="s">
        <v>179</v>
      </c>
      <c r="P2815" s="79">
        <v>45160.885416666664</v>
      </c>
      <c r="Q2815" s="77" t="s">
        <v>3487</v>
      </c>
      <c r="R2815" s="77">
        <v>1</v>
      </c>
      <c r="S2815" s="77">
        <v>1</v>
      </c>
      <c r="T2815" s="77">
        <v>0</v>
      </c>
      <c r="U2815" s="77">
        <v>0</v>
      </c>
      <c r="V2815" s="77">
        <v>552</v>
      </c>
      <c r="W2815" s="82" t="s">
        <v>6124</v>
      </c>
      <c r="X2815" s="80" t="str">
        <f>HYPERLINK("https://mla.bs/42151692")</f>
        <v>https://mla.bs/42151692</v>
      </c>
      <c r="Y2815" s="77" t="s">
        <v>6506</v>
      </c>
      <c r="Z2815" s="77"/>
      <c r="AA2815" s="77"/>
      <c r="AB2815" s="77"/>
      <c r="AC2815" s="82" t="s">
        <v>7750</v>
      </c>
      <c r="AD2815" s="77" t="s">
        <v>7788</v>
      </c>
      <c r="AE2815" s="80" t="str">
        <f>HYPERLINK("https://twitter.com/einvestidor/status/1694095850480288084")</f>
        <v>https://twitter.com/einvestidor/status/1694095850480288084</v>
      </c>
      <c r="AF2815" s="79">
        <v>45160.885416666664</v>
      </c>
      <c r="AG2815" s="85">
        <v>45160</v>
      </c>
      <c r="AH2815" s="82" t="s">
        <v>8206</v>
      </c>
      <c r="AI2815" s="77" t="b">
        <v>0</v>
      </c>
      <c r="AJ2815" s="77"/>
      <c r="AK2815" s="77"/>
      <c r="AL2815" s="77"/>
      <c r="AM2815" s="77"/>
      <c r="AN2815" s="77"/>
      <c r="AO2815" s="77"/>
      <c r="AP2815" s="77"/>
      <c r="AQ2815" s="77"/>
      <c r="AR2815" s="77"/>
      <c r="AS2815" s="77"/>
      <c r="AT2815" s="77"/>
      <c r="AU2815" s="77"/>
      <c r="AV2815" s="80" t="str">
        <f>HYPERLINK("https://pbs.twimg.com/profile_images/1241147984924082183/gZgx_hL-_normal.jpg")</f>
        <v>https://pbs.twimg.com/profile_images/1241147984924082183/gZgx_hL-_normal.jpg</v>
      </c>
      <c r="AW2815" s="82" t="s">
        <v>14411</v>
      </c>
      <c r="AX2815" s="82" t="s">
        <v>14411</v>
      </c>
      <c r="AY2815" s="77"/>
      <c r="AZ2815" s="82" t="s">
        <v>15984</v>
      </c>
      <c r="BA2815" s="82" t="s">
        <v>15984</v>
      </c>
      <c r="BB2815" s="82" t="s">
        <v>15984</v>
      </c>
      <c r="BC2815" s="82" t="s">
        <v>14411</v>
      </c>
      <c r="BD2815" s="82" t="s">
        <v>15979</v>
      </c>
      <c r="BE2815" s="77"/>
      <c r="BF2815" s="77"/>
      <c r="BG2815" s="77"/>
      <c r="BH2815" s="77"/>
      <c r="BI2815" s="77"/>
    </row>
    <row r="2816" spans="1:61" x14ac:dyDescent="0.25">
      <c r="A2816" s="62" t="s">
        <v>387</v>
      </c>
      <c r="B2816" s="62" t="s">
        <v>387</v>
      </c>
      <c r="C2816" s="63"/>
      <c r="D2816" s="64"/>
      <c r="E2816" s="65"/>
      <c r="F2816" s="66"/>
      <c r="G2816" s="63"/>
      <c r="H2816" s="67"/>
      <c r="I2816" s="68"/>
      <c r="J2816" s="68"/>
      <c r="K2816" s="32"/>
      <c r="L2816" s="75">
        <v>2816</v>
      </c>
      <c r="M2816" s="75"/>
      <c r="N2816" s="70"/>
      <c r="O2816" s="77" t="s">
        <v>179</v>
      </c>
      <c r="P2816" s="79">
        <v>45160.864583333336</v>
      </c>
      <c r="Q2816" s="77" t="s">
        <v>3488</v>
      </c>
      <c r="R2816" s="77">
        <v>0</v>
      </c>
      <c r="S2816" s="77">
        <v>1</v>
      </c>
      <c r="T2816" s="77">
        <v>0</v>
      </c>
      <c r="U2816" s="77">
        <v>0</v>
      </c>
      <c r="V2816" s="77">
        <v>555</v>
      </c>
      <c r="W2816" s="82" t="s">
        <v>4833</v>
      </c>
      <c r="X2816" s="80" t="str">
        <f>HYPERLINK("https://mla.bs/5a9907ce")</f>
        <v>https://mla.bs/5a9907ce</v>
      </c>
      <c r="Y2816" s="77" t="s">
        <v>6506</v>
      </c>
      <c r="Z2816" s="77"/>
      <c r="AA2816" s="77"/>
      <c r="AB2816" s="77"/>
      <c r="AC2816" s="82" t="s">
        <v>7750</v>
      </c>
      <c r="AD2816" s="77" t="s">
        <v>7788</v>
      </c>
      <c r="AE2816" s="80" t="str">
        <f>HYPERLINK("https://twitter.com/einvestidor/status/1694088300892676372")</f>
        <v>https://twitter.com/einvestidor/status/1694088300892676372</v>
      </c>
      <c r="AF2816" s="79">
        <v>45160.864583333336</v>
      </c>
      <c r="AG2816" s="85">
        <v>45160</v>
      </c>
      <c r="AH2816" s="82" t="s">
        <v>9596</v>
      </c>
      <c r="AI2816" s="77" t="b">
        <v>0</v>
      </c>
      <c r="AJ2816" s="77"/>
      <c r="AK2816" s="77"/>
      <c r="AL2816" s="77"/>
      <c r="AM2816" s="77"/>
      <c r="AN2816" s="77"/>
      <c r="AO2816" s="77"/>
      <c r="AP2816" s="77"/>
      <c r="AQ2816" s="77"/>
      <c r="AR2816" s="77"/>
      <c r="AS2816" s="77"/>
      <c r="AT2816" s="77"/>
      <c r="AU2816" s="77"/>
      <c r="AV2816" s="80" t="str">
        <f>HYPERLINK("https://pbs.twimg.com/profile_images/1241147984924082183/gZgx_hL-_normal.jpg")</f>
        <v>https://pbs.twimg.com/profile_images/1241147984924082183/gZgx_hL-_normal.jpg</v>
      </c>
      <c r="AW2816" s="82" t="s">
        <v>14412</v>
      </c>
      <c r="AX2816" s="82" t="s">
        <v>14412</v>
      </c>
      <c r="AY2816" s="77"/>
      <c r="AZ2816" s="82" t="s">
        <v>15984</v>
      </c>
      <c r="BA2816" s="82" t="s">
        <v>15984</v>
      </c>
      <c r="BB2816" s="82" t="s">
        <v>15984</v>
      </c>
      <c r="BC2816" s="82" t="s">
        <v>14412</v>
      </c>
      <c r="BD2816" s="82" t="s">
        <v>15979</v>
      </c>
      <c r="BE2816" s="77"/>
      <c r="BF2816" s="77"/>
      <c r="BG2816" s="77"/>
      <c r="BH2816" s="77"/>
      <c r="BI2816" s="77"/>
    </row>
    <row r="2817" spans="1:61" x14ac:dyDescent="0.25">
      <c r="A2817" s="62" t="s">
        <v>387</v>
      </c>
      <c r="B2817" s="62" t="s">
        <v>387</v>
      </c>
      <c r="C2817" s="63"/>
      <c r="D2817" s="64"/>
      <c r="E2817" s="65"/>
      <c r="F2817" s="66"/>
      <c r="G2817" s="63"/>
      <c r="H2817" s="67"/>
      <c r="I2817" s="68"/>
      <c r="J2817" s="68"/>
      <c r="K2817" s="32"/>
      <c r="L2817" s="75">
        <v>2817</v>
      </c>
      <c r="M2817" s="75"/>
      <c r="N2817" s="70"/>
      <c r="O2817" s="77" t="s">
        <v>179</v>
      </c>
      <c r="P2817" s="79">
        <v>45160.854166666664</v>
      </c>
      <c r="Q2817" s="77" t="s">
        <v>3489</v>
      </c>
      <c r="R2817" s="77">
        <v>0</v>
      </c>
      <c r="S2817" s="77">
        <v>0</v>
      </c>
      <c r="T2817" s="77">
        <v>0</v>
      </c>
      <c r="U2817" s="77">
        <v>0</v>
      </c>
      <c r="V2817" s="77">
        <v>517</v>
      </c>
      <c r="W2817" s="82" t="s">
        <v>4833</v>
      </c>
      <c r="X2817" s="80" t="str">
        <f>HYPERLINK("https://mla.bs/162711b2")</f>
        <v>https://mla.bs/162711b2</v>
      </c>
      <c r="Y2817" s="77" t="s">
        <v>6506</v>
      </c>
      <c r="Z2817" s="77"/>
      <c r="AA2817" s="77"/>
      <c r="AB2817" s="77"/>
      <c r="AC2817" s="82" t="s">
        <v>7750</v>
      </c>
      <c r="AD2817" s="77" t="s">
        <v>7788</v>
      </c>
      <c r="AE2817" s="80" t="str">
        <f>HYPERLINK("https://twitter.com/einvestidor/status/1694084527180640719")</f>
        <v>https://twitter.com/einvestidor/status/1694084527180640719</v>
      </c>
      <c r="AF2817" s="79">
        <v>45160.854166666664</v>
      </c>
      <c r="AG2817" s="85">
        <v>45160</v>
      </c>
      <c r="AH2817" s="82" t="s">
        <v>8090</v>
      </c>
      <c r="AI2817" s="77" t="b">
        <v>0</v>
      </c>
      <c r="AJ2817" s="77"/>
      <c r="AK2817" s="77"/>
      <c r="AL2817" s="77"/>
      <c r="AM2817" s="77"/>
      <c r="AN2817" s="77"/>
      <c r="AO2817" s="77"/>
      <c r="AP2817" s="77"/>
      <c r="AQ2817" s="77"/>
      <c r="AR2817" s="77"/>
      <c r="AS2817" s="77"/>
      <c r="AT2817" s="77"/>
      <c r="AU2817" s="77"/>
      <c r="AV2817" s="80" t="str">
        <f>HYPERLINK("https://pbs.twimg.com/profile_images/1241147984924082183/gZgx_hL-_normal.jpg")</f>
        <v>https://pbs.twimg.com/profile_images/1241147984924082183/gZgx_hL-_normal.jpg</v>
      </c>
      <c r="AW2817" s="82" t="s">
        <v>14413</v>
      </c>
      <c r="AX2817" s="82" t="s">
        <v>14413</v>
      </c>
      <c r="AY2817" s="77"/>
      <c r="AZ2817" s="82" t="s">
        <v>15984</v>
      </c>
      <c r="BA2817" s="82" t="s">
        <v>15984</v>
      </c>
      <c r="BB2817" s="82" t="s">
        <v>15984</v>
      </c>
      <c r="BC2817" s="82" t="s">
        <v>14413</v>
      </c>
      <c r="BD2817" s="82" t="s">
        <v>15979</v>
      </c>
      <c r="BE2817" s="77"/>
      <c r="BF2817" s="77"/>
      <c r="BG2817" s="77"/>
      <c r="BH2817" s="77"/>
      <c r="BI2817" s="77"/>
    </row>
    <row r="2818" spans="1:61" x14ac:dyDescent="0.25">
      <c r="A2818" s="62" t="s">
        <v>387</v>
      </c>
      <c r="B2818" s="62" t="s">
        <v>387</v>
      </c>
      <c r="C2818" s="63"/>
      <c r="D2818" s="64"/>
      <c r="E2818" s="65"/>
      <c r="F2818" s="66"/>
      <c r="G2818" s="63"/>
      <c r="H2818" s="67"/>
      <c r="I2818" s="68"/>
      <c r="J2818" s="68"/>
      <c r="K2818" s="32"/>
      <c r="L2818" s="75">
        <v>2818</v>
      </c>
      <c r="M2818" s="75"/>
      <c r="N2818" s="70"/>
      <c r="O2818" s="77" t="s">
        <v>179</v>
      </c>
      <c r="P2818" s="79">
        <v>45160.833344907405</v>
      </c>
      <c r="Q2818" s="77" t="s">
        <v>3490</v>
      </c>
      <c r="R2818" s="77">
        <v>0</v>
      </c>
      <c r="S2818" s="77">
        <v>0</v>
      </c>
      <c r="T2818" s="77">
        <v>0</v>
      </c>
      <c r="U2818" s="77">
        <v>0</v>
      </c>
      <c r="V2818" s="77">
        <v>434</v>
      </c>
      <c r="W2818" s="82" t="s">
        <v>4833</v>
      </c>
      <c r="X2818" s="80" t="str">
        <f>HYPERLINK("https://mla.bs/3a9eb44e")</f>
        <v>https://mla.bs/3a9eb44e</v>
      </c>
      <c r="Y2818" s="77" t="s">
        <v>6506</v>
      </c>
      <c r="Z2818" s="77"/>
      <c r="AA2818" s="77"/>
      <c r="AB2818" s="77"/>
      <c r="AC2818" s="82" t="s">
        <v>7750</v>
      </c>
      <c r="AD2818" s="77" t="s">
        <v>7788</v>
      </c>
      <c r="AE2818" s="80" t="str">
        <f>HYPERLINK("https://twitter.com/einvestidor/status/1694076979845242904")</f>
        <v>https://twitter.com/einvestidor/status/1694076979845242904</v>
      </c>
      <c r="AF2818" s="79">
        <v>45160.833344907405</v>
      </c>
      <c r="AG2818" s="85">
        <v>45160</v>
      </c>
      <c r="AH2818" s="82" t="s">
        <v>8284</v>
      </c>
      <c r="AI2818" s="77" t="b">
        <v>0</v>
      </c>
      <c r="AJ2818" s="77"/>
      <c r="AK2818" s="77"/>
      <c r="AL2818" s="77"/>
      <c r="AM2818" s="77"/>
      <c r="AN2818" s="77"/>
      <c r="AO2818" s="77"/>
      <c r="AP2818" s="77"/>
      <c r="AQ2818" s="77"/>
      <c r="AR2818" s="77"/>
      <c r="AS2818" s="77"/>
      <c r="AT2818" s="77"/>
      <c r="AU2818" s="77"/>
      <c r="AV2818" s="80" t="str">
        <f>HYPERLINK("https://pbs.twimg.com/profile_images/1241147984924082183/gZgx_hL-_normal.jpg")</f>
        <v>https://pbs.twimg.com/profile_images/1241147984924082183/gZgx_hL-_normal.jpg</v>
      </c>
      <c r="AW2818" s="82" t="s">
        <v>14414</v>
      </c>
      <c r="AX2818" s="82" t="s">
        <v>14414</v>
      </c>
      <c r="AY2818" s="77"/>
      <c r="AZ2818" s="82" t="s">
        <v>15984</v>
      </c>
      <c r="BA2818" s="82" t="s">
        <v>15984</v>
      </c>
      <c r="BB2818" s="82" t="s">
        <v>15984</v>
      </c>
      <c r="BC2818" s="82" t="s">
        <v>14414</v>
      </c>
      <c r="BD2818" s="82" t="s">
        <v>15979</v>
      </c>
      <c r="BE2818" s="77"/>
      <c r="BF2818" s="77"/>
      <c r="BG2818" s="77"/>
      <c r="BH2818" s="77"/>
      <c r="BI2818" s="77"/>
    </row>
    <row r="2819" spans="1:61" x14ac:dyDescent="0.25">
      <c r="A2819" s="62" t="s">
        <v>387</v>
      </c>
      <c r="B2819" s="62" t="s">
        <v>387</v>
      </c>
      <c r="C2819" s="63"/>
      <c r="D2819" s="64"/>
      <c r="E2819" s="65"/>
      <c r="F2819" s="66"/>
      <c r="G2819" s="63"/>
      <c r="H2819" s="67"/>
      <c r="I2819" s="68"/>
      <c r="J2819" s="68"/>
      <c r="K2819" s="32"/>
      <c r="L2819" s="75">
        <v>2819</v>
      </c>
      <c r="M2819" s="75"/>
      <c r="N2819" s="70"/>
      <c r="O2819" s="77" t="s">
        <v>179</v>
      </c>
      <c r="P2819" s="79">
        <v>45160.8125</v>
      </c>
      <c r="Q2819" s="77" t="s">
        <v>3491</v>
      </c>
      <c r="R2819" s="77">
        <v>1</v>
      </c>
      <c r="S2819" s="77">
        <v>2</v>
      </c>
      <c r="T2819" s="77">
        <v>0</v>
      </c>
      <c r="U2819" s="77">
        <v>0</v>
      </c>
      <c r="V2819" s="77">
        <v>583</v>
      </c>
      <c r="W2819" s="82" t="s">
        <v>6125</v>
      </c>
      <c r="X2819" s="80" t="str">
        <f>HYPERLINK("https://mla.bs/112cb983")</f>
        <v>https://mla.bs/112cb983</v>
      </c>
      <c r="Y2819" s="77" t="s">
        <v>6506</v>
      </c>
      <c r="Z2819" s="77"/>
      <c r="AA2819" s="77"/>
      <c r="AB2819" s="77"/>
      <c r="AC2819" s="82" t="s">
        <v>7750</v>
      </c>
      <c r="AD2819" s="77" t="s">
        <v>7788</v>
      </c>
      <c r="AE2819" s="80" t="str">
        <f>HYPERLINK("https://twitter.com/einvestidor/status/1694069426327535760")</f>
        <v>https://twitter.com/einvestidor/status/1694069426327535760</v>
      </c>
      <c r="AF2819" s="79">
        <v>45160.8125</v>
      </c>
      <c r="AG2819" s="85">
        <v>45160</v>
      </c>
      <c r="AH2819" s="82" t="s">
        <v>8281</v>
      </c>
      <c r="AI2819" s="77" t="b">
        <v>0</v>
      </c>
      <c r="AJ2819" s="77"/>
      <c r="AK2819" s="77"/>
      <c r="AL2819" s="77"/>
      <c r="AM2819" s="77"/>
      <c r="AN2819" s="77"/>
      <c r="AO2819" s="77"/>
      <c r="AP2819" s="77"/>
      <c r="AQ2819" s="77"/>
      <c r="AR2819" s="77"/>
      <c r="AS2819" s="77"/>
      <c r="AT2819" s="77"/>
      <c r="AU2819" s="77"/>
      <c r="AV2819" s="80" t="str">
        <f>HYPERLINK("https://pbs.twimg.com/profile_images/1241147984924082183/gZgx_hL-_normal.jpg")</f>
        <v>https://pbs.twimg.com/profile_images/1241147984924082183/gZgx_hL-_normal.jpg</v>
      </c>
      <c r="AW2819" s="82" t="s">
        <v>14415</v>
      </c>
      <c r="AX2819" s="82" t="s">
        <v>14415</v>
      </c>
      <c r="AY2819" s="77"/>
      <c r="AZ2819" s="82" t="s">
        <v>15984</v>
      </c>
      <c r="BA2819" s="82" t="s">
        <v>15984</v>
      </c>
      <c r="BB2819" s="82" t="s">
        <v>15984</v>
      </c>
      <c r="BC2819" s="82" t="s">
        <v>14415</v>
      </c>
      <c r="BD2819" s="82" t="s">
        <v>15979</v>
      </c>
      <c r="BE2819" s="77"/>
      <c r="BF2819" s="77"/>
      <c r="BG2819" s="77"/>
      <c r="BH2819" s="77"/>
      <c r="BI2819" s="77"/>
    </row>
    <row r="2820" spans="1:61" x14ac:dyDescent="0.25">
      <c r="A2820" s="62" t="s">
        <v>387</v>
      </c>
      <c r="B2820" s="62" t="s">
        <v>387</v>
      </c>
      <c r="C2820" s="63"/>
      <c r="D2820" s="64"/>
      <c r="E2820" s="65"/>
      <c r="F2820" s="66"/>
      <c r="G2820" s="63"/>
      <c r="H2820" s="67"/>
      <c r="I2820" s="68"/>
      <c r="J2820" s="68"/>
      <c r="K2820" s="32"/>
      <c r="L2820" s="75">
        <v>2820</v>
      </c>
      <c r="M2820" s="75"/>
      <c r="N2820" s="70"/>
      <c r="O2820" s="77" t="s">
        <v>179</v>
      </c>
      <c r="P2820" s="79">
        <v>45160.802083333336</v>
      </c>
      <c r="Q2820" s="77" t="s">
        <v>3492</v>
      </c>
      <c r="R2820" s="77">
        <v>1</v>
      </c>
      <c r="S2820" s="77">
        <v>2</v>
      </c>
      <c r="T2820" s="77">
        <v>0</v>
      </c>
      <c r="U2820" s="77">
        <v>0</v>
      </c>
      <c r="V2820" s="77">
        <v>636</v>
      </c>
      <c r="W2820" s="82" t="s">
        <v>6126</v>
      </c>
      <c r="X2820" s="80" t="str">
        <f>HYPERLINK("https://mla.bs/858ec505")</f>
        <v>https://mla.bs/858ec505</v>
      </c>
      <c r="Y2820" s="77" t="s">
        <v>6506</v>
      </c>
      <c r="Z2820" s="77"/>
      <c r="AA2820" s="77"/>
      <c r="AB2820" s="77"/>
      <c r="AC2820" s="82" t="s">
        <v>7750</v>
      </c>
      <c r="AD2820" s="77" t="s">
        <v>7788</v>
      </c>
      <c r="AE2820" s="80" t="str">
        <f>HYPERLINK("https://twitter.com/einvestidor/status/1694065651554328874")</f>
        <v>https://twitter.com/einvestidor/status/1694065651554328874</v>
      </c>
      <c r="AF2820" s="79">
        <v>45160.802083333336</v>
      </c>
      <c r="AG2820" s="85">
        <v>45160</v>
      </c>
      <c r="AH2820" s="82" t="s">
        <v>7868</v>
      </c>
      <c r="AI2820" s="77" t="b">
        <v>0</v>
      </c>
      <c r="AJ2820" s="77"/>
      <c r="AK2820" s="77"/>
      <c r="AL2820" s="77"/>
      <c r="AM2820" s="77"/>
      <c r="AN2820" s="77"/>
      <c r="AO2820" s="77"/>
      <c r="AP2820" s="77"/>
      <c r="AQ2820" s="77"/>
      <c r="AR2820" s="77"/>
      <c r="AS2820" s="77"/>
      <c r="AT2820" s="77"/>
      <c r="AU2820" s="77"/>
      <c r="AV2820" s="80" t="str">
        <f>HYPERLINK("https://pbs.twimg.com/profile_images/1241147984924082183/gZgx_hL-_normal.jpg")</f>
        <v>https://pbs.twimg.com/profile_images/1241147984924082183/gZgx_hL-_normal.jpg</v>
      </c>
      <c r="AW2820" s="82" t="s">
        <v>14416</v>
      </c>
      <c r="AX2820" s="82" t="s">
        <v>14416</v>
      </c>
      <c r="AY2820" s="77"/>
      <c r="AZ2820" s="82" t="s">
        <v>15984</v>
      </c>
      <c r="BA2820" s="82" t="s">
        <v>15984</v>
      </c>
      <c r="BB2820" s="82" t="s">
        <v>15984</v>
      </c>
      <c r="BC2820" s="82" t="s">
        <v>14416</v>
      </c>
      <c r="BD2820" s="82" t="s">
        <v>15979</v>
      </c>
      <c r="BE2820" s="77"/>
      <c r="BF2820" s="77"/>
      <c r="BG2820" s="77"/>
      <c r="BH2820" s="77"/>
      <c r="BI2820" s="77"/>
    </row>
    <row r="2821" spans="1:61" x14ac:dyDescent="0.25">
      <c r="A2821" s="62" t="s">
        <v>387</v>
      </c>
      <c r="B2821" s="62" t="s">
        <v>387</v>
      </c>
      <c r="C2821" s="63"/>
      <c r="D2821" s="64"/>
      <c r="E2821" s="65"/>
      <c r="F2821" s="66"/>
      <c r="G2821" s="63"/>
      <c r="H2821" s="67"/>
      <c r="I2821" s="68"/>
      <c r="J2821" s="68"/>
      <c r="K2821" s="32"/>
      <c r="L2821" s="75">
        <v>2821</v>
      </c>
      <c r="M2821" s="75"/>
      <c r="N2821" s="70"/>
      <c r="O2821" s="77" t="s">
        <v>179</v>
      </c>
      <c r="P2821" s="79">
        <v>45160.78125</v>
      </c>
      <c r="Q2821" s="77" t="s">
        <v>3493</v>
      </c>
      <c r="R2821" s="77">
        <v>0</v>
      </c>
      <c r="S2821" s="77">
        <v>2</v>
      </c>
      <c r="T2821" s="77">
        <v>0</v>
      </c>
      <c r="U2821" s="77">
        <v>0</v>
      </c>
      <c r="V2821" s="77">
        <v>510</v>
      </c>
      <c r="W2821" s="82" t="s">
        <v>4833</v>
      </c>
      <c r="X2821" s="80" t="str">
        <f>HYPERLINK("https://mla.bs/bd99fab1")</f>
        <v>https://mla.bs/bd99fab1</v>
      </c>
      <c r="Y2821" s="77" t="s">
        <v>6506</v>
      </c>
      <c r="Z2821" s="77"/>
      <c r="AA2821" s="77"/>
      <c r="AB2821" s="77"/>
      <c r="AC2821" s="82" t="s">
        <v>7750</v>
      </c>
      <c r="AD2821" s="77" t="s">
        <v>7788</v>
      </c>
      <c r="AE2821" s="80" t="str">
        <f>HYPERLINK("https://twitter.com/einvestidor/status/1694058102033682656")</f>
        <v>https://twitter.com/einvestidor/status/1694058102033682656</v>
      </c>
      <c r="AF2821" s="79">
        <v>45160.78125</v>
      </c>
      <c r="AG2821" s="85">
        <v>45160</v>
      </c>
      <c r="AH2821" s="82" t="s">
        <v>9581</v>
      </c>
      <c r="AI2821" s="77" t="b">
        <v>0</v>
      </c>
      <c r="AJ2821" s="77"/>
      <c r="AK2821" s="77"/>
      <c r="AL2821" s="77"/>
      <c r="AM2821" s="77"/>
      <c r="AN2821" s="77"/>
      <c r="AO2821" s="77"/>
      <c r="AP2821" s="77"/>
      <c r="AQ2821" s="77"/>
      <c r="AR2821" s="77"/>
      <c r="AS2821" s="77"/>
      <c r="AT2821" s="77"/>
      <c r="AU2821" s="77"/>
      <c r="AV2821" s="80" t="str">
        <f>HYPERLINK("https://pbs.twimg.com/profile_images/1241147984924082183/gZgx_hL-_normal.jpg")</f>
        <v>https://pbs.twimg.com/profile_images/1241147984924082183/gZgx_hL-_normal.jpg</v>
      </c>
      <c r="AW2821" s="82" t="s">
        <v>14417</v>
      </c>
      <c r="AX2821" s="82" t="s">
        <v>14417</v>
      </c>
      <c r="AY2821" s="77"/>
      <c r="AZ2821" s="82" t="s">
        <v>15984</v>
      </c>
      <c r="BA2821" s="82" t="s">
        <v>15984</v>
      </c>
      <c r="BB2821" s="82" t="s">
        <v>15984</v>
      </c>
      <c r="BC2821" s="82" t="s">
        <v>14417</v>
      </c>
      <c r="BD2821" s="82" t="s">
        <v>15979</v>
      </c>
      <c r="BE2821" s="77"/>
      <c r="BF2821" s="77"/>
      <c r="BG2821" s="77"/>
      <c r="BH2821" s="77"/>
      <c r="BI2821" s="77"/>
    </row>
    <row r="2822" spans="1:61" x14ac:dyDescent="0.25">
      <c r="A2822" s="62" t="s">
        <v>387</v>
      </c>
      <c r="B2822" s="62" t="s">
        <v>387</v>
      </c>
      <c r="C2822" s="63"/>
      <c r="D2822" s="64"/>
      <c r="E2822" s="65"/>
      <c r="F2822" s="66"/>
      <c r="G2822" s="63"/>
      <c r="H2822" s="67"/>
      <c r="I2822" s="68"/>
      <c r="J2822" s="68"/>
      <c r="K2822" s="32"/>
      <c r="L2822" s="75">
        <v>2822</v>
      </c>
      <c r="M2822" s="75"/>
      <c r="N2822" s="70"/>
      <c r="O2822" s="77" t="s">
        <v>179</v>
      </c>
      <c r="P2822" s="79">
        <v>45153.864583333336</v>
      </c>
      <c r="Q2822" s="77" t="s">
        <v>3494</v>
      </c>
      <c r="R2822" s="77">
        <v>0</v>
      </c>
      <c r="S2822" s="77">
        <v>0</v>
      </c>
      <c r="T2822" s="77">
        <v>0</v>
      </c>
      <c r="U2822" s="77">
        <v>0</v>
      </c>
      <c r="V2822" s="77">
        <v>497</v>
      </c>
      <c r="W2822" s="82" t="s">
        <v>6127</v>
      </c>
      <c r="X2822" s="80" t="str">
        <f>HYPERLINK("https://mla.bs/d3a133d6")</f>
        <v>https://mla.bs/d3a133d6</v>
      </c>
      <c r="Y2822" s="77" t="s">
        <v>6506</v>
      </c>
      <c r="Z2822" s="77"/>
      <c r="AA2822" s="77"/>
      <c r="AB2822" s="77"/>
      <c r="AC2822" s="82" t="s">
        <v>7754</v>
      </c>
      <c r="AD2822" s="77" t="s">
        <v>7788</v>
      </c>
      <c r="AE2822" s="80" t="str">
        <f>HYPERLINK("https://twitter.com/einvestidor/status/1691551585757982788")</f>
        <v>https://twitter.com/einvestidor/status/1691551585757982788</v>
      </c>
      <c r="AF2822" s="79">
        <v>45153.864583333336</v>
      </c>
      <c r="AG2822" s="85">
        <v>45153</v>
      </c>
      <c r="AH2822" s="82" t="s">
        <v>9596</v>
      </c>
      <c r="AI2822" s="77" t="b">
        <v>0</v>
      </c>
      <c r="AJ2822" s="77"/>
      <c r="AK2822" s="77"/>
      <c r="AL2822" s="77"/>
      <c r="AM2822" s="77"/>
      <c r="AN2822" s="77"/>
      <c r="AO2822" s="77"/>
      <c r="AP2822" s="77"/>
      <c r="AQ2822" s="77"/>
      <c r="AR2822" s="77"/>
      <c r="AS2822" s="77"/>
      <c r="AT2822" s="77"/>
      <c r="AU2822" s="77"/>
      <c r="AV2822" s="80" t="str">
        <f>HYPERLINK("https://pbs.twimg.com/profile_images/1241147984924082183/gZgx_hL-_normal.jpg")</f>
        <v>https://pbs.twimg.com/profile_images/1241147984924082183/gZgx_hL-_normal.jpg</v>
      </c>
      <c r="AW2822" s="82" t="s">
        <v>14418</v>
      </c>
      <c r="AX2822" s="82" t="s">
        <v>14418</v>
      </c>
      <c r="AY2822" s="77"/>
      <c r="AZ2822" s="82" t="s">
        <v>15984</v>
      </c>
      <c r="BA2822" s="82" t="s">
        <v>15984</v>
      </c>
      <c r="BB2822" s="82" t="s">
        <v>15984</v>
      </c>
      <c r="BC2822" s="82" t="s">
        <v>14418</v>
      </c>
      <c r="BD2822" s="82" t="s">
        <v>15979</v>
      </c>
      <c r="BE2822" s="77"/>
      <c r="BF2822" s="77"/>
      <c r="BG2822" s="77"/>
      <c r="BH2822" s="77"/>
      <c r="BI2822" s="77"/>
    </row>
    <row r="2823" spans="1:61" x14ac:dyDescent="0.25">
      <c r="A2823" s="62" t="s">
        <v>387</v>
      </c>
      <c r="B2823" s="62" t="s">
        <v>387</v>
      </c>
      <c r="C2823" s="63"/>
      <c r="D2823" s="64"/>
      <c r="E2823" s="65"/>
      <c r="F2823" s="66"/>
      <c r="G2823" s="63"/>
      <c r="H2823" s="67"/>
      <c r="I2823" s="68"/>
      <c r="J2823" s="68"/>
      <c r="K2823" s="32"/>
      <c r="L2823" s="75">
        <v>2823</v>
      </c>
      <c r="M2823" s="75"/>
      <c r="N2823" s="70"/>
      <c r="O2823" s="77" t="s">
        <v>179</v>
      </c>
      <c r="P2823" s="79">
        <v>45153.833344907405</v>
      </c>
      <c r="Q2823" s="77" t="s">
        <v>3495</v>
      </c>
      <c r="R2823" s="77">
        <v>0</v>
      </c>
      <c r="S2823" s="77">
        <v>1</v>
      </c>
      <c r="T2823" s="77">
        <v>0</v>
      </c>
      <c r="U2823" s="77">
        <v>0</v>
      </c>
      <c r="V2823" s="77">
        <v>506</v>
      </c>
      <c r="W2823" s="82" t="s">
        <v>6128</v>
      </c>
      <c r="X2823" s="80" t="str">
        <f>HYPERLINK("https://mla.bs/bc504029")</f>
        <v>https://mla.bs/bc504029</v>
      </c>
      <c r="Y2823" s="77" t="s">
        <v>6506</v>
      </c>
      <c r="Z2823" s="77"/>
      <c r="AA2823" s="77"/>
      <c r="AB2823" s="77"/>
      <c r="AC2823" s="82" t="s">
        <v>7754</v>
      </c>
      <c r="AD2823" s="77" t="s">
        <v>7788</v>
      </c>
      <c r="AE2823" s="80" t="str">
        <f>HYPERLINK("https://twitter.com/einvestidor/status/1691540266748907521")</f>
        <v>https://twitter.com/einvestidor/status/1691540266748907521</v>
      </c>
      <c r="AF2823" s="79">
        <v>45153.833344907405</v>
      </c>
      <c r="AG2823" s="85">
        <v>45153</v>
      </c>
      <c r="AH2823" s="82" t="s">
        <v>8284</v>
      </c>
      <c r="AI2823" s="77" t="b">
        <v>0</v>
      </c>
      <c r="AJ2823" s="77"/>
      <c r="AK2823" s="77"/>
      <c r="AL2823" s="77"/>
      <c r="AM2823" s="77"/>
      <c r="AN2823" s="77"/>
      <c r="AO2823" s="77"/>
      <c r="AP2823" s="77"/>
      <c r="AQ2823" s="77"/>
      <c r="AR2823" s="77"/>
      <c r="AS2823" s="77"/>
      <c r="AT2823" s="77"/>
      <c r="AU2823" s="77"/>
      <c r="AV2823" s="80" t="str">
        <f>HYPERLINK("https://pbs.twimg.com/profile_images/1241147984924082183/gZgx_hL-_normal.jpg")</f>
        <v>https://pbs.twimg.com/profile_images/1241147984924082183/gZgx_hL-_normal.jpg</v>
      </c>
      <c r="AW2823" s="82" t="s">
        <v>14419</v>
      </c>
      <c r="AX2823" s="82" t="s">
        <v>14419</v>
      </c>
      <c r="AY2823" s="77"/>
      <c r="AZ2823" s="82" t="s">
        <v>15984</v>
      </c>
      <c r="BA2823" s="82" t="s">
        <v>15984</v>
      </c>
      <c r="BB2823" s="82" t="s">
        <v>15984</v>
      </c>
      <c r="BC2823" s="82" t="s">
        <v>14419</v>
      </c>
      <c r="BD2823" s="82" t="s">
        <v>15979</v>
      </c>
      <c r="BE2823" s="77"/>
      <c r="BF2823" s="77"/>
      <c r="BG2823" s="77"/>
      <c r="BH2823" s="77"/>
      <c r="BI2823" s="77"/>
    </row>
    <row r="2824" spans="1:61" x14ac:dyDescent="0.25">
      <c r="A2824" s="62" t="s">
        <v>387</v>
      </c>
      <c r="B2824" s="62" t="s">
        <v>387</v>
      </c>
      <c r="C2824" s="63"/>
      <c r="D2824" s="64"/>
      <c r="E2824" s="65"/>
      <c r="F2824" s="66"/>
      <c r="G2824" s="63"/>
      <c r="H2824" s="67"/>
      <c r="I2824" s="68"/>
      <c r="J2824" s="68"/>
      <c r="K2824" s="32"/>
      <c r="L2824" s="75">
        <v>2824</v>
      </c>
      <c r="M2824" s="75"/>
      <c r="N2824" s="70"/>
      <c r="O2824" s="77" t="s">
        <v>179</v>
      </c>
      <c r="P2824" s="79">
        <v>45153.822916666664</v>
      </c>
      <c r="Q2824" s="77" t="s">
        <v>3496</v>
      </c>
      <c r="R2824" s="77">
        <v>0</v>
      </c>
      <c r="S2824" s="77">
        <v>5</v>
      </c>
      <c r="T2824" s="77">
        <v>0</v>
      </c>
      <c r="U2824" s="77">
        <v>1</v>
      </c>
      <c r="V2824" s="77">
        <v>737</v>
      </c>
      <c r="W2824" s="82" t="s">
        <v>4833</v>
      </c>
      <c r="X2824" s="80" t="str">
        <f>HYPERLINK("https://mla.bs/7a961e8b")</f>
        <v>https://mla.bs/7a961e8b</v>
      </c>
      <c r="Y2824" s="77" t="s">
        <v>6506</v>
      </c>
      <c r="Z2824" s="77"/>
      <c r="AA2824" s="77"/>
      <c r="AB2824" s="77"/>
      <c r="AC2824" s="82" t="s">
        <v>7754</v>
      </c>
      <c r="AD2824" s="77" t="s">
        <v>7788</v>
      </c>
      <c r="AE2824" s="80" t="str">
        <f>HYPERLINK("https://twitter.com/einvestidor/status/1691536486292942853")</f>
        <v>https://twitter.com/einvestidor/status/1691536486292942853</v>
      </c>
      <c r="AF2824" s="79">
        <v>45153.822916666664</v>
      </c>
      <c r="AG2824" s="85">
        <v>45153</v>
      </c>
      <c r="AH2824" s="82" t="s">
        <v>9579</v>
      </c>
      <c r="AI2824" s="77" t="b">
        <v>0</v>
      </c>
      <c r="AJ2824" s="77"/>
      <c r="AK2824" s="77"/>
      <c r="AL2824" s="77"/>
      <c r="AM2824" s="77"/>
      <c r="AN2824" s="77"/>
      <c r="AO2824" s="77"/>
      <c r="AP2824" s="77"/>
      <c r="AQ2824" s="77"/>
      <c r="AR2824" s="77"/>
      <c r="AS2824" s="77"/>
      <c r="AT2824" s="77"/>
      <c r="AU2824" s="77"/>
      <c r="AV2824" s="80" t="str">
        <f>HYPERLINK("https://pbs.twimg.com/profile_images/1241147984924082183/gZgx_hL-_normal.jpg")</f>
        <v>https://pbs.twimg.com/profile_images/1241147984924082183/gZgx_hL-_normal.jpg</v>
      </c>
      <c r="AW2824" s="82" t="s">
        <v>14420</v>
      </c>
      <c r="AX2824" s="82" t="s">
        <v>14420</v>
      </c>
      <c r="AY2824" s="77"/>
      <c r="AZ2824" s="82" t="s">
        <v>15984</v>
      </c>
      <c r="BA2824" s="82" t="s">
        <v>15984</v>
      </c>
      <c r="BB2824" s="82" t="s">
        <v>15984</v>
      </c>
      <c r="BC2824" s="82" t="s">
        <v>14420</v>
      </c>
      <c r="BD2824" s="82" t="s">
        <v>15979</v>
      </c>
      <c r="BE2824" s="77"/>
      <c r="BF2824" s="77"/>
      <c r="BG2824" s="77"/>
      <c r="BH2824" s="77"/>
      <c r="BI2824" s="77"/>
    </row>
    <row r="2825" spans="1:61" x14ac:dyDescent="0.25">
      <c r="A2825" s="62" t="s">
        <v>387</v>
      </c>
      <c r="B2825" s="62" t="s">
        <v>387</v>
      </c>
      <c r="C2825" s="63"/>
      <c r="D2825" s="64"/>
      <c r="E2825" s="65"/>
      <c r="F2825" s="66"/>
      <c r="G2825" s="63"/>
      <c r="H2825" s="67"/>
      <c r="I2825" s="68"/>
      <c r="J2825" s="68"/>
      <c r="K2825" s="32"/>
      <c r="L2825" s="75">
        <v>2825</v>
      </c>
      <c r="M2825" s="75"/>
      <c r="N2825" s="70"/>
      <c r="O2825" s="77" t="s">
        <v>179</v>
      </c>
      <c r="P2825" s="79">
        <v>45153.8125</v>
      </c>
      <c r="Q2825" s="77" t="s">
        <v>3497</v>
      </c>
      <c r="R2825" s="77">
        <v>0</v>
      </c>
      <c r="S2825" s="77">
        <v>0</v>
      </c>
      <c r="T2825" s="77">
        <v>0</v>
      </c>
      <c r="U2825" s="77">
        <v>1</v>
      </c>
      <c r="V2825" s="77">
        <v>498</v>
      </c>
      <c r="W2825" s="82" t="s">
        <v>6129</v>
      </c>
      <c r="X2825" s="80" t="str">
        <f>HYPERLINK("https://mla.bs/6ab9daa8")</f>
        <v>https://mla.bs/6ab9daa8</v>
      </c>
      <c r="Y2825" s="77" t="s">
        <v>6506</v>
      </c>
      <c r="Z2825" s="77"/>
      <c r="AA2825" s="77"/>
      <c r="AB2825" s="77"/>
      <c r="AC2825" s="82" t="s">
        <v>7754</v>
      </c>
      <c r="AD2825" s="77" t="s">
        <v>7788</v>
      </c>
      <c r="AE2825" s="80" t="str">
        <f>HYPERLINK("https://twitter.com/einvestidor/status/1691532713080102912")</f>
        <v>https://twitter.com/einvestidor/status/1691532713080102912</v>
      </c>
      <c r="AF2825" s="79">
        <v>45153.8125</v>
      </c>
      <c r="AG2825" s="85">
        <v>45153</v>
      </c>
      <c r="AH2825" s="82" t="s">
        <v>8281</v>
      </c>
      <c r="AI2825" s="77" t="b">
        <v>0</v>
      </c>
      <c r="AJ2825" s="77"/>
      <c r="AK2825" s="77"/>
      <c r="AL2825" s="77"/>
      <c r="AM2825" s="77"/>
      <c r="AN2825" s="77"/>
      <c r="AO2825" s="77"/>
      <c r="AP2825" s="77"/>
      <c r="AQ2825" s="77"/>
      <c r="AR2825" s="77"/>
      <c r="AS2825" s="77"/>
      <c r="AT2825" s="77"/>
      <c r="AU2825" s="77"/>
      <c r="AV2825" s="80" t="str">
        <f>HYPERLINK("https://pbs.twimg.com/profile_images/1241147984924082183/gZgx_hL-_normal.jpg")</f>
        <v>https://pbs.twimg.com/profile_images/1241147984924082183/gZgx_hL-_normal.jpg</v>
      </c>
      <c r="AW2825" s="82" t="s">
        <v>14421</v>
      </c>
      <c r="AX2825" s="82" t="s">
        <v>14421</v>
      </c>
      <c r="AY2825" s="77"/>
      <c r="AZ2825" s="82" t="s">
        <v>15984</v>
      </c>
      <c r="BA2825" s="82" t="s">
        <v>15984</v>
      </c>
      <c r="BB2825" s="82" t="s">
        <v>15984</v>
      </c>
      <c r="BC2825" s="82" t="s">
        <v>14421</v>
      </c>
      <c r="BD2825" s="82" t="s">
        <v>15979</v>
      </c>
      <c r="BE2825" s="77"/>
      <c r="BF2825" s="77"/>
      <c r="BG2825" s="77"/>
      <c r="BH2825" s="77"/>
      <c r="BI2825" s="77"/>
    </row>
    <row r="2826" spans="1:61" x14ac:dyDescent="0.25">
      <c r="A2826" s="62" t="s">
        <v>387</v>
      </c>
      <c r="B2826" s="62" t="s">
        <v>387</v>
      </c>
      <c r="C2826" s="63"/>
      <c r="D2826" s="64"/>
      <c r="E2826" s="65"/>
      <c r="F2826" s="66"/>
      <c r="G2826" s="63"/>
      <c r="H2826" s="67"/>
      <c r="I2826" s="68"/>
      <c r="J2826" s="68"/>
      <c r="K2826" s="32"/>
      <c r="L2826" s="75">
        <v>2826</v>
      </c>
      <c r="M2826" s="75"/>
      <c r="N2826" s="70"/>
      <c r="O2826" s="77" t="s">
        <v>179</v>
      </c>
      <c r="P2826" s="79">
        <v>45153.802083333336</v>
      </c>
      <c r="Q2826" s="77" t="s">
        <v>3498</v>
      </c>
      <c r="R2826" s="77">
        <v>0</v>
      </c>
      <c r="S2826" s="77">
        <v>1</v>
      </c>
      <c r="T2826" s="77">
        <v>0</v>
      </c>
      <c r="U2826" s="77">
        <v>0</v>
      </c>
      <c r="V2826" s="77">
        <v>491</v>
      </c>
      <c r="W2826" s="82" t="s">
        <v>6130</v>
      </c>
      <c r="X2826" s="80" t="str">
        <f>HYPERLINK("https://mla.bs/f944a810")</f>
        <v>https://mla.bs/f944a810</v>
      </c>
      <c r="Y2826" s="77" t="s">
        <v>6506</v>
      </c>
      <c r="Z2826" s="77"/>
      <c r="AA2826" s="77"/>
      <c r="AB2826" s="77"/>
      <c r="AC2826" s="82" t="s">
        <v>7754</v>
      </c>
      <c r="AD2826" s="77" t="s">
        <v>7788</v>
      </c>
      <c r="AE2826" s="80" t="str">
        <f>HYPERLINK("https://twitter.com/einvestidor/status/1691528936461615105")</f>
        <v>https://twitter.com/einvestidor/status/1691528936461615105</v>
      </c>
      <c r="AF2826" s="79">
        <v>45153.802083333336</v>
      </c>
      <c r="AG2826" s="85">
        <v>45153</v>
      </c>
      <c r="AH2826" s="82" t="s">
        <v>7868</v>
      </c>
      <c r="AI2826" s="77" t="b">
        <v>0</v>
      </c>
      <c r="AJ2826" s="77"/>
      <c r="AK2826" s="77"/>
      <c r="AL2826" s="77"/>
      <c r="AM2826" s="77"/>
      <c r="AN2826" s="77"/>
      <c r="AO2826" s="77"/>
      <c r="AP2826" s="77"/>
      <c r="AQ2826" s="77"/>
      <c r="AR2826" s="77"/>
      <c r="AS2826" s="77"/>
      <c r="AT2826" s="77"/>
      <c r="AU2826" s="77"/>
      <c r="AV2826" s="80" t="str">
        <f>HYPERLINK("https://pbs.twimg.com/profile_images/1241147984924082183/gZgx_hL-_normal.jpg")</f>
        <v>https://pbs.twimg.com/profile_images/1241147984924082183/gZgx_hL-_normal.jpg</v>
      </c>
      <c r="AW2826" s="82" t="s">
        <v>14422</v>
      </c>
      <c r="AX2826" s="82" t="s">
        <v>14422</v>
      </c>
      <c r="AY2826" s="77"/>
      <c r="AZ2826" s="82" t="s">
        <v>15984</v>
      </c>
      <c r="BA2826" s="82" t="s">
        <v>15984</v>
      </c>
      <c r="BB2826" s="82" t="s">
        <v>15984</v>
      </c>
      <c r="BC2826" s="82" t="s">
        <v>14422</v>
      </c>
      <c r="BD2826" s="82" t="s">
        <v>15979</v>
      </c>
      <c r="BE2826" s="77"/>
      <c r="BF2826" s="77"/>
      <c r="BG2826" s="77"/>
      <c r="BH2826" s="77"/>
      <c r="BI2826" s="77"/>
    </row>
    <row r="2827" spans="1:61" x14ac:dyDescent="0.25">
      <c r="A2827" s="62" t="s">
        <v>387</v>
      </c>
      <c r="B2827" s="62" t="s">
        <v>387</v>
      </c>
      <c r="C2827" s="63"/>
      <c r="D2827" s="64"/>
      <c r="E2827" s="65"/>
      <c r="F2827" s="66"/>
      <c r="G2827" s="63"/>
      <c r="H2827" s="67"/>
      <c r="I2827" s="68"/>
      <c r="J2827" s="68"/>
      <c r="K2827" s="32"/>
      <c r="L2827" s="75">
        <v>2827</v>
      </c>
      <c r="M2827" s="75"/>
      <c r="N2827" s="70"/>
      <c r="O2827" s="77" t="s">
        <v>179</v>
      </c>
      <c r="P2827" s="79">
        <v>45153.791666666664</v>
      </c>
      <c r="Q2827" s="77" t="s">
        <v>3499</v>
      </c>
      <c r="R2827" s="77">
        <v>0</v>
      </c>
      <c r="S2827" s="77">
        <v>0</v>
      </c>
      <c r="T2827" s="77">
        <v>0</v>
      </c>
      <c r="U2827" s="77">
        <v>0</v>
      </c>
      <c r="V2827" s="77">
        <v>507</v>
      </c>
      <c r="W2827" s="82" t="s">
        <v>6064</v>
      </c>
      <c r="X2827" s="80" t="str">
        <f>HYPERLINK("https://mla.bs/5cde44d7")</f>
        <v>https://mla.bs/5cde44d7</v>
      </c>
      <c r="Y2827" s="77" t="s">
        <v>6506</v>
      </c>
      <c r="Z2827" s="77"/>
      <c r="AA2827" s="77"/>
      <c r="AB2827" s="77"/>
      <c r="AC2827" s="82" t="s">
        <v>7754</v>
      </c>
      <c r="AD2827" s="77" t="s">
        <v>7788</v>
      </c>
      <c r="AE2827" s="80" t="str">
        <f>HYPERLINK("https://twitter.com/einvestidor/status/1691525163408580608")</f>
        <v>https://twitter.com/einvestidor/status/1691525163408580608</v>
      </c>
      <c r="AF2827" s="79">
        <v>45153.791666666664</v>
      </c>
      <c r="AG2827" s="85">
        <v>45153</v>
      </c>
      <c r="AH2827" s="82" t="s">
        <v>9299</v>
      </c>
      <c r="AI2827" s="77" t="b">
        <v>0</v>
      </c>
      <c r="AJ2827" s="77"/>
      <c r="AK2827" s="77"/>
      <c r="AL2827" s="77"/>
      <c r="AM2827" s="77"/>
      <c r="AN2827" s="77"/>
      <c r="AO2827" s="77"/>
      <c r="AP2827" s="77"/>
      <c r="AQ2827" s="77"/>
      <c r="AR2827" s="77"/>
      <c r="AS2827" s="77"/>
      <c r="AT2827" s="77"/>
      <c r="AU2827" s="77"/>
      <c r="AV2827" s="80" t="str">
        <f>HYPERLINK("https://pbs.twimg.com/profile_images/1241147984924082183/gZgx_hL-_normal.jpg")</f>
        <v>https://pbs.twimg.com/profile_images/1241147984924082183/gZgx_hL-_normal.jpg</v>
      </c>
      <c r="AW2827" s="82" t="s">
        <v>14423</v>
      </c>
      <c r="AX2827" s="82" t="s">
        <v>14423</v>
      </c>
      <c r="AY2827" s="77"/>
      <c r="AZ2827" s="82" t="s">
        <v>15984</v>
      </c>
      <c r="BA2827" s="82" t="s">
        <v>15984</v>
      </c>
      <c r="BB2827" s="82" t="s">
        <v>15984</v>
      </c>
      <c r="BC2827" s="82" t="s">
        <v>14423</v>
      </c>
      <c r="BD2827" s="82" t="s">
        <v>15979</v>
      </c>
      <c r="BE2827" s="77"/>
      <c r="BF2827" s="77"/>
      <c r="BG2827" s="77"/>
      <c r="BH2827" s="77"/>
      <c r="BI2827" s="77"/>
    </row>
    <row r="2828" spans="1:61" x14ac:dyDescent="0.25">
      <c r="A2828" s="62" t="s">
        <v>387</v>
      </c>
      <c r="B2828" s="62" t="s">
        <v>387</v>
      </c>
      <c r="C2828" s="63"/>
      <c r="D2828" s="64"/>
      <c r="E2828" s="65"/>
      <c r="F2828" s="66"/>
      <c r="G2828" s="63"/>
      <c r="H2828" s="67"/>
      <c r="I2828" s="68"/>
      <c r="J2828" s="68"/>
      <c r="K2828" s="32"/>
      <c r="L2828" s="75">
        <v>2828</v>
      </c>
      <c r="M2828" s="75"/>
      <c r="N2828" s="70"/>
      <c r="O2828" s="77" t="s">
        <v>179</v>
      </c>
      <c r="P2828" s="79">
        <v>45153.78125</v>
      </c>
      <c r="Q2828" s="77" t="s">
        <v>3500</v>
      </c>
      <c r="R2828" s="77">
        <v>0</v>
      </c>
      <c r="S2828" s="77">
        <v>1</v>
      </c>
      <c r="T2828" s="77">
        <v>0</v>
      </c>
      <c r="U2828" s="77">
        <v>0</v>
      </c>
      <c r="V2828" s="77">
        <v>476</v>
      </c>
      <c r="W2828" s="82" t="s">
        <v>4833</v>
      </c>
      <c r="X2828" s="80" t="str">
        <f>HYPERLINK("https://mla.bs/7fc94e9a")</f>
        <v>https://mla.bs/7fc94e9a</v>
      </c>
      <c r="Y2828" s="77" t="s">
        <v>6506</v>
      </c>
      <c r="Z2828" s="77"/>
      <c r="AA2828" s="77"/>
      <c r="AB2828" s="77"/>
      <c r="AC2828" s="82" t="s">
        <v>7754</v>
      </c>
      <c r="AD2828" s="77" t="s">
        <v>7788</v>
      </c>
      <c r="AE2828" s="80" t="str">
        <f>HYPERLINK("https://twitter.com/einvestidor/status/1691521386697879555")</f>
        <v>https://twitter.com/einvestidor/status/1691521386697879555</v>
      </c>
      <c r="AF2828" s="79">
        <v>45153.78125</v>
      </c>
      <c r="AG2828" s="85">
        <v>45153</v>
      </c>
      <c r="AH2828" s="82" t="s">
        <v>9581</v>
      </c>
      <c r="AI2828" s="77" t="b">
        <v>0</v>
      </c>
      <c r="AJ2828" s="77"/>
      <c r="AK2828" s="77"/>
      <c r="AL2828" s="77"/>
      <c r="AM2828" s="77"/>
      <c r="AN2828" s="77"/>
      <c r="AO2828" s="77"/>
      <c r="AP2828" s="77"/>
      <c r="AQ2828" s="77"/>
      <c r="AR2828" s="77"/>
      <c r="AS2828" s="77"/>
      <c r="AT2828" s="77"/>
      <c r="AU2828" s="77"/>
      <c r="AV2828" s="80" t="str">
        <f>HYPERLINK("https://pbs.twimg.com/profile_images/1241147984924082183/gZgx_hL-_normal.jpg")</f>
        <v>https://pbs.twimg.com/profile_images/1241147984924082183/gZgx_hL-_normal.jpg</v>
      </c>
      <c r="AW2828" s="82" t="s">
        <v>14424</v>
      </c>
      <c r="AX2828" s="82" t="s">
        <v>14424</v>
      </c>
      <c r="AY2828" s="77"/>
      <c r="AZ2828" s="82" t="s">
        <v>15984</v>
      </c>
      <c r="BA2828" s="82" t="s">
        <v>15984</v>
      </c>
      <c r="BB2828" s="82" t="s">
        <v>15984</v>
      </c>
      <c r="BC2828" s="82" t="s">
        <v>14424</v>
      </c>
      <c r="BD2828" s="82" t="s">
        <v>15979</v>
      </c>
      <c r="BE2828" s="77"/>
      <c r="BF2828" s="77"/>
      <c r="BG2828" s="77"/>
      <c r="BH2828" s="77"/>
      <c r="BI2828" s="77"/>
    </row>
    <row r="2829" spans="1:61" x14ac:dyDescent="0.25">
      <c r="A2829" s="62" t="s">
        <v>387</v>
      </c>
      <c r="B2829" s="62" t="s">
        <v>387</v>
      </c>
      <c r="C2829" s="63"/>
      <c r="D2829" s="64"/>
      <c r="E2829" s="65"/>
      <c r="F2829" s="66"/>
      <c r="G2829" s="63"/>
      <c r="H2829" s="67"/>
      <c r="I2829" s="68"/>
      <c r="J2829" s="68"/>
      <c r="K2829" s="32"/>
      <c r="L2829" s="75">
        <v>2829</v>
      </c>
      <c r="M2829" s="75"/>
      <c r="N2829" s="70"/>
      <c r="O2829" s="77" t="s">
        <v>179</v>
      </c>
      <c r="P2829" s="79">
        <v>45153.741597222222</v>
      </c>
      <c r="Q2829" s="77" t="s">
        <v>3501</v>
      </c>
      <c r="R2829" s="77">
        <v>0</v>
      </c>
      <c r="S2829" s="77">
        <v>1</v>
      </c>
      <c r="T2829" s="77">
        <v>0</v>
      </c>
      <c r="U2829" s="77">
        <v>0</v>
      </c>
      <c r="V2829" s="77">
        <v>454</v>
      </c>
      <c r="W2829" s="82" t="s">
        <v>4833</v>
      </c>
      <c r="X2829" s="80" t="str">
        <f>HYPERLINK("https://mla.bs/55fb02f6")</f>
        <v>https://mla.bs/55fb02f6</v>
      </c>
      <c r="Y2829" s="77" t="s">
        <v>6506</v>
      </c>
      <c r="Z2829" s="77"/>
      <c r="AA2829" s="77"/>
      <c r="AB2829" s="77"/>
      <c r="AC2829" s="82" t="s">
        <v>7754</v>
      </c>
      <c r="AD2829" s="77" t="s">
        <v>7788</v>
      </c>
      <c r="AE2829" s="80" t="str">
        <f>HYPERLINK("https://twitter.com/einvestidor/status/1691507017771352064")</f>
        <v>https://twitter.com/einvestidor/status/1691507017771352064</v>
      </c>
      <c r="AF2829" s="79">
        <v>45153.741597222222</v>
      </c>
      <c r="AG2829" s="85">
        <v>45153</v>
      </c>
      <c r="AH2829" s="82" t="s">
        <v>9834</v>
      </c>
      <c r="AI2829" s="77" t="b">
        <v>0</v>
      </c>
      <c r="AJ2829" s="77"/>
      <c r="AK2829" s="77"/>
      <c r="AL2829" s="77"/>
      <c r="AM2829" s="77"/>
      <c r="AN2829" s="77"/>
      <c r="AO2829" s="77"/>
      <c r="AP2829" s="77"/>
      <c r="AQ2829" s="77"/>
      <c r="AR2829" s="77"/>
      <c r="AS2829" s="77"/>
      <c r="AT2829" s="77"/>
      <c r="AU2829" s="77"/>
      <c r="AV2829" s="80" t="str">
        <f>HYPERLINK("https://pbs.twimg.com/profile_images/1241147984924082183/gZgx_hL-_normal.jpg")</f>
        <v>https://pbs.twimg.com/profile_images/1241147984924082183/gZgx_hL-_normal.jpg</v>
      </c>
      <c r="AW2829" s="82" t="s">
        <v>14425</v>
      </c>
      <c r="AX2829" s="82" t="s">
        <v>14425</v>
      </c>
      <c r="AY2829" s="77"/>
      <c r="AZ2829" s="82" t="s">
        <v>15984</v>
      </c>
      <c r="BA2829" s="82" t="s">
        <v>15984</v>
      </c>
      <c r="BB2829" s="82" t="s">
        <v>15984</v>
      </c>
      <c r="BC2829" s="82" t="s">
        <v>14425</v>
      </c>
      <c r="BD2829" s="82" t="s">
        <v>15979</v>
      </c>
      <c r="BE2829" s="77"/>
      <c r="BF2829" s="77"/>
      <c r="BG2829" s="77"/>
      <c r="BH2829" s="77"/>
      <c r="BI2829" s="77"/>
    </row>
    <row r="2830" spans="1:61" x14ac:dyDescent="0.25">
      <c r="A2830" s="62" t="s">
        <v>387</v>
      </c>
      <c r="B2830" s="62" t="s">
        <v>387</v>
      </c>
      <c r="C2830" s="63"/>
      <c r="D2830" s="64"/>
      <c r="E2830" s="65"/>
      <c r="F2830" s="66"/>
      <c r="G2830" s="63"/>
      <c r="H2830" s="67"/>
      <c r="I2830" s="68"/>
      <c r="J2830" s="68"/>
      <c r="K2830" s="32"/>
      <c r="L2830" s="75">
        <v>2830</v>
      </c>
      <c r="M2830" s="75"/>
      <c r="N2830" s="70"/>
      <c r="O2830" s="77" t="s">
        <v>179</v>
      </c>
      <c r="P2830" s="79">
        <v>45145.731168981481</v>
      </c>
      <c r="Q2830" s="77" t="s">
        <v>3502</v>
      </c>
      <c r="R2830" s="77">
        <v>1</v>
      </c>
      <c r="S2830" s="77">
        <v>3</v>
      </c>
      <c r="T2830" s="77">
        <v>1</v>
      </c>
      <c r="U2830" s="77">
        <v>0</v>
      </c>
      <c r="V2830" s="77">
        <v>538</v>
      </c>
      <c r="W2830" s="82" t="s">
        <v>4833</v>
      </c>
      <c r="X2830" s="80" t="str">
        <f>HYPERLINK("https://mla.bs/a938e75c")</f>
        <v>https://mla.bs/a938e75c</v>
      </c>
      <c r="Y2830" s="77" t="s">
        <v>6506</v>
      </c>
      <c r="Z2830" s="77"/>
      <c r="AA2830" s="77"/>
      <c r="AB2830" s="77"/>
      <c r="AC2830" s="82" t="s">
        <v>7754</v>
      </c>
      <c r="AD2830" s="77" t="s">
        <v>7788</v>
      </c>
      <c r="AE2830" s="80" t="str">
        <f>HYPERLINK("https://twitter.com/einvestidor/status/1688604135816409088")</f>
        <v>https://twitter.com/einvestidor/status/1688604135816409088</v>
      </c>
      <c r="AF2830" s="79">
        <v>45145.731168981481</v>
      </c>
      <c r="AG2830" s="85">
        <v>45145</v>
      </c>
      <c r="AH2830" s="82" t="s">
        <v>9835</v>
      </c>
      <c r="AI2830" s="77" t="b">
        <v>0</v>
      </c>
      <c r="AJ2830" s="77"/>
      <c r="AK2830" s="77"/>
      <c r="AL2830" s="77"/>
      <c r="AM2830" s="77"/>
      <c r="AN2830" s="77"/>
      <c r="AO2830" s="77"/>
      <c r="AP2830" s="77"/>
      <c r="AQ2830" s="77"/>
      <c r="AR2830" s="77"/>
      <c r="AS2830" s="77"/>
      <c r="AT2830" s="77"/>
      <c r="AU2830" s="77"/>
      <c r="AV2830" s="80" t="str">
        <f>HYPERLINK("https://pbs.twimg.com/profile_images/1241147984924082183/gZgx_hL-_normal.jpg")</f>
        <v>https://pbs.twimg.com/profile_images/1241147984924082183/gZgx_hL-_normal.jpg</v>
      </c>
      <c r="AW2830" s="82" t="s">
        <v>14426</v>
      </c>
      <c r="AX2830" s="82" t="s">
        <v>14426</v>
      </c>
      <c r="AY2830" s="77"/>
      <c r="AZ2830" s="82" t="s">
        <v>15984</v>
      </c>
      <c r="BA2830" s="82" t="s">
        <v>15984</v>
      </c>
      <c r="BB2830" s="82" t="s">
        <v>15984</v>
      </c>
      <c r="BC2830" s="82" t="s">
        <v>14426</v>
      </c>
      <c r="BD2830" s="82" t="s">
        <v>15979</v>
      </c>
      <c r="BE2830" s="77"/>
      <c r="BF2830" s="77"/>
      <c r="BG2830" s="77"/>
      <c r="BH2830" s="77"/>
      <c r="BI2830" s="77"/>
    </row>
    <row r="2831" spans="1:61" x14ac:dyDescent="0.25">
      <c r="A2831" s="62" t="s">
        <v>387</v>
      </c>
      <c r="B2831" s="62" t="s">
        <v>387</v>
      </c>
      <c r="C2831" s="63"/>
      <c r="D2831" s="64"/>
      <c r="E2831" s="65"/>
      <c r="F2831" s="66"/>
      <c r="G2831" s="63"/>
      <c r="H2831" s="67"/>
      <c r="I2831" s="68"/>
      <c r="J2831" s="68"/>
      <c r="K2831" s="32"/>
      <c r="L2831" s="75">
        <v>2831</v>
      </c>
      <c r="M2831" s="75"/>
      <c r="N2831" s="70"/>
      <c r="O2831" s="77" t="s">
        <v>179</v>
      </c>
      <c r="P2831" s="79">
        <v>45134.697916666664</v>
      </c>
      <c r="Q2831" s="77" t="s">
        <v>3503</v>
      </c>
      <c r="R2831" s="77">
        <v>0</v>
      </c>
      <c r="S2831" s="77">
        <v>1</v>
      </c>
      <c r="T2831" s="77">
        <v>0</v>
      </c>
      <c r="U2831" s="77">
        <v>0</v>
      </c>
      <c r="V2831" s="77">
        <v>478</v>
      </c>
      <c r="W2831" s="82" t="s">
        <v>4833</v>
      </c>
      <c r="X2831" s="80" t="str">
        <f>HYPERLINK("https://mla.bs/92272853")</f>
        <v>https://mla.bs/92272853</v>
      </c>
      <c r="Y2831" s="77" t="s">
        <v>6506</v>
      </c>
      <c r="Z2831" s="77"/>
      <c r="AA2831" s="77"/>
      <c r="AB2831" s="77"/>
      <c r="AC2831" s="82" t="s">
        <v>7754</v>
      </c>
      <c r="AD2831" s="77" t="s">
        <v>7788</v>
      </c>
      <c r="AE2831" s="80" t="str">
        <f>HYPERLINK("https://twitter.com/einvestidor/status/1684605818359181312")</f>
        <v>https://twitter.com/einvestidor/status/1684605818359181312</v>
      </c>
      <c r="AF2831" s="79">
        <v>45134.697916666664</v>
      </c>
      <c r="AG2831" s="85">
        <v>45134</v>
      </c>
      <c r="AH2831" s="82" t="s">
        <v>9659</v>
      </c>
      <c r="AI2831" s="77" t="b">
        <v>0</v>
      </c>
      <c r="AJ2831" s="77"/>
      <c r="AK2831" s="77"/>
      <c r="AL2831" s="77"/>
      <c r="AM2831" s="77"/>
      <c r="AN2831" s="77"/>
      <c r="AO2831" s="77"/>
      <c r="AP2831" s="77"/>
      <c r="AQ2831" s="77"/>
      <c r="AR2831" s="77"/>
      <c r="AS2831" s="77"/>
      <c r="AT2831" s="77"/>
      <c r="AU2831" s="77"/>
      <c r="AV2831" s="80" t="str">
        <f>HYPERLINK("https://pbs.twimg.com/profile_images/1241147984924082183/gZgx_hL-_normal.jpg")</f>
        <v>https://pbs.twimg.com/profile_images/1241147984924082183/gZgx_hL-_normal.jpg</v>
      </c>
      <c r="AW2831" s="82" t="s">
        <v>14427</v>
      </c>
      <c r="AX2831" s="82" t="s">
        <v>14427</v>
      </c>
      <c r="AY2831" s="77"/>
      <c r="AZ2831" s="82" t="s">
        <v>15984</v>
      </c>
      <c r="BA2831" s="82" t="s">
        <v>15984</v>
      </c>
      <c r="BB2831" s="82" t="s">
        <v>15984</v>
      </c>
      <c r="BC2831" s="82" t="s">
        <v>14427</v>
      </c>
      <c r="BD2831" s="82" t="s">
        <v>15979</v>
      </c>
      <c r="BE2831" s="77"/>
      <c r="BF2831" s="77"/>
      <c r="BG2831" s="77"/>
      <c r="BH2831" s="77"/>
      <c r="BI2831" s="77"/>
    </row>
    <row r="2832" spans="1:61" x14ac:dyDescent="0.25">
      <c r="A2832" s="62" t="s">
        <v>387</v>
      </c>
      <c r="B2832" s="62" t="s">
        <v>387</v>
      </c>
      <c r="C2832" s="63"/>
      <c r="D2832" s="64"/>
      <c r="E2832" s="65"/>
      <c r="F2832" s="66"/>
      <c r="G2832" s="63"/>
      <c r="H2832" s="67"/>
      <c r="I2832" s="68"/>
      <c r="J2832" s="68"/>
      <c r="K2832" s="32"/>
      <c r="L2832" s="75">
        <v>2832</v>
      </c>
      <c r="M2832" s="75"/>
      <c r="N2832" s="70"/>
      <c r="O2832" s="77" t="s">
        <v>179</v>
      </c>
      <c r="P2832" s="79">
        <v>45134.6875</v>
      </c>
      <c r="Q2832" s="77" t="s">
        <v>3504</v>
      </c>
      <c r="R2832" s="77">
        <v>0</v>
      </c>
      <c r="S2832" s="77">
        <v>0</v>
      </c>
      <c r="T2832" s="77">
        <v>0</v>
      </c>
      <c r="U2832" s="77">
        <v>0</v>
      </c>
      <c r="V2832" s="77">
        <v>505</v>
      </c>
      <c r="W2832" s="82" t="s">
        <v>4833</v>
      </c>
      <c r="X2832" s="80" t="str">
        <f>HYPERLINK("https://mla.bs/0e2168c2")</f>
        <v>https://mla.bs/0e2168c2</v>
      </c>
      <c r="Y2832" s="77" t="s">
        <v>6506</v>
      </c>
      <c r="Z2832" s="77"/>
      <c r="AA2832" s="77"/>
      <c r="AB2832" s="77"/>
      <c r="AC2832" s="82" t="s">
        <v>7754</v>
      </c>
      <c r="AD2832" s="77" t="s">
        <v>7788</v>
      </c>
      <c r="AE2832" s="80" t="str">
        <f>HYPERLINK("https://twitter.com/einvestidor/status/1684602043825094656")</f>
        <v>https://twitter.com/einvestidor/status/1684602043825094656</v>
      </c>
      <c r="AF2832" s="79">
        <v>45134.6875</v>
      </c>
      <c r="AG2832" s="85">
        <v>45134</v>
      </c>
      <c r="AH2832" s="82" t="s">
        <v>9286</v>
      </c>
      <c r="AI2832" s="77" t="b">
        <v>0</v>
      </c>
      <c r="AJ2832" s="77"/>
      <c r="AK2832" s="77"/>
      <c r="AL2832" s="77"/>
      <c r="AM2832" s="77"/>
      <c r="AN2832" s="77"/>
      <c r="AO2832" s="77"/>
      <c r="AP2832" s="77"/>
      <c r="AQ2832" s="77"/>
      <c r="AR2832" s="77"/>
      <c r="AS2832" s="77"/>
      <c r="AT2832" s="77"/>
      <c r="AU2832" s="77"/>
      <c r="AV2832" s="80" t="str">
        <f>HYPERLINK("https://pbs.twimg.com/profile_images/1241147984924082183/gZgx_hL-_normal.jpg")</f>
        <v>https://pbs.twimg.com/profile_images/1241147984924082183/gZgx_hL-_normal.jpg</v>
      </c>
      <c r="AW2832" s="82" t="s">
        <v>14428</v>
      </c>
      <c r="AX2832" s="82" t="s">
        <v>14428</v>
      </c>
      <c r="AY2832" s="77"/>
      <c r="AZ2832" s="82" t="s">
        <v>15984</v>
      </c>
      <c r="BA2832" s="82" t="s">
        <v>15984</v>
      </c>
      <c r="BB2832" s="82" t="s">
        <v>15984</v>
      </c>
      <c r="BC2832" s="82" t="s">
        <v>14428</v>
      </c>
      <c r="BD2832" s="82" t="s">
        <v>15979</v>
      </c>
      <c r="BE2832" s="77"/>
      <c r="BF2832" s="77"/>
      <c r="BG2832" s="77"/>
      <c r="BH2832" s="77"/>
      <c r="BI2832" s="77"/>
    </row>
    <row r="2833" spans="1:61" x14ac:dyDescent="0.25">
      <c r="A2833" s="62" t="s">
        <v>387</v>
      </c>
      <c r="B2833" s="62" t="s">
        <v>387</v>
      </c>
      <c r="C2833" s="63"/>
      <c r="D2833" s="64"/>
      <c r="E2833" s="65"/>
      <c r="F2833" s="66"/>
      <c r="G2833" s="63"/>
      <c r="H2833" s="67"/>
      <c r="I2833" s="68"/>
      <c r="J2833" s="68"/>
      <c r="K2833" s="32"/>
      <c r="L2833" s="75">
        <v>2833</v>
      </c>
      <c r="M2833" s="75"/>
      <c r="N2833" s="70"/>
      <c r="O2833" s="77" t="s">
        <v>179</v>
      </c>
      <c r="P2833" s="79">
        <v>45126.750462962962</v>
      </c>
      <c r="Q2833" s="77" t="s">
        <v>3505</v>
      </c>
      <c r="R2833" s="77">
        <v>0</v>
      </c>
      <c r="S2833" s="77">
        <v>0</v>
      </c>
      <c r="T2833" s="77">
        <v>0</v>
      </c>
      <c r="U2833" s="77">
        <v>0</v>
      </c>
      <c r="V2833" s="77">
        <v>523</v>
      </c>
      <c r="W2833" s="82" t="s">
        <v>4833</v>
      </c>
      <c r="X2833" s="80" t="str">
        <f>HYPERLINK("https://mla.bs/3a5dd492")</f>
        <v>https://mla.bs/3a5dd492</v>
      </c>
      <c r="Y2833" s="77" t="s">
        <v>6506</v>
      </c>
      <c r="Z2833" s="77"/>
      <c r="AA2833" s="77"/>
      <c r="AB2833" s="77"/>
      <c r="AC2833" s="82" t="s">
        <v>7757</v>
      </c>
      <c r="AD2833" s="77" t="s">
        <v>7788</v>
      </c>
      <c r="AE2833" s="80" t="str">
        <f>HYPERLINK("https://twitter.com/einvestidor/status/1681725757997891591")</f>
        <v>https://twitter.com/einvestidor/status/1681725757997891591</v>
      </c>
      <c r="AF2833" s="79">
        <v>45126.750462962962</v>
      </c>
      <c r="AG2833" s="85">
        <v>45126</v>
      </c>
      <c r="AH2833" s="82" t="s">
        <v>9836</v>
      </c>
      <c r="AI2833" s="77" t="b">
        <v>0</v>
      </c>
      <c r="AJ2833" s="77"/>
      <c r="AK2833" s="77"/>
      <c r="AL2833" s="77"/>
      <c r="AM2833" s="77"/>
      <c r="AN2833" s="77"/>
      <c r="AO2833" s="77"/>
      <c r="AP2833" s="77"/>
      <c r="AQ2833" s="77"/>
      <c r="AR2833" s="77"/>
      <c r="AS2833" s="77"/>
      <c r="AT2833" s="77"/>
      <c r="AU2833" s="77"/>
      <c r="AV2833" s="80" t="str">
        <f>HYPERLINK("https://pbs.twimg.com/profile_images/1241147984924082183/gZgx_hL-_normal.jpg")</f>
        <v>https://pbs.twimg.com/profile_images/1241147984924082183/gZgx_hL-_normal.jpg</v>
      </c>
      <c r="AW2833" s="82" t="s">
        <v>14429</v>
      </c>
      <c r="AX2833" s="82" t="s">
        <v>14429</v>
      </c>
      <c r="AY2833" s="77"/>
      <c r="AZ2833" s="82" t="s">
        <v>15984</v>
      </c>
      <c r="BA2833" s="82" t="s">
        <v>15984</v>
      </c>
      <c r="BB2833" s="82" t="s">
        <v>15984</v>
      </c>
      <c r="BC2833" s="82" t="s">
        <v>14429</v>
      </c>
      <c r="BD2833" s="82" t="s">
        <v>15979</v>
      </c>
      <c r="BE2833" s="77"/>
      <c r="BF2833" s="77"/>
      <c r="BG2833" s="77"/>
      <c r="BH2833" s="77"/>
      <c r="BI2833" s="77"/>
    </row>
    <row r="2834" spans="1:61" x14ac:dyDescent="0.25">
      <c r="A2834" s="62" t="s">
        <v>387</v>
      </c>
      <c r="B2834" s="62" t="s">
        <v>387</v>
      </c>
      <c r="C2834" s="63"/>
      <c r="D2834" s="64"/>
      <c r="E2834" s="65"/>
      <c r="F2834" s="66"/>
      <c r="G2834" s="63"/>
      <c r="H2834" s="67"/>
      <c r="I2834" s="68"/>
      <c r="J2834" s="68"/>
      <c r="K2834" s="32"/>
      <c r="L2834" s="75">
        <v>2834</v>
      </c>
      <c r="M2834" s="75"/>
      <c r="N2834" s="70"/>
      <c r="O2834" s="77" t="s">
        <v>179</v>
      </c>
      <c r="P2834" s="79">
        <v>45126.736180555556</v>
      </c>
      <c r="Q2834" s="77" t="s">
        <v>3506</v>
      </c>
      <c r="R2834" s="77">
        <v>0</v>
      </c>
      <c r="S2834" s="77">
        <v>1</v>
      </c>
      <c r="T2834" s="77">
        <v>0</v>
      </c>
      <c r="U2834" s="77">
        <v>0</v>
      </c>
      <c r="V2834" s="77">
        <v>508</v>
      </c>
      <c r="W2834" s="82" t="s">
        <v>4833</v>
      </c>
      <c r="X2834" s="80" t="str">
        <f>HYPERLINK("https://mla.bs/2c124468")</f>
        <v>https://mla.bs/2c124468</v>
      </c>
      <c r="Y2834" s="77" t="s">
        <v>6506</v>
      </c>
      <c r="Z2834" s="77"/>
      <c r="AA2834" s="77"/>
      <c r="AB2834" s="77"/>
      <c r="AC2834" s="82" t="s">
        <v>7757</v>
      </c>
      <c r="AD2834" s="77" t="s">
        <v>7788</v>
      </c>
      <c r="AE2834" s="80" t="str">
        <f>HYPERLINK("https://twitter.com/einvestidor/status/1681720584235827205")</f>
        <v>https://twitter.com/einvestidor/status/1681720584235827205</v>
      </c>
      <c r="AF2834" s="79">
        <v>45126.736180555556</v>
      </c>
      <c r="AG2834" s="85">
        <v>45126</v>
      </c>
      <c r="AH2834" s="82" t="s">
        <v>9615</v>
      </c>
      <c r="AI2834" s="77" t="b">
        <v>0</v>
      </c>
      <c r="AJ2834" s="77"/>
      <c r="AK2834" s="77"/>
      <c r="AL2834" s="77"/>
      <c r="AM2834" s="77"/>
      <c r="AN2834" s="77"/>
      <c r="AO2834" s="77"/>
      <c r="AP2834" s="77"/>
      <c r="AQ2834" s="77"/>
      <c r="AR2834" s="77"/>
      <c r="AS2834" s="77"/>
      <c r="AT2834" s="77"/>
      <c r="AU2834" s="77"/>
      <c r="AV2834" s="80" t="str">
        <f>HYPERLINK("https://pbs.twimg.com/profile_images/1241147984924082183/gZgx_hL-_normal.jpg")</f>
        <v>https://pbs.twimg.com/profile_images/1241147984924082183/gZgx_hL-_normal.jpg</v>
      </c>
      <c r="AW2834" s="82" t="s">
        <v>14430</v>
      </c>
      <c r="AX2834" s="82" t="s">
        <v>14430</v>
      </c>
      <c r="AY2834" s="77"/>
      <c r="AZ2834" s="82" t="s">
        <v>15984</v>
      </c>
      <c r="BA2834" s="82" t="s">
        <v>15984</v>
      </c>
      <c r="BB2834" s="82" t="s">
        <v>15984</v>
      </c>
      <c r="BC2834" s="82" t="s">
        <v>14430</v>
      </c>
      <c r="BD2834" s="82" t="s">
        <v>15979</v>
      </c>
      <c r="BE2834" s="77"/>
      <c r="BF2834" s="77"/>
      <c r="BG2834" s="77"/>
      <c r="BH2834" s="77"/>
      <c r="BI2834" s="77"/>
    </row>
    <row r="2835" spans="1:61" x14ac:dyDescent="0.25">
      <c r="A2835" s="62" t="s">
        <v>387</v>
      </c>
      <c r="B2835" s="62" t="s">
        <v>387</v>
      </c>
      <c r="C2835" s="63"/>
      <c r="D2835" s="64"/>
      <c r="E2835" s="65"/>
      <c r="F2835" s="66"/>
      <c r="G2835" s="63"/>
      <c r="H2835" s="67"/>
      <c r="I2835" s="68"/>
      <c r="J2835" s="68"/>
      <c r="K2835" s="32"/>
      <c r="L2835" s="75">
        <v>2835</v>
      </c>
      <c r="M2835" s="75"/>
      <c r="N2835" s="70"/>
      <c r="O2835" s="77" t="s">
        <v>179</v>
      </c>
      <c r="P2835" s="79">
        <v>45126.722337962965</v>
      </c>
      <c r="Q2835" s="77" t="s">
        <v>3507</v>
      </c>
      <c r="R2835" s="77">
        <v>0</v>
      </c>
      <c r="S2835" s="77">
        <v>2</v>
      </c>
      <c r="T2835" s="77">
        <v>0</v>
      </c>
      <c r="U2835" s="77">
        <v>0</v>
      </c>
      <c r="V2835" s="77">
        <v>680</v>
      </c>
      <c r="W2835" s="82" t="s">
        <v>4833</v>
      </c>
      <c r="X2835" s="80" t="str">
        <f>HYPERLINK("https://mla.bs/d645f3f6")</f>
        <v>https://mla.bs/d645f3f6</v>
      </c>
      <c r="Y2835" s="77" t="s">
        <v>6506</v>
      </c>
      <c r="Z2835" s="77"/>
      <c r="AA2835" s="77"/>
      <c r="AB2835" s="77"/>
      <c r="AC2835" s="82" t="s">
        <v>7757</v>
      </c>
      <c r="AD2835" s="77" t="s">
        <v>7788</v>
      </c>
      <c r="AE2835" s="80" t="str">
        <f>HYPERLINK("https://twitter.com/einvestidor/status/1681715566451597314")</f>
        <v>https://twitter.com/einvestidor/status/1681715566451597314</v>
      </c>
      <c r="AF2835" s="79">
        <v>45126.722337962965</v>
      </c>
      <c r="AG2835" s="85">
        <v>45126</v>
      </c>
      <c r="AH2835" s="82" t="s">
        <v>9837</v>
      </c>
      <c r="AI2835" s="77" t="b">
        <v>0</v>
      </c>
      <c r="AJ2835" s="77"/>
      <c r="AK2835" s="77"/>
      <c r="AL2835" s="77"/>
      <c r="AM2835" s="77"/>
      <c r="AN2835" s="77"/>
      <c r="AO2835" s="77"/>
      <c r="AP2835" s="77"/>
      <c r="AQ2835" s="77"/>
      <c r="AR2835" s="77"/>
      <c r="AS2835" s="77"/>
      <c r="AT2835" s="77"/>
      <c r="AU2835" s="77"/>
      <c r="AV2835" s="80" t="str">
        <f>HYPERLINK("https://pbs.twimg.com/profile_images/1241147984924082183/gZgx_hL-_normal.jpg")</f>
        <v>https://pbs.twimg.com/profile_images/1241147984924082183/gZgx_hL-_normal.jpg</v>
      </c>
      <c r="AW2835" s="82" t="s">
        <v>14431</v>
      </c>
      <c r="AX2835" s="82" t="s">
        <v>14431</v>
      </c>
      <c r="AY2835" s="77"/>
      <c r="AZ2835" s="82" t="s">
        <v>15984</v>
      </c>
      <c r="BA2835" s="82" t="s">
        <v>15984</v>
      </c>
      <c r="BB2835" s="82" t="s">
        <v>15984</v>
      </c>
      <c r="BC2835" s="82" t="s">
        <v>14431</v>
      </c>
      <c r="BD2835" s="82" t="s">
        <v>15979</v>
      </c>
      <c r="BE2835" s="77"/>
      <c r="BF2835" s="77"/>
      <c r="BG2835" s="77"/>
      <c r="BH2835" s="77"/>
      <c r="BI2835" s="77"/>
    </row>
    <row r="2836" spans="1:61" x14ac:dyDescent="0.25">
      <c r="A2836" s="62" t="s">
        <v>387</v>
      </c>
      <c r="B2836" s="62" t="s">
        <v>387</v>
      </c>
      <c r="C2836" s="63"/>
      <c r="D2836" s="64"/>
      <c r="E2836" s="65"/>
      <c r="F2836" s="66"/>
      <c r="G2836" s="63"/>
      <c r="H2836" s="67"/>
      <c r="I2836" s="68"/>
      <c r="J2836" s="68"/>
      <c r="K2836" s="32"/>
      <c r="L2836" s="75">
        <v>2836</v>
      </c>
      <c r="M2836" s="75"/>
      <c r="N2836" s="70"/>
      <c r="O2836" s="77" t="s">
        <v>179</v>
      </c>
      <c r="P2836" s="79">
        <v>45126.639236111114</v>
      </c>
      <c r="Q2836" s="77" t="s">
        <v>3508</v>
      </c>
      <c r="R2836" s="77">
        <v>0</v>
      </c>
      <c r="S2836" s="77">
        <v>1</v>
      </c>
      <c r="T2836" s="77">
        <v>0</v>
      </c>
      <c r="U2836" s="77">
        <v>0</v>
      </c>
      <c r="V2836" s="77">
        <v>481</v>
      </c>
      <c r="W2836" s="82" t="s">
        <v>4833</v>
      </c>
      <c r="X2836" s="80" t="str">
        <f>HYPERLINK("https://mla.bs/c424b37f")</f>
        <v>https://mla.bs/c424b37f</v>
      </c>
      <c r="Y2836" s="77" t="s">
        <v>6506</v>
      </c>
      <c r="Z2836" s="77"/>
      <c r="AA2836" s="77"/>
      <c r="AB2836" s="77"/>
      <c r="AC2836" s="82" t="s">
        <v>7750</v>
      </c>
      <c r="AD2836" s="77" t="s">
        <v>7788</v>
      </c>
      <c r="AE2836" s="80" t="str">
        <f>HYPERLINK("https://twitter.com/einvestidor/status/1681685449528553473")</f>
        <v>https://twitter.com/einvestidor/status/1681685449528553473</v>
      </c>
      <c r="AF2836" s="79">
        <v>45126.639236111114</v>
      </c>
      <c r="AG2836" s="85">
        <v>45126</v>
      </c>
      <c r="AH2836" s="82" t="s">
        <v>9838</v>
      </c>
      <c r="AI2836" s="77" t="b">
        <v>0</v>
      </c>
      <c r="AJ2836" s="77"/>
      <c r="AK2836" s="77"/>
      <c r="AL2836" s="77"/>
      <c r="AM2836" s="77"/>
      <c r="AN2836" s="77"/>
      <c r="AO2836" s="77"/>
      <c r="AP2836" s="77"/>
      <c r="AQ2836" s="77"/>
      <c r="AR2836" s="77"/>
      <c r="AS2836" s="77"/>
      <c r="AT2836" s="77"/>
      <c r="AU2836" s="77"/>
      <c r="AV2836" s="80" t="str">
        <f>HYPERLINK("https://pbs.twimg.com/profile_images/1241147984924082183/gZgx_hL-_normal.jpg")</f>
        <v>https://pbs.twimg.com/profile_images/1241147984924082183/gZgx_hL-_normal.jpg</v>
      </c>
      <c r="AW2836" s="82" t="s">
        <v>14432</v>
      </c>
      <c r="AX2836" s="82" t="s">
        <v>14432</v>
      </c>
      <c r="AY2836" s="77"/>
      <c r="AZ2836" s="82" t="s">
        <v>15984</v>
      </c>
      <c r="BA2836" s="82" t="s">
        <v>15984</v>
      </c>
      <c r="BB2836" s="82" t="s">
        <v>15984</v>
      </c>
      <c r="BC2836" s="82" t="s">
        <v>14432</v>
      </c>
      <c r="BD2836" s="82" t="s">
        <v>15979</v>
      </c>
      <c r="BE2836" s="77"/>
      <c r="BF2836" s="77"/>
      <c r="BG2836" s="77"/>
      <c r="BH2836" s="77"/>
      <c r="BI2836" s="77"/>
    </row>
    <row r="2837" spans="1:61" x14ac:dyDescent="0.25">
      <c r="A2837" s="62" t="s">
        <v>387</v>
      </c>
      <c r="B2837" s="62" t="s">
        <v>387</v>
      </c>
      <c r="C2837" s="63"/>
      <c r="D2837" s="64"/>
      <c r="E2837" s="65"/>
      <c r="F2837" s="66"/>
      <c r="G2837" s="63"/>
      <c r="H2837" s="67"/>
      <c r="I2837" s="68"/>
      <c r="J2837" s="68"/>
      <c r="K2837" s="32"/>
      <c r="L2837" s="75">
        <v>2837</v>
      </c>
      <c r="M2837" s="75"/>
      <c r="N2837" s="70"/>
      <c r="O2837" s="77" t="s">
        <v>179</v>
      </c>
      <c r="P2837" s="79">
        <v>45126.637233796297</v>
      </c>
      <c r="Q2837" s="77" t="s">
        <v>3509</v>
      </c>
      <c r="R2837" s="77">
        <v>0</v>
      </c>
      <c r="S2837" s="77">
        <v>1</v>
      </c>
      <c r="T2837" s="77">
        <v>0</v>
      </c>
      <c r="U2837" s="77">
        <v>0</v>
      </c>
      <c r="V2837" s="77">
        <v>430</v>
      </c>
      <c r="W2837" s="82" t="s">
        <v>4833</v>
      </c>
      <c r="X2837" s="80" t="str">
        <f>HYPERLINK("https://mla.bs/a3948675")</f>
        <v>https://mla.bs/a3948675</v>
      </c>
      <c r="Y2837" s="77" t="s">
        <v>6506</v>
      </c>
      <c r="Z2837" s="77"/>
      <c r="AA2837" s="77"/>
      <c r="AB2837" s="77"/>
      <c r="AC2837" s="82" t="s">
        <v>7750</v>
      </c>
      <c r="AD2837" s="77" t="s">
        <v>7788</v>
      </c>
      <c r="AE2837" s="80" t="str">
        <f>HYPERLINK("https://twitter.com/einvestidor/status/1681684727529340928")</f>
        <v>https://twitter.com/einvestidor/status/1681684727529340928</v>
      </c>
      <c r="AF2837" s="79">
        <v>45126.637233796297</v>
      </c>
      <c r="AG2837" s="85">
        <v>45126</v>
      </c>
      <c r="AH2837" s="82" t="s">
        <v>9839</v>
      </c>
      <c r="AI2837" s="77" t="b">
        <v>0</v>
      </c>
      <c r="AJ2837" s="77"/>
      <c r="AK2837" s="77"/>
      <c r="AL2837" s="77"/>
      <c r="AM2837" s="77"/>
      <c r="AN2837" s="77"/>
      <c r="AO2837" s="77"/>
      <c r="AP2837" s="77"/>
      <c r="AQ2837" s="77"/>
      <c r="AR2837" s="77"/>
      <c r="AS2837" s="77"/>
      <c r="AT2837" s="77"/>
      <c r="AU2837" s="77"/>
      <c r="AV2837" s="80" t="str">
        <f>HYPERLINK("https://pbs.twimg.com/profile_images/1241147984924082183/gZgx_hL-_normal.jpg")</f>
        <v>https://pbs.twimg.com/profile_images/1241147984924082183/gZgx_hL-_normal.jpg</v>
      </c>
      <c r="AW2837" s="82" t="s">
        <v>14433</v>
      </c>
      <c r="AX2837" s="82" t="s">
        <v>14433</v>
      </c>
      <c r="AY2837" s="77"/>
      <c r="AZ2837" s="82" t="s">
        <v>15984</v>
      </c>
      <c r="BA2837" s="82" t="s">
        <v>15984</v>
      </c>
      <c r="BB2837" s="82" t="s">
        <v>15984</v>
      </c>
      <c r="BC2837" s="82" t="s">
        <v>14433</v>
      </c>
      <c r="BD2837" s="82" t="s">
        <v>15979</v>
      </c>
      <c r="BE2837" s="77"/>
      <c r="BF2837" s="77"/>
      <c r="BG2837" s="77"/>
      <c r="BH2837" s="77"/>
      <c r="BI2837" s="77"/>
    </row>
    <row r="2838" spans="1:61" x14ac:dyDescent="0.25">
      <c r="A2838" s="62" t="s">
        <v>387</v>
      </c>
      <c r="B2838" s="62" t="s">
        <v>387</v>
      </c>
      <c r="C2838" s="63"/>
      <c r="D2838" s="64"/>
      <c r="E2838" s="65"/>
      <c r="F2838" s="66"/>
      <c r="G2838" s="63"/>
      <c r="H2838" s="67"/>
      <c r="I2838" s="68"/>
      <c r="J2838" s="68"/>
      <c r="K2838" s="32"/>
      <c r="L2838" s="75">
        <v>2838</v>
      </c>
      <c r="M2838" s="75"/>
      <c r="N2838" s="70"/>
      <c r="O2838" s="77" t="s">
        <v>898</v>
      </c>
      <c r="P2838" s="79">
        <v>45126.63685185185</v>
      </c>
      <c r="Q2838" s="77" t="s">
        <v>3510</v>
      </c>
      <c r="R2838" s="77">
        <v>1</v>
      </c>
      <c r="S2838" s="77">
        <v>2</v>
      </c>
      <c r="T2838" s="77">
        <v>2</v>
      </c>
      <c r="U2838" s="77">
        <v>0</v>
      </c>
      <c r="V2838" s="77">
        <v>821</v>
      </c>
      <c r="W2838" s="82" t="s">
        <v>4833</v>
      </c>
      <c r="X2838" s="80" t="str">
        <f>HYPERLINK("https://mla.bs/d0414b10")</f>
        <v>https://mla.bs/d0414b10</v>
      </c>
      <c r="Y2838" s="77" t="s">
        <v>6506</v>
      </c>
      <c r="Z2838" s="77"/>
      <c r="AA2838" s="77"/>
      <c r="AB2838" s="77"/>
      <c r="AC2838" s="82" t="s">
        <v>7750</v>
      </c>
      <c r="AD2838" s="77" t="s">
        <v>7788</v>
      </c>
      <c r="AE2838" s="80" t="str">
        <f>HYPERLINK("https://twitter.com/einvestidor/status/1681684587036958720")</f>
        <v>https://twitter.com/einvestidor/status/1681684587036958720</v>
      </c>
      <c r="AF2838" s="79">
        <v>45126.63685185185</v>
      </c>
      <c r="AG2838" s="85">
        <v>45126</v>
      </c>
      <c r="AH2838" s="82" t="s">
        <v>9840</v>
      </c>
      <c r="AI2838" s="77" t="b">
        <v>0</v>
      </c>
      <c r="AJ2838" s="77"/>
      <c r="AK2838" s="77"/>
      <c r="AL2838" s="77"/>
      <c r="AM2838" s="77"/>
      <c r="AN2838" s="77"/>
      <c r="AO2838" s="77"/>
      <c r="AP2838" s="77"/>
      <c r="AQ2838" s="77"/>
      <c r="AR2838" s="77"/>
      <c r="AS2838" s="77"/>
      <c r="AT2838" s="77"/>
      <c r="AU2838" s="77"/>
      <c r="AV2838" s="80" t="str">
        <f>HYPERLINK("https://pbs.twimg.com/profile_images/1241147984924082183/gZgx_hL-_normal.jpg")</f>
        <v>https://pbs.twimg.com/profile_images/1241147984924082183/gZgx_hL-_normal.jpg</v>
      </c>
      <c r="AW2838" s="82" t="s">
        <v>14434</v>
      </c>
      <c r="AX2838" s="82" t="s">
        <v>14436</v>
      </c>
      <c r="AY2838" s="82" t="s">
        <v>15979</v>
      </c>
      <c r="AZ2838" s="82" t="s">
        <v>14435</v>
      </c>
      <c r="BA2838" s="82" t="s">
        <v>15984</v>
      </c>
      <c r="BB2838" s="82" t="s">
        <v>15984</v>
      </c>
      <c r="BC2838" s="82" t="s">
        <v>14435</v>
      </c>
      <c r="BD2838" s="82" t="s">
        <v>15979</v>
      </c>
      <c r="BE2838" s="77"/>
      <c r="BF2838" s="77"/>
      <c r="BG2838" s="77"/>
      <c r="BH2838" s="77"/>
      <c r="BI2838" s="77"/>
    </row>
    <row r="2839" spans="1:61" x14ac:dyDescent="0.25">
      <c r="A2839" s="62" t="s">
        <v>387</v>
      </c>
      <c r="B2839" s="62" t="s">
        <v>387</v>
      </c>
      <c r="C2839" s="63"/>
      <c r="D2839" s="64"/>
      <c r="E2839" s="65"/>
      <c r="F2839" s="66"/>
      <c r="G2839" s="63"/>
      <c r="H2839" s="67"/>
      <c r="I2839" s="68"/>
      <c r="J2839" s="68"/>
      <c r="K2839" s="32"/>
      <c r="L2839" s="75">
        <v>2839</v>
      </c>
      <c r="M2839" s="75"/>
      <c r="N2839" s="70"/>
      <c r="O2839" s="77" t="s">
        <v>898</v>
      </c>
      <c r="P2839" s="79">
        <v>45126.636608796296</v>
      </c>
      <c r="Q2839" s="77" t="s">
        <v>3511</v>
      </c>
      <c r="R2839" s="77">
        <v>0</v>
      </c>
      <c r="S2839" s="77">
        <v>1</v>
      </c>
      <c r="T2839" s="77">
        <v>1</v>
      </c>
      <c r="U2839" s="77">
        <v>0</v>
      </c>
      <c r="V2839" s="77">
        <v>498</v>
      </c>
      <c r="W2839" s="82" t="s">
        <v>4833</v>
      </c>
      <c r="X2839" s="80" t="str">
        <f>HYPERLINK("https://mla.bs/f8bdf8ba")</f>
        <v>https://mla.bs/f8bdf8ba</v>
      </c>
      <c r="Y2839" s="77" t="s">
        <v>6506</v>
      </c>
      <c r="Z2839" s="77"/>
      <c r="AA2839" s="77"/>
      <c r="AB2839" s="77"/>
      <c r="AC2839" s="82" t="s">
        <v>7750</v>
      </c>
      <c r="AD2839" s="77" t="s">
        <v>7788</v>
      </c>
      <c r="AE2839" s="80" t="str">
        <f>HYPERLINK("https://twitter.com/einvestidor/status/1681684497853497345")</f>
        <v>https://twitter.com/einvestidor/status/1681684497853497345</v>
      </c>
      <c r="AF2839" s="79">
        <v>45126.636608796296</v>
      </c>
      <c r="AG2839" s="85">
        <v>45126</v>
      </c>
      <c r="AH2839" s="82" t="s">
        <v>9841</v>
      </c>
      <c r="AI2839" s="77" t="b">
        <v>0</v>
      </c>
      <c r="AJ2839" s="77"/>
      <c r="AK2839" s="77"/>
      <c r="AL2839" s="77"/>
      <c r="AM2839" s="77"/>
      <c r="AN2839" s="77"/>
      <c r="AO2839" s="77"/>
      <c r="AP2839" s="77"/>
      <c r="AQ2839" s="77"/>
      <c r="AR2839" s="77"/>
      <c r="AS2839" s="77"/>
      <c r="AT2839" s="77"/>
      <c r="AU2839" s="77"/>
      <c r="AV2839" s="80" t="str">
        <f>HYPERLINK("https://pbs.twimg.com/profile_images/1241147984924082183/gZgx_hL-_normal.jpg")</f>
        <v>https://pbs.twimg.com/profile_images/1241147984924082183/gZgx_hL-_normal.jpg</v>
      </c>
      <c r="AW2839" s="82" t="s">
        <v>14435</v>
      </c>
      <c r="AX2839" s="82" t="s">
        <v>14436</v>
      </c>
      <c r="AY2839" s="82" t="s">
        <v>15979</v>
      </c>
      <c r="AZ2839" s="82" t="s">
        <v>14436</v>
      </c>
      <c r="BA2839" s="82" t="s">
        <v>15984</v>
      </c>
      <c r="BB2839" s="82" t="s">
        <v>15984</v>
      </c>
      <c r="BC2839" s="82" t="s">
        <v>14436</v>
      </c>
      <c r="BD2839" s="82" t="s">
        <v>15979</v>
      </c>
      <c r="BE2839" s="77"/>
      <c r="BF2839" s="77"/>
      <c r="BG2839" s="77"/>
      <c r="BH2839" s="77"/>
      <c r="BI2839" s="77"/>
    </row>
    <row r="2840" spans="1:61" x14ac:dyDescent="0.25">
      <c r="A2840" s="62" t="s">
        <v>387</v>
      </c>
      <c r="B2840" s="62" t="s">
        <v>387</v>
      </c>
      <c r="C2840" s="63"/>
      <c r="D2840" s="64"/>
      <c r="E2840" s="65"/>
      <c r="F2840" s="66"/>
      <c r="G2840" s="63"/>
      <c r="H2840" s="67"/>
      <c r="I2840" s="68"/>
      <c r="J2840" s="68"/>
      <c r="K2840" s="32"/>
      <c r="L2840" s="75">
        <v>2840</v>
      </c>
      <c r="M2840" s="75"/>
      <c r="N2840" s="70"/>
      <c r="O2840" s="77" t="s">
        <v>179</v>
      </c>
      <c r="P2840" s="79">
        <v>45126.636481481481</v>
      </c>
      <c r="Q2840" s="77" t="s">
        <v>3512</v>
      </c>
      <c r="R2840" s="77">
        <v>1</v>
      </c>
      <c r="S2840" s="77">
        <v>7</v>
      </c>
      <c r="T2840" s="77">
        <v>2</v>
      </c>
      <c r="U2840" s="77">
        <v>0</v>
      </c>
      <c r="V2840" s="77">
        <v>2740</v>
      </c>
      <c r="W2840" s="82" t="s">
        <v>4833</v>
      </c>
      <c r="X2840" s="80" t="str">
        <f>HYPERLINK("https://mla.bs/712c81c7")</f>
        <v>https://mla.bs/712c81c7</v>
      </c>
      <c r="Y2840" s="77" t="s">
        <v>6506</v>
      </c>
      <c r="Z2840" s="77"/>
      <c r="AA2840" s="77"/>
      <c r="AB2840" s="77"/>
      <c r="AC2840" s="82" t="s">
        <v>7750</v>
      </c>
      <c r="AD2840" s="77" t="s">
        <v>7788</v>
      </c>
      <c r="AE2840" s="80" t="str">
        <f>HYPERLINK("https://twitter.com/einvestidor/status/1681684454098468866")</f>
        <v>https://twitter.com/einvestidor/status/1681684454098468866</v>
      </c>
      <c r="AF2840" s="79">
        <v>45126.636481481481</v>
      </c>
      <c r="AG2840" s="85">
        <v>45126</v>
      </c>
      <c r="AH2840" s="82" t="s">
        <v>9842</v>
      </c>
      <c r="AI2840" s="77" t="b">
        <v>0</v>
      </c>
      <c r="AJ2840" s="77"/>
      <c r="AK2840" s="77"/>
      <c r="AL2840" s="77"/>
      <c r="AM2840" s="77"/>
      <c r="AN2840" s="77"/>
      <c r="AO2840" s="77"/>
      <c r="AP2840" s="77"/>
      <c r="AQ2840" s="77"/>
      <c r="AR2840" s="77"/>
      <c r="AS2840" s="77"/>
      <c r="AT2840" s="77"/>
      <c r="AU2840" s="77"/>
      <c r="AV2840" s="80" t="str">
        <f>HYPERLINK("https://pbs.twimg.com/profile_images/1241147984924082183/gZgx_hL-_normal.jpg")</f>
        <v>https://pbs.twimg.com/profile_images/1241147984924082183/gZgx_hL-_normal.jpg</v>
      </c>
      <c r="AW2840" s="82" t="s">
        <v>14436</v>
      </c>
      <c r="AX2840" s="82" t="s">
        <v>14436</v>
      </c>
      <c r="AY2840" s="77"/>
      <c r="AZ2840" s="82" t="s">
        <v>15984</v>
      </c>
      <c r="BA2840" s="82" t="s">
        <v>15984</v>
      </c>
      <c r="BB2840" s="82" t="s">
        <v>15984</v>
      </c>
      <c r="BC2840" s="82" t="s">
        <v>14436</v>
      </c>
      <c r="BD2840" s="82" t="s">
        <v>15979</v>
      </c>
      <c r="BE2840" s="77"/>
      <c r="BF2840" s="77"/>
      <c r="BG2840" s="77"/>
      <c r="BH2840" s="77"/>
      <c r="BI2840" s="77"/>
    </row>
    <row r="2841" spans="1:61" x14ac:dyDescent="0.25">
      <c r="A2841" s="62" t="s">
        <v>387</v>
      </c>
      <c r="B2841" s="62" t="s">
        <v>387</v>
      </c>
      <c r="C2841" s="63"/>
      <c r="D2841" s="64"/>
      <c r="E2841" s="65"/>
      <c r="F2841" s="66"/>
      <c r="G2841" s="63"/>
      <c r="H2841" s="67"/>
      <c r="I2841" s="68"/>
      <c r="J2841" s="68"/>
      <c r="K2841" s="32"/>
      <c r="L2841" s="75">
        <v>2841</v>
      </c>
      <c r="M2841" s="75"/>
      <c r="N2841" s="70"/>
      <c r="O2841" s="77" t="s">
        <v>179</v>
      </c>
      <c r="P2841" s="79">
        <v>45126.634050925924</v>
      </c>
      <c r="Q2841" s="77" t="s">
        <v>3513</v>
      </c>
      <c r="R2841" s="77">
        <v>0</v>
      </c>
      <c r="S2841" s="77">
        <v>0</v>
      </c>
      <c r="T2841" s="77">
        <v>0</v>
      </c>
      <c r="U2841" s="77">
        <v>0</v>
      </c>
      <c r="V2841" s="77">
        <v>380</v>
      </c>
      <c r="W2841" s="82" t="s">
        <v>4833</v>
      </c>
      <c r="X2841" s="80" t="str">
        <f>HYPERLINK("https://mla.bs/62021f5c")</f>
        <v>https://mla.bs/62021f5c</v>
      </c>
      <c r="Y2841" s="77" t="s">
        <v>6506</v>
      </c>
      <c r="Z2841" s="77"/>
      <c r="AA2841" s="77"/>
      <c r="AB2841" s="77"/>
      <c r="AC2841" s="82" t="s">
        <v>7750</v>
      </c>
      <c r="AD2841" s="77" t="s">
        <v>7788</v>
      </c>
      <c r="AE2841" s="80" t="str">
        <f>HYPERLINK("https://twitter.com/einvestidor/status/1681683574196518912")</f>
        <v>https://twitter.com/einvestidor/status/1681683574196518912</v>
      </c>
      <c r="AF2841" s="79">
        <v>45126.634050925924</v>
      </c>
      <c r="AG2841" s="85">
        <v>45126</v>
      </c>
      <c r="AH2841" s="82" t="s">
        <v>9843</v>
      </c>
      <c r="AI2841" s="77" t="b">
        <v>0</v>
      </c>
      <c r="AJ2841" s="77"/>
      <c r="AK2841" s="77"/>
      <c r="AL2841" s="77"/>
      <c r="AM2841" s="77"/>
      <c r="AN2841" s="77"/>
      <c r="AO2841" s="77"/>
      <c r="AP2841" s="77"/>
      <c r="AQ2841" s="77"/>
      <c r="AR2841" s="77"/>
      <c r="AS2841" s="77"/>
      <c r="AT2841" s="77"/>
      <c r="AU2841" s="77"/>
      <c r="AV2841" s="80" t="str">
        <f>HYPERLINK("https://pbs.twimg.com/profile_images/1241147984924082183/gZgx_hL-_normal.jpg")</f>
        <v>https://pbs.twimg.com/profile_images/1241147984924082183/gZgx_hL-_normal.jpg</v>
      </c>
      <c r="AW2841" s="82" t="s">
        <v>14437</v>
      </c>
      <c r="AX2841" s="82" t="s">
        <v>14437</v>
      </c>
      <c r="AY2841" s="77"/>
      <c r="AZ2841" s="82" t="s">
        <v>15984</v>
      </c>
      <c r="BA2841" s="82" t="s">
        <v>15984</v>
      </c>
      <c r="BB2841" s="82" t="s">
        <v>15984</v>
      </c>
      <c r="BC2841" s="82" t="s">
        <v>14437</v>
      </c>
      <c r="BD2841" s="82" t="s">
        <v>15979</v>
      </c>
      <c r="BE2841" s="77"/>
      <c r="BF2841" s="77"/>
      <c r="BG2841" s="77"/>
      <c r="BH2841" s="77"/>
      <c r="BI2841" s="77"/>
    </row>
    <row r="2842" spans="1:61" x14ac:dyDescent="0.25">
      <c r="A2842" s="62" t="s">
        <v>387</v>
      </c>
      <c r="B2842" s="62" t="s">
        <v>387</v>
      </c>
      <c r="C2842" s="63"/>
      <c r="D2842" s="64"/>
      <c r="E2842" s="65"/>
      <c r="F2842" s="66"/>
      <c r="G2842" s="63"/>
      <c r="H2842" s="67"/>
      <c r="I2842" s="68"/>
      <c r="J2842" s="68"/>
      <c r="K2842" s="32"/>
      <c r="L2842" s="75">
        <v>2842</v>
      </c>
      <c r="M2842" s="75"/>
      <c r="N2842" s="70"/>
      <c r="O2842" s="77" t="s">
        <v>179</v>
      </c>
      <c r="P2842" s="79">
        <v>45126.627453703702</v>
      </c>
      <c r="Q2842" s="77" t="s">
        <v>3514</v>
      </c>
      <c r="R2842" s="77">
        <v>0</v>
      </c>
      <c r="S2842" s="77">
        <v>0</v>
      </c>
      <c r="T2842" s="77">
        <v>0</v>
      </c>
      <c r="U2842" s="77">
        <v>0</v>
      </c>
      <c r="V2842" s="77">
        <v>449</v>
      </c>
      <c r="W2842" s="82" t="s">
        <v>4833</v>
      </c>
      <c r="X2842" s="80" t="str">
        <f>HYPERLINK("https://mla.bs/20660c36")</f>
        <v>https://mla.bs/20660c36</v>
      </c>
      <c r="Y2842" s="77" t="s">
        <v>6506</v>
      </c>
      <c r="Z2842" s="77"/>
      <c r="AA2842" s="77"/>
      <c r="AB2842" s="77"/>
      <c r="AC2842" s="82" t="s">
        <v>7750</v>
      </c>
      <c r="AD2842" s="77" t="s">
        <v>7788</v>
      </c>
      <c r="AE2842" s="80" t="str">
        <f>HYPERLINK("https://twitter.com/einvestidor/status/1681681183048859649")</f>
        <v>https://twitter.com/einvestidor/status/1681681183048859649</v>
      </c>
      <c r="AF2842" s="79">
        <v>45126.627453703702</v>
      </c>
      <c r="AG2842" s="85">
        <v>45126</v>
      </c>
      <c r="AH2842" s="82" t="s">
        <v>8609</v>
      </c>
      <c r="AI2842" s="77" t="b">
        <v>0</v>
      </c>
      <c r="AJ2842" s="77"/>
      <c r="AK2842" s="77"/>
      <c r="AL2842" s="77"/>
      <c r="AM2842" s="77"/>
      <c r="AN2842" s="77"/>
      <c r="AO2842" s="77"/>
      <c r="AP2842" s="77"/>
      <c r="AQ2842" s="77"/>
      <c r="AR2842" s="77"/>
      <c r="AS2842" s="77"/>
      <c r="AT2842" s="77"/>
      <c r="AU2842" s="77"/>
      <c r="AV2842" s="80" t="str">
        <f>HYPERLINK("https://pbs.twimg.com/profile_images/1241147984924082183/gZgx_hL-_normal.jpg")</f>
        <v>https://pbs.twimg.com/profile_images/1241147984924082183/gZgx_hL-_normal.jpg</v>
      </c>
      <c r="AW2842" s="82" t="s">
        <v>14438</v>
      </c>
      <c r="AX2842" s="82" t="s">
        <v>14438</v>
      </c>
      <c r="AY2842" s="77"/>
      <c r="AZ2842" s="82" t="s">
        <v>15984</v>
      </c>
      <c r="BA2842" s="82" t="s">
        <v>15984</v>
      </c>
      <c r="BB2842" s="82" t="s">
        <v>15984</v>
      </c>
      <c r="BC2842" s="82" t="s">
        <v>14438</v>
      </c>
      <c r="BD2842" s="82" t="s">
        <v>15979</v>
      </c>
      <c r="BE2842" s="77"/>
      <c r="BF2842" s="77"/>
      <c r="BG2842" s="77"/>
      <c r="BH2842" s="77"/>
      <c r="BI2842" s="77"/>
    </row>
    <row r="2843" spans="1:61" x14ac:dyDescent="0.25">
      <c r="A2843" s="62" t="s">
        <v>387</v>
      </c>
      <c r="B2843" s="62" t="s">
        <v>387</v>
      </c>
      <c r="C2843" s="63"/>
      <c r="D2843" s="64"/>
      <c r="E2843" s="65"/>
      <c r="F2843" s="66"/>
      <c r="G2843" s="63"/>
      <c r="H2843" s="67"/>
      <c r="I2843" s="68"/>
      <c r="J2843" s="68"/>
      <c r="K2843" s="32"/>
      <c r="L2843" s="75">
        <v>2843</v>
      </c>
      <c r="M2843" s="75"/>
      <c r="N2843" s="70"/>
      <c r="O2843" s="77" t="s">
        <v>179</v>
      </c>
      <c r="P2843" s="79">
        <v>45126.624861111108</v>
      </c>
      <c r="Q2843" s="77" t="s">
        <v>3515</v>
      </c>
      <c r="R2843" s="77">
        <v>0</v>
      </c>
      <c r="S2843" s="77">
        <v>1</v>
      </c>
      <c r="T2843" s="77">
        <v>0</v>
      </c>
      <c r="U2843" s="77">
        <v>0</v>
      </c>
      <c r="V2843" s="77">
        <v>397</v>
      </c>
      <c r="W2843" s="82" t="s">
        <v>4833</v>
      </c>
      <c r="X2843" s="80" t="str">
        <f>HYPERLINK("https://mla.bs/3b5fe596")</f>
        <v>https://mla.bs/3b5fe596</v>
      </c>
      <c r="Y2843" s="77" t="s">
        <v>6506</v>
      </c>
      <c r="Z2843" s="77"/>
      <c r="AA2843" s="77"/>
      <c r="AB2843" s="77"/>
      <c r="AC2843" s="82" t="s">
        <v>7750</v>
      </c>
      <c r="AD2843" s="77" t="s">
        <v>7788</v>
      </c>
      <c r="AE2843" s="80" t="str">
        <f>HYPERLINK("https://twitter.com/einvestidor/status/1681680243214503937")</f>
        <v>https://twitter.com/einvestidor/status/1681680243214503937</v>
      </c>
      <c r="AF2843" s="79">
        <v>45126.624861111108</v>
      </c>
      <c r="AG2843" s="85">
        <v>45126</v>
      </c>
      <c r="AH2843" s="82" t="s">
        <v>9844</v>
      </c>
      <c r="AI2843" s="77" t="b">
        <v>0</v>
      </c>
      <c r="AJ2843" s="77"/>
      <c r="AK2843" s="77"/>
      <c r="AL2843" s="77"/>
      <c r="AM2843" s="77"/>
      <c r="AN2843" s="77"/>
      <c r="AO2843" s="77"/>
      <c r="AP2843" s="77"/>
      <c r="AQ2843" s="77"/>
      <c r="AR2843" s="77"/>
      <c r="AS2843" s="77"/>
      <c r="AT2843" s="77"/>
      <c r="AU2843" s="77"/>
      <c r="AV2843" s="80" t="str">
        <f>HYPERLINK("https://pbs.twimg.com/profile_images/1241147984924082183/gZgx_hL-_normal.jpg")</f>
        <v>https://pbs.twimg.com/profile_images/1241147984924082183/gZgx_hL-_normal.jpg</v>
      </c>
      <c r="AW2843" s="82" t="s">
        <v>14439</v>
      </c>
      <c r="AX2843" s="82" t="s">
        <v>14439</v>
      </c>
      <c r="AY2843" s="77"/>
      <c r="AZ2843" s="82" t="s">
        <v>15984</v>
      </c>
      <c r="BA2843" s="82" t="s">
        <v>15984</v>
      </c>
      <c r="BB2843" s="82" t="s">
        <v>15984</v>
      </c>
      <c r="BC2843" s="82" t="s">
        <v>14439</v>
      </c>
      <c r="BD2843" s="82" t="s">
        <v>15979</v>
      </c>
      <c r="BE2843" s="77"/>
      <c r="BF2843" s="77"/>
      <c r="BG2843" s="77"/>
      <c r="BH2843" s="77"/>
      <c r="BI2843" s="77"/>
    </row>
    <row r="2844" spans="1:61" x14ac:dyDescent="0.25">
      <c r="A2844" s="62" t="s">
        <v>387</v>
      </c>
      <c r="B2844" s="62" t="s">
        <v>387</v>
      </c>
      <c r="C2844" s="63"/>
      <c r="D2844" s="64"/>
      <c r="E2844" s="65"/>
      <c r="F2844" s="66"/>
      <c r="G2844" s="63"/>
      <c r="H2844" s="67"/>
      <c r="I2844" s="68"/>
      <c r="J2844" s="68"/>
      <c r="K2844" s="32"/>
      <c r="L2844" s="75">
        <v>2844</v>
      </c>
      <c r="M2844" s="75"/>
      <c r="N2844" s="70"/>
      <c r="O2844" s="77" t="s">
        <v>179</v>
      </c>
      <c r="P2844" s="79">
        <v>45126.624293981484</v>
      </c>
      <c r="Q2844" s="77" t="s">
        <v>3516</v>
      </c>
      <c r="R2844" s="77">
        <v>0</v>
      </c>
      <c r="S2844" s="77">
        <v>0</v>
      </c>
      <c r="T2844" s="77">
        <v>0</v>
      </c>
      <c r="U2844" s="77">
        <v>0</v>
      </c>
      <c r="V2844" s="77">
        <v>347</v>
      </c>
      <c r="W2844" s="82" t="s">
        <v>4833</v>
      </c>
      <c r="X2844" s="80" t="str">
        <f>HYPERLINK("https://mla.bs/83536d4a")</f>
        <v>https://mla.bs/83536d4a</v>
      </c>
      <c r="Y2844" s="77" t="s">
        <v>6506</v>
      </c>
      <c r="Z2844" s="77"/>
      <c r="AA2844" s="77"/>
      <c r="AB2844" s="77"/>
      <c r="AC2844" s="82" t="s">
        <v>7750</v>
      </c>
      <c r="AD2844" s="77" t="s">
        <v>7788</v>
      </c>
      <c r="AE2844" s="80" t="str">
        <f>HYPERLINK("https://twitter.com/einvestidor/status/1681680034644230144")</f>
        <v>https://twitter.com/einvestidor/status/1681680034644230144</v>
      </c>
      <c r="AF2844" s="79">
        <v>45126.624293981484</v>
      </c>
      <c r="AG2844" s="85">
        <v>45126</v>
      </c>
      <c r="AH2844" s="82" t="s">
        <v>9845</v>
      </c>
      <c r="AI2844" s="77" t="b">
        <v>0</v>
      </c>
      <c r="AJ2844" s="77"/>
      <c r="AK2844" s="77"/>
      <c r="AL2844" s="77"/>
      <c r="AM2844" s="77"/>
      <c r="AN2844" s="77"/>
      <c r="AO2844" s="77"/>
      <c r="AP2844" s="77"/>
      <c r="AQ2844" s="77"/>
      <c r="AR2844" s="77"/>
      <c r="AS2844" s="77"/>
      <c r="AT2844" s="77"/>
      <c r="AU2844" s="77"/>
      <c r="AV2844" s="80" t="str">
        <f>HYPERLINK("https://pbs.twimg.com/profile_images/1241147984924082183/gZgx_hL-_normal.jpg")</f>
        <v>https://pbs.twimg.com/profile_images/1241147984924082183/gZgx_hL-_normal.jpg</v>
      </c>
      <c r="AW2844" s="82" t="s">
        <v>14440</v>
      </c>
      <c r="AX2844" s="82" t="s">
        <v>14440</v>
      </c>
      <c r="AY2844" s="77"/>
      <c r="AZ2844" s="82" t="s">
        <v>15984</v>
      </c>
      <c r="BA2844" s="82" t="s">
        <v>15984</v>
      </c>
      <c r="BB2844" s="82" t="s">
        <v>15984</v>
      </c>
      <c r="BC2844" s="82" t="s">
        <v>14440</v>
      </c>
      <c r="BD2844" s="82" t="s">
        <v>15979</v>
      </c>
      <c r="BE2844" s="77"/>
      <c r="BF2844" s="77"/>
      <c r="BG2844" s="77"/>
      <c r="BH2844" s="77"/>
      <c r="BI2844" s="77"/>
    </row>
    <row r="2845" spans="1:61" x14ac:dyDescent="0.25">
      <c r="A2845" s="62" t="s">
        <v>387</v>
      </c>
      <c r="B2845" s="62" t="s">
        <v>387</v>
      </c>
      <c r="C2845" s="63"/>
      <c r="D2845" s="64"/>
      <c r="E2845" s="65"/>
      <c r="F2845" s="66"/>
      <c r="G2845" s="63"/>
      <c r="H2845" s="67"/>
      <c r="I2845" s="68"/>
      <c r="J2845" s="68"/>
      <c r="K2845" s="32"/>
      <c r="L2845" s="75">
        <v>2845</v>
      </c>
      <c r="M2845" s="75"/>
      <c r="N2845" s="70"/>
      <c r="O2845" s="77" t="s">
        <v>179</v>
      </c>
      <c r="P2845" s="79">
        <v>45126.623553240737</v>
      </c>
      <c r="Q2845" s="77" t="s">
        <v>3517</v>
      </c>
      <c r="R2845" s="77">
        <v>0</v>
      </c>
      <c r="S2845" s="77">
        <v>0</v>
      </c>
      <c r="T2845" s="77">
        <v>0</v>
      </c>
      <c r="U2845" s="77">
        <v>0</v>
      </c>
      <c r="V2845" s="77">
        <v>379</v>
      </c>
      <c r="W2845" s="82" t="s">
        <v>4833</v>
      </c>
      <c r="X2845" s="80" t="str">
        <f>HYPERLINK("https://mla.bs/460c99d5")</f>
        <v>https://mla.bs/460c99d5</v>
      </c>
      <c r="Y2845" s="77" t="s">
        <v>6506</v>
      </c>
      <c r="Z2845" s="77"/>
      <c r="AA2845" s="77"/>
      <c r="AB2845" s="77"/>
      <c r="AC2845" s="82" t="s">
        <v>7750</v>
      </c>
      <c r="AD2845" s="77" t="s">
        <v>7788</v>
      </c>
      <c r="AE2845" s="80" t="str">
        <f>HYPERLINK("https://twitter.com/einvestidor/status/1681679766859005953")</f>
        <v>https://twitter.com/einvestidor/status/1681679766859005953</v>
      </c>
      <c r="AF2845" s="79">
        <v>45126.623553240737</v>
      </c>
      <c r="AG2845" s="85">
        <v>45126</v>
      </c>
      <c r="AH2845" s="82" t="s">
        <v>9846</v>
      </c>
      <c r="AI2845" s="77" t="b">
        <v>0</v>
      </c>
      <c r="AJ2845" s="77"/>
      <c r="AK2845" s="77"/>
      <c r="AL2845" s="77"/>
      <c r="AM2845" s="77"/>
      <c r="AN2845" s="77"/>
      <c r="AO2845" s="77"/>
      <c r="AP2845" s="77"/>
      <c r="AQ2845" s="77"/>
      <c r="AR2845" s="77"/>
      <c r="AS2845" s="77"/>
      <c r="AT2845" s="77"/>
      <c r="AU2845" s="77"/>
      <c r="AV2845" s="80" t="str">
        <f>HYPERLINK("https://pbs.twimg.com/profile_images/1241147984924082183/gZgx_hL-_normal.jpg")</f>
        <v>https://pbs.twimg.com/profile_images/1241147984924082183/gZgx_hL-_normal.jpg</v>
      </c>
      <c r="AW2845" s="82" t="s">
        <v>14441</v>
      </c>
      <c r="AX2845" s="82" t="s">
        <v>14441</v>
      </c>
      <c r="AY2845" s="77"/>
      <c r="AZ2845" s="82" t="s">
        <v>15984</v>
      </c>
      <c r="BA2845" s="82" t="s">
        <v>15984</v>
      </c>
      <c r="BB2845" s="82" t="s">
        <v>15984</v>
      </c>
      <c r="BC2845" s="82" t="s">
        <v>14441</v>
      </c>
      <c r="BD2845" s="82" t="s">
        <v>15979</v>
      </c>
      <c r="BE2845" s="77"/>
      <c r="BF2845" s="77"/>
      <c r="BG2845" s="77"/>
      <c r="BH2845" s="77"/>
      <c r="BI2845" s="77"/>
    </row>
    <row r="2846" spans="1:61" x14ac:dyDescent="0.25">
      <c r="A2846" s="62" t="s">
        <v>387</v>
      </c>
      <c r="B2846" s="62" t="s">
        <v>387</v>
      </c>
      <c r="C2846" s="63"/>
      <c r="D2846" s="64"/>
      <c r="E2846" s="65"/>
      <c r="F2846" s="66"/>
      <c r="G2846" s="63"/>
      <c r="H2846" s="67"/>
      <c r="I2846" s="68"/>
      <c r="J2846" s="68"/>
      <c r="K2846" s="32"/>
      <c r="L2846" s="75">
        <v>2846</v>
      </c>
      <c r="M2846" s="75"/>
      <c r="N2846" s="70"/>
      <c r="O2846" s="77" t="s">
        <v>179</v>
      </c>
      <c r="P2846" s="79">
        <v>45126.618136574078</v>
      </c>
      <c r="Q2846" s="77" t="s">
        <v>3518</v>
      </c>
      <c r="R2846" s="77">
        <v>0</v>
      </c>
      <c r="S2846" s="77">
        <v>0</v>
      </c>
      <c r="T2846" s="77">
        <v>0</v>
      </c>
      <c r="U2846" s="77">
        <v>0</v>
      </c>
      <c r="V2846" s="77">
        <v>417</v>
      </c>
      <c r="W2846" s="82" t="s">
        <v>4833</v>
      </c>
      <c r="X2846" s="80" t="str">
        <f>HYPERLINK("https://mla.bs/4e1008f9")</f>
        <v>https://mla.bs/4e1008f9</v>
      </c>
      <c r="Y2846" s="77" t="s">
        <v>6506</v>
      </c>
      <c r="Z2846" s="77"/>
      <c r="AA2846" s="77"/>
      <c r="AB2846" s="77"/>
      <c r="AC2846" s="82" t="s">
        <v>7750</v>
      </c>
      <c r="AD2846" s="77" t="s">
        <v>7788</v>
      </c>
      <c r="AE2846" s="80" t="str">
        <f>HYPERLINK("https://twitter.com/einvestidor/status/1681677807334686720")</f>
        <v>https://twitter.com/einvestidor/status/1681677807334686720</v>
      </c>
      <c r="AF2846" s="79">
        <v>45126.618136574078</v>
      </c>
      <c r="AG2846" s="85">
        <v>45126</v>
      </c>
      <c r="AH2846" s="82" t="s">
        <v>9847</v>
      </c>
      <c r="AI2846" s="77" t="b">
        <v>0</v>
      </c>
      <c r="AJ2846" s="77"/>
      <c r="AK2846" s="77"/>
      <c r="AL2846" s="77"/>
      <c r="AM2846" s="77"/>
      <c r="AN2846" s="77"/>
      <c r="AO2846" s="77"/>
      <c r="AP2846" s="77"/>
      <c r="AQ2846" s="77"/>
      <c r="AR2846" s="77"/>
      <c r="AS2846" s="77"/>
      <c r="AT2846" s="77"/>
      <c r="AU2846" s="77"/>
      <c r="AV2846" s="80" t="str">
        <f>HYPERLINK("https://pbs.twimg.com/profile_images/1241147984924082183/gZgx_hL-_normal.jpg")</f>
        <v>https://pbs.twimg.com/profile_images/1241147984924082183/gZgx_hL-_normal.jpg</v>
      </c>
      <c r="AW2846" s="82" t="s">
        <v>14442</v>
      </c>
      <c r="AX2846" s="82" t="s">
        <v>14442</v>
      </c>
      <c r="AY2846" s="77"/>
      <c r="AZ2846" s="82" t="s">
        <v>15984</v>
      </c>
      <c r="BA2846" s="82" t="s">
        <v>15984</v>
      </c>
      <c r="BB2846" s="82" t="s">
        <v>15984</v>
      </c>
      <c r="BC2846" s="82" t="s">
        <v>14442</v>
      </c>
      <c r="BD2846" s="82" t="s">
        <v>15979</v>
      </c>
      <c r="BE2846" s="77"/>
      <c r="BF2846" s="77"/>
      <c r="BG2846" s="77"/>
      <c r="BH2846" s="77"/>
      <c r="BI2846" s="77"/>
    </row>
    <row r="2847" spans="1:61" x14ac:dyDescent="0.25">
      <c r="A2847" s="62" t="s">
        <v>387</v>
      </c>
      <c r="B2847" s="62" t="s">
        <v>387</v>
      </c>
      <c r="C2847" s="63"/>
      <c r="D2847" s="64"/>
      <c r="E2847" s="65"/>
      <c r="F2847" s="66"/>
      <c r="G2847" s="63"/>
      <c r="H2847" s="67"/>
      <c r="I2847" s="68"/>
      <c r="J2847" s="68"/>
      <c r="K2847" s="32"/>
      <c r="L2847" s="75">
        <v>2847</v>
      </c>
      <c r="M2847" s="75"/>
      <c r="N2847" s="70"/>
      <c r="O2847" s="77" t="s">
        <v>179</v>
      </c>
      <c r="P2847" s="79">
        <v>45126.613506944443</v>
      </c>
      <c r="Q2847" s="77" t="s">
        <v>3519</v>
      </c>
      <c r="R2847" s="77">
        <v>0</v>
      </c>
      <c r="S2847" s="77">
        <v>0</v>
      </c>
      <c r="T2847" s="77">
        <v>0</v>
      </c>
      <c r="U2847" s="77">
        <v>0</v>
      </c>
      <c r="V2847" s="77">
        <v>471</v>
      </c>
      <c r="W2847" s="82" t="s">
        <v>4833</v>
      </c>
      <c r="X2847" s="80" t="str">
        <f>HYPERLINK("https://mla.bs/cfc04edd")</f>
        <v>https://mla.bs/cfc04edd</v>
      </c>
      <c r="Y2847" s="77" t="s">
        <v>6506</v>
      </c>
      <c r="Z2847" s="77"/>
      <c r="AA2847" s="77"/>
      <c r="AB2847" s="77"/>
      <c r="AC2847" s="82" t="s">
        <v>7750</v>
      </c>
      <c r="AD2847" s="77" t="s">
        <v>7788</v>
      </c>
      <c r="AE2847" s="80" t="str">
        <f>HYPERLINK("https://twitter.com/einvestidor/status/1681676129072033795")</f>
        <v>https://twitter.com/einvestidor/status/1681676129072033795</v>
      </c>
      <c r="AF2847" s="79">
        <v>45126.613506944443</v>
      </c>
      <c r="AG2847" s="85">
        <v>45126</v>
      </c>
      <c r="AH2847" s="82" t="s">
        <v>9848</v>
      </c>
      <c r="AI2847" s="77" t="b">
        <v>0</v>
      </c>
      <c r="AJ2847" s="77"/>
      <c r="AK2847" s="77"/>
      <c r="AL2847" s="77"/>
      <c r="AM2847" s="77"/>
      <c r="AN2847" s="77"/>
      <c r="AO2847" s="77"/>
      <c r="AP2847" s="77"/>
      <c r="AQ2847" s="77"/>
      <c r="AR2847" s="77"/>
      <c r="AS2847" s="77"/>
      <c r="AT2847" s="77"/>
      <c r="AU2847" s="77"/>
      <c r="AV2847" s="80" t="str">
        <f>HYPERLINK("https://pbs.twimg.com/profile_images/1241147984924082183/gZgx_hL-_normal.jpg")</f>
        <v>https://pbs.twimg.com/profile_images/1241147984924082183/gZgx_hL-_normal.jpg</v>
      </c>
      <c r="AW2847" s="82" t="s">
        <v>14443</v>
      </c>
      <c r="AX2847" s="82" t="s">
        <v>14443</v>
      </c>
      <c r="AY2847" s="77"/>
      <c r="AZ2847" s="82" t="s">
        <v>15984</v>
      </c>
      <c r="BA2847" s="82" t="s">
        <v>15984</v>
      </c>
      <c r="BB2847" s="82" t="s">
        <v>15984</v>
      </c>
      <c r="BC2847" s="82" t="s">
        <v>14443</v>
      </c>
      <c r="BD2847" s="82" t="s">
        <v>15979</v>
      </c>
      <c r="BE2847" s="77"/>
      <c r="BF2847" s="77"/>
      <c r="BG2847" s="77"/>
      <c r="BH2847" s="77"/>
      <c r="BI2847" s="77"/>
    </row>
    <row r="2848" spans="1:61" x14ac:dyDescent="0.25">
      <c r="A2848" s="62" t="s">
        <v>387</v>
      </c>
      <c r="B2848" s="62" t="s">
        <v>387</v>
      </c>
      <c r="C2848" s="63"/>
      <c r="D2848" s="64"/>
      <c r="E2848" s="65"/>
      <c r="F2848" s="66"/>
      <c r="G2848" s="63"/>
      <c r="H2848" s="67"/>
      <c r="I2848" s="68"/>
      <c r="J2848" s="68"/>
      <c r="K2848" s="32"/>
      <c r="L2848" s="75">
        <v>2848</v>
      </c>
      <c r="M2848" s="75"/>
      <c r="N2848" s="70"/>
      <c r="O2848" s="77" t="s">
        <v>179</v>
      </c>
      <c r="P2848" s="79">
        <v>45126.608738425923</v>
      </c>
      <c r="Q2848" s="77" t="s">
        <v>3520</v>
      </c>
      <c r="R2848" s="77">
        <v>1</v>
      </c>
      <c r="S2848" s="77">
        <v>1</v>
      </c>
      <c r="T2848" s="77">
        <v>0</v>
      </c>
      <c r="U2848" s="77">
        <v>0</v>
      </c>
      <c r="V2848" s="77">
        <v>434</v>
      </c>
      <c r="W2848" s="82" t="s">
        <v>4833</v>
      </c>
      <c r="X2848" s="80" t="str">
        <f>HYPERLINK("https://mla.bs/776ef2fd")</f>
        <v>https://mla.bs/776ef2fd</v>
      </c>
      <c r="Y2848" s="77" t="s">
        <v>6506</v>
      </c>
      <c r="Z2848" s="77"/>
      <c r="AA2848" s="77"/>
      <c r="AB2848" s="77"/>
      <c r="AC2848" s="82" t="s">
        <v>7750</v>
      </c>
      <c r="AD2848" s="77" t="s">
        <v>7788</v>
      </c>
      <c r="AE2848" s="80" t="str">
        <f>HYPERLINK("https://twitter.com/einvestidor/status/1681674401060728836")</f>
        <v>https://twitter.com/einvestidor/status/1681674401060728836</v>
      </c>
      <c r="AF2848" s="79">
        <v>45126.608738425923</v>
      </c>
      <c r="AG2848" s="85">
        <v>45126</v>
      </c>
      <c r="AH2848" s="82" t="s">
        <v>9849</v>
      </c>
      <c r="AI2848" s="77" t="b">
        <v>0</v>
      </c>
      <c r="AJ2848" s="77"/>
      <c r="AK2848" s="77"/>
      <c r="AL2848" s="77"/>
      <c r="AM2848" s="77"/>
      <c r="AN2848" s="77"/>
      <c r="AO2848" s="77"/>
      <c r="AP2848" s="77"/>
      <c r="AQ2848" s="77"/>
      <c r="AR2848" s="77"/>
      <c r="AS2848" s="77"/>
      <c r="AT2848" s="77"/>
      <c r="AU2848" s="77"/>
      <c r="AV2848" s="80" t="str">
        <f>HYPERLINK("https://pbs.twimg.com/profile_images/1241147984924082183/gZgx_hL-_normal.jpg")</f>
        <v>https://pbs.twimg.com/profile_images/1241147984924082183/gZgx_hL-_normal.jpg</v>
      </c>
      <c r="AW2848" s="82" t="s">
        <v>14444</v>
      </c>
      <c r="AX2848" s="82" t="s">
        <v>14444</v>
      </c>
      <c r="AY2848" s="77"/>
      <c r="AZ2848" s="82" t="s">
        <v>15984</v>
      </c>
      <c r="BA2848" s="82" t="s">
        <v>15984</v>
      </c>
      <c r="BB2848" s="82" t="s">
        <v>15984</v>
      </c>
      <c r="BC2848" s="82" t="s">
        <v>14444</v>
      </c>
      <c r="BD2848" s="82" t="s">
        <v>15979</v>
      </c>
      <c r="BE2848" s="77"/>
      <c r="BF2848" s="77"/>
      <c r="BG2848" s="77"/>
      <c r="BH2848" s="77"/>
      <c r="BI2848" s="77"/>
    </row>
    <row r="2849" spans="1:61" x14ac:dyDescent="0.25">
      <c r="A2849" s="62" t="s">
        <v>387</v>
      </c>
      <c r="B2849" s="62" t="s">
        <v>387</v>
      </c>
      <c r="C2849" s="63"/>
      <c r="D2849" s="64"/>
      <c r="E2849" s="65"/>
      <c r="F2849" s="66"/>
      <c r="G2849" s="63"/>
      <c r="H2849" s="67"/>
      <c r="I2849" s="68"/>
      <c r="J2849" s="68"/>
      <c r="K2849" s="32"/>
      <c r="L2849" s="75">
        <v>2849</v>
      </c>
      <c r="M2849" s="75"/>
      <c r="N2849" s="70"/>
      <c r="O2849" s="77" t="s">
        <v>179</v>
      </c>
      <c r="P2849" s="79">
        <v>45126.606122685182</v>
      </c>
      <c r="Q2849" s="77" t="s">
        <v>3521</v>
      </c>
      <c r="R2849" s="77">
        <v>0</v>
      </c>
      <c r="S2849" s="77">
        <v>0</v>
      </c>
      <c r="T2849" s="77">
        <v>0</v>
      </c>
      <c r="U2849" s="77">
        <v>0</v>
      </c>
      <c r="V2849" s="77">
        <v>493</v>
      </c>
      <c r="W2849" s="82" t="s">
        <v>4833</v>
      </c>
      <c r="X2849" s="80" t="str">
        <f>HYPERLINK("https://mla.bs/4ab5fef2")</f>
        <v>https://mla.bs/4ab5fef2</v>
      </c>
      <c r="Y2849" s="77" t="s">
        <v>6506</v>
      </c>
      <c r="Z2849" s="77"/>
      <c r="AA2849" s="77"/>
      <c r="AB2849" s="77"/>
      <c r="AC2849" s="82" t="s">
        <v>7750</v>
      </c>
      <c r="AD2849" s="77" t="s">
        <v>7788</v>
      </c>
      <c r="AE2849" s="80" t="str">
        <f>HYPERLINK("https://twitter.com/einvestidor/status/1681673453085118466")</f>
        <v>https://twitter.com/einvestidor/status/1681673453085118466</v>
      </c>
      <c r="AF2849" s="79">
        <v>45126.606122685182</v>
      </c>
      <c r="AG2849" s="85">
        <v>45126</v>
      </c>
      <c r="AH2849" s="82" t="s">
        <v>9850</v>
      </c>
      <c r="AI2849" s="77" t="b">
        <v>0</v>
      </c>
      <c r="AJ2849" s="77"/>
      <c r="AK2849" s="77"/>
      <c r="AL2849" s="77"/>
      <c r="AM2849" s="77"/>
      <c r="AN2849" s="77"/>
      <c r="AO2849" s="77"/>
      <c r="AP2849" s="77"/>
      <c r="AQ2849" s="77"/>
      <c r="AR2849" s="77"/>
      <c r="AS2849" s="77"/>
      <c r="AT2849" s="77"/>
      <c r="AU2849" s="77"/>
      <c r="AV2849" s="80" t="str">
        <f>HYPERLINK("https://pbs.twimg.com/profile_images/1241147984924082183/gZgx_hL-_normal.jpg")</f>
        <v>https://pbs.twimg.com/profile_images/1241147984924082183/gZgx_hL-_normal.jpg</v>
      </c>
      <c r="AW2849" s="82" t="s">
        <v>14445</v>
      </c>
      <c r="AX2849" s="82" t="s">
        <v>14445</v>
      </c>
      <c r="AY2849" s="77"/>
      <c r="AZ2849" s="82" t="s">
        <v>15984</v>
      </c>
      <c r="BA2849" s="82" t="s">
        <v>15984</v>
      </c>
      <c r="BB2849" s="82" t="s">
        <v>15984</v>
      </c>
      <c r="BC2849" s="82" t="s">
        <v>14445</v>
      </c>
      <c r="BD2849" s="82" t="s">
        <v>15979</v>
      </c>
      <c r="BE2849" s="77"/>
      <c r="BF2849" s="77"/>
      <c r="BG2849" s="77"/>
      <c r="BH2849" s="77"/>
      <c r="BI2849" s="77"/>
    </row>
    <row r="2850" spans="1:61" x14ac:dyDescent="0.25">
      <c r="A2850" s="62" t="s">
        <v>387</v>
      </c>
      <c r="B2850" s="62" t="s">
        <v>387</v>
      </c>
      <c r="C2850" s="63"/>
      <c r="D2850" s="64"/>
      <c r="E2850" s="65"/>
      <c r="F2850" s="66"/>
      <c r="G2850" s="63"/>
      <c r="H2850" s="67"/>
      <c r="I2850" s="68"/>
      <c r="J2850" s="68"/>
      <c r="K2850" s="32"/>
      <c r="L2850" s="75">
        <v>2850</v>
      </c>
      <c r="M2850" s="75"/>
      <c r="N2850" s="70"/>
      <c r="O2850" s="77" t="s">
        <v>179</v>
      </c>
      <c r="P2850" s="79">
        <v>45187.739583333336</v>
      </c>
      <c r="Q2850" s="77" t="s">
        <v>3522</v>
      </c>
      <c r="R2850" s="77">
        <v>1</v>
      </c>
      <c r="S2850" s="77">
        <v>1</v>
      </c>
      <c r="T2850" s="77">
        <v>0</v>
      </c>
      <c r="U2850" s="77">
        <v>0</v>
      </c>
      <c r="V2850" s="77">
        <v>556</v>
      </c>
      <c r="W2850" s="82" t="s">
        <v>6131</v>
      </c>
      <c r="X2850" s="80" t="str">
        <f>HYPERLINK("https://einvestidor.estadao.com.br/ultimas/via-viia3-cai-ibovespa-despenca-semana-entenda/?utm_source=twitter&amp;utm_medium=organic&amp;utm_campaign=&amp;utm_content=materia")</f>
        <v>https://einvestidor.estadao.com.br/ultimas/via-viia3-cai-ibovespa-despenca-semana-entenda/?utm_source=twitter&amp;utm_medium=organic&amp;utm_campaign=&amp;utm_content=materia</v>
      </c>
      <c r="Y2850" s="77" t="s">
        <v>6470</v>
      </c>
      <c r="Z2850" s="77"/>
      <c r="AA2850" s="77"/>
      <c r="AB2850" s="77"/>
      <c r="AC2850" s="82" t="s">
        <v>7750</v>
      </c>
      <c r="AD2850" s="77" t="s">
        <v>7788</v>
      </c>
      <c r="AE2850" s="80" t="str">
        <f>HYPERLINK("https://twitter.com/einvestidor/status/1703827474755568049")</f>
        <v>https://twitter.com/einvestidor/status/1703827474755568049</v>
      </c>
      <c r="AF2850" s="79">
        <v>45187.739583333336</v>
      </c>
      <c r="AG2850" s="85">
        <v>45187</v>
      </c>
      <c r="AH2850" s="82" t="s">
        <v>9626</v>
      </c>
      <c r="AI2850" s="77" t="b">
        <v>0</v>
      </c>
      <c r="AJ2850" s="77"/>
      <c r="AK2850" s="77"/>
      <c r="AL2850" s="77"/>
      <c r="AM2850" s="77"/>
      <c r="AN2850" s="77"/>
      <c r="AO2850" s="77"/>
      <c r="AP2850" s="77"/>
      <c r="AQ2850" s="77"/>
      <c r="AR2850" s="77"/>
      <c r="AS2850" s="77"/>
      <c r="AT2850" s="77"/>
      <c r="AU2850" s="77"/>
      <c r="AV2850" s="80" t="str">
        <f>HYPERLINK("https://pbs.twimg.com/profile_images/1241147984924082183/gZgx_hL-_normal.jpg")</f>
        <v>https://pbs.twimg.com/profile_images/1241147984924082183/gZgx_hL-_normal.jpg</v>
      </c>
      <c r="AW2850" s="82" t="s">
        <v>14446</v>
      </c>
      <c r="AX2850" s="82" t="s">
        <v>14446</v>
      </c>
      <c r="AY2850" s="77"/>
      <c r="AZ2850" s="82" t="s">
        <v>15984</v>
      </c>
      <c r="BA2850" s="82" t="s">
        <v>15984</v>
      </c>
      <c r="BB2850" s="82" t="s">
        <v>15984</v>
      </c>
      <c r="BC2850" s="82" t="s">
        <v>14446</v>
      </c>
      <c r="BD2850" s="82" t="s">
        <v>15979</v>
      </c>
      <c r="BE2850" s="77"/>
      <c r="BF2850" s="77"/>
      <c r="BG2850" s="77"/>
      <c r="BH2850" s="77"/>
      <c r="BI2850" s="77"/>
    </row>
    <row r="2851" spans="1:61" x14ac:dyDescent="0.25">
      <c r="A2851" s="62" t="s">
        <v>387</v>
      </c>
      <c r="B2851" s="62" t="s">
        <v>387</v>
      </c>
      <c r="C2851" s="63"/>
      <c r="D2851" s="64"/>
      <c r="E2851" s="65"/>
      <c r="F2851" s="66"/>
      <c r="G2851" s="63"/>
      <c r="H2851" s="67"/>
      <c r="I2851" s="68"/>
      <c r="J2851" s="68"/>
      <c r="K2851" s="32"/>
      <c r="L2851" s="75">
        <v>2851</v>
      </c>
      <c r="M2851" s="75"/>
      <c r="N2851" s="70"/>
      <c r="O2851" s="77" t="s">
        <v>179</v>
      </c>
      <c r="P2851" s="79">
        <v>45184.96875</v>
      </c>
      <c r="Q2851" s="77" t="s">
        <v>3523</v>
      </c>
      <c r="R2851" s="77">
        <v>0</v>
      </c>
      <c r="S2851" s="77">
        <v>0</v>
      </c>
      <c r="T2851" s="77">
        <v>1</v>
      </c>
      <c r="U2851" s="77">
        <v>0</v>
      </c>
      <c r="V2851" s="77">
        <v>577</v>
      </c>
      <c r="W2851" s="82" t="s">
        <v>4833</v>
      </c>
      <c r="X2851" s="80" t="str">
        <f>HYPERLINK("https://einvestidor.estadao.com.br/ultimas/juros-alta-leve-ponta-curta-intensa-trecho-longo//?utm_source=twitter&amp;utm_medium=organic&amp;utm_campaign=&amp;utm_content=materia")</f>
        <v>https://einvestidor.estadao.com.br/ultimas/juros-alta-leve-ponta-curta-intensa-trecho-longo//?utm_source=twitter&amp;utm_medium=organic&amp;utm_campaign=&amp;utm_content=materia</v>
      </c>
      <c r="Y2851" s="77" t="s">
        <v>6470</v>
      </c>
      <c r="Z2851" s="77"/>
      <c r="AA2851" s="77"/>
      <c r="AB2851" s="77"/>
      <c r="AC2851" s="82" t="s">
        <v>7750</v>
      </c>
      <c r="AD2851" s="77" t="s">
        <v>7788</v>
      </c>
      <c r="AE2851" s="80" t="str">
        <f>HYPERLINK("https://twitter.com/einvestidor/status/1702823358226661688")</f>
        <v>https://twitter.com/einvestidor/status/1702823358226661688</v>
      </c>
      <c r="AF2851" s="79">
        <v>45184.96875</v>
      </c>
      <c r="AG2851" s="85">
        <v>45184</v>
      </c>
      <c r="AH2851" s="82" t="s">
        <v>9621</v>
      </c>
      <c r="AI2851" s="77" t="b">
        <v>0</v>
      </c>
      <c r="AJ2851" s="77"/>
      <c r="AK2851" s="77"/>
      <c r="AL2851" s="77"/>
      <c r="AM2851" s="77"/>
      <c r="AN2851" s="77"/>
      <c r="AO2851" s="77"/>
      <c r="AP2851" s="77"/>
      <c r="AQ2851" s="77"/>
      <c r="AR2851" s="77"/>
      <c r="AS2851" s="77"/>
      <c r="AT2851" s="77"/>
      <c r="AU2851" s="77"/>
      <c r="AV2851" s="80" t="str">
        <f>HYPERLINK("https://pbs.twimg.com/profile_images/1241147984924082183/gZgx_hL-_normal.jpg")</f>
        <v>https://pbs.twimg.com/profile_images/1241147984924082183/gZgx_hL-_normal.jpg</v>
      </c>
      <c r="AW2851" s="82" t="s">
        <v>14447</v>
      </c>
      <c r="AX2851" s="82" t="s">
        <v>14447</v>
      </c>
      <c r="AY2851" s="77"/>
      <c r="AZ2851" s="82" t="s">
        <v>15984</v>
      </c>
      <c r="BA2851" s="82" t="s">
        <v>15984</v>
      </c>
      <c r="BB2851" s="82" t="s">
        <v>15984</v>
      </c>
      <c r="BC2851" s="82" t="s">
        <v>14447</v>
      </c>
      <c r="BD2851" s="82" t="s">
        <v>15979</v>
      </c>
      <c r="BE2851" s="77"/>
      <c r="BF2851" s="77"/>
      <c r="BG2851" s="77"/>
      <c r="BH2851" s="77"/>
      <c r="BI2851" s="77"/>
    </row>
    <row r="2852" spans="1:61" x14ac:dyDescent="0.25">
      <c r="A2852" s="62" t="s">
        <v>387</v>
      </c>
      <c r="B2852" s="62" t="s">
        <v>387</v>
      </c>
      <c r="C2852" s="63"/>
      <c r="D2852" s="64"/>
      <c r="E2852" s="65"/>
      <c r="F2852" s="66"/>
      <c r="G2852" s="63"/>
      <c r="H2852" s="67"/>
      <c r="I2852" s="68"/>
      <c r="J2852" s="68"/>
      <c r="K2852" s="32"/>
      <c r="L2852" s="75">
        <v>2852</v>
      </c>
      <c r="M2852" s="75"/>
      <c r="N2852" s="70"/>
      <c r="O2852" s="77" t="s">
        <v>179</v>
      </c>
      <c r="P2852" s="79">
        <v>45184.95989583333</v>
      </c>
      <c r="Q2852" s="77" t="s">
        <v>3524</v>
      </c>
      <c r="R2852" s="77">
        <v>0</v>
      </c>
      <c r="S2852" s="77">
        <v>0</v>
      </c>
      <c r="T2852" s="77">
        <v>0</v>
      </c>
      <c r="U2852" s="77">
        <v>0</v>
      </c>
      <c r="V2852" s="77">
        <v>653</v>
      </c>
      <c r="W2852" s="82" t="s">
        <v>6132</v>
      </c>
      <c r="X2852" s="80" t="str">
        <f>HYPERLINK("https://einvestidor.estadao.com.br/ultimas/grandes-montadoras-veiculos-ameacadas-carros-eletricos//?utm_source=twitter&amp;utm_medium=organic&amp;utm_campaign=&amp;utm_content=materia")</f>
        <v>https://einvestidor.estadao.com.br/ultimas/grandes-montadoras-veiculos-ameacadas-carros-eletricos//?utm_source=twitter&amp;utm_medium=organic&amp;utm_campaign=&amp;utm_content=materia</v>
      </c>
      <c r="Y2852" s="77" t="s">
        <v>6470</v>
      </c>
      <c r="Z2852" s="77"/>
      <c r="AA2852" s="77"/>
      <c r="AB2852" s="77"/>
      <c r="AC2852" s="82" t="s">
        <v>7750</v>
      </c>
      <c r="AD2852" s="77" t="s">
        <v>7788</v>
      </c>
      <c r="AE2852" s="80" t="str">
        <f>HYPERLINK("https://twitter.com/einvestidor/status/1702820151773589597")</f>
        <v>https://twitter.com/einvestidor/status/1702820151773589597</v>
      </c>
      <c r="AF2852" s="79">
        <v>45184.95989583333</v>
      </c>
      <c r="AG2852" s="85">
        <v>45184</v>
      </c>
      <c r="AH2852" s="82" t="s">
        <v>9851</v>
      </c>
      <c r="AI2852" s="77" t="b">
        <v>0</v>
      </c>
      <c r="AJ2852" s="77"/>
      <c r="AK2852" s="77"/>
      <c r="AL2852" s="77"/>
      <c r="AM2852" s="77"/>
      <c r="AN2852" s="77"/>
      <c r="AO2852" s="77"/>
      <c r="AP2852" s="77"/>
      <c r="AQ2852" s="77"/>
      <c r="AR2852" s="77"/>
      <c r="AS2852" s="77"/>
      <c r="AT2852" s="77"/>
      <c r="AU2852" s="77"/>
      <c r="AV2852" s="80" t="str">
        <f>HYPERLINK("https://pbs.twimg.com/profile_images/1241147984924082183/gZgx_hL-_normal.jpg")</f>
        <v>https://pbs.twimg.com/profile_images/1241147984924082183/gZgx_hL-_normal.jpg</v>
      </c>
      <c r="AW2852" s="82" t="s">
        <v>14448</v>
      </c>
      <c r="AX2852" s="82" t="s">
        <v>14448</v>
      </c>
      <c r="AY2852" s="77"/>
      <c r="AZ2852" s="82" t="s">
        <v>15984</v>
      </c>
      <c r="BA2852" s="82" t="s">
        <v>15984</v>
      </c>
      <c r="BB2852" s="82" t="s">
        <v>15984</v>
      </c>
      <c r="BC2852" s="82" t="s">
        <v>14448</v>
      </c>
      <c r="BD2852" s="82" t="s">
        <v>15979</v>
      </c>
      <c r="BE2852" s="77"/>
      <c r="BF2852" s="77"/>
      <c r="BG2852" s="77"/>
      <c r="BH2852" s="77"/>
      <c r="BI2852" s="77"/>
    </row>
    <row r="2853" spans="1:61" x14ac:dyDescent="0.25">
      <c r="A2853" s="62" t="s">
        <v>387</v>
      </c>
      <c r="B2853" s="62" t="s">
        <v>387</v>
      </c>
      <c r="C2853" s="63"/>
      <c r="D2853" s="64"/>
      <c r="E2853" s="65"/>
      <c r="F2853" s="66"/>
      <c r="G2853" s="63"/>
      <c r="H2853" s="67"/>
      <c r="I2853" s="68"/>
      <c r="J2853" s="68"/>
      <c r="K2853" s="32"/>
      <c r="L2853" s="75">
        <v>2853</v>
      </c>
      <c r="M2853" s="75"/>
      <c r="N2853" s="70"/>
      <c r="O2853" s="77" t="s">
        <v>179</v>
      </c>
      <c r="P2853" s="79">
        <v>45184.958344907405</v>
      </c>
      <c r="Q2853" s="77" t="s">
        <v>3525</v>
      </c>
      <c r="R2853" s="77">
        <v>0</v>
      </c>
      <c r="S2853" s="77">
        <v>0</v>
      </c>
      <c r="T2853" s="77">
        <v>1</v>
      </c>
      <c r="U2853" s="77">
        <v>0</v>
      </c>
      <c r="V2853" s="77">
        <v>514</v>
      </c>
      <c r="W2853" s="82" t="s">
        <v>5902</v>
      </c>
      <c r="X2853" s="80" t="str">
        <f>HYPERLINK("https://einvestidor.estadao.com.br/ultimas/dolar-hoje-fecha-praticamente-estavel-mas-cai-na-semana-efeito-china/?utm_source=twitter&amp;utm_medium=organic&amp;utm_campaign=&amp;utm_content=materia")</f>
        <v>https://einvestidor.estadao.com.br/ultimas/dolar-hoje-fecha-praticamente-estavel-mas-cai-na-semana-efeito-china/?utm_source=twitter&amp;utm_medium=organic&amp;utm_campaign=&amp;utm_content=materia</v>
      </c>
      <c r="Y2853" s="77" t="s">
        <v>6470</v>
      </c>
      <c r="Z2853" s="77"/>
      <c r="AA2853" s="77"/>
      <c r="AB2853" s="77"/>
      <c r="AC2853" s="82" t="s">
        <v>7750</v>
      </c>
      <c r="AD2853" s="77" t="s">
        <v>7788</v>
      </c>
      <c r="AE2853" s="80" t="str">
        <f>HYPERLINK("https://twitter.com/einvestidor/status/1702819587165663380")</f>
        <v>https://twitter.com/einvestidor/status/1702819587165663380</v>
      </c>
      <c r="AF2853" s="79">
        <v>45184.958344907405</v>
      </c>
      <c r="AG2853" s="85">
        <v>45184</v>
      </c>
      <c r="AH2853" s="82" t="s">
        <v>9241</v>
      </c>
      <c r="AI2853" s="77" t="b">
        <v>0</v>
      </c>
      <c r="AJ2853" s="77"/>
      <c r="AK2853" s="77"/>
      <c r="AL2853" s="77"/>
      <c r="AM2853" s="77"/>
      <c r="AN2853" s="77"/>
      <c r="AO2853" s="77"/>
      <c r="AP2853" s="77"/>
      <c r="AQ2853" s="77"/>
      <c r="AR2853" s="77"/>
      <c r="AS2853" s="77"/>
      <c r="AT2853" s="77"/>
      <c r="AU2853" s="77"/>
      <c r="AV2853" s="80" t="str">
        <f>HYPERLINK("https://pbs.twimg.com/profile_images/1241147984924082183/gZgx_hL-_normal.jpg")</f>
        <v>https://pbs.twimg.com/profile_images/1241147984924082183/gZgx_hL-_normal.jpg</v>
      </c>
      <c r="AW2853" s="82" t="s">
        <v>14449</v>
      </c>
      <c r="AX2853" s="82" t="s">
        <v>14449</v>
      </c>
      <c r="AY2853" s="77"/>
      <c r="AZ2853" s="82" t="s">
        <v>15984</v>
      </c>
      <c r="BA2853" s="82" t="s">
        <v>15984</v>
      </c>
      <c r="BB2853" s="82" t="s">
        <v>15984</v>
      </c>
      <c r="BC2853" s="82" t="s">
        <v>14449</v>
      </c>
      <c r="BD2853" s="82" t="s">
        <v>15979</v>
      </c>
      <c r="BE2853" s="77"/>
      <c r="BF2853" s="77"/>
      <c r="BG2853" s="77"/>
      <c r="BH2853" s="77"/>
      <c r="BI2853" s="77"/>
    </row>
    <row r="2854" spans="1:61" x14ac:dyDescent="0.25">
      <c r="A2854" s="62" t="s">
        <v>387</v>
      </c>
      <c r="B2854" s="62" t="s">
        <v>387</v>
      </c>
      <c r="C2854" s="63"/>
      <c r="D2854" s="64"/>
      <c r="E2854" s="65"/>
      <c r="F2854" s="66"/>
      <c r="G2854" s="63"/>
      <c r="H2854" s="67"/>
      <c r="I2854" s="68"/>
      <c r="J2854" s="68"/>
      <c r="K2854" s="32"/>
      <c r="L2854" s="75">
        <v>2854</v>
      </c>
      <c r="M2854" s="75"/>
      <c r="N2854" s="70"/>
      <c r="O2854" s="77" t="s">
        <v>179</v>
      </c>
      <c r="P2854" s="79">
        <v>45184.885520833333</v>
      </c>
      <c r="Q2854" s="77" t="s">
        <v>3526</v>
      </c>
      <c r="R2854" s="77">
        <v>0</v>
      </c>
      <c r="S2854" s="77">
        <v>1</v>
      </c>
      <c r="T2854" s="77">
        <v>0</v>
      </c>
      <c r="U2854" s="77">
        <v>0</v>
      </c>
      <c r="V2854" s="77">
        <v>512</v>
      </c>
      <c r="W2854" s="82" t="s">
        <v>6133</v>
      </c>
      <c r="X2854" s="80" t="str">
        <f>HYPERLINK("https://einvestidor.estadao.com.br/mercado/melhores-acoes-ibovespa-semana-15-09-2023/?utm_source=twitter&amp;utm_medium=organic&amp;utm_campaign=&amp;utm_content=materia")</f>
        <v>https://einvestidor.estadao.com.br/mercado/melhores-acoes-ibovespa-semana-15-09-2023/?utm_source=twitter&amp;utm_medium=organic&amp;utm_campaign=&amp;utm_content=materia</v>
      </c>
      <c r="Y2854" s="77" t="s">
        <v>6470</v>
      </c>
      <c r="Z2854" s="77"/>
      <c r="AA2854" s="77"/>
      <c r="AB2854" s="77"/>
      <c r="AC2854" s="82" t="s">
        <v>7750</v>
      </c>
      <c r="AD2854" s="77" t="s">
        <v>7788</v>
      </c>
      <c r="AE2854" s="80" t="str">
        <f>HYPERLINK("https://twitter.com/einvestidor/status/1702793198618161376")</f>
        <v>https://twitter.com/einvestidor/status/1702793198618161376</v>
      </c>
      <c r="AF2854" s="79">
        <v>45184.885520833333</v>
      </c>
      <c r="AG2854" s="85">
        <v>45184</v>
      </c>
      <c r="AH2854" s="82" t="s">
        <v>9852</v>
      </c>
      <c r="AI2854" s="77" t="b">
        <v>0</v>
      </c>
      <c r="AJ2854" s="77"/>
      <c r="AK2854" s="77"/>
      <c r="AL2854" s="77"/>
      <c r="AM2854" s="77"/>
      <c r="AN2854" s="77"/>
      <c r="AO2854" s="77"/>
      <c r="AP2854" s="77"/>
      <c r="AQ2854" s="77"/>
      <c r="AR2854" s="77"/>
      <c r="AS2854" s="77"/>
      <c r="AT2854" s="77"/>
      <c r="AU2854" s="77"/>
      <c r="AV2854" s="80" t="str">
        <f>HYPERLINK("https://pbs.twimg.com/profile_images/1241147984924082183/gZgx_hL-_normal.jpg")</f>
        <v>https://pbs.twimg.com/profile_images/1241147984924082183/gZgx_hL-_normal.jpg</v>
      </c>
      <c r="AW2854" s="82" t="s">
        <v>14450</v>
      </c>
      <c r="AX2854" s="82" t="s">
        <v>14450</v>
      </c>
      <c r="AY2854" s="77"/>
      <c r="AZ2854" s="82" t="s">
        <v>15984</v>
      </c>
      <c r="BA2854" s="82" t="s">
        <v>15984</v>
      </c>
      <c r="BB2854" s="82" t="s">
        <v>15984</v>
      </c>
      <c r="BC2854" s="82" t="s">
        <v>14450</v>
      </c>
      <c r="BD2854" s="82" t="s">
        <v>15979</v>
      </c>
      <c r="BE2854" s="77"/>
      <c r="BF2854" s="77"/>
      <c r="BG2854" s="77"/>
      <c r="BH2854" s="77"/>
      <c r="BI2854" s="77"/>
    </row>
    <row r="2855" spans="1:61" x14ac:dyDescent="0.25">
      <c r="A2855" s="62" t="s">
        <v>387</v>
      </c>
      <c r="B2855" s="62" t="s">
        <v>387</v>
      </c>
      <c r="C2855" s="63"/>
      <c r="D2855" s="64"/>
      <c r="E2855" s="65"/>
      <c r="F2855" s="66"/>
      <c r="G2855" s="63"/>
      <c r="H2855" s="67"/>
      <c r="I2855" s="68"/>
      <c r="J2855" s="68"/>
      <c r="K2855" s="32"/>
      <c r="L2855" s="75">
        <v>2855</v>
      </c>
      <c r="M2855" s="75"/>
      <c r="N2855" s="70"/>
      <c r="O2855" s="77" t="s">
        <v>179</v>
      </c>
      <c r="P2855" s="79">
        <v>45184.884525462963</v>
      </c>
      <c r="Q2855" s="77" t="s">
        <v>3527</v>
      </c>
      <c r="R2855" s="77">
        <v>0</v>
      </c>
      <c r="S2855" s="77">
        <v>1</v>
      </c>
      <c r="T2855" s="77">
        <v>0</v>
      </c>
      <c r="U2855" s="77">
        <v>0</v>
      </c>
      <c r="V2855" s="77">
        <v>503</v>
      </c>
      <c r="W2855" s="82" t="s">
        <v>6134</v>
      </c>
      <c r="X2855" s="80" t="str">
        <f>HYPERLINK("https://einvestidor.estadao.com.br/mercado/melhores-acoes-ibovespa-15-setembro-2023/?utm_source=twitter&amp;utm_medium=organic&amp;utm_campaign=&amp;utm_content=materia")</f>
        <v>https://einvestidor.estadao.com.br/mercado/melhores-acoes-ibovespa-15-setembro-2023/?utm_source=twitter&amp;utm_medium=organic&amp;utm_campaign=&amp;utm_content=materia</v>
      </c>
      <c r="Y2855" s="77" t="s">
        <v>6470</v>
      </c>
      <c r="Z2855" s="77"/>
      <c r="AA2855" s="77"/>
      <c r="AB2855" s="77"/>
      <c r="AC2855" s="82" t="s">
        <v>7750</v>
      </c>
      <c r="AD2855" s="77" t="s">
        <v>7788</v>
      </c>
      <c r="AE2855" s="80" t="str">
        <f>HYPERLINK("https://twitter.com/einvestidor/status/1702792839350865947")</f>
        <v>https://twitter.com/einvestidor/status/1702792839350865947</v>
      </c>
      <c r="AF2855" s="79">
        <v>45184.884525462963</v>
      </c>
      <c r="AG2855" s="85">
        <v>45184</v>
      </c>
      <c r="AH2855" s="82" t="s">
        <v>9853</v>
      </c>
      <c r="AI2855" s="77" t="b">
        <v>0</v>
      </c>
      <c r="AJ2855" s="77"/>
      <c r="AK2855" s="77"/>
      <c r="AL2855" s="77"/>
      <c r="AM2855" s="77"/>
      <c r="AN2855" s="77"/>
      <c r="AO2855" s="77"/>
      <c r="AP2855" s="77"/>
      <c r="AQ2855" s="77"/>
      <c r="AR2855" s="77"/>
      <c r="AS2855" s="77"/>
      <c r="AT2855" s="77"/>
      <c r="AU2855" s="77"/>
      <c r="AV2855" s="80" t="str">
        <f>HYPERLINK("https://pbs.twimg.com/profile_images/1241147984924082183/gZgx_hL-_normal.jpg")</f>
        <v>https://pbs.twimg.com/profile_images/1241147984924082183/gZgx_hL-_normal.jpg</v>
      </c>
      <c r="AW2855" s="82" t="s">
        <v>14451</v>
      </c>
      <c r="AX2855" s="82" t="s">
        <v>14451</v>
      </c>
      <c r="AY2855" s="77"/>
      <c r="AZ2855" s="82" t="s">
        <v>15984</v>
      </c>
      <c r="BA2855" s="82" t="s">
        <v>15984</v>
      </c>
      <c r="BB2855" s="82" t="s">
        <v>15984</v>
      </c>
      <c r="BC2855" s="82" t="s">
        <v>14451</v>
      </c>
      <c r="BD2855" s="82" t="s">
        <v>15979</v>
      </c>
      <c r="BE2855" s="77"/>
      <c r="BF2855" s="77"/>
      <c r="BG2855" s="77"/>
      <c r="BH2855" s="77"/>
      <c r="BI2855" s="77"/>
    </row>
    <row r="2856" spans="1:61" x14ac:dyDescent="0.25">
      <c r="A2856" s="62" t="s">
        <v>387</v>
      </c>
      <c r="B2856" s="62" t="s">
        <v>387</v>
      </c>
      <c r="C2856" s="63"/>
      <c r="D2856" s="64"/>
      <c r="E2856" s="65"/>
      <c r="F2856" s="66"/>
      <c r="G2856" s="63"/>
      <c r="H2856" s="67"/>
      <c r="I2856" s="68"/>
      <c r="J2856" s="68"/>
      <c r="K2856" s="32"/>
      <c r="L2856" s="75">
        <v>2856</v>
      </c>
      <c r="M2856" s="75"/>
      <c r="N2856" s="70"/>
      <c r="O2856" s="77" t="s">
        <v>179</v>
      </c>
      <c r="P2856" s="79">
        <v>45184.875011574077</v>
      </c>
      <c r="Q2856" s="77" t="s">
        <v>3528</v>
      </c>
      <c r="R2856" s="77">
        <v>0</v>
      </c>
      <c r="S2856" s="77">
        <v>0</v>
      </c>
      <c r="T2856" s="77">
        <v>0</v>
      </c>
      <c r="U2856" s="77">
        <v>0</v>
      </c>
      <c r="V2856" s="77">
        <v>393</v>
      </c>
      <c r="W2856" s="82" t="s">
        <v>4833</v>
      </c>
      <c r="X2856" s="80" t="str">
        <f>HYPERLINK("https://einvestidor.estadao.com.br/ultimas/kpmg-fusoes-aquisicoes-consumo-varejo-2023/?utm_source=twitter&amp;utm_medium=organic&amp;utm_campaign=&amp;utm_content=materia")</f>
        <v>https://einvestidor.estadao.com.br/ultimas/kpmg-fusoes-aquisicoes-consumo-varejo-2023/?utm_source=twitter&amp;utm_medium=organic&amp;utm_campaign=&amp;utm_content=materia</v>
      </c>
      <c r="Y2856" s="77" t="s">
        <v>6470</v>
      </c>
      <c r="Z2856" s="77"/>
      <c r="AA2856" s="77"/>
      <c r="AB2856" s="77"/>
      <c r="AC2856" s="82" t="s">
        <v>7750</v>
      </c>
      <c r="AD2856" s="77" t="s">
        <v>7788</v>
      </c>
      <c r="AE2856" s="80" t="str">
        <f>HYPERLINK("https://twitter.com/einvestidor/status/1702789389577748630")</f>
        <v>https://twitter.com/einvestidor/status/1702789389577748630</v>
      </c>
      <c r="AF2856" s="79">
        <v>45184.875011574077</v>
      </c>
      <c r="AG2856" s="85">
        <v>45184</v>
      </c>
      <c r="AH2856" s="82" t="s">
        <v>7871</v>
      </c>
      <c r="AI2856" s="77" t="b">
        <v>0</v>
      </c>
      <c r="AJ2856" s="77"/>
      <c r="AK2856" s="77"/>
      <c r="AL2856" s="77"/>
      <c r="AM2856" s="77"/>
      <c r="AN2856" s="77"/>
      <c r="AO2856" s="77"/>
      <c r="AP2856" s="77"/>
      <c r="AQ2856" s="77"/>
      <c r="AR2856" s="77"/>
      <c r="AS2856" s="77"/>
      <c r="AT2856" s="77"/>
      <c r="AU2856" s="77"/>
      <c r="AV2856" s="80" t="str">
        <f>HYPERLINK("https://pbs.twimg.com/profile_images/1241147984924082183/gZgx_hL-_normal.jpg")</f>
        <v>https://pbs.twimg.com/profile_images/1241147984924082183/gZgx_hL-_normal.jpg</v>
      </c>
      <c r="AW2856" s="82" t="s">
        <v>14452</v>
      </c>
      <c r="AX2856" s="82" t="s">
        <v>14452</v>
      </c>
      <c r="AY2856" s="77"/>
      <c r="AZ2856" s="82" t="s">
        <v>15984</v>
      </c>
      <c r="BA2856" s="82" t="s">
        <v>15984</v>
      </c>
      <c r="BB2856" s="82" t="s">
        <v>15984</v>
      </c>
      <c r="BC2856" s="82" t="s">
        <v>14452</v>
      </c>
      <c r="BD2856" s="82" t="s">
        <v>15979</v>
      </c>
      <c r="BE2856" s="77"/>
      <c r="BF2856" s="77"/>
      <c r="BG2856" s="77"/>
      <c r="BH2856" s="77"/>
      <c r="BI2856" s="77"/>
    </row>
    <row r="2857" spans="1:61" x14ac:dyDescent="0.25">
      <c r="A2857" s="62" t="s">
        <v>387</v>
      </c>
      <c r="B2857" s="62" t="s">
        <v>387</v>
      </c>
      <c r="C2857" s="63"/>
      <c r="D2857" s="64"/>
      <c r="E2857" s="65"/>
      <c r="F2857" s="66"/>
      <c r="G2857" s="63"/>
      <c r="H2857" s="67"/>
      <c r="I2857" s="68"/>
      <c r="J2857" s="68"/>
      <c r="K2857" s="32"/>
      <c r="L2857" s="75">
        <v>2857</v>
      </c>
      <c r="M2857" s="75"/>
      <c r="N2857" s="70"/>
      <c r="O2857" s="77" t="s">
        <v>179</v>
      </c>
      <c r="P2857" s="79">
        <v>45181.802083333336</v>
      </c>
      <c r="Q2857" s="77" t="s">
        <v>3529</v>
      </c>
      <c r="R2857" s="77">
        <v>1</v>
      </c>
      <c r="S2857" s="77">
        <v>1</v>
      </c>
      <c r="T2857" s="77">
        <v>0</v>
      </c>
      <c r="U2857" s="77">
        <v>0</v>
      </c>
      <c r="V2857" s="77">
        <v>416</v>
      </c>
      <c r="W2857" s="82" t="s">
        <v>4833</v>
      </c>
      <c r="X2857" s="80" t="str">
        <f>HYPERLINK("https://einvestidor.estadao.com.br/colunas/karina-saade/blackrock-inclusao-nos-investimentos/?utm_source=twitter&amp;utm_medium=organic&amp;utm_campaign=&amp;utm_content=materia")</f>
        <v>https://einvestidor.estadao.com.br/colunas/karina-saade/blackrock-inclusao-nos-investimentos/?utm_source=twitter&amp;utm_medium=organic&amp;utm_campaign=&amp;utm_content=materia</v>
      </c>
      <c r="Y2857" s="77" t="s">
        <v>6470</v>
      </c>
      <c r="Z2857" s="77"/>
      <c r="AA2857" s="77"/>
      <c r="AB2857" s="77"/>
      <c r="AC2857" s="82" t="s">
        <v>7750</v>
      </c>
      <c r="AD2857" s="77" t="s">
        <v>7788</v>
      </c>
      <c r="AE2857" s="80" t="str">
        <f>HYPERLINK("https://twitter.com/einvestidor/status/1701675796677407072")</f>
        <v>https://twitter.com/einvestidor/status/1701675796677407072</v>
      </c>
      <c r="AF2857" s="79">
        <v>45181.802083333336</v>
      </c>
      <c r="AG2857" s="85">
        <v>45181</v>
      </c>
      <c r="AH2857" s="82" t="s">
        <v>7868</v>
      </c>
      <c r="AI2857" s="77" t="b">
        <v>0</v>
      </c>
      <c r="AJ2857" s="77"/>
      <c r="AK2857" s="77"/>
      <c r="AL2857" s="77"/>
      <c r="AM2857" s="77"/>
      <c r="AN2857" s="77"/>
      <c r="AO2857" s="77"/>
      <c r="AP2857" s="77"/>
      <c r="AQ2857" s="77"/>
      <c r="AR2857" s="77"/>
      <c r="AS2857" s="77"/>
      <c r="AT2857" s="77"/>
      <c r="AU2857" s="77"/>
      <c r="AV2857" s="80" t="str">
        <f>HYPERLINK("https://pbs.twimg.com/profile_images/1241147984924082183/gZgx_hL-_normal.jpg")</f>
        <v>https://pbs.twimg.com/profile_images/1241147984924082183/gZgx_hL-_normal.jpg</v>
      </c>
      <c r="AW2857" s="82" t="s">
        <v>14453</v>
      </c>
      <c r="AX2857" s="82" t="s">
        <v>14453</v>
      </c>
      <c r="AY2857" s="77"/>
      <c r="AZ2857" s="82" t="s">
        <v>15984</v>
      </c>
      <c r="BA2857" s="82" t="s">
        <v>15984</v>
      </c>
      <c r="BB2857" s="82" t="s">
        <v>15984</v>
      </c>
      <c r="BC2857" s="82" t="s">
        <v>14453</v>
      </c>
      <c r="BD2857" s="82" t="s">
        <v>15979</v>
      </c>
      <c r="BE2857" s="77"/>
      <c r="BF2857" s="77"/>
      <c r="BG2857" s="77"/>
      <c r="BH2857" s="77"/>
      <c r="BI2857" s="77"/>
    </row>
    <row r="2858" spans="1:61" x14ac:dyDescent="0.25">
      <c r="A2858" s="62" t="s">
        <v>387</v>
      </c>
      <c r="B2858" s="62" t="s">
        <v>387</v>
      </c>
      <c r="C2858" s="63"/>
      <c r="D2858" s="64"/>
      <c r="E2858" s="65"/>
      <c r="F2858" s="66"/>
      <c r="G2858" s="63"/>
      <c r="H2858" s="67"/>
      <c r="I2858" s="68"/>
      <c r="J2858" s="68"/>
      <c r="K2858" s="32"/>
      <c r="L2858" s="75">
        <v>2858</v>
      </c>
      <c r="M2858" s="75"/>
      <c r="N2858" s="70"/>
      <c r="O2858" s="77" t="s">
        <v>179</v>
      </c>
      <c r="P2858" s="79">
        <v>45181.802083333336</v>
      </c>
      <c r="Q2858" s="77" t="s">
        <v>3530</v>
      </c>
      <c r="R2858" s="77">
        <v>0</v>
      </c>
      <c r="S2858" s="77">
        <v>1</v>
      </c>
      <c r="T2858" s="77">
        <v>0</v>
      </c>
      <c r="U2858" s="77">
        <v>0</v>
      </c>
      <c r="V2858" s="77">
        <v>398</v>
      </c>
      <c r="W2858" s="82" t="s">
        <v>4833</v>
      </c>
      <c r="X2858" s="80" t="str">
        <f>HYPERLINK("https://einvestidor.estadao.com.br/ultimas/itau-bba-hapvida-hapv3-e-quinta-acao-mais-negociada//?utm_source=twitter&amp;utm_medium=organic&amp;utm_campaign=&amp;utm_content=materia")</f>
        <v>https://einvestidor.estadao.com.br/ultimas/itau-bba-hapvida-hapv3-e-quinta-acao-mais-negociada//?utm_source=twitter&amp;utm_medium=organic&amp;utm_campaign=&amp;utm_content=materia</v>
      </c>
      <c r="Y2858" s="77" t="s">
        <v>6470</v>
      </c>
      <c r="Z2858" s="77"/>
      <c r="AA2858" s="77"/>
      <c r="AB2858" s="77"/>
      <c r="AC2858" s="82" t="s">
        <v>7750</v>
      </c>
      <c r="AD2858" s="77" t="s">
        <v>7788</v>
      </c>
      <c r="AE2858" s="80" t="str">
        <f>HYPERLINK("https://twitter.com/einvestidor/status/1701675796610363446")</f>
        <v>https://twitter.com/einvestidor/status/1701675796610363446</v>
      </c>
      <c r="AF2858" s="79">
        <v>45181.802083333336</v>
      </c>
      <c r="AG2858" s="85">
        <v>45181</v>
      </c>
      <c r="AH2858" s="82" t="s">
        <v>7868</v>
      </c>
      <c r="AI2858" s="77" t="b">
        <v>0</v>
      </c>
      <c r="AJ2858" s="77"/>
      <c r="AK2858" s="77"/>
      <c r="AL2858" s="77"/>
      <c r="AM2858" s="77"/>
      <c r="AN2858" s="77"/>
      <c r="AO2858" s="77"/>
      <c r="AP2858" s="77"/>
      <c r="AQ2858" s="77"/>
      <c r="AR2858" s="77"/>
      <c r="AS2858" s="77"/>
      <c r="AT2858" s="77"/>
      <c r="AU2858" s="77"/>
      <c r="AV2858" s="80" t="str">
        <f>HYPERLINK("https://pbs.twimg.com/profile_images/1241147984924082183/gZgx_hL-_normal.jpg")</f>
        <v>https://pbs.twimg.com/profile_images/1241147984924082183/gZgx_hL-_normal.jpg</v>
      </c>
      <c r="AW2858" s="82" t="s">
        <v>14454</v>
      </c>
      <c r="AX2858" s="82" t="s">
        <v>14454</v>
      </c>
      <c r="AY2858" s="77"/>
      <c r="AZ2858" s="82" t="s">
        <v>15984</v>
      </c>
      <c r="BA2858" s="82" t="s">
        <v>15984</v>
      </c>
      <c r="BB2858" s="82" t="s">
        <v>15984</v>
      </c>
      <c r="BC2858" s="82" t="s">
        <v>14454</v>
      </c>
      <c r="BD2858" s="82" t="s">
        <v>15979</v>
      </c>
      <c r="BE2858" s="77"/>
      <c r="BF2858" s="77"/>
      <c r="BG2858" s="77"/>
      <c r="BH2858" s="77"/>
      <c r="BI2858" s="77"/>
    </row>
    <row r="2859" spans="1:61" x14ac:dyDescent="0.25">
      <c r="A2859" s="62" t="s">
        <v>387</v>
      </c>
      <c r="B2859" s="62" t="s">
        <v>387</v>
      </c>
      <c r="C2859" s="63"/>
      <c r="D2859" s="64"/>
      <c r="E2859" s="65"/>
      <c r="F2859" s="66"/>
      <c r="G2859" s="63"/>
      <c r="H2859" s="67"/>
      <c r="I2859" s="68"/>
      <c r="J2859" s="68"/>
      <c r="K2859" s="32"/>
      <c r="L2859" s="75">
        <v>2859</v>
      </c>
      <c r="M2859" s="75"/>
      <c r="N2859" s="70"/>
      <c r="O2859" s="77" t="s">
        <v>179</v>
      </c>
      <c r="P2859" s="79">
        <v>45181.791666666664</v>
      </c>
      <c r="Q2859" s="77" t="s">
        <v>3531</v>
      </c>
      <c r="R2859" s="77">
        <v>0</v>
      </c>
      <c r="S2859" s="77">
        <v>0</v>
      </c>
      <c r="T2859" s="77">
        <v>0</v>
      </c>
      <c r="U2859" s="77">
        <v>0</v>
      </c>
      <c r="V2859" s="77">
        <v>689</v>
      </c>
      <c r="W2859" s="82" t="s">
        <v>6068</v>
      </c>
      <c r="X2859" s="80" t="str">
        <f>HYPERLINK("https://einvestidor.estadao.com.br/radar-einvestidor/quanto-vai-custar-iphone-15/?utm_source=twitter&amp;utm_medium=organic&amp;utm_campaign=&amp;utm_content=materia")</f>
        <v>https://einvestidor.estadao.com.br/radar-einvestidor/quanto-vai-custar-iphone-15/?utm_source=twitter&amp;utm_medium=organic&amp;utm_campaign=&amp;utm_content=materia</v>
      </c>
      <c r="Y2859" s="77" t="s">
        <v>6470</v>
      </c>
      <c r="Z2859" s="77"/>
      <c r="AA2859" s="77"/>
      <c r="AB2859" s="77"/>
      <c r="AC2859" s="82" t="s">
        <v>7750</v>
      </c>
      <c r="AD2859" s="77" t="s">
        <v>7788</v>
      </c>
      <c r="AE2859" s="80" t="str">
        <f>HYPERLINK("https://twitter.com/einvestidor/status/1701672024840523920")</f>
        <v>https://twitter.com/einvestidor/status/1701672024840523920</v>
      </c>
      <c r="AF2859" s="79">
        <v>45181.791666666664</v>
      </c>
      <c r="AG2859" s="85">
        <v>45181</v>
      </c>
      <c r="AH2859" s="82" t="s">
        <v>9299</v>
      </c>
      <c r="AI2859" s="77" t="b">
        <v>0</v>
      </c>
      <c r="AJ2859" s="77"/>
      <c r="AK2859" s="77"/>
      <c r="AL2859" s="77"/>
      <c r="AM2859" s="77"/>
      <c r="AN2859" s="77"/>
      <c r="AO2859" s="77"/>
      <c r="AP2859" s="77"/>
      <c r="AQ2859" s="77"/>
      <c r="AR2859" s="77"/>
      <c r="AS2859" s="77"/>
      <c r="AT2859" s="77"/>
      <c r="AU2859" s="77"/>
      <c r="AV2859" s="80" t="str">
        <f>HYPERLINK("https://pbs.twimg.com/profile_images/1241147984924082183/gZgx_hL-_normal.jpg")</f>
        <v>https://pbs.twimg.com/profile_images/1241147984924082183/gZgx_hL-_normal.jpg</v>
      </c>
      <c r="AW2859" s="82" t="s">
        <v>14455</v>
      </c>
      <c r="AX2859" s="82" t="s">
        <v>14455</v>
      </c>
      <c r="AY2859" s="77"/>
      <c r="AZ2859" s="82" t="s">
        <v>15984</v>
      </c>
      <c r="BA2859" s="82" t="s">
        <v>15984</v>
      </c>
      <c r="BB2859" s="82" t="s">
        <v>15984</v>
      </c>
      <c r="BC2859" s="82" t="s">
        <v>14455</v>
      </c>
      <c r="BD2859" s="82" t="s">
        <v>15979</v>
      </c>
      <c r="BE2859" s="77"/>
      <c r="BF2859" s="77"/>
      <c r="BG2859" s="77"/>
      <c r="BH2859" s="77"/>
      <c r="BI2859" s="77"/>
    </row>
    <row r="2860" spans="1:61" x14ac:dyDescent="0.25">
      <c r="A2860" s="62" t="s">
        <v>387</v>
      </c>
      <c r="B2860" s="62" t="s">
        <v>387</v>
      </c>
      <c r="C2860" s="63"/>
      <c r="D2860" s="64"/>
      <c r="E2860" s="65"/>
      <c r="F2860" s="66"/>
      <c r="G2860" s="63"/>
      <c r="H2860" s="67"/>
      <c r="I2860" s="68"/>
      <c r="J2860" s="68"/>
      <c r="K2860" s="32"/>
      <c r="L2860" s="75">
        <v>2860</v>
      </c>
      <c r="M2860" s="75"/>
      <c r="N2860" s="70"/>
      <c r="O2860" s="77" t="s">
        <v>179</v>
      </c>
      <c r="P2860" s="79">
        <v>45181.78125</v>
      </c>
      <c r="Q2860" s="77" t="s">
        <v>3532</v>
      </c>
      <c r="R2860" s="77">
        <v>0</v>
      </c>
      <c r="S2860" s="77">
        <v>0</v>
      </c>
      <c r="T2860" s="77">
        <v>0</v>
      </c>
      <c r="U2860" s="77">
        <v>0</v>
      </c>
      <c r="V2860" s="77">
        <v>389</v>
      </c>
      <c r="W2860" s="82" t="s">
        <v>6008</v>
      </c>
      <c r="X2860" s="80" t="str">
        <f>HYPERLINK("https://einvestidor.estadao.com.br/educacao-financeira/quem-recebe-bolsa-familia-pode-fazer-emprestimo-caixa-economica/?utm_source=twitter&amp;utm_medium=organic&amp;utm_campaign=&amp;utm_content=materia")</f>
        <v>https://einvestidor.estadao.com.br/educacao-financeira/quem-recebe-bolsa-familia-pode-fazer-emprestimo-caixa-economica/?utm_source=twitter&amp;utm_medium=organic&amp;utm_campaign=&amp;utm_content=materia</v>
      </c>
      <c r="Y2860" s="77" t="s">
        <v>6470</v>
      </c>
      <c r="Z2860" s="77"/>
      <c r="AA2860" s="77"/>
      <c r="AB2860" s="77"/>
      <c r="AC2860" s="82" t="s">
        <v>7750</v>
      </c>
      <c r="AD2860" s="77" t="s">
        <v>7788</v>
      </c>
      <c r="AE2860" s="80" t="str">
        <f>HYPERLINK("https://twitter.com/einvestidor/status/1701668247290953873")</f>
        <v>https://twitter.com/einvestidor/status/1701668247290953873</v>
      </c>
      <c r="AF2860" s="79">
        <v>45181.78125</v>
      </c>
      <c r="AG2860" s="85">
        <v>45181</v>
      </c>
      <c r="AH2860" s="82" t="s">
        <v>9581</v>
      </c>
      <c r="AI2860" s="77" t="b">
        <v>0</v>
      </c>
      <c r="AJ2860" s="77"/>
      <c r="AK2860" s="77"/>
      <c r="AL2860" s="77"/>
      <c r="AM2860" s="77"/>
      <c r="AN2860" s="77"/>
      <c r="AO2860" s="77"/>
      <c r="AP2860" s="77"/>
      <c r="AQ2860" s="77"/>
      <c r="AR2860" s="77"/>
      <c r="AS2860" s="77"/>
      <c r="AT2860" s="77"/>
      <c r="AU2860" s="77"/>
      <c r="AV2860" s="80" t="str">
        <f>HYPERLINK("https://pbs.twimg.com/profile_images/1241147984924082183/gZgx_hL-_normal.jpg")</f>
        <v>https://pbs.twimg.com/profile_images/1241147984924082183/gZgx_hL-_normal.jpg</v>
      </c>
      <c r="AW2860" s="82" t="s">
        <v>14456</v>
      </c>
      <c r="AX2860" s="82" t="s">
        <v>14456</v>
      </c>
      <c r="AY2860" s="77"/>
      <c r="AZ2860" s="82" t="s">
        <v>15984</v>
      </c>
      <c r="BA2860" s="82" t="s">
        <v>15984</v>
      </c>
      <c r="BB2860" s="82" t="s">
        <v>15984</v>
      </c>
      <c r="BC2860" s="82" t="s">
        <v>14456</v>
      </c>
      <c r="BD2860" s="82" t="s">
        <v>15979</v>
      </c>
      <c r="BE2860" s="77"/>
      <c r="BF2860" s="77"/>
      <c r="BG2860" s="77"/>
      <c r="BH2860" s="77"/>
      <c r="BI2860" s="77"/>
    </row>
    <row r="2861" spans="1:61" x14ac:dyDescent="0.25">
      <c r="A2861" s="62" t="s">
        <v>387</v>
      </c>
      <c r="B2861" s="62" t="s">
        <v>387</v>
      </c>
      <c r="C2861" s="63"/>
      <c r="D2861" s="64"/>
      <c r="E2861" s="65"/>
      <c r="F2861" s="66"/>
      <c r="G2861" s="63"/>
      <c r="H2861" s="67"/>
      <c r="I2861" s="68"/>
      <c r="J2861" s="68"/>
      <c r="K2861" s="32"/>
      <c r="L2861" s="75">
        <v>2861</v>
      </c>
      <c r="M2861" s="75"/>
      <c r="N2861" s="70"/>
      <c r="O2861" s="77" t="s">
        <v>179</v>
      </c>
      <c r="P2861" s="79">
        <v>45181.760416666664</v>
      </c>
      <c r="Q2861" s="77" t="s">
        <v>3533</v>
      </c>
      <c r="R2861" s="77">
        <v>0</v>
      </c>
      <c r="S2861" s="77">
        <v>0</v>
      </c>
      <c r="T2861" s="77">
        <v>0</v>
      </c>
      <c r="U2861" s="77">
        <v>0</v>
      </c>
      <c r="V2861" s="77">
        <v>383</v>
      </c>
      <c r="W2861" s="82" t="s">
        <v>6135</v>
      </c>
      <c r="X2861" s="80" t="str">
        <f>HYPERLINK("https://einvestidor.estadao.com.br/educacao-financeira/quem-paga-desconto-inss/?utm_source=twitter&amp;utm_medium=organic&amp;utm_campaign=&amp;utm_content=materia")</f>
        <v>https://einvestidor.estadao.com.br/educacao-financeira/quem-paga-desconto-inss/?utm_source=twitter&amp;utm_medium=organic&amp;utm_campaign=&amp;utm_content=materia</v>
      </c>
      <c r="Y2861" s="77" t="s">
        <v>6470</v>
      </c>
      <c r="Z2861" s="77"/>
      <c r="AA2861" s="77"/>
      <c r="AB2861" s="77"/>
      <c r="AC2861" s="82" t="s">
        <v>7750</v>
      </c>
      <c r="AD2861" s="77" t="s">
        <v>7788</v>
      </c>
      <c r="AE2861" s="80" t="str">
        <f>HYPERLINK("https://twitter.com/einvestidor/status/1701660697141101036")</f>
        <v>https://twitter.com/einvestidor/status/1701660697141101036</v>
      </c>
      <c r="AF2861" s="79">
        <v>45181.760416666664</v>
      </c>
      <c r="AG2861" s="85">
        <v>45181</v>
      </c>
      <c r="AH2861" s="82" t="s">
        <v>9582</v>
      </c>
      <c r="AI2861" s="77" t="b">
        <v>0</v>
      </c>
      <c r="AJ2861" s="77"/>
      <c r="AK2861" s="77"/>
      <c r="AL2861" s="77"/>
      <c r="AM2861" s="77"/>
      <c r="AN2861" s="77"/>
      <c r="AO2861" s="77"/>
      <c r="AP2861" s="77"/>
      <c r="AQ2861" s="77"/>
      <c r="AR2861" s="77"/>
      <c r="AS2861" s="77"/>
      <c r="AT2861" s="77"/>
      <c r="AU2861" s="77"/>
      <c r="AV2861" s="80" t="str">
        <f>HYPERLINK("https://pbs.twimg.com/profile_images/1241147984924082183/gZgx_hL-_normal.jpg")</f>
        <v>https://pbs.twimg.com/profile_images/1241147984924082183/gZgx_hL-_normal.jpg</v>
      </c>
      <c r="AW2861" s="82" t="s">
        <v>14457</v>
      </c>
      <c r="AX2861" s="82" t="s">
        <v>14457</v>
      </c>
      <c r="AY2861" s="77"/>
      <c r="AZ2861" s="82" t="s">
        <v>15984</v>
      </c>
      <c r="BA2861" s="82" t="s">
        <v>15984</v>
      </c>
      <c r="BB2861" s="82" t="s">
        <v>15984</v>
      </c>
      <c r="BC2861" s="82" t="s">
        <v>14457</v>
      </c>
      <c r="BD2861" s="82" t="s">
        <v>15979</v>
      </c>
      <c r="BE2861" s="77"/>
      <c r="BF2861" s="77"/>
      <c r="BG2861" s="77"/>
      <c r="BH2861" s="77"/>
      <c r="BI2861" s="77"/>
    </row>
    <row r="2862" spans="1:61" x14ac:dyDescent="0.25">
      <c r="A2862" s="62" t="s">
        <v>387</v>
      </c>
      <c r="B2862" s="62" t="s">
        <v>387</v>
      </c>
      <c r="C2862" s="63"/>
      <c r="D2862" s="64"/>
      <c r="E2862" s="65"/>
      <c r="F2862" s="66"/>
      <c r="G2862" s="63"/>
      <c r="H2862" s="67"/>
      <c r="I2862" s="68"/>
      <c r="J2862" s="68"/>
      <c r="K2862" s="32"/>
      <c r="L2862" s="75">
        <v>2862</v>
      </c>
      <c r="M2862" s="75"/>
      <c r="N2862" s="70"/>
      <c r="O2862" s="77" t="s">
        <v>179</v>
      </c>
      <c r="P2862" s="79">
        <v>45181.752581018518</v>
      </c>
      <c r="Q2862" s="77" t="s">
        <v>3534</v>
      </c>
      <c r="R2862" s="77">
        <v>0</v>
      </c>
      <c r="S2862" s="77">
        <v>1</v>
      </c>
      <c r="T2862" s="77">
        <v>0</v>
      </c>
      <c r="U2862" s="77">
        <v>0</v>
      </c>
      <c r="V2862" s="77">
        <v>425</v>
      </c>
      <c r="W2862" s="82" t="s">
        <v>4833</v>
      </c>
      <c r="X2862" s="80" t="str">
        <f>HYPERLINK("https://einvestidor.estadao.com.br/mercado/mercado-intraday-12-09-2023/?utm_source=twitter&amp;utm_medium=organic&amp;utm_campaign=&amp;utm_content=materia")</f>
        <v>https://einvestidor.estadao.com.br/mercado/mercado-intraday-12-09-2023/?utm_source=twitter&amp;utm_medium=organic&amp;utm_campaign=&amp;utm_content=materia</v>
      </c>
      <c r="Y2862" s="77" t="s">
        <v>6470</v>
      </c>
      <c r="Z2862" s="77"/>
      <c r="AA2862" s="77"/>
      <c r="AB2862" s="77"/>
      <c r="AC2862" s="82" t="s">
        <v>7750</v>
      </c>
      <c r="AD2862" s="77" t="s">
        <v>7790</v>
      </c>
      <c r="AE2862" s="80" t="str">
        <f>HYPERLINK("https://twitter.com/einvestidor/status/1701657860059414986")</f>
        <v>https://twitter.com/einvestidor/status/1701657860059414986</v>
      </c>
      <c r="AF2862" s="79">
        <v>45181.752581018518</v>
      </c>
      <c r="AG2862" s="85">
        <v>45181</v>
      </c>
      <c r="AH2862" s="82" t="s">
        <v>9854</v>
      </c>
      <c r="AI2862" s="77" t="b">
        <v>0</v>
      </c>
      <c r="AJ2862" s="77"/>
      <c r="AK2862" s="77"/>
      <c r="AL2862" s="77"/>
      <c r="AM2862" s="77"/>
      <c r="AN2862" s="77"/>
      <c r="AO2862" s="77"/>
      <c r="AP2862" s="77"/>
      <c r="AQ2862" s="77"/>
      <c r="AR2862" s="77"/>
      <c r="AS2862" s="77"/>
      <c r="AT2862" s="77"/>
      <c r="AU2862" s="77"/>
      <c r="AV2862" s="80" t="str">
        <f>HYPERLINK("https://pbs.twimg.com/profile_images/1241147984924082183/gZgx_hL-_normal.jpg")</f>
        <v>https://pbs.twimg.com/profile_images/1241147984924082183/gZgx_hL-_normal.jpg</v>
      </c>
      <c r="AW2862" s="82" t="s">
        <v>14458</v>
      </c>
      <c r="AX2862" s="82" t="s">
        <v>14458</v>
      </c>
      <c r="AY2862" s="77"/>
      <c r="AZ2862" s="82" t="s">
        <v>15984</v>
      </c>
      <c r="BA2862" s="82" t="s">
        <v>15984</v>
      </c>
      <c r="BB2862" s="82" t="s">
        <v>15984</v>
      </c>
      <c r="BC2862" s="82" t="s">
        <v>14458</v>
      </c>
      <c r="BD2862" s="82" t="s">
        <v>15979</v>
      </c>
      <c r="BE2862" s="77"/>
      <c r="BF2862" s="77"/>
      <c r="BG2862" s="77"/>
      <c r="BH2862" s="77"/>
      <c r="BI2862" s="77"/>
    </row>
    <row r="2863" spans="1:61" x14ac:dyDescent="0.25">
      <c r="A2863" s="62" t="s">
        <v>387</v>
      </c>
      <c r="B2863" s="62" t="s">
        <v>387</v>
      </c>
      <c r="C2863" s="63"/>
      <c r="D2863" s="64"/>
      <c r="E2863" s="65"/>
      <c r="F2863" s="66"/>
      <c r="G2863" s="63"/>
      <c r="H2863" s="67"/>
      <c r="I2863" s="68"/>
      <c r="J2863" s="68"/>
      <c r="K2863" s="32"/>
      <c r="L2863" s="75">
        <v>2863</v>
      </c>
      <c r="M2863" s="75"/>
      <c r="N2863" s="70"/>
      <c r="O2863" s="77" t="s">
        <v>179</v>
      </c>
      <c r="P2863" s="79">
        <v>45181.751643518517</v>
      </c>
      <c r="Q2863" s="77" t="s">
        <v>3535</v>
      </c>
      <c r="R2863" s="77">
        <v>0</v>
      </c>
      <c r="S2863" s="77">
        <v>1</v>
      </c>
      <c r="T2863" s="77">
        <v>0</v>
      </c>
      <c r="U2863" s="77">
        <v>0</v>
      </c>
      <c r="V2863" s="77">
        <v>374</v>
      </c>
      <c r="W2863" s="82" t="s">
        <v>4833</v>
      </c>
      <c r="X2863" s="80" t="str">
        <f>HYPERLINK("https://einvestidor.estadao.com.br/colunas/artigos-especialistas/e-hora-de-investir-em-imoveis-queda-juros/?utm_source=twitter&amp;utm_medium=organic&amp;utm_campaign=&amp;utm_content=materia")</f>
        <v>https://einvestidor.estadao.com.br/colunas/artigos-especialistas/e-hora-de-investir-em-imoveis-queda-juros/?utm_source=twitter&amp;utm_medium=organic&amp;utm_campaign=&amp;utm_content=materia</v>
      </c>
      <c r="Y2863" s="77" t="s">
        <v>6470</v>
      </c>
      <c r="Z2863" s="77"/>
      <c r="AA2863" s="77"/>
      <c r="AB2863" s="77"/>
      <c r="AC2863" s="82" t="s">
        <v>7750</v>
      </c>
      <c r="AD2863" s="77" t="s">
        <v>7788</v>
      </c>
      <c r="AE2863" s="80" t="str">
        <f>HYPERLINK("https://twitter.com/einvestidor/status/1701657517544140940")</f>
        <v>https://twitter.com/einvestidor/status/1701657517544140940</v>
      </c>
      <c r="AF2863" s="79">
        <v>45181.751643518517</v>
      </c>
      <c r="AG2863" s="85">
        <v>45181</v>
      </c>
      <c r="AH2863" s="82" t="s">
        <v>9855</v>
      </c>
      <c r="AI2863" s="77" t="b">
        <v>0</v>
      </c>
      <c r="AJ2863" s="77"/>
      <c r="AK2863" s="77"/>
      <c r="AL2863" s="77"/>
      <c r="AM2863" s="77"/>
      <c r="AN2863" s="77"/>
      <c r="AO2863" s="77"/>
      <c r="AP2863" s="77"/>
      <c r="AQ2863" s="77"/>
      <c r="AR2863" s="77"/>
      <c r="AS2863" s="77"/>
      <c r="AT2863" s="77"/>
      <c r="AU2863" s="77"/>
      <c r="AV2863" s="80" t="str">
        <f>HYPERLINK("https://pbs.twimg.com/profile_images/1241147984924082183/gZgx_hL-_normal.jpg")</f>
        <v>https://pbs.twimg.com/profile_images/1241147984924082183/gZgx_hL-_normal.jpg</v>
      </c>
      <c r="AW2863" s="82" t="s">
        <v>14459</v>
      </c>
      <c r="AX2863" s="82" t="s">
        <v>14459</v>
      </c>
      <c r="AY2863" s="77"/>
      <c r="AZ2863" s="82" t="s">
        <v>15984</v>
      </c>
      <c r="BA2863" s="82" t="s">
        <v>15984</v>
      </c>
      <c r="BB2863" s="82" t="s">
        <v>15984</v>
      </c>
      <c r="BC2863" s="82" t="s">
        <v>14459</v>
      </c>
      <c r="BD2863" s="82" t="s">
        <v>15979</v>
      </c>
      <c r="BE2863" s="77"/>
      <c r="BF2863" s="77"/>
      <c r="BG2863" s="77"/>
      <c r="BH2863" s="77"/>
      <c r="BI2863" s="77"/>
    </row>
    <row r="2864" spans="1:61" x14ac:dyDescent="0.25">
      <c r="A2864" s="62" t="s">
        <v>387</v>
      </c>
      <c r="B2864" s="62" t="s">
        <v>387</v>
      </c>
      <c r="C2864" s="63"/>
      <c r="D2864" s="64"/>
      <c r="E2864" s="65"/>
      <c r="F2864" s="66"/>
      <c r="G2864" s="63"/>
      <c r="H2864" s="67"/>
      <c r="I2864" s="68"/>
      <c r="J2864" s="68"/>
      <c r="K2864" s="32"/>
      <c r="L2864" s="75">
        <v>2864</v>
      </c>
      <c r="M2864" s="75"/>
      <c r="N2864" s="70"/>
      <c r="O2864" s="77" t="s">
        <v>179</v>
      </c>
      <c r="P2864" s="79">
        <v>45174.94908564815</v>
      </c>
      <c r="Q2864" s="77" t="s">
        <v>3536</v>
      </c>
      <c r="R2864" s="77">
        <v>1</v>
      </c>
      <c r="S2864" s="77">
        <v>2</v>
      </c>
      <c r="T2864" s="77">
        <v>1</v>
      </c>
      <c r="U2864" s="77">
        <v>0</v>
      </c>
      <c r="V2864" s="77">
        <v>813</v>
      </c>
      <c r="W2864" s="82" t="s">
        <v>6136</v>
      </c>
      <c r="X2864" s="80" t="str">
        <f>HYPERLINK("https://einvestidor.estadao.com.br/ultimas/bradesco-projecoes-pib-brasil-2023-2024//?utm_source=twitter&amp;utm_medium=organic&amp;utm_campaign=&amp;utm_content=materia")</f>
        <v>https://einvestidor.estadao.com.br/ultimas/bradesco-projecoes-pib-brasil-2023-2024//?utm_source=twitter&amp;utm_medium=organic&amp;utm_campaign=&amp;utm_content=materia</v>
      </c>
      <c r="Y2864" s="77" t="s">
        <v>6470</v>
      </c>
      <c r="Z2864" s="77"/>
      <c r="AA2864" s="77"/>
      <c r="AB2864" s="77"/>
      <c r="AC2864" s="82" t="s">
        <v>7750</v>
      </c>
      <c r="AD2864" s="77" t="s">
        <v>7788</v>
      </c>
      <c r="AE2864" s="80" t="str">
        <f>HYPERLINK("https://twitter.com/einvestidor/status/1699192354538750397")</f>
        <v>https://twitter.com/einvestidor/status/1699192354538750397</v>
      </c>
      <c r="AF2864" s="79">
        <v>45174.94908564815</v>
      </c>
      <c r="AG2864" s="85">
        <v>45174</v>
      </c>
      <c r="AH2864" s="82" t="s">
        <v>9856</v>
      </c>
      <c r="AI2864" s="77" t="b">
        <v>0</v>
      </c>
      <c r="AJ2864" s="77"/>
      <c r="AK2864" s="77"/>
      <c r="AL2864" s="77"/>
      <c r="AM2864" s="77"/>
      <c r="AN2864" s="77"/>
      <c r="AO2864" s="77"/>
      <c r="AP2864" s="77"/>
      <c r="AQ2864" s="77"/>
      <c r="AR2864" s="77"/>
      <c r="AS2864" s="77"/>
      <c r="AT2864" s="77"/>
      <c r="AU2864" s="77"/>
      <c r="AV2864" s="80" t="str">
        <f>HYPERLINK("https://pbs.twimg.com/profile_images/1241147984924082183/gZgx_hL-_normal.jpg")</f>
        <v>https://pbs.twimg.com/profile_images/1241147984924082183/gZgx_hL-_normal.jpg</v>
      </c>
      <c r="AW2864" s="82" t="s">
        <v>14460</v>
      </c>
      <c r="AX2864" s="82" t="s">
        <v>14460</v>
      </c>
      <c r="AY2864" s="77"/>
      <c r="AZ2864" s="82" t="s">
        <v>15984</v>
      </c>
      <c r="BA2864" s="82" t="s">
        <v>15984</v>
      </c>
      <c r="BB2864" s="82" t="s">
        <v>15984</v>
      </c>
      <c r="BC2864" s="82" t="s">
        <v>14460</v>
      </c>
      <c r="BD2864" s="82" t="s">
        <v>15979</v>
      </c>
      <c r="BE2864" s="77"/>
      <c r="BF2864" s="77"/>
      <c r="BG2864" s="77"/>
      <c r="BH2864" s="77"/>
      <c r="BI2864" s="77"/>
    </row>
    <row r="2865" spans="1:61" x14ac:dyDescent="0.25">
      <c r="A2865" s="62" t="s">
        <v>387</v>
      </c>
      <c r="B2865" s="62" t="s">
        <v>387</v>
      </c>
      <c r="C2865" s="63"/>
      <c r="D2865" s="64"/>
      <c r="E2865" s="65"/>
      <c r="F2865" s="66"/>
      <c r="G2865" s="63"/>
      <c r="H2865" s="67"/>
      <c r="I2865" s="68"/>
      <c r="J2865" s="68"/>
      <c r="K2865" s="32"/>
      <c r="L2865" s="75">
        <v>2865</v>
      </c>
      <c r="M2865" s="75"/>
      <c r="N2865" s="70"/>
      <c r="O2865" s="77" t="s">
        <v>179</v>
      </c>
      <c r="P2865" s="79">
        <v>45174.927083333336</v>
      </c>
      <c r="Q2865" s="77" t="s">
        <v>3537</v>
      </c>
      <c r="R2865" s="77">
        <v>1</v>
      </c>
      <c r="S2865" s="77">
        <v>0</v>
      </c>
      <c r="T2865" s="77">
        <v>0</v>
      </c>
      <c r="U2865" s="77">
        <v>0</v>
      </c>
      <c r="V2865" s="77">
        <v>626</v>
      </c>
      <c r="W2865" s="82" t="s">
        <v>4833</v>
      </c>
      <c r="X2865" s="80" t="str">
        <f>HYPERLINK("https://einvestidor.estadao.com.br/comportamento/wall-street-problema-home-office-presencial/?utm_source=twitter&amp;utm_medium=organic&amp;utm_campaign=&amp;utm_content=materia")</f>
        <v>https://einvestidor.estadao.com.br/comportamento/wall-street-problema-home-office-presencial/?utm_source=twitter&amp;utm_medium=organic&amp;utm_campaign=&amp;utm_content=materia</v>
      </c>
      <c r="Y2865" s="77" t="s">
        <v>6470</v>
      </c>
      <c r="Z2865" s="77"/>
      <c r="AA2865" s="77"/>
      <c r="AB2865" s="77"/>
      <c r="AC2865" s="82" t="s">
        <v>7750</v>
      </c>
      <c r="AD2865" s="77" t="s">
        <v>7788</v>
      </c>
      <c r="AE2865" s="80" t="str">
        <f>HYPERLINK("https://twitter.com/einvestidor/status/1699184380550262885")</f>
        <v>https://twitter.com/einvestidor/status/1699184380550262885</v>
      </c>
      <c r="AF2865" s="79">
        <v>45174.927083333336</v>
      </c>
      <c r="AG2865" s="85">
        <v>45174</v>
      </c>
      <c r="AH2865" s="82" t="s">
        <v>9576</v>
      </c>
      <c r="AI2865" s="77" t="b">
        <v>0</v>
      </c>
      <c r="AJ2865" s="77"/>
      <c r="AK2865" s="77"/>
      <c r="AL2865" s="77"/>
      <c r="AM2865" s="77"/>
      <c r="AN2865" s="77"/>
      <c r="AO2865" s="77"/>
      <c r="AP2865" s="77"/>
      <c r="AQ2865" s="77"/>
      <c r="AR2865" s="77"/>
      <c r="AS2865" s="77"/>
      <c r="AT2865" s="77"/>
      <c r="AU2865" s="77"/>
      <c r="AV2865" s="80" t="str">
        <f>HYPERLINK("https://pbs.twimg.com/profile_images/1241147984924082183/gZgx_hL-_normal.jpg")</f>
        <v>https://pbs.twimg.com/profile_images/1241147984924082183/gZgx_hL-_normal.jpg</v>
      </c>
      <c r="AW2865" s="82" t="s">
        <v>14461</v>
      </c>
      <c r="AX2865" s="82" t="s">
        <v>14461</v>
      </c>
      <c r="AY2865" s="77"/>
      <c r="AZ2865" s="82" t="s">
        <v>15984</v>
      </c>
      <c r="BA2865" s="82" t="s">
        <v>15984</v>
      </c>
      <c r="BB2865" s="82" t="s">
        <v>15984</v>
      </c>
      <c r="BC2865" s="82" t="s">
        <v>14461</v>
      </c>
      <c r="BD2865" s="82" t="s">
        <v>15979</v>
      </c>
      <c r="BE2865" s="77"/>
      <c r="BF2865" s="77"/>
      <c r="BG2865" s="77"/>
      <c r="BH2865" s="77"/>
      <c r="BI2865" s="77"/>
    </row>
    <row r="2866" spans="1:61" x14ac:dyDescent="0.25">
      <c r="A2866" s="62" t="s">
        <v>387</v>
      </c>
      <c r="B2866" s="62" t="s">
        <v>387</v>
      </c>
      <c r="C2866" s="63"/>
      <c r="D2866" s="64"/>
      <c r="E2866" s="65"/>
      <c r="F2866" s="66"/>
      <c r="G2866" s="63"/>
      <c r="H2866" s="67"/>
      <c r="I2866" s="68"/>
      <c r="J2866" s="68"/>
      <c r="K2866" s="32"/>
      <c r="L2866" s="75">
        <v>2866</v>
      </c>
      <c r="M2866" s="75"/>
      <c r="N2866" s="70"/>
      <c r="O2866" s="77" t="s">
        <v>179</v>
      </c>
      <c r="P2866" s="79">
        <v>45174.916666666664</v>
      </c>
      <c r="Q2866" s="77" t="s">
        <v>3538</v>
      </c>
      <c r="R2866" s="77">
        <v>1</v>
      </c>
      <c r="S2866" s="77">
        <v>1</v>
      </c>
      <c r="T2866" s="77">
        <v>0</v>
      </c>
      <c r="U2866" s="77">
        <v>0</v>
      </c>
      <c r="V2866" s="77">
        <v>449</v>
      </c>
      <c r="W2866" s="82" t="s">
        <v>4833</v>
      </c>
      <c r="X2866" s="80" t="str">
        <f>HYPERLINK("https://einvestidor.estadao.com.br/ultimas/cpi-convocacao-gestor-infinity-asset-entenda/?utm_source=twitter&amp;utm_medium=organic&amp;utm_campaign=&amp;utm_content=materia")</f>
        <v>https://einvestidor.estadao.com.br/ultimas/cpi-convocacao-gestor-infinity-asset-entenda/?utm_source=twitter&amp;utm_medium=organic&amp;utm_campaign=&amp;utm_content=materia</v>
      </c>
      <c r="Y2866" s="77" t="s">
        <v>6470</v>
      </c>
      <c r="Z2866" s="77"/>
      <c r="AA2866" s="77"/>
      <c r="AB2866" s="77"/>
      <c r="AC2866" s="82" t="s">
        <v>7750</v>
      </c>
      <c r="AD2866" s="77" t="s">
        <v>7788</v>
      </c>
      <c r="AE2866" s="80" t="str">
        <f>HYPERLINK("https://twitter.com/einvestidor/status/1699180608373580047")</f>
        <v>https://twitter.com/einvestidor/status/1699180608373580047</v>
      </c>
      <c r="AF2866" s="79">
        <v>45174.916666666664</v>
      </c>
      <c r="AG2866" s="85">
        <v>45174</v>
      </c>
      <c r="AH2866" s="82" t="s">
        <v>9577</v>
      </c>
      <c r="AI2866" s="77" t="b">
        <v>0</v>
      </c>
      <c r="AJ2866" s="77"/>
      <c r="AK2866" s="77"/>
      <c r="AL2866" s="77"/>
      <c r="AM2866" s="77"/>
      <c r="AN2866" s="77"/>
      <c r="AO2866" s="77"/>
      <c r="AP2866" s="77"/>
      <c r="AQ2866" s="77"/>
      <c r="AR2866" s="77"/>
      <c r="AS2866" s="77"/>
      <c r="AT2866" s="77"/>
      <c r="AU2866" s="77"/>
      <c r="AV2866" s="80" t="str">
        <f>HYPERLINK("https://pbs.twimg.com/profile_images/1241147984924082183/gZgx_hL-_normal.jpg")</f>
        <v>https://pbs.twimg.com/profile_images/1241147984924082183/gZgx_hL-_normal.jpg</v>
      </c>
      <c r="AW2866" s="82" t="s">
        <v>14462</v>
      </c>
      <c r="AX2866" s="82" t="s">
        <v>14462</v>
      </c>
      <c r="AY2866" s="77"/>
      <c r="AZ2866" s="82" t="s">
        <v>15984</v>
      </c>
      <c r="BA2866" s="82" t="s">
        <v>15984</v>
      </c>
      <c r="BB2866" s="82" t="s">
        <v>15984</v>
      </c>
      <c r="BC2866" s="82" t="s">
        <v>14462</v>
      </c>
      <c r="BD2866" s="82" t="s">
        <v>15979</v>
      </c>
      <c r="BE2866" s="77"/>
      <c r="BF2866" s="77"/>
      <c r="BG2866" s="77"/>
      <c r="BH2866" s="77"/>
      <c r="BI2866" s="77"/>
    </row>
    <row r="2867" spans="1:61" x14ac:dyDescent="0.25">
      <c r="A2867" s="62" t="s">
        <v>387</v>
      </c>
      <c r="B2867" s="62" t="s">
        <v>387</v>
      </c>
      <c r="C2867" s="63"/>
      <c r="D2867" s="64"/>
      <c r="E2867" s="65"/>
      <c r="F2867" s="66"/>
      <c r="G2867" s="63"/>
      <c r="H2867" s="67"/>
      <c r="I2867" s="68"/>
      <c r="J2867" s="68"/>
      <c r="K2867" s="32"/>
      <c r="L2867" s="75">
        <v>2867</v>
      </c>
      <c r="M2867" s="75"/>
      <c r="N2867" s="70"/>
      <c r="O2867" s="77" t="s">
        <v>179</v>
      </c>
      <c r="P2867" s="79">
        <v>45174.90625</v>
      </c>
      <c r="Q2867" s="77" t="s">
        <v>3539</v>
      </c>
      <c r="R2867" s="77">
        <v>0</v>
      </c>
      <c r="S2867" s="77">
        <v>0</v>
      </c>
      <c r="T2867" s="77">
        <v>1</v>
      </c>
      <c r="U2867" s="77">
        <v>0</v>
      </c>
      <c r="V2867" s="77">
        <v>470</v>
      </c>
      <c r="W2867" s="82" t="s">
        <v>4833</v>
      </c>
      <c r="X2867" s="80" t="str">
        <f>HYPERLINK("https://einvestidor.estadao.com.br/ultimas/juros-treasuries-alta-risco-federal-reserve-restritivo//?utm_source=twitter&amp;utm_medium=organic&amp;utm_campaign=&amp;utm_content=materia")</f>
        <v>https://einvestidor.estadao.com.br/ultimas/juros-treasuries-alta-risco-federal-reserve-restritivo//?utm_source=twitter&amp;utm_medium=organic&amp;utm_campaign=&amp;utm_content=materia</v>
      </c>
      <c r="Y2867" s="77" t="s">
        <v>6470</v>
      </c>
      <c r="Z2867" s="77"/>
      <c r="AA2867" s="77"/>
      <c r="AB2867" s="77"/>
      <c r="AC2867" s="82" t="s">
        <v>7750</v>
      </c>
      <c r="AD2867" s="77" t="s">
        <v>7788</v>
      </c>
      <c r="AE2867" s="80" t="str">
        <f>HYPERLINK("https://twitter.com/einvestidor/status/1699176830824304850")</f>
        <v>https://twitter.com/einvestidor/status/1699176830824304850</v>
      </c>
      <c r="AF2867" s="79">
        <v>45174.90625</v>
      </c>
      <c r="AG2867" s="85">
        <v>45174</v>
      </c>
      <c r="AH2867" s="82" t="s">
        <v>9578</v>
      </c>
      <c r="AI2867" s="77" t="b">
        <v>0</v>
      </c>
      <c r="AJ2867" s="77"/>
      <c r="AK2867" s="77"/>
      <c r="AL2867" s="77"/>
      <c r="AM2867" s="77"/>
      <c r="AN2867" s="77"/>
      <c r="AO2867" s="77"/>
      <c r="AP2867" s="77"/>
      <c r="AQ2867" s="77"/>
      <c r="AR2867" s="77"/>
      <c r="AS2867" s="77"/>
      <c r="AT2867" s="77"/>
      <c r="AU2867" s="77"/>
      <c r="AV2867" s="80" t="str">
        <f>HYPERLINK("https://pbs.twimg.com/profile_images/1241147984924082183/gZgx_hL-_normal.jpg")</f>
        <v>https://pbs.twimg.com/profile_images/1241147984924082183/gZgx_hL-_normal.jpg</v>
      </c>
      <c r="AW2867" s="82" t="s">
        <v>14463</v>
      </c>
      <c r="AX2867" s="82" t="s">
        <v>14463</v>
      </c>
      <c r="AY2867" s="77"/>
      <c r="AZ2867" s="82" t="s">
        <v>15984</v>
      </c>
      <c r="BA2867" s="82" t="s">
        <v>15984</v>
      </c>
      <c r="BB2867" s="82" t="s">
        <v>15984</v>
      </c>
      <c r="BC2867" s="82" t="s">
        <v>14463</v>
      </c>
      <c r="BD2867" s="82" t="s">
        <v>15979</v>
      </c>
      <c r="BE2867" s="77"/>
      <c r="BF2867" s="77"/>
      <c r="BG2867" s="77"/>
      <c r="BH2867" s="77"/>
      <c r="BI2867" s="77"/>
    </row>
    <row r="2868" spans="1:61" x14ac:dyDescent="0.25">
      <c r="A2868" s="62" t="s">
        <v>387</v>
      </c>
      <c r="B2868" s="62" t="s">
        <v>387</v>
      </c>
      <c r="C2868" s="63"/>
      <c r="D2868" s="64"/>
      <c r="E2868" s="65"/>
      <c r="F2868" s="66"/>
      <c r="G2868" s="63"/>
      <c r="H2868" s="67"/>
      <c r="I2868" s="68"/>
      <c r="J2868" s="68"/>
      <c r="K2868" s="32"/>
      <c r="L2868" s="75">
        <v>2868</v>
      </c>
      <c r="M2868" s="75"/>
      <c r="N2868" s="70"/>
      <c r="O2868" s="77" t="s">
        <v>179</v>
      </c>
      <c r="P2868" s="79">
        <v>45174.895833333336</v>
      </c>
      <c r="Q2868" s="77" t="s">
        <v>3540</v>
      </c>
      <c r="R2868" s="77">
        <v>0</v>
      </c>
      <c r="S2868" s="77">
        <v>0</v>
      </c>
      <c r="T2868" s="77">
        <v>0</v>
      </c>
      <c r="U2868" s="77">
        <v>0</v>
      </c>
      <c r="V2868" s="77">
        <v>517</v>
      </c>
      <c r="W2868" s="82" t="s">
        <v>4833</v>
      </c>
      <c r="X2868" s="80" t="str">
        <f>HYPERLINK("https://einvestidor.estadao.com.br/investimentos/cpts11-desdobramento-de-cotas//?utm_source=twitter&amp;utm_medium=organic&amp;utm_campaign=&amp;utm_content=materia")</f>
        <v>https://einvestidor.estadao.com.br/investimentos/cpts11-desdobramento-de-cotas//?utm_source=twitter&amp;utm_medium=organic&amp;utm_campaign=&amp;utm_content=materia</v>
      </c>
      <c r="Y2868" s="77" t="s">
        <v>6470</v>
      </c>
      <c r="Z2868" s="77"/>
      <c r="AA2868" s="77"/>
      <c r="AB2868" s="77"/>
      <c r="AC2868" s="82" t="s">
        <v>7750</v>
      </c>
      <c r="AD2868" s="77" t="s">
        <v>7788</v>
      </c>
      <c r="AE2868" s="80" t="str">
        <f>HYPERLINK("https://twitter.com/einvestidor/status/1699173056282018125")</f>
        <v>https://twitter.com/einvestidor/status/1699173056282018125</v>
      </c>
      <c r="AF2868" s="79">
        <v>45174.895833333336</v>
      </c>
      <c r="AG2868" s="85">
        <v>45174</v>
      </c>
      <c r="AH2868" s="82" t="s">
        <v>8089</v>
      </c>
      <c r="AI2868" s="77" t="b">
        <v>0</v>
      </c>
      <c r="AJ2868" s="77"/>
      <c r="AK2868" s="77"/>
      <c r="AL2868" s="77"/>
      <c r="AM2868" s="77"/>
      <c r="AN2868" s="77"/>
      <c r="AO2868" s="77"/>
      <c r="AP2868" s="77"/>
      <c r="AQ2868" s="77"/>
      <c r="AR2868" s="77"/>
      <c r="AS2868" s="77"/>
      <c r="AT2868" s="77"/>
      <c r="AU2868" s="77"/>
      <c r="AV2868" s="80" t="str">
        <f>HYPERLINK("https://pbs.twimg.com/profile_images/1241147984924082183/gZgx_hL-_normal.jpg")</f>
        <v>https://pbs.twimg.com/profile_images/1241147984924082183/gZgx_hL-_normal.jpg</v>
      </c>
      <c r="AW2868" s="82" t="s">
        <v>14464</v>
      </c>
      <c r="AX2868" s="82" t="s">
        <v>14464</v>
      </c>
      <c r="AY2868" s="77"/>
      <c r="AZ2868" s="82" t="s">
        <v>15984</v>
      </c>
      <c r="BA2868" s="82" t="s">
        <v>15984</v>
      </c>
      <c r="BB2868" s="82" t="s">
        <v>15984</v>
      </c>
      <c r="BC2868" s="82" t="s">
        <v>14464</v>
      </c>
      <c r="BD2868" s="82" t="s">
        <v>15979</v>
      </c>
      <c r="BE2868" s="77"/>
      <c r="BF2868" s="77"/>
      <c r="BG2868" s="77"/>
      <c r="BH2868" s="77"/>
      <c r="BI2868" s="77"/>
    </row>
    <row r="2869" spans="1:61" x14ac:dyDescent="0.25">
      <c r="A2869" s="62" t="s">
        <v>387</v>
      </c>
      <c r="B2869" s="62" t="s">
        <v>387</v>
      </c>
      <c r="C2869" s="63"/>
      <c r="D2869" s="64"/>
      <c r="E2869" s="65"/>
      <c r="F2869" s="66"/>
      <c r="G2869" s="63"/>
      <c r="H2869" s="67"/>
      <c r="I2869" s="68"/>
      <c r="J2869" s="68"/>
      <c r="K2869" s="32"/>
      <c r="L2869" s="75">
        <v>2869</v>
      </c>
      <c r="M2869" s="75"/>
      <c r="N2869" s="70"/>
      <c r="O2869" s="77" t="s">
        <v>179</v>
      </c>
      <c r="P2869" s="79">
        <v>45168.958344907405</v>
      </c>
      <c r="Q2869" s="77" t="s">
        <v>3541</v>
      </c>
      <c r="R2869" s="77">
        <v>1</v>
      </c>
      <c r="S2869" s="77">
        <v>2</v>
      </c>
      <c r="T2869" s="77">
        <v>0</v>
      </c>
      <c r="U2869" s="77">
        <v>0</v>
      </c>
      <c r="V2869" s="77">
        <v>694</v>
      </c>
      <c r="W2869" s="82" t="s">
        <v>4833</v>
      </c>
      <c r="X2869" s="80" t="str">
        <f>HYPERLINK("https://einvestidor.estadao.com.br/ultimas/aumenta-limite-de-ressarcimento-falhas-corretoras-bolsa-de-valores//?utm_source=twitter&amp;utm_medium=organic&amp;utm_campaign=&amp;utm_content=materia")</f>
        <v>https://einvestidor.estadao.com.br/ultimas/aumenta-limite-de-ressarcimento-falhas-corretoras-bolsa-de-valores//?utm_source=twitter&amp;utm_medium=organic&amp;utm_campaign=&amp;utm_content=materia</v>
      </c>
      <c r="Y2869" s="77" t="s">
        <v>6470</v>
      </c>
      <c r="Z2869" s="77"/>
      <c r="AA2869" s="77"/>
      <c r="AB2869" s="77"/>
      <c r="AC2869" s="82" t="s">
        <v>7750</v>
      </c>
      <c r="AD2869" s="77" t="s">
        <v>7788</v>
      </c>
      <c r="AE2869" s="80" t="str">
        <f>HYPERLINK("https://twitter.com/einvestidor/status/1697021383102874046")</f>
        <v>https://twitter.com/einvestidor/status/1697021383102874046</v>
      </c>
      <c r="AF2869" s="79">
        <v>45168.958344907405</v>
      </c>
      <c r="AG2869" s="85">
        <v>45168</v>
      </c>
      <c r="AH2869" s="82" t="s">
        <v>9241</v>
      </c>
      <c r="AI2869" s="77" t="b">
        <v>0</v>
      </c>
      <c r="AJ2869" s="77"/>
      <c r="AK2869" s="77"/>
      <c r="AL2869" s="77"/>
      <c r="AM2869" s="77"/>
      <c r="AN2869" s="77"/>
      <c r="AO2869" s="77"/>
      <c r="AP2869" s="77"/>
      <c r="AQ2869" s="77"/>
      <c r="AR2869" s="77"/>
      <c r="AS2869" s="77"/>
      <c r="AT2869" s="77"/>
      <c r="AU2869" s="77"/>
      <c r="AV2869" s="80" t="str">
        <f>HYPERLINK("https://pbs.twimg.com/profile_images/1241147984924082183/gZgx_hL-_normal.jpg")</f>
        <v>https://pbs.twimg.com/profile_images/1241147984924082183/gZgx_hL-_normal.jpg</v>
      </c>
      <c r="AW2869" s="82" t="s">
        <v>14465</v>
      </c>
      <c r="AX2869" s="82" t="s">
        <v>14465</v>
      </c>
      <c r="AY2869" s="77"/>
      <c r="AZ2869" s="82" t="s">
        <v>15984</v>
      </c>
      <c r="BA2869" s="82" t="s">
        <v>15984</v>
      </c>
      <c r="BB2869" s="82" t="s">
        <v>15984</v>
      </c>
      <c r="BC2869" s="82" t="s">
        <v>14465</v>
      </c>
      <c r="BD2869" s="82" t="s">
        <v>15979</v>
      </c>
      <c r="BE2869" s="77"/>
      <c r="BF2869" s="77"/>
      <c r="BG2869" s="77"/>
      <c r="BH2869" s="77"/>
      <c r="BI2869" s="77"/>
    </row>
    <row r="2870" spans="1:61" x14ac:dyDescent="0.25">
      <c r="A2870" s="62" t="s">
        <v>387</v>
      </c>
      <c r="B2870" s="62" t="s">
        <v>387</v>
      </c>
      <c r="C2870" s="63"/>
      <c r="D2870" s="64"/>
      <c r="E2870" s="65"/>
      <c r="F2870" s="66"/>
      <c r="G2870" s="63"/>
      <c r="H2870" s="67"/>
      <c r="I2870" s="68"/>
      <c r="J2870" s="68"/>
      <c r="K2870" s="32"/>
      <c r="L2870" s="75">
        <v>2870</v>
      </c>
      <c r="M2870" s="75"/>
      <c r="N2870" s="70"/>
      <c r="O2870" s="77" t="s">
        <v>179</v>
      </c>
      <c r="P2870" s="79">
        <v>45168.947916666664</v>
      </c>
      <c r="Q2870" s="77" t="s">
        <v>3542</v>
      </c>
      <c r="R2870" s="77">
        <v>1</v>
      </c>
      <c r="S2870" s="77">
        <v>1</v>
      </c>
      <c r="T2870" s="77">
        <v>0</v>
      </c>
      <c r="U2870" s="77">
        <v>0</v>
      </c>
      <c r="V2870" s="77">
        <v>636</v>
      </c>
      <c r="W2870" s="82" t="s">
        <v>4833</v>
      </c>
      <c r="X2870" s="80" t="str">
        <f>HYPERLINK("https://einvestidor.estadao.com.br/investimentos/jpmorgan-nova-regra-esg-para-gestores/?utm_source=twitter&amp;utm_medium=organic&amp;utm_campaign=&amp;utm_content=materia")</f>
        <v>https://einvestidor.estadao.com.br/investimentos/jpmorgan-nova-regra-esg-para-gestores/?utm_source=twitter&amp;utm_medium=organic&amp;utm_campaign=&amp;utm_content=materia</v>
      </c>
      <c r="Y2870" s="77" t="s">
        <v>6470</v>
      </c>
      <c r="Z2870" s="77"/>
      <c r="AA2870" s="77"/>
      <c r="AB2870" s="77"/>
      <c r="AC2870" s="82" t="s">
        <v>7750</v>
      </c>
      <c r="AD2870" s="77" t="s">
        <v>7788</v>
      </c>
      <c r="AE2870" s="80" t="str">
        <f>HYPERLINK("https://twitter.com/einvestidor/status/1697017602650824961")</f>
        <v>https://twitter.com/einvestidor/status/1697017602650824961</v>
      </c>
      <c r="AF2870" s="79">
        <v>45168.947916666664</v>
      </c>
      <c r="AG2870" s="85">
        <v>45168</v>
      </c>
      <c r="AH2870" s="82" t="s">
        <v>9595</v>
      </c>
      <c r="AI2870" s="77" t="b">
        <v>0</v>
      </c>
      <c r="AJ2870" s="77"/>
      <c r="AK2870" s="77"/>
      <c r="AL2870" s="77"/>
      <c r="AM2870" s="77"/>
      <c r="AN2870" s="77"/>
      <c r="AO2870" s="77"/>
      <c r="AP2870" s="77"/>
      <c r="AQ2870" s="77"/>
      <c r="AR2870" s="77"/>
      <c r="AS2870" s="77"/>
      <c r="AT2870" s="77"/>
      <c r="AU2870" s="77"/>
      <c r="AV2870" s="80" t="str">
        <f>HYPERLINK("https://pbs.twimg.com/profile_images/1241147984924082183/gZgx_hL-_normal.jpg")</f>
        <v>https://pbs.twimg.com/profile_images/1241147984924082183/gZgx_hL-_normal.jpg</v>
      </c>
      <c r="AW2870" s="82" t="s">
        <v>14466</v>
      </c>
      <c r="AX2870" s="82" t="s">
        <v>14466</v>
      </c>
      <c r="AY2870" s="77"/>
      <c r="AZ2870" s="82" t="s">
        <v>15984</v>
      </c>
      <c r="BA2870" s="82" t="s">
        <v>15984</v>
      </c>
      <c r="BB2870" s="82" t="s">
        <v>15984</v>
      </c>
      <c r="BC2870" s="82" t="s">
        <v>14466</v>
      </c>
      <c r="BD2870" s="82" t="s">
        <v>15979</v>
      </c>
      <c r="BE2870" s="77"/>
      <c r="BF2870" s="77"/>
      <c r="BG2870" s="77"/>
      <c r="BH2870" s="77"/>
      <c r="BI2870" s="77"/>
    </row>
    <row r="2871" spans="1:61" x14ac:dyDescent="0.25">
      <c r="A2871" s="62" t="s">
        <v>387</v>
      </c>
      <c r="B2871" s="62" t="s">
        <v>387</v>
      </c>
      <c r="C2871" s="63"/>
      <c r="D2871" s="64"/>
      <c r="E2871" s="65"/>
      <c r="F2871" s="66"/>
      <c r="G2871" s="63"/>
      <c r="H2871" s="67"/>
      <c r="I2871" s="68"/>
      <c r="J2871" s="68"/>
      <c r="K2871" s="32"/>
      <c r="L2871" s="75">
        <v>2871</v>
      </c>
      <c r="M2871" s="75"/>
      <c r="N2871" s="70"/>
      <c r="O2871" s="77" t="s">
        <v>179</v>
      </c>
      <c r="P2871" s="79">
        <v>45168.9375</v>
      </c>
      <c r="Q2871" s="77" t="s">
        <v>3543</v>
      </c>
      <c r="R2871" s="77">
        <v>0</v>
      </c>
      <c r="S2871" s="77">
        <v>1</v>
      </c>
      <c r="T2871" s="77">
        <v>0</v>
      </c>
      <c r="U2871" s="77">
        <v>0</v>
      </c>
      <c r="V2871" s="77">
        <v>564</v>
      </c>
      <c r="W2871" s="82" t="s">
        <v>6137</v>
      </c>
      <c r="X2871" s="80" t="str">
        <f>HYPERLINK("https://einvestidor.estadao.com.br/educacao-financeira/o-que-precisa-para-abrir-conta-poupanca-caixa/?utm_source=twitter&amp;utm_medium=organic&amp;utm_campaign=&amp;utm_content=materia")</f>
        <v>https://einvestidor.estadao.com.br/educacao-financeira/o-que-precisa-para-abrir-conta-poupanca-caixa/?utm_source=twitter&amp;utm_medium=organic&amp;utm_campaign=&amp;utm_content=materia</v>
      </c>
      <c r="Y2871" s="77" t="s">
        <v>6470</v>
      </c>
      <c r="Z2871" s="77"/>
      <c r="AA2871" s="77"/>
      <c r="AB2871" s="77"/>
      <c r="AC2871" s="82" t="s">
        <v>7750</v>
      </c>
      <c r="AD2871" s="77" t="s">
        <v>7788</v>
      </c>
      <c r="AE2871" s="80" t="str">
        <f>HYPERLINK("https://twitter.com/einvestidor/status/1697013829304242314")</f>
        <v>https://twitter.com/einvestidor/status/1697013829304242314</v>
      </c>
      <c r="AF2871" s="79">
        <v>45168.9375</v>
      </c>
      <c r="AG2871" s="85">
        <v>45168</v>
      </c>
      <c r="AH2871" s="82" t="s">
        <v>7926</v>
      </c>
      <c r="AI2871" s="77" t="b">
        <v>0</v>
      </c>
      <c r="AJ2871" s="77"/>
      <c r="AK2871" s="77"/>
      <c r="AL2871" s="77"/>
      <c r="AM2871" s="77"/>
      <c r="AN2871" s="77"/>
      <c r="AO2871" s="77"/>
      <c r="AP2871" s="77"/>
      <c r="AQ2871" s="77"/>
      <c r="AR2871" s="77"/>
      <c r="AS2871" s="77"/>
      <c r="AT2871" s="77"/>
      <c r="AU2871" s="77"/>
      <c r="AV2871" s="80" t="str">
        <f>HYPERLINK("https://pbs.twimg.com/profile_images/1241147984924082183/gZgx_hL-_normal.jpg")</f>
        <v>https://pbs.twimg.com/profile_images/1241147984924082183/gZgx_hL-_normal.jpg</v>
      </c>
      <c r="AW2871" s="82" t="s">
        <v>14467</v>
      </c>
      <c r="AX2871" s="82" t="s">
        <v>14467</v>
      </c>
      <c r="AY2871" s="77"/>
      <c r="AZ2871" s="82" t="s">
        <v>15984</v>
      </c>
      <c r="BA2871" s="82" t="s">
        <v>15984</v>
      </c>
      <c r="BB2871" s="82" t="s">
        <v>15984</v>
      </c>
      <c r="BC2871" s="82" t="s">
        <v>14467</v>
      </c>
      <c r="BD2871" s="82" t="s">
        <v>15979</v>
      </c>
      <c r="BE2871" s="77"/>
      <c r="BF2871" s="77"/>
      <c r="BG2871" s="77"/>
      <c r="BH2871" s="77"/>
      <c r="BI2871" s="77"/>
    </row>
    <row r="2872" spans="1:61" x14ac:dyDescent="0.25">
      <c r="A2872" s="62" t="s">
        <v>387</v>
      </c>
      <c r="B2872" s="62" t="s">
        <v>387</v>
      </c>
      <c r="C2872" s="63"/>
      <c r="D2872" s="64"/>
      <c r="E2872" s="65"/>
      <c r="F2872" s="66"/>
      <c r="G2872" s="63"/>
      <c r="H2872" s="67"/>
      <c r="I2872" s="68"/>
      <c r="J2872" s="68"/>
      <c r="K2872" s="32"/>
      <c r="L2872" s="75">
        <v>2872</v>
      </c>
      <c r="M2872" s="75"/>
      <c r="N2872" s="70"/>
      <c r="O2872" s="77" t="s">
        <v>179</v>
      </c>
      <c r="P2872" s="79">
        <v>45168.927083333336</v>
      </c>
      <c r="Q2872" s="77" t="s">
        <v>3544</v>
      </c>
      <c r="R2872" s="77">
        <v>0</v>
      </c>
      <c r="S2872" s="77">
        <v>1</v>
      </c>
      <c r="T2872" s="77">
        <v>0</v>
      </c>
      <c r="U2872" s="77">
        <v>0</v>
      </c>
      <c r="V2872" s="77">
        <v>533</v>
      </c>
      <c r="W2872" s="82" t="s">
        <v>5997</v>
      </c>
      <c r="X2872" s="80" t="str">
        <f>HYPERLINK("https://einvestidor.estadao.com.br/comportamento/mega-sena-quais-os-dias-de-sorteio/?utm_source=twitter&amp;utm_medium=organic&amp;utm_campaign=&amp;utm_content=materia")</f>
        <v>https://einvestidor.estadao.com.br/comportamento/mega-sena-quais-os-dias-de-sorteio/?utm_source=twitter&amp;utm_medium=organic&amp;utm_campaign=&amp;utm_content=materia</v>
      </c>
      <c r="Y2872" s="77" t="s">
        <v>6470</v>
      </c>
      <c r="Z2872" s="77"/>
      <c r="AA2872" s="77"/>
      <c r="AB2872" s="77"/>
      <c r="AC2872" s="82" t="s">
        <v>7750</v>
      </c>
      <c r="AD2872" s="77" t="s">
        <v>7788</v>
      </c>
      <c r="AE2872" s="80" t="str">
        <f>HYPERLINK("https://twitter.com/einvestidor/status/1697010053004538305")</f>
        <v>https://twitter.com/einvestidor/status/1697010053004538305</v>
      </c>
      <c r="AF2872" s="79">
        <v>45168.927083333336</v>
      </c>
      <c r="AG2872" s="85">
        <v>45168</v>
      </c>
      <c r="AH2872" s="82" t="s">
        <v>9576</v>
      </c>
      <c r="AI2872" s="77" t="b">
        <v>0</v>
      </c>
      <c r="AJ2872" s="77"/>
      <c r="AK2872" s="77"/>
      <c r="AL2872" s="77"/>
      <c r="AM2872" s="77"/>
      <c r="AN2872" s="77"/>
      <c r="AO2872" s="77"/>
      <c r="AP2872" s="77"/>
      <c r="AQ2872" s="77"/>
      <c r="AR2872" s="77"/>
      <c r="AS2872" s="77"/>
      <c r="AT2872" s="77"/>
      <c r="AU2872" s="77"/>
      <c r="AV2872" s="80" t="str">
        <f>HYPERLINK("https://pbs.twimg.com/profile_images/1241147984924082183/gZgx_hL-_normal.jpg")</f>
        <v>https://pbs.twimg.com/profile_images/1241147984924082183/gZgx_hL-_normal.jpg</v>
      </c>
      <c r="AW2872" s="82" t="s">
        <v>14468</v>
      </c>
      <c r="AX2872" s="82" t="s">
        <v>14468</v>
      </c>
      <c r="AY2872" s="77"/>
      <c r="AZ2872" s="82" t="s">
        <v>15984</v>
      </c>
      <c r="BA2872" s="82" t="s">
        <v>15984</v>
      </c>
      <c r="BB2872" s="82" t="s">
        <v>15984</v>
      </c>
      <c r="BC2872" s="82" t="s">
        <v>14468</v>
      </c>
      <c r="BD2872" s="82" t="s">
        <v>15979</v>
      </c>
      <c r="BE2872" s="77"/>
      <c r="BF2872" s="77"/>
      <c r="BG2872" s="77"/>
      <c r="BH2872" s="77"/>
      <c r="BI2872" s="77"/>
    </row>
    <row r="2873" spans="1:61" x14ac:dyDescent="0.25">
      <c r="A2873" s="62" t="s">
        <v>387</v>
      </c>
      <c r="B2873" s="62" t="s">
        <v>387</v>
      </c>
      <c r="C2873" s="63"/>
      <c r="D2873" s="64"/>
      <c r="E2873" s="65"/>
      <c r="F2873" s="66"/>
      <c r="G2873" s="63"/>
      <c r="H2873" s="67"/>
      <c r="I2873" s="68"/>
      <c r="J2873" s="68"/>
      <c r="K2873" s="32"/>
      <c r="L2873" s="75">
        <v>2873</v>
      </c>
      <c r="M2873" s="75"/>
      <c r="N2873" s="70"/>
      <c r="O2873" s="77" t="s">
        <v>179</v>
      </c>
      <c r="P2873" s="79">
        <v>45168.919768518521</v>
      </c>
      <c r="Q2873" s="77" t="s">
        <v>3545</v>
      </c>
      <c r="R2873" s="77">
        <v>0</v>
      </c>
      <c r="S2873" s="77">
        <v>3</v>
      </c>
      <c r="T2873" s="77">
        <v>0</v>
      </c>
      <c r="U2873" s="77">
        <v>0</v>
      </c>
      <c r="V2873" s="77">
        <v>545</v>
      </c>
      <c r="W2873" s="82" t="s">
        <v>4833</v>
      </c>
      <c r="X2873" s="80" t="str">
        <f>HYPERLINK("https://einvestidor.estadao.com.br/mercado/fechamento-de-mercado-30-08-2023/?utm_source=twitter&amp;utm_medium=organic&amp;utm_campaign=fechamento-mercado&amp;utm_content=materia")</f>
        <v>https://einvestidor.estadao.com.br/mercado/fechamento-de-mercado-30-08-2023/?utm_source=twitter&amp;utm_medium=organic&amp;utm_campaign=fechamento-mercado&amp;utm_content=materia</v>
      </c>
      <c r="Y2873" s="77" t="s">
        <v>6470</v>
      </c>
      <c r="Z2873" s="77"/>
      <c r="AA2873" s="77"/>
      <c r="AB2873" s="77"/>
      <c r="AC2873" s="82" t="s">
        <v>7750</v>
      </c>
      <c r="AD2873" s="77" t="s">
        <v>7788</v>
      </c>
      <c r="AE2873" s="80" t="str">
        <f>HYPERLINK("https://twitter.com/einvestidor/status/1697007403076669700")</f>
        <v>https://twitter.com/einvestidor/status/1697007403076669700</v>
      </c>
      <c r="AF2873" s="79">
        <v>45168.919768518521</v>
      </c>
      <c r="AG2873" s="85">
        <v>45168</v>
      </c>
      <c r="AH2873" s="82" t="s">
        <v>9857</v>
      </c>
      <c r="AI2873" s="77" t="b">
        <v>0</v>
      </c>
      <c r="AJ2873" s="77"/>
      <c r="AK2873" s="77"/>
      <c r="AL2873" s="77"/>
      <c r="AM2873" s="77"/>
      <c r="AN2873" s="77"/>
      <c r="AO2873" s="77"/>
      <c r="AP2873" s="77"/>
      <c r="AQ2873" s="77"/>
      <c r="AR2873" s="77"/>
      <c r="AS2873" s="77"/>
      <c r="AT2873" s="77"/>
      <c r="AU2873" s="77"/>
      <c r="AV2873" s="80" t="str">
        <f>HYPERLINK("https://pbs.twimg.com/profile_images/1241147984924082183/gZgx_hL-_normal.jpg")</f>
        <v>https://pbs.twimg.com/profile_images/1241147984924082183/gZgx_hL-_normal.jpg</v>
      </c>
      <c r="AW2873" s="82" t="s">
        <v>14469</v>
      </c>
      <c r="AX2873" s="82" t="s">
        <v>14469</v>
      </c>
      <c r="AY2873" s="77"/>
      <c r="AZ2873" s="82" t="s">
        <v>15984</v>
      </c>
      <c r="BA2873" s="82" t="s">
        <v>15984</v>
      </c>
      <c r="BB2873" s="82" t="s">
        <v>15984</v>
      </c>
      <c r="BC2873" s="82" t="s">
        <v>14469</v>
      </c>
      <c r="BD2873" s="82" t="s">
        <v>15979</v>
      </c>
      <c r="BE2873" s="77"/>
      <c r="BF2873" s="77"/>
      <c r="BG2873" s="77"/>
      <c r="BH2873" s="77"/>
      <c r="BI2873" s="77"/>
    </row>
    <row r="2874" spans="1:61" x14ac:dyDescent="0.25">
      <c r="A2874" s="62" t="s">
        <v>387</v>
      </c>
      <c r="B2874" s="62" t="s">
        <v>387</v>
      </c>
      <c r="C2874" s="63"/>
      <c r="D2874" s="64"/>
      <c r="E2874" s="65"/>
      <c r="F2874" s="66"/>
      <c r="G2874" s="63"/>
      <c r="H2874" s="67"/>
      <c r="I2874" s="68"/>
      <c r="J2874" s="68"/>
      <c r="K2874" s="32"/>
      <c r="L2874" s="75">
        <v>2874</v>
      </c>
      <c r="M2874" s="75"/>
      <c r="N2874" s="70"/>
      <c r="O2874" s="77" t="s">
        <v>179</v>
      </c>
      <c r="P2874" s="79">
        <v>45168.916678240741</v>
      </c>
      <c r="Q2874" s="77" t="s">
        <v>3546</v>
      </c>
      <c r="R2874" s="77">
        <v>0</v>
      </c>
      <c r="S2874" s="77">
        <v>0</v>
      </c>
      <c r="T2874" s="77">
        <v>0</v>
      </c>
      <c r="U2874" s="77">
        <v>0</v>
      </c>
      <c r="V2874" s="77">
        <v>470</v>
      </c>
      <c r="W2874" s="82" t="s">
        <v>4833</v>
      </c>
      <c r="X2874" s="80" t="str">
        <f>HYPERLINK("https://einvestidor.estadao.com.br/colunas/bruno-funchal/melhora-rating-possivel-grau-investimento/?utm_source=twitter&amp;utm_medium=organic&amp;utm_campaign=&amp;utm_content=materia")</f>
        <v>https://einvestidor.estadao.com.br/colunas/bruno-funchal/melhora-rating-possivel-grau-investimento/?utm_source=twitter&amp;utm_medium=organic&amp;utm_campaign=&amp;utm_content=materia</v>
      </c>
      <c r="Y2874" s="77" t="s">
        <v>6470</v>
      </c>
      <c r="Z2874" s="77"/>
      <c r="AA2874" s="77"/>
      <c r="AB2874" s="77"/>
      <c r="AC2874" s="82" t="s">
        <v>7750</v>
      </c>
      <c r="AD2874" s="77" t="s">
        <v>7788</v>
      </c>
      <c r="AE2874" s="80" t="str">
        <f>HYPERLINK("https://twitter.com/einvestidor/status/1697006283650429131")</f>
        <v>https://twitter.com/einvestidor/status/1697006283650429131</v>
      </c>
      <c r="AF2874" s="79">
        <v>45168.916678240741</v>
      </c>
      <c r="AG2874" s="85">
        <v>45168</v>
      </c>
      <c r="AH2874" s="82" t="s">
        <v>8052</v>
      </c>
      <c r="AI2874" s="77" t="b">
        <v>0</v>
      </c>
      <c r="AJ2874" s="77"/>
      <c r="AK2874" s="77"/>
      <c r="AL2874" s="77"/>
      <c r="AM2874" s="77"/>
      <c r="AN2874" s="77"/>
      <c r="AO2874" s="77"/>
      <c r="AP2874" s="77"/>
      <c r="AQ2874" s="77"/>
      <c r="AR2874" s="77"/>
      <c r="AS2874" s="77"/>
      <c r="AT2874" s="77"/>
      <c r="AU2874" s="77"/>
      <c r="AV2874" s="80" t="str">
        <f>HYPERLINK("https://pbs.twimg.com/profile_images/1241147984924082183/gZgx_hL-_normal.jpg")</f>
        <v>https://pbs.twimg.com/profile_images/1241147984924082183/gZgx_hL-_normal.jpg</v>
      </c>
      <c r="AW2874" s="82" t="s">
        <v>14470</v>
      </c>
      <c r="AX2874" s="82" t="s">
        <v>14470</v>
      </c>
      <c r="AY2874" s="77"/>
      <c r="AZ2874" s="82" t="s">
        <v>15984</v>
      </c>
      <c r="BA2874" s="82" t="s">
        <v>15984</v>
      </c>
      <c r="BB2874" s="82" t="s">
        <v>15984</v>
      </c>
      <c r="BC2874" s="82" t="s">
        <v>14470</v>
      </c>
      <c r="BD2874" s="82" t="s">
        <v>15979</v>
      </c>
      <c r="BE2874" s="77"/>
      <c r="BF2874" s="77"/>
      <c r="BG2874" s="77"/>
      <c r="BH2874" s="77"/>
      <c r="BI2874" s="77"/>
    </row>
    <row r="2875" spans="1:61" x14ac:dyDescent="0.25">
      <c r="A2875" s="62" t="s">
        <v>387</v>
      </c>
      <c r="B2875" s="62" t="s">
        <v>387</v>
      </c>
      <c r="C2875" s="63"/>
      <c r="D2875" s="64"/>
      <c r="E2875" s="65"/>
      <c r="F2875" s="66"/>
      <c r="G2875" s="63"/>
      <c r="H2875" s="67"/>
      <c r="I2875" s="68"/>
      <c r="J2875" s="68"/>
      <c r="K2875" s="32"/>
      <c r="L2875" s="75">
        <v>2875</v>
      </c>
      <c r="M2875" s="75"/>
      <c r="N2875" s="70"/>
      <c r="O2875" s="77" t="s">
        <v>179</v>
      </c>
      <c r="P2875" s="79">
        <v>45164.833333333336</v>
      </c>
      <c r="Q2875" s="77" t="s">
        <v>3547</v>
      </c>
      <c r="R2875" s="77">
        <v>0</v>
      </c>
      <c r="S2875" s="77">
        <v>0</v>
      </c>
      <c r="T2875" s="77">
        <v>0</v>
      </c>
      <c r="U2875" s="77">
        <v>0</v>
      </c>
      <c r="V2875" s="77">
        <v>834</v>
      </c>
      <c r="W2875" s="82" t="s">
        <v>5914</v>
      </c>
      <c r="X2875" s="80" t="str">
        <f>HYPERLINK("https://einvestidor.estadao.com.br/educacao-financeira/arcabouco-significado-o-que-e-fisca/?utm_source=twitter&amp;utm_medium=organic&amp;utm_campaign=&amp;utm_content=materia")</f>
        <v>https://einvestidor.estadao.com.br/educacao-financeira/arcabouco-significado-o-que-e-fisca/?utm_source=twitter&amp;utm_medium=organic&amp;utm_campaign=&amp;utm_content=materia</v>
      </c>
      <c r="Y2875" s="77" t="s">
        <v>6470</v>
      </c>
      <c r="Z2875" s="77"/>
      <c r="AA2875" s="77"/>
      <c r="AB2875" s="77"/>
      <c r="AC2875" s="82" t="s">
        <v>7750</v>
      </c>
      <c r="AD2875" s="77" t="s">
        <v>7788</v>
      </c>
      <c r="AE2875" s="80" t="str">
        <f>HYPERLINK("https://twitter.com/einvestidor/status/1695526528854200584")</f>
        <v>https://twitter.com/einvestidor/status/1695526528854200584</v>
      </c>
      <c r="AF2875" s="79">
        <v>45164.833333333336</v>
      </c>
      <c r="AG2875" s="85">
        <v>45164</v>
      </c>
      <c r="AH2875" s="82" t="s">
        <v>8381</v>
      </c>
      <c r="AI2875" s="77" t="b">
        <v>0</v>
      </c>
      <c r="AJ2875" s="77"/>
      <c r="AK2875" s="77"/>
      <c r="AL2875" s="77"/>
      <c r="AM2875" s="77"/>
      <c r="AN2875" s="77"/>
      <c r="AO2875" s="77"/>
      <c r="AP2875" s="77"/>
      <c r="AQ2875" s="77"/>
      <c r="AR2875" s="77"/>
      <c r="AS2875" s="77"/>
      <c r="AT2875" s="77"/>
      <c r="AU2875" s="77"/>
      <c r="AV2875" s="80" t="str">
        <f>HYPERLINK("https://pbs.twimg.com/profile_images/1241147984924082183/gZgx_hL-_normal.jpg")</f>
        <v>https://pbs.twimg.com/profile_images/1241147984924082183/gZgx_hL-_normal.jpg</v>
      </c>
      <c r="AW2875" s="82" t="s">
        <v>14471</v>
      </c>
      <c r="AX2875" s="82" t="s">
        <v>14471</v>
      </c>
      <c r="AY2875" s="77"/>
      <c r="AZ2875" s="82" t="s">
        <v>15984</v>
      </c>
      <c r="BA2875" s="82" t="s">
        <v>15984</v>
      </c>
      <c r="BB2875" s="82" t="s">
        <v>15984</v>
      </c>
      <c r="BC2875" s="82" t="s">
        <v>14471</v>
      </c>
      <c r="BD2875" s="82" t="s">
        <v>15979</v>
      </c>
      <c r="BE2875" s="77"/>
      <c r="BF2875" s="77"/>
      <c r="BG2875" s="77"/>
      <c r="BH2875" s="77"/>
      <c r="BI2875" s="77"/>
    </row>
    <row r="2876" spans="1:61" x14ac:dyDescent="0.25">
      <c r="A2876" s="62" t="s">
        <v>387</v>
      </c>
      <c r="B2876" s="62" t="s">
        <v>387</v>
      </c>
      <c r="C2876" s="63"/>
      <c r="D2876" s="64"/>
      <c r="E2876" s="65"/>
      <c r="F2876" s="66"/>
      <c r="G2876" s="63"/>
      <c r="H2876" s="67"/>
      <c r="I2876" s="68"/>
      <c r="J2876" s="68"/>
      <c r="K2876" s="32"/>
      <c r="L2876" s="75">
        <v>2876</v>
      </c>
      <c r="M2876" s="75"/>
      <c r="N2876" s="70"/>
      <c r="O2876" s="77" t="s">
        <v>179</v>
      </c>
      <c r="P2876" s="79">
        <v>45164.666689814818</v>
      </c>
      <c r="Q2876" s="77" t="s">
        <v>3548</v>
      </c>
      <c r="R2876" s="77">
        <v>1</v>
      </c>
      <c r="S2876" s="77">
        <v>2</v>
      </c>
      <c r="T2876" s="77">
        <v>0</v>
      </c>
      <c r="U2876" s="77">
        <v>0</v>
      </c>
      <c r="V2876" s="77">
        <v>873</v>
      </c>
      <c r="W2876" s="82" t="s">
        <v>4833</v>
      </c>
      <c r="X2876" s="80" t="str">
        <f>HYPERLINK("https://einvestidor.estadao.com.br/colunas/renato-indica/petiscos-baratos-sao-paulo/?utm_source=twitter&amp;utm_medium=organic&amp;utm_campaign=&amp;utm_content=materia")</f>
        <v>https://einvestidor.estadao.com.br/colunas/renato-indica/petiscos-baratos-sao-paulo/?utm_source=twitter&amp;utm_medium=organic&amp;utm_campaign=&amp;utm_content=materia</v>
      </c>
      <c r="Y2876" s="77" t="s">
        <v>6470</v>
      </c>
      <c r="Z2876" s="77"/>
      <c r="AA2876" s="77"/>
      <c r="AB2876" s="77"/>
      <c r="AC2876" s="82" t="s">
        <v>7750</v>
      </c>
      <c r="AD2876" s="77" t="s">
        <v>7788</v>
      </c>
      <c r="AE2876" s="80" t="str">
        <f>HYPERLINK("https://twitter.com/einvestidor/status/1695466137348346078")</f>
        <v>https://twitter.com/einvestidor/status/1695466137348346078</v>
      </c>
      <c r="AF2876" s="79">
        <v>45164.666689814818</v>
      </c>
      <c r="AG2876" s="85">
        <v>45164</v>
      </c>
      <c r="AH2876" s="82" t="s">
        <v>9583</v>
      </c>
      <c r="AI2876" s="77" t="b">
        <v>0</v>
      </c>
      <c r="AJ2876" s="77"/>
      <c r="AK2876" s="77"/>
      <c r="AL2876" s="77"/>
      <c r="AM2876" s="77"/>
      <c r="AN2876" s="77"/>
      <c r="AO2876" s="77"/>
      <c r="AP2876" s="77"/>
      <c r="AQ2876" s="77"/>
      <c r="AR2876" s="77"/>
      <c r="AS2876" s="77"/>
      <c r="AT2876" s="77"/>
      <c r="AU2876" s="77"/>
      <c r="AV2876" s="80" t="str">
        <f>HYPERLINK("https://pbs.twimg.com/profile_images/1241147984924082183/gZgx_hL-_normal.jpg")</f>
        <v>https://pbs.twimg.com/profile_images/1241147984924082183/gZgx_hL-_normal.jpg</v>
      </c>
      <c r="AW2876" s="82" t="s">
        <v>14472</v>
      </c>
      <c r="AX2876" s="82" t="s">
        <v>14472</v>
      </c>
      <c r="AY2876" s="77"/>
      <c r="AZ2876" s="82" t="s">
        <v>15984</v>
      </c>
      <c r="BA2876" s="82" t="s">
        <v>15984</v>
      </c>
      <c r="BB2876" s="82" t="s">
        <v>15984</v>
      </c>
      <c r="BC2876" s="82" t="s">
        <v>14472</v>
      </c>
      <c r="BD2876" s="82" t="s">
        <v>15979</v>
      </c>
      <c r="BE2876" s="77"/>
      <c r="BF2876" s="77"/>
      <c r="BG2876" s="77"/>
      <c r="BH2876" s="77"/>
      <c r="BI2876" s="77"/>
    </row>
    <row r="2877" spans="1:61" x14ac:dyDescent="0.25">
      <c r="A2877" s="62" t="s">
        <v>387</v>
      </c>
      <c r="B2877" s="62" t="s">
        <v>387</v>
      </c>
      <c r="C2877" s="63"/>
      <c r="D2877" s="64"/>
      <c r="E2877" s="65"/>
      <c r="F2877" s="66"/>
      <c r="G2877" s="63"/>
      <c r="H2877" s="67"/>
      <c r="I2877" s="68"/>
      <c r="J2877" s="68"/>
      <c r="K2877" s="32"/>
      <c r="L2877" s="75">
        <v>2877</v>
      </c>
      <c r="M2877" s="75"/>
      <c r="N2877" s="70"/>
      <c r="O2877" s="77" t="s">
        <v>179</v>
      </c>
      <c r="P2877" s="79">
        <v>45152.891608796293</v>
      </c>
      <c r="Q2877" s="77" t="s">
        <v>3549</v>
      </c>
      <c r="R2877" s="77">
        <v>0</v>
      </c>
      <c r="S2877" s="77">
        <v>0</v>
      </c>
      <c r="T2877" s="77">
        <v>0</v>
      </c>
      <c r="U2877" s="77">
        <v>0</v>
      </c>
      <c r="V2877" s="77">
        <v>638</v>
      </c>
      <c r="W2877" s="82" t="s">
        <v>6138</v>
      </c>
      <c r="X2877" s="80" t="str">
        <f>HYPERLINK("https://mla.bs/f83fa63c")</f>
        <v>https://mla.bs/f83fa63c</v>
      </c>
      <c r="Y2877" s="77" t="s">
        <v>6506</v>
      </c>
      <c r="Z2877" s="77"/>
      <c r="AA2877" s="77"/>
      <c r="AB2877" s="77"/>
      <c r="AC2877" s="82" t="s">
        <v>7754</v>
      </c>
      <c r="AD2877" s="77" t="s">
        <v>7788</v>
      </c>
      <c r="AE2877" s="80" t="str">
        <f>HYPERLINK("https://twitter.com/einvestidor/status/1691198994553229312")</f>
        <v>https://twitter.com/einvestidor/status/1691198994553229312</v>
      </c>
      <c r="AF2877" s="79">
        <v>45152.891608796293</v>
      </c>
      <c r="AG2877" s="85">
        <v>45152</v>
      </c>
      <c r="AH2877" s="82" t="s">
        <v>9858</v>
      </c>
      <c r="AI2877" s="77" t="b">
        <v>0</v>
      </c>
      <c r="AJ2877" s="77"/>
      <c r="AK2877" s="77"/>
      <c r="AL2877" s="77"/>
      <c r="AM2877" s="77"/>
      <c r="AN2877" s="77"/>
      <c r="AO2877" s="77"/>
      <c r="AP2877" s="77"/>
      <c r="AQ2877" s="77"/>
      <c r="AR2877" s="77"/>
      <c r="AS2877" s="77"/>
      <c r="AT2877" s="77"/>
      <c r="AU2877" s="77"/>
      <c r="AV2877" s="80" t="str">
        <f>HYPERLINK("https://pbs.twimg.com/profile_images/1241147984924082183/gZgx_hL-_normal.jpg")</f>
        <v>https://pbs.twimg.com/profile_images/1241147984924082183/gZgx_hL-_normal.jpg</v>
      </c>
      <c r="AW2877" s="82" t="s">
        <v>14473</v>
      </c>
      <c r="AX2877" s="82" t="s">
        <v>14473</v>
      </c>
      <c r="AY2877" s="77"/>
      <c r="AZ2877" s="82" t="s">
        <v>15984</v>
      </c>
      <c r="BA2877" s="82" t="s">
        <v>15984</v>
      </c>
      <c r="BB2877" s="82" t="s">
        <v>15984</v>
      </c>
      <c r="BC2877" s="82" t="s">
        <v>14473</v>
      </c>
      <c r="BD2877" s="82" t="s">
        <v>15979</v>
      </c>
      <c r="BE2877" s="77"/>
      <c r="BF2877" s="77"/>
      <c r="BG2877" s="77"/>
      <c r="BH2877" s="77"/>
      <c r="BI2877" s="77"/>
    </row>
    <row r="2878" spans="1:61" x14ac:dyDescent="0.25">
      <c r="A2878" s="62" t="s">
        <v>387</v>
      </c>
      <c r="B2878" s="62" t="s">
        <v>387</v>
      </c>
      <c r="C2878" s="63"/>
      <c r="D2878" s="64"/>
      <c r="E2878" s="65"/>
      <c r="F2878" s="66"/>
      <c r="G2878" s="63"/>
      <c r="H2878" s="67"/>
      <c r="I2878" s="68"/>
      <c r="J2878" s="68"/>
      <c r="K2878" s="32"/>
      <c r="L2878" s="75">
        <v>2878</v>
      </c>
      <c r="M2878" s="75"/>
      <c r="N2878" s="70"/>
      <c r="O2878" s="77" t="s">
        <v>179</v>
      </c>
      <c r="P2878" s="79">
        <v>45152.890740740739</v>
      </c>
      <c r="Q2878" s="77" t="s">
        <v>3550</v>
      </c>
      <c r="R2878" s="77">
        <v>0</v>
      </c>
      <c r="S2878" s="77">
        <v>0</v>
      </c>
      <c r="T2878" s="77">
        <v>0</v>
      </c>
      <c r="U2878" s="77">
        <v>0</v>
      </c>
      <c r="V2878" s="77">
        <v>586</v>
      </c>
      <c r="W2878" s="82" t="s">
        <v>6139</v>
      </c>
      <c r="X2878" s="80" t="str">
        <f>HYPERLINK("https://mla.bs/8d8d59ac")</f>
        <v>https://mla.bs/8d8d59ac</v>
      </c>
      <c r="Y2878" s="77" t="s">
        <v>6506</v>
      </c>
      <c r="Z2878" s="77"/>
      <c r="AA2878" s="77"/>
      <c r="AB2878" s="77"/>
      <c r="AC2878" s="82" t="s">
        <v>7754</v>
      </c>
      <c r="AD2878" s="77" t="s">
        <v>7788</v>
      </c>
      <c r="AE2878" s="80" t="str">
        <f>HYPERLINK("https://twitter.com/einvestidor/status/1691198677765816320")</f>
        <v>https://twitter.com/einvestidor/status/1691198677765816320</v>
      </c>
      <c r="AF2878" s="79">
        <v>45152.890740740739</v>
      </c>
      <c r="AG2878" s="85">
        <v>45152</v>
      </c>
      <c r="AH2878" s="82" t="s">
        <v>9859</v>
      </c>
      <c r="AI2878" s="77" t="b">
        <v>0</v>
      </c>
      <c r="AJ2878" s="77"/>
      <c r="AK2878" s="77"/>
      <c r="AL2878" s="77"/>
      <c r="AM2878" s="77"/>
      <c r="AN2878" s="77"/>
      <c r="AO2878" s="77"/>
      <c r="AP2878" s="77"/>
      <c r="AQ2878" s="77"/>
      <c r="AR2878" s="77"/>
      <c r="AS2878" s="77"/>
      <c r="AT2878" s="77"/>
      <c r="AU2878" s="77"/>
      <c r="AV2878" s="80" t="str">
        <f>HYPERLINK("https://pbs.twimg.com/profile_images/1241147984924082183/gZgx_hL-_normal.jpg")</f>
        <v>https://pbs.twimg.com/profile_images/1241147984924082183/gZgx_hL-_normal.jpg</v>
      </c>
      <c r="AW2878" s="82" t="s">
        <v>14474</v>
      </c>
      <c r="AX2878" s="82" t="s">
        <v>14474</v>
      </c>
      <c r="AY2878" s="77"/>
      <c r="AZ2878" s="82" t="s">
        <v>15984</v>
      </c>
      <c r="BA2878" s="82" t="s">
        <v>15984</v>
      </c>
      <c r="BB2878" s="82" t="s">
        <v>15984</v>
      </c>
      <c r="BC2878" s="82" t="s">
        <v>14474</v>
      </c>
      <c r="BD2878" s="82" t="s">
        <v>15979</v>
      </c>
      <c r="BE2878" s="77"/>
      <c r="BF2878" s="77"/>
      <c r="BG2878" s="77"/>
      <c r="BH2878" s="77"/>
      <c r="BI2878" s="77"/>
    </row>
    <row r="2879" spans="1:61" x14ac:dyDescent="0.25">
      <c r="A2879" s="62" t="s">
        <v>387</v>
      </c>
      <c r="B2879" s="62" t="s">
        <v>387</v>
      </c>
      <c r="C2879" s="63"/>
      <c r="D2879" s="64"/>
      <c r="E2879" s="65"/>
      <c r="F2879" s="66"/>
      <c r="G2879" s="63"/>
      <c r="H2879" s="67"/>
      <c r="I2879" s="68"/>
      <c r="J2879" s="68"/>
      <c r="K2879" s="32"/>
      <c r="L2879" s="75">
        <v>2879</v>
      </c>
      <c r="M2879" s="75"/>
      <c r="N2879" s="70"/>
      <c r="O2879" s="77" t="s">
        <v>179</v>
      </c>
      <c r="P2879" s="79">
        <v>45152.875011574077</v>
      </c>
      <c r="Q2879" s="77" t="s">
        <v>3551</v>
      </c>
      <c r="R2879" s="77">
        <v>0</v>
      </c>
      <c r="S2879" s="77">
        <v>0</v>
      </c>
      <c r="T2879" s="77">
        <v>0</v>
      </c>
      <c r="U2879" s="77">
        <v>0</v>
      </c>
      <c r="V2879" s="77">
        <v>622</v>
      </c>
      <c r="W2879" s="82" t="s">
        <v>6140</v>
      </c>
      <c r="X2879" s="80" t="str">
        <f>HYPERLINK("https://mla.bs/6bf9ed31")</f>
        <v>https://mla.bs/6bf9ed31</v>
      </c>
      <c r="Y2879" s="77" t="s">
        <v>6506</v>
      </c>
      <c r="Z2879" s="77"/>
      <c r="AA2879" s="77"/>
      <c r="AB2879" s="77"/>
      <c r="AC2879" s="82" t="s">
        <v>7754</v>
      </c>
      <c r="AD2879" s="77" t="s">
        <v>7788</v>
      </c>
      <c r="AE2879" s="80" t="str">
        <f>HYPERLINK("https://twitter.com/einvestidor/status/1691192977249701889")</f>
        <v>https://twitter.com/einvestidor/status/1691192977249701889</v>
      </c>
      <c r="AF2879" s="79">
        <v>45152.875011574077</v>
      </c>
      <c r="AG2879" s="85">
        <v>45152</v>
      </c>
      <c r="AH2879" s="82" t="s">
        <v>7871</v>
      </c>
      <c r="AI2879" s="77" t="b">
        <v>0</v>
      </c>
      <c r="AJ2879" s="77"/>
      <c r="AK2879" s="77"/>
      <c r="AL2879" s="77"/>
      <c r="AM2879" s="77"/>
      <c r="AN2879" s="77"/>
      <c r="AO2879" s="77"/>
      <c r="AP2879" s="77"/>
      <c r="AQ2879" s="77"/>
      <c r="AR2879" s="77"/>
      <c r="AS2879" s="77"/>
      <c r="AT2879" s="77"/>
      <c r="AU2879" s="77"/>
      <c r="AV2879" s="80" t="str">
        <f>HYPERLINK("https://pbs.twimg.com/profile_images/1241147984924082183/gZgx_hL-_normal.jpg")</f>
        <v>https://pbs.twimg.com/profile_images/1241147984924082183/gZgx_hL-_normal.jpg</v>
      </c>
      <c r="AW2879" s="82" t="s">
        <v>14475</v>
      </c>
      <c r="AX2879" s="82" t="s">
        <v>14475</v>
      </c>
      <c r="AY2879" s="77"/>
      <c r="AZ2879" s="82" t="s">
        <v>15984</v>
      </c>
      <c r="BA2879" s="82" t="s">
        <v>15984</v>
      </c>
      <c r="BB2879" s="82" t="s">
        <v>15984</v>
      </c>
      <c r="BC2879" s="82" t="s">
        <v>14475</v>
      </c>
      <c r="BD2879" s="82" t="s">
        <v>15979</v>
      </c>
      <c r="BE2879" s="77"/>
      <c r="BF2879" s="77"/>
      <c r="BG2879" s="77"/>
      <c r="BH2879" s="77"/>
      <c r="BI2879" s="77"/>
    </row>
    <row r="2880" spans="1:61" x14ac:dyDescent="0.25">
      <c r="A2880" s="62" t="s">
        <v>387</v>
      </c>
      <c r="B2880" s="62" t="s">
        <v>387</v>
      </c>
      <c r="C2880" s="63"/>
      <c r="D2880" s="64"/>
      <c r="E2880" s="65"/>
      <c r="F2880" s="66"/>
      <c r="G2880" s="63"/>
      <c r="H2880" s="67"/>
      <c r="I2880" s="68"/>
      <c r="J2880" s="68"/>
      <c r="K2880" s="32"/>
      <c r="L2880" s="75">
        <v>2880</v>
      </c>
      <c r="M2880" s="75"/>
      <c r="N2880" s="70"/>
      <c r="O2880" s="77" t="s">
        <v>179</v>
      </c>
      <c r="P2880" s="79">
        <v>45152.864583333336</v>
      </c>
      <c r="Q2880" s="77" t="s">
        <v>3552</v>
      </c>
      <c r="R2880" s="77">
        <v>1</v>
      </c>
      <c r="S2880" s="77">
        <v>1</v>
      </c>
      <c r="T2880" s="77">
        <v>1</v>
      </c>
      <c r="U2880" s="77">
        <v>0</v>
      </c>
      <c r="V2880" s="77">
        <v>524</v>
      </c>
      <c r="W2880" s="82" t="s">
        <v>5967</v>
      </c>
      <c r="X2880" s="80" t="str">
        <f>HYPERLINK("https://mla.bs/d32b0b76")</f>
        <v>https://mla.bs/d32b0b76</v>
      </c>
      <c r="Y2880" s="77" t="s">
        <v>6506</v>
      </c>
      <c r="Z2880" s="77"/>
      <c r="AA2880" s="77"/>
      <c r="AB2880" s="77"/>
      <c r="AC2880" s="82" t="s">
        <v>7754</v>
      </c>
      <c r="AD2880" s="77" t="s">
        <v>7788</v>
      </c>
      <c r="AE2880" s="80" t="str">
        <f>HYPERLINK("https://twitter.com/einvestidor/status/1691189197825310720")</f>
        <v>https://twitter.com/einvestidor/status/1691189197825310720</v>
      </c>
      <c r="AF2880" s="79">
        <v>45152.864583333336</v>
      </c>
      <c r="AG2880" s="85">
        <v>45152</v>
      </c>
      <c r="AH2880" s="82" t="s">
        <v>9596</v>
      </c>
      <c r="AI2880" s="77" t="b">
        <v>0</v>
      </c>
      <c r="AJ2880" s="77"/>
      <c r="AK2880" s="77"/>
      <c r="AL2880" s="77"/>
      <c r="AM2880" s="77"/>
      <c r="AN2880" s="77"/>
      <c r="AO2880" s="77"/>
      <c r="AP2880" s="77"/>
      <c r="AQ2880" s="77"/>
      <c r="AR2880" s="77"/>
      <c r="AS2880" s="77"/>
      <c r="AT2880" s="77"/>
      <c r="AU2880" s="77"/>
      <c r="AV2880" s="80" t="str">
        <f>HYPERLINK("https://pbs.twimg.com/profile_images/1241147984924082183/gZgx_hL-_normal.jpg")</f>
        <v>https://pbs.twimg.com/profile_images/1241147984924082183/gZgx_hL-_normal.jpg</v>
      </c>
      <c r="AW2880" s="82" t="s">
        <v>14476</v>
      </c>
      <c r="AX2880" s="82" t="s">
        <v>14476</v>
      </c>
      <c r="AY2880" s="77"/>
      <c r="AZ2880" s="82" t="s">
        <v>15984</v>
      </c>
      <c r="BA2880" s="82" t="s">
        <v>15984</v>
      </c>
      <c r="BB2880" s="82" t="s">
        <v>15984</v>
      </c>
      <c r="BC2880" s="82" t="s">
        <v>14476</v>
      </c>
      <c r="BD2880" s="82" t="s">
        <v>15979</v>
      </c>
      <c r="BE2880" s="77"/>
      <c r="BF2880" s="77"/>
      <c r="BG2880" s="77"/>
      <c r="BH2880" s="77"/>
      <c r="BI2880" s="77"/>
    </row>
    <row r="2881" spans="1:61" x14ac:dyDescent="0.25">
      <c r="A2881" s="62" t="s">
        <v>387</v>
      </c>
      <c r="B2881" s="62" t="s">
        <v>387</v>
      </c>
      <c r="C2881" s="63"/>
      <c r="D2881" s="64"/>
      <c r="E2881" s="65"/>
      <c r="F2881" s="66"/>
      <c r="G2881" s="63"/>
      <c r="H2881" s="67"/>
      <c r="I2881" s="68"/>
      <c r="J2881" s="68"/>
      <c r="K2881" s="32"/>
      <c r="L2881" s="75">
        <v>2881</v>
      </c>
      <c r="M2881" s="75"/>
      <c r="N2881" s="70"/>
      <c r="O2881" s="77" t="s">
        <v>179</v>
      </c>
      <c r="P2881" s="79">
        <v>45152.854166666664</v>
      </c>
      <c r="Q2881" s="77" t="s">
        <v>3553</v>
      </c>
      <c r="R2881" s="77">
        <v>0</v>
      </c>
      <c r="S2881" s="77">
        <v>0</v>
      </c>
      <c r="T2881" s="77">
        <v>1</v>
      </c>
      <c r="U2881" s="77">
        <v>0</v>
      </c>
      <c r="V2881" s="77">
        <v>544</v>
      </c>
      <c r="W2881" s="82" t="s">
        <v>6007</v>
      </c>
      <c r="X2881" s="80" t="str">
        <f>HYPERLINK("https://mla.bs/0e093f87")</f>
        <v>https://mla.bs/0e093f87</v>
      </c>
      <c r="Y2881" s="77" t="s">
        <v>6506</v>
      </c>
      <c r="Z2881" s="77"/>
      <c r="AA2881" s="77"/>
      <c r="AB2881" s="77"/>
      <c r="AC2881" s="82" t="s">
        <v>7754</v>
      </c>
      <c r="AD2881" s="77" t="s">
        <v>7788</v>
      </c>
      <c r="AE2881" s="80" t="str">
        <f>HYPERLINK("https://twitter.com/einvestidor/status/1691185424612335617")</f>
        <v>https://twitter.com/einvestidor/status/1691185424612335617</v>
      </c>
      <c r="AF2881" s="79">
        <v>45152.854166666664</v>
      </c>
      <c r="AG2881" s="85">
        <v>45152</v>
      </c>
      <c r="AH2881" s="82" t="s">
        <v>8090</v>
      </c>
      <c r="AI2881" s="77" t="b">
        <v>0</v>
      </c>
      <c r="AJ2881" s="77"/>
      <c r="AK2881" s="77"/>
      <c r="AL2881" s="77"/>
      <c r="AM2881" s="77"/>
      <c r="AN2881" s="77"/>
      <c r="AO2881" s="77"/>
      <c r="AP2881" s="77"/>
      <c r="AQ2881" s="77"/>
      <c r="AR2881" s="77"/>
      <c r="AS2881" s="77"/>
      <c r="AT2881" s="77"/>
      <c r="AU2881" s="77"/>
      <c r="AV2881" s="80" t="str">
        <f>HYPERLINK("https://pbs.twimg.com/profile_images/1241147984924082183/gZgx_hL-_normal.jpg")</f>
        <v>https://pbs.twimg.com/profile_images/1241147984924082183/gZgx_hL-_normal.jpg</v>
      </c>
      <c r="AW2881" s="82" t="s">
        <v>14477</v>
      </c>
      <c r="AX2881" s="82" t="s">
        <v>14477</v>
      </c>
      <c r="AY2881" s="77"/>
      <c r="AZ2881" s="82" t="s">
        <v>15984</v>
      </c>
      <c r="BA2881" s="82" t="s">
        <v>15984</v>
      </c>
      <c r="BB2881" s="82" t="s">
        <v>15984</v>
      </c>
      <c r="BC2881" s="82" t="s">
        <v>14477</v>
      </c>
      <c r="BD2881" s="82" t="s">
        <v>15979</v>
      </c>
      <c r="BE2881" s="77"/>
      <c r="BF2881" s="77"/>
      <c r="BG2881" s="77"/>
      <c r="BH2881" s="77"/>
      <c r="BI2881" s="77"/>
    </row>
    <row r="2882" spans="1:61" x14ac:dyDescent="0.25">
      <c r="A2882" s="62" t="s">
        <v>387</v>
      </c>
      <c r="B2882" s="62" t="s">
        <v>387</v>
      </c>
      <c r="C2882" s="63"/>
      <c r="D2882" s="64"/>
      <c r="E2882" s="65"/>
      <c r="F2882" s="66"/>
      <c r="G2882" s="63"/>
      <c r="H2882" s="67"/>
      <c r="I2882" s="68"/>
      <c r="J2882" s="68"/>
      <c r="K2882" s="32"/>
      <c r="L2882" s="75">
        <v>2882</v>
      </c>
      <c r="M2882" s="75"/>
      <c r="N2882" s="70"/>
      <c r="O2882" s="77" t="s">
        <v>179</v>
      </c>
      <c r="P2882" s="79">
        <v>45152.834016203706</v>
      </c>
      <c r="Q2882" s="77" t="s">
        <v>3554</v>
      </c>
      <c r="R2882" s="77">
        <v>1</v>
      </c>
      <c r="S2882" s="77">
        <v>2</v>
      </c>
      <c r="T2882" s="77">
        <v>0</v>
      </c>
      <c r="U2882" s="77">
        <v>0</v>
      </c>
      <c r="V2882" s="77">
        <v>855</v>
      </c>
      <c r="W2882" s="82" t="s">
        <v>4833</v>
      </c>
      <c r="X2882" s="80" t="str">
        <f>HYPERLINK("https://mla.bs/1df54dc5")</f>
        <v>https://mla.bs/1df54dc5</v>
      </c>
      <c r="Y2882" s="77" t="s">
        <v>6506</v>
      </c>
      <c r="Z2882" s="77"/>
      <c r="AA2882" s="77"/>
      <c r="AB2882" s="77"/>
      <c r="AC2882" s="82" t="s">
        <v>7754</v>
      </c>
      <c r="AD2882" s="77" t="s">
        <v>7788</v>
      </c>
      <c r="AE2882" s="80" t="str">
        <f>HYPERLINK("https://twitter.com/einvestidor/status/1691178123792945153")</f>
        <v>https://twitter.com/einvestidor/status/1691178123792945153</v>
      </c>
      <c r="AF2882" s="79">
        <v>45152.834016203706</v>
      </c>
      <c r="AG2882" s="85">
        <v>45152</v>
      </c>
      <c r="AH2882" s="82" t="s">
        <v>9860</v>
      </c>
      <c r="AI2882" s="77" t="b">
        <v>0</v>
      </c>
      <c r="AJ2882" s="77"/>
      <c r="AK2882" s="77"/>
      <c r="AL2882" s="77"/>
      <c r="AM2882" s="77"/>
      <c r="AN2882" s="77"/>
      <c r="AO2882" s="77"/>
      <c r="AP2882" s="77"/>
      <c r="AQ2882" s="77"/>
      <c r="AR2882" s="77"/>
      <c r="AS2882" s="77"/>
      <c r="AT2882" s="77"/>
      <c r="AU2882" s="77"/>
      <c r="AV2882" s="80" t="str">
        <f>HYPERLINK("https://pbs.twimg.com/profile_images/1241147984924082183/gZgx_hL-_normal.jpg")</f>
        <v>https://pbs.twimg.com/profile_images/1241147984924082183/gZgx_hL-_normal.jpg</v>
      </c>
      <c r="AW2882" s="82" t="s">
        <v>14478</v>
      </c>
      <c r="AX2882" s="82" t="s">
        <v>14478</v>
      </c>
      <c r="AY2882" s="77"/>
      <c r="AZ2882" s="82" t="s">
        <v>15984</v>
      </c>
      <c r="BA2882" s="82" t="s">
        <v>15984</v>
      </c>
      <c r="BB2882" s="82" t="s">
        <v>15984</v>
      </c>
      <c r="BC2882" s="82" t="s">
        <v>14478</v>
      </c>
      <c r="BD2882" s="82" t="s">
        <v>15979</v>
      </c>
      <c r="BE2882" s="77"/>
      <c r="BF2882" s="77"/>
      <c r="BG2882" s="77"/>
      <c r="BH2882" s="77"/>
      <c r="BI2882" s="77"/>
    </row>
    <row r="2883" spans="1:61" x14ac:dyDescent="0.25">
      <c r="A2883" s="62" t="s">
        <v>387</v>
      </c>
      <c r="B2883" s="62" t="s">
        <v>387</v>
      </c>
      <c r="C2883" s="63"/>
      <c r="D2883" s="64"/>
      <c r="E2883" s="65"/>
      <c r="F2883" s="66"/>
      <c r="G2883" s="63"/>
      <c r="H2883" s="67"/>
      <c r="I2883" s="68"/>
      <c r="J2883" s="68"/>
      <c r="K2883" s="32"/>
      <c r="L2883" s="75">
        <v>2883</v>
      </c>
      <c r="M2883" s="75"/>
      <c r="N2883" s="70"/>
      <c r="O2883" s="77" t="s">
        <v>179</v>
      </c>
      <c r="P2883" s="79">
        <v>45152.8125</v>
      </c>
      <c r="Q2883" s="77" t="s">
        <v>3555</v>
      </c>
      <c r="R2883" s="77">
        <v>0</v>
      </c>
      <c r="S2883" s="77">
        <v>1</v>
      </c>
      <c r="T2883" s="77">
        <v>0</v>
      </c>
      <c r="U2883" s="77">
        <v>0</v>
      </c>
      <c r="V2883" s="77">
        <v>586</v>
      </c>
      <c r="W2883" s="82" t="s">
        <v>6140</v>
      </c>
      <c r="X2883" s="80" t="str">
        <f>HYPERLINK("https://mla.bs/0ef8975b")</f>
        <v>https://mla.bs/0ef8975b</v>
      </c>
      <c r="Y2883" s="77" t="s">
        <v>6506</v>
      </c>
      <c r="Z2883" s="77"/>
      <c r="AA2883" s="77"/>
      <c r="AB2883" s="77"/>
      <c r="AC2883" s="82" t="s">
        <v>7754</v>
      </c>
      <c r="AD2883" s="77" t="s">
        <v>7788</v>
      </c>
      <c r="AE2883" s="80" t="str">
        <f>HYPERLINK("https://twitter.com/einvestidor/status/1691170325814263810")</f>
        <v>https://twitter.com/einvestidor/status/1691170325814263810</v>
      </c>
      <c r="AF2883" s="79">
        <v>45152.8125</v>
      </c>
      <c r="AG2883" s="85">
        <v>45152</v>
      </c>
      <c r="AH2883" s="82" t="s">
        <v>8281</v>
      </c>
      <c r="AI2883" s="77" t="b">
        <v>0</v>
      </c>
      <c r="AJ2883" s="77"/>
      <c r="AK2883" s="77"/>
      <c r="AL2883" s="77"/>
      <c r="AM2883" s="77"/>
      <c r="AN2883" s="77"/>
      <c r="AO2883" s="77"/>
      <c r="AP2883" s="77"/>
      <c r="AQ2883" s="77"/>
      <c r="AR2883" s="77"/>
      <c r="AS2883" s="77"/>
      <c r="AT2883" s="77"/>
      <c r="AU2883" s="77"/>
      <c r="AV2883" s="80" t="str">
        <f>HYPERLINK("https://pbs.twimg.com/profile_images/1241147984924082183/gZgx_hL-_normal.jpg")</f>
        <v>https://pbs.twimg.com/profile_images/1241147984924082183/gZgx_hL-_normal.jpg</v>
      </c>
      <c r="AW2883" s="82" t="s">
        <v>14479</v>
      </c>
      <c r="AX2883" s="82" t="s">
        <v>14479</v>
      </c>
      <c r="AY2883" s="77"/>
      <c r="AZ2883" s="82" t="s">
        <v>15984</v>
      </c>
      <c r="BA2883" s="82" t="s">
        <v>15984</v>
      </c>
      <c r="BB2883" s="82" t="s">
        <v>15984</v>
      </c>
      <c r="BC2883" s="82" t="s">
        <v>14479</v>
      </c>
      <c r="BD2883" s="82" t="s">
        <v>15979</v>
      </c>
      <c r="BE2883" s="77"/>
      <c r="BF2883" s="77"/>
      <c r="BG2883" s="77"/>
      <c r="BH2883" s="77"/>
      <c r="BI2883" s="77"/>
    </row>
    <row r="2884" spans="1:61" x14ac:dyDescent="0.25">
      <c r="A2884" s="62" t="s">
        <v>387</v>
      </c>
      <c r="B2884" s="62" t="s">
        <v>387</v>
      </c>
      <c r="C2884" s="63"/>
      <c r="D2884" s="64"/>
      <c r="E2884" s="65"/>
      <c r="F2884" s="66"/>
      <c r="G2884" s="63"/>
      <c r="H2884" s="67"/>
      <c r="I2884" s="68"/>
      <c r="J2884" s="68"/>
      <c r="K2884" s="32"/>
      <c r="L2884" s="75">
        <v>2884</v>
      </c>
      <c r="M2884" s="75"/>
      <c r="N2884" s="70"/>
      <c r="O2884" s="77" t="s">
        <v>179</v>
      </c>
      <c r="P2884" s="79">
        <v>45152.802083333336</v>
      </c>
      <c r="Q2884" s="77" t="s">
        <v>3556</v>
      </c>
      <c r="R2884" s="77">
        <v>0</v>
      </c>
      <c r="S2884" s="77">
        <v>2</v>
      </c>
      <c r="T2884" s="77">
        <v>0</v>
      </c>
      <c r="U2884" s="77">
        <v>0</v>
      </c>
      <c r="V2884" s="77">
        <v>530</v>
      </c>
      <c r="W2884" s="82" t="s">
        <v>4833</v>
      </c>
      <c r="X2884" s="80" t="str">
        <f>HYPERLINK("https://mla.bs/d71c0e6f")</f>
        <v>https://mla.bs/d71c0e6f</v>
      </c>
      <c r="Y2884" s="77" t="s">
        <v>6506</v>
      </c>
      <c r="Z2884" s="77"/>
      <c r="AA2884" s="77"/>
      <c r="AB2884" s="77"/>
      <c r="AC2884" s="82" t="s">
        <v>7754</v>
      </c>
      <c r="AD2884" s="77" t="s">
        <v>7788</v>
      </c>
      <c r="AE2884" s="80" t="str">
        <f>HYPERLINK("https://twitter.com/einvestidor/status/1691166548562698240")</f>
        <v>https://twitter.com/einvestidor/status/1691166548562698240</v>
      </c>
      <c r="AF2884" s="79">
        <v>45152.802083333336</v>
      </c>
      <c r="AG2884" s="85">
        <v>45152</v>
      </c>
      <c r="AH2884" s="82" t="s">
        <v>7868</v>
      </c>
      <c r="AI2884" s="77" t="b">
        <v>0</v>
      </c>
      <c r="AJ2884" s="77"/>
      <c r="AK2884" s="77"/>
      <c r="AL2884" s="77"/>
      <c r="AM2884" s="77"/>
      <c r="AN2884" s="77"/>
      <c r="AO2884" s="77"/>
      <c r="AP2884" s="77"/>
      <c r="AQ2884" s="77"/>
      <c r="AR2884" s="77"/>
      <c r="AS2884" s="77"/>
      <c r="AT2884" s="77"/>
      <c r="AU2884" s="77"/>
      <c r="AV2884" s="80" t="str">
        <f>HYPERLINK("https://pbs.twimg.com/profile_images/1241147984924082183/gZgx_hL-_normal.jpg")</f>
        <v>https://pbs.twimg.com/profile_images/1241147984924082183/gZgx_hL-_normal.jpg</v>
      </c>
      <c r="AW2884" s="82" t="s">
        <v>14480</v>
      </c>
      <c r="AX2884" s="82" t="s">
        <v>14480</v>
      </c>
      <c r="AY2884" s="77"/>
      <c r="AZ2884" s="82" t="s">
        <v>15984</v>
      </c>
      <c r="BA2884" s="82" t="s">
        <v>15984</v>
      </c>
      <c r="BB2884" s="82" t="s">
        <v>15984</v>
      </c>
      <c r="BC2884" s="82" t="s">
        <v>14480</v>
      </c>
      <c r="BD2884" s="82" t="s">
        <v>15979</v>
      </c>
      <c r="BE2884" s="77"/>
      <c r="BF2884" s="77"/>
      <c r="BG2884" s="77"/>
      <c r="BH2884" s="77"/>
      <c r="BI2884" s="77"/>
    </row>
    <row r="2885" spans="1:61" x14ac:dyDescent="0.25">
      <c r="A2885" s="62" t="s">
        <v>387</v>
      </c>
      <c r="B2885" s="62" t="s">
        <v>387</v>
      </c>
      <c r="C2885" s="63"/>
      <c r="D2885" s="64"/>
      <c r="E2885" s="65"/>
      <c r="F2885" s="66"/>
      <c r="G2885" s="63"/>
      <c r="H2885" s="67"/>
      <c r="I2885" s="68"/>
      <c r="J2885" s="68"/>
      <c r="K2885" s="32"/>
      <c r="L2885" s="75">
        <v>2885</v>
      </c>
      <c r="M2885" s="75"/>
      <c r="N2885" s="70"/>
      <c r="O2885" s="77" t="s">
        <v>179</v>
      </c>
      <c r="P2885" s="79">
        <v>45142.947916666664</v>
      </c>
      <c r="Q2885" s="77" t="s">
        <v>3557</v>
      </c>
      <c r="R2885" s="77">
        <v>0</v>
      </c>
      <c r="S2885" s="77">
        <v>1</v>
      </c>
      <c r="T2885" s="77">
        <v>0</v>
      </c>
      <c r="U2885" s="77">
        <v>0</v>
      </c>
      <c r="V2885" s="77">
        <v>665</v>
      </c>
      <c r="W2885" s="82" t="s">
        <v>4833</v>
      </c>
      <c r="X2885" s="80" t="str">
        <f>HYPERLINK("https://mla.bs/a9a7e58c")</f>
        <v>https://mla.bs/a9a7e58c</v>
      </c>
      <c r="Y2885" s="77" t="s">
        <v>6506</v>
      </c>
      <c r="Z2885" s="77"/>
      <c r="AA2885" s="77"/>
      <c r="AB2885" s="77"/>
      <c r="AC2885" s="82" t="s">
        <v>7754</v>
      </c>
      <c r="AD2885" s="77" t="s">
        <v>7788</v>
      </c>
      <c r="AE2885" s="80" t="str">
        <f>HYPERLINK("https://twitter.com/einvestidor/status/1687595518392971268")</f>
        <v>https://twitter.com/einvestidor/status/1687595518392971268</v>
      </c>
      <c r="AF2885" s="79">
        <v>45142.947916666664</v>
      </c>
      <c r="AG2885" s="85">
        <v>45142</v>
      </c>
      <c r="AH2885" s="82" t="s">
        <v>9595</v>
      </c>
      <c r="AI2885" s="77" t="b">
        <v>0</v>
      </c>
      <c r="AJ2885" s="77"/>
      <c r="AK2885" s="77"/>
      <c r="AL2885" s="77"/>
      <c r="AM2885" s="77"/>
      <c r="AN2885" s="77"/>
      <c r="AO2885" s="77"/>
      <c r="AP2885" s="77"/>
      <c r="AQ2885" s="77"/>
      <c r="AR2885" s="77"/>
      <c r="AS2885" s="77"/>
      <c r="AT2885" s="77"/>
      <c r="AU2885" s="77"/>
      <c r="AV2885" s="80" t="str">
        <f>HYPERLINK("https://pbs.twimg.com/profile_images/1241147984924082183/gZgx_hL-_normal.jpg")</f>
        <v>https://pbs.twimg.com/profile_images/1241147984924082183/gZgx_hL-_normal.jpg</v>
      </c>
      <c r="AW2885" s="82" t="s">
        <v>14481</v>
      </c>
      <c r="AX2885" s="82" t="s">
        <v>14481</v>
      </c>
      <c r="AY2885" s="77"/>
      <c r="AZ2885" s="82" t="s">
        <v>15984</v>
      </c>
      <c r="BA2885" s="82" t="s">
        <v>15984</v>
      </c>
      <c r="BB2885" s="82" t="s">
        <v>15984</v>
      </c>
      <c r="BC2885" s="82" t="s">
        <v>14481</v>
      </c>
      <c r="BD2885" s="82" t="s">
        <v>15979</v>
      </c>
      <c r="BE2885" s="77"/>
      <c r="BF2885" s="77"/>
      <c r="BG2885" s="77"/>
      <c r="BH2885" s="77"/>
      <c r="BI2885" s="77"/>
    </row>
    <row r="2886" spans="1:61" x14ac:dyDescent="0.25">
      <c r="A2886" s="62" t="s">
        <v>387</v>
      </c>
      <c r="B2886" s="62" t="s">
        <v>387</v>
      </c>
      <c r="C2886" s="63"/>
      <c r="D2886" s="64"/>
      <c r="E2886" s="65"/>
      <c r="F2886" s="66"/>
      <c r="G2886" s="63"/>
      <c r="H2886" s="67"/>
      <c r="I2886" s="68"/>
      <c r="J2886" s="68"/>
      <c r="K2886" s="32"/>
      <c r="L2886" s="75">
        <v>2886</v>
      </c>
      <c r="M2886" s="75"/>
      <c r="N2886" s="70"/>
      <c r="O2886" s="77" t="s">
        <v>179</v>
      </c>
      <c r="P2886" s="79">
        <v>45142.9375</v>
      </c>
      <c r="Q2886" s="77" t="s">
        <v>3558</v>
      </c>
      <c r="R2886" s="77">
        <v>0</v>
      </c>
      <c r="S2886" s="77">
        <v>0</v>
      </c>
      <c r="T2886" s="77">
        <v>0</v>
      </c>
      <c r="U2886" s="77">
        <v>0</v>
      </c>
      <c r="V2886" s="77">
        <v>541</v>
      </c>
      <c r="W2886" s="82" t="s">
        <v>6141</v>
      </c>
      <c r="X2886" s="80" t="str">
        <f>HYPERLINK("https://mla.bs/2a360d3b")</f>
        <v>https://mla.bs/2a360d3b</v>
      </c>
      <c r="Y2886" s="77" t="s">
        <v>6506</v>
      </c>
      <c r="Z2886" s="77"/>
      <c r="AA2886" s="77"/>
      <c r="AB2886" s="77"/>
      <c r="AC2886" s="82" t="s">
        <v>7754</v>
      </c>
      <c r="AD2886" s="77" t="s">
        <v>7788</v>
      </c>
      <c r="AE2886" s="80" t="str">
        <f>HYPERLINK("https://twitter.com/einvestidor/status/1687591745272590336")</f>
        <v>https://twitter.com/einvestidor/status/1687591745272590336</v>
      </c>
      <c r="AF2886" s="79">
        <v>45142.9375</v>
      </c>
      <c r="AG2886" s="85">
        <v>45142</v>
      </c>
      <c r="AH2886" s="82" t="s">
        <v>7926</v>
      </c>
      <c r="AI2886" s="77" t="b">
        <v>0</v>
      </c>
      <c r="AJ2886" s="77"/>
      <c r="AK2886" s="77"/>
      <c r="AL2886" s="77"/>
      <c r="AM2886" s="77"/>
      <c r="AN2886" s="77"/>
      <c r="AO2886" s="77"/>
      <c r="AP2886" s="77"/>
      <c r="AQ2886" s="77"/>
      <c r="AR2886" s="77"/>
      <c r="AS2886" s="77"/>
      <c r="AT2886" s="77"/>
      <c r="AU2886" s="77"/>
      <c r="AV2886" s="80" t="str">
        <f>HYPERLINK("https://pbs.twimg.com/profile_images/1241147984924082183/gZgx_hL-_normal.jpg")</f>
        <v>https://pbs.twimg.com/profile_images/1241147984924082183/gZgx_hL-_normal.jpg</v>
      </c>
      <c r="AW2886" s="82" t="s">
        <v>14482</v>
      </c>
      <c r="AX2886" s="82" t="s">
        <v>14482</v>
      </c>
      <c r="AY2886" s="77"/>
      <c r="AZ2886" s="82" t="s">
        <v>15984</v>
      </c>
      <c r="BA2886" s="82" t="s">
        <v>15984</v>
      </c>
      <c r="BB2886" s="82" t="s">
        <v>15984</v>
      </c>
      <c r="BC2886" s="82" t="s">
        <v>14482</v>
      </c>
      <c r="BD2886" s="82" t="s">
        <v>15979</v>
      </c>
      <c r="BE2886" s="77"/>
      <c r="BF2886" s="77"/>
      <c r="BG2886" s="77"/>
      <c r="BH2886" s="77"/>
      <c r="BI2886" s="77"/>
    </row>
    <row r="2887" spans="1:61" x14ac:dyDescent="0.25">
      <c r="A2887" s="62" t="s">
        <v>387</v>
      </c>
      <c r="B2887" s="62" t="s">
        <v>387</v>
      </c>
      <c r="C2887" s="63"/>
      <c r="D2887" s="64"/>
      <c r="E2887" s="65"/>
      <c r="F2887" s="66"/>
      <c r="G2887" s="63"/>
      <c r="H2887" s="67"/>
      <c r="I2887" s="68"/>
      <c r="J2887" s="68"/>
      <c r="K2887" s="32"/>
      <c r="L2887" s="75">
        <v>2887</v>
      </c>
      <c r="M2887" s="75"/>
      <c r="N2887" s="70"/>
      <c r="O2887" s="77" t="s">
        <v>179</v>
      </c>
      <c r="P2887" s="79">
        <v>45142.927083333336</v>
      </c>
      <c r="Q2887" s="77" t="s">
        <v>3559</v>
      </c>
      <c r="R2887" s="77">
        <v>0</v>
      </c>
      <c r="S2887" s="77">
        <v>1</v>
      </c>
      <c r="T2887" s="77">
        <v>0</v>
      </c>
      <c r="U2887" s="77">
        <v>0</v>
      </c>
      <c r="V2887" s="77">
        <v>911</v>
      </c>
      <c r="W2887" s="82" t="s">
        <v>6142</v>
      </c>
      <c r="X2887" s="80" t="str">
        <f>HYPERLINK("https://mla.bs/0fbb0280")</f>
        <v>https://mla.bs/0fbb0280</v>
      </c>
      <c r="Y2887" s="77" t="s">
        <v>6506</v>
      </c>
      <c r="Z2887" s="77"/>
      <c r="AA2887" s="77"/>
      <c r="AB2887" s="77"/>
      <c r="AC2887" s="82" t="s">
        <v>7754</v>
      </c>
      <c r="AD2887" s="77" t="s">
        <v>7788</v>
      </c>
      <c r="AE2887" s="80" t="str">
        <f>HYPERLINK("https://twitter.com/einvestidor/status/1687587968695885824")</f>
        <v>https://twitter.com/einvestidor/status/1687587968695885824</v>
      </c>
      <c r="AF2887" s="79">
        <v>45142.927083333336</v>
      </c>
      <c r="AG2887" s="85">
        <v>45142</v>
      </c>
      <c r="AH2887" s="82" t="s">
        <v>9576</v>
      </c>
      <c r="AI2887" s="77" t="b">
        <v>0</v>
      </c>
      <c r="AJ2887" s="77"/>
      <c r="AK2887" s="77"/>
      <c r="AL2887" s="77"/>
      <c r="AM2887" s="77"/>
      <c r="AN2887" s="77"/>
      <c r="AO2887" s="77"/>
      <c r="AP2887" s="77"/>
      <c r="AQ2887" s="77"/>
      <c r="AR2887" s="77"/>
      <c r="AS2887" s="77"/>
      <c r="AT2887" s="77"/>
      <c r="AU2887" s="77"/>
      <c r="AV2887" s="80" t="str">
        <f>HYPERLINK("https://pbs.twimg.com/profile_images/1241147984924082183/gZgx_hL-_normal.jpg")</f>
        <v>https://pbs.twimg.com/profile_images/1241147984924082183/gZgx_hL-_normal.jpg</v>
      </c>
      <c r="AW2887" s="82" t="s">
        <v>14483</v>
      </c>
      <c r="AX2887" s="82" t="s">
        <v>14483</v>
      </c>
      <c r="AY2887" s="77"/>
      <c r="AZ2887" s="82" t="s">
        <v>15984</v>
      </c>
      <c r="BA2887" s="82" t="s">
        <v>15984</v>
      </c>
      <c r="BB2887" s="82" t="s">
        <v>15984</v>
      </c>
      <c r="BC2887" s="82" t="s">
        <v>14483</v>
      </c>
      <c r="BD2887" s="82" t="s">
        <v>15979</v>
      </c>
      <c r="BE2887" s="77"/>
      <c r="BF2887" s="77"/>
      <c r="BG2887" s="77"/>
      <c r="BH2887" s="77"/>
      <c r="BI2887" s="77"/>
    </row>
    <row r="2888" spans="1:61" x14ac:dyDescent="0.25">
      <c r="A2888" s="62" t="s">
        <v>387</v>
      </c>
      <c r="B2888" s="62" t="s">
        <v>387</v>
      </c>
      <c r="C2888" s="63"/>
      <c r="D2888" s="64"/>
      <c r="E2888" s="65"/>
      <c r="F2888" s="66"/>
      <c r="G2888" s="63"/>
      <c r="H2888" s="67"/>
      <c r="I2888" s="68"/>
      <c r="J2888" s="68"/>
      <c r="K2888" s="32"/>
      <c r="L2888" s="75">
        <v>2888</v>
      </c>
      <c r="M2888" s="75"/>
      <c r="N2888" s="70"/>
      <c r="O2888" s="77" t="s">
        <v>179</v>
      </c>
      <c r="P2888" s="79">
        <v>45142.921284722222</v>
      </c>
      <c r="Q2888" s="77" t="s">
        <v>3560</v>
      </c>
      <c r="R2888" s="77">
        <v>0</v>
      </c>
      <c r="S2888" s="77">
        <v>0</v>
      </c>
      <c r="T2888" s="77">
        <v>0</v>
      </c>
      <c r="U2888" s="77">
        <v>0</v>
      </c>
      <c r="V2888" s="77">
        <v>573</v>
      </c>
      <c r="W2888" s="82" t="s">
        <v>4833</v>
      </c>
      <c r="X2888" s="80" t="str">
        <f>HYPERLINK("https://mla.bs/2e80103a")</f>
        <v>https://mla.bs/2e80103a</v>
      </c>
      <c r="Y2888" s="77" t="s">
        <v>6506</v>
      </c>
      <c r="Z2888" s="77"/>
      <c r="AA2888" s="77"/>
      <c r="AB2888" s="77"/>
      <c r="AC2888" s="82" t="s">
        <v>7754</v>
      </c>
      <c r="AD2888" s="77" t="s">
        <v>7788</v>
      </c>
      <c r="AE2888" s="80" t="str">
        <f>HYPERLINK("https://twitter.com/einvestidor/status/1687585868356210689")</f>
        <v>https://twitter.com/einvestidor/status/1687585868356210689</v>
      </c>
      <c r="AF2888" s="79">
        <v>45142.921284722222</v>
      </c>
      <c r="AG2888" s="85">
        <v>45142</v>
      </c>
      <c r="AH2888" s="82" t="s">
        <v>9861</v>
      </c>
      <c r="AI2888" s="77" t="b">
        <v>0</v>
      </c>
      <c r="AJ2888" s="77"/>
      <c r="AK2888" s="77"/>
      <c r="AL2888" s="77"/>
      <c r="AM2888" s="77"/>
      <c r="AN2888" s="77"/>
      <c r="AO2888" s="77"/>
      <c r="AP2888" s="77"/>
      <c r="AQ2888" s="77"/>
      <c r="AR2888" s="77"/>
      <c r="AS2888" s="77"/>
      <c r="AT2888" s="77"/>
      <c r="AU2888" s="77"/>
      <c r="AV2888" s="80" t="str">
        <f>HYPERLINK("https://pbs.twimg.com/profile_images/1241147984924082183/gZgx_hL-_normal.jpg")</f>
        <v>https://pbs.twimg.com/profile_images/1241147984924082183/gZgx_hL-_normal.jpg</v>
      </c>
      <c r="AW2888" s="82" t="s">
        <v>14484</v>
      </c>
      <c r="AX2888" s="82" t="s">
        <v>14484</v>
      </c>
      <c r="AY2888" s="77"/>
      <c r="AZ2888" s="82" t="s">
        <v>15984</v>
      </c>
      <c r="BA2888" s="82" t="s">
        <v>15984</v>
      </c>
      <c r="BB2888" s="82" t="s">
        <v>15984</v>
      </c>
      <c r="BC2888" s="82" t="s">
        <v>14484</v>
      </c>
      <c r="BD2888" s="82" t="s">
        <v>15979</v>
      </c>
      <c r="BE2888" s="77"/>
      <c r="BF2888" s="77"/>
      <c r="BG2888" s="77"/>
      <c r="BH2888" s="77"/>
      <c r="BI2888" s="77"/>
    </row>
    <row r="2889" spans="1:61" x14ac:dyDescent="0.25">
      <c r="A2889" s="62" t="s">
        <v>387</v>
      </c>
      <c r="B2889" s="62" t="s">
        <v>387</v>
      </c>
      <c r="C2889" s="63"/>
      <c r="D2889" s="64"/>
      <c r="E2889" s="65"/>
      <c r="F2889" s="66"/>
      <c r="G2889" s="63"/>
      <c r="H2889" s="67"/>
      <c r="I2889" s="68"/>
      <c r="J2889" s="68"/>
      <c r="K2889" s="32"/>
      <c r="L2889" s="75">
        <v>2889</v>
      </c>
      <c r="M2889" s="75"/>
      <c r="N2889" s="70"/>
      <c r="O2889" s="77" t="s">
        <v>179</v>
      </c>
      <c r="P2889" s="79">
        <v>45142.916678240741</v>
      </c>
      <c r="Q2889" s="77" t="s">
        <v>3561</v>
      </c>
      <c r="R2889" s="77">
        <v>1</v>
      </c>
      <c r="S2889" s="77">
        <v>0</v>
      </c>
      <c r="T2889" s="77">
        <v>0</v>
      </c>
      <c r="U2889" s="77">
        <v>0</v>
      </c>
      <c r="V2889" s="77">
        <v>688</v>
      </c>
      <c r="W2889" s="82" t="s">
        <v>6143</v>
      </c>
      <c r="X2889" s="80" t="str">
        <f>HYPERLINK("https://mla.bs/57170be8")</f>
        <v>https://mla.bs/57170be8</v>
      </c>
      <c r="Y2889" s="77" t="s">
        <v>6506</v>
      </c>
      <c r="Z2889" s="77"/>
      <c r="AA2889" s="77"/>
      <c r="AB2889" s="77"/>
      <c r="AC2889" s="82" t="s">
        <v>7754</v>
      </c>
      <c r="AD2889" s="77" t="s">
        <v>7788</v>
      </c>
      <c r="AE2889" s="80" t="str">
        <f>HYPERLINK("https://twitter.com/einvestidor/status/1687584197639303168")</f>
        <v>https://twitter.com/einvestidor/status/1687584197639303168</v>
      </c>
      <c r="AF2889" s="79">
        <v>45142.916678240741</v>
      </c>
      <c r="AG2889" s="85">
        <v>45142</v>
      </c>
      <c r="AH2889" s="82" t="s">
        <v>8052</v>
      </c>
      <c r="AI2889" s="77" t="b">
        <v>0</v>
      </c>
      <c r="AJ2889" s="77"/>
      <c r="AK2889" s="77"/>
      <c r="AL2889" s="77"/>
      <c r="AM2889" s="77"/>
      <c r="AN2889" s="77"/>
      <c r="AO2889" s="77"/>
      <c r="AP2889" s="77"/>
      <c r="AQ2889" s="77"/>
      <c r="AR2889" s="77"/>
      <c r="AS2889" s="77"/>
      <c r="AT2889" s="77"/>
      <c r="AU2889" s="77"/>
      <c r="AV2889" s="80" t="str">
        <f>HYPERLINK("https://pbs.twimg.com/profile_images/1241147984924082183/gZgx_hL-_normal.jpg")</f>
        <v>https://pbs.twimg.com/profile_images/1241147984924082183/gZgx_hL-_normal.jpg</v>
      </c>
      <c r="AW2889" s="82" t="s">
        <v>14485</v>
      </c>
      <c r="AX2889" s="82" t="s">
        <v>14485</v>
      </c>
      <c r="AY2889" s="77"/>
      <c r="AZ2889" s="82" t="s">
        <v>15984</v>
      </c>
      <c r="BA2889" s="82" t="s">
        <v>15984</v>
      </c>
      <c r="BB2889" s="82" t="s">
        <v>15984</v>
      </c>
      <c r="BC2889" s="82" t="s">
        <v>14485</v>
      </c>
      <c r="BD2889" s="82" t="s">
        <v>15979</v>
      </c>
      <c r="BE2889" s="77"/>
      <c r="BF2889" s="77"/>
      <c r="BG2889" s="77"/>
      <c r="BH2889" s="77"/>
      <c r="BI2889" s="77"/>
    </row>
    <row r="2890" spans="1:61" x14ac:dyDescent="0.25">
      <c r="A2890" s="62" t="s">
        <v>387</v>
      </c>
      <c r="B2890" s="62" t="s">
        <v>387</v>
      </c>
      <c r="C2890" s="63"/>
      <c r="D2890" s="64"/>
      <c r="E2890" s="65"/>
      <c r="F2890" s="66"/>
      <c r="G2890" s="63"/>
      <c r="H2890" s="67"/>
      <c r="I2890" s="68"/>
      <c r="J2890" s="68"/>
      <c r="K2890" s="32"/>
      <c r="L2890" s="75">
        <v>2890</v>
      </c>
      <c r="M2890" s="75"/>
      <c r="N2890" s="70"/>
      <c r="O2890" s="77" t="s">
        <v>179</v>
      </c>
      <c r="P2890" s="79">
        <v>45142.90625</v>
      </c>
      <c r="Q2890" s="77" t="s">
        <v>3562</v>
      </c>
      <c r="R2890" s="77">
        <v>0</v>
      </c>
      <c r="S2890" s="77">
        <v>0</v>
      </c>
      <c r="T2890" s="77">
        <v>0</v>
      </c>
      <c r="U2890" s="77">
        <v>0</v>
      </c>
      <c r="V2890" s="77">
        <v>641</v>
      </c>
      <c r="W2890" s="82" t="s">
        <v>4833</v>
      </c>
      <c r="X2890" s="80" t="str">
        <f>HYPERLINK("https://mla.bs/b73c67f8")</f>
        <v>https://mla.bs/b73c67f8</v>
      </c>
      <c r="Y2890" s="77" t="s">
        <v>6506</v>
      </c>
      <c r="Z2890" s="77"/>
      <c r="AA2890" s="77"/>
      <c r="AB2890" s="77"/>
      <c r="AC2890" s="82" t="s">
        <v>7754</v>
      </c>
      <c r="AD2890" s="77" t="s">
        <v>7788</v>
      </c>
      <c r="AE2890" s="80" t="str">
        <f>HYPERLINK("https://twitter.com/einvestidor/status/1687580418831433729")</f>
        <v>https://twitter.com/einvestidor/status/1687580418831433729</v>
      </c>
      <c r="AF2890" s="79">
        <v>45142.90625</v>
      </c>
      <c r="AG2890" s="85">
        <v>45142</v>
      </c>
      <c r="AH2890" s="82" t="s">
        <v>9578</v>
      </c>
      <c r="AI2890" s="77" t="b">
        <v>0</v>
      </c>
      <c r="AJ2890" s="77"/>
      <c r="AK2890" s="77"/>
      <c r="AL2890" s="77"/>
      <c r="AM2890" s="77"/>
      <c r="AN2890" s="77"/>
      <c r="AO2890" s="77"/>
      <c r="AP2890" s="77"/>
      <c r="AQ2890" s="77"/>
      <c r="AR2890" s="77"/>
      <c r="AS2890" s="77"/>
      <c r="AT2890" s="77"/>
      <c r="AU2890" s="77"/>
      <c r="AV2890" s="80" t="str">
        <f>HYPERLINK("https://pbs.twimg.com/profile_images/1241147984924082183/gZgx_hL-_normal.jpg")</f>
        <v>https://pbs.twimg.com/profile_images/1241147984924082183/gZgx_hL-_normal.jpg</v>
      </c>
      <c r="AW2890" s="82" t="s">
        <v>14486</v>
      </c>
      <c r="AX2890" s="82" t="s">
        <v>14486</v>
      </c>
      <c r="AY2890" s="77"/>
      <c r="AZ2890" s="82" t="s">
        <v>15984</v>
      </c>
      <c r="BA2890" s="82" t="s">
        <v>15984</v>
      </c>
      <c r="BB2890" s="82" t="s">
        <v>15984</v>
      </c>
      <c r="BC2890" s="82" t="s">
        <v>14486</v>
      </c>
      <c r="BD2890" s="82" t="s">
        <v>15979</v>
      </c>
      <c r="BE2890" s="77"/>
      <c r="BF2890" s="77"/>
      <c r="BG2890" s="77"/>
      <c r="BH2890" s="77"/>
      <c r="BI2890" s="77"/>
    </row>
    <row r="2891" spans="1:61" x14ac:dyDescent="0.25">
      <c r="A2891" s="62" t="s">
        <v>387</v>
      </c>
      <c r="B2891" s="62" t="s">
        <v>387</v>
      </c>
      <c r="C2891" s="63"/>
      <c r="D2891" s="64"/>
      <c r="E2891" s="65"/>
      <c r="F2891" s="66"/>
      <c r="G2891" s="63"/>
      <c r="H2891" s="67"/>
      <c r="I2891" s="68"/>
      <c r="J2891" s="68"/>
      <c r="K2891" s="32"/>
      <c r="L2891" s="75">
        <v>2891</v>
      </c>
      <c r="M2891" s="75"/>
      <c r="N2891" s="70"/>
      <c r="O2891" s="77" t="s">
        <v>179</v>
      </c>
      <c r="P2891" s="79">
        <v>45142.886655092596</v>
      </c>
      <c r="Q2891" s="77" t="s">
        <v>3563</v>
      </c>
      <c r="R2891" s="77">
        <v>0</v>
      </c>
      <c r="S2891" s="77">
        <v>0</v>
      </c>
      <c r="T2891" s="77">
        <v>0</v>
      </c>
      <c r="U2891" s="77">
        <v>0</v>
      </c>
      <c r="V2891" s="77">
        <v>790</v>
      </c>
      <c r="W2891" s="82" t="s">
        <v>6144</v>
      </c>
      <c r="X2891" s="80" t="str">
        <f>HYPERLINK("https://mla.bs/8cafc03d")</f>
        <v>https://mla.bs/8cafc03d</v>
      </c>
      <c r="Y2891" s="77" t="s">
        <v>6506</v>
      </c>
      <c r="Z2891" s="77"/>
      <c r="AA2891" s="77"/>
      <c r="AB2891" s="77"/>
      <c r="AC2891" s="82" t="s">
        <v>7754</v>
      </c>
      <c r="AD2891" s="77" t="s">
        <v>7788</v>
      </c>
      <c r="AE2891" s="80" t="str">
        <f>HYPERLINK("https://twitter.com/einvestidor/status/1687573320475017217")</f>
        <v>https://twitter.com/einvestidor/status/1687573320475017217</v>
      </c>
      <c r="AF2891" s="79">
        <v>45142.886655092596</v>
      </c>
      <c r="AG2891" s="85">
        <v>45142</v>
      </c>
      <c r="AH2891" s="82" t="s">
        <v>9862</v>
      </c>
      <c r="AI2891" s="77" t="b">
        <v>0</v>
      </c>
      <c r="AJ2891" s="77"/>
      <c r="AK2891" s="77"/>
      <c r="AL2891" s="77"/>
      <c r="AM2891" s="77"/>
      <c r="AN2891" s="77"/>
      <c r="AO2891" s="77"/>
      <c r="AP2891" s="77"/>
      <c r="AQ2891" s="77"/>
      <c r="AR2891" s="77"/>
      <c r="AS2891" s="77"/>
      <c r="AT2891" s="77"/>
      <c r="AU2891" s="77"/>
      <c r="AV2891" s="80" t="str">
        <f>HYPERLINK("https://pbs.twimg.com/profile_images/1241147984924082183/gZgx_hL-_normal.jpg")</f>
        <v>https://pbs.twimg.com/profile_images/1241147984924082183/gZgx_hL-_normal.jpg</v>
      </c>
      <c r="AW2891" s="82" t="s">
        <v>14487</v>
      </c>
      <c r="AX2891" s="82" t="s">
        <v>14487</v>
      </c>
      <c r="AY2891" s="77"/>
      <c r="AZ2891" s="82" t="s">
        <v>15984</v>
      </c>
      <c r="BA2891" s="82" t="s">
        <v>15984</v>
      </c>
      <c r="BB2891" s="82" t="s">
        <v>15984</v>
      </c>
      <c r="BC2891" s="82" t="s">
        <v>14487</v>
      </c>
      <c r="BD2891" s="82" t="s">
        <v>15979</v>
      </c>
      <c r="BE2891" s="77"/>
      <c r="BF2891" s="77"/>
      <c r="BG2891" s="77"/>
      <c r="BH2891" s="77"/>
      <c r="BI2891" s="77"/>
    </row>
    <row r="2892" spans="1:61" x14ac:dyDescent="0.25">
      <c r="A2892" s="62" t="s">
        <v>387</v>
      </c>
      <c r="B2892" s="62" t="s">
        <v>387</v>
      </c>
      <c r="C2892" s="63"/>
      <c r="D2892" s="64"/>
      <c r="E2892" s="65"/>
      <c r="F2892" s="66"/>
      <c r="G2892" s="63"/>
      <c r="H2892" s="67"/>
      <c r="I2892" s="68"/>
      <c r="J2892" s="68"/>
      <c r="K2892" s="32"/>
      <c r="L2892" s="75">
        <v>2892</v>
      </c>
      <c r="M2892" s="75"/>
      <c r="N2892" s="70"/>
      <c r="O2892" s="77" t="s">
        <v>179</v>
      </c>
      <c r="P2892" s="79">
        <v>45142.88585648148</v>
      </c>
      <c r="Q2892" s="77" t="s">
        <v>3564</v>
      </c>
      <c r="R2892" s="77">
        <v>1</v>
      </c>
      <c r="S2892" s="77">
        <v>3</v>
      </c>
      <c r="T2892" s="77">
        <v>0</v>
      </c>
      <c r="U2892" s="77">
        <v>0</v>
      </c>
      <c r="V2892" s="77">
        <v>733</v>
      </c>
      <c r="W2892" s="82" t="s">
        <v>4833</v>
      </c>
      <c r="X2892" s="80" t="str">
        <f>HYPERLINK("https://mla.bs/73c03a2a")</f>
        <v>https://mla.bs/73c03a2a</v>
      </c>
      <c r="Y2892" s="77" t="s">
        <v>6506</v>
      </c>
      <c r="Z2892" s="77"/>
      <c r="AA2892" s="77"/>
      <c r="AB2892" s="77"/>
      <c r="AC2892" s="82" t="s">
        <v>7754</v>
      </c>
      <c r="AD2892" s="77" t="s">
        <v>7788</v>
      </c>
      <c r="AE2892" s="80" t="str">
        <f>HYPERLINK("https://twitter.com/einvestidor/status/1687573030438887424")</f>
        <v>https://twitter.com/einvestidor/status/1687573030438887424</v>
      </c>
      <c r="AF2892" s="79">
        <v>45142.88585648148</v>
      </c>
      <c r="AG2892" s="85">
        <v>45142</v>
      </c>
      <c r="AH2892" s="82" t="s">
        <v>9863</v>
      </c>
      <c r="AI2892" s="77" t="b">
        <v>0</v>
      </c>
      <c r="AJ2892" s="77"/>
      <c r="AK2892" s="77"/>
      <c r="AL2892" s="77"/>
      <c r="AM2892" s="77"/>
      <c r="AN2892" s="77"/>
      <c r="AO2892" s="77"/>
      <c r="AP2892" s="77"/>
      <c r="AQ2892" s="77"/>
      <c r="AR2892" s="77"/>
      <c r="AS2892" s="77"/>
      <c r="AT2892" s="77"/>
      <c r="AU2892" s="77"/>
      <c r="AV2892" s="80" t="str">
        <f>HYPERLINK("https://pbs.twimg.com/profile_images/1241147984924082183/gZgx_hL-_normal.jpg")</f>
        <v>https://pbs.twimg.com/profile_images/1241147984924082183/gZgx_hL-_normal.jpg</v>
      </c>
      <c r="AW2892" s="82" t="s">
        <v>14488</v>
      </c>
      <c r="AX2892" s="82" t="s">
        <v>14488</v>
      </c>
      <c r="AY2892" s="77"/>
      <c r="AZ2892" s="82" t="s">
        <v>15984</v>
      </c>
      <c r="BA2892" s="82" t="s">
        <v>15984</v>
      </c>
      <c r="BB2892" s="82" t="s">
        <v>15984</v>
      </c>
      <c r="BC2892" s="82" t="s">
        <v>14488</v>
      </c>
      <c r="BD2892" s="82" t="s">
        <v>15979</v>
      </c>
      <c r="BE2892" s="77"/>
      <c r="BF2892" s="77"/>
      <c r="BG2892" s="77"/>
      <c r="BH2892" s="77"/>
      <c r="BI2892" s="77"/>
    </row>
    <row r="2893" spans="1:61" x14ac:dyDescent="0.25">
      <c r="A2893" s="62" t="s">
        <v>387</v>
      </c>
      <c r="B2893" s="62" t="s">
        <v>387</v>
      </c>
      <c r="C2893" s="63"/>
      <c r="D2893" s="64"/>
      <c r="E2893" s="65"/>
      <c r="F2893" s="66"/>
      <c r="G2893" s="63"/>
      <c r="H2893" s="67"/>
      <c r="I2893" s="68"/>
      <c r="J2893" s="68"/>
      <c r="K2893" s="32"/>
      <c r="L2893" s="75">
        <v>2893</v>
      </c>
      <c r="M2893" s="75"/>
      <c r="N2893" s="70"/>
      <c r="O2893" s="77" t="s">
        <v>179</v>
      </c>
      <c r="P2893" s="79">
        <v>45142.879872685182</v>
      </c>
      <c r="Q2893" s="77" t="s">
        <v>3565</v>
      </c>
      <c r="R2893" s="77">
        <v>0</v>
      </c>
      <c r="S2893" s="77">
        <v>0</v>
      </c>
      <c r="T2893" s="77">
        <v>0</v>
      </c>
      <c r="U2893" s="77">
        <v>0</v>
      </c>
      <c r="V2893" s="77">
        <v>628</v>
      </c>
      <c r="W2893" s="82" t="s">
        <v>4833</v>
      </c>
      <c r="X2893" s="80" t="str">
        <f>HYPERLINK("https://mla.bs/ae04d717")</f>
        <v>https://mla.bs/ae04d717</v>
      </c>
      <c r="Y2893" s="77" t="s">
        <v>6506</v>
      </c>
      <c r="Z2893" s="77"/>
      <c r="AA2893" s="77"/>
      <c r="AB2893" s="77"/>
      <c r="AC2893" s="82" t="s">
        <v>7754</v>
      </c>
      <c r="AD2893" s="77" t="s">
        <v>7788</v>
      </c>
      <c r="AE2893" s="80" t="str">
        <f>HYPERLINK("https://twitter.com/einvestidor/status/1687570862747140096")</f>
        <v>https://twitter.com/einvestidor/status/1687570862747140096</v>
      </c>
      <c r="AF2893" s="79">
        <v>45142.879872685182</v>
      </c>
      <c r="AG2893" s="85">
        <v>45142</v>
      </c>
      <c r="AH2893" s="82" t="s">
        <v>9864</v>
      </c>
      <c r="AI2893" s="77" t="b">
        <v>0</v>
      </c>
      <c r="AJ2893" s="77"/>
      <c r="AK2893" s="77"/>
      <c r="AL2893" s="77"/>
      <c r="AM2893" s="77"/>
      <c r="AN2893" s="77"/>
      <c r="AO2893" s="77"/>
      <c r="AP2893" s="77"/>
      <c r="AQ2893" s="77"/>
      <c r="AR2893" s="77"/>
      <c r="AS2893" s="77"/>
      <c r="AT2893" s="77"/>
      <c r="AU2893" s="77"/>
      <c r="AV2893" s="80" t="str">
        <f>HYPERLINK("https://pbs.twimg.com/profile_images/1241147984924082183/gZgx_hL-_normal.jpg")</f>
        <v>https://pbs.twimg.com/profile_images/1241147984924082183/gZgx_hL-_normal.jpg</v>
      </c>
      <c r="AW2893" s="82" t="s">
        <v>14489</v>
      </c>
      <c r="AX2893" s="82" t="s">
        <v>14489</v>
      </c>
      <c r="AY2893" s="77"/>
      <c r="AZ2893" s="82" t="s">
        <v>15984</v>
      </c>
      <c r="BA2893" s="82" t="s">
        <v>15984</v>
      </c>
      <c r="BB2893" s="82" t="s">
        <v>15984</v>
      </c>
      <c r="BC2893" s="82" t="s">
        <v>14489</v>
      </c>
      <c r="BD2893" s="82" t="s">
        <v>15979</v>
      </c>
      <c r="BE2893" s="77"/>
      <c r="BF2893" s="77"/>
      <c r="BG2893" s="77"/>
      <c r="BH2893" s="77"/>
      <c r="BI2893" s="77"/>
    </row>
    <row r="2894" spans="1:61" x14ac:dyDescent="0.25">
      <c r="A2894" s="62" t="s">
        <v>387</v>
      </c>
      <c r="B2894" s="62" t="s">
        <v>387</v>
      </c>
      <c r="C2894" s="63"/>
      <c r="D2894" s="64"/>
      <c r="E2894" s="65"/>
      <c r="F2894" s="66"/>
      <c r="G2894" s="63"/>
      <c r="H2894" s="67"/>
      <c r="I2894" s="68"/>
      <c r="J2894" s="68"/>
      <c r="K2894" s="32"/>
      <c r="L2894" s="75">
        <v>2894</v>
      </c>
      <c r="M2894" s="75"/>
      <c r="N2894" s="70"/>
      <c r="O2894" s="77" t="s">
        <v>179</v>
      </c>
      <c r="P2894" s="79">
        <v>45142.879004629627</v>
      </c>
      <c r="Q2894" s="77" t="s">
        <v>3566</v>
      </c>
      <c r="R2894" s="77">
        <v>0</v>
      </c>
      <c r="S2894" s="77">
        <v>0</v>
      </c>
      <c r="T2894" s="77">
        <v>0</v>
      </c>
      <c r="U2894" s="77">
        <v>0</v>
      </c>
      <c r="V2894" s="77">
        <v>559</v>
      </c>
      <c r="W2894" s="82" t="s">
        <v>4833</v>
      </c>
      <c r="X2894" s="80" t="str">
        <f>HYPERLINK("https://mla.bs/f6a4ffe4")</f>
        <v>https://mla.bs/f6a4ffe4</v>
      </c>
      <c r="Y2894" s="77" t="s">
        <v>6506</v>
      </c>
      <c r="Z2894" s="77"/>
      <c r="AA2894" s="77"/>
      <c r="AB2894" s="77"/>
      <c r="AC2894" s="82" t="s">
        <v>7754</v>
      </c>
      <c r="AD2894" s="77" t="s">
        <v>7788</v>
      </c>
      <c r="AE2894" s="80" t="str">
        <f>HYPERLINK("https://twitter.com/einvestidor/status/1687570546727206912")</f>
        <v>https://twitter.com/einvestidor/status/1687570546727206912</v>
      </c>
      <c r="AF2894" s="79">
        <v>45142.879004629627</v>
      </c>
      <c r="AG2894" s="85">
        <v>45142</v>
      </c>
      <c r="AH2894" s="82" t="s">
        <v>9865</v>
      </c>
      <c r="AI2894" s="77" t="b">
        <v>0</v>
      </c>
      <c r="AJ2894" s="77"/>
      <c r="AK2894" s="77"/>
      <c r="AL2894" s="77"/>
      <c r="AM2894" s="77"/>
      <c r="AN2894" s="77"/>
      <c r="AO2894" s="77"/>
      <c r="AP2894" s="77"/>
      <c r="AQ2894" s="77"/>
      <c r="AR2894" s="77"/>
      <c r="AS2894" s="77"/>
      <c r="AT2894" s="77"/>
      <c r="AU2894" s="77"/>
      <c r="AV2894" s="80" t="str">
        <f>HYPERLINK("https://pbs.twimg.com/profile_images/1241147984924082183/gZgx_hL-_normal.jpg")</f>
        <v>https://pbs.twimg.com/profile_images/1241147984924082183/gZgx_hL-_normal.jpg</v>
      </c>
      <c r="AW2894" s="82" t="s">
        <v>14490</v>
      </c>
      <c r="AX2894" s="82" t="s">
        <v>14490</v>
      </c>
      <c r="AY2894" s="77"/>
      <c r="AZ2894" s="82" t="s">
        <v>15984</v>
      </c>
      <c r="BA2894" s="82" t="s">
        <v>15984</v>
      </c>
      <c r="BB2894" s="82" t="s">
        <v>15984</v>
      </c>
      <c r="BC2894" s="82" t="s">
        <v>14490</v>
      </c>
      <c r="BD2894" s="82" t="s">
        <v>15979</v>
      </c>
      <c r="BE2894" s="77"/>
      <c r="BF2894" s="77"/>
      <c r="BG2894" s="77"/>
      <c r="BH2894" s="77"/>
      <c r="BI2894" s="77"/>
    </row>
    <row r="2895" spans="1:61" x14ac:dyDescent="0.25">
      <c r="A2895" s="62" t="s">
        <v>387</v>
      </c>
      <c r="B2895" s="62" t="s">
        <v>387</v>
      </c>
      <c r="C2895" s="63"/>
      <c r="D2895" s="64"/>
      <c r="E2895" s="65"/>
      <c r="F2895" s="66"/>
      <c r="G2895" s="63"/>
      <c r="H2895" s="67"/>
      <c r="I2895" s="68"/>
      <c r="J2895" s="68"/>
      <c r="K2895" s="32"/>
      <c r="L2895" s="75">
        <v>2895</v>
      </c>
      <c r="M2895" s="75"/>
      <c r="N2895" s="70"/>
      <c r="O2895" s="77" t="s">
        <v>179</v>
      </c>
      <c r="P2895" s="79">
        <v>45142.875011574077</v>
      </c>
      <c r="Q2895" s="77" t="s">
        <v>3567</v>
      </c>
      <c r="R2895" s="77">
        <v>0</v>
      </c>
      <c r="S2895" s="77">
        <v>1</v>
      </c>
      <c r="T2895" s="77">
        <v>0</v>
      </c>
      <c r="U2895" s="77">
        <v>0</v>
      </c>
      <c r="V2895" s="77">
        <v>442</v>
      </c>
      <c r="W2895" s="82" t="s">
        <v>4833</v>
      </c>
      <c r="X2895" s="80" t="str">
        <f>HYPERLINK("https://mla.bs/3ff0c51a")</f>
        <v>https://mla.bs/3ff0c51a</v>
      </c>
      <c r="Y2895" s="77" t="s">
        <v>6506</v>
      </c>
      <c r="Z2895" s="77"/>
      <c r="AA2895" s="77"/>
      <c r="AB2895" s="77"/>
      <c r="AC2895" s="82" t="s">
        <v>7754</v>
      </c>
      <c r="AD2895" s="77" t="s">
        <v>7788</v>
      </c>
      <c r="AE2895" s="80" t="str">
        <f>HYPERLINK("https://twitter.com/einvestidor/status/1687569097738051584")</f>
        <v>https://twitter.com/einvestidor/status/1687569097738051584</v>
      </c>
      <c r="AF2895" s="79">
        <v>45142.875011574077</v>
      </c>
      <c r="AG2895" s="85">
        <v>45142</v>
      </c>
      <c r="AH2895" s="82" t="s">
        <v>7871</v>
      </c>
      <c r="AI2895" s="77" t="b">
        <v>0</v>
      </c>
      <c r="AJ2895" s="77"/>
      <c r="AK2895" s="77"/>
      <c r="AL2895" s="77"/>
      <c r="AM2895" s="77"/>
      <c r="AN2895" s="77"/>
      <c r="AO2895" s="77"/>
      <c r="AP2895" s="77"/>
      <c r="AQ2895" s="77"/>
      <c r="AR2895" s="77"/>
      <c r="AS2895" s="77"/>
      <c r="AT2895" s="77"/>
      <c r="AU2895" s="77"/>
      <c r="AV2895" s="80" t="str">
        <f>HYPERLINK("https://pbs.twimg.com/profile_images/1241147984924082183/gZgx_hL-_normal.jpg")</f>
        <v>https://pbs.twimg.com/profile_images/1241147984924082183/gZgx_hL-_normal.jpg</v>
      </c>
      <c r="AW2895" s="82" t="s">
        <v>14491</v>
      </c>
      <c r="AX2895" s="82" t="s">
        <v>14491</v>
      </c>
      <c r="AY2895" s="77"/>
      <c r="AZ2895" s="82" t="s">
        <v>15984</v>
      </c>
      <c r="BA2895" s="82" t="s">
        <v>15984</v>
      </c>
      <c r="BB2895" s="82" t="s">
        <v>15984</v>
      </c>
      <c r="BC2895" s="82" t="s">
        <v>14491</v>
      </c>
      <c r="BD2895" s="82" t="s">
        <v>15979</v>
      </c>
      <c r="BE2895" s="77"/>
      <c r="BF2895" s="77"/>
      <c r="BG2895" s="77"/>
      <c r="BH2895" s="77"/>
      <c r="BI2895" s="77"/>
    </row>
    <row r="2896" spans="1:61" x14ac:dyDescent="0.25">
      <c r="A2896" s="62" t="s">
        <v>387</v>
      </c>
      <c r="B2896" s="62" t="s">
        <v>387</v>
      </c>
      <c r="C2896" s="63"/>
      <c r="D2896" s="64"/>
      <c r="E2896" s="65"/>
      <c r="F2896" s="66"/>
      <c r="G2896" s="63"/>
      <c r="H2896" s="67"/>
      <c r="I2896" s="68"/>
      <c r="J2896" s="68"/>
      <c r="K2896" s="32"/>
      <c r="L2896" s="75">
        <v>2896</v>
      </c>
      <c r="M2896" s="75"/>
      <c r="N2896" s="70"/>
      <c r="O2896" s="77" t="s">
        <v>179</v>
      </c>
      <c r="P2896" s="79">
        <v>45132.96875</v>
      </c>
      <c r="Q2896" s="77" t="s">
        <v>3568</v>
      </c>
      <c r="R2896" s="77">
        <v>0</v>
      </c>
      <c r="S2896" s="77">
        <v>2</v>
      </c>
      <c r="T2896" s="77">
        <v>0</v>
      </c>
      <c r="U2896" s="77">
        <v>0</v>
      </c>
      <c r="V2896" s="77">
        <v>764</v>
      </c>
      <c r="W2896" s="82" t="s">
        <v>4833</v>
      </c>
      <c r="X2896" s="80" t="str">
        <f>HYPERLINK("https://mla.bs/44edb03b")</f>
        <v>https://mla.bs/44edb03b</v>
      </c>
      <c r="Y2896" s="77" t="s">
        <v>6506</v>
      </c>
      <c r="Z2896" s="77"/>
      <c r="AA2896" s="77"/>
      <c r="AB2896" s="77"/>
      <c r="AC2896" s="82" t="s">
        <v>7754</v>
      </c>
      <c r="AD2896" s="77" t="s">
        <v>7788</v>
      </c>
      <c r="AE2896" s="80" t="str">
        <f>HYPERLINK("https://twitter.com/einvestidor/status/1683979189643345923")</f>
        <v>https://twitter.com/einvestidor/status/1683979189643345923</v>
      </c>
      <c r="AF2896" s="79">
        <v>45132.96875</v>
      </c>
      <c r="AG2896" s="85">
        <v>45132</v>
      </c>
      <c r="AH2896" s="82" t="s">
        <v>9621</v>
      </c>
      <c r="AI2896" s="77" t="b">
        <v>0</v>
      </c>
      <c r="AJ2896" s="77"/>
      <c r="AK2896" s="77"/>
      <c r="AL2896" s="77"/>
      <c r="AM2896" s="77"/>
      <c r="AN2896" s="77"/>
      <c r="AO2896" s="77"/>
      <c r="AP2896" s="77"/>
      <c r="AQ2896" s="77"/>
      <c r="AR2896" s="77"/>
      <c r="AS2896" s="77"/>
      <c r="AT2896" s="77"/>
      <c r="AU2896" s="77"/>
      <c r="AV2896" s="80" t="str">
        <f>HYPERLINK("https://pbs.twimg.com/profile_images/1241147984924082183/gZgx_hL-_normal.jpg")</f>
        <v>https://pbs.twimg.com/profile_images/1241147984924082183/gZgx_hL-_normal.jpg</v>
      </c>
      <c r="AW2896" s="82" t="s">
        <v>14492</v>
      </c>
      <c r="AX2896" s="82" t="s">
        <v>14492</v>
      </c>
      <c r="AY2896" s="77"/>
      <c r="AZ2896" s="82" t="s">
        <v>15984</v>
      </c>
      <c r="BA2896" s="82" t="s">
        <v>15984</v>
      </c>
      <c r="BB2896" s="82" t="s">
        <v>15984</v>
      </c>
      <c r="BC2896" s="82" t="s">
        <v>14492</v>
      </c>
      <c r="BD2896" s="82" t="s">
        <v>15979</v>
      </c>
      <c r="BE2896" s="77"/>
      <c r="BF2896" s="77"/>
      <c r="BG2896" s="77"/>
      <c r="BH2896" s="77"/>
      <c r="BI2896" s="77"/>
    </row>
    <row r="2897" spans="1:61" x14ac:dyDescent="0.25">
      <c r="A2897" s="62" t="s">
        <v>387</v>
      </c>
      <c r="B2897" s="62" t="s">
        <v>387</v>
      </c>
      <c r="C2897" s="63"/>
      <c r="D2897" s="64"/>
      <c r="E2897" s="65"/>
      <c r="F2897" s="66"/>
      <c r="G2897" s="63"/>
      <c r="H2897" s="67"/>
      <c r="I2897" s="68"/>
      <c r="J2897" s="68"/>
      <c r="K2897" s="32"/>
      <c r="L2897" s="75">
        <v>2897</v>
      </c>
      <c r="M2897" s="75"/>
      <c r="N2897" s="70"/>
      <c r="O2897" s="77" t="s">
        <v>179</v>
      </c>
      <c r="P2897" s="79">
        <v>45132.958333333336</v>
      </c>
      <c r="Q2897" s="77" t="s">
        <v>3569</v>
      </c>
      <c r="R2897" s="77">
        <v>0</v>
      </c>
      <c r="S2897" s="77">
        <v>0</v>
      </c>
      <c r="T2897" s="77">
        <v>0</v>
      </c>
      <c r="U2897" s="77">
        <v>0</v>
      </c>
      <c r="V2897" s="77">
        <v>553</v>
      </c>
      <c r="W2897" s="82" t="s">
        <v>4833</v>
      </c>
      <c r="X2897" s="80" t="str">
        <f>HYPERLINK("https://mla.bs/a561c2b2")</f>
        <v>https://mla.bs/a561c2b2</v>
      </c>
      <c r="Y2897" s="77" t="s">
        <v>6506</v>
      </c>
      <c r="Z2897" s="77"/>
      <c r="AA2897" s="77"/>
      <c r="AB2897" s="77"/>
      <c r="AC2897" s="82" t="s">
        <v>7754</v>
      </c>
      <c r="AD2897" s="77" t="s">
        <v>7788</v>
      </c>
      <c r="AE2897" s="80" t="str">
        <f>HYPERLINK("https://twitter.com/einvestidor/status/1683975416934199301")</f>
        <v>https://twitter.com/einvestidor/status/1683975416934199301</v>
      </c>
      <c r="AF2897" s="79">
        <v>45132.958333333336</v>
      </c>
      <c r="AG2897" s="85">
        <v>45132</v>
      </c>
      <c r="AH2897" s="82" t="s">
        <v>8279</v>
      </c>
      <c r="AI2897" s="77" t="b">
        <v>0</v>
      </c>
      <c r="AJ2897" s="77"/>
      <c r="AK2897" s="77"/>
      <c r="AL2897" s="77"/>
      <c r="AM2897" s="77"/>
      <c r="AN2897" s="77"/>
      <c r="AO2897" s="77"/>
      <c r="AP2897" s="77"/>
      <c r="AQ2897" s="77"/>
      <c r="AR2897" s="77"/>
      <c r="AS2897" s="77"/>
      <c r="AT2897" s="77"/>
      <c r="AU2897" s="77"/>
      <c r="AV2897" s="80" t="str">
        <f>HYPERLINK("https://pbs.twimg.com/profile_images/1241147984924082183/gZgx_hL-_normal.jpg")</f>
        <v>https://pbs.twimg.com/profile_images/1241147984924082183/gZgx_hL-_normal.jpg</v>
      </c>
      <c r="AW2897" s="82" t="s">
        <v>14493</v>
      </c>
      <c r="AX2897" s="82" t="s">
        <v>14493</v>
      </c>
      <c r="AY2897" s="77"/>
      <c r="AZ2897" s="82" t="s">
        <v>15984</v>
      </c>
      <c r="BA2897" s="82" t="s">
        <v>15984</v>
      </c>
      <c r="BB2897" s="82" t="s">
        <v>15984</v>
      </c>
      <c r="BC2897" s="82" t="s">
        <v>14493</v>
      </c>
      <c r="BD2897" s="82" t="s">
        <v>15979</v>
      </c>
      <c r="BE2897" s="77"/>
      <c r="BF2897" s="77"/>
      <c r="BG2897" s="77"/>
      <c r="BH2897" s="77"/>
      <c r="BI2897" s="77"/>
    </row>
    <row r="2898" spans="1:61" x14ac:dyDescent="0.25">
      <c r="A2898" s="62" t="s">
        <v>387</v>
      </c>
      <c r="B2898" s="62" t="s">
        <v>387</v>
      </c>
      <c r="C2898" s="63"/>
      <c r="D2898" s="64"/>
      <c r="E2898" s="65"/>
      <c r="F2898" s="66"/>
      <c r="G2898" s="63"/>
      <c r="H2898" s="67"/>
      <c r="I2898" s="68"/>
      <c r="J2898" s="68"/>
      <c r="K2898" s="32"/>
      <c r="L2898" s="75">
        <v>2898</v>
      </c>
      <c r="M2898" s="75"/>
      <c r="N2898" s="70"/>
      <c r="O2898" s="77" t="s">
        <v>179</v>
      </c>
      <c r="P2898" s="79">
        <v>45132.947916666664</v>
      </c>
      <c r="Q2898" s="77" t="s">
        <v>3570</v>
      </c>
      <c r="R2898" s="77">
        <v>1</v>
      </c>
      <c r="S2898" s="77">
        <v>1</v>
      </c>
      <c r="T2898" s="77">
        <v>0</v>
      </c>
      <c r="U2898" s="77">
        <v>0</v>
      </c>
      <c r="V2898" s="77">
        <v>623</v>
      </c>
      <c r="W2898" s="82" t="s">
        <v>4833</v>
      </c>
      <c r="X2898" s="80" t="str">
        <f>HYPERLINK("https://mla.bs/38d13f07")</f>
        <v>https://mla.bs/38d13f07</v>
      </c>
      <c r="Y2898" s="77" t="s">
        <v>6506</v>
      </c>
      <c r="Z2898" s="77"/>
      <c r="AA2898" s="77"/>
      <c r="AB2898" s="77"/>
      <c r="AC2898" s="82" t="s">
        <v>7754</v>
      </c>
      <c r="AD2898" s="77" t="s">
        <v>7788</v>
      </c>
      <c r="AE2898" s="80" t="str">
        <f>HYPERLINK("https://twitter.com/einvestidor/status/1683971639862784000")</f>
        <v>https://twitter.com/einvestidor/status/1683971639862784000</v>
      </c>
      <c r="AF2898" s="79">
        <v>45132.947916666664</v>
      </c>
      <c r="AG2898" s="85">
        <v>45132</v>
      </c>
      <c r="AH2898" s="82" t="s">
        <v>9595</v>
      </c>
      <c r="AI2898" s="77" t="b">
        <v>0</v>
      </c>
      <c r="AJ2898" s="77"/>
      <c r="AK2898" s="77"/>
      <c r="AL2898" s="77"/>
      <c r="AM2898" s="77"/>
      <c r="AN2898" s="77"/>
      <c r="AO2898" s="77"/>
      <c r="AP2898" s="77"/>
      <c r="AQ2898" s="77"/>
      <c r="AR2898" s="77"/>
      <c r="AS2898" s="77"/>
      <c r="AT2898" s="77"/>
      <c r="AU2898" s="77"/>
      <c r="AV2898" s="80" t="str">
        <f>HYPERLINK("https://pbs.twimg.com/profile_images/1241147984924082183/gZgx_hL-_normal.jpg")</f>
        <v>https://pbs.twimg.com/profile_images/1241147984924082183/gZgx_hL-_normal.jpg</v>
      </c>
      <c r="AW2898" s="82" t="s">
        <v>14494</v>
      </c>
      <c r="AX2898" s="82" t="s">
        <v>14494</v>
      </c>
      <c r="AY2898" s="77"/>
      <c r="AZ2898" s="82" t="s">
        <v>15984</v>
      </c>
      <c r="BA2898" s="82" t="s">
        <v>15984</v>
      </c>
      <c r="BB2898" s="82" t="s">
        <v>15984</v>
      </c>
      <c r="BC2898" s="82" t="s">
        <v>14494</v>
      </c>
      <c r="BD2898" s="82" t="s">
        <v>15979</v>
      </c>
      <c r="BE2898" s="77"/>
      <c r="BF2898" s="77"/>
      <c r="BG2898" s="77"/>
      <c r="BH2898" s="77"/>
      <c r="BI2898" s="77"/>
    </row>
    <row r="2899" spans="1:61" x14ac:dyDescent="0.25">
      <c r="A2899" s="62" t="s">
        <v>387</v>
      </c>
      <c r="B2899" s="62" t="s">
        <v>387</v>
      </c>
      <c r="C2899" s="63"/>
      <c r="D2899" s="64"/>
      <c r="E2899" s="65"/>
      <c r="F2899" s="66"/>
      <c r="G2899" s="63"/>
      <c r="H2899" s="67"/>
      <c r="I2899" s="68"/>
      <c r="J2899" s="68"/>
      <c r="K2899" s="32"/>
      <c r="L2899" s="75">
        <v>2899</v>
      </c>
      <c r="M2899" s="75"/>
      <c r="N2899" s="70"/>
      <c r="O2899" s="77" t="s">
        <v>179</v>
      </c>
      <c r="P2899" s="79">
        <v>45132.9375</v>
      </c>
      <c r="Q2899" s="77" t="s">
        <v>3571</v>
      </c>
      <c r="R2899" s="77">
        <v>0</v>
      </c>
      <c r="S2899" s="77">
        <v>0</v>
      </c>
      <c r="T2899" s="77">
        <v>0</v>
      </c>
      <c r="U2899" s="77">
        <v>0</v>
      </c>
      <c r="V2899" s="77">
        <v>610</v>
      </c>
      <c r="W2899" s="82" t="s">
        <v>4833</v>
      </c>
      <c r="X2899" s="80" t="str">
        <f>HYPERLINK("https://mla.bs/1856d3b4")</f>
        <v>https://mla.bs/1856d3b4</v>
      </c>
      <c r="Y2899" s="77" t="s">
        <v>6506</v>
      </c>
      <c r="Z2899" s="77"/>
      <c r="AA2899" s="77"/>
      <c r="AB2899" s="77"/>
      <c r="AC2899" s="82" t="s">
        <v>7754</v>
      </c>
      <c r="AD2899" s="77" t="s">
        <v>7788</v>
      </c>
      <c r="AE2899" s="80" t="str">
        <f>HYPERLINK("https://twitter.com/einvestidor/status/1683967867962662916")</f>
        <v>https://twitter.com/einvestidor/status/1683967867962662916</v>
      </c>
      <c r="AF2899" s="79">
        <v>45132.9375</v>
      </c>
      <c r="AG2899" s="85">
        <v>45132</v>
      </c>
      <c r="AH2899" s="82" t="s">
        <v>7926</v>
      </c>
      <c r="AI2899" s="77" t="b">
        <v>0</v>
      </c>
      <c r="AJ2899" s="77"/>
      <c r="AK2899" s="77"/>
      <c r="AL2899" s="77"/>
      <c r="AM2899" s="77"/>
      <c r="AN2899" s="77"/>
      <c r="AO2899" s="77"/>
      <c r="AP2899" s="77"/>
      <c r="AQ2899" s="77"/>
      <c r="AR2899" s="77"/>
      <c r="AS2899" s="77"/>
      <c r="AT2899" s="77"/>
      <c r="AU2899" s="77"/>
      <c r="AV2899" s="80" t="str">
        <f>HYPERLINK("https://pbs.twimg.com/profile_images/1241147984924082183/gZgx_hL-_normal.jpg")</f>
        <v>https://pbs.twimg.com/profile_images/1241147984924082183/gZgx_hL-_normal.jpg</v>
      </c>
      <c r="AW2899" s="82" t="s">
        <v>14495</v>
      </c>
      <c r="AX2899" s="82" t="s">
        <v>14495</v>
      </c>
      <c r="AY2899" s="77"/>
      <c r="AZ2899" s="82" t="s">
        <v>15984</v>
      </c>
      <c r="BA2899" s="82" t="s">
        <v>15984</v>
      </c>
      <c r="BB2899" s="82" t="s">
        <v>15984</v>
      </c>
      <c r="BC2899" s="82" t="s">
        <v>14495</v>
      </c>
      <c r="BD2899" s="82" t="s">
        <v>15979</v>
      </c>
      <c r="BE2899" s="77"/>
      <c r="BF2899" s="77"/>
      <c r="BG2899" s="77"/>
      <c r="BH2899" s="77"/>
      <c r="BI2899" s="77"/>
    </row>
    <row r="2900" spans="1:61" x14ac:dyDescent="0.25">
      <c r="A2900" s="62" t="s">
        <v>387</v>
      </c>
      <c r="B2900" s="62" t="s">
        <v>387</v>
      </c>
      <c r="C2900" s="63"/>
      <c r="D2900" s="64"/>
      <c r="E2900" s="65"/>
      <c r="F2900" s="66"/>
      <c r="G2900" s="63"/>
      <c r="H2900" s="67"/>
      <c r="I2900" s="68"/>
      <c r="J2900" s="68"/>
      <c r="K2900" s="32"/>
      <c r="L2900" s="75">
        <v>2900</v>
      </c>
      <c r="M2900" s="75"/>
      <c r="N2900" s="70"/>
      <c r="O2900" s="77" t="s">
        <v>179</v>
      </c>
      <c r="P2900" s="79">
        <v>45132.927083333336</v>
      </c>
      <c r="Q2900" s="77" t="s">
        <v>3572</v>
      </c>
      <c r="R2900" s="77">
        <v>0</v>
      </c>
      <c r="S2900" s="77">
        <v>2</v>
      </c>
      <c r="T2900" s="77">
        <v>0</v>
      </c>
      <c r="U2900" s="77">
        <v>0</v>
      </c>
      <c r="V2900" s="77">
        <v>745</v>
      </c>
      <c r="W2900" s="82" t="s">
        <v>4833</v>
      </c>
      <c r="X2900" s="80" t="str">
        <f>HYPERLINK("https://mla.bs/185ce4e2")</f>
        <v>https://mla.bs/185ce4e2</v>
      </c>
      <c r="Y2900" s="77" t="s">
        <v>6506</v>
      </c>
      <c r="Z2900" s="77"/>
      <c r="AA2900" s="77"/>
      <c r="AB2900" s="77"/>
      <c r="AC2900" s="82" t="s">
        <v>7754</v>
      </c>
      <c r="AD2900" s="77" t="s">
        <v>7788</v>
      </c>
      <c r="AE2900" s="80" t="str">
        <f>HYPERLINK("https://twitter.com/einvestidor/status/1683964090442555393")</f>
        <v>https://twitter.com/einvestidor/status/1683964090442555393</v>
      </c>
      <c r="AF2900" s="79">
        <v>45132.927083333336</v>
      </c>
      <c r="AG2900" s="85">
        <v>45132</v>
      </c>
      <c r="AH2900" s="82" t="s">
        <v>9576</v>
      </c>
      <c r="AI2900" s="77" t="b">
        <v>0</v>
      </c>
      <c r="AJ2900" s="77"/>
      <c r="AK2900" s="77"/>
      <c r="AL2900" s="77"/>
      <c r="AM2900" s="77"/>
      <c r="AN2900" s="77"/>
      <c r="AO2900" s="77"/>
      <c r="AP2900" s="77"/>
      <c r="AQ2900" s="77"/>
      <c r="AR2900" s="77"/>
      <c r="AS2900" s="77"/>
      <c r="AT2900" s="77"/>
      <c r="AU2900" s="77"/>
      <c r="AV2900" s="80" t="str">
        <f>HYPERLINK("https://pbs.twimg.com/profile_images/1241147984924082183/gZgx_hL-_normal.jpg")</f>
        <v>https://pbs.twimg.com/profile_images/1241147984924082183/gZgx_hL-_normal.jpg</v>
      </c>
      <c r="AW2900" s="82" t="s">
        <v>14496</v>
      </c>
      <c r="AX2900" s="82" t="s">
        <v>14496</v>
      </c>
      <c r="AY2900" s="77"/>
      <c r="AZ2900" s="82" t="s">
        <v>15984</v>
      </c>
      <c r="BA2900" s="82" t="s">
        <v>15984</v>
      </c>
      <c r="BB2900" s="82" t="s">
        <v>15984</v>
      </c>
      <c r="BC2900" s="82" t="s">
        <v>14496</v>
      </c>
      <c r="BD2900" s="82" t="s">
        <v>15979</v>
      </c>
      <c r="BE2900" s="77"/>
      <c r="BF2900" s="77"/>
      <c r="BG2900" s="77"/>
      <c r="BH2900" s="77"/>
      <c r="BI2900" s="77"/>
    </row>
    <row r="2901" spans="1:61" x14ac:dyDescent="0.25">
      <c r="A2901" s="62" t="s">
        <v>387</v>
      </c>
      <c r="B2901" s="62" t="s">
        <v>387</v>
      </c>
      <c r="C2901" s="63"/>
      <c r="D2901" s="64"/>
      <c r="E2901" s="65"/>
      <c r="F2901" s="66"/>
      <c r="G2901" s="63"/>
      <c r="H2901" s="67"/>
      <c r="I2901" s="68"/>
      <c r="J2901" s="68"/>
      <c r="K2901" s="32"/>
      <c r="L2901" s="75">
        <v>2901</v>
      </c>
      <c r="M2901" s="75"/>
      <c r="N2901" s="70"/>
      <c r="O2901" s="77" t="s">
        <v>179</v>
      </c>
      <c r="P2901" s="79">
        <v>45132.927083333336</v>
      </c>
      <c r="Q2901" s="77" t="s">
        <v>3573</v>
      </c>
      <c r="R2901" s="77">
        <v>0</v>
      </c>
      <c r="S2901" s="77">
        <v>0</v>
      </c>
      <c r="T2901" s="77">
        <v>0</v>
      </c>
      <c r="U2901" s="77">
        <v>0</v>
      </c>
      <c r="V2901" s="77">
        <v>548</v>
      </c>
      <c r="W2901" s="82" t="s">
        <v>6145</v>
      </c>
      <c r="X2901" s="80" t="str">
        <f>HYPERLINK("https://mla.bs/d435b5bf")</f>
        <v>https://mla.bs/d435b5bf</v>
      </c>
      <c r="Y2901" s="77" t="s">
        <v>6506</v>
      </c>
      <c r="Z2901" s="77"/>
      <c r="AA2901" s="77"/>
      <c r="AB2901" s="77"/>
      <c r="AC2901" s="82" t="s">
        <v>7754</v>
      </c>
      <c r="AD2901" s="77" t="s">
        <v>7788</v>
      </c>
      <c r="AE2901" s="80" t="str">
        <f>HYPERLINK("https://twitter.com/einvestidor/status/1683964089838469121")</f>
        <v>https://twitter.com/einvestidor/status/1683964089838469121</v>
      </c>
      <c r="AF2901" s="79">
        <v>45132.927083333336</v>
      </c>
      <c r="AG2901" s="85">
        <v>45132</v>
      </c>
      <c r="AH2901" s="82" t="s">
        <v>9576</v>
      </c>
      <c r="AI2901" s="77" t="b">
        <v>0</v>
      </c>
      <c r="AJ2901" s="77"/>
      <c r="AK2901" s="77"/>
      <c r="AL2901" s="77"/>
      <c r="AM2901" s="77"/>
      <c r="AN2901" s="77"/>
      <c r="AO2901" s="77"/>
      <c r="AP2901" s="77"/>
      <c r="AQ2901" s="77"/>
      <c r="AR2901" s="77"/>
      <c r="AS2901" s="77"/>
      <c r="AT2901" s="77"/>
      <c r="AU2901" s="77"/>
      <c r="AV2901" s="80" t="str">
        <f>HYPERLINK("https://pbs.twimg.com/profile_images/1241147984924082183/gZgx_hL-_normal.jpg")</f>
        <v>https://pbs.twimg.com/profile_images/1241147984924082183/gZgx_hL-_normal.jpg</v>
      </c>
      <c r="AW2901" s="82" t="s">
        <v>14497</v>
      </c>
      <c r="AX2901" s="82" t="s">
        <v>14497</v>
      </c>
      <c r="AY2901" s="77"/>
      <c r="AZ2901" s="82" t="s">
        <v>15984</v>
      </c>
      <c r="BA2901" s="82" t="s">
        <v>15984</v>
      </c>
      <c r="BB2901" s="82" t="s">
        <v>15984</v>
      </c>
      <c r="BC2901" s="82" t="s">
        <v>14497</v>
      </c>
      <c r="BD2901" s="82" t="s">
        <v>15979</v>
      </c>
      <c r="BE2901" s="77"/>
      <c r="BF2901" s="77"/>
      <c r="BG2901" s="77"/>
      <c r="BH2901" s="77"/>
      <c r="BI2901" s="77"/>
    </row>
    <row r="2902" spans="1:61" x14ac:dyDescent="0.25">
      <c r="A2902" s="62" t="s">
        <v>387</v>
      </c>
      <c r="B2902" s="62" t="s">
        <v>387</v>
      </c>
      <c r="C2902" s="63"/>
      <c r="D2902" s="64"/>
      <c r="E2902" s="65"/>
      <c r="F2902" s="66"/>
      <c r="G2902" s="63"/>
      <c r="H2902" s="67"/>
      <c r="I2902" s="68"/>
      <c r="J2902" s="68"/>
      <c r="K2902" s="32"/>
      <c r="L2902" s="75">
        <v>2902</v>
      </c>
      <c r="M2902" s="75"/>
      <c r="N2902" s="70"/>
      <c r="O2902" s="77" t="s">
        <v>179</v>
      </c>
      <c r="P2902" s="79">
        <v>45132.916678240741</v>
      </c>
      <c r="Q2902" s="77" t="s">
        <v>3574</v>
      </c>
      <c r="R2902" s="77">
        <v>0</v>
      </c>
      <c r="S2902" s="77">
        <v>0</v>
      </c>
      <c r="T2902" s="77">
        <v>0</v>
      </c>
      <c r="U2902" s="77">
        <v>0</v>
      </c>
      <c r="V2902" s="77">
        <v>531</v>
      </c>
      <c r="W2902" s="82" t="s">
        <v>4833</v>
      </c>
      <c r="X2902" s="80" t="str">
        <f>HYPERLINK("https://mla.bs/32365519")</f>
        <v>https://mla.bs/32365519</v>
      </c>
      <c r="Y2902" s="77" t="s">
        <v>6506</v>
      </c>
      <c r="Z2902" s="77"/>
      <c r="AA2902" s="77"/>
      <c r="AB2902" s="77"/>
      <c r="AC2902" s="82" t="s">
        <v>7754</v>
      </c>
      <c r="AD2902" s="77" t="s">
        <v>7788</v>
      </c>
      <c r="AE2902" s="80" t="str">
        <f>HYPERLINK("https://twitter.com/einvestidor/status/1683960321000771584")</f>
        <v>https://twitter.com/einvestidor/status/1683960321000771584</v>
      </c>
      <c r="AF2902" s="79">
        <v>45132.916678240741</v>
      </c>
      <c r="AG2902" s="85">
        <v>45132</v>
      </c>
      <c r="AH2902" s="82" t="s">
        <v>8052</v>
      </c>
      <c r="AI2902" s="77" t="b">
        <v>0</v>
      </c>
      <c r="AJ2902" s="77"/>
      <c r="AK2902" s="77"/>
      <c r="AL2902" s="77"/>
      <c r="AM2902" s="77"/>
      <c r="AN2902" s="77"/>
      <c r="AO2902" s="77"/>
      <c r="AP2902" s="77"/>
      <c r="AQ2902" s="77"/>
      <c r="AR2902" s="77"/>
      <c r="AS2902" s="77"/>
      <c r="AT2902" s="77"/>
      <c r="AU2902" s="77"/>
      <c r="AV2902" s="80" t="str">
        <f>HYPERLINK("https://pbs.twimg.com/profile_images/1241147984924082183/gZgx_hL-_normal.jpg")</f>
        <v>https://pbs.twimg.com/profile_images/1241147984924082183/gZgx_hL-_normal.jpg</v>
      </c>
      <c r="AW2902" s="82" t="s">
        <v>14498</v>
      </c>
      <c r="AX2902" s="82" t="s">
        <v>14498</v>
      </c>
      <c r="AY2902" s="77"/>
      <c r="AZ2902" s="82" t="s">
        <v>15984</v>
      </c>
      <c r="BA2902" s="82" t="s">
        <v>15984</v>
      </c>
      <c r="BB2902" s="82" t="s">
        <v>15984</v>
      </c>
      <c r="BC2902" s="82" t="s">
        <v>14498</v>
      </c>
      <c r="BD2902" s="82" t="s">
        <v>15979</v>
      </c>
      <c r="BE2902" s="77"/>
      <c r="BF2902" s="77"/>
      <c r="BG2902" s="77"/>
      <c r="BH2902" s="77"/>
      <c r="BI2902" s="77"/>
    </row>
    <row r="2903" spans="1:61" x14ac:dyDescent="0.25">
      <c r="A2903" s="62" t="s">
        <v>387</v>
      </c>
      <c r="B2903" s="62" t="s">
        <v>387</v>
      </c>
      <c r="C2903" s="63"/>
      <c r="D2903" s="64"/>
      <c r="E2903" s="65"/>
      <c r="F2903" s="66"/>
      <c r="G2903" s="63"/>
      <c r="H2903" s="67"/>
      <c r="I2903" s="68"/>
      <c r="J2903" s="68"/>
      <c r="K2903" s="32"/>
      <c r="L2903" s="75">
        <v>2903</v>
      </c>
      <c r="M2903" s="75"/>
      <c r="N2903" s="70"/>
      <c r="O2903" s="77" t="s">
        <v>179</v>
      </c>
      <c r="P2903" s="79">
        <v>45132.90625</v>
      </c>
      <c r="Q2903" s="77" t="s">
        <v>3575</v>
      </c>
      <c r="R2903" s="77">
        <v>0</v>
      </c>
      <c r="S2903" s="77">
        <v>0</v>
      </c>
      <c r="T2903" s="77">
        <v>0</v>
      </c>
      <c r="U2903" s="77">
        <v>0</v>
      </c>
      <c r="V2903" s="77">
        <v>643</v>
      </c>
      <c r="W2903" s="82" t="s">
        <v>4833</v>
      </c>
      <c r="X2903" s="80" t="str">
        <f>HYPERLINK("https://mla.bs/88cee22c")</f>
        <v>https://mla.bs/88cee22c</v>
      </c>
      <c r="Y2903" s="77" t="s">
        <v>6506</v>
      </c>
      <c r="Z2903" s="77"/>
      <c r="AA2903" s="77"/>
      <c r="AB2903" s="77"/>
      <c r="AC2903" s="82" t="s">
        <v>7754</v>
      </c>
      <c r="AD2903" s="77" t="s">
        <v>7788</v>
      </c>
      <c r="AE2903" s="80" t="str">
        <f>HYPERLINK("https://twitter.com/einvestidor/status/1683956540422909953")</f>
        <v>https://twitter.com/einvestidor/status/1683956540422909953</v>
      </c>
      <c r="AF2903" s="79">
        <v>45132.90625</v>
      </c>
      <c r="AG2903" s="85">
        <v>45132</v>
      </c>
      <c r="AH2903" s="82" t="s">
        <v>9578</v>
      </c>
      <c r="AI2903" s="77" t="b">
        <v>0</v>
      </c>
      <c r="AJ2903" s="77"/>
      <c r="AK2903" s="77"/>
      <c r="AL2903" s="77"/>
      <c r="AM2903" s="77"/>
      <c r="AN2903" s="77"/>
      <c r="AO2903" s="77"/>
      <c r="AP2903" s="77"/>
      <c r="AQ2903" s="77"/>
      <c r="AR2903" s="77"/>
      <c r="AS2903" s="77"/>
      <c r="AT2903" s="77"/>
      <c r="AU2903" s="77"/>
      <c r="AV2903" s="80" t="str">
        <f>HYPERLINK("https://pbs.twimg.com/profile_images/1241147984924082183/gZgx_hL-_normal.jpg")</f>
        <v>https://pbs.twimg.com/profile_images/1241147984924082183/gZgx_hL-_normal.jpg</v>
      </c>
      <c r="AW2903" s="82" t="s">
        <v>14499</v>
      </c>
      <c r="AX2903" s="82" t="s">
        <v>14499</v>
      </c>
      <c r="AY2903" s="77"/>
      <c r="AZ2903" s="82" t="s">
        <v>15984</v>
      </c>
      <c r="BA2903" s="82" t="s">
        <v>15984</v>
      </c>
      <c r="BB2903" s="82" t="s">
        <v>15984</v>
      </c>
      <c r="BC2903" s="82" t="s">
        <v>14499</v>
      </c>
      <c r="BD2903" s="82" t="s">
        <v>15979</v>
      </c>
      <c r="BE2903" s="77"/>
      <c r="BF2903" s="77"/>
      <c r="BG2903" s="77"/>
      <c r="BH2903" s="77"/>
      <c r="BI2903" s="77"/>
    </row>
    <row r="2904" spans="1:61" x14ac:dyDescent="0.25">
      <c r="A2904" s="62" t="s">
        <v>387</v>
      </c>
      <c r="B2904" s="62" t="s">
        <v>387</v>
      </c>
      <c r="C2904" s="63"/>
      <c r="D2904" s="64"/>
      <c r="E2904" s="65"/>
      <c r="F2904" s="66"/>
      <c r="G2904" s="63"/>
      <c r="H2904" s="67"/>
      <c r="I2904" s="68"/>
      <c r="J2904" s="68"/>
      <c r="K2904" s="32"/>
      <c r="L2904" s="75">
        <v>2904</v>
      </c>
      <c r="M2904" s="75"/>
      <c r="N2904" s="70"/>
      <c r="O2904" s="77" t="s">
        <v>179</v>
      </c>
      <c r="P2904" s="79">
        <v>45132.899409722224</v>
      </c>
      <c r="Q2904" s="77" t="s">
        <v>3576</v>
      </c>
      <c r="R2904" s="77">
        <v>0</v>
      </c>
      <c r="S2904" s="77">
        <v>2</v>
      </c>
      <c r="T2904" s="77">
        <v>0</v>
      </c>
      <c r="U2904" s="77">
        <v>0</v>
      </c>
      <c r="V2904" s="77">
        <v>593</v>
      </c>
      <c r="W2904" s="82" t="s">
        <v>4833</v>
      </c>
      <c r="X2904" s="80" t="str">
        <f>HYPERLINK("https://mla.bs/e5bb5f5f")</f>
        <v>https://mla.bs/e5bb5f5f</v>
      </c>
      <c r="Y2904" s="77" t="s">
        <v>6506</v>
      </c>
      <c r="Z2904" s="77"/>
      <c r="AA2904" s="77"/>
      <c r="AB2904" s="77"/>
      <c r="AC2904" s="82" t="s">
        <v>7754</v>
      </c>
      <c r="AD2904" s="77" t="s">
        <v>7788</v>
      </c>
      <c r="AE2904" s="80" t="str">
        <f>HYPERLINK("https://twitter.com/einvestidor/status/1683954063564496900")</f>
        <v>https://twitter.com/einvestidor/status/1683954063564496900</v>
      </c>
      <c r="AF2904" s="79">
        <v>45132.899409722224</v>
      </c>
      <c r="AG2904" s="85">
        <v>45132</v>
      </c>
      <c r="AH2904" s="82" t="s">
        <v>9866</v>
      </c>
      <c r="AI2904" s="77" t="b">
        <v>0</v>
      </c>
      <c r="AJ2904" s="77"/>
      <c r="AK2904" s="77"/>
      <c r="AL2904" s="77"/>
      <c r="AM2904" s="77"/>
      <c r="AN2904" s="77"/>
      <c r="AO2904" s="77"/>
      <c r="AP2904" s="77"/>
      <c r="AQ2904" s="77"/>
      <c r="AR2904" s="77"/>
      <c r="AS2904" s="77"/>
      <c r="AT2904" s="77"/>
      <c r="AU2904" s="77"/>
      <c r="AV2904" s="80" t="str">
        <f>HYPERLINK("https://pbs.twimg.com/profile_images/1241147984924082183/gZgx_hL-_normal.jpg")</f>
        <v>https://pbs.twimg.com/profile_images/1241147984924082183/gZgx_hL-_normal.jpg</v>
      </c>
      <c r="AW2904" s="82" t="s">
        <v>14500</v>
      </c>
      <c r="AX2904" s="82" t="s">
        <v>14500</v>
      </c>
      <c r="AY2904" s="77"/>
      <c r="AZ2904" s="82" t="s">
        <v>15984</v>
      </c>
      <c r="BA2904" s="82" t="s">
        <v>15984</v>
      </c>
      <c r="BB2904" s="82" t="s">
        <v>15984</v>
      </c>
      <c r="BC2904" s="82" t="s">
        <v>14500</v>
      </c>
      <c r="BD2904" s="82" t="s">
        <v>15979</v>
      </c>
      <c r="BE2904" s="77"/>
      <c r="BF2904" s="77"/>
      <c r="BG2904" s="77"/>
      <c r="BH2904" s="77"/>
      <c r="BI2904" s="77"/>
    </row>
    <row r="2905" spans="1:61" x14ac:dyDescent="0.25">
      <c r="A2905" s="62" t="s">
        <v>387</v>
      </c>
      <c r="B2905" s="62" t="s">
        <v>387</v>
      </c>
      <c r="C2905" s="63"/>
      <c r="D2905" s="64"/>
      <c r="E2905" s="65"/>
      <c r="F2905" s="66"/>
      <c r="G2905" s="63"/>
      <c r="H2905" s="67"/>
      <c r="I2905" s="68"/>
      <c r="J2905" s="68"/>
      <c r="K2905" s="32"/>
      <c r="L2905" s="75">
        <v>2905</v>
      </c>
      <c r="M2905" s="75"/>
      <c r="N2905" s="70"/>
      <c r="O2905" s="77" t="s">
        <v>179</v>
      </c>
      <c r="P2905" s="79">
        <v>45132.897430555553</v>
      </c>
      <c r="Q2905" s="77" t="s">
        <v>3577</v>
      </c>
      <c r="R2905" s="77">
        <v>0</v>
      </c>
      <c r="S2905" s="77">
        <v>0</v>
      </c>
      <c r="T2905" s="77">
        <v>0</v>
      </c>
      <c r="U2905" s="77">
        <v>0</v>
      </c>
      <c r="V2905" s="77">
        <v>656</v>
      </c>
      <c r="W2905" s="82" t="s">
        <v>6146</v>
      </c>
      <c r="X2905" s="80" t="str">
        <f>HYPERLINK("https://mla.bs/f5a034a9")</f>
        <v>https://mla.bs/f5a034a9</v>
      </c>
      <c r="Y2905" s="77" t="s">
        <v>6506</v>
      </c>
      <c r="Z2905" s="77"/>
      <c r="AA2905" s="77"/>
      <c r="AB2905" s="77"/>
      <c r="AC2905" s="82" t="s">
        <v>7754</v>
      </c>
      <c r="AD2905" s="77" t="s">
        <v>7788</v>
      </c>
      <c r="AE2905" s="80" t="str">
        <f>HYPERLINK("https://twitter.com/einvestidor/status/1683953344421982212")</f>
        <v>https://twitter.com/einvestidor/status/1683953344421982212</v>
      </c>
      <c r="AF2905" s="79">
        <v>45132.897430555553</v>
      </c>
      <c r="AG2905" s="85">
        <v>45132</v>
      </c>
      <c r="AH2905" s="82" t="s">
        <v>9867</v>
      </c>
      <c r="AI2905" s="77" t="b">
        <v>0</v>
      </c>
      <c r="AJ2905" s="77"/>
      <c r="AK2905" s="77"/>
      <c r="AL2905" s="77"/>
      <c r="AM2905" s="77"/>
      <c r="AN2905" s="77"/>
      <c r="AO2905" s="77"/>
      <c r="AP2905" s="77"/>
      <c r="AQ2905" s="77"/>
      <c r="AR2905" s="77"/>
      <c r="AS2905" s="77"/>
      <c r="AT2905" s="77"/>
      <c r="AU2905" s="77"/>
      <c r="AV2905" s="80" t="str">
        <f>HYPERLINK("https://pbs.twimg.com/profile_images/1241147984924082183/gZgx_hL-_normal.jpg")</f>
        <v>https://pbs.twimg.com/profile_images/1241147984924082183/gZgx_hL-_normal.jpg</v>
      </c>
      <c r="AW2905" s="82" t="s">
        <v>14501</v>
      </c>
      <c r="AX2905" s="82" t="s">
        <v>14501</v>
      </c>
      <c r="AY2905" s="77"/>
      <c r="AZ2905" s="82" t="s">
        <v>15984</v>
      </c>
      <c r="BA2905" s="82" t="s">
        <v>15984</v>
      </c>
      <c r="BB2905" s="82" t="s">
        <v>15984</v>
      </c>
      <c r="BC2905" s="82" t="s">
        <v>14501</v>
      </c>
      <c r="BD2905" s="82" t="s">
        <v>15979</v>
      </c>
      <c r="BE2905" s="77"/>
      <c r="BF2905" s="77"/>
      <c r="BG2905" s="77"/>
      <c r="BH2905" s="77"/>
      <c r="BI2905" s="77"/>
    </row>
    <row r="2906" spans="1:61" x14ac:dyDescent="0.25">
      <c r="A2906" s="62" t="s">
        <v>387</v>
      </c>
      <c r="B2906" s="62" t="s">
        <v>387</v>
      </c>
      <c r="C2906" s="63"/>
      <c r="D2906" s="64"/>
      <c r="E2906" s="65"/>
      <c r="F2906" s="66"/>
      <c r="G2906" s="63"/>
      <c r="H2906" s="67"/>
      <c r="I2906" s="68"/>
      <c r="J2906" s="68"/>
      <c r="K2906" s="32"/>
      <c r="L2906" s="75">
        <v>2906</v>
      </c>
      <c r="M2906" s="75"/>
      <c r="N2906" s="70"/>
      <c r="O2906" s="77" t="s">
        <v>179</v>
      </c>
      <c r="P2906" s="79">
        <v>45132.896631944444</v>
      </c>
      <c r="Q2906" s="77" t="s">
        <v>3578</v>
      </c>
      <c r="R2906" s="77">
        <v>0</v>
      </c>
      <c r="S2906" s="77">
        <v>1</v>
      </c>
      <c r="T2906" s="77">
        <v>0</v>
      </c>
      <c r="U2906" s="77">
        <v>0</v>
      </c>
      <c r="V2906" s="77">
        <v>663</v>
      </c>
      <c r="W2906" s="82" t="s">
        <v>6147</v>
      </c>
      <c r="X2906" s="80" t="str">
        <f>HYPERLINK("https://mla.bs/4c2f19f7")</f>
        <v>https://mla.bs/4c2f19f7</v>
      </c>
      <c r="Y2906" s="77" t="s">
        <v>6506</v>
      </c>
      <c r="Z2906" s="77"/>
      <c r="AA2906" s="77"/>
      <c r="AB2906" s="77"/>
      <c r="AC2906" s="82" t="s">
        <v>7754</v>
      </c>
      <c r="AD2906" s="77" t="s">
        <v>7788</v>
      </c>
      <c r="AE2906" s="80" t="str">
        <f>HYPERLINK("https://twitter.com/einvestidor/status/1683953057866850305")</f>
        <v>https://twitter.com/einvestidor/status/1683953057866850305</v>
      </c>
      <c r="AF2906" s="79">
        <v>45132.896631944444</v>
      </c>
      <c r="AG2906" s="85">
        <v>45132</v>
      </c>
      <c r="AH2906" s="82" t="s">
        <v>9868</v>
      </c>
      <c r="AI2906" s="77" t="b">
        <v>0</v>
      </c>
      <c r="AJ2906" s="77"/>
      <c r="AK2906" s="77"/>
      <c r="AL2906" s="77"/>
      <c r="AM2906" s="77"/>
      <c r="AN2906" s="77"/>
      <c r="AO2906" s="77"/>
      <c r="AP2906" s="77"/>
      <c r="AQ2906" s="77"/>
      <c r="AR2906" s="77"/>
      <c r="AS2906" s="77"/>
      <c r="AT2906" s="77"/>
      <c r="AU2906" s="77"/>
      <c r="AV2906" s="80" t="str">
        <f>HYPERLINK("https://pbs.twimg.com/profile_images/1241147984924082183/gZgx_hL-_normal.jpg")</f>
        <v>https://pbs.twimg.com/profile_images/1241147984924082183/gZgx_hL-_normal.jpg</v>
      </c>
      <c r="AW2906" s="82" t="s">
        <v>14502</v>
      </c>
      <c r="AX2906" s="82" t="s">
        <v>14502</v>
      </c>
      <c r="AY2906" s="77"/>
      <c r="AZ2906" s="82" t="s">
        <v>15984</v>
      </c>
      <c r="BA2906" s="82" t="s">
        <v>15984</v>
      </c>
      <c r="BB2906" s="82" t="s">
        <v>15984</v>
      </c>
      <c r="BC2906" s="82" t="s">
        <v>14502</v>
      </c>
      <c r="BD2906" s="82" t="s">
        <v>15979</v>
      </c>
      <c r="BE2906" s="77"/>
      <c r="BF2906" s="77"/>
      <c r="BG2906" s="77"/>
      <c r="BH2906" s="77"/>
      <c r="BI2906" s="77"/>
    </row>
    <row r="2907" spans="1:61" x14ac:dyDescent="0.25">
      <c r="A2907" s="62" t="s">
        <v>387</v>
      </c>
      <c r="B2907" s="62" t="s">
        <v>387</v>
      </c>
      <c r="C2907" s="63"/>
      <c r="D2907" s="64"/>
      <c r="E2907" s="65"/>
      <c r="F2907" s="66"/>
      <c r="G2907" s="63"/>
      <c r="H2907" s="67"/>
      <c r="I2907" s="68"/>
      <c r="J2907" s="68"/>
      <c r="K2907" s="32"/>
      <c r="L2907" s="75">
        <v>2907</v>
      </c>
      <c r="M2907" s="75"/>
      <c r="N2907" s="70"/>
      <c r="O2907" s="77" t="s">
        <v>179</v>
      </c>
      <c r="P2907" s="79">
        <v>45132.895833333336</v>
      </c>
      <c r="Q2907" s="77" t="s">
        <v>3579</v>
      </c>
      <c r="R2907" s="77">
        <v>0</v>
      </c>
      <c r="S2907" s="77">
        <v>1</v>
      </c>
      <c r="T2907" s="77">
        <v>0</v>
      </c>
      <c r="U2907" s="77">
        <v>0</v>
      </c>
      <c r="V2907" s="77">
        <v>473</v>
      </c>
      <c r="W2907" s="82" t="s">
        <v>4833</v>
      </c>
      <c r="X2907" s="80" t="str">
        <f>HYPERLINK("https://mla.bs/88ef9be6")</f>
        <v>https://mla.bs/88ef9be6</v>
      </c>
      <c r="Y2907" s="77" t="s">
        <v>6506</v>
      </c>
      <c r="Z2907" s="77"/>
      <c r="AA2907" s="77"/>
      <c r="AB2907" s="77"/>
      <c r="AC2907" s="82" t="s">
        <v>7754</v>
      </c>
      <c r="AD2907" s="77" t="s">
        <v>7788</v>
      </c>
      <c r="AE2907" s="80" t="str">
        <f>HYPERLINK("https://twitter.com/einvestidor/status/1683952766283321345")</f>
        <v>https://twitter.com/einvestidor/status/1683952766283321345</v>
      </c>
      <c r="AF2907" s="79">
        <v>45132.895833333336</v>
      </c>
      <c r="AG2907" s="85">
        <v>45132</v>
      </c>
      <c r="AH2907" s="82" t="s">
        <v>8089</v>
      </c>
      <c r="AI2907" s="77" t="b">
        <v>0</v>
      </c>
      <c r="AJ2907" s="77"/>
      <c r="AK2907" s="77"/>
      <c r="AL2907" s="77"/>
      <c r="AM2907" s="77"/>
      <c r="AN2907" s="77"/>
      <c r="AO2907" s="77"/>
      <c r="AP2907" s="77"/>
      <c r="AQ2907" s="77"/>
      <c r="AR2907" s="77"/>
      <c r="AS2907" s="77"/>
      <c r="AT2907" s="77"/>
      <c r="AU2907" s="77"/>
      <c r="AV2907" s="80" t="str">
        <f>HYPERLINK("https://pbs.twimg.com/profile_images/1241147984924082183/gZgx_hL-_normal.jpg")</f>
        <v>https://pbs.twimg.com/profile_images/1241147984924082183/gZgx_hL-_normal.jpg</v>
      </c>
      <c r="AW2907" s="82" t="s">
        <v>14503</v>
      </c>
      <c r="AX2907" s="82" t="s">
        <v>14503</v>
      </c>
      <c r="AY2907" s="77"/>
      <c r="AZ2907" s="82" t="s">
        <v>15984</v>
      </c>
      <c r="BA2907" s="82" t="s">
        <v>15984</v>
      </c>
      <c r="BB2907" s="82" t="s">
        <v>15984</v>
      </c>
      <c r="BC2907" s="82" t="s">
        <v>14503</v>
      </c>
      <c r="BD2907" s="82" t="s">
        <v>15979</v>
      </c>
      <c r="BE2907" s="77"/>
      <c r="BF2907" s="77"/>
      <c r="BG2907" s="77"/>
      <c r="BH2907" s="77"/>
      <c r="BI2907" s="77"/>
    </row>
    <row r="2908" spans="1:61" x14ac:dyDescent="0.25">
      <c r="A2908" s="62" t="s">
        <v>387</v>
      </c>
      <c r="B2908" s="62" t="s">
        <v>387</v>
      </c>
      <c r="C2908" s="63"/>
      <c r="D2908" s="64"/>
      <c r="E2908" s="65"/>
      <c r="F2908" s="66"/>
      <c r="G2908" s="63"/>
      <c r="H2908" s="67"/>
      <c r="I2908" s="68"/>
      <c r="J2908" s="68"/>
      <c r="K2908" s="32"/>
      <c r="L2908" s="75">
        <v>2908</v>
      </c>
      <c r="M2908" s="75"/>
      <c r="N2908" s="70"/>
      <c r="O2908" s="77" t="s">
        <v>179</v>
      </c>
      <c r="P2908" s="79">
        <v>45132.885416666664</v>
      </c>
      <c r="Q2908" s="77" t="s">
        <v>3580</v>
      </c>
      <c r="R2908" s="77">
        <v>1</v>
      </c>
      <c r="S2908" s="77">
        <v>2</v>
      </c>
      <c r="T2908" s="77">
        <v>0</v>
      </c>
      <c r="U2908" s="77">
        <v>0</v>
      </c>
      <c r="V2908" s="77">
        <v>601</v>
      </c>
      <c r="W2908" s="82" t="s">
        <v>4833</v>
      </c>
      <c r="X2908" s="80" t="str">
        <f>HYPERLINK("https://mla.bs/af8d86f3")</f>
        <v>https://mla.bs/af8d86f3</v>
      </c>
      <c r="Y2908" s="77" t="s">
        <v>6506</v>
      </c>
      <c r="Z2908" s="77"/>
      <c r="AA2908" s="77"/>
      <c r="AB2908" s="77"/>
      <c r="AC2908" s="82" t="s">
        <v>7754</v>
      </c>
      <c r="AD2908" s="77" t="s">
        <v>7788</v>
      </c>
      <c r="AE2908" s="80" t="str">
        <f>HYPERLINK("https://twitter.com/einvestidor/status/1683948990482771970")</f>
        <v>https://twitter.com/einvestidor/status/1683948990482771970</v>
      </c>
      <c r="AF2908" s="79">
        <v>45132.885416666664</v>
      </c>
      <c r="AG2908" s="85">
        <v>45132</v>
      </c>
      <c r="AH2908" s="82" t="s">
        <v>8206</v>
      </c>
      <c r="AI2908" s="77" t="b">
        <v>0</v>
      </c>
      <c r="AJ2908" s="77"/>
      <c r="AK2908" s="77"/>
      <c r="AL2908" s="77"/>
      <c r="AM2908" s="77"/>
      <c r="AN2908" s="77"/>
      <c r="AO2908" s="77"/>
      <c r="AP2908" s="77"/>
      <c r="AQ2908" s="77"/>
      <c r="AR2908" s="77"/>
      <c r="AS2908" s="77"/>
      <c r="AT2908" s="77"/>
      <c r="AU2908" s="77"/>
      <c r="AV2908" s="80" t="str">
        <f>HYPERLINK("https://pbs.twimg.com/profile_images/1241147984924082183/gZgx_hL-_normal.jpg")</f>
        <v>https://pbs.twimg.com/profile_images/1241147984924082183/gZgx_hL-_normal.jpg</v>
      </c>
      <c r="AW2908" s="82" t="s">
        <v>14504</v>
      </c>
      <c r="AX2908" s="82" t="s">
        <v>14504</v>
      </c>
      <c r="AY2908" s="77"/>
      <c r="AZ2908" s="82" t="s">
        <v>15984</v>
      </c>
      <c r="BA2908" s="82" t="s">
        <v>15984</v>
      </c>
      <c r="BB2908" s="82" t="s">
        <v>15984</v>
      </c>
      <c r="BC2908" s="82" t="s">
        <v>14504</v>
      </c>
      <c r="BD2908" s="82" t="s">
        <v>15979</v>
      </c>
      <c r="BE2908" s="77"/>
      <c r="BF2908" s="77"/>
      <c r="BG2908" s="77"/>
      <c r="BH2908" s="77"/>
      <c r="BI2908" s="77"/>
    </row>
    <row r="2909" spans="1:61" x14ac:dyDescent="0.25">
      <c r="A2909" s="62" t="s">
        <v>387</v>
      </c>
      <c r="B2909" s="62" t="s">
        <v>387</v>
      </c>
      <c r="C2909" s="63"/>
      <c r="D2909" s="64"/>
      <c r="E2909" s="65"/>
      <c r="F2909" s="66"/>
      <c r="G2909" s="63"/>
      <c r="H2909" s="67"/>
      <c r="I2909" s="68"/>
      <c r="J2909" s="68"/>
      <c r="K2909" s="32"/>
      <c r="L2909" s="75">
        <v>2909</v>
      </c>
      <c r="M2909" s="75"/>
      <c r="N2909" s="70"/>
      <c r="O2909" s="77" t="s">
        <v>179</v>
      </c>
      <c r="P2909" s="79">
        <v>45132.864583333336</v>
      </c>
      <c r="Q2909" s="77" t="s">
        <v>3581</v>
      </c>
      <c r="R2909" s="77">
        <v>0</v>
      </c>
      <c r="S2909" s="77">
        <v>0</v>
      </c>
      <c r="T2909" s="77">
        <v>0</v>
      </c>
      <c r="U2909" s="77">
        <v>0</v>
      </c>
      <c r="V2909" s="77">
        <v>501</v>
      </c>
      <c r="W2909" s="82" t="s">
        <v>4833</v>
      </c>
      <c r="X2909" s="80" t="str">
        <f>HYPERLINK("https://mla.bs/e603d72a")</f>
        <v>https://mla.bs/e603d72a</v>
      </c>
      <c r="Y2909" s="77" t="s">
        <v>6506</v>
      </c>
      <c r="Z2909" s="77"/>
      <c r="AA2909" s="77"/>
      <c r="AB2909" s="77"/>
      <c r="AC2909" s="82" t="s">
        <v>7754</v>
      </c>
      <c r="AD2909" s="77" t="s">
        <v>7788</v>
      </c>
      <c r="AE2909" s="80" t="str">
        <f>HYPERLINK("https://twitter.com/einvestidor/status/1683941440978661377")</f>
        <v>https://twitter.com/einvestidor/status/1683941440978661377</v>
      </c>
      <c r="AF2909" s="79">
        <v>45132.864583333336</v>
      </c>
      <c r="AG2909" s="85">
        <v>45132</v>
      </c>
      <c r="AH2909" s="82" t="s">
        <v>9596</v>
      </c>
      <c r="AI2909" s="77" t="b">
        <v>0</v>
      </c>
      <c r="AJ2909" s="77"/>
      <c r="AK2909" s="77"/>
      <c r="AL2909" s="77"/>
      <c r="AM2909" s="77"/>
      <c r="AN2909" s="77"/>
      <c r="AO2909" s="77"/>
      <c r="AP2909" s="77"/>
      <c r="AQ2909" s="77"/>
      <c r="AR2909" s="77"/>
      <c r="AS2909" s="77"/>
      <c r="AT2909" s="77"/>
      <c r="AU2909" s="77"/>
      <c r="AV2909" s="80" t="str">
        <f>HYPERLINK("https://pbs.twimg.com/profile_images/1241147984924082183/gZgx_hL-_normal.jpg")</f>
        <v>https://pbs.twimg.com/profile_images/1241147984924082183/gZgx_hL-_normal.jpg</v>
      </c>
      <c r="AW2909" s="82" t="s">
        <v>14505</v>
      </c>
      <c r="AX2909" s="82" t="s">
        <v>14505</v>
      </c>
      <c r="AY2909" s="77"/>
      <c r="AZ2909" s="82" t="s">
        <v>15984</v>
      </c>
      <c r="BA2909" s="82" t="s">
        <v>15984</v>
      </c>
      <c r="BB2909" s="82" t="s">
        <v>15984</v>
      </c>
      <c r="BC2909" s="82" t="s">
        <v>14505</v>
      </c>
      <c r="BD2909" s="82" t="s">
        <v>15979</v>
      </c>
      <c r="BE2909" s="77"/>
      <c r="BF2909" s="77"/>
      <c r="BG2909" s="77"/>
      <c r="BH2909" s="77"/>
      <c r="BI2909" s="77"/>
    </row>
    <row r="2910" spans="1:61" x14ac:dyDescent="0.25">
      <c r="A2910" s="62" t="s">
        <v>387</v>
      </c>
      <c r="B2910" s="62" t="s">
        <v>387</v>
      </c>
      <c r="C2910" s="63"/>
      <c r="D2910" s="64"/>
      <c r="E2910" s="65"/>
      <c r="F2910" s="66"/>
      <c r="G2910" s="63"/>
      <c r="H2910" s="67"/>
      <c r="I2910" s="68"/>
      <c r="J2910" s="68"/>
      <c r="K2910" s="32"/>
      <c r="L2910" s="75">
        <v>2910</v>
      </c>
      <c r="M2910" s="75"/>
      <c r="N2910" s="70"/>
      <c r="O2910" s="77" t="s">
        <v>179</v>
      </c>
      <c r="P2910" s="79">
        <v>45132.854166666664</v>
      </c>
      <c r="Q2910" s="77" t="s">
        <v>3582</v>
      </c>
      <c r="R2910" s="77">
        <v>1</v>
      </c>
      <c r="S2910" s="77">
        <v>1</v>
      </c>
      <c r="T2910" s="77">
        <v>0</v>
      </c>
      <c r="U2910" s="77">
        <v>0</v>
      </c>
      <c r="V2910" s="77">
        <v>481</v>
      </c>
      <c r="W2910" s="82" t="s">
        <v>4833</v>
      </c>
      <c r="X2910" s="80" t="str">
        <f>HYPERLINK("https://mla.bs/f94ef5d2")</f>
        <v>https://mla.bs/f94ef5d2</v>
      </c>
      <c r="Y2910" s="77" t="s">
        <v>6506</v>
      </c>
      <c r="Z2910" s="77"/>
      <c r="AA2910" s="77"/>
      <c r="AB2910" s="77"/>
      <c r="AC2910" s="82" t="s">
        <v>7754</v>
      </c>
      <c r="AD2910" s="77" t="s">
        <v>7788</v>
      </c>
      <c r="AE2910" s="80" t="str">
        <f>HYPERLINK("https://twitter.com/einvestidor/status/1683937667891830784")</f>
        <v>https://twitter.com/einvestidor/status/1683937667891830784</v>
      </c>
      <c r="AF2910" s="79">
        <v>45132.854166666664</v>
      </c>
      <c r="AG2910" s="85">
        <v>45132</v>
      </c>
      <c r="AH2910" s="82" t="s">
        <v>8090</v>
      </c>
      <c r="AI2910" s="77" t="b">
        <v>0</v>
      </c>
      <c r="AJ2910" s="77"/>
      <c r="AK2910" s="77"/>
      <c r="AL2910" s="77"/>
      <c r="AM2910" s="77"/>
      <c r="AN2910" s="77"/>
      <c r="AO2910" s="77"/>
      <c r="AP2910" s="77"/>
      <c r="AQ2910" s="77"/>
      <c r="AR2910" s="77"/>
      <c r="AS2910" s="77"/>
      <c r="AT2910" s="77"/>
      <c r="AU2910" s="77"/>
      <c r="AV2910" s="80" t="str">
        <f>HYPERLINK("https://pbs.twimg.com/profile_images/1241147984924082183/gZgx_hL-_normal.jpg")</f>
        <v>https://pbs.twimg.com/profile_images/1241147984924082183/gZgx_hL-_normal.jpg</v>
      </c>
      <c r="AW2910" s="82" t="s">
        <v>14506</v>
      </c>
      <c r="AX2910" s="82" t="s">
        <v>14506</v>
      </c>
      <c r="AY2910" s="77"/>
      <c r="AZ2910" s="82" t="s">
        <v>15984</v>
      </c>
      <c r="BA2910" s="82" t="s">
        <v>15984</v>
      </c>
      <c r="BB2910" s="82" t="s">
        <v>15984</v>
      </c>
      <c r="BC2910" s="82" t="s">
        <v>14506</v>
      </c>
      <c r="BD2910" s="82" t="s">
        <v>15979</v>
      </c>
      <c r="BE2910" s="77"/>
      <c r="BF2910" s="77"/>
      <c r="BG2910" s="77"/>
      <c r="BH2910" s="77"/>
      <c r="BI2910" s="77"/>
    </row>
    <row r="2911" spans="1:61" x14ac:dyDescent="0.25">
      <c r="A2911" s="62" t="s">
        <v>387</v>
      </c>
      <c r="B2911" s="62" t="s">
        <v>387</v>
      </c>
      <c r="C2911" s="63"/>
      <c r="D2911" s="64"/>
      <c r="E2911" s="65"/>
      <c r="F2911" s="66"/>
      <c r="G2911" s="63"/>
      <c r="H2911" s="67"/>
      <c r="I2911" s="68"/>
      <c r="J2911" s="68"/>
      <c r="K2911" s="32"/>
      <c r="L2911" s="75">
        <v>2911</v>
      </c>
      <c r="M2911" s="75"/>
      <c r="N2911" s="70"/>
      <c r="O2911" s="77" t="s">
        <v>179</v>
      </c>
      <c r="P2911" s="79">
        <v>45132.84375</v>
      </c>
      <c r="Q2911" s="77" t="s">
        <v>3583</v>
      </c>
      <c r="R2911" s="77">
        <v>0</v>
      </c>
      <c r="S2911" s="77">
        <v>1</v>
      </c>
      <c r="T2911" s="77">
        <v>0</v>
      </c>
      <c r="U2911" s="77">
        <v>0</v>
      </c>
      <c r="V2911" s="77">
        <v>487</v>
      </c>
      <c r="W2911" s="82" t="s">
        <v>4833</v>
      </c>
      <c r="X2911" s="80" t="str">
        <f>HYPERLINK("https://mla.bs/0da47c8b")</f>
        <v>https://mla.bs/0da47c8b</v>
      </c>
      <c r="Y2911" s="77" t="s">
        <v>6506</v>
      </c>
      <c r="Z2911" s="77"/>
      <c r="AA2911" s="77"/>
      <c r="AB2911" s="77"/>
      <c r="AC2911" s="82" t="s">
        <v>7754</v>
      </c>
      <c r="AD2911" s="77" t="s">
        <v>7788</v>
      </c>
      <c r="AE2911" s="80" t="str">
        <f>HYPERLINK("https://twitter.com/einvestidor/status/1683933891474628610")</f>
        <v>https://twitter.com/einvestidor/status/1683933891474628610</v>
      </c>
      <c r="AF2911" s="79">
        <v>45132.84375</v>
      </c>
      <c r="AG2911" s="85">
        <v>45132</v>
      </c>
      <c r="AH2911" s="82" t="s">
        <v>9296</v>
      </c>
      <c r="AI2911" s="77" t="b">
        <v>0</v>
      </c>
      <c r="AJ2911" s="77"/>
      <c r="AK2911" s="77"/>
      <c r="AL2911" s="77"/>
      <c r="AM2911" s="77"/>
      <c r="AN2911" s="77"/>
      <c r="AO2911" s="77"/>
      <c r="AP2911" s="77"/>
      <c r="AQ2911" s="77"/>
      <c r="AR2911" s="77"/>
      <c r="AS2911" s="77"/>
      <c r="AT2911" s="77"/>
      <c r="AU2911" s="77"/>
      <c r="AV2911" s="80" t="str">
        <f>HYPERLINK("https://pbs.twimg.com/profile_images/1241147984924082183/gZgx_hL-_normal.jpg")</f>
        <v>https://pbs.twimg.com/profile_images/1241147984924082183/gZgx_hL-_normal.jpg</v>
      </c>
      <c r="AW2911" s="82" t="s">
        <v>14507</v>
      </c>
      <c r="AX2911" s="82" t="s">
        <v>14507</v>
      </c>
      <c r="AY2911" s="77"/>
      <c r="AZ2911" s="82" t="s">
        <v>15984</v>
      </c>
      <c r="BA2911" s="82" t="s">
        <v>15984</v>
      </c>
      <c r="BB2911" s="82" t="s">
        <v>15984</v>
      </c>
      <c r="BC2911" s="82" t="s">
        <v>14507</v>
      </c>
      <c r="BD2911" s="82" t="s">
        <v>15979</v>
      </c>
      <c r="BE2911" s="77"/>
      <c r="BF2911" s="77"/>
      <c r="BG2911" s="77"/>
      <c r="BH2911" s="77"/>
      <c r="BI2911" s="77"/>
    </row>
    <row r="2912" spans="1:61" x14ac:dyDescent="0.25">
      <c r="A2912" s="62" t="s">
        <v>387</v>
      </c>
      <c r="B2912" s="62" t="s">
        <v>387</v>
      </c>
      <c r="C2912" s="63"/>
      <c r="D2912" s="64"/>
      <c r="E2912" s="65"/>
      <c r="F2912" s="66"/>
      <c r="G2912" s="63"/>
      <c r="H2912" s="67"/>
      <c r="I2912" s="68"/>
      <c r="J2912" s="68"/>
      <c r="K2912" s="32"/>
      <c r="L2912" s="75">
        <v>2912</v>
      </c>
      <c r="M2912" s="75"/>
      <c r="N2912" s="70"/>
      <c r="O2912" s="77" t="s">
        <v>179</v>
      </c>
      <c r="P2912" s="79">
        <v>45132.833414351851</v>
      </c>
      <c r="Q2912" s="77" t="s">
        <v>3584</v>
      </c>
      <c r="R2912" s="77">
        <v>0</v>
      </c>
      <c r="S2912" s="77">
        <v>6</v>
      </c>
      <c r="T2912" s="77">
        <v>1</v>
      </c>
      <c r="U2912" s="77">
        <v>0</v>
      </c>
      <c r="V2912" s="77">
        <v>1245</v>
      </c>
      <c r="W2912" s="82" t="s">
        <v>4833</v>
      </c>
      <c r="X2912" s="80" t="str">
        <f>HYPERLINK("https://mla.bs/993ec00a")</f>
        <v>https://mla.bs/993ec00a</v>
      </c>
      <c r="Y2912" s="77" t="s">
        <v>6506</v>
      </c>
      <c r="Z2912" s="77"/>
      <c r="AA2912" s="77"/>
      <c r="AB2912" s="77"/>
      <c r="AC2912" s="82" t="s">
        <v>7754</v>
      </c>
      <c r="AD2912" s="77" t="s">
        <v>7788</v>
      </c>
      <c r="AE2912" s="80" t="str">
        <f>HYPERLINK("https://twitter.com/einvestidor/status/1683930147479785472")</f>
        <v>https://twitter.com/einvestidor/status/1683930147479785472</v>
      </c>
      <c r="AF2912" s="79">
        <v>45132.833414351851</v>
      </c>
      <c r="AG2912" s="85">
        <v>45132</v>
      </c>
      <c r="AH2912" s="82" t="s">
        <v>9869</v>
      </c>
      <c r="AI2912" s="77" t="b">
        <v>0</v>
      </c>
      <c r="AJ2912" s="77"/>
      <c r="AK2912" s="77"/>
      <c r="AL2912" s="77"/>
      <c r="AM2912" s="77"/>
      <c r="AN2912" s="77"/>
      <c r="AO2912" s="77"/>
      <c r="AP2912" s="77"/>
      <c r="AQ2912" s="77"/>
      <c r="AR2912" s="77"/>
      <c r="AS2912" s="77"/>
      <c r="AT2912" s="77"/>
      <c r="AU2912" s="77"/>
      <c r="AV2912" s="80" t="str">
        <f>HYPERLINK("https://pbs.twimg.com/profile_images/1241147984924082183/gZgx_hL-_normal.jpg")</f>
        <v>https://pbs.twimg.com/profile_images/1241147984924082183/gZgx_hL-_normal.jpg</v>
      </c>
      <c r="AW2912" s="82" t="s">
        <v>14508</v>
      </c>
      <c r="AX2912" s="82" t="s">
        <v>14508</v>
      </c>
      <c r="AY2912" s="77"/>
      <c r="AZ2912" s="82" t="s">
        <v>15984</v>
      </c>
      <c r="BA2912" s="82" t="s">
        <v>15984</v>
      </c>
      <c r="BB2912" s="82" t="s">
        <v>15984</v>
      </c>
      <c r="BC2912" s="82" t="s">
        <v>14508</v>
      </c>
      <c r="BD2912" s="82" t="s">
        <v>15979</v>
      </c>
      <c r="BE2912" s="77"/>
      <c r="BF2912" s="77"/>
      <c r="BG2912" s="77"/>
      <c r="BH2912" s="77"/>
      <c r="BI2912" s="77"/>
    </row>
    <row r="2913" spans="1:61" x14ac:dyDescent="0.25">
      <c r="A2913" s="62" t="s">
        <v>387</v>
      </c>
      <c r="B2913" s="62" t="s">
        <v>387</v>
      </c>
      <c r="C2913" s="63"/>
      <c r="D2913" s="64"/>
      <c r="E2913" s="65"/>
      <c r="F2913" s="66"/>
      <c r="G2913" s="63"/>
      <c r="H2913" s="67"/>
      <c r="I2913" s="68"/>
      <c r="J2913" s="68"/>
      <c r="K2913" s="32"/>
      <c r="L2913" s="75">
        <v>2913</v>
      </c>
      <c r="M2913" s="75"/>
      <c r="N2913" s="70"/>
      <c r="O2913" s="77" t="s">
        <v>179</v>
      </c>
      <c r="P2913" s="79">
        <v>45132.833344907405</v>
      </c>
      <c r="Q2913" s="77" t="s">
        <v>3585</v>
      </c>
      <c r="R2913" s="77">
        <v>0</v>
      </c>
      <c r="S2913" s="77">
        <v>1</v>
      </c>
      <c r="T2913" s="77">
        <v>0</v>
      </c>
      <c r="U2913" s="77">
        <v>0</v>
      </c>
      <c r="V2913" s="77">
        <v>502</v>
      </c>
      <c r="W2913" s="82" t="s">
        <v>4833</v>
      </c>
      <c r="X2913" s="80" t="str">
        <f>HYPERLINK("https://mla.bs/4f0d66ef")</f>
        <v>https://mla.bs/4f0d66ef</v>
      </c>
      <c r="Y2913" s="77" t="s">
        <v>6506</v>
      </c>
      <c r="Z2913" s="77"/>
      <c r="AA2913" s="77"/>
      <c r="AB2913" s="77"/>
      <c r="AC2913" s="82" t="s">
        <v>7754</v>
      </c>
      <c r="AD2913" s="77" t="s">
        <v>7788</v>
      </c>
      <c r="AE2913" s="80" t="str">
        <f>HYPERLINK("https://twitter.com/einvestidor/status/1683930120938037248")</f>
        <v>https://twitter.com/einvestidor/status/1683930120938037248</v>
      </c>
      <c r="AF2913" s="79">
        <v>45132.833344907405</v>
      </c>
      <c r="AG2913" s="85">
        <v>45132</v>
      </c>
      <c r="AH2913" s="82" t="s">
        <v>8284</v>
      </c>
      <c r="AI2913" s="77" t="b">
        <v>0</v>
      </c>
      <c r="AJ2913" s="77"/>
      <c r="AK2913" s="77"/>
      <c r="AL2913" s="77"/>
      <c r="AM2913" s="77"/>
      <c r="AN2913" s="77"/>
      <c r="AO2913" s="77"/>
      <c r="AP2913" s="77"/>
      <c r="AQ2913" s="77"/>
      <c r="AR2913" s="77"/>
      <c r="AS2913" s="77"/>
      <c r="AT2913" s="77"/>
      <c r="AU2913" s="77"/>
      <c r="AV2913" s="80" t="str">
        <f>HYPERLINK("https://pbs.twimg.com/profile_images/1241147984924082183/gZgx_hL-_normal.jpg")</f>
        <v>https://pbs.twimg.com/profile_images/1241147984924082183/gZgx_hL-_normal.jpg</v>
      </c>
      <c r="AW2913" s="82" t="s">
        <v>14509</v>
      </c>
      <c r="AX2913" s="82" t="s">
        <v>14509</v>
      </c>
      <c r="AY2913" s="77"/>
      <c r="AZ2913" s="82" t="s">
        <v>15984</v>
      </c>
      <c r="BA2913" s="82" t="s">
        <v>15984</v>
      </c>
      <c r="BB2913" s="82" t="s">
        <v>15984</v>
      </c>
      <c r="BC2913" s="82" t="s">
        <v>14509</v>
      </c>
      <c r="BD2913" s="82" t="s">
        <v>15979</v>
      </c>
      <c r="BE2913" s="77"/>
      <c r="BF2913" s="77"/>
      <c r="BG2913" s="77"/>
      <c r="BH2913" s="77"/>
      <c r="BI2913" s="77"/>
    </row>
    <row r="2914" spans="1:61" x14ac:dyDescent="0.25">
      <c r="A2914" s="62" t="s">
        <v>387</v>
      </c>
      <c r="B2914" s="62" t="s">
        <v>387</v>
      </c>
      <c r="C2914" s="63"/>
      <c r="D2914" s="64"/>
      <c r="E2914" s="65"/>
      <c r="F2914" s="66"/>
      <c r="G2914" s="63"/>
      <c r="H2914" s="67"/>
      <c r="I2914" s="68"/>
      <c r="J2914" s="68"/>
      <c r="K2914" s="32"/>
      <c r="L2914" s="75">
        <v>2914</v>
      </c>
      <c r="M2914" s="75"/>
      <c r="N2914" s="70"/>
      <c r="O2914" s="77" t="s">
        <v>179</v>
      </c>
      <c r="P2914" s="79">
        <v>45132.822916666664</v>
      </c>
      <c r="Q2914" s="77" t="s">
        <v>3586</v>
      </c>
      <c r="R2914" s="77">
        <v>0</v>
      </c>
      <c r="S2914" s="77">
        <v>1</v>
      </c>
      <c r="T2914" s="77">
        <v>0</v>
      </c>
      <c r="U2914" s="77">
        <v>0</v>
      </c>
      <c r="V2914" s="77">
        <v>445</v>
      </c>
      <c r="W2914" s="82" t="s">
        <v>4833</v>
      </c>
      <c r="X2914" s="80" t="str">
        <f>HYPERLINK("https://mla.bs/1e5ecb8b")</f>
        <v>https://mla.bs/1e5ecb8b</v>
      </c>
      <c r="Y2914" s="77" t="s">
        <v>6506</v>
      </c>
      <c r="Z2914" s="77"/>
      <c r="AA2914" s="77"/>
      <c r="AB2914" s="77"/>
      <c r="AC2914" s="82" t="s">
        <v>7754</v>
      </c>
      <c r="AD2914" s="77" t="s">
        <v>7788</v>
      </c>
      <c r="AE2914" s="80" t="str">
        <f>HYPERLINK("https://twitter.com/einvestidor/status/1683926341597667329")</f>
        <v>https://twitter.com/einvestidor/status/1683926341597667329</v>
      </c>
      <c r="AF2914" s="79">
        <v>45132.822916666664</v>
      </c>
      <c r="AG2914" s="85">
        <v>45132</v>
      </c>
      <c r="AH2914" s="82" t="s">
        <v>9579</v>
      </c>
      <c r="AI2914" s="77" t="b">
        <v>0</v>
      </c>
      <c r="AJ2914" s="77"/>
      <c r="AK2914" s="77"/>
      <c r="AL2914" s="77"/>
      <c r="AM2914" s="77"/>
      <c r="AN2914" s="77"/>
      <c r="AO2914" s="77"/>
      <c r="AP2914" s="77"/>
      <c r="AQ2914" s="77"/>
      <c r="AR2914" s="77"/>
      <c r="AS2914" s="77"/>
      <c r="AT2914" s="77"/>
      <c r="AU2914" s="77"/>
      <c r="AV2914" s="80" t="str">
        <f>HYPERLINK("https://pbs.twimg.com/profile_images/1241147984924082183/gZgx_hL-_normal.jpg")</f>
        <v>https://pbs.twimg.com/profile_images/1241147984924082183/gZgx_hL-_normal.jpg</v>
      </c>
      <c r="AW2914" s="82" t="s">
        <v>14510</v>
      </c>
      <c r="AX2914" s="82" t="s">
        <v>14510</v>
      </c>
      <c r="AY2914" s="77"/>
      <c r="AZ2914" s="82" t="s">
        <v>15984</v>
      </c>
      <c r="BA2914" s="82" t="s">
        <v>15984</v>
      </c>
      <c r="BB2914" s="82" t="s">
        <v>15984</v>
      </c>
      <c r="BC2914" s="82" t="s">
        <v>14510</v>
      </c>
      <c r="BD2914" s="82" t="s">
        <v>15979</v>
      </c>
      <c r="BE2914" s="77"/>
      <c r="BF2914" s="77"/>
      <c r="BG2914" s="77"/>
      <c r="BH2914" s="77"/>
      <c r="BI2914" s="77"/>
    </row>
    <row r="2915" spans="1:61" x14ac:dyDescent="0.25">
      <c r="A2915" s="62" t="s">
        <v>387</v>
      </c>
      <c r="B2915" s="62" t="s">
        <v>387</v>
      </c>
      <c r="C2915" s="63"/>
      <c r="D2915" s="64"/>
      <c r="E2915" s="65"/>
      <c r="F2915" s="66"/>
      <c r="G2915" s="63"/>
      <c r="H2915" s="67"/>
      <c r="I2915" s="68"/>
      <c r="J2915" s="68"/>
      <c r="K2915" s="32"/>
      <c r="L2915" s="75">
        <v>2915</v>
      </c>
      <c r="M2915" s="75"/>
      <c r="N2915" s="70"/>
      <c r="O2915" s="77" t="s">
        <v>179</v>
      </c>
      <c r="P2915" s="79">
        <v>45188.802083333336</v>
      </c>
      <c r="Q2915" s="77" t="s">
        <v>3587</v>
      </c>
      <c r="R2915" s="77">
        <v>0</v>
      </c>
      <c r="S2915" s="77">
        <v>1</v>
      </c>
      <c r="T2915" s="77">
        <v>0</v>
      </c>
      <c r="U2915" s="77">
        <v>0</v>
      </c>
      <c r="V2915" s="77">
        <v>413</v>
      </c>
      <c r="W2915" s="82" t="s">
        <v>6148</v>
      </c>
      <c r="X2915" s="80" t="str">
        <f>HYPERLINK("https://einvestidor.estadao.com.br/ultimas/como-estao-acoes-tim-tims3e-telefonica-vivt3-ativos-considerados-mais-relevantes/?utm_source=twitter&amp;utm_medium=organic&amp;utm_campaign=&amp;utm_content=materia")</f>
        <v>https://einvestidor.estadao.com.br/ultimas/como-estao-acoes-tim-tims3e-telefonica-vivt3-ativos-considerados-mais-relevantes/?utm_source=twitter&amp;utm_medium=organic&amp;utm_campaign=&amp;utm_content=materia</v>
      </c>
      <c r="Y2915" s="77" t="s">
        <v>6470</v>
      </c>
      <c r="Z2915" s="77"/>
      <c r="AA2915" s="77"/>
      <c r="AB2915" s="77"/>
      <c r="AC2915" s="82" t="s">
        <v>7750</v>
      </c>
      <c r="AD2915" s="77" t="s">
        <v>7788</v>
      </c>
      <c r="AE2915" s="80" t="str">
        <f>HYPERLINK("https://twitter.com/einvestidor/status/1704212512156074461")</f>
        <v>https://twitter.com/einvestidor/status/1704212512156074461</v>
      </c>
      <c r="AF2915" s="79">
        <v>45188.802083333336</v>
      </c>
      <c r="AG2915" s="85">
        <v>45188</v>
      </c>
      <c r="AH2915" s="82" t="s">
        <v>7868</v>
      </c>
      <c r="AI2915" s="77" t="b">
        <v>0</v>
      </c>
      <c r="AJ2915" s="77"/>
      <c r="AK2915" s="77"/>
      <c r="AL2915" s="77"/>
      <c r="AM2915" s="77"/>
      <c r="AN2915" s="77"/>
      <c r="AO2915" s="77"/>
      <c r="AP2915" s="77"/>
      <c r="AQ2915" s="77"/>
      <c r="AR2915" s="77"/>
      <c r="AS2915" s="77"/>
      <c r="AT2915" s="77"/>
      <c r="AU2915" s="77"/>
      <c r="AV2915" s="80" t="str">
        <f>HYPERLINK("https://pbs.twimg.com/profile_images/1241147984924082183/gZgx_hL-_normal.jpg")</f>
        <v>https://pbs.twimg.com/profile_images/1241147984924082183/gZgx_hL-_normal.jpg</v>
      </c>
      <c r="AW2915" s="82" t="s">
        <v>14511</v>
      </c>
      <c r="AX2915" s="82" t="s">
        <v>14511</v>
      </c>
      <c r="AY2915" s="77"/>
      <c r="AZ2915" s="82" t="s">
        <v>15984</v>
      </c>
      <c r="BA2915" s="82" t="s">
        <v>15984</v>
      </c>
      <c r="BB2915" s="82" t="s">
        <v>15984</v>
      </c>
      <c r="BC2915" s="82" t="s">
        <v>14511</v>
      </c>
      <c r="BD2915" s="82" t="s">
        <v>15979</v>
      </c>
      <c r="BE2915" s="77"/>
      <c r="BF2915" s="77"/>
      <c r="BG2915" s="77"/>
      <c r="BH2915" s="77"/>
      <c r="BI2915" s="77"/>
    </row>
    <row r="2916" spans="1:61" x14ac:dyDescent="0.25">
      <c r="A2916" s="62" t="s">
        <v>387</v>
      </c>
      <c r="B2916" s="62" t="s">
        <v>387</v>
      </c>
      <c r="C2916" s="63"/>
      <c r="D2916" s="64"/>
      <c r="E2916" s="65"/>
      <c r="F2916" s="66"/>
      <c r="G2916" s="63"/>
      <c r="H2916" s="67"/>
      <c r="I2916" s="68"/>
      <c r="J2916" s="68"/>
      <c r="K2916" s="32"/>
      <c r="L2916" s="75">
        <v>2916</v>
      </c>
      <c r="M2916" s="75"/>
      <c r="N2916" s="70"/>
      <c r="O2916" s="77" t="s">
        <v>179</v>
      </c>
      <c r="P2916" s="79">
        <v>45188.000011574077</v>
      </c>
      <c r="Q2916" s="77" t="s">
        <v>3588</v>
      </c>
      <c r="R2916" s="77">
        <v>0</v>
      </c>
      <c r="S2916" s="77">
        <v>0</v>
      </c>
      <c r="T2916" s="77">
        <v>0</v>
      </c>
      <c r="U2916" s="77">
        <v>0</v>
      </c>
      <c r="V2916" s="77">
        <v>625</v>
      </c>
      <c r="W2916" s="82" t="s">
        <v>6149</v>
      </c>
      <c r="X2916" s="80" t="str">
        <f>HYPERLINK("https://einvestidor.estadao.com.br/ultimas/como-fecharam-acoes-marisa-amar3-operacao-credito/?utm_source=twitter&amp;utm_medium=organic&amp;utm_campaign=&amp;utm_content=materia")</f>
        <v>https://einvestidor.estadao.com.br/ultimas/como-fecharam-acoes-marisa-amar3-operacao-credito/?utm_source=twitter&amp;utm_medium=organic&amp;utm_campaign=&amp;utm_content=materia</v>
      </c>
      <c r="Y2916" s="77" t="s">
        <v>6470</v>
      </c>
      <c r="Z2916" s="77"/>
      <c r="AA2916" s="77"/>
      <c r="AB2916" s="77"/>
      <c r="AC2916" s="82" t="s">
        <v>7750</v>
      </c>
      <c r="AD2916" s="77" t="s">
        <v>7788</v>
      </c>
      <c r="AE2916" s="80" t="str">
        <f>HYPERLINK("https://twitter.com/einvestidor/status/1703921851833975185")</f>
        <v>https://twitter.com/einvestidor/status/1703921851833975185</v>
      </c>
      <c r="AF2916" s="79">
        <v>45188.000011574077</v>
      </c>
      <c r="AG2916" s="85">
        <v>45188</v>
      </c>
      <c r="AH2916" s="82" t="s">
        <v>7883</v>
      </c>
      <c r="AI2916" s="77" t="b">
        <v>0</v>
      </c>
      <c r="AJ2916" s="77"/>
      <c r="AK2916" s="77"/>
      <c r="AL2916" s="77"/>
      <c r="AM2916" s="77"/>
      <c r="AN2916" s="77"/>
      <c r="AO2916" s="77"/>
      <c r="AP2916" s="77"/>
      <c r="AQ2916" s="77"/>
      <c r="AR2916" s="77"/>
      <c r="AS2916" s="77"/>
      <c r="AT2916" s="77"/>
      <c r="AU2916" s="77"/>
      <c r="AV2916" s="80" t="str">
        <f>HYPERLINK("https://pbs.twimg.com/profile_images/1241147984924082183/gZgx_hL-_normal.jpg")</f>
        <v>https://pbs.twimg.com/profile_images/1241147984924082183/gZgx_hL-_normal.jpg</v>
      </c>
      <c r="AW2916" s="82" t="s">
        <v>14512</v>
      </c>
      <c r="AX2916" s="82" t="s">
        <v>14512</v>
      </c>
      <c r="AY2916" s="77"/>
      <c r="AZ2916" s="82" t="s">
        <v>15984</v>
      </c>
      <c r="BA2916" s="82" t="s">
        <v>15984</v>
      </c>
      <c r="BB2916" s="82" t="s">
        <v>15984</v>
      </c>
      <c r="BC2916" s="82" t="s">
        <v>14512</v>
      </c>
      <c r="BD2916" s="82" t="s">
        <v>15979</v>
      </c>
      <c r="BE2916" s="77"/>
      <c r="BF2916" s="77"/>
      <c r="BG2916" s="77"/>
      <c r="BH2916" s="77"/>
      <c r="BI2916" s="77"/>
    </row>
    <row r="2917" spans="1:61" x14ac:dyDescent="0.25">
      <c r="A2917" s="62" t="s">
        <v>387</v>
      </c>
      <c r="B2917" s="62" t="s">
        <v>387</v>
      </c>
      <c r="C2917" s="63"/>
      <c r="D2917" s="64"/>
      <c r="E2917" s="65"/>
      <c r="F2917" s="66"/>
      <c r="G2917" s="63"/>
      <c r="H2917" s="67"/>
      <c r="I2917" s="68"/>
      <c r="J2917" s="68"/>
      <c r="K2917" s="32"/>
      <c r="L2917" s="75">
        <v>2917</v>
      </c>
      <c r="M2917" s="75"/>
      <c r="N2917" s="70"/>
      <c r="O2917" s="77" t="s">
        <v>179</v>
      </c>
      <c r="P2917" s="79">
        <v>45187.916701388887</v>
      </c>
      <c r="Q2917" s="77" t="s">
        <v>3589</v>
      </c>
      <c r="R2917" s="77">
        <v>0</v>
      </c>
      <c r="S2917" s="77">
        <v>0</v>
      </c>
      <c r="T2917" s="77">
        <v>0</v>
      </c>
      <c r="U2917" s="77">
        <v>0</v>
      </c>
      <c r="V2917" s="77">
        <v>545</v>
      </c>
      <c r="W2917" s="82" t="s">
        <v>6150</v>
      </c>
      <c r="X2917" s="80" t="str">
        <f>HYPERLINK("https://einvestidor.estadao.com.br/mercado/melhores-acoes-ibovespa-braskem-brkm5-yduqs-yduq3-brf-brfs3/?utm_source=twitter&amp;utm_medium=organic&amp;utm_campaign=&amp;utm_content=materia")</f>
        <v>https://einvestidor.estadao.com.br/mercado/melhores-acoes-ibovespa-braskem-brkm5-yduqs-yduq3-brf-brfs3/?utm_source=twitter&amp;utm_medium=organic&amp;utm_campaign=&amp;utm_content=materia</v>
      </c>
      <c r="Y2917" s="77" t="s">
        <v>6470</v>
      </c>
      <c r="Z2917" s="77"/>
      <c r="AA2917" s="77"/>
      <c r="AB2917" s="77"/>
      <c r="AC2917" s="82" t="s">
        <v>7750</v>
      </c>
      <c r="AD2917" s="77" t="s">
        <v>7788</v>
      </c>
      <c r="AE2917" s="80" t="str">
        <f>HYPERLINK("https://twitter.com/einvestidor/status/1703891663322521725")</f>
        <v>https://twitter.com/einvestidor/status/1703891663322521725</v>
      </c>
      <c r="AF2917" s="79">
        <v>45187.916701388887</v>
      </c>
      <c r="AG2917" s="85">
        <v>45187</v>
      </c>
      <c r="AH2917" s="82" t="s">
        <v>9870</v>
      </c>
      <c r="AI2917" s="77" t="b">
        <v>0</v>
      </c>
      <c r="AJ2917" s="77"/>
      <c r="AK2917" s="77"/>
      <c r="AL2917" s="77"/>
      <c r="AM2917" s="77"/>
      <c r="AN2917" s="77"/>
      <c r="AO2917" s="77"/>
      <c r="AP2917" s="77"/>
      <c r="AQ2917" s="77"/>
      <c r="AR2917" s="77"/>
      <c r="AS2917" s="77"/>
      <c r="AT2917" s="77"/>
      <c r="AU2917" s="77"/>
      <c r="AV2917" s="80" t="str">
        <f>HYPERLINK("https://pbs.twimg.com/profile_images/1241147984924082183/gZgx_hL-_normal.jpg")</f>
        <v>https://pbs.twimg.com/profile_images/1241147984924082183/gZgx_hL-_normal.jpg</v>
      </c>
      <c r="AW2917" s="82" t="s">
        <v>14513</v>
      </c>
      <c r="AX2917" s="82" t="s">
        <v>14513</v>
      </c>
      <c r="AY2917" s="77"/>
      <c r="AZ2917" s="82" t="s">
        <v>15984</v>
      </c>
      <c r="BA2917" s="82" t="s">
        <v>15984</v>
      </c>
      <c r="BB2917" s="82" t="s">
        <v>15984</v>
      </c>
      <c r="BC2917" s="82" t="s">
        <v>14513</v>
      </c>
      <c r="BD2917" s="82" t="s">
        <v>15979</v>
      </c>
      <c r="BE2917" s="77"/>
      <c r="BF2917" s="77"/>
      <c r="BG2917" s="77"/>
      <c r="BH2917" s="77"/>
      <c r="BI2917" s="77"/>
    </row>
    <row r="2918" spans="1:61" x14ac:dyDescent="0.25">
      <c r="A2918" s="62" t="s">
        <v>387</v>
      </c>
      <c r="B2918" s="62" t="s">
        <v>387</v>
      </c>
      <c r="C2918" s="63"/>
      <c r="D2918" s="64"/>
      <c r="E2918" s="65"/>
      <c r="F2918" s="66"/>
      <c r="G2918" s="63"/>
      <c r="H2918" s="67"/>
      <c r="I2918" s="68"/>
      <c r="J2918" s="68"/>
      <c r="K2918" s="32"/>
      <c r="L2918" s="75">
        <v>2918</v>
      </c>
      <c r="M2918" s="75"/>
      <c r="N2918" s="70"/>
      <c r="O2918" s="77" t="s">
        <v>179</v>
      </c>
      <c r="P2918" s="79">
        <v>45187.916678240741</v>
      </c>
      <c r="Q2918" s="77" t="s">
        <v>3590</v>
      </c>
      <c r="R2918" s="77">
        <v>0</v>
      </c>
      <c r="S2918" s="77">
        <v>2</v>
      </c>
      <c r="T2918" s="77">
        <v>0</v>
      </c>
      <c r="U2918" s="77">
        <v>0</v>
      </c>
      <c r="V2918" s="77">
        <v>526</v>
      </c>
      <c r="W2918" s="82" t="s">
        <v>6151</v>
      </c>
      <c r="X2918" s="80" t="str">
        <f>HYPERLINK("https://einvestidor.estadao.com.br/ultimas/azul-azul4-gol-goll4-alta-recomendacao-jp-morgan//?utm_source=twitter&amp;utm_medium=organic&amp;utm_campaign=&amp;utm_content=materia")</f>
        <v>https://einvestidor.estadao.com.br/ultimas/azul-azul4-gol-goll4-alta-recomendacao-jp-morgan//?utm_source=twitter&amp;utm_medium=organic&amp;utm_campaign=&amp;utm_content=materia</v>
      </c>
      <c r="Y2918" s="77" t="s">
        <v>6470</v>
      </c>
      <c r="Z2918" s="77"/>
      <c r="AA2918" s="77"/>
      <c r="AB2918" s="77"/>
      <c r="AC2918" s="82" t="s">
        <v>7750</v>
      </c>
      <c r="AD2918" s="77" t="s">
        <v>7788</v>
      </c>
      <c r="AE2918" s="80" t="str">
        <f>HYPERLINK("https://twitter.com/einvestidor/status/1703891652241404139")</f>
        <v>https://twitter.com/einvestidor/status/1703891652241404139</v>
      </c>
      <c r="AF2918" s="79">
        <v>45187.916678240741</v>
      </c>
      <c r="AG2918" s="85">
        <v>45187</v>
      </c>
      <c r="AH2918" s="82" t="s">
        <v>8052</v>
      </c>
      <c r="AI2918" s="77" t="b">
        <v>0</v>
      </c>
      <c r="AJ2918" s="77"/>
      <c r="AK2918" s="77"/>
      <c r="AL2918" s="77"/>
      <c r="AM2918" s="77"/>
      <c r="AN2918" s="77"/>
      <c r="AO2918" s="77"/>
      <c r="AP2918" s="77"/>
      <c r="AQ2918" s="77"/>
      <c r="AR2918" s="77"/>
      <c r="AS2918" s="77"/>
      <c r="AT2918" s="77"/>
      <c r="AU2918" s="77"/>
      <c r="AV2918" s="80" t="str">
        <f>HYPERLINK("https://pbs.twimg.com/profile_images/1241147984924082183/gZgx_hL-_normal.jpg")</f>
        <v>https://pbs.twimg.com/profile_images/1241147984924082183/gZgx_hL-_normal.jpg</v>
      </c>
      <c r="AW2918" s="82" t="s">
        <v>14514</v>
      </c>
      <c r="AX2918" s="82" t="s">
        <v>14514</v>
      </c>
      <c r="AY2918" s="77"/>
      <c r="AZ2918" s="82" t="s">
        <v>15984</v>
      </c>
      <c r="BA2918" s="82" t="s">
        <v>15984</v>
      </c>
      <c r="BB2918" s="82" t="s">
        <v>15984</v>
      </c>
      <c r="BC2918" s="82" t="s">
        <v>14514</v>
      </c>
      <c r="BD2918" s="82" t="s">
        <v>15979</v>
      </c>
      <c r="BE2918" s="77"/>
      <c r="BF2918" s="77"/>
      <c r="BG2918" s="77"/>
      <c r="BH2918" s="77"/>
      <c r="BI2918" s="77"/>
    </row>
    <row r="2919" spans="1:61" x14ac:dyDescent="0.25">
      <c r="A2919" s="62" t="s">
        <v>387</v>
      </c>
      <c r="B2919" s="62" t="s">
        <v>387</v>
      </c>
      <c r="C2919" s="63"/>
      <c r="D2919" s="64"/>
      <c r="E2919" s="65"/>
      <c r="F2919" s="66"/>
      <c r="G2919" s="63"/>
      <c r="H2919" s="67"/>
      <c r="I2919" s="68"/>
      <c r="J2919" s="68"/>
      <c r="K2919" s="32"/>
      <c r="L2919" s="75">
        <v>2919</v>
      </c>
      <c r="M2919" s="75"/>
      <c r="N2919" s="70"/>
      <c r="O2919" s="77" t="s">
        <v>179</v>
      </c>
      <c r="P2919" s="79">
        <v>45187.864583333336</v>
      </c>
      <c r="Q2919" s="77" t="s">
        <v>3591</v>
      </c>
      <c r="R2919" s="77">
        <v>0</v>
      </c>
      <c r="S2919" s="77">
        <v>2</v>
      </c>
      <c r="T2919" s="77">
        <v>0</v>
      </c>
      <c r="U2919" s="77">
        <v>0</v>
      </c>
      <c r="V2919" s="77">
        <v>542</v>
      </c>
      <c r="W2919" s="82" t="s">
        <v>4833</v>
      </c>
      <c r="X2919" s="80" t="str">
        <f>HYPERLINK("https://einvestidor.estadao.com.br/ultimas/presidente-apex-avalia-ambiente-investimentos-brasil/?utm_source=twitter&amp;utm_medium=organic&amp;utm_campaign=&amp;utm_content=materia")</f>
        <v>https://einvestidor.estadao.com.br/ultimas/presidente-apex-avalia-ambiente-investimentos-brasil/?utm_source=twitter&amp;utm_medium=organic&amp;utm_campaign=&amp;utm_content=materia</v>
      </c>
      <c r="Y2919" s="77" t="s">
        <v>6470</v>
      </c>
      <c r="Z2919" s="77"/>
      <c r="AA2919" s="77"/>
      <c r="AB2919" s="77"/>
      <c r="AC2919" s="82" t="s">
        <v>7750</v>
      </c>
      <c r="AD2919" s="77" t="s">
        <v>7788</v>
      </c>
      <c r="AE2919" s="80" t="str">
        <f>HYPERLINK("https://twitter.com/einvestidor/status/1703872773444002285")</f>
        <v>https://twitter.com/einvestidor/status/1703872773444002285</v>
      </c>
      <c r="AF2919" s="79">
        <v>45187.864583333336</v>
      </c>
      <c r="AG2919" s="85">
        <v>45187</v>
      </c>
      <c r="AH2919" s="82" t="s">
        <v>9596</v>
      </c>
      <c r="AI2919" s="77" t="b">
        <v>0</v>
      </c>
      <c r="AJ2919" s="77"/>
      <c r="AK2919" s="77"/>
      <c r="AL2919" s="77"/>
      <c r="AM2919" s="77"/>
      <c r="AN2919" s="77"/>
      <c r="AO2919" s="77"/>
      <c r="AP2919" s="77"/>
      <c r="AQ2919" s="77"/>
      <c r="AR2919" s="77"/>
      <c r="AS2919" s="77"/>
      <c r="AT2919" s="77"/>
      <c r="AU2919" s="77"/>
      <c r="AV2919" s="80" t="str">
        <f>HYPERLINK("https://pbs.twimg.com/profile_images/1241147984924082183/gZgx_hL-_normal.jpg")</f>
        <v>https://pbs.twimg.com/profile_images/1241147984924082183/gZgx_hL-_normal.jpg</v>
      </c>
      <c r="AW2919" s="82" t="s">
        <v>14515</v>
      </c>
      <c r="AX2919" s="82" t="s">
        <v>14515</v>
      </c>
      <c r="AY2919" s="77"/>
      <c r="AZ2919" s="82" t="s">
        <v>15984</v>
      </c>
      <c r="BA2919" s="82" t="s">
        <v>15984</v>
      </c>
      <c r="BB2919" s="82" t="s">
        <v>15984</v>
      </c>
      <c r="BC2919" s="82" t="s">
        <v>14515</v>
      </c>
      <c r="BD2919" s="82" t="s">
        <v>15979</v>
      </c>
      <c r="BE2919" s="77"/>
      <c r="BF2919" s="77"/>
      <c r="BG2919" s="77"/>
      <c r="BH2919" s="77"/>
      <c r="BI2919" s="77"/>
    </row>
    <row r="2920" spans="1:61" x14ac:dyDescent="0.25">
      <c r="A2920" s="62" t="s">
        <v>387</v>
      </c>
      <c r="B2920" s="62" t="s">
        <v>387</v>
      </c>
      <c r="C2920" s="63"/>
      <c r="D2920" s="64"/>
      <c r="E2920" s="65"/>
      <c r="F2920" s="66"/>
      <c r="G2920" s="63"/>
      <c r="H2920" s="67"/>
      <c r="I2920" s="68"/>
      <c r="J2920" s="68"/>
      <c r="K2920" s="32"/>
      <c r="L2920" s="75">
        <v>2920</v>
      </c>
      <c r="M2920" s="75"/>
      <c r="N2920" s="70"/>
      <c r="O2920" s="77" t="s">
        <v>179</v>
      </c>
      <c r="P2920" s="79">
        <v>45187.854166666664</v>
      </c>
      <c r="Q2920" s="77" t="s">
        <v>3592</v>
      </c>
      <c r="R2920" s="77">
        <v>0</v>
      </c>
      <c r="S2920" s="77">
        <v>1</v>
      </c>
      <c r="T2920" s="77">
        <v>0</v>
      </c>
      <c r="U2920" s="77">
        <v>0</v>
      </c>
      <c r="V2920" s="77">
        <v>436</v>
      </c>
      <c r="W2920" s="82" t="s">
        <v>6152</v>
      </c>
      <c r="X2920" s="80" t="str">
        <f>HYPERLINK("https://einvestidor.estadao.com.br/ultimas/desenrola-ja-renegociou-132-bilhoes-entenda-faixas-programa/?utm_source=twitter&amp;utm_medium=organic&amp;utm_campaign=&amp;utm_content=materia")</f>
        <v>https://einvestidor.estadao.com.br/ultimas/desenrola-ja-renegociou-132-bilhoes-entenda-faixas-programa/?utm_source=twitter&amp;utm_medium=organic&amp;utm_campaign=&amp;utm_content=materia</v>
      </c>
      <c r="Y2920" s="77" t="s">
        <v>6470</v>
      </c>
      <c r="Z2920" s="77"/>
      <c r="AA2920" s="77"/>
      <c r="AB2920" s="77"/>
      <c r="AC2920" s="82" t="s">
        <v>7750</v>
      </c>
      <c r="AD2920" s="77" t="s">
        <v>7788</v>
      </c>
      <c r="AE2920" s="80" t="str">
        <f>HYPERLINK("https://twitter.com/einvestidor/status/1703868999329808424")</f>
        <v>https://twitter.com/einvestidor/status/1703868999329808424</v>
      </c>
      <c r="AF2920" s="79">
        <v>45187.854166666664</v>
      </c>
      <c r="AG2920" s="85">
        <v>45187</v>
      </c>
      <c r="AH2920" s="82" t="s">
        <v>8090</v>
      </c>
      <c r="AI2920" s="77" t="b">
        <v>0</v>
      </c>
      <c r="AJ2920" s="77"/>
      <c r="AK2920" s="77"/>
      <c r="AL2920" s="77"/>
      <c r="AM2920" s="77"/>
      <c r="AN2920" s="77"/>
      <c r="AO2920" s="77"/>
      <c r="AP2920" s="77"/>
      <c r="AQ2920" s="77"/>
      <c r="AR2920" s="77"/>
      <c r="AS2920" s="77"/>
      <c r="AT2920" s="77"/>
      <c r="AU2920" s="77"/>
      <c r="AV2920" s="80" t="str">
        <f>HYPERLINK("https://pbs.twimg.com/profile_images/1241147984924082183/gZgx_hL-_normal.jpg")</f>
        <v>https://pbs.twimg.com/profile_images/1241147984924082183/gZgx_hL-_normal.jpg</v>
      </c>
      <c r="AW2920" s="82" t="s">
        <v>14516</v>
      </c>
      <c r="AX2920" s="82" t="s">
        <v>14516</v>
      </c>
      <c r="AY2920" s="77"/>
      <c r="AZ2920" s="82" t="s">
        <v>15984</v>
      </c>
      <c r="BA2920" s="82" t="s">
        <v>15984</v>
      </c>
      <c r="BB2920" s="82" t="s">
        <v>15984</v>
      </c>
      <c r="BC2920" s="82" t="s">
        <v>14516</v>
      </c>
      <c r="BD2920" s="82" t="s">
        <v>15979</v>
      </c>
      <c r="BE2920" s="77"/>
      <c r="BF2920" s="77"/>
      <c r="BG2920" s="77"/>
      <c r="BH2920" s="77"/>
      <c r="BI2920" s="77"/>
    </row>
    <row r="2921" spans="1:61" x14ac:dyDescent="0.25">
      <c r="A2921" s="62" t="s">
        <v>387</v>
      </c>
      <c r="B2921" s="62" t="s">
        <v>387</v>
      </c>
      <c r="C2921" s="63"/>
      <c r="D2921" s="64"/>
      <c r="E2921" s="65"/>
      <c r="F2921" s="66"/>
      <c r="G2921" s="63"/>
      <c r="H2921" s="67"/>
      <c r="I2921" s="68"/>
      <c r="J2921" s="68"/>
      <c r="K2921" s="32"/>
      <c r="L2921" s="75">
        <v>2921</v>
      </c>
      <c r="M2921" s="75"/>
      <c r="N2921" s="70"/>
      <c r="O2921" s="77" t="s">
        <v>179</v>
      </c>
      <c r="P2921" s="79">
        <v>45187.84375</v>
      </c>
      <c r="Q2921" s="77" t="s">
        <v>3593</v>
      </c>
      <c r="R2921" s="77">
        <v>0</v>
      </c>
      <c r="S2921" s="77">
        <v>2</v>
      </c>
      <c r="T2921" s="77">
        <v>0</v>
      </c>
      <c r="U2921" s="77">
        <v>0</v>
      </c>
      <c r="V2921" s="77">
        <v>501</v>
      </c>
      <c r="W2921" s="82" t="s">
        <v>6153</v>
      </c>
      <c r="X2921" s="80" t="str">
        <f>HYPERLINK("https://einvestidor.estadao.com.br/ultimas/boletim-focus-baixa-inflacao-2023/?utm_source=twitter&amp;utm_medium=organic&amp;utm_campaign=&amp;utm_content=materia")</f>
        <v>https://einvestidor.estadao.com.br/ultimas/boletim-focus-baixa-inflacao-2023/?utm_source=twitter&amp;utm_medium=organic&amp;utm_campaign=&amp;utm_content=materia</v>
      </c>
      <c r="Y2921" s="77" t="s">
        <v>6470</v>
      </c>
      <c r="Z2921" s="77"/>
      <c r="AA2921" s="77"/>
      <c r="AB2921" s="77"/>
      <c r="AC2921" s="82" t="s">
        <v>7750</v>
      </c>
      <c r="AD2921" s="77" t="s">
        <v>7788</v>
      </c>
      <c r="AE2921" s="80" t="str">
        <f>HYPERLINK("https://twitter.com/einvestidor/status/1703865223814299722")</f>
        <v>https://twitter.com/einvestidor/status/1703865223814299722</v>
      </c>
      <c r="AF2921" s="79">
        <v>45187.84375</v>
      </c>
      <c r="AG2921" s="85">
        <v>45187</v>
      </c>
      <c r="AH2921" s="82" t="s">
        <v>9296</v>
      </c>
      <c r="AI2921" s="77" t="b">
        <v>0</v>
      </c>
      <c r="AJ2921" s="77"/>
      <c r="AK2921" s="77"/>
      <c r="AL2921" s="77"/>
      <c r="AM2921" s="77"/>
      <c r="AN2921" s="77"/>
      <c r="AO2921" s="77"/>
      <c r="AP2921" s="77"/>
      <c r="AQ2921" s="77"/>
      <c r="AR2921" s="77"/>
      <c r="AS2921" s="77"/>
      <c r="AT2921" s="77"/>
      <c r="AU2921" s="77"/>
      <c r="AV2921" s="80" t="str">
        <f>HYPERLINK("https://pbs.twimg.com/profile_images/1241147984924082183/gZgx_hL-_normal.jpg")</f>
        <v>https://pbs.twimg.com/profile_images/1241147984924082183/gZgx_hL-_normal.jpg</v>
      </c>
      <c r="AW2921" s="82" t="s">
        <v>14517</v>
      </c>
      <c r="AX2921" s="82" t="s">
        <v>14517</v>
      </c>
      <c r="AY2921" s="77"/>
      <c r="AZ2921" s="82" t="s">
        <v>15984</v>
      </c>
      <c r="BA2921" s="82" t="s">
        <v>15984</v>
      </c>
      <c r="BB2921" s="82" t="s">
        <v>15984</v>
      </c>
      <c r="BC2921" s="82" t="s">
        <v>14517</v>
      </c>
      <c r="BD2921" s="82" t="s">
        <v>15979</v>
      </c>
      <c r="BE2921" s="77"/>
      <c r="BF2921" s="77"/>
      <c r="BG2921" s="77"/>
      <c r="BH2921" s="77"/>
      <c r="BI2921" s="77"/>
    </row>
    <row r="2922" spans="1:61" x14ac:dyDescent="0.25">
      <c r="A2922" s="62" t="s">
        <v>387</v>
      </c>
      <c r="B2922" s="62" t="s">
        <v>387</v>
      </c>
      <c r="C2922" s="63"/>
      <c r="D2922" s="64"/>
      <c r="E2922" s="65"/>
      <c r="F2922" s="66"/>
      <c r="G2922" s="63"/>
      <c r="H2922" s="67"/>
      <c r="I2922" s="68"/>
      <c r="J2922" s="68"/>
      <c r="K2922" s="32"/>
      <c r="L2922" s="75">
        <v>2922</v>
      </c>
      <c r="M2922" s="75"/>
      <c r="N2922" s="70"/>
      <c r="O2922" s="77" t="s">
        <v>179</v>
      </c>
      <c r="P2922" s="79">
        <v>45187.76761574074</v>
      </c>
      <c r="Q2922" s="77" t="s">
        <v>3594</v>
      </c>
      <c r="R2922" s="77">
        <v>0</v>
      </c>
      <c r="S2922" s="77">
        <v>0</v>
      </c>
      <c r="T2922" s="77">
        <v>0</v>
      </c>
      <c r="U2922" s="77">
        <v>0</v>
      </c>
      <c r="V2922" s="77">
        <v>408</v>
      </c>
      <c r="W2922" s="82" t="s">
        <v>4833</v>
      </c>
      <c r="X2922" s="80" t="str">
        <f>HYPERLINK("https://einvestidor.estadao.com.br/ultimas/dotz-dotz3-firma-parceria-speedo-multisport/?utm_source=twitter&amp;utm_medium=organic&amp;utm_campaign=&amp;utm_content=materia")</f>
        <v>https://einvestidor.estadao.com.br/ultimas/dotz-dotz3-firma-parceria-speedo-multisport/?utm_source=twitter&amp;utm_medium=organic&amp;utm_campaign=&amp;utm_content=materia</v>
      </c>
      <c r="Y2922" s="77" t="s">
        <v>6470</v>
      </c>
      <c r="Z2922" s="77"/>
      <c r="AA2922" s="77"/>
      <c r="AB2922" s="77"/>
      <c r="AC2922" s="82" t="s">
        <v>7750</v>
      </c>
      <c r="AD2922" s="77" t="s">
        <v>7788</v>
      </c>
      <c r="AE2922" s="80" t="str">
        <f>HYPERLINK("https://twitter.com/einvestidor/status/1703837633623757122")</f>
        <v>https://twitter.com/einvestidor/status/1703837633623757122</v>
      </c>
      <c r="AF2922" s="79">
        <v>45187.76761574074</v>
      </c>
      <c r="AG2922" s="85">
        <v>45187</v>
      </c>
      <c r="AH2922" s="82" t="s">
        <v>9871</v>
      </c>
      <c r="AI2922" s="77" t="b">
        <v>0</v>
      </c>
      <c r="AJ2922" s="77"/>
      <c r="AK2922" s="77"/>
      <c r="AL2922" s="77"/>
      <c r="AM2922" s="77"/>
      <c r="AN2922" s="77"/>
      <c r="AO2922" s="77"/>
      <c r="AP2922" s="77"/>
      <c r="AQ2922" s="77"/>
      <c r="AR2922" s="77"/>
      <c r="AS2922" s="77"/>
      <c r="AT2922" s="77"/>
      <c r="AU2922" s="77"/>
      <c r="AV2922" s="80" t="str">
        <f>HYPERLINK("https://pbs.twimg.com/profile_images/1241147984924082183/gZgx_hL-_normal.jpg")</f>
        <v>https://pbs.twimg.com/profile_images/1241147984924082183/gZgx_hL-_normal.jpg</v>
      </c>
      <c r="AW2922" s="82" t="s">
        <v>14518</v>
      </c>
      <c r="AX2922" s="82" t="s">
        <v>14518</v>
      </c>
      <c r="AY2922" s="77"/>
      <c r="AZ2922" s="82" t="s">
        <v>15984</v>
      </c>
      <c r="BA2922" s="82" t="s">
        <v>15984</v>
      </c>
      <c r="BB2922" s="82" t="s">
        <v>15984</v>
      </c>
      <c r="BC2922" s="82" t="s">
        <v>14518</v>
      </c>
      <c r="BD2922" s="82" t="s">
        <v>15979</v>
      </c>
      <c r="BE2922" s="77"/>
      <c r="BF2922" s="77"/>
      <c r="BG2922" s="77"/>
      <c r="BH2922" s="77"/>
      <c r="BI2922" s="77"/>
    </row>
    <row r="2923" spans="1:61" x14ac:dyDescent="0.25">
      <c r="A2923" s="62" t="s">
        <v>387</v>
      </c>
      <c r="B2923" s="62" t="s">
        <v>387</v>
      </c>
      <c r="C2923" s="63"/>
      <c r="D2923" s="64"/>
      <c r="E2923" s="65"/>
      <c r="F2923" s="66"/>
      <c r="G2923" s="63"/>
      <c r="H2923" s="67"/>
      <c r="I2923" s="68"/>
      <c r="J2923" s="68"/>
      <c r="K2923" s="32"/>
      <c r="L2923" s="75">
        <v>2923</v>
      </c>
      <c r="M2923" s="75"/>
      <c r="N2923" s="70"/>
      <c r="O2923" s="77" t="s">
        <v>179</v>
      </c>
      <c r="P2923" s="79">
        <v>45187.760416666664</v>
      </c>
      <c r="Q2923" s="77" t="s">
        <v>3595</v>
      </c>
      <c r="R2923" s="77">
        <v>0</v>
      </c>
      <c r="S2923" s="77">
        <v>1</v>
      </c>
      <c r="T2923" s="77">
        <v>0</v>
      </c>
      <c r="U2923" s="77">
        <v>0</v>
      </c>
      <c r="V2923" s="77">
        <v>436</v>
      </c>
      <c r="W2923" s="82" t="s">
        <v>6154</v>
      </c>
      <c r="X2923" s="80" t="str">
        <f>HYPERLINK("https://einvestidor.estadao.com.br/comportamento/smiles-nomad-milhas-usuarios/?utm_source=twitter&amp;utm_medium=organic&amp;utm_campaign=&amp;utm_content=materia")</f>
        <v>https://einvestidor.estadao.com.br/comportamento/smiles-nomad-milhas-usuarios/?utm_source=twitter&amp;utm_medium=organic&amp;utm_campaign=&amp;utm_content=materia</v>
      </c>
      <c r="Y2923" s="77" t="s">
        <v>6470</v>
      </c>
      <c r="Z2923" s="77"/>
      <c r="AA2923" s="77"/>
      <c r="AB2923" s="77"/>
      <c r="AC2923" s="82" t="s">
        <v>7750</v>
      </c>
      <c r="AD2923" s="77" t="s">
        <v>7788</v>
      </c>
      <c r="AE2923" s="80" t="str">
        <f>HYPERLINK("https://twitter.com/einvestidor/status/1703835024716382686")</f>
        <v>https://twitter.com/einvestidor/status/1703835024716382686</v>
      </c>
      <c r="AF2923" s="79">
        <v>45187.760416666664</v>
      </c>
      <c r="AG2923" s="85">
        <v>45187</v>
      </c>
      <c r="AH2923" s="82" t="s">
        <v>9582</v>
      </c>
      <c r="AI2923" s="77" t="b">
        <v>0</v>
      </c>
      <c r="AJ2923" s="77"/>
      <c r="AK2923" s="77"/>
      <c r="AL2923" s="77"/>
      <c r="AM2923" s="77"/>
      <c r="AN2923" s="77"/>
      <c r="AO2923" s="77"/>
      <c r="AP2923" s="77"/>
      <c r="AQ2923" s="77"/>
      <c r="AR2923" s="77"/>
      <c r="AS2923" s="77"/>
      <c r="AT2923" s="77"/>
      <c r="AU2923" s="77"/>
      <c r="AV2923" s="80" t="str">
        <f>HYPERLINK("https://pbs.twimg.com/profile_images/1241147984924082183/gZgx_hL-_normal.jpg")</f>
        <v>https://pbs.twimg.com/profile_images/1241147984924082183/gZgx_hL-_normal.jpg</v>
      </c>
      <c r="AW2923" s="82" t="s">
        <v>14519</v>
      </c>
      <c r="AX2923" s="82" t="s">
        <v>14519</v>
      </c>
      <c r="AY2923" s="77"/>
      <c r="AZ2923" s="82" t="s">
        <v>15984</v>
      </c>
      <c r="BA2923" s="82" t="s">
        <v>15984</v>
      </c>
      <c r="BB2923" s="82" t="s">
        <v>15984</v>
      </c>
      <c r="BC2923" s="82" t="s">
        <v>14519</v>
      </c>
      <c r="BD2923" s="82" t="s">
        <v>15979</v>
      </c>
      <c r="BE2923" s="77"/>
      <c r="BF2923" s="77"/>
      <c r="BG2923" s="77"/>
      <c r="BH2923" s="77"/>
      <c r="BI2923" s="77"/>
    </row>
    <row r="2924" spans="1:61" x14ac:dyDescent="0.25">
      <c r="A2924" s="62" t="s">
        <v>387</v>
      </c>
      <c r="B2924" s="62" t="s">
        <v>387</v>
      </c>
      <c r="C2924" s="63"/>
      <c r="D2924" s="64"/>
      <c r="E2924" s="65"/>
      <c r="F2924" s="66"/>
      <c r="G2924" s="63"/>
      <c r="H2924" s="67"/>
      <c r="I2924" s="68"/>
      <c r="J2924" s="68"/>
      <c r="K2924" s="32"/>
      <c r="L2924" s="75">
        <v>2924</v>
      </c>
      <c r="M2924" s="75"/>
      <c r="N2924" s="70"/>
      <c r="O2924" s="77" t="s">
        <v>179</v>
      </c>
      <c r="P2924" s="79">
        <v>45187.759340277778</v>
      </c>
      <c r="Q2924" s="77" t="s">
        <v>3596</v>
      </c>
      <c r="R2924" s="77">
        <v>1</v>
      </c>
      <c r="S2924" s="77">
        <v>1</v>
      </c>
      <c r="T2924" s="77">
        <v>0</v>
      </c>
      <c r="U2924" s="77">
        <v>0</v>
      </c>
      <c r="V2924" s="77">
        <v>649</v>
      </c>
      <c r="W2924" s="82" t="s">
        <v>4833</v>
      </c>
      <c r="X2924" s="80" t="str">
        <f>HYPERLINK("https://einvestidor.estadao.com.br/mercado/mercado-intraday-18-09-2023/?utm_source=twitter&amp;utm_medium=organic&amp;utm_campaign=&amp;utm_content=materia")</f>
        <v>https://einvestidor.estadao.com.br/mercado/mercado-intraday-18-09-2023/?utm_source=twitter&amp;utm_medium=organic&amp;utm_campaign=&amp;utm_content=materia</v>
      </c>
      <c r="Y2924" s="77" t="s">
        <v>6470</v>
      </c>
      <c r="Z2924" s="77"/>
      <c r="AA2924" s="77"/>
      <c r="AB2924" s="77"/>
      <c r="AC2924" s="82" t="s">
        <v>7750</v>
      </c>
      <c r="AD2924" s="77" t="s">
        <v>7788</v>
      </c>
      <c r="AE2924" s="80" t="str">
        <f>HYPERLINK("https://twitter.com/einvestidor/status/1703834636508364822")</f>
        <v>https://twitter.com/einvestidor/status/1703834636508364822</v>
      </c>
      <c r="AF2924" s="79">
        <v>45187.759340277778</v>
      </c>
      <c r="AG2924" s="85">
        <v>45187</v>
      </c>
      <c r="AH2924" s="82" t="s">
        <v>9872</v>
      </c>
      <c r="AI2924" s="77" t="b">
        <v>0</v>
      </c>
      <c r="AJ2924" s="77"/>
      <c r="AK2924" s="77"/>
      <c r="AL2924" s="77"/>
      <c r="AM2924" s="77"/>
      <c r="AN2924" s="77"/>
      <c r="AO2924" s="77"/>
      <c r="AP2924" s="77"/>
      <c r="AQ2924" s="77"/>
      <c r="AR2924" s="77"/>
      <c r="AS2924" s="77"/>
      <c r="AT2924" s="77"/>
      <c r="AU2924" s="77"/>
      <c r="AV2924" s="80" t="str">
        <f>HYPERLINK("https://pbs.twimg.com/profile_images/1241147984924082183/gZgx_hL-_normal.jpg")</f>
        <v>https://pbs.twimg.com/profile_images/1241147984924082183/gZgx_hL-_normal.jpg</v>
      </c>
      <c r="AW2924" s="82" t="s">
        <v>14520</v>
      </c>
      <c r="AX2924" s="82" t="s">
        <v>14520</v>
      </c>
      <c r="AY2924" s="77"/>
      <c r="AZ2924" s="82" t="s">
        <v>15984</v>
      </c>
      <c r="BA2924" s="82" t="s">
        <v>15984</v>
      </c>
      <c r="BB2924" s="82" t="s">
        <v>15984</v>
      </c>
      <c r="BC2924" s="82" t="s">
        <v>14520</v>
      </c>
      <c r="BD2924" s="82" t="s">
        <v>15979</v>
      </c>
      <c r="BE2924" s="77"/>
      <c r="BF2924" s="77"/>
      <c r="BG2924" s="77"/>
      <c r="BH2924" s="77"/>
      <c r="BI2924" s="77"/>
    </row>
    <row r="2925" spans="1:61" x14ac:dyDescent="0.25">
      <c r="A2925" s="62" t="s">
        <v>387</v>
      </c>
      <c r="B2925" s="62" t="s">
        <v>387</v>
      </c>
      <c r="C2925" s="63"/>
      <c r="D2925" s="64"/>
      <c r="E2925" s="65"/>
      <c r="F2925" s="66"/>
      <c r="G2925" s="63"/>
      <c r="H2925" s="67"/>
      <c r="I2925" s="68"/>
      <c r="J2925" s="68"/>
      <c r="K2925" s="32"/>
      <c r="L2925" s="75">
        <v>2925</v>
      </c>
      <c r="M2925" s="75"/>
      <c r="N2925" s="70"/>
      <c r="O2925" s="77" t="s">
        <v>898</v>
      </c>
      <c r="P2925" s="79">
        <v>45187.48196759259</v>
      </c>
      <c r="Q2925" s="77" t="s">
        <v>3597</v>
      </c>
      <c r="R2925" s="77">
        <v>0</v>
      </c>
      <c r="S2925" s="77">
        <v>1</v>
      </c>
      <c r="T2925" s="77">
        <v>0</v>
      </c>
      <c r="U2925" s="77">
        <v>0</v>
      </c>
      <c r="V2925" s="77">
        <v>372</v>
      </c>
      <c r="W2925" s="82" t="s">
        <v>4839</v>
      </c>
      <c r="X2925" s="80" t="str">
        <f>HYPERLINK("https://einvestidor.estadao.com.br/ultimas/socieete-generale-revela-projecoes-de-receita-menos-ambiciosas-entre-2002-2026/?utm_source=twitter&amp;utm_medium=organic&amp;utm_campaign=societe-generale&amp;utm_content=materia")</f>
        <v>https://einvestidor.estadao.com.br/ultimas/socieete-generale-revela-projecoes-de-receita-menos-ambiciosas-entre-2002-2026/?utm_source=twitter&amp;utm_medium=organic&amp;utm_campaign=societe-generale&amp;utm_content=materia</v>
      </c>
      <c r="Y2925" s="77" t="s">
        <v>6470</v>
      </c>
      <c r="Z2925" s="77"/>
      <c r="AA2925" s="77"/>
      <c r="AB2925" s="77"/>
      <c r="AC2925" s="82" t="s">
        <v>7750</v>
      </c>
      <c r="AD2925" s="77" t="s">
        <v>7788</v>
      </c>
      <c r="AE2925" s="80" t="str">
        <f>HYPERLINK("https://twitter.com/einvestidor/status/1703734117697802444")</f>
        <v>https://twitter.com/einvestidor/status/1703734117697802444</v>
      </c>
      <c r="AF2925" s="79">
        <v>45187.48196759259</v>
      </c>
      <c r="AG2925" s="85">
        <v>45187</v>
      </c>
      <c r="AH2925" s="82" t="s">
        <v>9873</v>
      </c>
      <c r="AI2925" s="77" t="b">
        <v>0</v>
      </c>
      <c r="AJ2925" s="77"/>
      <c r="AK2925" s="77"/>
      <c r="AL2925" s="77"/>
      <c r="AM2925" s="77"/>
      <c r="AN2925" s="77"/>
      <c r="AO2925" s="77"/>
      <c r="AP2925" s="77"/>
      <c r="AQ2925" s="77"/>
      <c r="AR2925" s="77"/>
      <c r="AS2925" s="77"/>
      <c r="AT2925" s="77"/>
      <c r="AU2925" s="77"/>
      <c r="AV2925" s="80" t="str">
        <f>HYPERLINK("https://pbs.twimg.com/profile_images/1241147984924082183/gZgx_hL-_normal.jpg")</f>
        <v>https://pbs.twimg.com/profile_images/1241147984924082183/gZgx_hL-_normal.jpg</v>
      </c>
      <c r="AW2925" s="82" t="s">
        <v>14521</v>
      </c>
      <c r="AX2925" s="82" t="s">
        <v>14522</v>
      </c>
      <c r="AY2925" s="82" t="s">
        <v>15979</v>
      </c>
      <c r="AZ2925" s="82" t="s">
        <v>14522</v>
      </c>
      <c r="BA2925" s="82" t="s">
        <v>15984</v>
      </c>
      <c r="BB2925" s="82" t="s">
        <v>15984</v>
      </c>
      <c r="BC2925" s="82" t="s">
        <v>14522</v>
      </c>
      <c r="BD2925" s="82" t="s">
        <v>15979</v>
      </c>
      <c r="BE2925" s="77"/>
      <c r="BF2925" s="77"/>
      <c r="BG2925" s="77"/>
      <c r="BH2925" s="77"/>
      <c r="BI2925" s="77"/>
    </row>
    <row r="2926" spans="1:61" x14ac:dyDescent="0.25">
      <c r="A2926" s="62" t="s">
        <v>387</v>
      </c>
      <c r="B2926" s="62" t="s">
        <v>387</v>
      </c>
      <c r="C2926" s="63"/>
      <c r="D2926" s="64"/>
      <c r="E2926" s="65"/>
      <c r="F2926" s="66"/>
      <c r="G2926" s="63"/>
      <c r="H2926" s="67"/>
      <c r="I2926" s="68"/>
      <c r="J2926" s="68"/>
      <c r="K2926" s="32"/>
      <c r="L2926" s="75">
        <v>2926</v>
      </c>
      <c r="M2926" s="75"/>
      <c r="N2926" s="70"/>
      <c r="O2926" s="77" t="s">
        <v>179</v>
      </c>
      <c r="P2926" s="79">
        <v>45187.466817129629</v>
      </c>
      <c r="Q2926" s="77" t="s">
        <v>3598</v>
      </c>
      <c r="R2926" s="77">
        <v>0</v>
      </c>
      <c r="S2926" s="77">
        <v>2</v>
      </c>
      <c r="T2926" s="77">
        <v>2</v>
      </c>
      <c r="U2926" s="77">
        <v>0</v>
      </c>
      <c r="V2926" s="77">
        <v>659</v>
      </c>
      <c r="W2926" s="82" t="s">
        <v>4839</v>
      </c>
      <c r="X2926" s="80" t="str">
        <f>HYPERLINK("https://einvestidor.estadao.com.br/ultimas/bolsas-europa-reagem-com-tombos-casino-societe-generale-paris/?utm_source=twitter&amp;utm_medium=organic&amp;utm_campaign=europa&amp;utm_content=materia")</f>
        <v>https://einvestidor.estadao.com.br/ultimas/bolsas-europa-reagem-com-tombos-casino-societe-generale-paris/?utm_source=twitter&amp;utm_medium=organic&amp;utm_campaign=europa&amp;utm_content=materia</v>
      </c>
      <c r="Y2926" s="77" t="s">
        <v>6470</v>
      </c>
      <c r="Z2926" s="77"/>
      <c r="AA2926" s="77"/>
      <c r="AB2926" s="77"/>
      <c r="AC2926" s="82" t="s">
        <v>7750</v>
      </c>
      <c r="AD2926" s="77" t="s">
        <v>7801</v>
      </c>
      <c r="AE2926" s="80" t="str">
        <f>HYPERLINK("https://twitter.com/einvestidor/status/1703728626850484242")</f>
        <v>https://twitter.com/einvestidor/status/1703728626850484242</v>
      </c>
      <c r="AF2926" s="79">
        <v>45187.466817129629</v>
      </c>
      <c r="AG2926" s="85">
        <v>45187</v>
      </c>
      <c r="AH2926" s="82" t="s">
        <v>9874</v>
      </c>
      <c r="AI2926" s="77" t="b">
        <v>0</v>
      </c>
      <c r="AJ2926" s="77"/>
      <c r="AK2926" s="77"/>
      <c r="AL2926" s="77"/>
      <c r="AM2926" s="77"/>
      <c r="AN2926" s="77"/>
      <c r="AO2926" s="77"/>
      <c r="AP2926" s="77"/>
      <c r="AQ2926" s="77"/>
      <c r="AR2926" s="77"/>
      <c r="AS2926" s="77"/>
      <c r="AT2926" s="77"/>
      <c r="AU2926" s="77"/>
      <c r="AV2926" s="80" t="str">
        <f>HYPERLINK("https://pbs.twimg.com/profile_images/1241147984924082183/gZgx_hL-_normal.jpg")</f>
        <v>https://pbs.twimg.com/profile_images/1241147984924082183/gZgx_hL-_normal.jpg</v>
      </c>
      <c r="AW2926" s="82" t="s">
        <v>14522</v>
      </c>
      <c r="AX2926" s="82" t="s">
        <v>14522</v>
      </c>
      <c r="AY2926" s="77"/>
      <c r="AZ2926" s="82" t="s">
        <v>15984</v>
      </c>
      <c r="BA2926" s="82" t="s">
        <v>15984</v>
      </c>
      <c r="BB2926" s="82" t="s">
        <v>15984</v>
      </c>
      <c r="BC2926" s="82" t="s">
        <v>14522</v>
      </c>
      <c r="BD2926" s="82" t="s">
        <v>15979</v>
      </c>
      <c r="BE2926" s="77"/>
      <c r="BF2926" s="77"/>
      <c r="BG2926" s="77"/>
      <c r="BH2926" s="77"/>
      <c r="BI2926" s="77"/>
    </row>
    <row r="2927" spans="1:61" x14ac:dyDescent="0.25">
      <c r="A2927" s="62" t="s">
        <v>387</v>
      </c>
      <c r="B2927" s="62" t="s">
        <v>387</v>
      </c>
      <c r="C2927" s="63"/>
      <c r="D2927" s="64"/>
      <c r="E2927" s="65"/>
      <c r="F2927" s="66"/>
      <c r="G2927" s="63"/>
      <c r="H2927" s="67"/>
      <c r="I2927" s="68"/>
      <c r="J2927" s="68"/>
      <c r="K2927" s="32"/>
      <c r="L2927" s="75">
        <v>2927</v>
      </c>
      <c r="M2927" s="75"/>
      <c r="N2927" s="70"/>
      <c r="O2927" s="77" t="s">
        <v>179</v>
      </c>
      <c r="P2927" s="79">
        <v>45185.500011574077</v>
      </c>
      <c r="Q2927" s="77" t="s">
        <v>3599</v>
      </c>
      <c r="R2927" s="77">
        <v>0</v>
      </c>
      <c r="S2927" s="77">
        <v>1</v>
      </c>
      <c r="T2927" s="77">
        <v>0</v>
      </c>
      <c r="U2927" s="77">
        <v>0</v>
      </c>
      <c r="V2927" s="77">
        <v>711</v>
      </c>
      <c r="W2927" s="82" t="s">
        <v>6155</v>
      </c>
      <c r="X2927" s="80" t="str">
        <f>HYPERLINK("https://einvestidor.estadao.com.br/investimentos/quais-investimentos-para-ter-renda-passiva-em-dolar/?utm_source=twitter&amp;utm_medium=organic&amp;utm_campaign=&amp;utm_content=materia")</f>
        <v>https://einvestidor.estadao.com.br/investimentos/quais-investimentos-para-ter-renda-passiva-em-dolar/?utm_source=twitter&amp;utm_medium=organic&amp;utm_campaign=&amp;utm_content=materia</v>
      </c>
      <c r="Y2927" s="77" t="s">
        <v>6470</v>
      </c>
      <c r="Z2927" s="77"/>
      <c r="AA2927" s="77"/>
      <c r="AB2927" s="77"/>
      <c r="AC2927" s="82" t="s">
        <v>7750</v>
      </c>
      <c r="AD2927" s="77" t="s">
        <v>7788</v>
      </c>
      <c r="AE2927" s="80" t="str">
        <f>HYPERLINK("https://twitter.com/einvestidor/status/1703015880253149501")</f>
        <v>https://twitter.com/einvestidor/status/1703015880253149501</v>
      </c>
      <c r="AF2927" s="79">
        <v>45185.500011574077</v>
      </c>
      <c r="AG2927" s="85">
        <v>45185</v>
      </c>
      <c r="AH2927" s="82" t="s">
        <v>9002</v>
      </c>
      <c r="AI2927" s="77" t="b">
        <v>0</v>
      </c>
      <c r="AJ2927" s="77"/>
      <c r="AK2927" s="77"/>
      <c r="AL2927" s="77"/>
      <c r="AM2927" s="77"/>
      <c r="AN2927" s="77"/>
      <c r="AO2927" s="77"/>
      <c r="AP2927" s="77"/>
      <c r="AQ2927" s="77"/>
      <c r="AR2927" s="77"/>
      <c r="AS2927" s="77"/>
      <c r="AT2927" s="77"/>
      <c r="AU2927" s="77"/>
      <c r="AV2927" s="80" t="str">
        <f>HYPERLINK("https://pbs.twimg.com/profile_images/1241147984924082183/gZgx_hL-_normal.jpg")</f>
        <v>https://pbs.twimg.com/profile_images/1241147984924082183/gZgx_hL-_normal.jpg</v>
      </c>
      <c r="AW2927" s="82" t="s">
        <v>14523</v>
      </c>
      <c r="AX2927" s="82" t="s">
        <v>14523</v>
      </c>
      <c r="AY2927" s="77"/>
      <c r="AZ2927" s="82" t="s">
        <v>15984</v>
      </c>
      <c r="BA2927" s="82" t="s">
        <v>15984</v>
      </c>
      <c r="BB2927" s="82" t="s">
        <v>15984</v>
      </c>
      <c r="BC2927" s="82" t="s">
        <v>14523</v>
      </c>
      <c r="BD2927" s="82" t="s">
        <v>15979</v>
      </c>
      <c r="BE2927" s="77"/>
      <c r="BF2927" s="77"/>
      <c r="BG2927" s="77"/>
      <c r="BH2927" s="77"/>
      <c r="BI2927" s="77"/>
    </row>
    <row r="2928" spans="1:61" x14ac:dyDescent="0.25">
      <c r="A2928" s="62" t="s">
        <v>387</v>
      </c>
      <c r="B2928" s="62" t="s">
        <v>387</v>
      </c>
      <c r="C2928" s="63"/>
      <c r="D2928" s="64"/>
      <c r="E2928" s="65"/>
      <c r="F2928" s="66"/>
      <c r="G2928" s="63"/>
      <c r="H2928" s="67"/>
      <c r="I2928" s="68"/>
      <c r="J2928" s="68"/>
      <c r="K2928" s="32"/>
      <c r="L2928" s="75">
        <v>2928</v>
      </c>
      <c r="M2928" s="75"/>
      <c r="N2928" s="70"/>
      <c r="O2928" s="77" t="s">
        <v>179</v>
      </c>
      <c r="P2928" s="79">
        <v>45183.947916666664</v>
      </c>
      <c r="Q2928" s="77" t="s">
        <v>3600</v>
      </c>
      <c r="R2928" s="77">
        <v>0</v>
      </c>
      <c r="S2928" s="77">
        <v>1</v>
      </c>
      <c r="T2928" s="77">
        <v>0</v>
      </c>
      <c r="U2928" s="77">
        <v>0</v>
      </c>
      <c r="V2928" s="77">
        <v>581</v>
      </c>
      <c r="W2928" s="82" t="s">
        <v>6156</v>
      </c>
      <c r="X2928" s="80" t="str">
        <f>HYPERLINK("https://einvestidor.estadao.com.br/ultimas/dolar-hoje-fecha-queda-com-avanco-commodities//?utm_source=twitter&amp;utm_medium=organic&amp;utm_campaign=&amp;utm_content=materia")</f>
        <v>https://einvestidor.estadao.com.br/ultimas/dolar-hoje-fecha-queda-com-avanco-commodities//?utm_source=twitter&amp;utm_medium=organic&amp;utm_campaign=&amp;utm_content=materia</v>
      </c>
      <c r="Y2928" s="77" t="s">
        <v>6470</v>
      </c>
      <c r="Z2928" s="77"/>
      <c r="AA2928" s="77"/>
      <c r="AB2928" s="77"/>
      <c r="AC2928" s="82" t="s">
        <v>7750</v>
      </c>
      <c r="AD2928" s="77" t="s">
        <v>7788</v>
      </c>
      <c r="AE2928" s="80" t="str">
        <f>HYPERLINK("https://twitter.com/einvestidor/status/1702453420953932110")</f>
        <v>https://twitter.com/einvestidor/status/1702453420953932110</v>
      </c>
      <c r="AF2928" s="79">
        <v>45183.947916666664</v>
      </c>
      <c r="AG2928" s="85">
        <v>45183</v>
      </c>
      <c r="AH2928" s="82" t="s">
        <v>9595</v>
      </c>
      <c r="AI2928" s="77" t="b">
        <v>0</v>
      </c>
      <c r="AJ2928" s="77"/>
      <c r="AK2928" s="77"/>
      <c r="AL2928" s="77"/>
      <c r="AM2928" s="77"/>
      <c r="AN2928" s="77"/>
      <c r="AO2928" s="77"/>
      <c r="AP2928" s="77"/>
      <c r="AQ2928" s="77"/>
      <c r="AR2928" s="77"/>
      <c r="AS2928" s="77"/>
      <c r="AT2928" s="77"/>
      <c r="AU2928" s="77"/>
      <c r="AV2928" s="80" t="str">
        <f>HYPERLINK("https://pbs.twimg.com/profile_images/1241147984924082183/gZgx_hL-_normal.jpg")</f>
        <v>https://pbs.twimg.com/profile_images/1241147984924082183/gZgx_hL-_normal.jpg</v>
      </c>
      <c r="AW2928" s="82" t="s">
        <v>14524</v>
      </c>
      <c r="AX2928" s="82" t="s">
        <v>14524</v>
      </c>
      <c r="AY2928" s="77"/>
      <c r="AZ2928" s="82" t="s">
        <v>15984</v>
      </c>
      <c r="BA2928" s="82" t="s">
        <v>15984</v>
      </c>
      <c r="BB2928" s="82" t="s">
        <v>15984</v>
      </c>
      <c r="BC2928" s="82" t="s">
        <v>14524</v>
      </c>
      <c r="BD2928" s="82" t="s">
        <v>15979</v>
      </c>
      <c r="BE2928" s="77"/>
      <c r="BF2928" s="77"/>
      <c r="BG2928" s="77"/>
      <c r="BH2928" s="77"/>
      <c r="BI2928" s="77"/>
    </row>
    <row r="2929" spans="1:61" x14ac:dyDescent="0.25">
      <c r="A2929" s="62" t="s">
        <v>387</v>
      </c>
      <c r="B2929" s="62" t="s">
        <v>387</v>
      </c>
      <c r="C2929" s="63"/>
      <c r="D2929" s="64"/>
      <c r="E2929" s="65"/>
      <c r="F2929" s="66"/>
      <c r="G2929" s="63"/>
      <c r="H2929" s="67"/>
      <c r="I2929" s="68"/>
      <c r="J2929" s="68"/>
      <c r="K2929" s="32"/>
      <c r="L2929" s="75">
        <v>2929</v>
      </c>
      <c r="M2929" s="75"/>
      <c r="N2929" s="70"/>
      <c r="O2929" s="77" t="s">
        <v>179</v>
      </c>
      <c r="P2929" s="79">
        <v>45183.9375</v>
      </c>
      <c r="Q2929" s="77" t="s">
        <v>3601</v>
      </c>
      <c r="R2929" s="77">
        <v>1</v>
      </c>
      <c r="S2929" s="77">
        <v>2</v>
      </c>
      <c r="T2929" s="77">
        <v>0</v>
      </c>
      <c r="U2929" s="77">
        <v>0</v>
      </c>
      <c r="V2929" s="77">
        <v>554</v>
      </c>
      <c r="W2929" s="82" t="s">
        <v>4833</v>
      </c>
      <c r="X2929" s="80" t="str">
        <f>HYPERLINK("https://einvestidor.estadao.com.br/educacao-financeira/juros-abusivos-justica-o-que-fazer/?utm_source=twitter&amp;utm_medium=organic&amp;utm_campaign=&amp;utm_content=materia")</f>
        <v>https://einvestidor.estadao.com.br/educacao-financeira/juros-abusivos-justica-o-que-fazer/?utm_source=twitter&amp;utm_medium=organic&amp;utm_campaign=&amp;utm_content=materia</v>
      </c>
      <c r="Y2929" s="77" t="s">
        <v>6470</v>
      </c>
      <c r="Z2929" s="77"/>
      <c r="AA2929" s="77"/>
      <c r="AB2929" s="77"/>
      <c r="AC2929" s="82" t="s">
        <v>7750</v>
      </c>
      <c r="AD2929" s="77" t="s">
        <v>7788</v>
      </c>
      <c r="AE2929" s="80" t="str">
        <f>HYPERLINK("https://twitter.com/einvestidor/status/1702449648294572434")</f>
        <v>https://twitter.com/einvestidor/status/1702449648294572434</v>
      </c>
      <c r="AF2929" s="79">
        <v>45183.9375</v>
      </c>
      <c r="AG2929" s="85">
        <v>45183</v>
      </c>
      <c r="AH2929" s="82" t="s">
        <v>7926</v>
      </c>
      <c r="AI2929" s="77" t="b">
        <v>0</v>
      </c>
      <c r="AJ2929" s="77"/>
      <c r="AK2929" s="77"/>
      <c r="AL2929" s="77"/>
      <c r="AM2929" s="77"/>
      <c r="AN2929" s="77"/>
      <c r="AO2929" s="77"/>
      <c r="AP2929" s="77"/>
      <c r="AQ2929" s="77"/>
      <c r="AR2929" s="77"/>
      <c r="AS2929" s="77"/>
      <c r="AT2929" s="77"/>
      <c r="AU2929" s="77"/>
      <c r="AV2929" s="80" t="str">
        <f>HYPERLINK("https://pbs.twimg.com/profile_images/1241147984924082183/gZgx_hL-_normal.jpg")</f>
        <v>https://pbs.twimg.com/profile_images/1241147984924082183/gZgx_hL-_normal.jpg</v>
      </c>
      <c r="AW2929" s="82" t="s">
        <v>14525</v>
      </c>
      <c r="AX2929" s="82" t="s">
        <v>14525</v>
      </c>
      <c r="AY2929" s="77"/>
      <c r="AZ2929" s="82" t="s">
        <v>15984</v>
      </c>
      <c r="BA2929" s="82" t="s">
        <v>15984</v>
      </c>
      <c r="BB2929" s="82" t="s">
        <v>15984</v>
      </c>
      <c r="BC2929" s="82" t="s">
        <v>14525</v>
      </c>
      <c r="BD2929" s="82" t="s">
        <v>15979</v>
      </c>
      <c r="BE2929" s="77"/>
      <c r="BF2929" s="77"/>
      <c r="BG2929" s="77"/>
      <c r="BH2929" s="77"/>
      <c r="BI2929" s="77"/>
    </row>
    <row r="2930" spans="1:61" x14ac:dyDescent="0.25">
      <c r="A2930" s="62" t="s">
        <v>387</v>
      </c>
      <c r="B2930" s="62" t="s">
        <v>387</v>
      </c>
      <c r="C2930" s="63"/>
      <c r="D2930" s="64"/>
      <c r="E2930" s="65"/>
      <c r="F2930" s="66"/>
      <c r="G2930" s="63"/>
      <c r="H2930" s="67"/>
      <c r="I2930" s="68"/>
      <c r="J2930" s="68"/>
      <c r="K2930" s="32"/>
      <c r="L2930" s="75">
        <v>2930</v>
      </c>
      <c r="M2930" s="75"/>
      <c r="N2930" s="70"/>
      <c r="O2930" s="77" t="s">
        <v>179</v>
      </c>
      <c r="P2930" s="79">
        <v>45183.927083333336</v>
      </c>
      <c r="Q2930" s="77" t="s">
        <v>3602</v>
      </c>
      <c r="R2930" s="77">
        <v>0</v>
      </c>
      <c r="S2930" s="77">
        <v>0</v>
      </c>
      <c r="T2930" s="77">
        <v>0</v>
      </c>
      <c r="U2930" s="77">
        <v>0</v>
      </c>
      <c r="V2930" s="77">
        <v>536</v>
      </c>
      <c r="W2930" s="82" t="s">
        <v>6004</v>
      </c>
      <c r="X2930" s="80" t="str">
        <f>HYPERLINK("https://einvestidor.estadao.com.br/educacao-financeira/por-que-saldo-fgts-bloqueado-o-que-fazer/?utm_source=twitter&amp;utm_medium=organic&amp;utm_campaign=&amp;utm_content=materia")</f>
        <v>https://einvestidor.estadao.com.br/educacao-financeira/por-que-saldo-fgts-bloqueado-o-que-fazer/?utm_source=twitter&amp;utm_medium=organic&amp;utm_campaign=&amp;utm_content=materia</v>
      </c>
      <c r="Y2930" s="77" t="s">
        <v>6470</v>
      </c>
      <c r="Z2930" s="77"/>
      <c r="AA2930" s="77"/>
      <c r="AB2930" s="77"/>
      <c r="AC2930" s="82" t="s">
        <v>7750</v>
      </c>
      <c r="AD2930" s="77" t="s">
        <v>7788</v>
      </c>
      <c r="AE2930" s="80" t="str">
        <f>HYPERLINK("https://twitter.com/einvestidor/status/1702445871240184208")</f>
        <v>https://twitter.com/einvestidor/status/1702445871240184208</v>
      </c>
      <c r="AF2930" s="79">
        <v>45183.927083333336</v>
      </c>
      <c r="AG2930" s="85">
        <v>45183</v>
      </c>
      <c r="AH2930" s="82" t="s">
        <v>9576</v>
      </c>
      <c r="AI2930" s="77" t="b">
        <v>0</v>
      </c>
      <c r="AJ2930" s="77"/>
      <c r="AK2930" s="77"/>
      <c r="AL2930" s="77"/>
      <c r="AM2930" s="77"/>
      <c r="AN2930" s="77"/>
      <c r="AO2930" s="77"/>
      <c r="AP2930" s="77"/>
      <c r="AQ2930" s="77"/>
      <c r="AR2930" s="77"/>
      <c r="AS2930" s="77"/>
      <c r="AT2930" s="77"/>
      <c r="AU2930" s="77"/>
      <c r="AV2930" s="80" t="str">
        <f>HYPERLINK("https://pbs.twimg.com/profile_images/1241147984924082183/gZgx_hL-_normal.jpg")</f>
        <v>https://pbs.twimg.com/profile_images/1241147984924082183/gZgx_hL-_normal.jpg</v>
      </c>
      <c r="AW2930" s="82" t="s">
        <v>14526</v>
      </c>
      <c r="AX2930" s="82" t="s">
        <v>14526</v>
      </c>
      <c r="AY2930" s="77"/>
      <c r="AZ2930" s="82" t="s">
        <v>15984</v>
      </c>
      <c r="BA2930" s="82" t="s">
        <v>15984</v>
      </c>
      <c r="BB2930" s="82" t="s">
        <v>15984</v>
      </c>
      <c r="BC2930" s="82" t="s">
        <v>14526</v>
      </c>
      <c r="BD2930" s="82" t="s">
        <v>15979</v>
      </c>
      <c r="BE2930" s="77"/>
      <c r="BF2930" s="77"/>
      <c r="BG2930" s="77"/>
      <c r="BH2930" s="77"/>
      <c r="BI2930" s="77"/>
    </row>
    <row r="2931" spans="1:61" x14ac:dyDescent="0.25">
      <c r="A2931" s="62" t="s">
        <v>387</v>
      </c>
      <c r="B2931" s="62" t="s">
        <v>387</v>
      </c>
      <c r="C2931" s="63"/>
      <c r="D2931" s="64"/>
      <c r="E2931" s="65"/>
      <c r="F2931" s="66"/>
      <c r="G2931" s="63"/>
      <c r="H2931" s="67"/>
      <c r="I2931" s="68"/>
      <c r="J2931" s="68"/>
      <c r="K2931" s="32"/>
      <c r="L2931" s="75">
        <v>2931</v>
      </c>
      <c r="M2931" s="75"/>
      <c r="N2931" s="70"/>
      <c r="O2931" s="77" t="s">
        <v>179</v>
      </c>
      <c r="P2931" s="79">
        <v>45183.916689814818</v>
      </c>
      <c r="Q2931" s="77" t="s">
        <v>3603</v>
      </c>
      <c r="R2931" s="77">
        <v>0</v>
      </c>
      <c r="S2931" s="77">
        <v>3</v>
      </c>
      <c r="T2931" s="77">
        <v>0</v>
      </c>
      <c r="U2931" s="77">
        <v>0</v>
      </c>
      <c r="V2931" s="77">
        <v>504</v>
      </c>
      <c r="W2931" s="82" t="s">
        <v>4833</v>
      </c>
      <c r="X2931" s="80" t="str">
        <f>HYPERLINK("https://einvestidor.estadao.com.br/ultimas/moedas-globais-dolar-sobe-ante-rivais/?utm_source=twitter&amp;utm_medium=organic&amp;utm_campaign=moedas-globais&amp;utm_content=materia")</f>
        <v>https://einvestidor.estadao.com.br/ultimas/moedas-globais-dolar-sobe-ante-rivais/?utm_source=twitter&amp;utm_medium=organic&amp;utm_campaign=moedas-globais&amp;utm_content=materia</v>
      </c>
      <c r="Y2931" s="77" t="s">
        <v>6470</v>
      </c>
      <c r="Z2931" s="77"/>
      <c r="AA2931" s="77"/>
      <c r="AB2931" s="77"/>
      <c r="AC2931" s="82" t="s">
        <v>7750</v>
      </c>
      <c r="AD2931" s="77" t="s">
        <v>7788</v>
      </c>
      <c r="AE2931" s="80" t="str">
        <f>HYPERLINK("https://twitter.com/einvestidor/status/1702442104335835375")</f>
        <v>https://twitter.com/einvestidor/status/1702442104335835375</v>
      </c>
      <c r="AF2931" s="79">
        <v>45183.916689814818</v>
      </c>
      <c r="AG2931" s="85">
        <v>45183</v>
      </c>
      <c r="AH2931" s="82" t="s">
        <v>8627</v>
      </c>
      <c r="AI2931" s="77" t="b">
        <v>0</v>
      </c>
      <c r="AJ2931" s="77"/>
      <c r="AK2931" s="77"/>
      <c r="AL2931" s="77"/>
      <c r="AM2931" s="77"/>
      <c r="AN2931" s="77"/>
      <c r="AO2931" s="77"/>
      <c r="AP2931" s="77"/>
      <c r="AQ2931" s="77"/>
      <c r="AR2931" s="77"/>
      <c r="AS2931" s="77"/>
      <c r="AT2931" s="77"/>
      <c r="AU2931" s="77"/>
      <c r="AV2931" s="80" t="str">
        <f>HYPERLINK("https://pbs.twimg.com/profile_images/1241147984924082183/gZgx_hL-_normal.jpg")</f>
        <v>https://pbs.twimg.com/profile_images/1241147984924082183/gZgx_hL-_normal.jpg</v>
      </c>
      <c r="AW2931" s="82" t="s">
        <v>14527</v>
      </c>
      <c r="AX2931" s="82" t="s">
        <v>14527</v>
      </c>
      <c r="AY2931" s="77"/>
      <c r="AZ2931" s="82" t="s">
        <v>15984</v>
      </c>
      <c r="BA2931" s="82" t="s">
        <v>15984</v>
      </c>
      <c r="BB2931" s="82" t="s">
        <v>15984</v>
      </c>
      <c r="BC2931" s="82" t="s">
        <v>14527</v>
      </c>
      <c r="BD2931" s="82" t="s">
        <v>15979</v>
      </c>
      <c r="BE2931" s="77"/>
      <c r="BF2931" s="77"/>
      <c r="BG2931" s="77"/>
      <c r="BH2931" s="77"/>
      <c r="BI2931" s="77"/>
    </row>
    <row r="2932" spans="1:61" x14ac:dyDescent="0.25">
      <c r="A2932" s="62" t="s">
        <v>387</v>
      </c>
      <c r="B2932" s="62" t="s">
        <v>387</v>
      </c>
      <c r="C2932" s="63"/>
      <c r="D2932" s="64"/>
      <c r="E2932" s="65"/>
      <c r="F2932" s="66"/>
      <c r="G2932" s="63"/>
      <c r="H2932" s="67"/>
      <c r="I2932" s="68"/>
      <c r="J2932" s="68"/>
      <c r="K2932" s="32"/>
      <c r="L2932" s="75">
        <v>2932</v>
      </c>
      <c r="M2932" s="75"/>
      <c r="N2932" s="70"/>
      <c r="O2932" s="77" t="s">
        <v>179</v>
      </c>
      <c r="P2932" s="79">
        <v>45183.90625</v>
      </c>
      <c r="Q2932" s="77" t="s">
        <v>3604</v>
      </c>
      <c r="R2932" s="77">
        <v>0</v>
      </c>
      <c r="S2932" s="77">
        <v>1</v>
      </c>
      <c r="T2932" s="77">
        <v>0</v>
      </c>
      <c r="U2932" s="77">
        <v>0</v>
      </c>
      <c r="V2932" s="77">
        <v>456</v>
      </c>
      <c r="W2932" s="82" t="s">
        <v>4833</v>
      </c>
      <c r="X2932" s="80" t="str">
        <f>HYPERLINK("https://einvestidor.estadao.com.br/ultimas/petroleo-fechamento-14-09-2023/?utm_source=twitter&amp;utm_medium=organic&amp;utm_campaign=&amp;utm_content=materia")</f>
        <v>https://einvestidor.estadao.com.br/ultimas/petroleo-fechamento-14-09-2023/?utm_source=twitter&amp;utm_medium=organic&amp;utm_campaign=&amp;utm_content=materia</v>
      </c>
      <c r="Y2932" s="77" t="s">
        <v>6470</v>
      </c>
      <c r="Z2932" s="77"/>
      <c r="AA2932" s="77"/>
      <c r="AB2932" s="77"/>
      <c r="AC2932" s="82" t="s">
        <v>7750</v>
      </c>
      <c r="AD2932" s="77" t="s">
        <v>7788</v>
      </c>
      <c r="AE2932" s="80" t="str">
        <f>HYPERLINK("https://twitter.com/einvestidor/status/1702438321211711563")</f>
        <v>https://twitter.com/einvestidor/status/1702438321211711563</v>
      </c>
      <c r="AF2932" s="79">
        <v>45183.90625</v>
      </c>
      <c r="AG2932" s="85">
        <v>45183</v>
      </c>
      <c r="AH2932" s="82" t="s">
        <v>9578</v>
      </c>
      <c r="AI2932" s="77" t="b">
        <v>0</v>
      </c>
      <c r="AJ2932" s="77"/>
      <c r="AK2932" s="77"/>
      <c r="AL2932" s="77"/>
      <c r="AM2932" s="77"/>
      <c r="AN2932" s="77"/>
      <c r="AO2932" s="77"/>
      <c r="AP2932" s="77"/>
      <c r="AQ2932" s="77"/>
      <c r="AR2932" s="77"/>
      <c r="AS2932" s="77"/>
      <c r="AT2932" s="77"/>
      <c r="AU2932" s="77"/>
      <c r="AV2932" s="80" t="str">
        <f>HYPERLINK("https://pbs.twimg.com/profile_images/1241147984924082183/gZgx_hL-_normal.jpg")</f>
        <v>https://pbs.twimg.com/profile_images/1241147984924082183/gZgx_hL-_normal.jpg</v>
      </c>
      <c r="AW2932" s="82" t="s">
        <v>14528</v>
      </c>
      <c r="AX2932" s="82" t="s">
        <v>14528</v>
      </c>
      <c r="AY2932" s="77"/>
      <c r="AZ2932" s="82" t="s">
        <v>15984</v>
      </c>
      <c r="BA2932" s="82" t="s">
        <v>15984</v>
      </c>
      <c r="BB2932" s="82" t="s">
        <v>15984</v>
      </c>
      <c r="BC2932" s="82" t="s">
        <v>14528</v>
      </c>
      <c r="BD2932" s="82" t="s">
        <v>15979</v>
      </c>
      <c r="BE2932" s="77"/>
      <c r="BF2932" s="77"/>
      <c r="BG2932" s="77"/>
      <c r="BH2932" s="77"/>
      <c r="BI2932" s="77"/>
    </row>
    <row r="2933" spans="1:61" x14ac:dyDescent="0.25">
      <c r="A2933" s="62" t="s">
        <v>387</v>
      </c>
      <c r="B2933" s="62" t="s">
        <v>387</v>
      </c>
      <c r="C2933" s="63"/>
      <c r="D2933" s="64"/>
      <c r="E2933" s="65"/>
      <c r="F2933" s="66"/>
      <c r="G2933" s="63"/>
      <c r="H2933" s="67"/>
      <c r="I2933" s="68"/>
      <c r="J2933" s="68"/>
      <c r="K2933" s="32"/>
      <c r="L2933" s="75">
        <v>2933</v>
      </c>
      <c r="M2933" s="75"/>
      <c r="N2933" s="70"/>
      <c r="O2933" s="77" t="s">
        <v>179</v>
      </c>
      <c r="P2933" s="79">
        <v>45183.901678240742</v>
      </c>
      <c r="Q2933" s="77" t="s">
        <v>3605</v>
      </c>
      <c r="R2933" s="77">
        <v>0</v>
      </c>
      <c r="S2933" s="77">
        <v>1</v>
      </c>
      <c r="T2933" s="77">
        <v>0</v>
      </c>
      <c r="U2933" s="77">
        <v>0</v>
      </c>
      <c r="V2933" s="77">
        <v>492</v>
      </c>
      <c r="W2933" s="82" t="s">
        <v>4833</v>
      </c>
      <c r="X2933" s="80" t="str">
        <f>HYPERLINK("https://einvestidor.estadao.com.br/mercado/fechamento-de-mercado-14-09-2023/?utm_source=twitter&amp;utm_medium=organic&amp;utm_campaign=&amp;utm_content=materia")</f>
        <v>https://einvestidor.estadao.com.br/mercado/fechamento-de-mercado-14-09-2023/?utm_source=twitter&amp;utm_medium=organic&amp;utm_campaign=&amp;utm_content=materia</v>
      </c>
      <c r="Y2933" s="77" t="s">
        <v>6470</v>
      </c>
      <c r="Z2933" s="77"/>
      <c r="AA2933" s="77"/>
      <c r="AB2933" s="77"/>
      <c r="AC2933" s="82" t="s">
        <v>7750</v>
      </c>
      <c r="AD2933" s="77" t="s">
        <v>7788</v>
      </c>
      <c r="AE2933" s="80" t="str">
        <f>HYPERLINK("https://twitter.com/einvestidor/status/1702436666009354324")</f>
        <v>https://twitter.com/einvestidor/status/1702436666009354324</v>
      </c>
      <c r="AF2933" s="79">
        <v>45183.901678240742</v>
      </c>
      <c r="AG2933" s="85">
        <v>45183</v>
      </c>
      <c r="AH2933" s="82" t="s">
        <v>9875</v>
      </c>
      <c r="AI2933" s="77" t="b">
        <v>0</v>
      </c>
      <c r="AJ2933" s="77"/>
      <c r="AK2933" s="77"/>
      <c r="AL2933" s="77"/>
      <c r="AM2933" s="77"/>
      <c r="AN2933" s="77"/>
      <c r="AO2933" s="77"/>
      <c r="AP2933" s="77"/>
      <c r="AQ2933" s="77"/>
      <c r="AR2933" s="77"/>
      <c r="AS2933" s="77"/>
      <c r="AT2933" s="77"/>
      <c r="AU2933" s="77"/>
      <c r="AV2933" s="80" t="str">
        <f>HYPERLINK("https://pbs.twimg.com/profile_images/1241147984924082183/gZgx_hL-_normal.jpg")</f>
        <v>https://pbs.twimg.com/profile_images/1241147984924082183/gZgx_hL-_normal.jpg</v>
      </c>
      <c r="AW2933" s="82" t="s">
        <v>14529</v>
      </c>
      <c r="AX2933" s="82" t="s">
        <v>14529</v>
      </c>
      <c r="AY2933" s="77"/>
      <c r="AZ2933" s="82" t="s">
        <v>15984</v>
      </c>
      <c r="BA2933" s="82" t="s">
        <v>15984</v>
      </c>
      <c r="BB2933" s="82" t="s">
        <v>15984</v>
      </c>
      <c r="BC2933" s="82" t="s">
        <v>14529</v>
      </c>
      <c r="BD2933" s="82" t="s">
        <v>15979</v>
      </c>
      <c r="BE2933" s="77"/>
      <c r="BF2933" s="77"/>
      <c r="BG2933" s="77"/>
      <c r="BH2933" s="77"/>
      <c r="BI2933" s="77"/>
    </row>
    <row r="2934" spans="1:61" x14ac:dyDescent="0.25">
      <c r="A2934" s="62" t="s">
        <v>387</v>
      </c>
      <c r="B2934" s="62" t="s">
        <v>387</v>
      </c>
      <c r="C2934" s="63"/>
      <c r="D2934" s="64"/>
      <c r="E2934" s="65"/>
      <c r="F2934" s="66"/>
      <c r="G2934" s="63"/>
      <c r="H2934" s="67"/>
      <c r="I2934" s="68"/>
      <c r="J2934" s="68"/>
      <c r="K2934" s="32"/>
      <c r="L2934" s="75">
        <v>2934</v>
      </c>
      <c r="M2934" s="75"/>
      <c r="N2934" s="70"/>
      <c r="O2934" s="77" t="s">
        <v>179</v>
      </c>
      <c r="P2934" s="79">
        <v>45183.895833333336</v>
      </c>
      <c r="Q2934" s="77" t="s">
        <v>3606</v>
      </c>
      <c r="R2934" s="77">
        <v>0</v>
      </c>
      <c r="S2934" s="77">
        <v>0</v>
      </c>
      <c r="T2934" s="77">
        <v>0</v>
      </c>
      <c r="U2934" s="77">
        <v>0</v>
      </c>
      <c r="V2934" s="77">
        <v>476</v>
      </c>
      <c r="W2934" s="82" t="s">
        <v>4833</v>
      </c>
      <c r="X2934" s="77"/>
      <c r="Y2934" s="77"/>
      <c r="Z2934" s="77"/>
      <c r="AA2934" s="77"/>
      <c r="AB2934" s="77"/>
      <c r="AC2934" s="82" t="s">
        <v>7750</v>
      </c>
      <c r="AD2934" s="77" t="s">
        <v>7788</v>
      </c>
      <c r="AE2934" s="80" t="str">
        <f>HYPERLINK("https://twitter.com/einvestidor/status/1702434547453829217")</f>
        <v>https://twitter.com/einvestidor/status/1702434547453829217</v>
      </c>
      <c r="AF2934" s="79">
        <v>45183.895833333336</v>
      </c>
      <c r="AG2934" s="85">
        <v>45183</v>
      </c>
      <c r="AH2934" s="82" t="s">
        <v>8089</v>
      </c>
      <c r="AI2934" s="77"/>
      <c r="AJ2934" s="77"/>
      <c r="AK2934" s="77"/>
      <c r="AL2934" s="77"/>
      <c r="AM2934" s="77"/>
      <c r="AN2934" s="77"/>
      <c r="AO2934" s="77"/>
      <c r="AP2934" s="77"/>
      <c r="AQ2934" s="77"/>
      <c r="AR2934" s="77"/>
      <c r="AS2934" s="77"/>
      <c r="AT2934" s="77"/>
      <c r="AU2934" s="77"/>
      <c r="AV2934" s="80" t="str">
        <f>HYPERLINK("https://pbs.twimg.com/profile_images/1241147984924082183/gZgx_hL-_normal.jpg")</f>
        <v>https://pbs.twimg.com/profile_images/1241147984924082183/gZgx_hL-_normal.jpg</v>
      </c>
      <c r="AW2934" s="82" t="s">
        <v>14530</v>
      </c>
      <c r="AX2934" s="82" t="s">
        <v>14530</v>
      </c>
      <c r="AY2934" s="77"/>
      <c r="AZ2934" s="82" t="s">
        <v>15984</v>
      </c>
      <c r="BA2934" s="82" t="s">
        <v>15984</v>
      </c>
      <c r="BB2934" s="82" t="s">
        <v>15984</v>
      </c>
      <c r="BC2934" s="82" t="s">
        <v>14530</v>
      </c>
      <c r="BD2934" s="82" t="s">
        <v>15979</v>
      </c>
      <c r="BE2934" s="77"/>
      <c r="BF2934" s="77"/>
      <c r="BG2934" s="77"/>
      <c r="BH2934" s="77"/>
      <c r="BI2934" s="77"/>
    </row>
    <row r="2935" spans="1:61" x14ac:dyDescent="0.25">
      <c r="A2935" s="62" t="s">
        <v>387</v>
      </c>
      <c r="B2935" s="62" t="s">
        <v>387</v>
      </c>
      <c r="C2935" s="63"/>
      <c r="D2935" s="64"/>
      <c r="E2935" s="65"/>
      <c r="F2935" s="66"/>
      <c r="G2935" s="63"/>
      <c r="H2935" s="67"/>
      <c r="I2935" s="68"/>
      <c r="J2935" s="68"/>
      <c r="K2935" s="32"/>
      <c r="L2935" s="75">
        <v>2935</v>
      </c>
      <c r="M2935" s="75"/>
      <c r="N2935" s="70"/>
      <c r="O2935" s="77" t="s">
        <v>179</v>
      </c>
      <c r="P2935" s="79">
        <v>45177.822916666664</v>
      </c>
      <c r="Q2935" s="77" t="s">
        <v>3607</v>
      </c>
      <c r="R2935" s="77">
        <v>0</v>
      </c>
      <c r="S2935" s="77">
        <v>0</v>
      </c>
      <c r="T2935" s="77">
        <v>0</v>
      </c>
      <c r="U2935" s="77">
        <v>0</v>
      </c>
      <c r="V2935" s="77">
        <v>486</v>
      </c>
      <c r="W2935" s="82" t="s">
        <v>6128</v>
      </c>
      <c r="X2935" s="80" t="str">
        <f>HYPERLINK("https://einvestidor.estadao.com.br/radar-einvestidor/quina-sorteia-r9-milhoes-nesta-sexta/?utm_source=twitter&amp;utm_medium=organic&amp;utm_campaign=&amp;utm_content=materia")</f>
        <v>https://einvestidor.estadao.com.br/radar-einvestidor/quina-sorteia-r9-milhoes-nesta-sexta/?utm_source=twitter&amp;utm_medium=organic&amp;utm_campaign=&amp;utm_content=materia</v>
      </c>
      <c r="Y2935" s="77" t="s">
        <v>6470</v>
      </c>
      <c r="Z2935" s="77"/>
      <c r="AA2935" s="77"/>
      <c r="AB2935" s="77"/>
      <c r="AC2935" s="82" t="s">
        <v>7750</v>
      </c>
      <c r="AD2935" s="77" t="s">
        <v>7788</v>
      </c>
      <c r="AE2935" s="80" t="str">
        <f>HYPERLINK("https://twitter.com/einvestidor/status/1700233795117420968")</f>
        <v>https://twitter.com/einvestidor/status/1700233795117420968</v>
      </c>
      <c r="AF2935" s="79">
        <v>45177.822916666664</v>
      </c>
      <c r="AG2935" s="85">
        <v>45177</v>
      </c>
      <c r="AH2935" s="82" t="s">
        <v>9579</v>
      </c>
      <c r="AI2935" s="77" t="b">
        <v>0</v>
      </c>
      <c r="AJ2935" s="77"/>
      <c r="AK2935" s="77"/>
      <c r="AL2935" s="77"/>
      <c r="AM2935" s="77"/>
      <c r="AN2935" s="77"/>
      <c r="AO2935" s="77"/>
      <c r="AP2935" s="77"/>
      <c r="AQ2935" s="77"/>
      <c r="AR2935" s="77"/>
      <c r="AS2935" s="77"/>
      <c r="AT2935" s="77"/>
      <c r="AU2935" s="77"/>
      <c r="AV2935" s="80" t="str">
        <f>HYPERLINK("https://pbs.twimg.com/profile_images/1241147984924082183/gZgx_hL-_normal.jpg")</f>
        <v>https://pbs.twimg.com/profile_images/1241147984924082183/gZgx_hL-_normal.jpg</v>
      </c>
      <c r="AW2935" s="82" t="s">
        <v>14531</v>
      </c>
      <c r="AX2935" s="82" t="s">
        <v>14531</v>
      </c>
      <c r="AY2935" s="77"/>
      <c r="AZ2935" s="82" t="s">
        <v>15984</v>
      </c>
      <c r="BA2935" s="82" t="s">
        <v>15984</v>
      </c>
      <c r="BB2935" s="82" t="s">
        <v>15984</v>
      </c>
      <c r="BC2935" s="82" t="s">
        <v>14531</v>
      </c>
      <c r="BD2935" s="82" t="s">
        <v>15979</v>
      </c>
      <c r="BE2935" s="77"/>
      <c r="BF2935" s="77"/>
      <c r="BG2935" s="77"/>
      <c r="BH2935" s="77"/>
      <c r="BI2935" s="77"/>
    </row>
    <row r="2936" spans="1:61" x14ac:dyDescent="0.25">
      <c r="A2936" s="62" t="s">
        <v>387</v>
      </c>
      <c r="B2936" s="62" t="s">
        <v>387</v>
      </c>
      <c r="C2936" s="63"/>
      <c r="D2936" s="64"/>
      <c r="E2936" s="65"/>
      <c r="F2936" s="66"/>
      <c r="G2936" s="63"/>
      <c r="H2936" s="67"/>
      <c r="I2936" s="68"/>
      <c r="J2936" s="68"/>
      <c r="K2936" s="32"/>
      <c r="L2936" s="75">
        <v>2936</v>
      </c>
      <c r="M2936" s="75"/>
      <c r="N2936" s="70"/>
      <c r="O2936" s="77" t="s">
        <v>179</v>
      </c>
      <c r="P2936" s="79">
        <v>45177.8125</v>
      </c>
      <c r="Q2936" s="77" t="s">
        <v>3608</v>
      </c>
      <c r="R2936" s="77">
        <v>0</v>
      </c>
      <c r="S2936" s="77">
        <v>0</v>
      </c>
      <c r="T2936" s="77">
        <v>0</v>
      </c>
      <c r="U2936" s="77">
        <v>0</v>
      </c>
      <c r="V2936" s="77">
        <v>489</v>
      </c>
      <c r="W2936" s="82" t="s">
        <v>6157</v>
      </c>
      <c r="X2936" s="80" t="str">
        <f>HYPERLINK("https://einvestidor.estadao.com.br/ultimas/light-cvm-recuperacao-judicial//?utm_source=twitter&amp;utm_medium=organic&amp;utm_campaign=&amp;utm_content=materia")</f>
        <v>https://einvestidor.estadao.com.br/ultimas/light-cvm-recuperacao-judicial//?utm_source=twitter&amp;utm_medium=organic&amp;utm_campaign=&amp;utm_content=materia</v>
      </c>
      <c r="Y2936" s="77" t="s">
        <v>6470</v>
      </c>
      <c r="Z2936" s="77"/>
      <c r="AA2936" s="77"/>
      <c r="AB2936" s="77"/>
      <c r="AC2936" s="82" t="s">
        <v>7750</v>
      </c>
      <c r="AD2936" s="77" t="s">
        <v>7788</v>
      </c>
      <c r="AE2936" s="80" t="str">
        <f>HYPERLINK("https://twitter.com/einvestidor/status/1700230021477183674")</f>
        <v>https://twitter.com/einvestidor/status/1700230021477183674</v>
      </c>
      <c r="AF2936" s="79">
        <v>45177.8125</v>
      </c>
      <c r="AG2936" s="85">
        <v>45177</v>
      </c>
      <c r="AH2936" s="82" t="s">
        <v>8281</v>
      </c>
      <c r="AI2936" s="77" t="b">
        <v>0</v>
      </c>
      <c r="AJ2936" s="77"/>
      <c r="AK2936" s="77"/>
      <c r="AL2936" s="77"/>
      <c r="AM2936" s="77"/>
      <c r="AN2936" s="77"/>
      <c r="AO2936" s="77"/>
      <c r="AP2936" s="77"/>
      <c r="AQ2936" s="77"/>
      <c r="AR2936" s="77"/>
      <c r="AS2936" s="77"/>
      <c r="AT2936" s="77"/>
      <c r="AU2936" s="77"/>
      <c r="AV2936" s="80" t="str">
        <f>HYPERLINK("https://pbs.twimg.com/profile_images/1241147984924082183/gZgx_hL-_normal.jpg")</f>
        <v>https://pbs.twimg.com/profile_images/1241147984924082183/gZgx_hL-_normal.jpg</v>
      </c>
      <c r="AW2936" s="82" t="s">
        <v>14532</v>
      </c>
      <c r="AX2936" s="82" t="s">
        <v>14532</v>
      </c>
      <c r="AY2936" s="77"/>
      <c r="AZ2936" s="82" t="s">
        <v>15984</v>
      </c>
      <c r="BA2936" s="82" t="s">
        <v>15984</v>
      </c>
      <c r="BB2936" s="82" t="s">
        <v>15984</v>
      </c>
      <c r="BC2936" s="82" t="s">
        <v>14532</v>
      </c>
      <c r="BD2936" s="82" t="s">
        <v>15979</v>
      </c>
      <c r="BE2936" s="77"/>
      <c r="BF2936" s="77"/>
      <c r="BG2936" s="77"/>
      <c r="BH2936" s="77"/>
      <c r="BI2936" s="77"/>
    </row>
    <row r="2937" spans="1:61" x14ac:dyDescent="0.25">
      <c r="A2937" s="62" t="s">
        <v>387</v>
      </c>
      <c r="B2937" s="62" t="s">
        <v>387</v>
      </c>
      <c r="C2937" s="63"/>
      <c r="D2937" s="64"/>
      <c r="E2937" s="65"/>
      <c r="F2937" s="66"/>
      <c r="G2937" s="63"/>
      <c r="H2937" s="67"/>
      <c r="I2937" s="68"/>
      <c r="J2937" s="68"/>
      <c r="K2937" s="32"/>
      <c r="L2937" s="75">
        <v>2937</v>
      </c>
      <c r="M2937" s="75"/>
      <c r="N2937" s="70"/>
      <c r="O2937" s="77" t="s">
        <v>179</v>
      </c>
      <c r="P2937" s="79">
        <v>45177.802083333336</v>
      </c>
      <c r="Q2937" s="77" t="s">
        <v>3609</v>
      </c>
      <c r="R2937" s="77">
        <v>0</v>
      </c>
      <c r="S2937" s="77">
        <v>0</v>
      </c>
      <c r="T2937" s="77">
        <v>0</v>
      </c>
      <c r="U2937" s="77">
        <v>0</v>
      </c>
      <c r="V2937" s="77">
        <v>558</v>
      </c>
      <c r="W2937" s="82" t="s">
        <v>5907</v>
      </c>
      <c r="X2937" s="80" t="str">
        <f>HYPERLINK("https://einvestidor.estadao.com.br/ultimas/bb-o-que-suavizou-queda-acoes-mineradoras-agosto//?utm_source=twitter&amp;utm_medium=organic&amp;utm_campaign=&amp;utm_content=materia")</f>
        <v>https://einvestidor.estadao.com.br/ultimas/bb-o-que-suavizou-queda-acoes-mineradoras-agosto//?utm_source=twitter&amp;utm_medium=organic&amp;utm_campaign=&amp;utm_content=materia</v>
      </c>
      <c r="Y2937" s="77" t="s">
        <v>6470</v>
      </c>
      <c r="Z2937" s="77"/>
      <c r="AA2937" s="77"/>
      <c r="AB2937" s="77"/>
      <c r="AC2937" s="82" t="s">
        <v>7750</v>
      </c>
      <c r="AD2937" s="77" t="s">
        <v>7788</v>
      </c>
      <c r="AE2937" s="80" t="str">
        <f>HYPERLINK("https://twitter.com/einvestidor/status/1700226245336903890")</f>
        <v>https://twitter.com/einvestidor/status/1700226245336903890</v>
      </c>
      <c r="AF2937" s="79">
        <v>45177.802083333336</v>
      </c>
      <c r="AG2937" s="85">
        <v>45177</v>
      </c>
      <c r="AH2937" s="82" t="s">
        <v>7868</v>
      </c>
      <c r="AI2937" s="77" t="b">
        <v>0</v>
      </c>
      <c r="AJ2937" s="77"/>
      <c r="AK2937" s="77"/>
      <c r="AL2937" s="77"/>
      <c r="AM2937" s="77"/>
      <c r="AN2937" s="77"/>
      <c r="AO2937" s="77"/>
      <c r="AP2937" s="77"/>
      <c r="AQ2937" s="77"/>
      <c r="AR2937" s="77"/>
      <c r="AS2937" s="77"/>
      <c r="AT2937" s="77"/>
      <c r="AU2937" s="77"/>
      <c r="AV2937" s="80" t="str">
        <f>HYPERLINK("https://pbs.twimg.com/profile_images/1241147984924082183/gZgx_hL-_normal.jpg")</f>
        <v>https://pbs.twimg.com/profile_images/1241147984924082183/gZgx_hL-_normal.jpg</v>
      </c>
      <c r="AW2937" s="82" t="s">
        <v>14533</v>
      </c>
      <c r="AX2937" s="82" t="s">
        <v>14533</v>
      </c>
      <c r="AY2937" s="77"/>
      <c r="AZ2937" s="82" t="s">
        <v>15984</v>
      </c>
      <c r="BA2937" s="82" t="s">
        <v>15984</v>
      </c>
      <c r="BB2937" s="82" t="s">
        <v>15984</v>
      </c>
      <c r="BC2937" s="82" t="s">
        <v>14533</v>
      </c>
      <c r="BD2937" s="82" t="s">
        <v>15979</v>
      </c>
      <c r="BE2937" s="77"/>
      <c r="BF2937" s="77"/>
      <c r="BG2937" s="77"/>
      <c r="BH2937" s="77"/>
      <c r="BI2937" s="77"/>
    </row>
    <row r="2938" spans="1:61" x14ac:dyDescent="0.25">
      <c r="A2938" s="62" t="s">
        <v>387</v>
      </c>
      <c r="B2938" s="62" t="s">
        <v>387</v>
      </c>
      <c r="C2938" s="63"/>
      <c r="D2938" s="64"/>
      <c r="E2938" s="65"/>
      <c r="F2938" s="66"/>
      <c r="G2938" s="63"/>
      <c r="H2938" s="67"/>
      <c r="I2938" s="68"/>
      <c r="J2938" s="68"/>
      <c r="K2938" s="32"/>
      <c r="L2938" s="75">
        <v>2938</v>
      </c>
      <c r="M2938" s="75"/>
      <c r="N2938" s="70"/>
      <c r="O2938" s="77" t="s">
        <v>179</v>
      </c>
      <c r="P2938" s="79">
        <v>45177.784791666665</v>
      </c>
      <c r="Q2938" s="77" t="s">
        <v>3610</v>
      </c>
      <c r="R2938" s="77">
        <v>0</v>
      </c>
      <c r="S2938" s="77">
        <v>2</v>
      </c>
      <c r="T2938" s="77">
        <v>0</v>
      </c>
      <c r="U2938" s="77">
        <v>0</v>
      </c>
      <c r="V2938" s="77">
        <v>549</v>
      </c>
      <c r="W2938" s="82" t="s">
        <v>6145</v>
      </c>
      <c r="X2938" s="80" t="str">
        <f>HYPERLINK("https://einvestidor.estadao.com.br/ultimas/weg-anuncia-aporte-para-expansao-producao//?utm_source=twitter&amp;utm_medium=organic&amp;utm_campaign=&amp;utm_content=materia")</f>
        <v>https://einvestidor.estadao.com.br/ultimas/weg-anuncia-aporte-para-expansao-producao//?utm_source=twitter&amp;utm_medium=organic&amp;utm_campaign=&amp;utm_content=materia</v>
      </c>
      <c r="Y2938" s="77" t="s">
        <v>6470</v>
      </c>
      <c r="Z2938" s="77"/>
      <c r="AA2938" s="77"/>
      <c r="AB2938" s="77"/>
      <c r="AC2938" s="82" t="s">
        <v>7750</v>
      </c>
      <c r="AD2938" s="77" t="s">
        <v>7788</v>
      </c>
      <c r="AE2938" s="80" t="str">
        <f>HYPERLINK("https://twitter.com/einvestidor/status/1700219982280323343")</f>
        <v>https://twitter.com/einvestidor/status/1700219982280323343</v>
      </c>
      <c r="AF2938" s="79">
        <v>45177.784791666665</v>
      </c>
      <c r="AG2938" s="85">
        <v>45177</v>
      </c>
      <c r="AH2938" s="82" t="s">
        <v>9876</v>
      </c>
      <c r="AI2938" s="77" t="b">
        <v>0</v>
      </c>
      <c r="AJ2938" s="77"/>
      <c r="AK2938" s="77"/>
      <c r="AL2938" s="77"/>
      <c r="AM2938" s="77"/>
      <c r="AN2938" s="77"/>
      <c r="AO2938" s="77"/>
      <c r="AP2938" s="77"/>
      <c r="AQ2938" s="77"/>
      <c r="AR2938" s="77"/>
      <c r="AS2938" s="77"/>
      <c r="AT2938" s="77"/>
      <c r="AU2938" s="77"/>
      <c r="AV2938" s="80" t="str">
        <f>HYPERLINK("https://pbs.twimg.com/profile_images/1241147984924082183/gZgx_hL-_normal.jpg")</f>
        <v>https://pbs.twimg.com/profile_images/1241147984924082183/gZgx_hL-_normal.jpg</v>
      </c>
      <c r="AW2938" s="82" t="s">
        <v>14534</v>
      </c>
      <c r="AX2938" s="82" t="s">
        <v>14534</v>
      </c>
      <c r="AY2938" s="77"/>
      <c r="AZ2938" s="82" t="s">
        <v>15984</v>
      </c>
      <c r="BA2938" s="82" t="s">
        <v>15984</v>
      </c>
      <c r="BB2938" s="82" t="s">
        <v>15984</v>
      </c>
      <c r="BC2938" s="82" t="s">
        <v>14534</v>
      </c>
      <c r="BD2938" s="82" t="s">
        <v>15979</v>
      </c>
      <c r="BE2938" s="77"/>
      <c r="BF2938" s="77"/>
      <c r="BG2938" s="77"/>
      <c r="BH2938" s="77"/>
      <c r="BI2938" s="77"/>
    </row>
    <row r="2939" spans="1:61" x14ac:dyDescent="0.25">
      <c r="A2939" s="62" t="s">
        <v>387</v>
      </c>
      <c r="B2939" s="62" t="s">
        <v>387</v>
      </c>
      <c r="C2939" s="63"/>
      <c r="D2939" s="64"/>
      <c r="E2939" s="65"/>
      <c r="F2939" s="66"/>
      <c r="G2939" s="63"/>
      <c r="H2939" s="67"/>
      <c r="I2939" s="68"/>
      <c r="J2939" s="68"/>
      <c r="K2939" s="32"/>
      <c r="L2939" s="75">
        <v>2939</v>
      </c>
      <c r="M2939" s="75"/>
      <c r="N2939" s="70"/>
      <c r="O2939" s="77" t="s">
        <v>179</v>
      </c>
      <c r="P2939" s="79">
        <v>45177.760104166664</v>
      </c>
      <c r="Q2939" s="77" t="s">
        <v>3611</v>
      </c>
      <c r="R2939" s="77">
        <v>0</v>
      </c>
      <c r="S2939" s="77">
        <v>0</v>
      </c>
      <c r="T2939" s="77">
        <v>1</v>
      </c>
      <c r="U2939" s="77">
        <v>0</v>
      </c>
      <c r="V2939" s="77">
        <v>466</v>
      </c>
      <c r="W2939" s="82" t="s">
        <v>6158</v>
      </c>
      <c r="X2939" s="80" t="str">
        <f>HYPERLINK("https://einvestidor.estadao.com.br/criptomoedas/bitcoin-cruz-da-morte-investidor-alerta/?utm_source=twitter&amp;utm_medium=organic&amp;utm_campaign=&amp;utm_content=materia")</f>
        <v>https://einvestidor.estadao.com.br/criptomoedas/bitcoin-cruz-da-morte-investidor-alerta/?utm_source=twitter&amp;utm_medium=organic&amp;utm_campaign=&amp;utm_content=materia</v>
      </c>
      <c r="Y2939" s="77" t="s">
        <v>6470</v>
      </c>
      <c r="Z2939" s="77"/>
      <c r="AA2939" s="77"/>
      <c r="AB2939" s="77"/>
      <c r="AC2939" s="82" t="s">
        <v>7750</v>
      </c>
      <c r="AD2939" s="77" t="s">
        <v>7788</v>
      </c>
      <c r="AE2939" s="80" t="str">
        <f>HYPERLINK("https://twitter.com/einvestidor/status/1700211035435589927")</f>
        <v>https://twitter.com/einvestidor/status/1700211035435589927</v>
      </c>
      <c r="AF2939" s="79">
        <v>45177.760104166664</v>
      </c>
      <c r="AG2939" s="85">
        <v>45177</v>
      </c>
      <c r="AH2939" s="82" t="s">
        <v>9877</v>
      </c>
      <c r="AI2939" s="77" t="b">
        <v>0</v>
      </c>
      <c r="AJ2939" s="77"/>
      <c r="AK2939" s="77"/>
      <c r="AL2939" s="77"/>
      <c r="AM2939" s="77"/>
      <c r="AN2939" s="77"/>
      <c r="AO2939" s="77"/>
      <c r="AP2939" s="77"/>
      <c r="AQ2939" s="77"/>
      <c r="AR2939" s="77"/>
      <c r="AS2939" s="77"/>
      <c r="AT2939" s="77"/>
      <c r="AU2939" s="77"/>
      <c r="AV2939" s="80" t="str">
        <f>HYPERLINK("https://pbs.twimg.com/profile_images/1241147984924082183/gZgx_hL-_normal.jpg")</f>
        <v>https://pbs.twimg.com/profile_images/1241147984924082183/gZgx_hL-_normal.jpg</v>
      </c>
      <c r="AW2939" s="82" t="s">
        <v>14535</v>
      </c>
      <c r="AX2939" s="82" t="s">
        <v>14535</v>
      </c>
      <c r="AY2939" s="77"/>
      <c r="AZ2939" s="82" t="s">
        <v>15984</v>
      </c>
      <c r="BA2939" s="82" t="s">
        <v>15984</v>
      </c>
      <c r="BB2939" s="82" t="s">
        <v>15984</v>
      </c>
      <c r="BC2939" s="82" t="s">
        <v>14535</v>
      </c>
      <c r="BD2939" s="82" t="s">
        <v>15979</v>
      </c>
      <c r="BE2939" s="77"/>
      <c r="BF2939" s="77"/>
      <c r="BG2939" s="77"/>
      <c r="BH2939" s="77"/>
      <c r="BI2939" s="77"/>
    </row>
    <row r="2940" spans="1:61" x14ac:dyDescent="0.25">
      <c r="A2940" s="62" t="s">
        <v>387</v>
      </c>
      <c r="B2940" s="62" t="s">
        <v>387</v>
      </c>
      <c r="C2940" s="63"/>
      <c r="D2940" s="64"/>
      <c r="E2940" s="65"/>
      <c r="F2940" s="66"/>
      <c r="G2940" s="63"/>
      <c r="H2940" s="67"/>
      <c r="I2940" s="68"/>
      <c r="J2940" s="68"/>
      <c r="K2940" s="32"/>
      <c r="L2940" s="75">
        <v>2940</v>
      </c>
      <c r="M2940" s="75"/>
      <c r="N2940" s="70"/>
      <c r="O2940" s="77" t="s">
        <v>179</v>
      </c>
      <c r="P2940" s="79">
        <v>45177.754062499997</v>
      </c>
      <c r="Q2940" s="77" t="s">
        <v>3612</v>
      </c>
      <c r="R2940" s="77">
        <v>0</v>
      </c>
      <c r="S2940" s="77">
        <v>1</v>
      </c>
      <c r="T2940" s="77">
        <v>0</v>
      </c>
      <c r="U2940" s="77">
        <v>0</v>
      </c>
      <c r="V2940" s="77">
        <v>484</v>
      </c>
      <c r="W2940" s="82" t="s">
        <v>5189</v>
      </c>
      <c r="X2940" s="80" t="str">
        <f>HYPERLINK("https://einvestidor.estadao.com.br/mercado/mercado-intraday-08-09-2023/?utm_source=twitter&amp;utm_medium=organic&amp;utm_campaign=&amp;utm_content=materia")</f>
        <v>https://einvestidor.estadao.com.br/mercado/mercado-intraday-08-09-2023/?utm_source=twitter&amp;utm_medium=organic&amp;utm_campaign=&amp;utm_content=materia</v>
      </c>
      <c r="Y2940" s="77" t="s">
        <v>6470</v>
      </c>
      <c r="Z2940" s="77"/>
      <c r="AA2940" s="77"/>
      <c r="AB2940" s="77"/>
      <c r="AC2940" s="82" t="s">
        <v>7750</v>
      </c>
      <c r="AD2940" s="77" t="s">
        <v>7788</v>
      </c>
      <c r="AE2940" s="80" t="str">
        <f>HYPERLINK("https://twitter.com/einvestidor/status/1700208845669253360")</f>
        <v>https://twitter.com/einvestidor/status/1700208845669253360</v>
      </c>
      <c r="AF2940" s="79">
        <v>45177.754062499997</v>
      </c>
      <c r="AG2940" s="85">
        <v>45177</v>
      </c>
      <c r="AH2940" s="82" t="s">
        <v>9878</v>
      </c>
      <c r="AI2940" s="77" t="b">
        <v>0</v>
      </c>
      <c r="AJ2940" s="77"/>
      <c r="AK2940" s="77"/>
      <c r="AL2940" s="77"/>
      <c r="AM2940" s="77"/>
      <c r="AN2940" s="77"/>
      <c r="AO2940" s="77"/>
      <c r="AP2940" s="77"/>
      <c r="AQ2940" s="77"/>
      <c r="AR2940" s="77"/>
      <c r="AS2940" s="77"/>
      <c r="AT2940" s="77"/>
      <c r="AU2940" s="77"/>
      <c r="AV2940" s="80" t="str">
        <f>HYPERLINK("https://pbs.twimg.com/profile_images/1241147984924082183/gZgx_hL-_normal.jpg")</f>
        <v>https://pbs.twimg.com/profile_images/1241147984924082183/gZgx_hL-_normal.jpg</v>
      </c>
      <c r="AW2940" s="82" t="s">
        <v>14536</v>
      </c>
      <c r="AX2940" s="82" t="s">
        <v>14536</v>
      </c>
      <c r="AY2940" s="77"/>
      <c r="AZ2940" s="82" t="s">
        <v>15984</v>
      </c>
      <c r="BA2940" s="82" t="s">
        <v>15984</v>
      </c>
      <c r="BB2940" s="82" t="s">
        <v>15984</v>
      </c>
      <c r="BC2940" s="82" t="s">
        <v>14536</v>
      </c>
      <c r="BD2940" s="82" t="s">
        <v>15979</v>
      </c>
      <c r="BE2940" s="77"/>
      <c r="BF2940" s="77"/>
      <c r="BG2940" s="77"/>
      <c r="BH2940" s="77"/>
      <c r="BI2940" s="77"/>
    </row>
    <row r="2941" spans="1:61" x14ac:dyDescent="0.25">
      <c r="A2941" s="62" t="s">
        <v>387</v>
      </c>
      <c r="B2941" s="62" t="s">
        <v>387</v>
      </c>
      <c r="C2941" s="63"/>
      <c r="D2941" s="64"/>
      <c r="E2941" s="65"/>
      <c r="F2941" s="66"/>
      <c r="G2941" s="63"/>
      <c r="H2941" s="67"/>
      <c r="I2941" s="68"/>
      <c r="J2941" s="68"/>
      <c r="K2941" s="32"/>
      <c r="L2941" s="75">
        <v>2941</v>
      </c>
      <c r="M2941" s="75"/>
      <c r="N2941" s="70"/>
      <c r="O2941" s="77" t="s">
        <v>179</v>
      </c>
      <c r="P2941" s="79">
        <v>45177.752546296295</v>
      </c>
      <c r="Q2941" s="77" t="s">
        <v>3613</v>
      </c>
      <c r="R2941" s="77">
        <v>0</v>
      </c>
      <c r="S2941" s="77">
        <v>1</v>
      </c>
      <c r="T2941" s="77">
        <v>0</v>
      </c>
      <c r="U2941" s="77">
        <v>0</v>
      </c>
      <c r="V2941" s="77">
        <v>589</v>
      </c>
      <c r="W2941" s="82" t="s">
        <v>6159</v>
      </c>
      <c r="X2941" s="80" t="str">
        <f>HYPERLINK("https://einvestidor.estadao.com.br/ultimas/carteiras-superam-ibovespa-agosto-levantamento/?utm_source=twitter&amp;utm_medium=organic&amp;utm_campaign=&amp;utm_content=materia")</f>
        <v>https://einvestidor.estadao.com.br/ultimas/carteiras-superam-ibovespa-agosto-levantamento/?utm_source=twitter&amp;utm_medium=organic&amp;utm_campaign=&amp;utm_content=materia</v>
      </c>
      <c r="Y2941" s="77" t="s">
        <v>6470</v>
      </c>
      <c r="Z2941" s="77"/>
      <c r="AA2941" s="77"/>
      <c r="AB2941" s="77"/>
      <c r="AC2941" s="82" t="s">
        <v>7750</v>
      </c>
      <c r="AD2941" s="77" t="s">
        <v>7788</v>
      </c>
      <c r="AE2941" s="80" t="str">
        <f>HYPERLINK("https://twitter.com/einvestidor/status/1700208294357295314")</f>
        <v>https://twitter.com/einvestidor/status/1700208294357295314</v>
      </c>
      <c r="AF2941" s="79">
        <v>45177.752546296295</v>
      </c>
      <c r="AG2941" s="85">
        <v>45177</v>
      </c>
      <c r="AH2941" s="82" t="s">
        <v>9879</v>
      </c>
      <c r="AI2941" s="77" t="b">
        <v>0</v>
      </c>
      <c r="AJ2941" s="77"/>
      <c r="AK2941" s="77"/>
      <c r="AL2941" s="77"/>
      <c r="AM2941" s="77"/>
      <c r="AN2941" s="77"/>
      <c r="AO2941" s="77"/>
      <c r="AP2941" s="77"/>
      <c r="AQ2941" s="77"/>
      <c r="AR2941" s="77"/>
      <c r="AS2941" s="77"/>
      <c r="AT2941" s="77"/>
      <c r="AU2941" s="77"/>
      <c r="AV2941" s="80" t="str">
        <f>HYPERLINK("https://pbs.twimg.com/profile_images/1241147984924082183/gZgx_hL-_normal.jpg")</f>
        <v>https://pbs.twimg.com/profile_images/1241147984924082183/gZgx_hL-_normal.jpg</v>
      </c>
      <c r="AW2941" s="82" t="s">
        <v>14537</v>
      </c>
      <c r="AX2941" s="82" t="s">
        <v>14537</v>
      </c>
      <c r="AY2941" s="77"/>
      <c r="AZ2941" s="82" t="s">
        <v>15984</v>
      </c>
      <c r="BA2941" s="82" t="s">
        <v>15984</v>
      </c>
      <c r="BB2941" s="82" t="s">
        <v>15984</v>
      </c>
      <c r="BC2941" s="82" t="s">
        <v>14537</v>
      </c>
      <c r="BD2941" s="82" t="s">
        <v>15979</v>
      </c>
      <c r="BE2941" s="77"/>
      <c r="BF2941" s="77"/>
      <c r="BG2941" s="77"/>
      <c r="BH2941" s="77"/>
      <c r="BI2941" s="77"/>
    </row>
    <row r="2942" spans="1:61" x14ac:dyDescent="0.25">
      <c r="A2942" s="62" t="s">
        <v>387</v>
      </c>
      <c r="B2942" s="62" t="s">
        <v>387</v>
      </c>
      <c r="C2942" s="63"/>
      <c r="D2942" s="64"/>
      <c r="E2942" s="65"/>
      <c r="F2942" s="66"/>
      <c r="G2942" s="63"/>
      <c r="H2942" s="67"/>
      <c r="I2942" s="68"/>
      <c r="J2942" s="68"/>
      <c r="K2942" s="32"/>
      <c r="L2942" s="75">
        <v>2942</v>
      </c>
      <c r="M2942" s="75"/>
      <c r="N2942" s="70"/>
      <c r="O2942" s="77" t="s">
        <v>179</v>
      </c>
      <c r="P2942" s="79">
        <v>45174.739583333336</v>
      </c>
      <c r="Q2942" s="77" t="s">
        <v>3614</v>
      </c>
      <c r="R2942" s="77">
        <v>0</v>
      </c>
      <c r="S2942" s="77">
        <v>2</v>
      </c>
      <c r="T2942" s="77">
        <v>0</v>
      </c>
      <c r="U2942" s="77">
        <v>1</v>
      </c>
      <c r="V2942" s="77">
        <v>419</v>
      </c>
      <c r="W2942" s="82" t="s">
        <v>4833</v>
      </c>
      <c r="X2942" s="80" t="str">
        <f>HYPERLINK("https://einvestidor.estadao.com.br/ultimas/tarcisio-abre-semana-feriado-com-reunioes-sobre-sabesp/?utm_source=twitter&amp;utm_medium=organic&amp;utm_campaign=&amp;utm_content=materia")</f>
        <v>https://einvestidor.estadao.com.br/ultimas/tarcisio-abre-semana-feriado-com-reunioes-sobre-sabesp/?utm_source=twitter&amp;utm_medium=organic&amp;utm_campaign=&amp;utm_content=materia</v>
      </c>
      <c r="Y2942" s="77" t="s">
        <v>6470</v>
      </c>
      <c r="Z2942" s="77"/>
      <c r="AA2942" s="77"/>
      <c r="AB2942" s="77"/>
      <c r="AC2942" s="82" t="s">
        <v>7750</v>
      </c>
      <c r="AD2942" s="77" t="s">
        <v>7788</v>
      </c>
      <c r="AE2942" s="80" t="str">
        <f>HYPERLINK("https://twitter.com/einvestidor/status/1699116432381075932")</f>
        <v>https://twitter.com/einvestidor/status/1699116432381075932</v>
      </c>
      <c r="AF2942" s="79">
        <v>45174.739583333336</v>
      </c>
      <c r="AG2942" s="85">
        <v>45174</v>
      </c>
      <c r="AH2942" s="82" t="s">
        <v>9626</v>
      </c>
      <c r="AI2942" s="77" t="b">
        <v>0</v>
      </c>
      <c r="AJ2942" s="77"/>
      <c r="AK2942" s="77"/>
      <c r="AL2942" s="77"/>
      <c r="AM2942" s="77"/>
      <c r="AN2942" s="77"/>
      <c r="AO2942" s="77"/>
      <c r="AP2942" s="77"/>
      <c r="AQ2942" s="77"/>
      <c r="AR2942" s="77"/>
      <c r="AS2942" s="77"/>
      <c r="AT2942" s="77"/>
      <c r="AU2942" s="77"/>
      <c r="AV2942" s="80" t="str">
        <f>HYPERLINK("https://pbs.twimg.com/profile_images/1241147984924082183/gZgx_hL-_normal.jpg")</f>
        <v>https://pbs.twimg.com/profile_images/1241147984924082183/gZgx_hL-_normal.jpg</v>
      </c>
      <c r="AW2942" s="82" t="s">
        <v>14538</v>
      </c>
      <c r="AX2942" s="82" t="s">
        <v>14538</v>
      </c>
      <c r="AY2942" s="77"/>
      <c r="AZ2942" s="82" t="s">
        <v>15984</v>
      </c>
      <c r="BA2942" s="82" t="s">
        <v>15984</v>
      </c>
      <c r="BB2942" s="82" t="s">
        <v>15984</v>
      </c>
      <c r="BC2942" s="82" t="s">
        <v>14538</v>
      </c>
      <c r="BD2942" s="82" t="s">
        <v>15979</v>
      </c>
      <c r="BE2942" s="77"/>
      <c r="BF2942" s="77"/>
      <c r="BG2942" s="77"/>
      <c r="BH2942" s="77"/>
      <c r="BI2942" s="77"/>
    </row>
    <row r="2943" spans="1:61" x14ac:dyDescent="0.25">
      <c r="A2943" s="62" t="s">
        <v>387</v>
      </c>
      <c r="B2943" s="62" t="s">
        <v>387</v>
      </c>
      <c r="C2943" s="63"/>
      <c r="D2943" s="64"/>
      <c r="E2943" s="65"/>
      <c r="F2943" s="66"/>
      <c r="G2943" s="63"/>
      <c r="H2943" s="67"/>
      <c r="I2943" s="68"/>
      <c r="J2943" s="68"/>
      <c r="K2943" s="32"/>
      <c r="L2943" s="75">
        <v>2943</v>
      </c>
      <c r="M2943" s="75"/>
      <c r="N2943" s="70"/>
      <c r="O2943" s="77" t="s">
        <v>179</v>
      </c>
      <c r="P2943" s="79">
        <v>45174.729166666664</v>
      </c>
      <c r="Q2943" s="77" t="s">
        <v>3615</v>
      </c>
      <c r="R2943" s="77">
        <v>0</v>
      </c>
      <c r="S2943" s="77">
        <v>2</v>
      </c>
      <c r="T2943" s="77">
        <v>0</v>
      </c>
      <c r="U2943" s="77">
        <v>0</v>
      </c>
      <c r="V2943" s="77">
        <v>521</v>
      </c>
      <c r="W2943" s="82" t="s">
        <v>4833</v>
      </c>
      <c r="X2943" s="80" t="str">
        <f>HYPERLINK("https://einvestidor.estadao.com.br/investimentos/quanto-rendem-10-mil-tesouro-direto/?utm_source=twitter&amp;utm_medium=organic&amp;utm_campaign=&amp;utm_content=materia")</f>
        <v>https://einvestidor.estadao.com.br/investimentos/quanto-rendem-10-mil-tesouro-direto/?utm_source=twitter&amp;utm_medium=organic&amp;utm_campaign=&amp;utm_content=materia</v>
      </c>
      <c r="Y2943" s="77" t="s">
        <v>6470</v>
      </c>
      <c r="Z2943" s="77"/>
      <c r="AA2943" s="77"/>
      <c r="AB2943" s="77"/>
      <c r="AC2943" s="82" t="s">
        <v>7750</v>
      </c>
      <c r="AD2943" s="77" t="s">
        <v>7788</v>
      </c>
      <c r="AE2943" s="80" t="str">
        <f>HYPERLINK("https://twitter.com/einvestidor/status/1699112658610356361")</f>
        <v>https://twitter.com/einvestidor/status/1699112658610356361</v>
      </c>
      <c r="AF2943" s="79">
        <v>45174.729166666664</v>
      </c>
      <c r="AG2943" s="85">
        <v>45174</v>
      </c>
      <c r="AH2943" s="82" t="s">
        <v>8091</v>
      </c>
      <c r="AI2943" s="77" t="b">
        <v>0</v>
      </c>
      <c r="AJ2943" s="77"/>
      <c r="AK2943" s="77"/>
      <c r="AL2943" s="77"/>
      <c r="AM2943" s="77"/>
      <c r="AN2943" s="77"/>
      <c r="AO2943" s="77"/>
      <c r="AP2943" s="77"/>
      <c r="AQ2943" s="77"/>
      <c r="AR2943" s="77"/>
      <c r="AS2943" s="77"/>
      <c r="AT2943" s="77"/>
      <c r="AU2943" s="77"/>
      <c r="AV2943" s="80" t="str">
        <f>HYPERLINK("https://pbs.twimg.com/profile_images/1241147984924082183/gZgx_hL-_normal.jpg")</f>
        <v>https://pbs.twimg.com/profile_images/1241147984924082183/gZgx_hL-_normal.jpg</v>
      </c>
      <c r="AW2943" s="82" t="s">
        <v>14539</v>
      </c>
      <c r="AX2943" s="82" t="s">
        <v>14539</v>
      </c>
      <c r="AY2943" s="77"/>
      <c r="AZ2943" s="82" t="s">
        <v>15984</v>
      </c>
      <c r="BA2943" s="82" t="s">
        <v>15984</v>
      </c>
      <c r="BB2943" s="82" t="s">
        <v>15984</v>
      </c>
      <c r="BC2943" s="82" t="s">
        <v>14539</v>
      </c>
      <c r="BD2943" s="82" t="s">
        <v>15979</v>
      </c>
      <c r="BE2943" s="77"/>
      <c r="BF2943" s="77"/>
      <c r="BG2943" s="77"/>
      <c r="BH2943" s="77"/>
      <c r="BI2943" s="77"/>
    </row>
    <row r="2944" spans="1:61" x14ac:dyDescent="0.25">
      <c r="A2944" s="62" t="s">
        <v>387</v>
      </c>
      <c r="B2944" s="62" t="s">
        <v>387</v>
      </c>
      <c r="C2944" s="63"/>
      <c r="D2944" s="64"/>
      <c r="E2944" s="65"/>
      <c r="F2944" s="66"/>
      <c r="G2944" s="63"/>
      <c r="H2944" s="67"/>
      <c r="I2944" s="68"/>
      <c r="J2944" s="68"/>
      <c r="K2944" s="32"/>
      <c r="L2944" s="75">
        <v>2944</v>
      </c>
      <c r="M2944" s="75"/>
      <c r="N2944" s="70"/>
      <c r="O2944" s="77" t="s">
        <v>179</v>
      </c>
      <c r="P2944" s="79">
        <v>45174.706805555557</v>
      </c>
      <c r="Q2944" s="77" t="s">
        <v>3616</v>
      </c>
      <c r="R2944" s="77">
        <v>0</v>
      </c>
      <c r="S2944" s="77">
        <v>1</v>
      </c>
      <c r="T2944" s="77">
        <v>0</v>
      </c>
      <c r="U2944" s="77">
        <v>0</v>
      </c>
      <c r="V2944" s="77">
        <v>358</v>
      </c>
      <c r="W2944" s="82" t="s">
        <v>4833</v>
      </c>
      <c r="X2944" s="80" t="str">
        <f>HYPERLINK("https://einvestidor.estadao.com.br/mercado/mercado-intraday-05-09-2023/?utm_source=twitter&amp;utm_medium=organic&amp;utm_campaign=&amp;utm_content=materia")</f>
        <v>https://einvestidor.estadao.com.br/mercado/mercado-intraday-05-09-2023/?utm_source=twitter&amp;utm_medium=organic&amp;utm_campaign=&amp;utm_content=materia</v>
      </c>
      <c r="Y2944" s="77" t="s">
        <v>6470</v>
      </c>
      <c r="Z2944" s="77"/>
      <c r="AA2944" s="77"/>
      <c r="AB2944" s="77"/>
      <c r="AC2944" s="82" t="s">
        <v>7750</v>
      </c>
      <c r="AD2944" s="77" t="s">
        <v>7790</v>
      </c>
      <c r="AE2944" s="80" t="str">
        <f>HYPERLINK("https://twitter.com/einvestidor/status/1699104555655409720")</f>
        <v>https://twitter.com/einvestidor/status/1699104555655409720</v>
      </c>
      <c r="AF2944" s="79">
        <v>45174.706805555557</v>
      </c>
      <c r="AG2944" s="85">
        <v>45174</v>
      </c>
      <c r="AH2944" s="82" t="s">
        <v>9880</v>
      </c>
      <c r="AI2944" s="77" t="b">
        <v>0</v>
      </c>
      <c r="AJ2944" s="77"/>
      <c r="AK2944" s="77"/>
      <c r="AL2944" s="77"/>
      <c r="AM2944" s="77"/>
      <c r="AN2944" s="77"/>
      <c r="AO2944" s="77"/>
      <c r="AP2944" s="77"/>
      <c r="AQ2944" s="77"/>
      <c r="AR2944" s="77"/>
      <c r="AS2944" s="77"/>
      <c r="AT2944" s="77"/>
      <c r="AU2944" s="77"/>
      <c r="AV2944" s="80" t="str">
        <f>HYPERLINK("https://pbs.twimg.com/profile_images/1241147984924082183/gZgx_hL-_normal.jpg")</f>
        <v>https://pbs.twimg.com/profile_images/1241147984924082183/gZgx_hL-_normal.jpg</v>
      </c>
      <c r="AW2944" s="82" t="s">
        <v>14540</v>
      </c>
      <c r="AX2944" s="82" t="s">
        <v>14540</v>
      </c>
      <c r="AY2944" s="77"/>
      <c r="AZ2944" s="82" t="s">
        <v>15984</v>
      </c>
      <c r="BA2944" s="82" t="s">
        <v>15984</v>
      </c>
      <c r="BB2944" s="82" t="s">
        <v>15984</v>
      </c>
      <c r="BC2944" s="82" t="s">
        <v>14540</v>
      </c>
      <c r="BD2944" s="82" t="s">
        <v>15979</v>
      </c>
      <c r="BE2944" s="77"/>
      <c r="BF2944" s="77"/>
      <c r="BG2944" s="77"/>
      <c r="BH2944" s="77"/>
      <c r="BI2944" s="77"/>
    </row>
    <row r="2945" spans="1:61" x14ac:dyDescent="0.25">
      <c r="A2945" s="62" t="s">
        <v>387</v>
      </c>
      <c r="B2945" s="62" t="s">
        <v>387</v>
      </c>
      <c r="C2945" s="63"/>
      <c r="D2945" s="64"/>
      <c r="E2945" s="65"/>
      <c r="F2945" s="66"/>
      <c r="G2945" s="63"/>
      <c r="H2945" s="67"/>
      <c r="I2945" s="68"/>
      <c r="J2945" s="68"/>
      <c r="K2945" s="32"/>
      <c r="L2945" s="75">
        <v>2945</v>
      </c>
      <c r="M2945" s="75"/>
      <c r="N2945" s="70"/>
      <c r="O2945" s="77" t="s">
        <v>898</v>
      </c>
      <c r="P2945" s="79">
        <v>45174.504282407404</v>
      </c>
      <c r="Q2945" s="77" t="s">
        <v>3617</v>
      </c>
      <c r="R2945" s="77">
        <v>0</v>
      </c>
      <c r="S2945" s="77">
        <v>0</v>
      </c>
      <c r="T2945" s="77">
        <v>0</v>
      </c>
      <c r="U2945" s="77">
        <v>0</v>
      </c>
      <c r="V2945" s="77">
        <v>364</v>
      </c>
      <c r="W2945" s="82" t="s">
        <v>6160</v>
      </c>
      <c r="X2945" s="80" t="str">
        <f>HYPERLINK("https://einvestidor.estadao.com.br/mercado/mercado-hoje-prio-americanas-minerva-csn/?utm_source=twitter&amp;utm_medium=organic&amp;utm_campaign=mercado-hoje&amp;utm_content=materia")</f>
        <v>https://einvestidor.estadao.com.br/mercado/mercado-hoje-prio-americanas-minerva-csn/?utm_source=twitter&amp;utm_medium=organic&amp;utm_campaign=mercado-hoje&amp;utm_content=materia</v>
      </c>
      <c r="Y2945" s="77" t="s">
        <v>6470</v>
      </c>
      <c r="Z2945" s="77"/>
      <c r="AA2945" s="77"/>
      <c r="AB2945" s="77"/>
      <c r="AC2945" s="82" t="s">
        <v>7750</v>
      </c>
      <c r="AD2945" s="77" t="s">
        <v>7788</v>
      </c>
      <c r="AE2945" s="80" t="str">
        <f>HYPERLINK("https://twitter.com/einvestidor/status/1699031162876768299")</f>
        <v>https://twitter.com/einvestidor/status/1699031162876768299</v>
      </c>
      <c r="AF2945" s="79">
        <v>45174.504282407404</v>
      </c>
      <c r="AG2945" s="85">
        <v>45174</v>
      </c>
      <c r="AH2945" s="82" t="s">
        <v>9881</v>
      </c>
      <c r="AI2945" s="77" t="b">
        <v>0</v>
      </c>
      <c r="AJ2945" s="77"/>
      <c r="AK2945" s="77"/>
      <c r="AL2945" s="77"/>
      <c r="AM2945" s="77"/>
      <c r="AN2945" s="77"/>
      <c r="AO2945" s="77"/>
      <c r="AP2945" s="77"/>
      <c r="AQ2945" s="77"/>
      <c r="AR2945" s="77"/>
      <c r="AS2945" s="77"/>
      <c r="AT2945" s="77"/>
      <c r="AU2945" s="77"/>
      <c r="AV2945" s="80" t="str">
        <f>HYPERLINK("https://pbs.twimg.com/profile_images/1241147984924082183/gZgx_hL-_normal.jpg")</f>
        <v>https://pbs.twimg.com/profile_images/1241147984924082183/gZgx_hL-_normal.jpg</v>
      </c>
      <c r="AW2945" s="82" t="s">
        <v>14541</v>
      </c>
      <c r="AX2945" s="82" t="s">
        <v>14542</v>
      </c>
      <c r="AY2945" s="82" t="s">
        <v>15979</v>
      </c>
      <c r="AZ2945" s="82" t="s">
        <v>14542</v>
      </c>
      <c r="BA2945" s="82" t="s">
        <v>15984</v>
      </c>
      <c r="BB2945" s="82" t="s">
        <v>15984</v>
      </c>
      <c r="BC2945" s="82" t="s">
        <v>14542</v>
      </c>
      <c r="BD2945" s="82" t="s">
        <v>15979</v>
      </c>
      <c r="BE2945" s="77"/>
      <c r="BF2945" s="77"/>
      <c r="BG2945" s="77"/>
      <c r="BH2945" s="77"/>
      <c r="BI2945" s="77"/>
    </row>
    <row r="2946" spans="1:61" x14ac:dyDescent="0.25">
      <c r="A2946" s="62" t="s">
        <v>387</v>
      </c>
      <c r="B2946" s="62" t="s">
        <v>387</v>
      </c>
      <c r="C2946" s="63"/>
      <c r="D2946" s="64"/>
      <c r="E2946" s="65"/>
      <c r="F2946" s="66"/>
      <c r="G2946" s="63"/>
      <c r="H2946" s="67"/>
      <c r="I2946" s="68"/>
      <c r="J2946" s="68"/>
      <c r="K2946" s="32"/>
      <c r="L2946" s="75">
        <v>2946</v>
      </c>
      <c r="M2946" s="75"/>
      <c r="N2946" s="70"/>
      <c r="O2946" s="77" t="s">
        <v>179</v>
      </c>
      <c r="P2946" s="79">
        <v>45174.489722222221</v>
      </c>
      <c r="Q2946" s="77" t="s">
        <v>3618</v>
      </c>
      <c r="R2946" s="77">
        <v>0</v>
      </c>
      <c r="S2946" s="77">
        <v>1</v>
      </c>
      <c r="T2946" s="77">
        <v>1</v>
      </c>
      <c r="U2946" s="77">
        <v>0</v>
      </c>
      <c r="V2946" s="77">
        <v>557</v>
      </c>
      <c r="W2946" s="82" t="s">
        <v>4839</v>
      </c>
      <c r="X2946" s="80" t="str">
        <f>HYPERLINK("https://einvestidor.estadao.com.br/mercado/mercado-hoje-pmi-reforma-administrativa-falas-campos-neto/?utm_source=twitter&amp;utm_medium=organic&amp;utm_campaign=mercado-hoje&amp;utm_content=materia")</f>
        <v>https://einvestidor.estadao.com.br/mercado/mercado-hoje-pmi-reforma-administrativa-falas-campos-neto/?utm_source=twitter&amp;utm_medium=organic&amp;utm_campaign=mercado-hoje&amp;utm_content=materia</v>
      </c>
      <c r="Y2946" s="77" t="s">
        <v>6470</v>
      </c>
      <c r="Z2946" s="77"/>
      <c r="AA2946" s="77"/>
      <c r="AB2946" s="77"/>
      <c r="AC2946" s="82" t="s">
        <v>7750</v>
      </c>
      <c r="AD2946" s="77" t="s">
        <v>7788</v>
      </c>
      <c r="AE2946" s="80" t="str">
        <f>HYPERLINK("https://twitter.com/einvestidor/status/1699025886329049543")</f>
        <v>https://twitter.com/einvestidor/status/1699025886329049543</v>
      </c>
      <c r="AF2946" s="79">
        <v>45174.489722222221</v>
      </c>
      <c r="AG2946" s="85">
        <v>45174</v>
      </c>
      <c r="AH2946" s="82" t="s">
        <v>9882</v>
      </c>
      <c r="AI2946" s="77" t="b">
        <v>0</v>
      </c>
      <c r="AJ2946" s="77"/>
      <c r="AK2946" s="77"/>
      <c r="AL2946" s="77"/>
      <c r="AM2946" s="77"/>
      <c r="AN2946" s="77"/>
      <c r="AO2946" s="77"/>
      <c r="AP2946" s="77"/>
      <c r="AQ2946" s="77"/>
      <c r="AR2946" s="77"/>
      <c r="AS2946" s="77"/>
      <c r="AT2946" s="77"/>
      <c r="AU2946" s="77"/>
      <c r="AV2946" s="80" t="str">
        <f>HYPERLINK("https://pbs.twimg.com/profile_images/1241147984924082183/gZgx_hL-_normal.jpg")</f>
        <v>https://pbs.twimg.com/profile_images/1241147984924082183/gZgx_hL-_normal.jpg</v>
      </c>
      <c r="AW2946" s="82" t="s">
        <v>14542</v>
      </c>
      <c r="AX2946" s="82" t="s">
        <v>14542</v>
      </c>
      <c r="AY2946" s="77"/>
      <c r="AZ2946" s="82" t="s">
        <v>15984</v>
      </c>
      <c r="BA2946" s="82" t="s">
        <v>15984</v>
      </c>
      <c r="BB2946" s="82" t="s">
        <v>15984</v>
      </c>
      <c r="BC2946" s="82" t="s">
        <v>14542</v>
      </c>
      <c r="BD2946" s="82" t="s">
        <v>15979</v>
      </c>
      <c r="BE2946" s="77"/>
      <c r="BF2946" s="77"/>
      <c r="BG2946" s="77"/>
      <c r="BH2946" s="77"/>
      <c r="BI2946" s="77"/>
    </row>
    <row r="2947" spans="1:61" x14ac:dyDescent="0.25">
      <c r="A2947" s="62" t="s">
        <v>387</v>
      </c>
      <c r="B2947" s="62" t="s">
        <v>387</v>
      </c>
      <c r="C2947" s="63"/>
      <c r="D2947" s="64"/>
      <c r="E2947" s="65"/>
      <c r="F2947" s="66"/>
      <c r="G2947" s="63"/>
      <c r="H2947" s="67"/>
      <c r="I2947" s="68"/>
      <c r="J2947" s="68"/>
      <c r="K2947" s="32"/>
      <c r="L2947" s="75">
        <v>2947</v>
      </c>
      <c r="M2947" s="75"/>
      <c r="N2947" s="70"/>
      <c r="O2947" s="77" t="s">
        <v>179</v>
      </c>
      <c r="P2947" s="79">
        <v>45174.436655092592</v>
      </c>
      <c r="Q2947" s="77" t="s">
        <v>3619</v>
      </c>
      <c r="R2947" s="77">
        <v>0</v>
      </c>
      <c r="S2947" s="77">
        <v>1</v>
      </c>
      <c r="T2947" s="77">
        <v>1</v>
      </c>
      <c r="U2947" s="77">
        <v>0</v>
      </c>
      <c r="V2947" s="77">
        <v>641</v>
      </c>
      <c r="W2947" s="82" t="s">
        <v>4839</v>
      </c>
      <c r="X2947" s="80" t="str">
        <f>HYPERLINK("https://einvestidor.estadao.com.br/ultimas/bolsas-da-asia-fechamento-pmi-china/?utm_source=twitter&amp;utm_medium=organic&amp;utm_campaign=asia&amp;utm_content=materia")</f>
        <v>https://einvestidor.estadao.com.br/ultimas/bolsas-da-asia-fechamento-pmi-china/?utm_source=twitter&amp;utm_medium=organic&amp;utm_campaign=asia&amp;utm_content=materia</v>
      </c>
      <c r="Y2947" s="77" t="s">
        <v>6470</v>
      </c>
      <c r="Z2947" s="77"/>
      <c r="AA2947" s="77"/>
      <c r="AB2947" s="77"/>
      <c r="AC2947" s="82" t="s">
        <v>7750</v>
      </c>
      <c r="AD2947" s="77" t="s">
        <v>7788</v>
      </c>
      <c r="AE2947" s="80" t="str">
        <f>HYPERLINK("https://twitter.com/einvestidor/status/1699006657907310954")</f>
        <v>https://twitter.com/einvestidor/status/1699006657907310954</v>
      </c>
      <c r="AF2947" s="79">
        <v>45174.436655092592</v>
      </c>
      <c r="AG2947" s="85">
        <v>45174</v>
      </c>
      <c r="AH2947" s="82" t="s">
        <v>9883</v>
      </c>
      <c r="AI2947" s="77" t="b">
        <v>0</v>
      </c>
      <c r="AJ2947" s="77"/>
      <c r="AK2947" s="77"/>
      <c r="AL2947" s="77"/>
      <c r="AM2947" s="77"/>
      <c r="AN2947" s="77"/>
      <c r="AO2947" s="77"/>
      <c r="AP2947" s="77"/>
      <c r="AQ2947" s="77"/>
      <c r="AR2947" s="77"/>
      <c r="AS2947" s="77"/>
      <c r="AT2947" s="77"/>
      <c r="AU2947" s="77"/>
      <c r="AV2947" s="80" t="str">
        <f>HYPERLINK("https://pbs.twimg.com/profile_images/1241147984924082183/gZgx_hL-_normal.jpg")</f>
        <v>https://pbs.twimg.com/profile_images/1241147984924082183/gZgx_hL-_normal.jpg</v>
      </c>
      <c r="AW2947" s="82" t="s">
        <v>14543</v>
      </c>
      <c r="AX2947" s="82" t="s">
        <v>14543</v>
      </c>
      <c r="AY2947" s="77"/>
      <c r="AZ2947" s="82" t="s">
        <v>15984</v>
      </c>
      <c r="BA2947" s="82" t="s">
        <v>15984</v>
      </c>
      <c r="BB2947" s="82" t="s">
        <v>15984</v>
      </c>
      <c r="BC2947" s="82" t="s">
        <v>14543</v>
      </c>
      <c r="BD2947" s="82" t="s">
        <v>15979</v>
      </c>
      <c r="BE2947" s="77"/>
      <c r="BF2947" s="77"/>
      <c r="BG2947" s="77"/>
      <c r="BH2947" s="77"/>
      <c r="BI2947" s="77"/>
    </row>
    <row r="2948" spans="1:61" x14ac:dyDescent="0.25">
      <c r="A2948" s="62" t="s">
        <v>387</v>
      </c>
      <c r="B2948" s="62" t="s">
        <v>387</v>
      </c>
      <c r="C2948" s="63"/>
      <c r="D2948" s="64"/>
      <c r="E2948" s="65"/>
      <c r="F2948" s="66"/>
      <c r="G2948" s="63"/>
      <c r="H2948" s="67"/>
      <c r="I2948" s="68"/>
      <c r="J2948" s="68"/>
      <c r="K2948" s="32"/>
      <c r="L2948" s="75">
        <v>2948</v>
      </c>
      <c r="M2948" s="75"/>
      <c r="N2948" s="70"/>
      <c r="O2948" s="77" t="s">
        <v>179</v>
      </c>
      <c r="P2948" s="79">
        <v>45163.911030092589</v>
      </c>
      <c r="Q2948" s="77" t="s">
        <v>3620</v>
      </c>
      <c r="R2948" s="77">
        <v>1</v>
      </c>
      <c r="S2948" s="77">
        <v>1</v>
      </c>
      <c r="T2948" s="77">
        <v>0</v>
      </c>
      <c r="U2948" s="77">
        <v>0</v>
      </c>
      <c r="V2948" s="77">
        <v>578</v>
      </c>
      <c r="W2948" s="82" t="s">
        <v>6161</v>
      </c>
      <c r="X2948" s="80" t="str">
        <f>HYPERLINK("https://einvestidor.estadao.com.br/mercado/melhores-acoes-ibovespa-semana-sao-martinho-alpargatas-raizen/?utm_source=twitter&amp;utm_medium=organic&amp;utm_campaign=&amp;utm_content=materia")</f>
        <v>https://einvestidor.estadao.com.br/mercado/melhores-acoes-ibovespa-semana-sao-martinho-alpargatas-raizen/?utm_source=twitter&amp;utm_medium=organic&amp;utm_campaign=&amp;utm_content=materia</v>
      </c>
      <c r="Y2948" s="77" t="s">
        <v>6470</v>
      </c>
      <c r="Z2948" s="77"/>
      <c r="AA2948" s="77"/>
      <c r="AB2948" s="77"/>
      <c r="AC2948" s="82" t="s">
        <v>7750</v>
      </c>
      <c r="AD2948" s="77" t="s">
        <v>7788</v>
      </c>
      <c r="AE2948" s="80" t="str">
        <f>HYPERLINK("https://twitter.com/einvestidor/status/1695192295811821640")</f>
        <v>https://twitter.com/einvestidor/status/1695192295811821640</v>
      </c>
      <c r="AF2948" s="79">
        <v>45163.911030092589</v>
      </c>
      <c r="AG2948" s="85">
        <v>45163</v>
      </c>
      <c r="AH2948" s="82" t="s">
        <v>9884</v>
      </c>
      <c r="AI2948" s="77" t="b">
        <v>0</v>
      </c>
      <c r="AJ2948" s="77"/>
      <c r="AK2948" s="77"/>
      <c r="AL2948" s="77"/>
      <c r="AM2948" s="77"/>
      <c r="AN2948" s="77"/>
      <c r="AO2948" s="77"/>
      <c r="AP2948" s="77"/>
      <c r="AQ2948" s="77"/>
      <c r="AR2948" s="77"/>
      <c r="AS2948" s="77"/>
      <c r="AT2948" s="77"/>
      <c r="AU2948" s="77"/>
      <c r="AV2948" s="80" t="str">
        <f>HYPERLINK("https://pbs.twimg.com/profile_images/1241147984924082183/gZgx_hL-_normal.jpg")</f>
        <v>https://pbs.twimg.com/profile_images/1241147984924082183/gZgx_hL-_normal.jpg</v>
      </c>
      <c r="AW2948" s="82" t="s">
        <v>14544</v>
      </c>
      <c r="AX2948" s="82" t="s">
        <v>14544</v>
      </c>
      <c r="AY2948" s="77"/>
      <c r="AZ2948" s="82" t="s">
        <v>15984</v>
      </c>
      <c r="BA2948" s="82" t="s">
        <v>15984</v>
      </c>
      <c r="BB2948" s="82" t="s">
        <v>15984</v>
      </c>
      <c r="BC2948" s="82" t="s">
        <v>14544</v>
      </c>
      <c r="BD2948" s="82" t="s">
        <v>15979</v>
      </c>
      <c r="BE2948" s="77"/>
      <c r="BF2948" s="77"/>
      <c r="BG2948" s="77"/>
      <c r="BH2948" s="77"/>
      <c r="BI2948" s="77"/>
    </row>
    <row r="2949" spans="1:61" x14ac:dyDescent="0.25">
      <c r="A2949" s="62" t="s">
        <v>387</v>
      </c>
      <c r="B2949" s="62" t="s">
        <v>387</v>
      </c>
      <c r="C2949" s="63"/>
      <c r="D2949" s="64"/>
      <c r="E2949" s="65"/>
      <c r="F2949" s="66"/>
      <c r="G2949" s="63"/>
      <c r="H2949" s="67"/>
      <c r="I2949" s="68"/>
      <c r="J2949" s="68"/>
      <c r="K2949" s="32"/>
      <c r="L2949" s="75">
        <v>2949</v>
      </c>
      <c r="M2949" s="75"/>
      <c r="N2949" s="70"/>
      <c r="O2949" s="77" t="s">
        <v>179</v>
      </c>
      <c r="P2949" s="79">
        <v>45163.90625</v>
      </c>
      <c r="Q2949" s="77" t="s">
        <v>3621</v>
      </c>
      <c r="R2949" s="77">
        <v>0</v>
      </c>
      <c r="S2949" s="77">
        <v>5</v>
      </c>
      <c r="T2949" s="77">
        <v>0</v>
      </c>
      <c r="U2949" s="77">
        <v>0</v>
      </c>
      <c r="V2949" s="77">
        <v>721</v>
      </c>
      <c r="W2949" s="82" t="s">
        <v>5902</v>
      </c>
      <c r="X2949" s="80" t="str">
        <f>HYPERLINK("https://einvestidor.estadao.com.br/mercado/confira-moedas-negociadas-julho-euro-dolar-caem/?utm_source=twitter&amp;utm_medium=organic&amp;utm_campaign=&amp;utm_content=materia")</f>
        <v>https://einvestidor.estadao.com.br/mercado/confira-moedas-negociadas-julho-euro-dolar-caem/?utm_source=twitter&amp;utm_medium=organic&amp;utm_campaign=&amp;utm_content=materia</v>
      </c>
      <c r="Y2949" s="77" t="s">
        <v>6470</v>
      </c>
      <c r="Z2949" s="77"/>
      <c r="AA2949" s="77"/>
      <c r="AB2949" s="77"/>
      <c r="AC2949" s="82" t="s">
        <v>7750</v>
      </c>
      <c r="AD2949" s="77" t="s">
        <v>7788</v>
      </c>
      <c r="AE2949" s="80" t="str">
        <f>HYPERLINK("https://twitter.com/einvestidor/status/1695190563941929192")</f>
        <v>https://twitter.com/einvestidor/status/1695190563941929192</v>
      </c>
      <c r="AF2949" s="79">
        <v>45163.90625</v>
      </c>
      <c r="AG2949" s="85">
        <v>45163</v>
      </c>
      <c r="AH2949" s="82" t="s">
        <v>9578</v>
      </c>
      <c r="AI2949" s="77" t="b">
        <v>0</v>
      </c>
      <c r="AJ2949" s="77"/>
      <c r="AK2949" s="77"/>
      <c r="AL2949" s="77"/>
      <c r="AM2949" s="77"/>
      <c r="AN2949" s="77"/>
      <c r="AO2949" s="77"/>
      <c r="AP2949" s="77"/>
      <c r="AQ2949" s="77"/>
      <c r="AR2949" s="77"/>
      <c r="AS2949" s="77"/>
      <c r="AT2949" s="77"/>
      <c r="AU2949" s="77"/>
      <c r="AV2949" s="80" t="str">
        <f>HYPERLINK("https://pbs.twimg.com/profile_images/1241147984924082183/gZgx_hL-_normal.jpg")</f>
        <v>https://pbs.twimg.com/profile_images/1241147984924082183/gZgx_hL-_normal.jpg</v>
      </c>
      <c r="AW2949" s="82" t="s">
        <v>14545</v>
      </c>
      <c r="AX2949" s="82" t="s">
        <v>14545</v>
      </c>
      <c r="AY2949" s="77"/>
      <c r="AZ2949" s="82" t="s">
        <v>15984</v>
      </c>
      <c r="BA2949" s="82" t="s">
        <v>15984</v>
      </c>
      <c r="BB2949" s="82" t="s">
        <v>15984</v>
      </c>
      <c r="BC2949" s="82" t="s">
        <v>14545</v>
      </c>
      <c r="BD2949" s="82" t="s">
        <v>15979</v>
      </c>
      <c r="BE2949" s="77"/>
      <c r="BF2949" s="77"/>
      <c r="BG2949" s="77"/>
      <c r="BH2949" s="77"/>
      <c r="BI2949" s="77"/>
    </row>
    <row r="2950" spans="1:61" x14ac:dyDescent="0.25">
      <c r="A2950" s="62" t="s">
        <v>387</v>
      </c>
      <c r="B2950" s="62" t="s">
        <v>387</v>
      </c>
      <c r="C2950" s="63"/>
      <c r="D2950" s="64"/>
      <c r="E2950" s="65"/>
      <c r="F2950" s="66"/>
      <c r="G2950" s="63"/>
      <c r="H2950" s="67"/>
      <c r="I2950" s="68"/>
      <c r="J2950" s="68"/>
      <c r="K2950" s="32"/>
      <c r="L2950" s="75">
        <v>2950</v>
      </c>
      <c r="M2950" s="75"/>
      <c r="N2950" s="70"/>
      <c r="O2950" s="77" t="s">
        <v>179</v>
      </c>
      <c r="P2950" s="79">
        <v>45163.895833333336</v>
      </c>
      <c r="Q2950" s="77" t="s">
        <v>3622</v>
      </c>
      <c r="R2950" s="77">
        <v>0</v>
      </c>
      <c r="S2950" s="77">
        <v>2</v>
      </c>
      <c r="T2950" s="77">
        <v>1</v>
      </c>
      <c r="U2950" s="77">
        <v>0</v>
      </c>
      <c r="V2950" s="77">
        <v>566</v>
      </c>
      <c r="W2950" s="82" t="s">
        <v>6162</v>
      </c>
      <c r="X2950" s="80" t="str">
        <f>HYPERLINK("https://einvestidor.estadao.com.br/ultimas/bitcoin-ethereum-caem-apos-falas-jerome-powell/?utm_source=twitter&amp;utm_medium=organic&amp;utm_campaign=&amp;utm_content=materia")</f>
        <v>https://einvestidor.estadao.com.br/ultimas/bitcoin-ethereum-caem-apos-falas-jerome-powell/?utm_source=twitter&amp;utm_medium=organic&amp;utm_campaign=&amp;utm_content=materia</v>
      </c>
      <c r="Y2950" s="77" t="s">
        <v>6470</v>
      </c>
      <c r="Z2950" s="77"/>
      <c r="AA2950" s="77"/>
      <c r="AB2950" s="77"/>
      <c r="AC2950" s="82" t="s">
        <v>7750</v>
      </c>
      <c r="AD2950" s="77" t="s">
        <v>7788</v>
      </c>
      <c r="AE2950" s="80" t="str">
        <f>HYPERLINK("https://twitter.com/einvestidor/status/1695186790418616792")</f>
        <v>https://twitter.com/einvestidor/status/1695186790418616792</v>
      </c>
      <c r="AF2950" s="79">
        <v>45163.895833333336</v>
      </c>
      <c r="AG2950" s="85">
        <v>45163</v>
      </c>
      <c r="AH2950" s="82" t="s">
        <v>8089</v>
      </c>
      <c r="AI2950" s="77" t="b">
        <v>0</v>
      </c>
      <c r="AJ2950" s="77"/>
      <c r="AK2950" s="77"/>
      <c r="AL2950" s="77"/>
      <c r="AM2950" s="77"/>
      <c r="AN2950" s="77"/>
      <c r="AO2950" s="77"/>
      <c r="AP2950" s="77"/>
      <c r="AQ2950" s="77"/>
      <c r="AR2950" s="77"/>
      <c r="AS2950" s="77"/>
      <c r="AT2950" s="77"/>
      <c r="AU2950" s="77"/>
      <c r="AV2950" s="80" t="str">
        <f>HYPERLINK("https://pbs.twimg.com/profile_images/1241147984924082183/gZgx_hL-_normal.jpg")</f>
        <v>https://pbs.twimg.com/profile_images/1241147984924082183/gZgx_hL-_normal.jpg</v>
      </c>
      <c r="AW2950" s="82" t="s">
        <v>14546</v>
      </c>
      <c r="AX2950" s="82" t="s">
        <v>14546</v>
      </c>
      <c r="AY2950" s="77"/>
      <c r="AZ2950" s="82" t="s">
        <v>15984</v>
      </c>
      <c r="BA2950" s="82" t="s">
        <v>15984</v>
      </c>
      <c r="BB2950" s="82" t="s">
        <v>15984</v>
      </c>
      <c r="BC2950" s="82" t="s">
        <v>14546</v>
      </c>
      <c r="BD2950" s="82" t="s">
        <v>15979</v>
      </c>
      <c r="BE2950" s="77"/>
      <c r="BF2950" s="77"/>
      <c r="BG2950" s="77"/>
      <c r="BH2950" s="77"/>
      <c r="BI2950" s="77"/>
    </row>
    <row r="2951" spans="1:61" x14ac:dyDescent="0.25">
      <c r="A2951" s="62" t="s">
        <v>387</v>
      </c>
      <c r="B2951" s="62" t="s">
        <v>387</v>
      </c>
      <c r="C2951" s="63"/>
      <c r="D2951" s="64"/>
      <c r="E2951" s="65"/>
      <c r="F2951" s="66"/>
      <c r="G2951" s="63"/>
      <c r="H2951" s="67"/>
      <c r="I2951" s="68"/>
      <c r="J2951" s="68"/>
      <c r="K2951" s="32"/>
      <c r="L2951" s="75">
        <v>2951</v>
      </c>
      <c r="M2951" s="75"/>
      <c r="N2951" s="70"/>
      <c r="O2951" s="77" t="s">
        <v>179</v>
      </c>
      <c r="P2951" s="79">
        <v>45163.889872685184</v>
      </c>
      <c r="Q2951" s="77" t="s">
        <v>3623</v>
      </c>
      <c r="R2951" s="77">
        <v>0</v>
      </c>
      <c r="S2951" s="77">
        <v>3</v>
      </c>
      <c r="T2951" s="77">
        <v>0</v>
      </c>
      <c r="U2951" s="77">
        <v>0</v>
      </c>
      <c r="V2951" s="77">
        <v>680</v>
      </c>
      <c r="W2951" s="82" t="s">
        <v>6163</v>
      </c>
      <c r="X2951" s="80" t="str">
        <f>HYPERLINK("https://einvestidor.estadao.com.br/mercado/piores-acoes-ibovespa-pao-de-acucar-cvc-mrv/?utm_source=twitter&amp;utm_medium=organic&amp;utm_campaign=&amp;utm_content=materia")</f>
        <v>https://einvestidor.estadao.com.br/mercado/piores-acoes-ibovespa-pao-de-acucar-cvc-mrv/?utm_source=twitter&amp;utm_medium=organic&amp;utm_campaign=&amp;utm_content=materia</v>
      </c>
      <c r="Y2951" s="77" t="s">
        <v>6470</v>
      </c>
      <c r="Z2951" s="77"/>
      <c r="AA2951" s="77"/>
      <c r="AB2951" s="77"/>
      <c r="AC2951" s="82" t="s">
        <v>7750</v>
      </c>
      <c r="AD2951" s="77" t="s">
        <v>7788</v>
      </c>
      <c r="AE2951" s="80" t="str">
        <f>HYPERLINK("https://twitter.com/einvestidor/status/1695184629421011094")</f>
        <v>https://twitter.com/einvestidor/status/1695184629421011094</v>
      </c>
      <c r="AF2951" s="79">
        <v>45163.889872685184</v>
      </c>
      <c r="AG2951" s="85">
        <v>45163</v>
      </c>
      <c r="AH2951" s="82" t="s">
        <v>9885</v>
      </c>
      <c r="AI2951" s="77" t="b">
        <v>0</v>
      </c>
      <c r="AJ2951" s="77"/>
      <c r="AK2951" s="77"/>
      <c r="AL2951" s="77"/>
      <c r="AM2951" s="77"/>
      <c r="AN2951" s="77"/>
      <c r="AO2951" s="77"/>
      <c r="AP2951" s="77"/>
      <c r="AQ2951" s="77"/>
      <c r="AR2951" s="77"/>
      <c r="AS2951" s="77"/>
      <c r="AT2951" s="77"/>
      <c r="AU2951" s="77"/>
      <c r="AV2951" s="80" t="str">
        <f>HYPERLINK("https://pbs.twimg.com/profile_images/1241147984924082183/gZgx_hL-_normal.jpg")</f>
        <v>https://pbs.twimg.com/profile_images/1241147984924082183/gZgx_hL-_normal.jpg</v>
      </c>
      <c r="AW2951" s="82" t="s">
        <v>14547</v>
      </c>
      <c r="AX2951" s="82" t="s">
        <v>14547</v>
      </c>
      <c r="AY2951" s="77"/>
      <c r="AZ2951" s="82" t="s">
        <v>15984</v>
      </c>
      <c r="BA2951" s="82" t="s">
        <v>15984</v>
      </c>
      <c r="BB2951" s="82" t="s">
        <v>15984</v>
      </c>
      <c r="BC2951" s="82" t="s">
        <v>14547</v>
      </c>
      <c r="BD2951" s="82" t="s">
        <v>15979</v>
      </c>
      <c r="BE2951" s="77"/>
      <c r="BF2951" s="77"/>
      <c r="BG2951" s="77"/>
      <c r="BH2951" s="77"/>
      <c r="BI2951" s="77"/>
    </row>
    <row r="2952" spans="1:61" x14ac:dyDescent="0.25">
      <c r="A2952" s="62" t="s">
        <v>387</v>
      </c>
      <c r="B2952" s="62" t="s">
        <v>387</v>
      </c>
      <c r="C2952" s="63"/>
      <c r="D2952" s="64"/>
      <c r="E2952" s="65"/>
      <c r="F2952" s="66"/>
      <c r="G2952" s="63"/>
      <c r="H2952" s="67"/>
      <c r="I2952" s="68"/>
      <c r="J2952" s="68"/>
      <c r="K2952" s="32"/>
      <c r="L2952" s="75">
        <v>2952</v>
      </c>
      <c r="M2952" s="75"/>
      <c r="N2952" s="70"/>
      <c r="O2952" s="77" t="s">
        <v>179</v>
      </c>
      <c r="P2952" s="79">
        <v>45163.886979166666</v>
      </c>
      <c r="Q2952" s="77" t="s">
        <v>3624</v>
      </c>
      <c r="R2952" s="77">
        <v>1</v>
      </c>
      <c r="S2952" s="77">
        <v>0</v>
      </c>
      <c r="T2952" s="77">
        <v>0</v>
      </c>
      <c r="U2952" s="77">
        <v>0</v>
      </c>
      <c r="V2952" s="77">
        <v>504</v>
      </c>
      <c r="W2952" s="82" t="s">
        <v>6164</v>
      </c>
      <c r="X2952" s="80" t="str">
        <f>HYPERLINK("https://einvestidor.estadao.com.br/mercado/melhores-acoes-ibovespa-sao-martinho-slc-agricola-raizen/?utm_source=twitter&amp;utm_medium=organic&amp;utm_campaign=&amp;utm_content=materia")</f>
        <v>https://einvestidor.estadao.com.br/mercado/melhores-acoes-ibovespa-sao-martinho-slc-agricola-raizen/?utm_source=twitter&amp;utm_medium=organic&amp;utm_campaign=&amp;utm_content=materia</v>
      </c>
      <c r="Y2952" s="77" t="s">
        <v>6470</v>
      </c>
      <c r="Z2952" s="77"/>
      <c r="AA2952" s="77"/>
      <c r="AB2952" s="77"/>
      <c r="AC2952" s="82" t="s">
        <v>7750</v>
      </c>
      <c r="AD2952" s="77" t="s">
        <v>7788</v>
      </c>
      <c r="AE2952" s="80" t="str">
        <f>HYPERLINK("https://twitter.com/einvestidor/status/1695183580735951283")</f>
        <v>https://twitter.com/einvestidor/status/1695183580735951283</v>
      </c>
      <c r="AF2952" s="79">
        <v>45163.886979166666</v>
      </c>
      <c r="AG2952" s="85">
        <v>45163</v>
      </c>
      <c r="AH2952" s="82" t="s">
        <v>9886</v>
      </c>
      <c r="AI2952" s="77" t="b">
        <v>0</v>
      </c>
      <c r="AJ2952" s="77"/>
      <c r="AK2952" s="77"/>
      <c r="AL2952" s="77"/>
      <c r="AM2952" s="77"/>
      <c r="AN2952" s="77"/>
      <c r="AO2952" s="77"/>
      <c r="AP2952" s="77"/>
      <c r="AQ2952" s="77"/>
      <c r="AR2952" s="77"/>
      <c r="AS2952" s="77"/>
      <c r="AT2952" s="77"/>
      <c r="AU2952" s="77"/>
      <c r="AV2952" s="80" t="str">
        <f>HYPERLINK("https://pbs.twimg.com/profile_images/1241147984924082183/gZgx_hL-_normal.jpg")</f>
        <v>https://pbs.twimg.com/profile_images/1241147984924082183/gZgx_hL-_normal.jpg</v>
      </c>
      <c r="AW2952" s="82" t="s">
        <v>14548</v>
      </c>
      <c r="AX2952" s="82" t="s">
        <v>14548</v>
      </c>
      <c r="AY2952" s="77"/>
      <c r="AZ2952" s="82" t="s">
        <v>15984</v>
      </c>
      <c r="BA2952" s="82" t="s">
        <v>15984</v>
      </c>
      <c r="BB2952" s="82" t="s">
        <v>15984</v>
      </c>
      <c r="BC2952" s="82" t="s">
        <v>14548</v>
      </c>
      <c r="BD2952" s="82" t="s">
        <v>15979</v>
      </c>
      <c r="BE2952" s="77"/>
      <c r="BF2952" s="77"/>
      <c r="BG2952" s="77"/>
      <c r="BH2952" s="77"/>
      <c r="BI2952" s="77"/>
    </row>
    <row r="2953" spans="1:61" x14ac:dyDescent="0.25">
      <c r="A2953" s="62" t="s">
        <v>387</v>
      </c>
      <c r="B2953" s="62" t="s">
        <v>387</v>
      </c>
      <c r="C2953" s="63"/>
      <c r="D2953" s="64"/>
      <c r="E2953" s="65"/>
      <c r="F2953" s="66"/>
      <c r="G2953" s="63"/>
      <c r="H2953" s="67"/>
      <c r="I2953" s="68"/>
      <c r="J2953" s="68"/>
      <c r="K2953" s="32"/>
      <c r="L2953" s="75">
        <v>2953</v>
      </c>
      <c r="M2953" s="75"/>
      <c r="N2953" s="70"/>
      <c r="O2953" s="77" t="s">
        <v>179</v>
      </c>
      <c r="P2953" s="79">
        <v>45163.885416666664</v>
      </c>
      <c r="Q2953" s="77" t="s">
        <v>3625</v>
      </c>
      <c r="R2953" s="77">
        <v>1</v>
      </c>
      <c r="S2953" s="77">
        <v>2</v>
      </c>
      <c r="T2953" s="77">
        <v>0</v>
      </c>
      <c r="U2953" s="77">
        <v>0</v>
      </c>
      <c r="V2953" s="77">
        <v>546</v>
      </c>
      <c r="W2953" s="82" t="s">
        <v>4833</v>
      </c>
      <c r="X2953" s="80" t="str">
        <f>HYPERLINK("https://einvestidor.estadao.com.br/educacao-financeira/como-calcular-ferias/?utm_source=twitter&amp;utm_medium=organic&amp;utm_campaign=&amp;utm_content=materia")</f>
        <v>https://einvestidor.estadao.com.br/educacao-financeira/como-calcular-ferias/?utm_source=twitter&amp;utm_medium=organic&amp;utm_campaign=&amp;utm_content=materia</v>
      </c>
      <c r="Y2953" s="77" t="s">
        <v>6470</v>
      </c>
      <c r="Z2953" s="77"/>
      <c r="AA2953" s="77"/>
      <c r="AB2953" s="77"/>
      <c r="AC2953" s="82" t="s">
        <v>7750</v>
      </c>
      <c r="AD2953" s="77" t="s">
        <v>7788</v>
      </c>
      <c r="AE2953" s="80" t="str">
        <f>HYPERLINK("https://twitter.com/einvestidor/status/1695183014576238596")</f>
        <v>https://twitter.com/einvestidor/status/1695183014576238596</v>
      </c>
      <c r="AF2953" s="79">
        <v>45163.885416666664</v>
      </c>
      <c r="AG2953" s="85">
        <v>45163</v>
      </c>
      <c r="AH2953" s="82" t="s">
        <v>8206</v>
      </c>
      <c r="AI2953" s="77" t="b">
        <v>0</v>
      </c>
      <c r="AJ2953" s="77"/>
      <c r="AK2953" s="77"/>
      <c r="AL2953" s="77"/>
      <c r="AM2953" s="77"/>
      <c r="AN2953" s="77"/>
      <c r="AO2953" s="77"/>
      <c r="AP2953" s="77"/>
      <c r="AQ2953" s="77"/>
      <c r="AR2953" s="77"/>
      <c r="AS2953" s="77"/>
      <c r="AT2953" s="77"/>
      <c r="AU2953" s="77"/>
      <c r="AV2953" s="80" t="str">
        <f>HYPERLINK("https://pbs.twimg.com/profile_images/1241147984924082183/gZgx_hL-_normal.jpg")</f>
        <v>https://pbs.twimg.com/profile_images/1241147984924082183/gZgx_hL-_normal.jpg</v>
      </c>
      <c r="AW2953" s="82" t="s">
        <v>14549</v>
      </c>
      <c r="AX2953" s="82" t="s">
        <v>14549</v>
      </c>
      <c r="AY2953" s="77"/>
      <c r="AZ2953" s="82" t="s">
        <v>15984</v>
      </c>
      <c r="BA2953" s="82" t="s">
        <v>15984</v>
      </c>
      <c r="BB2953" s="82" t="s">
        <v>15984</v>
      </c>
      <c r="BC2953" s="82" t="s">
        <v>14549</v>
      </c>
      <c r="BD2953" s="82" t="s">
        <v>15979</v>
      </c>
      <c r="BE2953" s="77"/>
      <c r="BF2953" s="77"/>
      <c r="BG2953" s="77"/>
      <c r="BH2953" s="77"/>
      <c r="BI2953" s="77"/>
    </row>
    <row r="2954" spans="1:61" x14ac:dyDescent="0.25">
      <c r="A2954" s="62" t="s">
        <v>387</v>
      </c>
      <c r="B2954" s="62" t="s">
        <v>387</v>
      </c>
      <c r="C2954" s="63"/>
      <c r="D2954" s="64"/>
      <c r="E2954" s="65"/>
      <c r="F2954" s="66"/>
      <c r="G2954" s="63"/>
      <c r="H2954" s="67"/>
      <c r="I2954" s="68"/>
      <c r="J2954" s="68"/>
      <c r="K2954" s="32"/>
      <c r="L2954" s="75">
        <v>2954</v>
      </c>
      <c r="M2954" s="75"/>
      <c r="N2954" s="70"/>
      <c r="O2954" s="77" t="s">
        <v>179</v>
      </c>
      <c r="P2954" s="79">
        <v>45163.864583333336</v>
      </c>
      <c r="Q2954" s="77" t="s">
        <v>3626</v>
      </c>
      <c r="R2954" s="77">
        <v>1</v>
      </c>
      <c r="S2954" s="77">
        <v>3</v>
      </c>
      <c r="T2954" s="77">
        <v>0</v>
      </c>
      <c r="U2954" s="77">
        <v>0</v>
      </c>
      <c r="V2954" s="77">
        <v>654</v>
      </c>
      <c r="W2954" s="82" t="s">
        <v>5938</v>
      </c>
      <c r="X2954" s="80" t="str">
        <f>HYPERLINK("https://einvestidor.estadao.com.br/educacao-financeira/como-bloquear-cartao-nubank/?utm_source=twitter&amp;utm_medium=organic&amp;utm_campaign=&amp;utm_content=materia")</f>
        <v>https://einvestidor.estadao.com.br/educacao-financeira/como-bloquear-cartao-nubank/?utm_source=twitter&amp;utm_medium=organic&amp;utm_campaign=&amp;utm_content=materia</v>
      </c>
      <c r="Y2954" s="77" t="s">
        <v>6470</v>
      </c>
      <c r="Z2954" s="77"/>
      <c r="AA2954" s="77"/>
      <c r="AB2954" s="77"/>
      <c r="AC2954" s="82" t="s">
        <v>7750</v>
      </c>
      <c r="AD2954" s="77" t="s">
        <v>7788</v>
      </c>
      <c r="AE2954" s="80" t="str">
        <f>HYPERLINK("https://twitter.com/einvestidor/status/1695175464497619230")</f>
        <v>https://twitter.com/einvestidor/status/1695175464497619230</v>
      </c>
      <c r="AF2954" s="79">
        <v>45163.864583333336</v>
      </c>
      <c r="AG2954" s="85">
        <v>45163</v>
      </c>
      <c r="AH2954" s="82" t="s">
        <v>9596</v>
      </c>
      <c r="AI2954" s="77" t="b">
        <v>0</v>
      </c>
      <c r="AJ2954" s="77"/>
      <c r="AK2954" s="77"/>
      <c r="AL2954" s="77"/>
      <c r="AM2954" s="77"/>
      <c r="AN2954" s="77"/>
      <c r="AO2954" s="77"/>
      <c r="AP2954" s="77"/>
      <c r="AQ2954" s="77"/>
      <c r="AR2954" s="77"/>
      <c r="AS2954" s="77"/>
      <c r="AT2954" s="77"/>
      <c r="AU2954" s="77"/>
      <c r="AV2954" s="80" t="str">
        <f>HYPERLINK("https://pbs.twimg.com/profile_images/1241147984924082183/gZgx_hL-_normal.jpg")</f>
        <v>https://pbs.twimg.com/profile_images/1241147984924082183/gZgx_hL-_normal.jpg</v>
      </c>
      <c r="AW2954" s="82" t="s">
        <v>14550</v>
      </c>
      <c r="AX2954" s="82" t="s">
        <v>14550</v>
      </c>
      <c r="AY2954" s="77"/>
      <c r="AZ2954" s="82" t="s">
        <v>15984</v>
      </c>
      <c r="BA2954" s="82" t="s">
        <v>15984</v>
      </c>
      <c r="BB2954" s="82" t="s">
        <v>15984</v>
      </c>
      <c r="BC2954" s="82" t="s">
        <v>14550</v>
      </c>
      <c r="BD2954" s="82" t="s">
        <v>15979</v>
      </c>
      <c r="BE2954" s="77"/>
      <c r="BF2954" s="77"/>
      <c r="BG2954" s="77"/>
      <c r="BH2954" s="77"/>
      <c r="BI2954" s="77"/>
    </row>
    <row r="2955" spans="1:61" x14ac:dyDescent="0.25">
      <c r="A2955" s="62" t="s">
        <v>387</v>
      </c>
      <c r="B2955" s="62" t="s">
        <v>387</v>
      </c>
      <c r="C2955" s="63"/>
      <c r="D2955" s="64"/>
      <c r="E2955" s="65"/>
      <c r="F2955" s="66"/>
      <c r="G2955" s="63"/>
      <c r="H2955" s="67"/>
      <c r="I2955" s="68"/>
      <c r="J2955" s="68"/>
      <c r="K2955" s="32"/>
      <c r="L2955" s="75">
        <v>2955</v>
      </c>
      <c r="M2955" s="75"/>
      <c r="N2955" s="70"/>
      <c r="O2955" s="77" t="s">
        <v>179</v>
      </c>
      <c r="P2955" s="79">
        <v>45163.833344907405</v>
      </c>
      <c r="Q2955" s="77" t="s">
        <v>3627</v>
      </c>
      <c r="R2955" s="77">
        <v>1</v>
      </c>
      <c r="S2955" s="77">
        <v>4</v>
      </c>
      <c r="T2955" s="77">
        <v>0</v>
      </c>
      <c r="U2955" s="77">
        <v>0</v>
      </c>
      <c r="V2955" s="77">
        <v>677</v>
      </c>
      <c r="W2955" s="82" t="s">
        <v>6165</v>
      </c>
      <c r="X2955" s="80" t="str">
        <f>HYPERLINK("https://einvestidor.estadao.com.br/educacao-financeira/caso-123milhas-como-nao-cair-em-ciladas/?utm_source=twitter&amp;utm_medium=organic&amp;utm_campaign=&amp;utm_content=materia")</f>
        <v>https://einvestidor.estadao.com.br/educacao-financeira/caso-123milhas-como-nao-cair-em-ciladas/?utm_source=twitter&amp;utm_medium=organic&amp;utm_campaign=&amp;utm_content=materia</v>
      </c>
      <c r="Y2955" s="77" t="s">
        <v>6470</v>
      </c>
      <c r="Z2955" s="77"/>
      <c r="AA2955" s="77"/>
      <c r="AB2955" s="77"/>
      <c r="AC2955" s="82" t="s">
        <v>7750</v>
      </c>
      <c r="AD2955" s="77" t="s">
        <v>7788</v>
      </c>
      <c r="AE2955" s="80" t="str">
        <f>HYPERLINK("https://twitter.com/einvestidor/status/1695164143588757703")</f>
        <v>https://twitter.com/einvestidor/status/1695164143588757703</v>
      </c>
      <c r="AF2955" s="79">
        <v>45163.833344907405</v>
      </c>
      <c r="AG2955" s="85">
        <v>45163</v>
      </c>
      <c r="AH2955" s="82" t="s">
        <v>8284</v>
      </c>
      <c r="AI2955" s="77" t="b">
        <v>0</v>
      </c>
      <c r="AJ2955" s="77"/>
      <c r="AK2955" s="77"/>
      <c r="AL2955" s="77"/>
      <c r="AM2955" s="77"/>
      <c r="AN2955" s="77"/>
      <c r="AO2955" s="77"/>
      <c r="AP2955" s="77"/>
      <c r="AQ2955" s="77"/>
      <c r="AR2955" s="77"/>
      <c r="AS2955" s="77"/>
      <c r="AT2955" s="77"/>
      <c r="AU2955" s="77"/>
      <c r="AV2955" s="80" t="str">
        <f>HYPERLINK("https://pbs.twimg.com/profile_images/1241147984924082183/gZgx_hL-_normal.jpg")</f>
        <v>https://pbs.twimg.com/profile_images/1241147984924082183/gZgx_hL-_normal.jpg</v>
      </c>
      <c r="AW2955" s="82" t="s">
        <v>14551</v>
      </c>
      <c r="AX2955" s="82" t="s">
        <v>14551</v>
      </c>
      <c r="AY2955" s="77"/>
      <c r="AZ2955" s="82" t="s">
        <v>15984</v>
      </c>
      <c r="BA2955" s="82" t="s">
        <v>15984</v>
      </c>
      <c r="BB2955" s="82" t="s">
        <v>15984</v>
      </c>
      <c r="BC2955" s="82" t="s">
        <v>14551</v>
      </c>
      <c r="BD2955" s="82" t="s">
        <v>15979</v>
      </c>
      <c r="BE2955" s="77"/>
      <c r="BF2955" s="77"/>
      <c r="BG2955" s="77"/>
      <c r="BH2955" s="77"/>
      <c r="BI2955" s="77"/>
    </row>
    <row r="2956" spans="1:61" x14ac:dyDescent="0.25">
      <c r="A2956" s="62" t="s">
        <v>387</v>
      </c>
      <c r="B2956" s="62" t="s">
        <v>387</v>
      </c>
      <c r="C2956" s="63"/>
      <c r="D2956" s="64"/>
      <c r="E2956" s="65"/>
      <c r="F2956" s="66"/>
      <c r="G2956" s="63"/>
      <c r="H2956" s="67"/>
      <c r="I2956" s="68"/>
      <c r="J2956" s="68"/>
      <c r="K2956" s="32"/>
      <c r="L2956" s="75">
        <v>2956</v>
      </c>
      <c r="M2956" s="75"/>
      <c r="N2956" s="70"/>
      <c r="O2956" s="77" t="s">
        <v>179</v>
      </c>
      <c r="P2956" s="79">
        <v>45163.802083333336</v>
      </c>
      <c r="Q2956" s="77" t="s">
        <v>3628</v>
      </c>
      <c r="R2956" s="77">
        <v>0</v>
      </c>
      <c r="S2956" s="77">
        <v>1</v>
      </c>
      <c r="T2956" s="77">
        <v>0</v>
      </c>
      <c r="U2956" s="77">
        <v>0</v>
      </c>
      <c r="V2956" s="77">
        <v>457</v>
      </c>
      <c r="W2956" s="82" t="s">
        <v>6037</v>
      </c>
      <c r="X2956" s="80" t="str">
        <f>HYPERLINK("https://einvestidor.estadao.com.br/ultimas/lotofacil-da-independencia-2023-apostas-exclusivas/?utm_source=twitter&amp;utm_medium=organic&amp;utm_campaign=&amp;utm_content=materia")</f>
        <v>https://einvestidor.estadao.com.br/ultimas/lotofacil-da-independencia-2023-apostas-exclusivas/?utm_source=twitter&amp;utm_medium=organic&amp;utm_campaign=&amp;utm_content=materia</v>
      </c>
      <c r="Y2956" s="77" t="s">
        <v>6470</v>
      </c>
      <c r="Z2956" s="77"/>
      <c r="AA2956" s="77"/>
      <c r="AB2956" s="77"/>
      <c r="AC2956" s="82" t="s">
        <v>7750</v>
      </c>
      <c r="AD2956" s="77" t="s">
        <v>7788</v>
      </c>
      <c r="AE2956" s="80" t="str">
        <f>HYPERLINK("https://twitter.com/einvestidor/status/1695152815637958825")</f>
        <v>https://twitter.com/einvestidor/status/1695152815637958825</v>
      </c>
      <c r="AF2956" s="79">
        <v>45163.802083333336</v>
      </c>
      <c r="AG2956" s="85">
        <v>45163</v>
      </c>
      <c r="AH2956" s="82" t="s">
        <v>7868</v>
      </c>
      <c r="AI2956" s="77" t="b">
        <v>0</v>
      </c>
      <c r="AJ2956" s="77"/>
      <c r="AK2956" s="77"/>
      <c r="AL2956" s="77"/>
      <c r="AM2956" s="77"/>
      <c r="AN2956" s="77"/>
      <c r="AO2956" s="77"/>
      <c r="AP2956" s="77"/>
      <c r="AQ2956" s="77"/>
      <c r="AR2956" s="77"/>
      <c r="AS2956" s="77"/>
      <c r="AT2956" s="77"/>
      <c r="AU2956" s="77"/>
      <c r="AV2956" s="80" t="str">
        <f>HYPERLINK("https://pbs.twimg.com/profile_images/1241147984924082183/gZgx_hL-_normal.jpg")</f>
        <v>https://pbs.twimg.com/profile_images/1241147984924082183/gZgx_hL-_normal.jpg</v>
      </c>
      <c r="AW2956" s="82" t="s">
        <v>14552</v>
      </c>
      <c r="AX2956" s="82" t="s">
        <v>14552</v>
      </c>
      <c r="AY2956" s="77"/>
      <c r="AZ2956" s="82" t="s">
        <v>15984</v>
      </c>
      <c r="BA2956" s="82" t="s">
        <v>15984</v>
      </c>
      <c r="BB2956" s="82" t="s">
        <v>15984</v>
      </c>
      <c r="BC2956" s="82" t="s">
        <v>14552</v>
      </c>
      <c r="BD2956" s="82" t="s">
        <v>15979</v>
      </c>
      <c r="BE2956" s="77"/>
      <c r="BF2956" s="77"/>
      <c r="BG2956" s="77"/>
      <c r="BH2956" s="77"/>
      <c r="BI2956" s="77"/>
    </row>
    <row r="2957" spans="1:61" x14ac:dyDescent="0.25">
      <c r="A2957" s="62" t="s">
        <v>387</v>
      </c>
      <c r="B2957" s="62" t="s">
        <v>387</v>
      </c>
      <c r="C2957" s="63"/>
      <c r="D2957" s="64"/>
      <c r="E2957" s="65"/>
      <c r="F2957" s="66"/>
      <c r="G2957" s="63"/>
      <c r="H2957" s="67"/>
      <c r="I2957" s="68"/>
      <c r="J2957" s="68"/>
      <c r="K2957" s="32"/>
      <c r="L2957" s="75">
        <v>2957</v>
      </c>
      <c r="M2957" s="75"/>
      <c r="N2957" s="70"/>
      <c r="O2957" s="77" t="s">
        <v>179</v>
      </c>
      <c r="P2957" s="79">
        <v>45163.791666666664</v>
      </c>
      <c r="Q2957" s="77" t="s">
        <v>3629</v>
      </c>
      <c r="R2957" s="77">
        <v>0</v>
      </c>
      <c r="S2957" s="77">
        <v>1</v>
      </c>
      <c r="T2957" s="77">
        <v>0</v>
      </c>
      <c r="U2957" s="77">
        <v>0</v>
      </c>
      <c r="V2957" s="77">
        <v>491</v>
      </c>
      <c r="W2957" s="82" t="s">
        <v>5961</v>
      </c>
      <c r="X2957" s="80" t="str">
        <f>HYPERLINK("https://einvestidor.estadao.com.br/mercado/petrobras-petr4-recomendacao-corretoras/?utm_source=twitter&amp;utm_medium=organic&amp;utm_campaign=&amp;utm_content=materia")</f>
        <v>https://einvestidor.estadao.com.br/mercado/petrobras-petr4-recomendacao-corretoras/?utm_source=twitter&amp;utm_medium=organic&amp;utm_campaign=&amp;utm_content=materia</v>
      </c>
      <c r="Y2957" s="77" t="s">
        <v>6470</v>
      </c>
      <c r="Z2957" s="77"/>
      <c r="AA2957" s="77"/>
      <c r="AB2957" s="77"/>
      <c r="AC2957" s="82" t="s">
        <v>7750</v>
      </c>
      <c r="AD2957" s="77" t="s">
        <v>7788</v>
      </c>
      <c r="AE2957" s="80" t="str">
        <f>HYPERLINK("https://twitter.com/einvestidor/status/1695149040243990934")</f>
        <v>https://twitter.com/einvestidor/status/1695149040243990934</v>
      </c>
      <c r="AF2957" s="79">
        <v>45163.791666666664</v>
      </c>
      <c r="AG2957" s="85">
        <v>45163</v>
      </c>
      <c r="AH2957" s="82" t="s">
        <v>9299</v>
      </c>
      <c r="AI2957" s="77" t="b">
        <v>0</v>
      </c>
      <c r="AJ2957" s="77"/>
      <c r="AK2957" s="77"/>
      <c r="AL2957" s="77"/>
      <c r="AM2957" s="77"/>
      <c r="AN2957" s="77"/>
      <c r="AO2957" s="77"/>
      <c r="AP2957" s="77"/>
      <c r="AQ2957" s="77"/>
      <c r="AR2957" s="77"/>
      <c r="AS2957" s="77"/>
      <c r="AT2957" s="77"/>
      <c r="AU2957" s="77"/>
      <c r="AV2957" s="80" t="str">
        <f>HYPERLINK("https://pbs.twimg.com/profile_images/1241147984924082183/gZgx_hL-_normal.jpg")</f>
        <v>https://pbs.twimg.com/profile_images/1241147984924082183/gZgx_hL-_normal.jpg</v>
      </c>
      <c r="AW2957" s="82" t="s">
        <v>14553</v>
      </c>
      <c r="AX2957" s="82" t="s">
        <v>14553</v>
      </c>
      <c r="AY2957" s="77"/>
      <c r="AZ2957" s="82" t="s">
        <v>15984</v>
      </c>
      <c r="BA2957" s="82" t="s">
        <v>15984</v>
      </c>
      <c r="BB2957" s="82" t="s">
        <v>15984</v>
      </c>
      <c r="BC2957" s="82" t="s">
        <v>14553</v>
      </c>
      <c r="BD2957" s="82" t="s">
        <v>15979</v>
      </c>
      <c r="BE2957" s="77"/>
      <c r="BF2957" s="77"/>
      <c r="BG2957" s="77"/>
      <c r="BH2957" s="77"/>
      <c r="BI2957" s="77"/>
    </row>
    <row r="2958" spans="1:61" x14ac:dyDescent="0.25">
      <c r="A2958" s="62" t="s">
        <v>387</v>
      </c>
      <c r="B2958" s="62" t="s">
        <v>387</v>
      </c>
      <c r="C2958" s="63"/>
      <c r="D2958" s="64"/>
      <c r="E2958" s="65"/>
      <c r="F2958" s="66"/>
      <c r="G2958" s="63"/>
      <c r="H2958" s="67"/>
      <c r="I2958" s="68"/>
      <c r="J2958" s="68"/>
      <c r="K2958" s="32"/>
      <c r="L2958" s="75">
        <v>2958</v>
      </c>
      <c r="M2958" s="75"/>
      <c r="N2958" s="70"/>
      <c r="O2958" s="77" t="s">
        <v>179</v>
      </c>
      <c r="P2958" s="79">
        <v>45163.78125</v>
      </c>
      <c r="Q2958" s="77" t="s">
        <v>3630</v>
      </c>
      <c r="R2958" s="77">
        <v>0</v>
      </c>
      <c r="S2958" s="77">
        <v>0</v>
      </c>
      <c r="T2958" s="77">
        <v>0</v>
      </c>
      <c r="U2958" s="77">
        <v>0</v>
      </c>
      <c r="V2958" s="77">
        <v>483</v>
      </c>
      <c r="W2958" s="82" t="s">
        <v>6166</v>
      </c>
      <c r="X2958" s="80" t="str">
        <f>HYPERLINK("https://einvestidor.estadao.com.br/ultimas/agora-bbi-recomendacao-smto3-jall3/?utm_source=twitter&amp;utm_medium=organic&amp;utm_campaign=&amp;utm_content=materia")</f>
        <v>https://einvestidor.estadao.com.br/ultimas/agora-bbi-recomendacao-smto3-jall3/?utm_source=twitter&amp;utm_medium=organic&amp;utm_campaign=&amp;utm_content=materia</v>
      </c>
      <c r="Y2958" s="77" t="s">
        <v>6470</v>
      </c>
      <c r="Z2958" s="77"/>
      <c r="AA2958" s="77"/>
      <c r="AB2958" s="77"/>
      <c r="AC2958" s="82" t="s">
        <v>7750</v>
      </c>
      <c r="AD2958" s="77" t="s">
        <v>7788</v>
      </c>
      <c r="AE2958" s="80" t="str">
        <f>HYPERLINK("https://twitter.com/einvestidor/status/1695145265445917041")</f>
        <v>https://twitter.com/einvestidor/status/1695145265445917041</v>
      </c>
      <c r="AF2958" s="79">
        <v>45163.78125</v>
      </c>
      <c r="AG2958" s="85">
        <v>45163</v>
      </c>
      <c r="AH2958" s="82" t="s">
        <v>9581</v>
      </c>
      <c r="AI2958" s="77" t="b">
        <v>0</v>
      </c>
      <c r="AJ2958" s="77"/>
      <c r="AK2958" s="77"/>
      <c r="AL2958" s="77"/>
      <c r="AM2958" s="77"/>
      <c r="AN2958" s="77"/>
      <c r="AO2958" s="77"/>
      <c r="AP2958" s="77"/>
      <c r="AQ2958" s="77"/>
      <c r="AR2958" s="77"/>
      <c r="AS2958" s="77"/>
      <c r="AT2958" s="77"/>
      <c r="AU2958" s="77"/>
      <c r="AV2958" s="80" t="str">
        <f>HYPERLINK("https://pbs.twimg.com/profile_images/1241147984924082183/gZgx_hL-_normal.jpg")</f>
        <v>https://pbs.twimg.com/profile_images/1241147984924082183/gZgx_hL-_normal.jpg</v>
      </c>
      <c r="AW2958" s="82" t="s">
        <v>14554</v>
      </c>
      <c r="AX2958" s="82" t="s">
        <v>14554</v>
      </c>
      <c r="AY2958" s="77"/>
      <c r="AZ2958" s="82" t="s">
        <v>15984</v>
      </c>
      <c r="BA2958" s="82" t="s">
        <v>15984</v>
      </c>
      <c r="BB2958" s="82" t="s">
        <v>15984</v>
      </c>
      <c r="BC2958" s="82" t="s">
        <v>14554</v>
      </c>
      <c r="BD2958" s="82" t="s">
        <v>15979</v>
      </c>
      <c r="BE2958" s="77"/>
      <c r="BF2958" s="77"/>
      <c r="BG2958" s="77"/>
      <c r="BH2958" s="77"/>
      <c r="BI2958" s="77"/>
    </row>
    <row r="2959" spans="1:61" x14ac:dyDescent="0.25">
      <c r="A2959" s="62" t="s">
        <v>387</v>
      </c>
      <c r="B2959" s="62" t="s">
        <v>387</v>
      </c>
      <c r="C2959" s="63"/>
      <c r="D2959" s="64"/>
      <c r="E2959" s="65"/>
      <c r="F2959" s="66"/>
      <c r="G2959" s="63"/>
      <c r="H2959" s="67"/>
      <c r="I2959" s="68"/>
      <c r="J2959" s="68"/>
      <c r="K2959" s="32"/>
      <c r="L2959" s="75">
        <v>2959</v>
      </c>
      <c r="M2959" s="75"/>
      <c r="N2959" s="70"/>
      <c r="O2959" s="77" t="s">
        <v>179</v>
      </c>
      <c r="P2959" s="79">
        <v>45151.875</v>
      </c>
      <c r="Q2959" s="77" t="s">
        <v>3631</v>
      </c>
      <c r="R2959" s="77">
        <v>0</v>
      </c>
      <c r="S2959" s="77">
        <v>0</v>
      </c>
      <c r="T2959" s="77">
        <v>0</v>
      </c>
      <c r="U2959" s="77">
        <v>0</v>
      </c>
      <c r="V2959" s="77">
        <v>885</v>
      </c>
      <c r="W2959" s="82" t="s">
        <v>6167</v>
      </c>
      <c r="X2959" s="77"/>
      <c r="Y2959" s="77"/>
      <c r="Z2959" s="77"/>
      <c r="AA2959" s="77" t="s">
        <v>7611</v>
      </c>
      <c r="AB2959" s="77" t="s">
        <v>7743</v>
      </c>
      <c r="AC2959" s="82" t="s">
        <v>7754</v>
      </c>
      <c r="AD2959" s="77" t="s">
        <v>7788</v>
      </c>
      <c r="AE2959" s="80" t="str">
        <f>HYPERLINK("https://twitter.com/einvestidor/status/1690830584887865344")</f>
        <v>https://twitter.com/einvestidor/status/1690830584887865344</v>
      </c>
      <c r="AF2959" s="79">
        <v>45151.875</v>
      </c>
      <c r="AG2959" s="85">
        <v>45151</v>
      </c>
      <c r="AH2959" s="82" t="s">
        <v>9647</v>
      </c>
      <c r="AI2959" s="77" t="b">
        <v>0</v>
      </c>
      <c r="AJ2959" s="77"/>
      <c r="AK2959" s="77"/>
      <c r="AL2959" s="77"/>
      <c r="AM2959" s="77"/>
      <c r="AN2959" s="77"/>
      <c r="AO2959" s="77"/>
      <c r="AP2959" s="77"/>
      <c r="AQ2959" s="77" t="s">
        <v>11583</v>
      </c>
      <c r="AR2959" s="77">
        <v>76409</v>
      </c>
      <c r="AS2959" s="77"/>
      <c r="AT2959" s="77"/>
      <c r="AU2959" s="77"/>
      <c r="AV2959" s="80" t="str">
        <f>HYPERLINK("https://pbs.twimg.com/ext_tw_video_thumb/1690341576495464448/pu/img/42YTPgs6bKScfzTp.jpg")</f>
        <v>https://pbs.twimg.com/ext_tw_video_thumb/1690341576495464448/pu/img/42YTPgs6bKScfzTp.jpg</v>
      </c>
      <c r="AW2959" s="82" t="s">
        <v>14555</v>
      </c>
      <c r="AX2959" s="82" t="s">
        <v>14555</v>
      </c>
      <c r="AY2959" s="77"/>
      <c r="AZ2959" s="82" t="s">
        <v>15984</v>
      </c>
      <c r="BA2959" s="82" t="s">
        <v>15984</v>
      </c>
      <c r="BB2959" s="82" t="s">
        <v>15984</v>
      </c>
      <c r="BC2959" s="82" t="s">
        <v>14555</v>
      </c>
      <c r="BD2959" s="82" t="s">
        <v>15979</v>
      </c>
      <c r="BE2959" s="77"/>
      <c r="BF2959" s="77"/>
      <c r="BG2959" s="77"/>
      <c r="BH2959" s="77"/>
      <c r="BI2959" s="77"/>
    </row>
    <row r="2960" spans="1:61" x14ac:dyDescent="0.25">
      <c r="A2960" s="62" t="s">
        <v>387</v>
      </c>
      <c r="B2960" s="62" t="s">
        <v>387</v>
      </c>
      <c r="C2960" s="63"/>
      <c r="D2960" s="64"/>
      <c r="E2960" s="65"/>
      <c r="F2960" s="66"/>
      <c r="G2960" s="63"/>
      <c r="H2960" s="67"/>
      <c r="I2960" s="68"/>
      <c r="J2960" s="68"/>
      <c r="K2960" s="32"/>
      <c r="L2960" s="75">
        <v>2960</v>
      </c>
      <c r="M2960" s="75"/>
      <c r="N2960" s="70"/>
      <c r="O2960" s="77" t="s">
        <v>179</v>
      </c>
      <c r="P2960" s="79">
        <v>45151.833344907405</v>
      </c>
      <c r="Q2960" s="77" t="s">
        <v>3632</v>
      </c>
      <c r="R2960" s="77">
        <v>1</v>
      </c>
      <c r="S2960" s="77">
        <v>2</v>
      </c>
      <c r="T2960" s="77">
        <v>0</v>
      </c>
      <c r="U2960" s="77">
        <v>0</v>
      </c>
      <c r="V2960" s="77">
        <v>903</v>
      </c>
      <c r="W2960" s="82" t="s">
        <v>4833</v>
      </c>
      <c r="X2960" s="80" t="str">
        <f>HYPERLINK("https://mla.bs/9db572d5")</f>
        <v>https://mla.bs/9db572d5</v>
      </c>
      <c r="Y2960" s="77" t="s">
        <v>6506</v>
      </c>
      <c r="Z2960" s="77"/>
      <c r="AA2960" s="77"/>
      <c r="AB2960" s="77"/>
      <c r="AC2960" s="82" t="s">
        <v>7754</v>
      </c>
      <c r="AD2960" s="77" t="s">
        <v>7788</v>
      </c>
      <c r="AE2960" s="80" t="str">
        <f>HYPERLINK("https://twitter.com/einvestidor/status/1690815488853458945")</f>
        <v>https://twitter.com/einvestidor/status/1690815488853458945</v>
      </c>
      <c r="AF2960" s="79">
        <v>45151.833344907405</v>
      </c>
      <c r="AG2960" s="85">
        <v>45151</v>
      </c>
      <c r="AH2960" s="82" t="s">
        <v>8284</v>
      </c>
      <c r="AI2960" s="77" t="b">
        <v>0</v>
      </c>
      <c r="AJ2960" s="77"/>
      <c r="AK2960" s="77"/>
      <c r="AL2960" s="77"/>
      <c r="AM2960" s="77"/>
      <c r="AN2960" s="77"/>
      <c r="AO2960" s="77"/>
      <c r="AP2960" s="77"/>
      <c r="AQ2960" s="77"/>
      <c r="AR2960" s="77"/>
      <c r="AS2960" s="77"/>
      <c r="AT2960" s="77"/>
      <c r="AU2960" s="77"/>
      <c r="AV2960" s="80" t="str">
        <f>HYPERLINK("https://pbs.twimg.com/profile_images/1241147984924082183/gZgx_hL-_normal.jpg")</f>
        <v>https://pbs.twimg.com/profile_images/1241147984924082183/gZgx_hL-_normal.jpg</v>
      </c>
      <c r="AW2960" s="82" t="s">
        <v>14556</v>
      </c>
      <c r="AX2960" s="82" t="s">
        <v>14556</v>
      </c>
      <c r="AY2960" s="77"/>
      <c r="AZ2960" s="82" t="s">
        <v>15984</v>
      </c>
      <c r="BA2960" s="82" t="s">
        <v>15984</v>
      </c>
      <c r="BB2960" s="82" t="s">
        <v>15984</v>
      </c>
      <c r="BC2960" s="82" t="s">
        <v>14556</v>
      </c>
      <c r="BD2960" s="82" t="s">
        <v>15979</v>
      </c>
      <c r="BE2960" s="77"/>
      <c r="BF2960" s="77"/>
      <c r="BG2960" s="77"/>
      <c r="BH2960" s="77"/>
      <c r="BI2960" s="77"/>
    </row>
    <row r="2961" spans="1:61" x14ac:dyDescent="0.25">
      <c r="A2961" s="62" t="s">
        <v>387</v>
      </c>
      <c r="B2961" s="62" t="s">
        <v>387</v>
      </c>
      <c r="C2961" s="63"/>
      <c r="D2961" s="64"/>
      <c r="E2961" s="65"/>
      <c r="F2961" s="66"/>
      <c r="G2961" s="63"/>
      <c r="H2961" s="67"/>
      <c r="I2961" s="68"/>
      <c r="J2961" s="68"/>
      <c r="K2961" s="32"/>
      <c r="L2961" s="75">
        <v>2961</v>
      </c>
      <c r="M2961" s="75"/>
      <c r="N2961" s="70"/>
      <c r="O2961" s="77" t="s">
        <v>179</v>
      </c>
      <c r="P2961" s="79">
        <v>45151.666666666664</v>
      </c>
      <c r="Q2961" s="77" t="s">
        <v>3633</v>
      </c>
      <c r="R2961" s="77">
        <v>1</v>
      </c>
      <c r="S2961" s="77">
        <v>1</v>
      </c>
      <c r="T2961" s="77">
        <v>0</v>
      </c>
      <c r="U2961" s="77">
        <v>0</v>
      </c>
      <c r="V2961" s="77">
        <v>736</v>
      </c>
      <c r="W2961" s="82" t="s">
        <v>4833</v>
      </c>
      <c r="X2961" s="80" t="str">
        <f>HYPERLINK("https://mla.bs/a6b865d4")</f>
        <v>https://mla.bs/a6b865d4</v>
      </c>
      <c r="Y2961" s="77" t="s">
        <v>6506</v>
      </c>
      <c r="Z2961" s="77"/>
      <c r="AA2961" s="77"/>
      <c r="AB2961" s="77"/>
      <c r="AC2961" s="82" t="s">
        <v>7754</v>
      </c>
      <c r="AD2961" s="77" t="s">
        <v>7788</v>
      </c>
      <c r="AE2961" s="80" t="str">
        <f>HYPERLINK("https://twitter.com/einvestidor/status/1690755089902817282")</f>
        <v>https://twitter.com/einvestidor/status/1690755089902817282</v>
      </c>
      <c r="AF2961" s="79">
        <v>45151.666666666664</v>
      </c>
      <c r="AG2961" s="85">
        <v>45151</v>
      </c>
      <c r="AH2961" s="82" t="s">
        <v>8120</v>
      </c>
      <c r="AI2961" s="77" t="b">
        <v>0</v>
      </c>
      <c r="AJ2961" s="77"/>
      <c r="AK2961" s="77"/>
      <c r="AL2961" s="77"/>
      <c r="AM2961" s="77"/>
      <c r="AN2961" s="77"/>
      <c r="AO2961" s="77"/>
      <c r="AP2961" s="77"/>
      <c r="AQ2961" s="77"/>
      <c r="AR2961" s="77"/>
      <c r="AS2961" s="77"/>
      <c r="AT2961" s="77"/>
      <c r="AU2961" s="77"/>
      <c r="AV2961" s="80" t="str">
        <f>HYPERLINK("https://pbs.twimg.com/profile_images/1241147984924082183/gZgx_hL-_normal.jpg")</f>
        <v>https://pbs.twimg.com/profile_images/1241147984924082183/gZgx_hL-_normal.jpg</v>
      </c>
      <c r="AW2961" s="82" t="s">
        <v>14557</v>
      </c>
      <c r="AX2961" s="82" t="s">
        <v>14557</v>
      </c>
      <c r="AY2961" s="77"/>
      <c r="AZ2961" s="82" t="s">
        <v>15984</v>
      </c>
      <c r="BA2961" s="82" t="s">
        <v>15984</v>
      </c>
      <c r="BB2961" s="82" t="s">
        <v>15984</v>
      </c>
      <c r="BC2961" s="82" t="s">
        <v>14557</v>
      </c>
      <c r="BD2961" s="82" t="s">
        <v>15979</v>
      </c>
      <c r="BE2961" s="77"/>
      <c r="BF2961" s="77"/>
      <c r="BG2961" s="77"/>
      <c r="BH2961" s="77"/>
      <c r="BI2961" s="77"/>
    </row>
    <row r="2962" spans="1:61" x14ac:dyDescent="0.25">
      <c r="A2962" s="62" t="s">
        <v>387</v>
      </c>
      <c r="B2962" s="62" t="s">
        <v>387</v>
      </c>
      <c r="C2962" s="63"/>
      <c r="D2962" s="64"/>
      <c r="E2962" s="65"/>
      <c r="F2962" s="66"/>
      <c r="G2962" s="63"/>
      <c r="H2962" s="67"/>
      <c r="I2962" s="68"/>
      <c r="J2962" s="68"/>
      <c r="K2962" s="32"/>
      <c r="L2962" s="75">
        <v>2962</v>
      </c>
      <c r="M2962" s="75"/>
      <c r="N2962" s="70"/>
      <c r="O2962" s="77" t="s">
        <v>179</v>
      </c>
      <c r="P2962" s="79">
        <v>45142.052083333336</v>
      </c>
      <c r="Q2962" s="77" t="s">
        <v>3634</v>
      </c>
      <c r="R2962" s="77">
        <v>1</v>
      </c>
      <c r="S2962" s="77">
        <v>5</v>
      </c>
      <c r="T2962" s="77">
        <v>0</v>
      </c>
      <c r="U2962" s="77">
        <v>0</v>
      </c>
      <c r="V2962" s="77">
        <v>803</v>
      </c>
      <c r="W2962" s="82" t="s">
        <v>4833</v>
      </c>
      <c r="X2962" s="80" t="str">
        <f>HYPERLINK("https://mla.bs/77a8cca3")</f>
        <v>https://mla.bs/77a8cca3</v>
      </c>
      <c r="Y2962" s="77" t="s">
        <v>6506</v>
      </c>
      <c r="Z2962" s="77"/>
      <c r="AA2962" s="77"/>
      <c r="AB2962" s="77"/>
      <c r="AC2962" s="82" t="s">
        <v>7754</v>
      </c>
      <c r="AD2962" s="77" t="s">
        <v>7788</v>
      </c>
      <c r="AE2962" s="80" t="str">
        <f>HYPERLINK("https://twitter.com/einvestidor/status/1687270879225372676")</f>
        <v>https://twitter.com/einvestidor/status/1687270879225372676</v>
      </c>
      <c r="AF2962" s="79">
        <v>45142.052083333336</v>
      </c>
      <c r="AG2962" s="85">
        <v>45142</v>
      </c>
      <c r="AH2962" s="82" t="s">
        <v>9297</v>
      </c>
      <c r="AI2962" s="77" t="b">
        <v>0</v>
      </c>
      <c r="AJ2962" s="77"/>
      <c r="AK2962" s="77"/>
      <c r="AL2962" s="77"/>
      <c r="AM2962" s="77"/>
      <c r="AN2962" s="77"/>
      <c r="AO2962" s="77"/>
      <c r="AP2962" s="77"/>
      <c r="AQ2962" s="77"/>
      <c r="AR2962" s="77"/>
      <c r="AS2962" s="77"/>
      <c r="AT2962" s="77"/>
      <c r="AU2962" s="77"/>
      <c r="AV2962" s="80" t="str">
        <f>HYPERLINK("https://pbs.twimg.com/profile_images/1241147984924082183/gZgx_hL-_normal.jpg")</f>
        <v>https://pbs.twimg.com/profile_images/1241147984924082183/gZgx_hL-_normal.jpg</v>
      </c>
      <c r="AW2962" s="82" t="s">
        <v>14558</v>
      </c>
      <c r="AX2962" s="82" t="s">
        <v>14558</v>
      </c>
      <c r="AY2962" s="77"/>
      <c r="AZ2962" s="82" t="s">
        <v>15984</v>
      </c>
      <c r="BA2962" s="82" t="s">
        <v>15984</v>
      </c>
      <c r="BB2962" s="82" t="s">
        <v>15984</v>
      </c>
      <c r="BC2962" s="82" t="s">
        <v>14558</v>
      </c>
      <c r="BD2962" s="82" t="s">
        <v>15979</v>
      </c>
      <c r="BE2962" s="77"/>
      <c r="BF2962" s="77"/>
      <c r="BG2962" s="77"/>
      <c r="BH2962" s="77"/>
      <c r="BI2962" s="77"/>
    </row>
    <row r="2963" spans="1:61" x14ac:dyDescent="0.25">
      <c r="A2963" s="62" t="s">
        <v>387</v>
      </c>
      <c r="B2963" s="62" t="s">
        <v>387</v>
      </c>
      <c r="C2963" s="63"/>
      <c r="D2963" s="64"/>
      <c r="E2963" s="65"/>
      <c r="F2963" s="66"/>
      <c r="G2963" s="63"/>
      <c r="H2963" s="67"/>
      <c r="I2963" s="68"/>
      <c r="J2963" s="68"/>
      <c r="K2963" s="32"/>
      <c r="L2963" s="75">
        <v>2963</v>
      </c>
      <c r="M2963" s="75"/>
      <c r="N2963" s="70"/>
      <c r="O2963" s="77" t="s">
        <v>179</v>
      </c>
      <c r="P2963" s="79">
        <v>45142.041678240741</v>
      </c>
      <c r="Q2963" s="77" t="s">
        <v>3635</v>
      </c>
      <c r="R2963" s="77">
        <v>2</v>
      </c>
      <c r="S2963" s="77">
        <v>7</v>
      </c>
      <c r="T2963" s="77">
        <v>0</v>
      </c>
      <c r="U2963" s="77">
        <v>0</v>
      </c>
      <c r="V2963" s="77">
        <v>1199</v>
      </c>
      <c r="W2963" s="82" t="s">
        <v>4833</v>
      </c>
      <c r="X2963" s="80" t="str">
        <f>HYPERLINK("https://mla.bs/da72c808")</f>
        <v>https://mla.bs/da72c808</v>
      </c>
      <c r="Y2963" s="77" t="s">
        <v>6506</v>
      </c>
      <c r="Z2963" s="77"/>
      <c r="AA2963" s="77"/>
      <c r="AB2963" s="77"/>
      <c r="AC2963" s="82" t="s">
        <v>7754</v>
      </c>
      <c r="AD2963" s="77" t="s">
        <v>7788</v>
      </c>
      <c r="AE2963" s="80" t="str">
        <f>HYPERLINK("https://twitter.com/einvestidor/status/1687267108659576832")</f>
        <v>https://twitter.com/einvestidor/status/1687267108659576832</v>
      </c>
      <c r="AF2963" s="79">
        <v>45142.041678240741</v>
      </c>
      <c r="AG2963" s="85">
        <v>45142</v>
      </c>
      <c r="AH2963" s="82" t="s">
        <v>9601</v>
      </c>
      <c r="AI2963" s="77" t="b">
        <v>0</v>
      </c>
      <c r="AJ2963" s="77"/>
      <c r="AK2963" s="77"/>
      <c r="AL2963" s="77"/>
      <c r="AM2963" s="77"/>
      <c r="AN2963" s="77"/>
      <c r="AO2963" s="77"/>
      <c r="AP2963" s="77"/>
      <c r="AQ2963" s="77"/>
      <c r="AR2963" s="77"/>
      <c r="AS2963" s="77"/>
      <c r="AT2963" s="77"/>
      <c r="AU2963" s="77"/>
      <c r="AV2963" s="80" t="str">
        <f>HYPERLINK("https://pbs.twimg.com/profile_images/1241147984924082183/gZgx_hL-_normal.jpg")</f>
        <v>https://pbs.twimg.com/profile_images/1241147984924082183/gZgx_hL-_normal.jpg</v>
      </c>
      <c r="AW2963" s="82" t="s">
        <v>14559</v>
      </c>
      <c r="AX2963" s="82" t="s">
        <v>14559</v>
      </c>
      <c r="AY2963" s="77"/>
      <c r="AZ2963" s="82" t="s">
        <v>15984</v>
      </c>
      <c r="BA2963" s="82" t="s">
        <v>15984</v>
      </c>
      <c r="BB2963" s="82" t="s">
        <v>15984</v>
      </c>
      <c r="BC2963" s="82" t="s">
        <v>14559</v>
      </c>
      <c r="BD2963" s="82" t="s">
        <v>15979</v>
      </c>
      <c r="BE2963" s="77"/>
      <c r="BF2963" s="77"/>
      <c r="BG2963" s="77"/>
      <c r="BH2963" s="77"/>
      <c r="BI2963" s="77"/>
    </row>
    <row r="2964" spans="1:61" x14ac:dyDescent="0.25">
      <c r="A2964" s="62" t="s">
        <v>387</v>
      </c>
      <c r="B2964" s="62" t="s">
        <v>387</v>
      </c>
      <c r="C2964" s="63"/>
      <c r="D2964" s="64"/>
      <c r="E2964" s="65"/>
      <c r="F2964" s="66"/>
      <c r="G2964" s="63"/>
      <c r="H2964" s="67"/>
      <c r="I2964" s="68"/>
      <c r="J2964" s="68"/>
      <c r="K2964" s="32"/>
      <c r="L2964" s="75">
        <v>2964</v>
      </c>
      <c r="M2964" s="75"/>
      <c r="N2964" s="70"/>
      <c r="O2964" s="77" t="s">
        <v>179</v>
      </c>
      <c r="P2964" s="79">
        <v>45142.03125</v>
      </c>
      <c r="Q2964" s="77" t="s">
        <v>3636</v>
      </c>
      <c r="R2964" s="77">
        <v>1</v>
      </c>
      <c r="S2964" s="77">
        <v>5</v>
      </c>
      <c r="T2964" s="77">
        <v>0</v>
      </c>
      <c r="U2964" s="77">
        <v>0</v>
      </c>
      <c r="V2964" s="77">
        <v>961</v>
      </c>
      <c r="W2964" s="82" t="s">
        <v>6168</v>
      </c>
      <c r="X2964" s="80" t="str">
        <f>HYPERLINK("https://mla.bs/6c6c819c")</f>
        <v>https://mla.bs/6c6c819c</v>
      </c>
      <c r="Y2964" s="77" t="s">
        <v>6506</v>
      </c>
      <c r="Z2964" s="77"/>
      <c r="AA2964" s="77"/>
      <c r="AB2964" s="77"/>
      <c r="AC2964" s="82" t="s">
        <v>7754</v>
      </c>
      <c r="AD2964" s="77" t="s">
        <v>7788</v>
      </c>
      <c r="AE2964" s="80" t="str">
        <f>HYPERLINK("https://twitter.com/einvestidor/status/1687263329406832640")</f>
        <v>https://twitter.com/einvestidor/status/1687263329406832640</v>
      </c>
      <c r="AF2964" s="79">
        <v>45142.03125</v>
      </c>
      <c r="AG2964" s="85">
        <v>45142</v>
      </c>
      <c r="AH2964" s="82" t="s">
        <v>9602</v>
      </c>
      <c r="AI2964" s="77" t="b">
        <v>0</v>
      </c>
      <c r="AJ2964" s="77"/>
      <c r="AK2964" s="77"/>
      <c r="AL2964" s="77"/>
      <c r="AM2964" s="77"/>
      <c r="AN2964" s="77"/>
      <c r="AO2964" s="77"/>
      <c r="AP2964" s="77"/>
      <c r="AQ2964" s="77"/>
      <c r="AR2964" s="77"/>
      <c r="AS2964" s="77"/>
      <c r="AT2964" s="77"/>
      <c r="AU2964" s="77"/>
      <c r="AV2964" s="80" t="str">
        <f>HYPERLINK("https://pbs.twimg.com/profile_images/1241147984924082183/gZgx_hL-_normal.jpg")</f>
        <v>https://pbs.twimg.com/profile_images/1241147984924082183/gZgx_hL-_normal.jpg</v>
      </c>
      <c r="AW2964" s="82" t="s">
        <v>14560</v>
      </c>
      <c r="AX2964" s="82" t="s">
        <v>14560</v>
      </c>
      <c r="AY2964" s="77"/>
      <c r="AZ2964" s="82" t="s">
        <v>15984</v>
      </c>
      <c r="BA2964" s="82" t="s">
        <v>15984</v>
      </c>
      <c r="BB2964" s="82" t="s">
        <v>15984</v>
      </c>
      <c r="BC2964" s="82" t="s">
        <v>14560</v>
      </c>
      <c r="BD2964" s="82" t="s">
        <v>15979</v>
      </c>
      <c r="BE2964" s="77"/>
      <c r="BF2964" s="77"/>
      <c r="BG2964" s="77"/>
      <c r="BH2964" s="77"/>
      <c r="BI2964" s="77"/>
    </row>
    <row r="2965" spans="1:61" x14ac:dyDescent="0.25">
      <c r="A2965" s="62" t="s">
        <v>387</v>
      </c>
      <c r="B2965" s="62" t="s">
        <v>387</v>
      </c>
      <c r="C2965" s="63"/>
      <c r="D2965" s="64"/>
      <c r="E2965" s="65"/>
      <c r="F2965" s="66"/>
      <c r="G2965" s="63"/>
      <c r="H2965" s="67"/>
      <c r="I2965" s="68"/>
      <c r="J2965" s="68"/>
      <c r="K2965" s="32"/>
      <c r="L2965" s="75">
        <v>2965</v>
      </c>
      <c r="M2965" s="75"/>
      <c r="N2965" s="70"/>
      <c r="O2965" s="77" t="s">
        <v>179</v>
      </c>
      <c r="P2965" s="79">
        <v>45142.020833333336</v>
      </c>
      <c r="Q2965" s="77" t="s">
        <v>3637</v>
      </c>
      <c r="R2965" s="77">
        <v>1</v>
      </c>
      <c r="S2965" s="77">
        <v>7</v>
      </c>
      <c r="T2965" s="77">
        <v>0</v>
      </c>
      <c r="U2965" s="77">
        <v>0</v>
      </c>
      <c r="V2965" s="77">
        <v>1342</v>
      </c>
      <c r="W2965" s="82" t="s">
        <v>6169</v>
      </c>
      <c r="X2965" s="80" t="str">
        <f>HYPERLINK("https://mla.bs/e30186ce")</f>
        <v>https://mla.bs/e30186ce</v>
      </c>
      <c r="Y2965" s="77" t="s">
        <v>6506</v>
      </c>
      <c r="Z2965" s="77"/>
      <c r="AA2965" s="77"/>
      <c r="AB2965" s="77"/>
      <c r="AC2965" s="82" t="s">
        <v>7754</v>
      </c>
      <c r="AD2965" s="77" t="s">
        <v>7788</v>
      </c>
      <c r="AE2965" s="80" t="str">
        <f>HYPERLINK("https://twitter.com/einvestidor/status/1687259556051607552")</f>
        <v>https://twitter.com/einvestidor/status/1687259556051607552</v>
      </c>
      <c r="AF2965" s="79">
        <v>45142.020833333336</v>
      </c>
      <c r="AG2965" s="85">
        <v>45142</v>
      </c>
      <c r="AH2965" s="82" t="s">
        <v>8088</v>
      </c>
      <c r="AI2965" s="77" t="b">
        <v>0</v>
      </c>
      <c r="AJ2965" s="77"/>
      <c r="AK2965" s="77"/>
      <c r="AL2965" s="77"/>
      <c r="AM2965" s="77"/>
      <c r="AN2965" s="77"/>
      <c r="AO2965" s="77"/>
      <c r="AP2965" s="77"/>
      <c r="AQ2965" s="77"/>
      <c r="AR2965" s="77"/>
      <c r="AS2965" s="77"/>
      <c r="AT2965" s="77"/>
      <c r="AU2965" s="77"/>
      <c r="AV2965" s="80" t="str">
        <f>HYPERLINK("https://pbs.twimg.com/profile_images/1241147984924082183/gZgx_hL-_normal.jpg")</f>
        <v>https://pbs.twimg.com/profile_images/1241147984924082183/gZgx_hL-_normal.jpg</v>
      </c>
      <c r="AW2965" s="82" t="s">
        <v>14561</v>
      </c>
      <c r="AX2965" s="82" t="s">
        <v>14561</v>
      </c>
      <c r="AY2965" s="77"/>
      <c r="AZ2965" s="82" t="s">
        <v>15984</v>
      </c>
      <c r="BA2965" s="82" t="s">
        <v>15984</v>
      </c>
      <c r="BB2965" s="82" t="s">
        <v>15984</v>
      </c>
      <c r="BC2965" s="82" t="s">
        <v>14561</v>
      </c>
      <c r="BD2965" s="82" t="s">
        <v>15979</v>
      </c>
      <c r="BE2965" s="77"/>
      <c r="BF2965" s="77"/>
      <c r="BG2965" s="77"/>
      <c r="BH2965" s="77"/>
      <c r="BI2965" s="77"/>
    </row>
    <row r="2966" spans="1:61" x14ac:dyDescent="0.25">
      <c r="A2966" s="62" t="s">
        <v>387</v>
      </c>
      <c r="B2966" s="62" t="s">
        <v>387</v>
      </c>
      <c r="C2966" s="63"/>
      <c r="D2966" s="64"/>
      <c r="E2966" s="65"/>
      <c r="F2966" s="66"/>
      <c r="G2966" s="63"/>
      <c r="H2966" s="67"/>
      <c r="I2966" s="68"/>
      <c r="J2966" s="68"/>
      <c r="K2966" s="32"/>
      <c r="L2966" s="75">
        <v>2966</v>
      </c>
      <c r="M2966" s="75"/>
      <c r="N2966" s="70"/>
      <c r="O2966" s="77" t="s">
        <v>179</v>
      </c>
      <c r="P2966" s="79">
        <v>45142.010416666664</v>
      </c>
      <c r="Q2966" s="77" t="s">
        <v>3638</v>
      </c>
      <c r="R2966" s="77">
        <v>1</v>
      </c>
      <c r="S2966" s="77">
        <v>2</v>
      </c>
      <c r="T2966" s="77">
        <v>0</v>
      </c>
      <c r="U2966" s="77">
        <v>0</v>
      </c>
      <c r="V2966" s="77">
        <v>713</v>
      </c>
      <c r="W2966" s="82" t="s">
        <v>6170</v>
      </c>
      <c r="X2966" s="80" t="str">
        <f>HYPERLINK("https://mla.bs/79434a0d")</f>
        <v>https://mla.bs/79434a0d</v>
      </c>
      <c r="Y2966" s="77" t="s">
        <v>6506</v>
      </c>
      <c r="Z2966" s="77"/>
      <c r="AA2966" s="77"/>
      <c r="AB2966" s="77"/>
      <c r="AC2966" s="82" t="s">
        <v>7754</v>
      </c>
      <c r="AD2966" s="77" t="s">
        <v>7788</v>
      </c>
      <c r="AE2966" s="80" t="str">
        <f>HYPERLINK("https://twitter.com/einvestidor/status/1687255779647066113")</f>
        <v>https://twitter.com/einvestidor/status/1687255779647066113</v>
      </c>
      <c r="AF2966" s="79">
        <v>45142.010416666664</v>
      </c>
      <c r="AG2966" s="85">
        <v>45142</v>
      </c>
      <c r="AH2966" s="82" t="s">
        <v>8119</v>
      </c>
      <c r="AI2966" s="77" t="b">
        <v>0</v>
      </c>
      <c r="AJ2966" s="77"/>
      <c r="AK2966" s="77"/>
      <c r="AL2966" s="77"/>
      <c r="AM2966" s="77"/>
      <c r="AN2966" s="77"/>
      <c r="AO2966" s="77"/>
      <c r="AP2966" s="77"/>
      <c r="AQ2966" s="77"/>
      <c r="AR2966" s="77"/>
      <c r="AS2966" s="77"/>
      <c r="AT2966" s="77"/>
      <c r="AU2966" s="77"/>
      <c r="AV2966" s="80" t="str">
        <f>HYPERLINK("https://pbs.twimg.com/profile_images/1241147984924082183/gZgx_hL-_normal.jpg")</f>
        <v>https://pbs.twimg.com/profile_images/1241147984924082183/gZgx_hL-_normal.jpg</v>
      </c>
      <c r="AW2966" s="82" t="s">
        <v>14562</v>
      </c>
      <c r="AX2966" s="82" t="s">
        <v>14562</v>
      </c>
      <c r="AY2966" s="77"/>
      <c r="AZ2966" s="82" t="s">
        <v>15984</v>
      </c>
      <c r="BA2966" s="82" t="s">
        <v>15984</v>
      </c>
      <c r="BB2966" s="82" t="s">
        <v>15984</v>
      </c>
      <c r="BC2966" s="82" t="s">
        <v>14562</v>
      </c>
      <c r="BD2966" s="82" t="s">
        <v>15979</v>
      </c>
      <c r="BE2966" s="77"/>
      <c r="BF2966" s="77"/>
      <c r="BG2966" s="77"/>
      <c r="BH2966" s="77"/>
      <c r="BI2966" s="77"/>
    </row>
    <row r="2967" spans="1:61" x14ac:dyDescent="0.25">
      <c r="A2967" s="62" t="s">
        <v>387</v>
      </c>
      <c r="B2967" s="62" t="s">
        <v>387</v>
      </c>
      <c r="C2967" s="63"/>
      <c r="D2967" s="64"/>
      <c r="E2967" s="65"/>
      <c r="F2967" s="66"/>
      <c r="G2967" s="63"/>
      <c r="H2967" s="67"/>
      <c r="I2967" s="68"/>
      <c r="J2967" s="68"/>
      <c r="K2967" s="32"/>
      <c r="L2967" s="75">
        <v>2967</v>
      </c>
      <c r="M2967" s="75"/>
      <c r="N2967" s="70"/>
      <c r="O2967" s="77" t="s">
        <v>179</v>
      </c>
      <c r="P2967" s="79">
        <v>45142.000011574077</v>
      </c>
      <c r="Q2967" s="77" t="s">
        <v>3639</v>
      </c>
      <c r="R2967" s="77">
        <v>0</v>
      </c>
      <c r="S2967" s="77">
        <v>3</v>
      </c>
      <c r="T2967" s="77">
        <v>0</v>
      </c>
      <c r="U2967" s="77">
        <v>0</v>
      </c>
      <c r="V2967" s="77">
        <v>566</v>
      </c>
      <c r="W2967" s="82" t="s">
        <v>4833</v>
      </c>
      <c r="X2967" s="80" t="str">
        <f>HYPERLINK("https://mla.bs/25c9b5ec")</f>
        <v>https://mla.bs/25c9b5ec</v>
      </c>
      <c r="Y2967" s="77" t="s">
        <v>6506</v>
      </c>
      <c r="Z2967" s="77"/>
      <c r="AA2967" s="77"/>
      <c r="AB2967" s="77"/>
      <c r="AC2967" s="82" t="s">
        <v>7754</v>
      </c>
      <c r="AD2967" s="77" t="s">
        <v>7788</v>
      </c>
      <c r="AE2967" s="80" t="str">
        <f>HYPERLINK("https://twitter.com/einvestidor/status/1687252009416585216")</f>
        <v>https://twitter.com/einvestidor/status/1687252009416585216</v>
      </c>
      <c r="AF2967" s="79">
        <v>45142.000011574077</v>
      </c>
      <c r="AG2967" s="85">
        <v>45142</v>
      </c>
      <c r="AH2967" s="82" t="s">
        <v>7883</v>
      </c>
      <c r="AI2967" s="77" t="b">
        <v>0</v>
      </c>
      <c r="AJ2967" s="77"/>
      <c r="AK2967" s="77"/>
      <c r="AL2967" s="77"/>
      <c r="AM2967" s="77"/>
      <c r="AN2967" s="77"/>
      <c r="AO2967" s="77"/>
      <c r="AP2967" s="77"/>
      <c r="AQ2967" s="77"/>
      <c r="AR2967" s="77"/>
      <c r="AS2967" s="77"/>
      <c r="AT2967" s="77"/>
      <c r="AU2967" s="77"/>
      <c r="AV2967" s="80" t="str">
        <f>HYPERLINK("https://pbs.twimg.com/profile_images/1241147984924082183/gZgx_hL-_normal.jpg")</f>
        <v>https://pbs.twimg.com/profile_images/1241147984924082183/gZgx_hL-_normal.jpg</v>
      </c>
      <c r="AW2967" s="82" t="s">
        <v>14563</v>
      </c>
      <c r="AX2967" s="82" t="s">
        <v>14563</v>
      </c>
      <c r="AY2967" s="77"/>
      <c r="AZ2967" s="82" t="s">
        <v>15984</v>
      </c>
      <c r="BA2967" s="82" t="s">
        <v>15984</v>
      </c>
      <c r="BB2967" s="82" t="s">
        <v>15984</v>
      </c>
      <c r="BC2967" s="82" t="s">
        <v>14563</v>
      </c>
      <c r="BD2967" s="82" t="s">
        <v>15979</v>
      </c>
      <c r="BE2967" s="77"/>
      <c r="BF2967" s="77"/>
      <c r="BG2967" s="77"/>
      <c r="BH2967" s="77"/>
      <c r="BI2967" s="77"/>
    </row>
    <row r="2968" spans="1:61" x14ac:dyDescent="0.25">
      <c r="A2968" s="62" t="s">
        <v>387</v>
      </c>
      <c r="B2968" s="62" t="s">
        <v>387</v>
      </c>
      <c r="C2968" s="63"/>
      <c r="D2968" s="64"/>
      <c r="E2968" s="65"/>
      <c r="F2968" s="66"/>
      <c r="G2968" s="63"/>
      <c r="H2968" s="67"/>
      <c r="I2968" s="68"/>
      <c r="J2968" s="68"/>
      <c r="K2968" s="32"/>
      <c r="L2968" s="75">
        <v>2968</v>
      </c>
      <c r="M2968" s="75"/>
      <c r="N2968" s="70"/>
      <c r="O2968" s="77" t="s">
        <v>179</v>
      </c>
      <c r="P2968" s="79">
        <v>45125.013935185183</v>
      </c>
      <c r="Q2968" s="77" t="s">
        <v>3640</v>
      </c>
      <c r="R2968" s="77">
        <v>0</v>
      </c>
      <c r="S2968" s="77">
        <v>0</v>
      </c>
      <c r="T2968" s="77">
        <v>0</v>
      </c>
      <c r="U2968" s="77">
        <v>0</v>
      </c>
      <c r="V2968" s="77">
        <v>798</v>
      </c>
      <c r="W2968" s="82" t="s">
        <v>4833</v>
      </c>
      <c r="X2968" s="80" t="str">
        <f>HYPERLINK("https://mla.bs/f7aebfc8")</f>
        <v>https://mla.bs/f7aebfc8</v>
      </c>
      <c r="Y2968" s="77" t="s">
        <v>6506</v>
      </c>
      <c r="Z2968" s="77"/>
      <c r="AA2968" s="77"/>
      <c r="AB2968" s="77"/>
      <c r="AC2968" s="82" t="s">
        <v>7757</v>
      </c>
      <c r="AD2968" s="77" t="s">
        <v>7788</v>
      </c>
      <c r="AE2968" s="80" t="str">
        <f>HYPERLINK("https://twitter.com/einvestidor/status/1681096462627753984")</f>
        <v>https://twitter.com/einvestidor/status/1681096462627753984</v>
      </c>
      <c r="AF2968" s="79">
        <v>45125.013935185183</v>
      </c>
      <c r="AG2968" s="85">
        <v>45125</v>
      </c>
      <c r="AH2968" s="82" t="s">
        <v>9887</v>
      </c>
      <c r="AI2968" s="77" t="b">
        <v>0</v>
      </c>
      <c r="AJ2968" s="77"/>
      <c r="AK2968" s="77"/>
      <c r="AL2968" s="77"/>
      <c r="AM2968" s="77"/>
      <c r="AN2968" s="77"/>
      <c r="AO2968" s="77"/>
      <c r="AP2968" s="77"/>
      <c r="AQ2968" s="77"/>
      <c r="AR2968" s="77"/>
      <c r="AS2968" s="77"/>
      <c r="AT2968" s="77"/>
      <c r="AU2968" s="77"/>
      <c r="AV2968" s="80" t="str">
        <f>HYPERLINK("https://pbs.twimg.com/profile_images/1241147984924082183/gZgx_hL-_normal.jpg")</f>
        <v>https://pbs.twimg.com/profile_images/1241147984924082183/gZgx_hL-_normal.jpg</v>
      </c>
      <c r="AW2968" s="82" t="s">
        <v>14564</v>
      </c>
      <c r="AX2968" s="82" t="s">
        <v>14564</v>
      </c>
      <c r="AY2968" s="77"/>
      <c r="AZ2968" s="82" t="s">
        <v>15984</v>
      </c>
      <c r="BA2968" s="82" t="s">
        <v>15984</v>
      </c>
      <c r="BB2968" s="82" t="s">
        <v>15984</v>
      </c>
      <c r="BC2968" s="82" t="s">
        <v>14564</v>
      </c>
      <c r="BD2968" s="82" t="s">
        <v>15979</v>
      </c>
      <c r="BE2968" s="77"/>
      <c r="BF2968" s="77"/>
      <c r="BG2968" s="77"/>
      <c r="BH2968" s="77"/>
      <c r="BI2968" s="77"/>
    </row>
    <row r="2969" spans="1:61" x14ac:dyDescent="0.25">
      <c r="A2969" s="62" t="s">
        <v>387</v>
      </c>
      <c r="B2969" s="62" t="s">
        <v>387</v>
      </c>
      <c r="C2969" s="63"/>
      <c r="D2969" s="64"/>
      <c r="E2969" s="65"/>
      <c r="F2969" s="66"/>
      <c r="G2969" s="63"/>
      <c r="H2969" s="67"/>
      <c r="I2969" s="68"/>
      <c r="J2969" s="68"/>
      <c r="K2969" s="32"/>
      <c r="L2969" s="75">
        <v>2969</v>
      </c>
      <c r="M2969" s="75"/>
      <c r="N2969" s="70"/>
      <c r="O2969" s="77" t="s">
        <v>179</v>
      </c>
      <c r="P2969" s="79">
        <v>45125.000555555554</v>
      </c>
      <c r="Q2969" s="77" t="s">
        <v>3641</v>
      </c>
      <c r="R2969" s="77">
        <v>0</v>
      </c>
      <c r="S2969" s="77">
        <v>2</v>
      </c>
      <c r="T2969" s="77">
        <v>0</v>
      </c>
      <c r="U2969" s="77">
        <v>0</v>
      </c>
      <c r="V2969" s="77">
        <v>848</v>
      </c>
      <c r="W2969" s="82" t="s">
        <v>6085</v>
      </c>
      <c r="X2969" s="80" t="str">
        <f>HYPERLINK("https://mla.bs/c09b3190")</f>
        <v>https://mla.bs/c09b3190</v>
      </c>
      <c r="Y2969" s="77" t="s">
        <v>6506</v>
      </c>
      <c r="Z2969" s="77"/>
      <c r="AA2969" s="77"/>
      <c r="AB2969" s="77"/>
      <c r="AC2969" s="82" t="s">
        <v>7757</v>
      </c>
      <c r="AD2969" s="77" t="s">
        <v>7788</v>
      </c>
      <c r="AE2969" s="80" t="str">
        <f>HYPERLINK("https://twitter.com/einvestidor/status/1681091613290790912")</f>
        <v>https://twitter.com/einvestidor/status/1681091613290790912</v>
      </c>
      <c r="AF2969" s="79">
        <v>45125.000555555554</v>
      </c>
      <c r="AG2969" s="85">
        <v>45125</v>
      </c>
      <c r="AH2969" s="82" t="s">
        <v>9888</v>
      </c>
      <c r="AI2969" s="77" t="b">
        <v>0</v>
      </c>
      <c r="AJ2969" s="77"/>
      <c r="AK2969" s="77"/>
      <c r="AL2969" s="77"/>
      <c r="AM2969" s="77"/>
      <c r="AN2969" s="77"/>
      <c r="AO2969" s="77"/>
      <c r="AP2969" s="77"/>
      <c r="AQ2969" s="77"/>
      <c r="AR2969" s="77"/>
      <c r="AS2969" s="77"/>
      <c r="AT2969" s="77"/>
      <c r="AU2969" s="77"/>
      <c r="AV2969" s="80" t="str">
        <f>HYPERLINK("https://pbs.twimg.com/profile_images/1241147984924082183/gZgx_hL-_normal.jpg")</f>
        <v>https://pbs.twimg.com/profile_images/1241147984924082183/gZgx_hL-_normal.jpg</v>
      </c>
      <c r="AW2969" s="82" t="s">
        <v>14565</v>
      </c>
      <c r="AX2969" s="82" t="s">
        <v>14565</v>
      </c>
      <c r="AY2969" s="77"/>
      <c r="AZ2969" s="82" t="s">
        <v>15984</v>
      </c>
      <c r="BA2969" s="82" t="s">
        <v>15984</v>
      </c>
      <c r="BB2969" s="82" t="s">
        <v>15984</v>
      </c>
      <c r="BC2969" s="82" t="s">
        <v>14565</v>
      </c>
      <c r="BD2969" s="82" t="s">
        <v>15979</v>
      </c>
      <c r="BE2969" s="77"/>
      <c r="BF2969" s="77"/>
      <c r="BG2969" s="77"/>
      <c r="BH2969" s="77"/>
      <c r="BI2969" s="77"/>
    </row>
    <row r="2970" spans="1:61" x14ac:dyDescent="0.25">
      <c r="A2970" s="62" t="s">
        <v>387</v>
      </c>
      <c r="B2970" s="62" t="s">
        <v>387</v>
      </c>
      <c r="C2970" s="63"/>
      <c r="D2970" s="64"/>
      <c r="E2970" s="65"/>
      <c r="F2970" s="66"/>
      <c r="G2970" s="63"/>
      <c r="H2970" s="67"/>
      <c r="I2970" s="68"/>
      <c r="J2970" s="68"/>
      <c r="K2970" s="32"/>
      <c r="L2970" s="75">
        <v>2970</v>
      </c>
      <c r="M2970" s="75"/>
      <c r="N2970" s="70"/>
      <c r="O2970" s="77" t="s">
        <v>179</v>
      </c>
      <c r="P2970" s="79">
        <v>45124.986157407409</v>
      </c>
      <c r="Q2970" s="77" t="s">
        <v>3642</v>
      </c>
      <c r="R2970" s="77">
        <v>0</v>
      </c>
      <c r="S2970" s="77">
        <v>1</v>
      </c>
      <c r="T2970" s="77">
        <v>0</v>
      </c>
      <c r="U2970" s="77">
        <v>0</v>
      </c>
      <c r="V2970" s="77">
        <v>786</v>
      </c>
      <c r="W2970" s="82" t="s">
        <v>6171</v>
      </c>
      <c r="X2970" s="80" t="str">
        <f>HYPERLINK("https://mla.bs/beaa2b85")</f>
        <v>https://mla.bs/beaa2b85</v>
      </c>
      <c r="Y2970" s="77" t="s">
        <v>6506</v>
      </c>
      <c r="Z2970" s="77"/>
      <c r="AA2970" s="77"/>
      <c r="AB2970" s="77"/>
      <c r="AC2970" s="82" t="s">
        <v>7757</v>
      </c>
      <c r="AD2970" s="77" t="s">
        <v>7788</v>
      </c>
      <c r="AE2970" s="80" t="str">
        <f>HYPERLINK("https://twitter.com/einvestidor/status/1681086396658843648")</f>
        <v>https://twitter.com/einvestidor/status/1681086396658843648</v>
      </c>
      <c r="AF2970" s="79">
        <v>45124.986157407409</v>
      </c>
      <c r="AG2970" s="85">
        <v>45124</v>
      </c>
      <c r="AH2970" s="82" t="s">
        <v>9889</v>
      </c>
      <c r="AI2970" s="77" t="b">
        <v>0</v>
      </c>
      <c r="AJ2970" s="77"/>
      <c r="AK2970" s="77"/>
      <c r="AL2970" s="77"/>
      <c r="AM2970" s="77"/>
      <c r="AN2970" s="77"/>
      <c r="AO2970" s="77"/>
      <c r="AP2970" s="77"/>
      <c r="AQ2970" s="77"/>
      <c r="AR2970" s="77"/>
      <c r="AS2970" s="77"/>
      <c r="AT2970" s="77"/>
      <c r="AU2970" s="77"/>
      <c r="AV2970" s="80" t="str">
        <f>HYPERLINK("https://pbs.twimg.com/profile_images/1241147984924082183/gZgx_hL-_normal.jpg")</f>
        <v>https://pbs.twimg.com/profile_images/1241147984924082183/gZgx_hL-_normal.jpg</v>
      </c>
      <c r="AW2970" s="82" t="s">
        <v>14566</v>
      </c>
      <c r="AX2970" s="82" t="s">
        <v>14566</v>
      </c>
      <c r="AY2970" s="77"/>
      <c r="AZ2970" s="82" t="s">
        <v>15984</v>
      </c>
      <c r="BA2970" s="82" t="s">
        <v>15984</v>
      </c>
      <c r="BB2970" s="82" t="s">
        <v>15984</v>
      </c>
      <c r="BC2970" s="82" t="s">
        <v>14566</v>
      </c>
      <c r="BD2970" s="82" t="s">
        <v>15979</v>
      </c>
      <c r="BE2970" s="77"/>
      <c r="BF2970" s="77"/>
      <c r="BG2970" s="77"/>
      <c r="BH2970" s="77"/>
      <c r="BI2970" s="77"/>
    </row>
    <row r="2971" spans="1:61" x14ac:dyDescent="0.25">
      <c r="A2971" s="62" t="s">
        <v>387</v>
      </c>
      <c r="B2971" s="62" t="s">
        <v>387</v>
      </c>
      <c r="C2971" s="63"/>
      <c r="D2971" s="64"/>
      <c r="E2971" s="65"/>
      <c r="F2971" s="66"/>
      <c r="G2971" s="63"/>
      <c r="H2971" s="67"/>
      <c r="I2971" s="68"/>
      <c r="J2971" s="68"/>
      <c r="K2971" s="32"/>
      <c r="L2971" s="75">
        <v>2971</v>
      </c>
      <c r="M2971" s="75"/>
      <c r="N2971" s="70"/>
      <c r="O2971" s="77" t="s">
        <v>179</v>
      </c>
      <c r="P2971" s="79">
        <v>45124.972326388888</v>
      </c>
      <c r="Q2971" s="77" t="s">
        <v>3643</v>
      </c>
      <c r="R2971" s="77">
        <v>2</v>
      </c>
      <c r="S2971" s="77">
        <v>4</v>
      </c>
      <c r="T2971" s="77">
        <v>0</v>
      </c>
      <c r="U2971" s="77">
        <v>0</v>
      </c>
      <c r="V2971" s="77">
        <v>857</v>
      </c>
      <c r="W2971" s="82" t="s">
        <v>4833</v>
      </c>
      <c r="X2971" s="80" t="str">
        <f>HYPERLINK("https://mla.bs/a58b06be")</f>
        <v>https://mla.bs/a58b06be</v>
      </c>
      <c r="Y2971" s="77" t="s">
        <v>6506</v>
      </c>
      <c r="Z2971" s="77"/>
      <c r="AA2971" s="77"/>
      <c r="AB2971" s="77"/>
      <c r="AC2971" s="82" t="s">
        <v>7757</v>
      </c>
      <c r="AD2971" s="77" t="s">
        <v>7788</v>
      </c>
      <c r="AE2971" s="80" t="str">
        <f>HYPERLINK("https://twitter.com/einvestidor/status/1681081385673453569")</f>
        <v>https://twitter.com/einvestidor/status/1681081385673453569</v>
      </c>
      <c r="AF2971" s="79">
        <v>45124.972326388888</v>
      </c>
      <c r="AG2971" s="85">
        <v>45124</v>
      </c>
      <c r="AH2971" s="82" t="s">
        <v>9761</v>
      </c>
      <c r="AI2971" s="77" t="b">
        <v>0</v>
      </c>
      <c r="AJ2971" s="77"/>
      <c r="AK2971" s="77"/>
      <c r="AL2971" s="77"/>
      <c r="AM2971" s="77"/>
      <c r="AN2971" s="77"/>
      <c r="AO2971" s="77"/>
      <c r="AP2971" s="77"/>
      <c r="AQ2971" s="77"/>
      <c r="AR2971" s="77"/>
      <c r="AS2971" s="77"/>
      <c r="AT2971" s="77"/>
      <c r="AU2971" s="77"/>
      <c r="AV2971" s="80" t="str">
        <f>HYPERLINK("https://pbs.twimg.com/profile_images/1241147984924082183/gZgx_hL-_normal.jpg")</f>
        <v>https://pbs.twimg.com/profile_images/1241147984924082183/gZgx_hL-_normal.jpg</v>
      </c>
      <c r="AW2971" s="82" t="s">
        <v>14567</v>
      </c>
      <c r="AX2971" s="82" t="s">
        <v>14567</v>
      </c>
      <c r="AY2971" s="77"/>
      <c r="AZ2971" s="82" t="s">
        <v>15984</v>
      </c>
      <c r="BA2971" s="82" t="s">
        <v>15984</v>
      </c>
      <c r="BB2971" s="82" t="s">
        <v>15984</v>
      </c>
      <c r="BC2971" s="82" t="s">
        <v>14567</v>
      </c>
      <c r="BD2971" s="82" t="s">
        <v>15979</v>
      </c>
      <c r="BE2971" s="77"/>
      <c r="BF2971" s="77"/>
      <c r="BG2971" s="77"/>
      <c r="BH2971" s="77"/>
      <c r="BI2971" s="77"/>
    </row>
    <row r="2972" spans="1:61" x14ac:dyDescent="0.25">
      <c r="A2972" s="62" t="s">
        <v>387</v>
      </c>
      <c r="B2972" s="62" t="s">
        <v>387</v>
      </c>
      <c r="C2972" s="63"/>
      <c r="D2972" s="64"/>
      <c r="E2972" s="65"/>
      <c r="F2972" s="66"/>
      <c r="G2972" s="63"/>
      <c r="H2972" s="67"/>
      <c r="I2972" s="68"/>
      <c r="J2972" s="68"/>
      <c r="K2972" s="32"/>
      <c r="L2972" s="75">
        <v>2972</v>
      </c>
      <c r="M2972" s="75"/>
      <c r="N2972" s="70"/>
      <c r="O2972" s="77" t="s">
        <v>179</v>
      </c>
      <c r="P2972" s="79">
        <v>45124.958761574075</v>
      </c>
      <c r="Q2972" s="77" t="s">
        <v>3644</v>
      </c>
      <c r="R2972" s="77">
        <v>1</v>
      </c>
      <c r="S2972" s="77">
        <v>3</v>
      </c>
      <c r="T2972" s="77">
        <v>0</v>
      </c>
      <c r="U2972" s="77">
        <v>0</v>
      </c>
      <c r="V2972" s="77">
        <v>902</v>
      </c>
      <c r="W2972" s="82" t="s">
        <v>6172</v>
      </c>
      <c r="X2972" s="80" t="str">
        <f>HYPERLINK("https://mla.bs/7feebe74")</f>
        <v>https://mla.bs/7feebe74</v>
      </c>
      <c r="Y2972" s="77" t="s">
        <v>6506</v>
      </c>
      <c r="Z2972" s="77"/>
      <c r="AA2972" s="77"/>
      <c r="AB2972" s="77"/>
      <c r="AC2972" s="82" t="s">
        <v>7757</v>
      </c>
      <c r="AD2972" s="77" t="s">
        <v>7788</v>
      </c>
      <c r="AE2972" s="80" t="str">
        <f>HYPERLINK("https://twitter.com/einvestidor/status/1681076468170801152")</f>
        <v>https://twitter.com/einvestidor/status/1681076468170801152</v>
      </c>
      <c r="AF2972" s="79">
        <v>45124.958761574075</v>
      </c>
      <c r="AG2972" s="85">
        <v>45124</v>
      </c>
      <c r="AH2972" s="82" t="s">
        <v>9890</v>
      </c>
      <c r="AI2972" s="77" t="b">
        <v>0</v>
      </c>
      <c r="AJ2972" s="77"/>
      <c r="AK2972" s="77"/>
      <c r="AL2972" s="77"/>
      <c r="AM2972" s="77"/>
      <c r="AN2972" s="77"/>
      <c r="AO2972" s="77"/>
      <c r="AP2972" s="77"/>
      <c r="AQ2972" s="77"/>
      <c r="AR2972" s="77"/>
      <c r="AS2972" s="77"/>
      <c r="AT2972" s="77"/>
      <c r="AU2972" s="77"/>
      <c r="AV2972" s="80" t="str">
        <f>HYPERLINK("https://pbs.twimg.com/profile_images/1241147984924082183/gZgx_hL-_normal.jpg")</f>
        <v>https://pbs.twimg.com/profile_images/1241147984924082183/gZgx_hL-_normal.jpg</v>
      </c>
      <c r="AW2972" s="82" t="s">
        <v>14568</v>
      </c>
      <c r="AX2972" s="82" t="s">
        <v>14568</v>
      </c>
      <c r="AY2972" s="77"/>
      <c r="AZ2972" s="82" t="s">
        <v>15984</v>
      </c>
      <c r="BA2972" s="82" t="s">
        <v>15984</v>
      </c>
      <c r="BB2972" s="82" t="s">
        <v>15984</v>
      </c>
      <c r="BC2972" s="82" t="s">
        <v>14568</v>
      </c>
      <c r="BD2972" s="82" t="s">
        <v>15979</v>
      </c>
      <c r="BE2972" s="77"/>
      <c r="BF2972" s="77"/>
      <c r="BG2972" s="77"/>
      <c r="BH2972" s="77"/>
      <c r="BI2972" s="77"/>
    </row>
    <row r="2973" spans="1:61" x14ac:dyDescent="0.25">
      <c r="A2973" s="62" t="s">
        <v>387</v>
      </c>
      <c r="B2973" s="62" t="s">
        <v>387</v>
      </c>
      <c r="C2973" s="63"/>
      <c r="D2973" s="64"/>
      <c r="E2973" s="65"/>
      <c r="F2973" s="66"/>
      <c r="G2973" s="63"/>
      <c r="H2973" s="67"/>
      <c r="I2973" s="68"/>
      <c r="J2973" s="68"/>
      <c r="K2973" s="32"/>
      <c r="L2973" s="75">
        <v>2973</v>
      </c>
      <c r="M2973" s="75"/>
      <c r="N2973" s="70"/>
      <c r="O2973" s="77" t="s">
        <v>179</v>
      </c>
      <c r="P2973" s="79">
        <v>45124.944479166668</v>
      </c>
      <c r="Q2973" s="77" t="s">
        <v>3645</v>
      </c>
      <c r="R2973" s="77">
        <v>1</v>
      </c>
      <c r="S2973" s="77">
        <v>7</v>
      </c>
      <c r="T2973" s="77">
        <v>0</v>
      </c>
      <c r="U2973" s="77">
        <v>0</v>
      </c>
      <c r="V2973" s="77">
        <v>932</v>
      </c>
      <c r="W2973" s="82" t="s">
        <v>4833</v>
      </c>
      <c r="X2973" s="80" t="str">
        <f>HYPERLINK("https://mla.bs/21e5bd1a")</f>
        <v>https://mla.bs/21e5bd1a</v>
      </c>
      <c r="Y2973" s="77" t="s">
        <v>6506</v>
      </c>
      <c r="Z2973" s="77"/>
      <c r="AA2973" s="77"/>
      <c r="AB2973" s="77"/>
      <c r="AC2973" s="82" t="s">
        <v>7757</v>
      </c>
      <c r="AD2973" s="77" t="s">
        <v>7788</v>
      </c>
      <c r="AE2973" s="80" t="str">
        <f>HYPERLINK("https://twitter.com/einvestidor/status/1681071291665723397")</f>
        <v>https://twitter.com/einvestidor/status/1681071291665723397</v>
      </c>
      <c r="AF2973" s="79">
        <v>45124.944479166668</v>
      </c>
      <c r="AG2973" s="85">
        <v>45124</v>
      </c>
      <c r="AH2973" s="82" t="s">
        <v>8715</v>
      </c>
      <c r="AI2973" s="77" t="b">
        <v>0</v>
      </c>
      <c r="AJ2973" s="77"/>
      <c r="AK2973" s="77"/>
      <c r="AL2973" s="77"/>
      <c r="AM2973" s="77"/>
      <c r="AN2973" s="77"/>
      <c r="AO2973" s="77"/>
      <c r="AP2973" s="77"/>
      <c r="AQ2973" s="77"/>
      <c r="AR2973" s="77"/>
      <c r="AS2973" s="77"/>
      <c r="AT2973" s="77"/>
      <c r="AU2973" s="77"/>
      <c r="AV2973" s="80" t="str">
        <f>HYPERLINK("https://pbs.twimg.com/profile_images/1241147984924082183/gZgx_hL-_normal.jpg")</f>
        <v>https://pbs.twimg.com/profile_images/1241147984924082183/gZgx_hL-_normal.jpg</v>
      </c>
      <c r="AW2973" s="82" t="s">
        <v>14569</v>
      </c>
      <c r="AX2973" s="82" t="s">
        <v>14569</v>
      </c>
      <c r="AY2973" s="77"/>
      <c r="AZ2973" s="82" t="s">
        <v>15984</v>
      </c>
      <c r="BA2973" s="82" t="s">
        <v>15984</v>
      </c>
      <c r="BB2973" s="82" t="s">
        <v>15984</v>
      </c>
      <c r="BC2973" s="82" t="s">
        <v>14569</v>
      </c>
      <c r="BD2973" s="82" t="s">
        <v>15979</v>
      </c>
      <c r="BE2973" s="77"/>
      <c r="BF2973" s="77"/>
      <c r="BG2973" s="77"/>
      <c r="BH2973" s="77"/>
      <c r="BI2973" s="77"/>
    </row>
    <row r="2974" spans="1:61" x14ac:dyDescent="0.25">
      <c r="A2974" s="62" t="s">
        <v>387</v>
      </c>
      <c r="B2974" s="62" t="s">
        <v>387</v>
      </c>
      <c r="C2974" s="63"/>
      <c r="D2974" s="64"/>
      <c r="E2974" s="65"/>
      <c r="F2974" s="66"/>
      <c r="G2974" s="63"/>
      <c r="H2974" s="67"/>
      <c r="I2974" s="68"/>
      <c r="J2974" s="68"/>
      <c r="K2974" s="32"/>
      <c r="L2974" s="75">
        <v>2974</v>
      </c>
      <c r="M2974" s="75"/>
      <c r="N2974" s="70"/>
      <c r="O2974" s="77" t="s">
        <v>179</v>
      </c>
      <c r="P2974" s="79">
        <v>45124.917233796295</v>
      </c>
      <c r="Q2974" s="77" t="s">
        <v>3646</v>
      </c>
      <c r="R2974" s="77">
        <v>0</v>
      </c>
      <c r="S2974" s="77">
        <v>2</v>
      </c>
      <c r="T2974" s="77">
        <v>0</v>
      </c>
      <c r="U2974" s="77">
        <v>1</v>
      </c>
      <c r="V2974" s="77">
        <v>758</v>
      </c>
      <c r="W2974" s="82" t="s">
        <v>6173</v>
      </c>
      <c r="X2974" s="80" t="str">
        <f>HYPERLINK("https://mla.bs/3be15bab")</f>
        <v>https://mla.bs/3be15bab</v>
      </c>
      <c r="Y2974" s="77" t="s">
        <v>6506</v>
      </c>
      <c r="Z2974" s="77"/>
      <c r="AA2974" s="77"/>
      <c r="AB2974" s="77"/>
      <c r="AC2974" s="82" t="s">
        <v>7757</v>
      </c>
      <c r="AD2974" s="77" t="s">
        <v>7788</v>
      </c>
      <c r="AE2974" s="80" t="str">
        <f>HYPERLINK("https://twitter.com/einvestidor/status/1681061420400517120")</f>
        <v>https://twitter.com/einvestidor/status/1681061420400517120</v>
      </c>
      <c r="AF2974" s="79">
        <v>45124.917233796295</v>
      </c>
      <c r="AG2974" s="85">
        <v>45124</v>
      </c>
      <c r="AH2974" s="82" t="s">
        <v>9891</v>
      </c>
      <c r="AI2974" s="77" t="b">
        <v>0</v>
      </c>
      <c r="AJ2974" s="77"/>
      <c r="AK2974" s="77"/>
      <c r="AL2974" s="77"/>
      <c r="AM2974" s="77"/>
      <c r="AN2974" s="77"/>
      <c r="AO2974" s="77"/>
      <c r="AP2974" s="77"/>
      <c r="AQ2974" s="77"/>
      <c r="AR2974" s="77"/>
      <c r="AS2974" s="77"/>
      <c r="AT2974" s="77"/>
      <c r="AU2974" s="77"/>
      <c r="AV2974" s="80" t="str">
        <f>HYPERLINK("https://pbs.twimg.com/profile_images/1241147984924082183/gZgx_hL-_normal.jpg")</f>
        <v>https://pbs.twimg.com/profile_images/1241147984924082183/gZgx_hL-_normal.jpg</v>
      </c>
      <c r="AW2974" s="82" t="s">
        <v>14570</v>
      </c>
      <c r="AX2974" s="82" t="s">
        <v>14570</v>
      </c>
      <c r="AY2974" s="77"/>
      <c r="AZ2974" s="82" t="s">
        <v>15984</v>
      </c>
      <c r="BA2974" s="82" t="s">
        <v>15984</v>
      </c>
      <c r="BB2974" s="82" t="s">
        <v>15984</v>
      </c>
      <c r="BC2974" s="82" t="s">
        <v>14570</v>
      </c>
      <c r="BD2974" s="82" t="s">
        <v>15979</v>
      </c>
      <c r="BE2974" s="77"/>
      <c r="BF2974" s="77"/>
      <c r="BG2974" s="77"/>
      <c r="BH2974" s="77"/>
      <c r="BI2974" s="77"/>
    </row>
    <row r="2975" spans="1:61" x14ac:dyDescent="0.25">
      <c r="A2975" s="62" t="s">
        <v>387</v>
      </c>
      <c r="B2975" s="62" t="s">
        <v>387</v>
      </c>
      <c r="C2975" s="63"/>
      <c r="D2975" s="64"/>
      <c r="E2975" s="65"/>
      <c r="F2975" s="66"/>
      <c r="G2975" s="63"/>
      <c r="H2975" s="67"/>
      <c r="I2975" s="68"/>
      <c r="J2975" s="68"/>
      <c r="K2975" s="32"/>
      <c r="L2975" s="75">
        <v>2975</v>
      </c>
      <c r="M2975" s="75"/>
      <c r="N2975" s="70"/>
      <c r="O2975" s="77" t="s">
        <v>179</v>
      </c>
      <c r="P2975" s="79">
        <v>45124.902928240743</v>
      </c>
      <c r="Q2975" s="77" t="s">
        <v>3647</v>
      </c>
      <c r="R2975" s="77">
        <v>0</v>
      </c>
      <c r="S2975" s="77">
        <v>2</v>
      </c>
      <c r="T2975" s="77">
        <v>0</v>
      </c>
      <c r="U2975" s="77">
        <v>1</v>
      </c>
      <c r="V2975" s="77">
        <v>870</v>
      </c>
      <c r="W2975" s="82" t="s">
        <v>4833</v>
      </c>
      <c r="X2975" s="80" t="str">
        <f>HYPERLINK("https://mla.bs/3ea8acb0")</f>
        <v>https://mla.bs/3ea8acb0</v>
      </c>
      <c r="Y2975" s="77" t="s">
        <v>6506</v>
      </c>
      <c r="Z2975" s="77"/>
      <c r="AA2975" s="77"/>
      <c r="AB2975" s="77"/>
      <c r="AC2975" s="82" t="s">
        <v>7757</v>
      </c>
      <c r="AD2975" s="77" t="s">
        <v>7788</v>
      </c>
      <c r="AE2975" s="80" t="str">
        <f>HYPERLINK("https://twitter.com/einvestidor/status/1681056233871089665")</f>
        <v>https://twitter.com/einvestidor/status/1681056233871089665</v>
      </c>
      <c r="AF2975" s="79">
        <v>45124.902928240743</v>
      </c>
      <c r="AG2975" s="85">
        <v>45124</v>
      </c>
      <c r="AH2975" s="82" t="s">
        <v>9892</v>
      </c>
      <c r="AI2975" s="77" t="b">
        <v>0</v>
      </c>
      <c r="AJ2975" s="77"/>
      <c r="AK2975" s="77"/>
      <c r="AL2975" s="77"/>
      <c r="AM2975" s="77"/>
      <c r="AN2975" s="77"/>
      <c r="AO2975" s="77"/>
      <c r="AP2975" s="77"/>
      <c r="AQ2975" s="77"/>
      <c r="AR2975" s="77"/>
      <c r="AS2975" s="77"/>
      <c r="AT2975" s="77"/>
      <c r="AU2975" s="77"/>
      <c r="AV2975" s="80" t="str">
        <f>HYPERLINK("https://pbs.twimg.com/profile_images/1241147984924082183/gZgx_hL-_normal.jpg")</f>
        <v>https://pbs.twimg.com/profile_images/1241147984924082183/gZgx_hL-_normal.jpg</v>
      </c>
      <c r="AW2975" s="82" t="s">
        <v>14571</v>
      </c>
      <c r="AX2975" s="82" t="s">
        <v>14571</v>
      </c>
      <c r="AY2975" s="77"/>
      <c r="AZ2975" s="82" t="s">
        <v>15984</v>
      </c>
      <c r="BA2975" s="82" t="s">
        <v>15984</v>
      </c>
      <c r="BB2975" s="82" t="s">
        <v>15984</v>
      </c>
      <c r="BC2975" s="82" t="s">
        <v>14571</v>
      </c>
      <c r="BD2975" s="82" t="s">
        <v>15979</v>
      </c>
      <c r="BE2975" s="77"/>
      <c r="BF2975" s="77"/>
      <c r="BG2975" s="77"/>
      <c r="BH2975" s="77"/>
      <c r="BI2975" s="77"/>
    </row>
    <row r="2976" spans="1:61" x14ac:dyDescent="0.25">
      <c r="A2976" s="62" t="s">
        <v>387</v>
      </c>
      <c r="B2976" s="62" t="s">
        <v>387</v>
      </c>
      <c r="C2976" s="63"/>
      <c r="D2976" s="64"/>
      <c r="E2976" s="65"/>
      <c r="F2976" s="66"/>
      <c r="G2976" s="63"/>
      <c r="H2976" s="67"/>
      <c r="I2976" s="68"/>
      <c r="J2976" s="68"/>
      <c r="K2976" s="32"/>
      <c r="L2976" s="75">
        <v>2976</v>
      </c>
      <c r="M2976" s="75"/>
      <c r="N2976" s="70"/>
      <c r="O2976" s="77" t="s">
        <v>179</v>
      </c>
      <c r="P2976" s="79">
        <v>45124.890196759261</v>
      </c>
      <c r="Q2976" s="77" t="s">
        <v>3648</v>
      </c>
      <c r="R2976" s="77">
        <v>1</v>
      </c>
      <c r="S2976" s="77">
        <v>1</v>
      </c>
      <c r="T2976" s="77">
        <v>0</v>
      </c>
      <c r="U2976" s="77">
        <v>0</v>
      </c>
      <c r="V2976" s="77">
        <v>604</v>
      </c>
      <c r="W2976" s="82" t="s">
        <v>5942</v>
      </c>
      <c r="X2976" s="80" t="str">
        <f>HYPERLINK("https://mla.bs/d3de6920")</f>
        <v>https://mla.bs/d3de6920</v>
      </c>
      <c r="Y2976" s="77" t="s">
        <v>6506</v>
      </c>
      <c r="Z2976" s="77"/>
      <c r="AA2976" s="77"/>
      <c r="AB2976" s="77"/>
      <c r="AC2976" s="82" t="s">
        <v>7757</v>
      </c>
      <c r="AD2976" s="77" t="s">
        <v>7788</v>
      </c>
      <c r="AE2976" s="80" t="str">
        <f>HYPERLINK("https://twitter.com/einvestidor/status/1681051620585480193")</f>
        <v>https://twitter.com/einvestidor/status/1681051620585480193</v>
      </c>
      <c r="AF2976" s="79">
        <v>45124.890196759261</v>
      </c>
      <c r="AG2976" s="85">
        <v>45124</v>
      </c>
      <c r="AH2976" s="82" t="s">
        <v>9893</v>
      </c>
      <c r="AI2976" s="77" t="b">
        <v>0</v>
      </c>
      <c r="AJ2976" s="77"/>
      <c r="AK2976" s="77"/>
      <c r="AL2976" s="77"/>
      <c r="AM2976" s="77"/>
      <c r="AN2976" s="77"/>
      <c r="AO2976" s="77"/>
      <c r="AP2976" s="77"/>
      <c r="AQ2976" s="77"/>
      <c r="AR2976" s="77"/>
      <c r="AS2976" s="77"/>
      <c r="AT2976" s="77"/>
      <c r="AU2976" s="77"/>
      <c r="AV2976" s="80" t="str">
        <f>HYPERLINK("https://pbs.twimg.com/profile_images/1241147984924082183/gZgx_hL-_normal.jpg")</f>
        <v>https://pbs.twimg.com/profile_images/1241147984924082183/gZgx_hL-_normal.jpg</v>
      </c>
      <c r="AW2976" s="82" t="s">
        <v>14572</v>
      </c>
      <c r="AX2976" s="82" t="s">
        <v>14572</v>
      </c>
      <c r="AY2976" s="77"/>
      <c r="AZ2976" s="82" t="s">
        <v>15984</v>
      </c>
      <c r="BA2976" s="82" t="s">
        <v>15984</v>
      </c>
      <c r="BB2976" s="82" t="s">
        <v>15984</v>
      </c>
      <c r="BC2976" s="82" t="s">
        <v>14572</v>
      </c>
      <c r="BD2976" s="82" t="s">
        <v>15979</v>
      </c>
      <c r="BE2976" s="77"/>
      <c r="BF2976" s="77"/>
      <c r="BG2976" s="77"/>
      <c r="BH2976" s="77"/>
      <c r="BI2976" s="77"/>
    </row>
    <row r="2977" spans="1:61" x14ac:dyDescent="0.25">
      <c r="A2977" s="62" t="s">
        <v>387</v>
      </c>
      <c r="B2977" s="62" t="s">
        <v>387</v>
      </c>
      <c r="C2977" s="63"/>
      <c r="D2977" s="64"/>
      <c r="E2977" s="65"/>
      <c r="F2977" s="66"/>
      <c r="G2977" s="63"/>
      <c r="H2977" s="67"/>
      <c r="I2977" s="68"/>
      <c r="J2977" s="68"/>
      <c r="K2977" s="32"/>
      <c r="L2977" s="75">
        <v>2977</v>
      </c>
      <c r="M2977" s="75"/>
      <c r="N2977" s="70"/>
      <c r="O2977" s="77" t="s">
        <v>179</v>
      </c>
      <c r="P2977" s="79">
        <v>45124.88753472222</v>
      </c>
      <c r="Q2977" s="77" t="s">
        <v>3649</v>
      </c>
      <c r="R2977" s="77">
        <v>0</v>
      </c>
      <c r="S2977" s="77">
        <v>1</v>
      </c>
      <c r="T2977" s="77">
        <v>0</v>
      </c>
      <c r="U2977" s="77">
        <v>0</v>
      </c>
      <c r="V2977" s="77">
        <v>578</v>
      </c>
      <c r="W2977" s="82" t="s">
        <v>4833</v>
      </c>
      <c r="X2977" s="80" t="str">
        <f>HYPERLINK("https://mla.bs/d11cff45")</f>
        <v>https://mla.bs/d11cff45</v>
      </c>
      <c r="Y2977" s="77" t="s">
        <v>6506</v>
      </c>
      <c r="Z2977" s="77"/>
      <c r="AA2977" s="77"/>
      <c r="AB2977" s="77"/>
      <c r="AC2977" s="82" t="s">
        <v>7757</v>
      </c>
      <c r="AD2977" s="77" t="s">
        <v>7788</v>
      </c>
      <c r="AE2977" s="80" t="str">
        <f>HYPERLINK("https://twitter.com/einvestidor/status/1681050654142234624")</f>
        <v>https://twitter.com/einvestidor/status/1681050654142234624</v>
      </c>
      <c r="AF2977" s="79">
        <v>45124.88753472222</v>
      </c>
      <c r="AG2977" s="85">
        <v>45124</v>
      </c>
      <c r="AH2977" s="82" t="s">
        <v>9894</v>
      </c>
      <c r="AI2977" s="77" t="b">
        <v>0</v>
      </c>
      <c r="AJ2977" s="77"/>
      <c r="AK2977" s="77"/>
      <c r="AL2977" s="77"/>
      <c r="AM2977" s="77"/>
      <c r="AN2977" s="77"/>
      <c r="AO2977" s="77"/>
      <c r="AP2977" s="77"/>
      <c r="AQ2977" s="77"/>
      <c r="AR2977" s="77"/>
      <c r="AS2977" s="77"/>
      <c r="AT2977" s="77"/>
      <c r="AU2977" s="77"/>
      <c r="AV2977" s="80" t="str">
        <f>HYPERLINK("https://pbs.twimg.com/profile_images/1241147984924082183/gZgx_hL-_normal.jpg")</f>
        <v>https://pbs.twimg.com/profile_images/1241147984924082183/gZgx_hL-_normal.jpg</v>
      </c>
      <c r="AW2977" s="82" t="s">
        <v>14573</v>
      </c>
      <c r="AX2977" s="82" t="s">
        <v>14573</v>
      </c>
      <c r="AY2977" s="77"/>
      <c r="AZ2977" s="82" t="s">
        <v>15984</v>
      </c>
      <c r="BA2977" s="82" t="s">
        <v>15984</v>
      </c>
      <c r="BB2977" s="82" t="s">
        <v>15984</v>
      </c>
      <c r="BC2977" s="82" t="s">
        <v>14573</v>
      </c>
      <c r="BD2977" s="82" t="s">
        <v>15979</v>
      </c>
      <c r="BE2977" s="77"/>
      <c r="BF2977" s="77"/>
      <c r="BG2977" s="77"/>
      <c r="BH2977" s="77"/>
      <c r="BI2977" s="77"/>
    </row>
    <row r="2978" spans="1:61" x14ac:dyDescent="0.25">
      <c r="A2978" s="62" t="s">
        <v>387</v>
      </c>
      <c r="B2978" s="62" t="s">
        <v>387</v>
      </c>
      <c r="C2978" s="63"/>
      <c r="D2978" s="64"/>
      <c r="E2978" s="65"/>
      <c r="F2978" s="66"/>
      <c r="G2978" s="63"/>
      <c r="H2978" s="67"/>
      <c r="I2978" s="68"/>
      <c r="J2978" s="68"/>
      <c r="K2978" s="32"/>
      <c r="L2978" s="75">
        <v>2978</v>
      </c>
      <c r="M2978" s="75"/>
      <c r="N2978" s="70"/>
      <c r="O2978" s="77" t="s">
        <v>179</v>
      </c>
      <c r="P2978" s="79">
        <v>45124.880868055552</v>
      </c>
      <c r="Q2978" s="77" t="s">
        <v>3650</v>
      </c>
      <c r="R2978" s="77">
        <v>0</v>
      </c>
      <c r="S2978" s="77">
        <v>2</v>
      </c>
      <c r="T2978" s="77">
        <v>0</v>
      </c>
      <c r="U2978" s="77">
        <v>0</v>
      </c>
      <c r="V2978" s="77">
        <v>702</v>
      </c>
      <c r="W2978" s="82" t="s">
        <v>6145</v>
      </c>
      <c r="X2978" s="80" t="str">
        <f>HYPERLINK("https://mla.bs/e773e8ed")</f>
        <v>https://mla.bs/e773e8ed</v>
      </c>
      <c r="Y2978" s="77" t="s">
        <v>6506</v>
      </c>
      <c r="Z2978" s="77"/>
      <c r="AA2978" s="77"/>
      <c r="AB2978" s="77"/>
      <c r="AC2978" s="82" t="s">
        <v>7757</v>
      </c>
      <c r="AD2978" s="77" t="s">
        <v>7788</v>
      </c>
      <c r="AE2978" s="80" t="str">
        <f>HYPERLINK("https://twitter.com/einvestidor/status/1681048239821160449")</f>
        <v>https://twitter.com/einvestidor/status/1681048239821160449</v>
      </c>
      <c r="AF2978" s="79">
        <v>45124.880868055552</v>
      </c>
      <c r="AG2978" s="85">
        <v>45124</v>
      </c>
      <c r="AH2978" s="82" t="s">
        <v>9895</v>
      </c>
      <c r="AI2978" s="77" t="b">
        <v>0</v>
      </c>
      <c r="AJ2978" s="77"/>
      <c r="AK2978" s="77"/>
      <c r="AL2978" s="77"/>
      <c r="AM2978" s="77"/>
      <c r="AN2978" s="77"/>
      <c r="AO2978" s="77"/>
      <c r="AP2978" s="77"/>
      <c r="AQ2978" s="77"/>
      <c r="AR2978" s="77"/>
      <c r="AS2978" s="77"/>
      <c r="AT2978" s="77"/>
      <c r="AU2978" s="77"/>
      <c r="AV2978" s="80" t="str">
        <f>HYPERLINK("https://pbs.twimg.com/profile_images/1241147984924082183/gZgx_hL-_normal.jpg")</f>
        <v>https://pbs.twimg.com/profile_images/1241147984924082183/gZgx_hL-_normal.jpg</v>
      </c>
      <c r="AW2978" s="82" t="s">
        <v>14574</v>
      </c>
      <c r="AX2978" s="82" t="s">
        <v>14574</v>
      </c>
      <c r="AY2978" s="77"/>
      <c r="AZ2978" s="82" t="s">
        <v>15984</v>
      </c>
      <c r="BA2978" s="82" t="s">
        <v>15984</v>
      </c>
      <c r="BB2978" s="82" t="s">
        <v>15984</v>
      </c>
      <c r="BC2978" s="82" t="s">
        <v>14574</v>
      </c>
      <c r="BD2978" s="82" t="s">
        <v>15979</v>
      </c>
      <c r="BE2978" s="77"/>
      <c r="BF2978" s="77"/>
      <c r="BG2978" s="77"/>
      <c r="BH2978" s="77"/>
      <c r="BI2978" s="77"/>
    </row>
    <row r="2979" spans="1:61" x14ac:dyDescent="0.25">
      <c r="A2979" s="62" t="s">
        <v>387</v>
      </c>
      <c r="B2979" s="62" t="s">
        <v>387</v>
      </c>
      <c r="C2979" s="63"/>
      <c r="D2979" s="64"/>
      <c r="E2979" s="65"/>
      <c r="F2979" s="66"/>
      <c r="G2979" s="63"/>
      <c r="H2979" s="67"/>
      <c r="I2979" s="68"/>
      <c r="J2979" s="68"/>
      <c r="K2979" s="32"/>
      <c r="L2979" s="75">
        <v>2979</v>
      </c>
      <c r="M2979" s="75"/>
      <c r="N2979" s="70"/>
      <c r="O2979" s="77" t="s">
        <v>179</v>
      </c>
      <c r="P2979" s="79">
        <v>45124.880844907406</v>
      </c>
      <c r="Q2979" s="77" t="s">
        <v>3651</v>
      </c>
      <c r="R2979" s="77">
        <v>0</v>
      </c>
      <c r="S2979" s="77">
        <v>0</v>
      </c>
      <c r="T2979" s="77">
        <v>0</v>
      </c>
      <c r="U2979" s="77">
        <v>0</v>
      </c>
      <c r="V2979" s="77">
        <v>587</v>
      </c>
      <c r="W2979" s="82" t="s">
        <v>6174</v>
      </c>
      <c r="X2979" s="80" t="str">
        <f>HYPERLINK("https://mla.bs/d848b5d2")</f>
        <v>https://mla.bs/d848b5d2</v>
      </c>
      <c r="Y2979" s="77" t="s">
        <v>6506</v>
      </c>
      <c r="Z2979" s="77"/>
      <c r="AA2979" s="77"/>
      <c r="AB2979" s="77"/>
      <c r="AC2979" s="82" t="s">
        <v>7757</v>
      </c>
      <c r="AD2979" s="77" t="s">
        <v>7788</v>
      </c>
      <c r="AE2979" s="80" t="str">
        <f>HYPERLINK("https://twitter.com/einvestidor/status/1681048233311629315")</f>
        <v>https://twitter.com/einvestidor/status/1681048233311629315</v>
      </c>
      <c r="AF2979" s="79">
        <v>45124.880844907406</v>
      </c>
      <c r="AG2979" s="85">
        <v>45124</v>
      </c>
      <c r="AH2979" s="82" t="s">
        <v>9896</v>
      </c>
      <c r="AI2979" s="77" t="b">
        <v>0</v>
      </c>
      <c r="AJ2979" s="77"/>
      <c r="AK2979" s="77"/>
      <c r="AL2979" s="77"/>
      <c r="AM2979" s="77"/>
      <c r="AN2979" s="77"/>
      <c r="AO2979" s="77"/>
      <c r="AP2979" s="77"/>
      <c r="AQ2979" s="77"/>
      <c r="AR2979" s="77"/>
      <c r="AS2979" s="77"/>
      <c r="AT2979" s="77"/>
      <c r="AU2979" s="77"/>
      <c r="AV2979" s="80" t="str">
        <f>HYPERLINK("https://pbs.twimg.com/profile_images/1241147984924082183/gZgx_hL-_normal.jpg")</f>
        <v>https://pbs.twimg.com/profile_images/1241147984924082183/gZgx_hL-_normal.jpg</v>
      </c>
      <c r="AW2979" s="82" t="s">
        <v>14575</v>
      </c>
      <c r="AX2979" s="82" t="s">
        <v>14575</v>
      </c>
      <c r="AY2979" s="77"/>
      <c r="AZ2979" s="82" t="s">
        <v>15984</v>
      </c>
      <c r="BA2979" s="82" t="s">
        <v>15984</v>
      </c>
      <c r="BB2979" s="82" t="s">
        <v>15984</v>
      </c>
      <c r="BC2979" s="82" t="s">
        <v>14575</v>
      </c>
      <c r="BD2979" s="82" t="s">
        <v>15979</v>
      </c>
      <c r="BE2979" s="77"/>
      <c r="BF2979" s="77"/>
      <c r="BG2979" s="77"/>
      <c r="BH2979" s="77"/>
      <c r="BI2979" s="77"/>
    </row>
    <row r="2980" spans="1:61" x14ac:dyDescent="0.25">
      <c r="A2980" s="62" t="s">
        <v>387</v>
      </c>
      <c r="B2980" s="62" t="s">
        <v>387</v>
      </c>
      <c r="C2980" s="63"/>
      <c r="D2980" s="64"/>
      <c r="E2980" s="65"/>
      <c r="F2980" s="66"/>
      <c r="G2980" s="63"/>
      <c r="H2980" s="67"/>
      <c r="I2980" s="68"/>
      <c r="J2980" s="68"/>
      <c r="K2980" s="32"/>
      <c r="L2980" s="75">
        <v>2980</v>
      </c>
      <c r="M2980" s="75"/>
      <c r="N2980" s="70"/>
      <c r="O2980" s="77" t="s">
        <v>179</v>
      </c>
      <c r="P2980" s="79">
        <v>45124.875613425924</v>
      </c>
      <c r="Q2980" s="77" t="s">
        <v>3652</v>
      </c>
      <c r="R2980" s="77">
        <v>0</v>
      </c>
      <c r="S2980" s="77">
        <v>0</v>
      </c>
      <c r="T2980" s="77">
        <v>0</v>
      </c>
      <c r="U2980" s="77">
        <v>0</v>
      </c>
      <c r="V2980" s="77">
        <v>507</v>
      </c>
      <c r="W2980" s="82" t="s">
        <v>4833</v>
      </c>
      <c r="X2980" s="80" t="str">
        <f>HYPERLINK("https://mla.bs/7604008b")</f>
        <v>https://mla.bs/7604008b</v>
      </c>
      <c r="Y2980" s="77" t="s">
        <v>6506</v>
      </c>
      <c r="Z2980" s="77"/>
      <c r="AA2980" s="77"/>
      <c r="AB2980" s="77"/>
      <c r="AC2980" s="82" t="s">
        <v>7757</v>
      </c>
      <c r="AD2980" s="77" t="s">
        <v>7788</v>
      </c>
      <c r="AE2980" s="80" t="str">
        <f>HYPERLINK("https://twitter.com/einvestidor/status/1681046335758254080")</f>
        <v>https://twitter.com/einvestidor/status/1681046335758254080</v>
      </c>
      <c r="AF2980" s="79">
        <v>45124.875613425924</v>
      </c>
      <c r="AG2980" s="85">
        <v>45124</v>
      </c>
      <c r="AH2980" s="82" t="s">
        <v>9897</v>
      </c>
      <c r="AI2980" s="77" t="b">
        <v>0</v>
      </c>
      <c r="AJ2980" s="77"/>
      <c r="AK2980" s="77"/>
      <c r="AL2980" s="77"/>
      <c r="AM2980" s="77"/>
      <c r="AN2980" s="77"/>
      <c r="AO2980" s="77"/>
      <c r="AP2980" s="77"/>
      <c r="AQ2980" s="77"/>
      <c r="AR2980" s="77"/>
      <c r="AS2980" s="77"/>
      <c r="AT2980" s="77"/>
      <c r="AU2980" s="77"/>
      <c r="AV2980" s="80" t="str">
        <f>HYPERLINK("https://pbs.twimg.com/profile_images/1241147984924082183/gZgx_hL-_normal.jpg")</f>
        <v>https://pbs.twimg.com/profile_images/1241147984924082183/gZgx_hL-_normal.jpg</v>
      </c>
      <c r="AW2980" s="82" t="s">
        <v>14576</v>
      </c>
      <c r="AX2980" s="82" t="s">
        <v>14576</v>
      </c>
      <c r="AY2980" s="77"/>
      <c r="AZ2980" s="82" t="s">
        <v>15984</v>
      </c>
      <c r="BA2980" s="82" t="s">
        <v>15984</v>
      </c>
      <c r="BB2980" s="82" t="s">
        <v>15984</v>
      </c>
      <c r="BC2980" s="82" t="s">
        <v>14576</v>
      </c>
      <c r="BD2980" s="82" t="s">
        <v>15979</v>
      </c>
      <c r="BE2980" s="77"/>
      <c r="BF2980" s="77"/>
      <c r="BG2980" s="77"/>
      <c r="BH2980" s="77"/>
      <c r="BI2980" s="77"/>
    </row>
    <row r="2981" spans="1:61" x14ac:dyDescent="0.25">
      <c r="A2981" s="62" t="s">
        <v>387</v>
      </c>
      <c r="B2981" s="62" t="s">
        <v>387</v>
      </c>
      <c r="C2981" s="63"/>
      <c r="D2981" s="64"/>
      <c r="E2981" s="65"/>
      <c r="F2981" s="66"/>
      <c r="G2981" s="63"/>
      <c r="H2981" s="67"/>
      <c r="I2981" s="68"/>
      <c r="J2981" s="68"/>
      <c r="K2981" s="32"/>
      <c r="L2981" s="75">
        <v>2981</v>
      </c>
      <c r="M2981" s="75"/>
      <c r="N2981" s="70"/>
      <c r="O2981" s="77" t="s">
        <v>179</v>
      </c>
      <c r="P2981" s="79">
        <v>45124.861273148148</v>
      </c>
      <c r="Q2981" s="77" t="s">
        <v>3653</v>
      </c>
      <c r="R2981" s="77">
        <v>1</v>
      </c>
      <c r="S2981" s="77">
        <v>1</v>
      </c>
      <c r="T2981" s="77">
        <v>0</v>
      </c>
      <c r="U2981" s="77">
        <v>0</v>
      </c>
      <c r="V2981" s="77">
        <v>565</v>
      </c>
      <c r="W2981" s="82" t="s">
        <v>6175</v>
      </c>
      <c r="X2981" s="80" t="str">
        <f>HYPERLINK("https://mla.bs/74c95d23")</f>
        <v>https://mla.bs/74c95d23</v>
      </c>
      <c r="Y2981" s="77" t="s">
        <v>6506</v>
      </c>
      <c r="Z2981" s="77"/>
      <c r="AA2981" s="77"/>
      <c r="AB2981" s="77"/>
      <c r="AC2981" s="82" t="s">
        <v>7757</v>
      </c>
      <c r="AD2981" s="77" t="s">
        <v>7788</v>
      </c>
      <c r="AE2981" s="80" t="str">
        <f>HYPERLINK("https://twitter.com/einvestidor/status/1681041138357096449")</f>
        <v>https://twitter.com/einvestidor/status/1681041138357096449</v>
      </c>
      <c r="AF2981" s="79">
        <v>45124.861273148148</v>
      </c>
      <c r="AG2981" s="85">
        <v>45124</v>
      </c>
      <c r="AH2981" s="82" t="s">
        <v>9898</v>
      </c>
      <c r="AI2981" s="77" t="b">
        <v>0</v>
      </c>
      <c r="AJ2981" s="77"/>
      <c r="AK2981" s="77"/>
      <c r="AL2981" s="77"/>
      <c r="AM2981" s="77"/>
      <c r="AN2981" s="77"/>
      <c r="AO2981" s="77"/>
      <c r="AP2981" s="77"/>
      <c r="AQ2981" s="77"/>
      <c r="AR2981" s="77"/>
      <c r="AS2981" s="77"/>
      <c r="AT2981" s="77"/>
      <c r="AU2981" s="77"/>
      <c r="AV2981" s="80" t="str">
        <f>HYPERLINK("https://pbs.twimg.com/profile_images/1241147984924082183/gZgx_hL-_normal.jpg")</f>
        <v>https://pbs.twimg.com/profile_images/1241147984924082183/gZgx_hL-_normal.jpg</v>
      </c>
      <c r="AW2981" s="82" t="s">
        <v>14577</v>
      </c>
      <c r="AX2981" s="82" t="s">
        <v>14577</v>
      </c>
      <c r="AY2981" s="77"/>
      <c r="AZ2981" s="82" t="s">
        <v>15984</v>
      </c>
      <c r="BA2981" s="82" t="s">
        <v>15984</v>
      </c>
      <c r="BB2981" s="82" t="s">
        <v>15984</v>
      </c>
      <c r="BC2981" s="82" t="s">
        <v>14577</v>
      </c>
      <c r="BD2981" s="82" t="s">
        <v>15979</v>
      </c>
      <c r="BE2981" s="77"/>
      <c r="BF2981" s="77"/>
      <c r="BG2981" s="77"/>
      <c r="BH2981" s="77"/>
      <c r="BI2981" s="77"/>
    </row>
    <row r="2982" spans="1:61" x14ac:dyDescent="0.25">
      <c r="A2982" s="62" t="s">
        <v>387</v>
      </c>
      <c r="B2982" s="62" t="s">
        <v>387</v>
      </c>
      <c r="C2982" s="63"/>
      <c r="D2982" s="64"/>
      <c r="E2982" s="65"/>
      <c r="F2982" s="66"/>
      <c r="G2982" s="63"/>
      <c r="H2982" s="67"/>
      <c r="I2982" s="68"/>
      <c r="J2982" s="68"/>
      <c r="K2982" s="32"/>
      <c r="L2982" s="75">
        <v>2982</v>
      </c>
      <c r="M2982" s="75"/>
      <c r="N2982" s="70"/>
      <c r="O2982" s="77" t="s">
        <v>179</v>
      </c>
      <c r="P2982" s="79">
        <v>45124.847546296296</v>
      </c>
      <c r="Q2982" s="77" t="s">
        <v>3654</v>
      </c>
      <c r="R2982" s="77">
        <v>1</v>
      </c>
      <c r="S2982" s="77">
        <v>3</v>
      </c>
      <c r="T2982" s="77">
        <v>0</v>
      </c>
      <c r="U2982" s="77">
        <v>0</v>
      </c>
      <c r="V2982" s="77">
        <v>656</v>
      </c>
      <c r="W2982" s="82" t="s">
        <v>6176</v>
      </c>
      <c r="X2982" s="80" t="str">
        <f>HYPERLINK("https://mla.bs/60f8812e")</f>
        <v>https://mla.bs/60f8812e</v>
      </c>
      <c r="Y2982" s="77" t="s">
        <v>6506</v>
      </c>
      <c r="Z2982" s="77"/>
      <c r="AA2982" s="77"/>
      <c r="AB2982" s="77"/>
      <c r="AC2982" s="82" t="s">
        <v>7757</v>
      </c>
      <c r="AD2982" s="77" t="s">
        <v>7788</v>
      </c>
      <c r="AE2982" s="80" t="str">
        <f>HYPERLINK("https://twitter.com/einvestidor/status/1681036163312758784")</f>
        <v>https://twitter.com/einvestidor/status/1681036163312758784</v>
      </c>
      <c r="AF2982" s="79">
        <v>45124.847546296296</v>
      </c>
      <c r="AG2982" s="85">
        <v>45124</v>
      </c>
      <c r="AH2982" s="82" t="s">
        <v>9899</v>
      </c>
      <c r="AI2982" s="77" t="b">
        <v>0</v>
      </c>
      <c r="AJ2982" s="77"/>
      <c r="AK2982" s="77"/>
      <c r="AL2982" s="77"/>
      <c r="AM2982" s="77"/>
      <c r="AN2982" s="77"/>
      <c r="AO2982" s="77"/>
      <c r="AP2982" s="77"/>
      <c r="AQ2982" s="77"/>
      <c r="AR2982" s="77"/>
      <c r="AS2982" s="77"/>
      <c r="AT2982" s="77"/>
      <c r="AU2982" s="77"/>
      <c r="AV2982" s="80" t="str">
        <f>HYPERLINK("https://pbs.twimg.com/profile_images/1241147984924082183/gZgx_hL-_normal.jpg")</f>
        <v>https://pbs.twimg.com/profile_images/1241147984924082183/gZgx_hL-_normal.jpg</v>
      </c>
      <c r="AW2982" s="82" t="s">
        <v>14578</v>
      </c>
      <c r="AX2982" s="82" t="s">
        <v>14578</v>
      </c>
      <c r="AY2982" s="77"/>
      <c r="AZ2982" s="82" t="s">
        <v>15984</v>
      </c>
      <c r="BA2982" s="82" t="s">
        <v>15984</v>
      </c>
      <c r="BB2982" s="82" t="s">
        <v>15984</v>
      </c>
      <c r="BC2982" s="82" t="s">
        <v>14578</v>
      </c>
      <c r="BD2982" s="82" t="s">
        <v>15979</v>
      </c>
      <c r="BE2982" s="77"/>
      <c r="BF2982" s="77"/>
      <c r="BG2982" s="77"/>
      <c r="BH2982" s="77"/>
      <c r="BI2982" s="77"/>
    </row>
    <row r="2983" spans="1:61" x14ac:dyDescent="0.25">
      <c r="A2983" s="62" t="s">
        <v>387</v>
      </c>
      <c r="B2983" s="62" t="s">
        <v>387</v>
      </c>
      <c r="C2983" s="63"/>
      <c r="D2983" s="64"/>
      <c r="E2983" s="65"/>
      <c r="F2983" s="66"/>
      <c r="G2983" s="63"/>
      <c r="H2983" s="67"/>
      <c r="I2983" s="68"/>
      <c r="J2983" s="68"/>
      <c r="K2983" s="32"/>
      <c r="L2983" s="75">
        <v>2983</v>
      </c>
      <c r="M2983" s="75"/>
      <c r="N2983" s="70"/>
      <c r="O2983" s="77" t="s">
        <v>179</v>
      </c>
      <c r="P2983" s="79">
        <v>45124.834016203706</v>
      </c>
      <c r="Q2983" s="77" t="s">
        <v>3655</v>
      </c>
      <c r="R2983" s="77">
        <v>0</v>
      </c>
      <c r="S2983" s="77">
        <v>2</v>
      </c>
      <c r="T2983" s="77">
        <v>0</v>
      </c>
      <c r="U2983" s="77">
        <v>0</v>
      </c>
      <c r="V2983" s="77">
        <v>640</v>
      </c>
      <c r="W2983" s="82" t="s">
        <v>6177</v>
      </c>
      <c r="X2983" s="80" t="str">
        <f>HYPERLINK("https://mla.bs/1655995f")</f>
        <v>https://mla.bs/1655995f</v>
      </c>
      <c r="Y2983" s="77" t="s">
        <v>6506</v>
      </c>
      <c r="Z2983" s="77"/>
      <c r="AA2983" s="77"/>
      <c r="AB2983" s="77"/>
      <c r="AC2983" s="82" t="s">
        <v>7757</v>
      </c>
      <c r="AD2983" s="77" t="s">
        <v>7788</v>
      </c>
      <c r="AE2983" s="80" t="str">
        <f>HYPERLINK("https://twitter.com/einvestidor/status/1681031259982553088")</f>
        <v>https://twitter.com/einvestidor/status/1681031259982553088</v>
      </c>
      <c r="AF2983" s="79">
        <v>45124.834016203706</v>
      </c>
      <c r="AG2983" s="85">
        <v>45124</v>
      </c>
      <c r="AH2983" s="82" t="s">
        <v>9860</v>
      </c>
      <c r="AI2983" s="77" t="b">
        <v>0</v>
      </c>
      <c r="AJ2983" s="77"/>
      <c r="AK2983" s="77"/>
      <c r="AL2983" s="77"/>
      <c r="AM2983" s="77"/>
      <c r="AN2983" s="77"/>
      <c r="AO2983" s="77"/>
      <c r="AP2983" s="77"/>
      <c r="AQ2983" s="77"/>
      <c r="AR2983" s="77"/>
      <c r="AS2983" s="77"/>
      <c r="AT2983" s="77"/>
      <c r="AU2983" s="77"/>
      <c r="AV2983" s="80" t="str">
        <f>HYPERLINK("https://pbs.twimg.com/profile_images/1241147984924082183/gZgx_hL-_normal.jpg")</f>
        <v>https://pbs.twimg.com/profile_images/1241147984924082183/gZgx_hL-_normal.jpg</v>
      </c>
      <c r="AW2983" s="82" t="s">
        <v>14579</v>
      </c>
      <c r="AX2983" s="82" t="s">
        <v>14579</v>
      </c>
      <c r="AY2983" s="77"/>
      <c r="AZ2983" s="82" t="s">
        <v>15984</v>
      </c>
      <c r="BA2983" s="82" t="s">
        <v>15984</v>
      </c>
      <c r="BB2983" s="82" t="s">
        <v>15984</v>
      </c>
      <c r="BC2983" s="82" t="s">
        <v>14579</v>
      </c>
      <c r="BD2983" s="82" t="s">
        <v>15979</v>
      </c>
      <c r="BE2983" s="77"/>
      <c r="BF2983" s="77"/>
      <c r="BG2983" s="77"/>
      <c r="BH2983" s="77"/>
      <c r="BI2983" s="77"/>
    </row>
    <row r="2984" spans="1:61" x14ac:dyDescent="0.25">
      <c r="A2984" s="62" t="s">
        <v>387</v>
      </c>
      <c r="B2984" s="62" t="s">
        <v>387</v>
      </c>
      <c r="C2984" s="63"/>
      <c r="D2984" s="64"/>
      <c r="E2984" s="65"/>
      <c r="F2984" s="66"/>
      <c r="G2984" s="63"/>
      <c r="H2984" s="67"/>
      <c r="I2984" s="68"/>
      <c r="J2984" s="68"/>
      <c r="K2984" s="32"/>
      <c r="L2984" s="75">
        <v>2984</v>
      </c>
      <c r="M2984" s="75"/>
      <c r="N2984" s="70"/>
      <c r="O2984" s="77" t="s">
        <v>179</v>
      </c>
      <c r="P2984" s="79">
        <v>45124.819606481484</v>
      </c>
      <c r="Q2984" s="77" t="s">
        <v>3656</v>
      </c>
      <c r="R2984" s="77">
        <v>0</v>
      </c>
      <c r="S2984" s="77">
        <v>3</v>
      </c>
      <c r="T2984" s="77">
        <v>0</v>
      </c>
      <c r="U2984" s="77">
        <v>0</v>
      </c>
      <c r="V2984" s="77">
        <v>560</v>
      </c>
      <c r="W2984" s="82" t="s">
        <v>6178</v>
      </c>
      <c r="X2984" s="80" t="str">
        <f>HYPERLINK("https://mla.bs/4f788946")</f>
        <v>https://mla.bs/4f788946</v>
      </c>
      <c r="Y2984" s="77" t="s">
        <v>6506</v>
      </c>
      <c r="Z2984" s="77"/>
      <c r="AA2984" s="77"/>
      <c r="AB2984" s="77"/>
      <c r="AC2984" s="82" t="s">
        <v>7757</v>
      </c>
      <c r="AD2984" s="77" t="s">
        <v>7788</v>
      </c>
      <c r="AE2984" s="80" t="str">
        <f>HYPERLINK("https://twitter.com/einvestidor/status/1681026038774607872")</f>
        <v>https://twitter.com/einvestidor/status/1681026038774607872</v>
      </c>
      <c r="AF2984" s="79">
        <v>45124.819606481484</v>
      </c>
      <c r="AG2984" s="85">
        <v>45124</v>
      </c>
      <c r="AH2984" s="82" t="s">
        <v>9900</v>
      </c>
      <c r="AI2984" s="77" t="b">
        <v>0</v>
      </c>
      <c r="AJ2984" s="77"/>
      <c r="AK2984" s="77"/>
      <c r="AL2984" s="77"/>
      <c r="AM2984" s="77"/>
      <c r="AN2984" s="77"/>
      <c r="AO2984" s="77"/>
      <c r="AP2984" s="77"/>
      <c r="AQ2984" s="77"/>
      <c r="AR2984" s="77"/>
      <c r="AS2984" s="77"/>
      <c r="AT2984" s="77"/>
      <c r="AU2984" s="77"/>
      <c r="AV2984" s="80" t="str">
        <f>HYPERLINK("https://pbs.twimg.com/profile_images/1241147984924082183/gZgx_hL-_normal.jpg")</f>
        <v>https://pbs.twimg.com/profile_images/1241147984924082183/gZgx_hL-_normal.jpg</v>
      </c>
      <c r="AW2984" s="82" t="s">
        <v>14580</v>
      </c>
      <c r="AX2984" s="82" t="s">
        <v>14580</v>
      </c>
      <c r="AY2984" s="77"/>
      <c r="AZ2984" s="82" t="s">
        <v>15984</v>
      </c>
      <c r="BA2984" s="82" t="s">
        <v>15984</v>
      </c>
      <c r="BB2984" s="82" t="s">
        <v>15984</v>
      </c>
      <c r="BC2984" s="82" t="s">
        <v>14580</v>
      </c>
      <c r="BD2984" s="82" t="s">
        <v>15979</v>
      </c>
      <c r="BE2984" s="77"/>
      <c r="BF2984" s="77"/>
      <c r="BG2984" s="77"/>
      <c r="BH2984" s="77"/>
      <c r="BI2984" s="77"/>
    </row>
    <row r="2985" spans="1:61" x14ac:dyDescent="0.25">
      <c r="A2985" s="62" t="s">
        <v>387</v>
      </c>
      <c r="B2985" s="62" t="s">
        <v>387</v>
      </c>
      <c r="C2985" s="63"/>
      <c r="D2985" s="64"/>
      <c r="E2985" s="65"/>
      <c r="F2985" s="66"/>
      <c r="G2985" s="63"/>
      <c r="H2985" s="67"/>
      <c r="I2985" s="68"/>
      <c r="J2985" s="68"/>
      <c r="K2985" s="32"/>
      <c r="L2985" s="75">
        <v>2985</v>
      </c>
      <c r="M2985" s="75"/>
      <c r="N2985" s="70"/>
      <c r="O2985" s="77" t="s">
        <v>179</v>
      </c>
      <c r="P2985" s="79">
        <v>45124.80572916667</v>
      </c>
      <c r="Q2985" s="77" t="s">
        <v>3657</v>
      </c>
      <c r="R2985" s="77">
        <v>0</v>
      </c>
      <c r="S2985" s="77">
        <v>0</v>
      </c>
      <c r="T2985" s="77">
        <v>0</v>
      </c>
      <c r="U2985" s="77">
        <v>0</v>
      </c>
      <c r="V2985" s="77">
        <v>610</v>
      </c>
      <c r="W2985" s="82" t="s">
        <v>6179</v>
      </c>
      <c r="X2985" s="80" t="str">
        <f>HYPERLINK("https://mla.bs/6d128273")</f>
        <v>https://mla.bs/6d128273</v>
      </c>
      <c r="Y2985" s="77" t="s">
        <v>6506</v>
      </c>
      <c r="Z2985" s="77"/>
      <c r="AA2985" s="77"/>
      <c r="AB2985" s="77"/>
      <c r="AC2985" s="82" t="s">
        <v>7757</v>
      </c>
      <c r="AD2985" s="77" t="s">
        <v>7788</v>
      </c>
      <c r="AE2985" s="80" t="str">
        <f>HYPERLINK("https://twitter.com/einvestidor/status/1681021011066535936")</f>
        <v>https://twitter.com/einvestidor/status/1681021011066535936</v>
      </c>
      <c r="AF2985" s="79">
        <v>45124.80572916667</v>
      </c>
      <c r="AG2985" s="85">
        <v>45124</v>
      </c>
      <c r="AH2985" s="82" t="s">
        <v>9716</v>
      </c>
      <c r="AI2985" s="77" t="b">
        <v>0</v>
      </c>
      <c r="AJ2985" s="77"/>
      <c r="AK2985" s="77"/>
      <c r="AL2985" s="77"/>
      <c r="AM2985" s="77"/>
      <c r="AN2985" s="77"/>
      <c r="AO2985" s="77"/>
      <c r="AP2985" s="77"/>
      <c r="AQ2985" s="77"/>
      <c r="AR2985" s="77"/>
      <c r="AS2985" s="77"/>
      <c r="AT2985" s="77"/>
      <c r="AU2985" s="77"/>
      <c r="AV2985" s="80" t="str">
        <f>HYPERLINK("https://pbs.twimg.com/profile_images/1241147984924082183/gZgx_hL-_normal.jpg")</f>
        <v>https://pbs.twimg.com/profile_images/1241147984924082183/gZgx_hL-_normal.jpg</v>
      </c>
      <c r="AW2985" s="82" t="s">
        <v>14581</v>
      </c>
      <c r="AX2985" s="82" t="s">
        <v>14581</v>
      </c>
      <c r="AY2985" s="77"/>
      <c r="AZ2985" s="82" t="s">
        <v>15984</v>
      </c>
      <c r="BA2985" s="82" t="s">
        <v>15984</v>
      </c>
      <c r="BB2985" s="82" t="s">
        <v>15984</v>
      </c>
      <c r="BC2985" s="82" t="s">
        <v>14581</v>
      </c>
      <c r="BD2985" s="82" t="s">
        <v>15979</v>
      </c>
      <c r="BE2985" s="77"/>
      <c r="BF2985" s="77"/>
      <c r="BG2985" s="77"/>
      <c r="BH2985" s="77"/>
      <c r="BI2985" s="77"/>
    </row>
    <row r="2986" spans="1:61" x14ac:dyDescent="0.25">
      <c r="A2986" s="62" t="s">
        <v>387</v>
      </c>
      <c r="B2986" s="62" t="s">
        <v>387</v>
      </c>
      <c r="C2986" s="63"/>
      <c r="D2986" s="64"/>
      <c r="E2986" s="65"/>
      <c r="F2986" s="66"/>
      <c r="G2986" s="63"/>
      <c r="H2986" s="67"/>
      <c r="I2986" s="68"/>
      <c r="J2986" s="68"/>
      <c r="K2986" s="32"/>
      <c r="L2986" s="75">
        <v>2986</v>
      </c>
      <c r="M2986" s="75"/>
      <c r="N2986" s="70"/>
      <c r="O2986" s="77" t="s">
        <v>179</v>
      </c>
      <c r="P2986" s="79">
        <v>45124.792280092595</v>
      </c>
      <c r="Q2986" s="77" t="s">
        <v>3658</v>
      </c>
      <c r="R2986" s="77">
        <v>0</v>
      </c>
      <c r="S2986" s="77">
        <v>0</v>
      </c>
      <c r="T2986" s="77">
        <v>0</v>
      </c>
      <c r="U2986" s="77">
        <v>0</v>
      </c>
      <c r="V2986" s="77">
        <v>519</v>
      </c>
      <c r="W2986" s="82" t="s">
        <v>6180</v>
      </c>
      <c r="X2986" s="80" t="str">
        <f>HYPERLINK("https://mla.bs/abacb6ab")</f>
        <v>https://mla.bs/abacb6ab</v>
      </c>
      <c r="Y2986" s="77" t="s">
        <v>6506</v>
      </c>
      <c r="Z2986" s="77"/>
      <c r="AA2986" s="77"/>
      <c r="AB2986" s="77"/>
      <c r="AC2986" s="82" t="s">
        <v>7757</v>
      </c>
      <c r="AD2986" s="77" t="s">
        <v>7788</v>
      </c>
      <c r="AE2986" s="80" t="str">
        <f>HYPERLINK("https://twitter.com/einvestidor/status/1681016135062286336")</f>
        <v>https://twitter.com/einvestidor/status/1681016135062286336</v>
      </c>
      <c r="AF2986" s="79">
        <v>45124.792280092595</v>
      </c>
      <c r="AG2986" s="85">
        <v>45124</v>
      </c>
      <c r="AH2986" s="82" t="s">
        <v>9901</v>
      </c>
      <c r="AI2986" s="77" t="b">
        <v>0</v>
      </c>
      <c r="AJ2986" s="77"/>
      <c r="AK2986" s="77"/>
      <c r="AL2986" s="77"/>
      <c r="AM2986" s="77"/>
      <c r="AN2986" s="77"/>
      <c r="AO2986" s="77"/>
      <c r="AP2986" s="77"/>
      <c r="AQ2986" s="77"/>
      <c r="AR2986" s="77"/>
      <c r="AS2986" s="77"/>
      <c r="AT2986" s="77"/>
      <c r="AU2986" s="77"/>
      <c r="AV2986" s="80" t="str">
        <f>HYPERLINK("https://pbs.twimg.com/profile_images/1241147984924082183/gZgx_hL-_normal.jpg")</f>
        <v>https://pbs.twimg.com/profile_images/1241147984924082183/gZgx_hL-_normal.jpg</v>
      </c>
      <c r="AW2986" s="82" t="s">
        <v>14582</v>
      </c>
      <c r="AX2986" s="82" t="s">
        <v>14582</v>
      </c>
      <c r="AY2986" s="77"/>
      <c r="AZ2986" s="82" t="s">
        <v>15984</v>
      </c>
      <c r="BA2986" s="82" t="s">
        <v>15984</v>
      </c>
      <c r="BB2986" s="82" t="s">
        <v>15984</v>
      </c>
      <c r="BC2986" s="82" t="s">
        <v>14582</v>
      </c>
      <c r="BD2986" s="82" t="s">
        <v>15979</v>
      </c>
      <c r="BE2986" s="77"/>
      <c r="BF2986" s="77"/>
      <c r="BG2986" s="77"/>
      <c r="BH2986" s="77"/>
      <c r="BI2986" s="77"/>
    </row>
    <row r="2987" spans="1:61" x14ac:dyDescent="0.25">
      <c r="A2987" s="62" t="s">
        <v>387</v>
      </c>
      <c r="B2987" s="62" t="s">
        <v>387</v>
      </c>
      <c r="C2987" s="63"/>
      <c r="D2987" s="64"/>
      <c r="E2987" s="65"/>
      <c r="F2987" s="66"/>
      <c r="G2987" s="63"/>
      <c r="H2987" s="67"/>
      <c r="I2987" s="68"/>
      <c r="J2987" s="68"/>
      <c r="K2987" s="32"/>
      <c r="L2987" s="75">
        <v>2987</v>
      </c>
      <c r="M2987" s="75"/>
      <c r="N2987" s="70"/>
      <c r="O2987" s="77" t="s">
        <v>179</v>
      </c>
      <c r="P2987" s="79">
        <v>45124.77783564815</v>
      </c>
      <c r="Q2987" s="77" t="s">
        <v>3659</v>
      </c>
      <c r="R2987" s="77">
        <v>0</v>
      </c>
      <c r="S2987" s="77">
        <v>1</v>
      </c>
      <c r="T2987" s="77">
        <v>0</v>
      </c>
      <c r="U2987" s="77">
        <v>0</v>
      </c>
      <c r="V2987" s="77">
        <v>514</v>
      </c>
      <c r="W2987" s="82" t="s">
        <v>4833</v>
      </c>
      <c r="X2987" s="80" t="str">
        <f>HYPERLINK("https://mla.bs/ac0076df")</f>
        <v>https://mla.bs/ac0076df</v>
      </c>
      <c r="Y2987" s="77" t="s">
        <v>6506</v>
      </c>
      <c r="Z2987" s="77"/>
      <c r="AA2987" s="77"/>
      <c r="AB2987" s="77"/>
      <c r="AC2987" s="82" t="s">
        <v>7757</v>
      </c>
      <c r="AD2987" s="77" t="s">
        <v>7788</v>
      </c>
      <c r="AE2987" s="80" t="str">
        <f>HYPERLINK("https://twitter.com/einvestidor/status/1681010902974201856")</f>
        <v>https://twitter.com/einvestidor/status/1681010902974201856</v>
      </c>
      <c r="AF2987" s="79">
        <v>45124.77783564815</v>
      </c>
      <c r="AG2987" s="85">
        <v>45124</v>
      </c>
      <c r="AH2987" s="82" t="s">
        <v>9902</v>
      </c>
      <c r="AI2987" s="77" t="b">
        <v>0</v>
      </c>
      <c r="AJ2987" s="77"/>
      <c r="AK2987" s="77"/>
      <c r="AL2987" s="77"/>
      <c r="AM2987" s="77"/>
      <c r="AN2987" s="77"/>
      <c r="AO2987" s="77"/>
      <c r="AP2987" s="77"/>
      <c r="AQ2987" s="77"/>
      <c r="AR2987" s="77"/>
      <c r="AS2987" s="77"/>
      <c r="AT2987" s="77"/>
      <c r="AU2987" s="77"/>
      <c r="AV2987" s="80" t="str">
        <f>HYPERLINK("https://pbs.twimg.com/profile_images/1241147984924082183/gZgx_hL-_normal.jpg")</f>
        <v>https://pbs.twimg.com/profile_images/1241147984924082183/gZgx_hL-_normal.jpg</v>
      </c>
      <c r="AW2987" s="82" t="s">
        <v>14583</v>
      </c>
      <c r="AX2987" s="82" t="s">
        <v>14583</v>
      </c>
      <c r="AY2987" s="77"/>
      <c r="AZ2987" s="82" t="s">
        <v>15984</v>
      </c>
      <c r="BA2987" s="82" t="s">
        <v>15984</v>
      </c>
      <c r="BB2987" s="82" t="s">
        <v>15984</v>
      </c>
      <c r="BC2987" s="82" t="s">
        <v>14583</v>
      </c>
      <c r="BD2987" s="82" t="s">
        <v>15979</v>
      </c>
      <c r="BE2987" s="77"/>
      <c r="BF2987" s="77"/>
      <c r="BG2987" s="77"/>
      <c r="BH2987" s="77"/>
      <c r="BI2987" s="77"/>
    </row>
    <row r="2988" spans="1:61" x14ac:dyDescent="0.25">
      <c r="A2988" s="62" t="s">
        <v>387</v>
      </c>
      <c r="B2988" s="62" t="s">
        <v>387</v>
      </c>
      <c r="C2988" s="63"/>
      <c r="D2988" s="64"/>
      <c r="E2988" s="65"/>
      <c r="F2988" s="66"/>
      <c r="G2988" s="63"/>
      <c r="H2988" s="67"/>
      <c r="I2988" s="68"/>
      <c r="J2988" s="68"/>
      <c r="K2988" s="32"/>
      <c r="L2988" s="75">
        <v>2988</v>
      </c>
      <c r="M2988" s="75"/>
      <c r="N2988" s="70"/>
      <c r="O2988" s="77" t="s">
        <v>179</v>
      </c>
      <c r="P2988" s="79">
        <v>45189.472384259258</v>
      </c>
      <c r="Q2988" s="77" t="s">
        <v>3660</v>
      </c>
      <c r="R2988" s="77">
        <v>1</v>
      </c>
      <c r="S2988" s="77">
        <v>3</v>
      </c>
      <c r="T2988" s="77">
        <v>0</v>
      </c>
      <c r="U2988" s="77">
        <v>0</v>
      </c>
      <c r="V2988" s="77">
        <v>492</v>
      </c>
      <c r="W2988" s="82" t="s">
        <v>5076</v>
      </c>
      <c r="X2988" s="80" t="str">
        <f>HYPERLINK("https://einvestidor.estadao.com.br/mercado/mercado-hoje-atencoes-concentram-decisoes-politica-monetaria-brasil-eua-china/?utm_source=twitter&amp;utm_medium=organic&amp;utm_campaign=mercado-hoje&amp;utm_content=materia")</f>
        <v>https://einvestidor.estadao.com.br/mercado/mercado-hoje-atencoes-concentram-decisoes-politica-monetaria-brasil-eua-china/?utm_source=twitter&amp;utm_medium=organic&amp;utm_campaign=mercado-hoje&amp;utm_content=materia</v>
      </c>
      <c r="Y2988" s="77" t="s">
        <v>6470</v>
      </c>
      <c r="Z2988" s="77"/>
      <c r="AA2988" s="77" t="s">
        <v>7612</v>
      </c>
      <c r="AB2988" s="77" t="s">
        <v>7742</v>
      </c>
      <c r="AC2988" s="82" t="s">
        <v>7750</v>
      </c>
      <c r="AD2988" s="77" t="s">
        <v>7788</v>
      </c>
      <c r="AE2988" s="80" t="str">
        <f>HYPERLINK("https://twitter.com/einvestidor/status/1704455422097199612")</f>
        <v>https://twitter.com/einvestidor/status/1704455422097199612</v>
      </c>
      <c r="AF2988" s="79">
        <v>45189.472384259258</v>
      </c>
      <c r="AG2988" s="85">
        <v>45189</v>
      </c>
      <c r="AH2988" s="82" t="s">
        <v>9903</v>
      </c>
      <c r="AI2988" s="77" t="b">
        <v>0</v>
      </c>
      <c r="AJ2988" s="77"/>
      <c r="AK2988" s="77"/>
      <c r="AL2988" s="77"/>
      <c r="AM2988" s="77"/>
      <c r="AN2988" s="77"/>
      <c r="AO2988" s="77"/>
      <c r="AP2988" s="77"/>
      <c r="AQ2988" s="77" t="s">
        <v>11584</v>
      </c>
      <c r="AR2988" s="77"/>
      <c r="AS2988" s="77"/>
      <c r="AT2988" s="77"/>
      <c r="AU2988" s="77"/>
      <c r="AV2988" s="80" t="str">
        <f>HYPERLINK("https://pbs.twimg.com/media/F6dxFxGWsAA9Q9C.png")</f>
        <v>https://pbs.twimg.com/media/F6dxFxGWsAA9Q9C.png</v>
      </c>
      <c r="AW2988" s="82" t="s">
        <v>14584</v>
      </c>
      <c r="AX2988" s="82" t="s">
        <v>14584</v>
      </c>
      <c r="AY2988" s="77"/>
      <c r="AZ2988" s="82" t="s">
        <v>15984</v>
      </c>
      <c r="BA2988" s="82" t="s">
        <v>15984</v>
      </c>
      <c r="BB2988" s="82" t="s">
        <v>15984</v>
      </c>
      <c r="BC2988" s="82" t="s">
        <v>14584</v>
      </c>
      <c r="BD2988" s="82" t="s">
        <v>15979</v>
      </c>
      <c r="BE2988" s="77"/>
      <c r="BF2988" s="77"/>
      <c r="BG2988" s="77"/>
      <c r="BH2988" s="77"/>
      <c r="BI2988" s="77"/>
    </row>
    <row r="2989" spans="1:61" x14ac:dyDescent="0.25">
      <c r="A2989" s="62" t="s">
        <v>387</v>
      </c>
      <c r="B2989" s="62" t="s">
        <v>387</v>
      </c>
      <c r="C2989" s="63"/>
      <c r="D2989" s="64"/>
      <c r="E2989" s="65"/>
      <c r="F2989" s="66"/>
      <c r="G2989" s="63"/>
      <c r="H2989" s="67"/>
      <c r="I2989" s="68"/>
      <c r="J2989" s="68"/>
      <c r="K2989" s="32"/>
      <c r="L2989" s="75">
        <v>2989</v>
      </c>
      <c r="M2989" s="75"/>
      <c r="N2989" s="70"/>
      <c r="O2989" s="77" t="s">
        <v>179</v>
      </c>
      <c r="P2989" s="79">
        <v>45188.822916666664</v>
      </c>
      <c r="Q2989" s="77" t="s">
        <v>3661</v>
      </c>
      <c r="R2989" s="77">
        <v>0</v>
      </c>
      <c r="S2989" s="77">
        <v>4</v>
      </c>
      <c r="T2989" s="77">
        <v>0</v>
      </c>
      <c r="U2989" s="77">
        <v>0</v>
      </c>
      <c r="V2989" s="77">
        <v>406</v>
      </c>
      <c r="W2989" s="82" t="s">
        <v>6181</v>
      </c>
      <c r="X2989" s="80" t="str">
        <f>HYPERLINK("https://einvestidor.estadao.com.br/radar-einvestidor/sabesp-sbsp3-decisao-sobre-privatizacao-acoes-reagem/?utm_source=twitter&amp;utm_medium=organic&amp;utm_campaign=&amp;utm_content=materia")</f>
        <v>https://einvestidor.estadao.com.br/radar-einvestidor/sabesp-sbsp3-decisao-sobre-privatizacao-acoes-reagem/?utm_source=twitter&amp;utm_medium=organic&amp;utm_campaign=&amp;utm_content=materia</v>
      </c>
      <c r="Y2989" s="77" t="s">
        <v>6470</v>
      </c>
      <c r="Z2989" s="77"/>
      <c r="AA2989" s="77"/>
      <c r="AB2989" s="77"/>
      <c r="AC2989" s="82" t="s">
        <v>7750</v>
      </c>
      <c r="AD2989" s="77" t="s">
        <v>7788</v>
      </c>
      <c r="AE2989" s="80" t="str">
        <f>HYPERLINK("https://twitter.com/einvestidor/status/1704220061668667755")</f>
        <v>https://twitter.com/einvestidor/status/1704220061668667755</v>
      </c>
      <c r="AF2989" s="79">
        <v>45188.822916666664</v>
      </c>
      <c r="AG2989" s="85">
        <v>45188</v>
      </c>
      <c r="AH2989" s="82" t="s">
        <v>9579</v>
      </c>
      <c r="AI2989" s="77" t="b">
        <v>0</v>
      </c>
      <c r="AJ2989" s="77"/>
      <c r="AK2989" s="77"/>
      <c r="AL2989" s="77"/>
      <c r="AM2989" s="77"/>
      <c r="AN2989" s="77"/>
      <c r="AO2989" s="77"/>
      <c r="AP2989" s="77"/>
      <c r="AQ2989" s="77"/>
      <c r="AR2989" s="77"/>
      <c r="AS2989" s="77"/>
      <c r="AT2989" s="77"/>
      <c r="AU2989" s="77"/>
      <c r="AV2989" s="80" t="str">
        <f>HYPERLINK("https://pbs.twimg.com/profile_images/1241147984924082183/gZgx_hL-_normal.jpg")</f>
        <v>https://pbs.twimg.com/profile_images/1241147984924082183/gZgx_hL-_normal.jpg</v>
      </c>
      <c r="AW2989" s="82" t="s">
        <v>14585</v>
      </c>
      <c r="AX2989" s="82" t="s">
        <v>14585</v>
      </c>
      <c r="AY2989" s="77"/>
      <c r="AZ2989" s="82" t="s">
        <v>15984</v>
      </c>
      <c r="BA2989" s="82" t="s">
        <v>15984</v>
      </c>
      <c r="BB2989" s="82" t="s">
        <v>15984</v>
      </c>
      <c r="BC2989" s="82" t="s">
        <v>14585</v>
      </c>
      <c r="BD2989" s="82" t="s">
        <v>15979</v>
      </c>
      <c r="BE2989" s="77"/>
      <c r="BF2989" s="77"/>
      <c r="BG2989" s="77"/>
      <c r="BH2989" s="77"/>
      <c r="BI2989" s="77"/>
    </row>
    <row r="2990" spans="1:61" x14ac:dyDescent="0.25">
      <c r="A2990" s="62" t="s">
        <v>387</v>
      </c>
      <c r="B2990" s="62" t="s">
        <v>387</v>
      </c>
      <c r="C2990" s="63"/>
      <c r="D2990" s="64"/>
      <c r="E2990" s="65"/>
      <c r="F2990" s="66"/>
      <c r="G2990" s="63"/>
      <c r="H2990" s="67"/>
      <c r="I2990" s="68"/>
      <c r="J2990" s="68"/>
      <c r="K2990" s="32"/>
      <c r="L2990" s="75">
        <v>2990</v>
      </c>
      <c r="M2990" s="75"/>
      <c r="N2990" s="70"/>
      <c r="O2990" s="77" t="s">
        <v>179</v>
      </c>
      <c r="P2990" s="79">
        <v>45188.8125</v>
      </c>
      <c r="Q2990" s="77" t="s">
        <v>3662</v>
      </c>
      <c r="R2990" s="77">
        <v>0</v>
      </c>
      <c r="S2990" s="77">
        <v>0</v>
      </c>
      <c r="T2990" s="77">
        <v>0</v>
      </c>
      <c r="U2990" s="77">
        <v>0</v>
      </c>
      <c r="V2990" s="77">
        <v>412</v>
      </c>
      <c r="W2990" s="82" t="s">
        <v>5907</v>
      </c>
      <c r="X2990" s="80" t="str">
        <f>HYPERLINK("https://einvestidor.estadao.com.br/ultimas/vale3-vale-acoes-operam-queda-junto-fechamento-minerio//?utm_source=twitter&amp;utm_medium=organic&amp;utm_campaign=&amp;utm_content=materia")</f>
        <v>https://einvestidor.estadao.com.br/ultimas/vale3-vale-acoes-operam-queda-junto-fechamento-minerio//?utm_source=twitter&amp;utm_medium=organic&amp;utm_campaign=&amp;utm_content=materia</v>
      </c>
      <c r="Y2990" s="77" t="s">
        <v>6470</v>
      </c>
      <c r="Z2990" s="77"/>
      <c r="AA2990" s="77"/>
      <c r="AB2990" s="77"/>
      <c r="AC2990" s="82" t="s">
        <v>7750</v>
      </c>
      <c r="AD2990" s="77" t="s">
        <v>7788</v>
      </c>
      <c r="AE2990" s="80" t="str">
        <f>HYPERLINK("https://twitter.com/einvestidor/status/1704216286753083446")</f>
        <v>https://twitter.com/einvestidor/status/1704216286753083446</v>
      </c>
      <c r="AF2990" s="79">
        <v>45188.8125</v>
      </c>
      <c r="AG2990" s="85">
        <v>45188</v>
      </c>
      <c r="AH2990" s="82" t="s">
        <v>8281</v>
      </c>
      <c r="AI2990" s="77" t="b">
        <v>0</v>
      </c>
      <c r="AJ2990" s="77"/>
      <c r="AK2990" s="77"/>
      <c r="AL2990" s="77"/>
      <c r="AM2990" s="77"/>
      <c r="AN2990" s="77"/>
      <c r="AO2990" s="77"/>
      <c r="AP2990" s="77"/>
      <c r="AQ2990" s="77"/>
      <c r="AR2990" s="77"/>
      <c r="AS2990" s="77"/>
      <c r="AT2990" s="77"/>
      <c r="AU2990" s="77"/>
      <c r="AV2990" s="80" t="str">
        <f>HYPERLINK("https://pbs.twimg.com/profile_images/1241147984924082183/gZgx_hL-_normal.jpg")</f>
        <v>https://pbs.twimg.com/profile_images/1241147984924082183/gZgx_hL-_normal.jpg</v>
      </c>
      <c r="AW2990" s="82" t="s">
        <v>14586</v>
      </c>
      <c r="AX2990" s="82" t="s">
        <v>14586</v>
      </c>
      <c r="AY2990" s="77"/>
      <c r="AZ2990" s="82" t="s">
        <v>15984</v>
      </c>
      <c r="BA2990" s="82" t="s">
        <v>15984</v>
      </c>
      <c r="BB2990" s="82" t="s">
        <v>15984</v>
      </c>
      <c r="BC2990" s="82" t="s">
        <v>14586</v>
      </c>
      <c r="BD2990" s="82" t="s">
        <v>15979</v>
      </c>
      <c r="BE2990" s="77"/>
      <c r="BF2990" s="77"/>
      <c r="BG2990" s="77"/>
      <c r="BH2990" s="77"/>
      <c r="BI2990" s="77"/>
    </row>
    <row r="2991" spans="1:61" x14ac:dyDescent="0.25">
      <c r="A2991" s="62" t="s">
        <v>387</v>
      </c>
      <c r="B2991" s="62" t="s">
        <v>387</v>
      </c>
      <c r="C2991" s="63"/>
      <c r="D2991" s="64"/>
      <c r="E2991" s="65"/>
      <c r="F2991" s="66"/>
      <c r="G2991" s="63"/>
      <c r="H2991" s="67"/>
      <c r="I2991" s="68"/>
      <c r="J2991" s="68"/>
      <c r="K2991" s="32"/>
      <c r="L2991" s="75">
        <v>2991</v>
      </c>
      <c r="M2991" s="75"/>
      <c r="N2991" s="70"/>
      <c r="O2991" s="77" t="s">
        <v>179</v>
      </c>
      <c r="P2991" s="79">
        <v>45188.020833333336</v>
      </c>
      <c r="Q2991" s="77" t="s">
        <v>3663</v>
      </c>
      <c r="R2991" s="77">
        <v>0</v>
      </c>
      <c r="S2991" s="77">
        <v>2</v>
      </c>
      <c r="T2991" s="77">
        <v>0</v>
      </c>
      <c r="U2991" s="77">
        <v>0</v>
      </c>
      <c r="V2991" s="77">
        <v>724</v>
      </c>
      <c r="W2991" s="82" t="s">
        <v>6182</v>
      </c>
      <c r="X2991" s="80" t="str">
        <f>HYPERLINK("https://einvestidor.estadao.com.br/ultimas/acoes-marfrig-caem-recomendacao-jefferson-research/?utm_source=twitter&amp;utm_medium=organic&amp;utm_campaign=&amp;utm_content=materia")</f>
        <v>https://einvestidor.estadao.com.br/ultimas/acoes-marfrig-caem-recomendacao-jefferson-research/?utm_source=twitter&amp;utm_medium=organic&amp;utm_campaign=&amp;utm_content=materia</v>
      </c>
      <c r="Y2991" s="77" t="s">
        <v>6470</v>
      </c>
      <c r="Z2991" s="77"/>
      <c r="AA2991" s="77"/>
      <c r="AB2991" s="77"/>
      <c r="AC2991" s="82" t="s">
        <v>7750</v>
      </c>
      <c r="AD2991" s="77" t="s">
        <v>7788</v>
      </c>
      <c r="AE2991" s="80" t="str">
        <f>HYPERLINK("https://twitter.com/einvestidor/status/1703929397538119912")</f>
        <v>https://twitter.com/einvestidor/status/1703929397538119912</v>
      </c>
      <c r="AF2991" s="79">
        <v>45188.020833333336</v>
      </c>
      <c r="AG2991" s="85">
        <v>45188</v>
      </c>
      <c r="AH2991" s="82" t="s">
        <v>8088</v>
      </c>
      <c r="AI2991" s="77" t="b">
        <v>0</v>
      </c>
      <c r="AJ2991" s="77"/>
      <c r="AK2991" s="77"/>
      <c r="AL2991" s="77"/>
      <c r="AM2991" s="77"/>
      <c r="AN2991" s="77"/>
      <c r="AO2991" s="77"/>
      <c r="AP2991" s="77"/>
      <c r="AQ2991" s="77"/>
      <c r="AR2991" s="77"/>
      <c r="AS2991" s="77"/>
      <c r="AT2991" s="77"/>
      <c r="AU2991" s="77"/>
      <c r="AV2991" s="80" t="str">
        <f>HYPERLINK("https://pbs.twimg.com/profile_images/1241147984924082183/gZgx_hL-_normal.jpg")</f>
        <v>https://pbs.twimg.com/profile_images/1241147984924082183/gZgx_hL-_normal.jpg</v>
      </c>
      <c r="AW2991" s="82" t="s">
        <v>14587</v>
      </c>
      <c r="AX2991" s="82" t="s">
        <v>14587</v>
      </c>
      <c r="AY2991" s="77"/>
      <c r="AZ2991" s="82" t="s">
        <v>15984</v>
      </c>
      <c r="BA2991" s="82" t="s">
        <v>15984</v>
      </c>
      <c r="BB2991" s="82" t="s">
        <v>15984</v>
      </c>
      <c r="BC2991" s="82" t="s">
        <v>14587</v>
      </c>
      <c r="BD2991" s="82" t="s">
        <v>15979</v>
      </c>
      <c r="BE2991" s="77"/>
      <c r="BF2991" s="77"/>
      <c r="BG2991" s="77"/>
      <c r="BH2991" s="77"/>
      <c r="BI2991" s="77"/>
    </row>
    <row r="2992" spans="1:61" x14ac:dyDescent="0.25">
      <c r="A2992" s="62" t="s">
        <v>387</v>
      </c>
      <c r="B2992" s="62" t="s">
        <v>387</v>
      </c>
      <c r="C2992" s="63"/>
      <c r="D2992" s="64"/>
      <c r="E2992" s="65"/>
      <c r="F2992" s="66"/>
      <c r="G2992" s="63"/>
      <c r="H2992" s="67"/>
      <c r="I2992" s="68"/>
      <c r="J2992" s="68"/>
      <c r="K2992" s="32"/>
      <c r="L2992" s="75">
        <v>2992</v>
      </c>
      <c r="M2992" s="75"/>
      <c r="N2992" s="70"/>
      <c r="O2992" s="77" t="s">
        <v>179</v>
      </c>
      <c r="P2992" s="79">
        <v>45188.010416666664</v>
      </c>
      <c r="Q2992" s="77" t="s">
        <v>3664</v>
      </c>
      <c r="R2992" s="77">
        <v>0</v>
      </c>
      <c r="S2992" s="77">
        <v>0</v>
      </c>
      <c r="T2992" s="77">
        <v>0</v>
      </c>
      <c r="U2992" s="77">
        <v>0</v>
      </c>
      <c r="V2992" s="77">
        <v>589</v>
      </c>
      <c r="W2992" s="82" t="s">
        <v>6183</v>
      </c>
      <c r="X2992" s="80" t="str">
        <f>HYPERLINK("https://einvestidor.estadao.com.br/educacao-financeira/como-calcular-o-seguro-desemprego-caixa/?utm_source=twitter&amp;utm_medium=organic&amp;utm_campaign=&amp;utm_content=materia")</f>
        <v>https://einvestidor.estadao.com.br/educacao-financeira/como-calcular-o-seguro-desemprego-caixa/?utm_source=twitter&amp;utm_medium=organic&amp;utm_campaign=&amp;utm_content=materia</v>
      </c>
      <c r="Y2992" s="77" t="s">
        <v>6470</v>
      </c>
      <c r="Z2992" s="77"/>
      <c r="AA2992" s="77"/>
      <c r="AB2992" s="77"/>
      <c r="AC2992" s="82" t="s">
        <v>7750</v>
      </c>
      <c r="AD2992" s="77" t="s">
        <v>7788</v>
      </c>
      <c r="AE2992" s="80" t="str">
        <f>HYPERLINK("https://twitter.com/einvestidor/status/1703925621372702977")</f>
        <v>https://twitter.com/einvestidor/status/1703925621372702977</v>
      </c>
      <c r="AF2992" s="79">
        <v>45188.010416666664</v>
      </c>
      <c r="AG2992" s="85">
        <v>45188</v>
      </c>
      <c r="AH2992" s="82" t="s">
        <v>8119</v>
      </c>
      <c r="AI2992" s="77" t="b">
        <v>0</v>
      </c>
      <c r="AJ2992" s="77"/>
      <c r="AK2992" s="77"/>
      <c r="AL2992" s="77"/>
      <c r="AM2992" s="77"/>
      <c r="AN2992" s="77"/>
      <c r="AO2992" s="77"/>
      <c r="AP2992" s="77"/>
      <c r="AQ2992" s="77"/>
      <c r="AR2992" s="77"/>
      <c r="AS2992" s="77"/>
      <c r="AT2992" s="77"/>
      <c r="AU2992" s="77"/>
      <c r="AV2992" s="80" t="str">
        <f>HYPERLINK("https://pbs.twimg.com/profile_images/1241147984924082183/gZgx_hL-_normal.jpg")</f>
        <v>https://pbs.twimg.com/profile_images/1241147984924082183/gZgx_hL-_normal.jpg</v>
      </c>
      <c r="AW2992" s="82" t="s">
        <v>14588</v>
      </c>
      <c r="AX2992" s="82" t="s">
        <v>14588</v>
      </c>
      <c r="AY2992" s="77"/>
      <c r="AZ2992" s="82" t="s">
        <v>15984</v>
      </c>
      <c r="BA2992" s="82" t="s">
        <v>15984</v>
      </c>
      <c r="BB2992" s="82" t="s">
        <v>15984</v>
      </c>
      <c r="BC2992" s="82" t="s">
        <v>14588</v>
      </c>
      <c r="BD2992" s="82" t="s">
        <v>15979</v>
      </c>
      <c r="BE2992" s="77"/>
      <c r="BF2992" s="77"/>
      <c r="BG2992" s="77"/>
      <c r="BH2992" s="77"/>
      <c r="BI2992" s="77"/>
    </row>
    <row r="2993" spans="1:61" x14ac:dyDescent="0.25">
      <c r="A2993" s="62" t="s">
        <v>387</v>
      </c>
      <c r="B2993" s="62" t="s">
        <v>387</v>
      </c>
      <c r="C2993" s="63"/>
      <c r="D2993" s="64"/>
      <c r="E2993" s="65"/>
      <c r="F2993" s="66"/>
      <c r="G2993" s="63"/>
      <c r="H2993" s="67"/>
      <c r="I2993" s="68"/>
      <c r="J2993" s="68"/>
      <c r="K2993" s="32"/>
      <c r="L2993" s="75">
        <v>2993</v>
      </c>
      <c r="M2993" s="75"/>
      <c r="N2993" s="70"/>
      <c r="O2993" s="77" t="s">
        <v>179</v>
      </c>
      <c r="P2993" s="79">
        <v>45187.989583333336</v>
      </c>
      <c r="Q2993" s="77" t="s">
        <v>3665</v>
      </c>
      <c r="R2993" s="77">
        <v>0</v>
      </c>
      <c r="S2993" s="77">
        <v>1</v>
      </c>
      <c r="T2993" s="77">
        <v>0</v>
      </c>
      <c r="U2993" s="77">
        <v>0</v>
      </c>
      <c r="V2993" s="77">
        <v>581</v>
      </c>
      <c r="W2993" s="82" t="s">
        <v>6184</v>
      </c>
      <c r="X2993" s="80" t="str">
        <f>HYPERLINK("https://einvestidor.estadao.com.br/ultimas/juros-ficam-de-lado-cautela-antes-decisoes-monetarias/?utm_source=twitter&amp;utm_medium=organic&amp;utm_campaign=&amp;utm_content=materia")</f>
        <v>https://einvestidor.estadao.com.br/ultimas/juros-ficam-de-lado-cautela-antes-decisoes-monetarias/?utm_source=twitter&amp;utm_medium=organic&amp;utm_campaign=&amp;utm_content=materia</v>
      </c>
      <c r="Y2993" s="77" t="s">
        <v>6470</v>
      </c>
      <c r="Z2993" s="77"/>
      <c r="AA2993" s="77"/>
      <c r="AB2993" s="77"/>
      <c r="AC2993" s="82" t="s">
        <v>7750</v>
      </c>
      <c r="AD2993" s="77" t="s">
        <v>7788</v>
      </c>
      <c r="AE2993" s="80" t="str">
        <f>HYPERLINK("https://twitter.com/einvestidor/status/1703918071818186816")</f>
        <v>https://twitter.com/einvestidor/status/1703918071818186816</v>
      </c>
      <c r="AF2993" s="79">
        <v>45187.989583333336</v>
      </c>
      <c r="AG2993" s="85">
        <v>45187</v>
      </c>
      <c r="AH2993" s="82" t="s">
        <v>9620</v>
      </c>
      <c r="AI2993" s="77" t="b">
        <v>0</v>
      </c>
      <c r="AJ2993" s="77"/>
      <c r="AK2993" s="77"/>
      <c r="AL2993" s="77"/>
      <c r="AM2993" s="77"/>
      <c r="AN2993" s="77"/>
      <c r="AO2993" s="77"/>
      <c r="AP2993" s="77"/>
      <c r="AQ2993" s="77"/>
      <c r="AR2993" s="77"/>
      <c r="AS2993" s="77"/>
      <c r="AT2993" s="77"/>
      <c r="AU2993" s="77"/>
      <c r="AV2993" s="80" t="str">
        <f>HYPERLINK("https://pbs.twimg.com/profile_images/1241147984924082183/gZgx_hL-_normal.jpg")</f>
        <v>https://pbs.twimg.com/profile_images/1241147984924082183/gZgx_hL-_normal.jpg</v>
      </c>
      <c r="AW2993" s="82" t="s">
        <v>14589</v>
      </c>
      <c r="AX2993" s="82" t="s">
        <v>14589</v>
      </c>
      <c r="AY2993" s="77"/>
      <c r="AZ2993" s="82" t="s">
        <v>15984</v>
      </c>
      <c r="BA2993" s="82" t="s">
        <v>15984</v>
      </c>
      <c r="BB2993" s="82" t="s">
        <v>15984</v>
      </c>
      <c r="BC2993" s="82" t="s">
        <v>14589</v>
      </c>
      <c r="BD2993" s="82" t="s">
        <v>15979</v>
      </c>
      <c r="BE2993" s="77"/>
      <c r="BF2993" s="77"/>
      <c r="BG2993" s="77"/>
      <c r="BH2993" s="77"/>
      <c r="BI2993" s="77"/>
    </row>
    <row r="2994" spans="1:61" x14ac:dyDescent="0.25">
      <c r="A2994" s="62" t="s">
        <v>387</v>
      </c>
      <c r="B2994" s="62" t="s">
        <v>387</v>
      </c>
      <c r="C2994" s="63"/>
      <c r="D2994" s="64"/>
      <c r="E2994" s="65"/>
      <c r="F2994" s="66"/>
      <c r="G2994" s="63"/>
      <c r="H2994" s="67"/>
      <c r="I2994" s="68"/>
      <c r="J2994" s="68"/>
      <c r="K2994" s="32"/>
      <c r="L2994" s="75">
        <v>2994</v>
      </c>
      <c r="M2994" s="75"/>
      <c r="N2994" s="70"/>
      <c r="O2994" s="77" t="s">
        <v>179</v>
      </c>
      <c r="P2994" s="79">
        <v>45187.917384259257</v>
      </c>
      <c r="Q2994" s="77" t="s">
        <v>3666</v>
      </c>
      <c r="R2994" s="77">
        <v>0</v>
      </c>
      <c r="S2994" s="77">
        <v>1</v>
      </c>
      <c r="T2994" s="77">
        <v>0</v>
      </c>
      <c r="U2994" s="77">
        <v>0</v>
      </c>
      <c r="V2994" s="77">
        <v>824</v>
      </c>
      <c r="W2994" s="82" t="s">
        <v>6185</v>
      </c>
      <c r="X2994" s="80" t="str">
        <f>HYPERLINK("https://einvestidor.estadao.com.br/mercado/piores-acoes-ibovespa-via-viia3-vamos-vamo3-totvs-tots3/?utm_source=twitter&amp;utm_medium=organic&amp;utm_campaign=&amp;utm_content=materia")</f>
        <v>https://einvestidor.estadao.com.br/mercado/piores-acoes-ibovespa-via-viia3-vamos-vamo3-totvs-tots3/?utm_source=twitter&amp;utm_medium=organic&amp;utm_campaign=&amp;utm_content=materia</v>
      </c>
      <c r="Y2994" s="77" t="s">
        <v>6470</v>
      </c>
      <c r="Z2994" s="77"/>
      <c r="AA2994" s="77"/>
      <c r="AB2994" s="77"/>
      <c r="AC2994" s="82" t="s">
        <v>7750</v>
      </c>
      <c r="AD2994" s="77" t="s">
        <v>7788</v>
      </c>
      <c r="AE2994" s="80" t="str">
        <f>HYPERLINK("https://twitter.com/einvestidor/status/1703891908534157778")</f>
        <v>https://twitter.com/einvestidor/status/1703891908534157778</v>
      </c>
      <c r="AF2994" s="79">
        <v>45187.917384259257</v>
      </c>
      <c r="AG2994" s="85">
        <v>45187</v>
      </c>
      <c r="AH2994" s="82" t="s">
        <v>9904</v>
      </c>
      <c r="AI2994" s="77" t="b">
        <v>0</v>
      </c>
      <c r="AJ2994" s="77"/>
      <c r="AK2994" s="77"/>
      <c r="AL2994" s="77"/>
      <c r="AM2994" s="77"/>
      <c r="AN2994" s="77"/>
      <c r="AO2994" s="77"/>
      <c r="AP2994" s="77"/>
      <c r="AQ2994" s="77"/>
      <c r="AR2994" s="77"/>
      <c r="AS2994" s="77"/>
      <c r="AT2994" s="77"/>
      <c r="AU2994" s="77"/>
      <c r="AV2994" s="80" t="str">
        <f>HYPERLINK("https://pbs.twimg.com/profile_images/1241147984924082183/gZgx_hL-_normal.jpg")</f>
        <v>https://pbs.twimg.com/profile_images/1241147984924082183/gZgx_hL-_normal.jpg</v>
      </c>
      <c r="AW2994" s="82" t="s">
        <v>14590</v>
      </c>
      <c r="AX2994" s="82" t="s">
        <v>14590</v>
      </c>
      <c r="AY2994" s="77"/>
      <c r="AZ2994" s="82" t="s">
        <v>15984</v>
      </c>
      <c r="BA2994" s="82" t="s">
        <v>15984</v>
      </c>
      <c r="BB2994" s="82" t="s">
        <v>15984</v>
      </c>
      <c r="BC2994" s="82" t="s">
        <v>14590</v>
      </c>
      <c r="BD2994" s="82" t="s">
        <v>15979</v>
      </c>
      <c r="BE2994" s="77"/>
      <c r="BF2994" s="77"/>
      <c r="BG2994" s="77"/>
      <c r="BH2994" s="77"/>
      <c r="BI2994" s="77"/>
    </row>
    <row r="2995" spans="1:61" x14ac:dyDescent="0.25">
      <c r="A2995" s="62" t="s">
        <v>387</v>
      </c>
      <c r="B2995" s="62" t="s">
        <v>387</v>
      </c>
      <c r="C2995" s="63"/>
      <c r="D2995" s="64"/>
      <c r="E2995" s="65"/>
      <c r="F2995" s="66"/>
      <c r="G2995" s="63"/>
      <c r="H2995" s="67"/>
      <c r="I2995" s="68"/>
      <c r="J2995" s="68"/>
      <c r="K2995" s="32"/>
      <c r="L2995" s="75">
        <v>2995</v>
      </c>
      <c r="M2995" s="75"/>
      <c r="N2995" s="70"/>
      <c r="O2995" s="77" t="s">
        <v>179</v>
      </c>
      <c r="P2995" s="79">
        <v>45187.822916666664</v>
      </c>
      <c r="Q2995" s="77" t="s">
        <v>3667</v>
      </c>
      <c r="R2995" s="77">
        <v>0</v>
      </c>
      <c r="S2995" s="77">
        <v>1</v>
      </c>
      <c r="T2995" s="77">
        <v>0</v>
      </c>
      <c r="U2995" s="77">
        <v>0</v>
      </c>
      <c r="V2995" s="77">
        <v>448</v>
      </c>
      <c r="W2995" s="82" t="s">
        <v>6186</v>
      </c>
      <c r="X2995" s="80" t="str">
        <f>HYPERLINK("https://einvestidor.estadao.com.br/ultimas/cvm-multas-segundo-trimestre-2023//?utm_source=twitter&amp;utm_medium=organic&amp;utm_campaign=&amp;utm_content=materia")</f>
        <v>https://einvestidor.estadao.com.br/ultimas/cvm-multas-segundo-trimestre-2023//?utm_source=twitter&amp;utm_medium=organic&amp;utm_campaign=&amp;utm_content=materia</v>
      </c>
      <c r="Y2995" s="77" t="s">
        <v>6470</v>
      </c>
      <c r="Z2995" s="77"/>
      <c r="AA2995" s="77"/>
      <c r="AB2995" s="77"/>
      <c r="AC2995" s="82" t="s">
        <v>7750</v>
      </c>
      <c r="AD2995" s="77" t="s">
        <v>7788</v>
      </c>
      <c r="AE2995" s="80" t="str">
        <f>HYPERLINK("https://twitter.com/einvestidor/status/1703857674172137767")</f>
        <v>https://twitter.com/einvestidor/status/1703857674172137767</v>
      </c>
      <c r="AF2995" s="79">
        <v>45187.822916666664</v>
      </c>
      <c r="AG2995" s="85">
        <v>45187</v>
      </c>
      <c r="AH2995" s="82" t="s">
        <v>9579</v>
      </c>
      <c r="AI2995" s="77" t="b">
        <v>0</v>
      </c>
      <c r="AJ2995" s="77"/>
      <c r="AK2995" s="77"/>
      <c r="AL2995" s="77"/>
      <c r="AM2995" s="77"/>
      <c r="AN2995" s="77"/>
      <c r="AO2995" s="77"/>
      <c r="AP2995" s="77"/>
      <c r="AQ2995" s="77"/>
      <c r="AR2995" s="77"/>
      <c r="AS2995" s="77"/>
      <c r="AT2995" s="77"/>
      <c r="AU2995" s="77"/>
      <c r="AV2995" s="80" t="str">
        <f>HYPERLINK("https://pbs.twimg.com/profile_images/1241147984924082183/gZgx_hL-_normal.jpg")</f>
        <v>https://pbs.twimg.com/profile_images/1241147984924082183/gZgx_hL-_normal.jpg</v>
      </c>
      <c r="AW2995" s="82" t="s">
        <v>14591</v>
      </c>
      <c r="AX2995" s="82" t="s">
        <v>14591</v>
      </c>
      <c r="AY2995" s="77"/>
      <c r="AZ2995" s="82" t="s">
        <v>15984</v>
      </c>
      <c r="BA2995" s="82" t="s">
        <v>15984</v>
      </c>
      <c r="BB2995" s="82" t="s">
        <v>15984</v>
      </c>
      <c r="BC2995" s="82" t="s">
        <v>14591</v>
      </c>
      <c r="BD2995" s="82" t="s">
        <v>15979</v>
      </c>
      <c r="BE2995" s="77"/>
      <c r="BF2995" s="77"/>
      <c r="BG2995" s="77"/>
      <c r="BH2995" s="77"/>
      <c r="BI2995" s="77"/>
    </row>
    <row r="2996" spans="1:61" x14ac:dyDescent="0.25">
      <c r="A2996" s="62" t="s">
        <v>387</v>
      </c>
      <c r="B2996" s="62" t="s">
        <v>387</v>
      </c>
      <c r="C2996" s="63"/>
      <c r="D2996" s="64"/>
      <c r="E2996" s="65"/>
      <c r="F2996" s="66"/>
      <c r="G2996" s="63"/>
      <c r="H2996" s="67"/>
      <c r="I2996" s="68"/>
      <c r="J2996" s="68"/>
      <c r="K2996" s="32"/>
      <c r="L2996" s="75">
        <v>2996</v>
      </c>
      <c r="M2996" s="75"/>
      <c r="N2996" s="70"/>
      <c r="O2996" s="77" t="s">
        <v>179</v>
      </c>
      <c r="P2996" s="79">
        <v>45187.8125</v>
      </c>
      <c r="Q2996" s="77" t="s">
        <v>3668</v>
      </c>
      <c r="R2996" s="77">
        <v>0</v>
      </c>
      <c r="S2996" s="77">
        <v>1</v>
      </c>
      <c r="T2996" s="77">
        <v>0</v>
      </c>
      <c r="U2996" s="77">
        <v>0</v>
      </c>
      <c r="V2996" s="77">
        <v>504</v>
      </c>
      <c r="W2996" s="82" t="s">
        <v>6187</v>
      </c>
      <c r="X2996" s="80" t="str">
        <f>HYPERLINK("https://einvestidor.estadao.com.br/ultimas/3r-petroleum-rrrp3-obtem-aval-emitir-debentures//?utm_source=twitter&amp;utm_medium=organic&amp;utm_campaign=&amp;utm_content=materia")</f>
        <v>https://einvestidor.estadao.com.br/ultimas/3r-petroleum-rrrp3-obtem-aval-emitir-debentures//?utm_source=twitter&amp;utm_medium=organic&amp;utm_campaign=&amp;utm_content=materia</v>
      </c>
      <c r="Y2996" s="77" t="s">
        <v>6470</v>
      </c>
      <c r="Z2996" s="77"/>
      <c r="AA2996" s="77"/>
      <c r="AB2996" s="77"/>
      <c r="AC2996" s="82" t="s">
        <v>7750</v>
      </c>
      <c r="AD2996" s="77" t="s">
        <v>7788</v>
      </c>
      <c r="AE2996" s="80" t="str">
        <f>HYPERLINK("https://twitter.com/einvestidor/status/1703853898707165647")</f>
        <v>https://twitter.com/einvestidor/status/1703853898707165647</v>
      </c>
      <c r="AF2996" s="79">
        <v>45187.8125</v>
      </c>
      <c r="AG2996" s="85">
        <v>45187</v>
      </c>
      <c r="AH2996" s="82" t="s">
        <v>8281</v>
      </c>
      <c r="AI2996" s="77" t="b">
        <v>0</v>
      </c>
      <c r="AJ2996" s="77"/>
      <c r="AK2996" s="77"/>
      <c r="AL2996" s="77"/>
      <c r="AM2996" s="77"/>
      <c r="AN2996" s="77"/>
      <c r="AO2996" s="77"/>
      <c r="AP2996" s="77"/>
      <c r="AQ2996" s="77"/>
      <c r="AR2996" s="77"/>
      <c r="AS2996" s="77"/>
      <c r="AT2996" s="77"/>
      <c r="AU2996" s="77"/>
      <c r="AV2996" s="80" t="str">
        <f>HYPERLINK("https://pbs.twimg.com/profile_images/1241147984924082183/gZgx_hL-_normal.jpg")</f>
        <v>https://pbs.twimg.com/profile_images/1241147984924082183/gZgx_hL-_normal.jpg</v>
      </c>
      <c r="AW2996" s="82" t="s">
        <v>14592</v>
      </c>
      <c r="AX2996" s="82" t="s">
        <v>14592</v>
      </c>
      <c r="AY2996" s="77"/>
      <c r="AZ2996" s="82" t="s">
        <v>15984</v>
      </c>
      <c r="BA2996" s="82" t="s">
        <v>15984</v>
      </c>
      <c r="BB2996" s="82" t="s">
        <v>15984</v>
      </c>
      <c r="BC2996" s="82" t="s">
        <v>14592</v>
      </c>
      <c r="BD2996" s="82" t="s">
        <v>15979</v>
      </c>
      <c r="BE2996" s="77"/>
      <c r="BF2996" s="77"/>
      <c r="BG2996" s="77"/>
      <c r="BH2996" s="77"/>
      <c r="BI2996" s="77"/>
    </row>
    <row r="2997" spans="1:61" x14ac:dyDescent="0.25">
      <c r="A2997" s="62" t="s">
        <v>387</v>
      </c>
      <c r="B2997" s="62" t="s">
        <v>387</v>
      </c>
      <c r="C2997" s="63"/>
      <c r="D2997" s="64"/>
      <c r="E2997" s="65"/>
      <c r="F2997" s="66"/>
      <c r="G2997" s="63"/>
      <c r="H2997" s="67"/>
      <c r="I2997" s="68"/>
      <c r="J2997" s="68"/>
      <c r="K2997" s="32"/>
      <c r="L2997" s="75">
        <v>2997</v>
      </c>
      <c r="M2997" s="75"/>
      <c r="N2997" s="70"/>
      <c r="O2997" s="77" t="s">
        <v>898</v>
      </c>
      <c r="P2997" s="79">
        <v>45184.739583333336</v>
      </c>
      <c r="Q2997" s="77" t="s">
        <v>3669</v>
      </c>
      <c r="R2997" s="77">
        <v>0</v>
      </c>
      <c r="S2997" s="77">
        <v>1</v>
      </c>
      <c r="T2997" s="77">
        <v>0</v>
      </c>
      <c r="U2997" s="77">
        <v>0</v>
      </c>
      <c r="V2997" s="77">
        <v>365</v>
      </c>
      <c r="W2997" s="82" t="s">
        <v>6188</v>
      </c>
      <c r="X2997" s="80" t="str">
        <f>HYPERLINK("https://einvestidor.estadao.com.br/investimentos/fundos-imobiliarios-fiis-baratos-rentaveis-selic/?utm_source=twitter&amp;utm_medium=organic&amp;utm_campaign=&amp;utm_content=materia")</f>
        <v>https://einvestidor.estadao.com.br/investimentos/fundos-imobiliarios-fiis-baratos-rentaveis-selic/?utm_source=twitter&amp;utm_medium=organic&amp;utm_campaign=&amp;utm_content=materia</v>
      </c>
      <c r="Y2997" s="77" t="s">
        <v>6470</v>
      </c>
      <c r="Z2997" s="77"/>
      <c r="AA2997" s="77"/>
      <c r="AB2997" s="77"/>
      <c r="AC2997" s="82" t="s">
        <v>7750</v>
      </c>
      <c r="AD2997" s="77" t="s">
        <v>7788</v>
      </c>
      <c r="AE2997" s="80" t="str">
        <f>HYPERLINK("https://twitter.com/einvestidor/status/1702740311523369164")</f>
        <v>https://twitter.com/einvestidor/status/1702740311523369164</v>
      </c>
      <c r="AF2997" s="79">
        <v>45184.739583333336</v>
      </c>
      <c r="AG2997" s="85">
        <v>45184</v>
      </c>
      <c r="AH2997" s="82" t="s">
        <v>9626</v>
      </c>
      <c r="AI2997" s="77" t="b">
        <v>0</v>
      </c>
      <c r="AJ2997" s="77"/>
      <c r="AK2997" s="77"/>
      <c r="AL2997" s="77"/>
      <c r="AM2997" s="77"/>
      <c r="AN2997" s="77"/>
      <c r="AO2997" s="77"/>
      <c r="AP2997" s="77"/>
      <c r="AQ2997" s="77"/>
      <c r="AR2997" s="77"/>
      <c r="AS2997" s="77"/>
      <c r="AT2997" s="77"/>
      <c r="AU2997" s="77"/>
      <c r="AV2997" s="80" t="str">
        <f>HYPERLINK("https://pbs.twimg.com/profile_images/1241147984924082183/gZgx_hL-_normal.jpg")</f>
        <v>https://pbs.twimg.com/profile_images/1241147984924082183/gZgx_hL-_normal.jpg</v>
      </c>
      <c r="AW2997" s="82" t="s">
        <v>14593</v>
      </c>
      <c r="AX2997" s="82" t="s">
        <v>15160</v>
      </c>
      <c r="AY2997" s="82" t="s">
        <v>15979</v>
      </c>
      <c r="AZ2997" s="82" t="s">
        <v>15160</v>
      </c>
      <c r="BA2997" s="82" t="s">
        <v>15984</v>
      </c>
      <c r="BB2997" s="82" t="s">
        <v>15984</v>
      </c>
      <c r="BC2997" s="82" t="s">
        <v>15160</v>
      </c>
      <c r="BD2997" s="82" t="s">
        <v>15979</v>
      </c>
      <c r="BE2997" s="77"/>
      <c r="BF2997" s="77"/>
      <c r="BG2997" s="77"/>
      <c r="BH2997" s="77"/>
      <c r="BI2997" s="77"/>
    </row>
    <row r="2998" spans="1:61" x14ac:dyDescent="0.25">
      <c r="A2998" s="62" t="s">
        <v>387</v>
      </c>
      <c r="B2998" s="62" t="s">
        <v>387</v>
      </c>
      <c r="C2998" s="63"/>
      <c r="D2998" s="64"/>
      <c r="E2998" s="65"/>
      <c r="F2998" s="66"/>
      <c r="G2998" s="63"/>
      <c r="H2998" s="67"/>
      <c r="I2998" s="68"/>
      <c r="J2998" s="68"/>
      <c r="K2998" s="32"/>
      <c r="L2998" s="75">
        <v>2998</v>
      </c>
      <c r="M2998" s="75"/>
      <c r="N2998" s="70"/>
      <c r="O2998" s="77" t="s">
        <v>179</v>
      </c>
      <c r="P2998" s="79">
        <v>45183.481817129628</v>
      </c>
      <c r="Q2998" s="77" t="s">
        <v>3670</v>
      </c>
      <c r="R2998" s="77">
        <v>0</v>
      </c>
      <c r="S2998" s="77">
        <v>2</v>
      </c>
      <c r="T2998" s="77">
        <v>0</v>
      </c>
      <c r="U2998" s="77">
        <v>0</v>
      </c>
      <c r="V2998" s="77">
        <v>492</v>
      </c>
      <c r="W2998" s="82" t="s">
        <v>4839</v>
      </c>
      <c r="X2998" s="80" t="str">
        <f>HYPERLINK("https://einvestidor.estadao.com.br/mercado/mercado-hoje-juros-europa-eua-agenda-do-dia/?utm_source=twitter&amp;utm_medium=organic&amp;utm_campaign=mercado-hoje&amp;utm_content=materia")</f>
        <v>https://einvestidor.estadao.com.br/mercado/mercado-hoje-juros-europa-eua-agenda-do-dia/?utm_source=twitter&amp;utm_medium=organic&amp;utm_campaign=mercado-hoje&amp;utm_content=materia</v>
      </c>
      <c r="Y2998" s="77" t="s">
        <v>6470</v>
      </c>
      <c r="Z2998" s="77"/>
      <c r="AA2998" s="77"/>
      <c r="AB2998" s="77"/>
      <c r="AC2998" s="82" t="s">
        <v>7750</v>
      </c>
      <c r="AD2998" s="77" t="s">
        <v>7788</v>
      </c>
      <c r="AE2998" s="80" t="str">
        <f>HYPERLINK("https://twitter.com/einvestidor/status/1702284514448257389")</f>
        <v>https://twitter.com/einvestidor/status/1702284514448257389</v>
      </c>
      <c r="AF2998" s="79">
        <v>45183.481817129628</v>
      </c>
      <c r="AG2998" s="85">
        <v>45183</v>
      </c>
      <c r="AH2998" s="82" t="s">
        <v>9905</v>
      </c>
      <c r="AI2998" s="77" t="b">
        <v>0</v>
      </c>
      <c r="AJ2998" s="77"/>
      <c r="AK2998" s="77"/>
      <c r="AL2998" s="77"/>
      <c r="AM2998" s="77"/>
      <c r="AN2998" s="77"/>
      <c r="AO2998" s="77"/>
      <c r="AP2998" s="77"/>
      <c r="AQ2998" s="77"/>
      <c r="AR2998" s="77"/>
      <c r="AS2998" s="77"/>
      <c r="AT2998" s="77"/>
      <c r="AU2998" s="77"/>
      <c r="AV2998" s="80" t="str">
        <f>HYPERLINK("https://pbs.twimg.com/profile_images/1241147984924082183/gZgx_hL-_normal.jpg")</f>
        <v>https://pbs.twimg.com/profile_images/1241147984924082183/gZgx_hL-_normal.jpg</v>
      </c>
      <c r="AW2998" s="82" t="s">
        <v>14594</v>
      </c>
      <c r="AX2998" s="82" t="s">
        <v>14594</v>
      </c>
      <c r="AY2998" s="77"/>
      <c r="AZ2998" s="82" t="s">
        <v>15984</v>
      </c>
      <c r="BA2998" s="82" t="s">
        <v>15984</v>
      </c>
      <c r="BB2998" s="82" t="s">
        <v>15984</v>
      </c>
      <c r="BC2998" s="82" t="s">
        <v>14594</v>
      </c>
      <c r="BD2998" s="82" t="s">
        <v>15979</v>
      </c>
      <c r="BE2998" s="77"/>
      <c r="BF2998" s="77"/>
      <c r="BG2998" s="77"/>
      <c r="BH2998" s="77"/>
      <c r="BI2998" s="77"/>
    </row>
    <row r="2999" spans="1:61" x14ac:dyDescent="0.25">
      <c r="A2999" s="62" t="s">
        <v>387</v>
      </c>
      <c r="B2999" s="62" t="s">
        <v>387</v>
      </c>
      <c r="C2999" s="63"/>
      <c r="D2999" s="64"/>
      <c r="E2999" s="65"/>
      <c r="F2999" s="66"/>
      <c r="G2999" s="63"/>
      <c r="H2999" s="67"/>
      <c r="I2999" s="68"/>
      <c r="J2999" s="68"/>
      <c r="K2999" s="32"/>
      <c r="L2999" s="75">
        <v>2999</v>
      </c>
      <c r="M2999" s="75"/>
      <c r="N2999" s="70"/>
      <c r="O2999" s="77" t="s">
        <v>179</v>
      </c>
      <c r="P2999" s="79">
        <v>45170.836909722224</v>
      </c>
      <c r="Q2999" s="77" t="s">
        <v>3671</v>
      </c>
      <c r="R2999" s="77">
        <v>0</v>
      </c>
      <c r="S2999" s="77">
        <v>0</v>
      </c>
      <c r="T2999" s="77">
        <v>0</v>
      </c>
      <c r="U2999" s="77">
        <v>0</v>
      </c>
      <c r="V2999" s="77">
        <v>701</v>
      </c>
      <c r="W2999" s="82" t="s">
        <v>4833</v>
      </c>
      <c r="X2999" s="80" t="str">
        <f>HYPERLINK("https://einvestidor.estadao.com.br/educacao-financeira/o-que-e-como-aumentar-score-de-credito/?utm_source=twitter&amp;utm_medium=organic&amp;utm_campaign=&amp;utm_content=materia")</f>
        <v>https://einvestidor.estadao.com.br/educacao-financeira/o-que-e-como-aumentar-score-de-credito/?utm_source=twitter&amp;utm_medium=organic&amp;utm_campaign=&amp;utm_content=materia</v>
      </c>
      <c r="Y2999" s="77" t="s">
        <v>6470</v>
      </c>
      <c r="Z2999" s="77"/>
      <c r="AA2999" s="77"/>
      <c r="AB2999" s="77"/>
      <c r="AC2999" s="82" t="s">
        <v>7750</v>
      </c>
      <c r="AD2999" s="77" t="s">
        <v>7788</v>
      </c>
      <c r="AE2999" s="80" t="str">
        <f>HYPERLINK("https://twitter.com/einvestidor/status/1697702152330744027")</f>
        <v>https://twitter.com/einvestidor/status/1697702152330744027</v>
      </c>
      <c r="AF2999" s="79">
        <v>45170.836909722224</v>
      </c>
      <c r="AG2999" s="85">
        <v>45170</v>
      </c>
      <c r="AH2999" s="82" t="s">
        <v>9906</v>
      </c>
      <c r="AI2999" s="77" t="b">
        <v>0</v>
      </c>
      <c r="AJ2999" s="77"/>
      <c r="AK2999" s="77"/>
      <c r="AL2999" s="77"/>
      <c r="AM2999" s="77"/>
      <c r="AN2999" s="77"/>
      <c r="AO2999" s="77"/>
      <c r="AP2999" s="77"/>
      <c r="AQ2999" s="77"/>
      <c r="AR2999" s="77"/>
      <c r="AS2999" s="77"/>
      <c r="AT2999" s="77"/>
      <c r="AU2999" s="77"/>
      <c r="AV2999" s="80" t="str">
        <f>HYPERLINK("https://pbs.twimg.com/profile_images/1241147984924082183/gZgx_hL-_normal.jpg")</f>
        <v>https://pbs.twimg.com/profile_images/1241147984924082183/gZgx_hL-_normal.jpg</v>
      </c>
      <c r="AW2999" s="82" t="s">
        <v>14595</v>
      </c>
      <c r="AX2999" s="82" t="s">
        <v>14595</v>
      </c>
      <c r="AY2999" s="77"/>
      <c r="AZ2999" s="82" t="s">
        <v>15984</v>
      </c>
      <c r="BA2999" s="82" t="s">
        <v>15984</v>
      </c>
      <c r="BB2999" s="82" t="s">
        <v>15984</v>
      </c>
      <c r="BC2999" s="82" t="s">
        <v>14595</v>
      </c>
      <c r="BD2999" s="82" t="s">
        <v>15979</v>
      </c>
      <c r="BE2999" s="77"/>
      <c r="BF2999" s="77"/>
      <c r="BG2999" s="77"/>
      <c r="BH2999" s="77"/>
      <c r="BI2999" s="77"/>
    </row>
    <row r="3000" spans="1:61" x14ac:dyDescent="0.25">
      <c r="A3000" s="62" t="s">
        <v>387</v>
      </c>
      <c r="B3000" s="62" t="s">
        <v>387</v>
      </c>
      <c r="C3000" s="63"/>
      <c r="D3000" s="64"/>
      <c r="E3000" s="65"/>
      <c r="F3000" s="66"/>
      <c r="G3000" s="63"/>
      <c r="H3000" s="67"/>
      <c r="I3000" s="68"/>
      <c r="J3000" s="68"/>
      <c r="K3000" s="32"/>
      <c r="L3000" s="75">
        <v>3000</v>
      </c>
      <c r="M3000" s="75"/>
      <c r="N3000" s="70"/>
      <c r="O3000" s="77" t="s">
        <v>179</v>
      </c>
      <c r="P3000" s="79">
        <v>45170.770833333336</v>
      </c>
      <c r="Q3000" s="77" t="s">
        <v>3672</v>
      </c>
      <c r="R3000" s="77">
        <v>0</v>
      </c>
      <c r="S3000" s="77">
        <v>1</v>
      </c>
      <c r="T3000" s="77">
        <v>0</v>
      </c>
      <c r="U3000" s="77">
        <v>0</v>
      </c>
      <c r="V3000" s="77">
        <v>527</v>
      </c>
      <c r="W3000" s="82" t="s">
        <v>6189</v>
      </c>
      <c r="X3000" s="80" t="str">
        <f>HYPERLINK("https://einvestidor.estadao.com.br/mercado/perda-dividendos-bancos-fim-jcp/?utm_source=twitter&amp;utm_medium=organic&amp;utm_campaign=&amp;utm_content=materia")</f>
        <v>https://einvestidor.estadao.com.br/mercado/perda-dividendos-bancos-fim-jcp/?utm_source=twitter&amp;utm_medium=organic&amp;utm_campaign=&amp;utm_content=materia</v>
      </c>
      <c r="Y3000" s="77" t="s">
        <v>6470</v>
      </c>
      <c r="Z3000" s="77"/>
      <c r="AA3000" s="77"/>
      <c r="AB3000" s="77"/>
      <c r="AC3000" s="82" t="s">
        <v>7750</v>
      </c>
      <c r="AD3000" s="77" t="s">
        <v>7788</v>
      </c>
      <c r="AE3000" s="80" t="str">
        <f>HYPERLINK("https://twitter.com/einvestidor/status/1697678207120560464")</f>
        <v>https://twitter.com/einvestidor/status/1697678207120560464</v>
      </c>
      <c r="AF3000" s="79">
        <v>45170.770833333336</v>
      </c>
      <c r="AG3000" s="85">
        <v>45170</v>
      </c>
      <c r="AH3000" s="82" t="s">
        <v>7930</v>
      </c>
      <c r="AI3000" s="77" t="b">
        <v>0</v>
      </c>
      <c r="AJ3000" s="77"/>
      <c r="AK3000" s="77"/>
      <c r="AL3000" s="77"/>
      <c r="AM3000" s="77"/>
      <c r="AN3000" s="77"/>
      <c r="AO3000" s="77"/>
      <c r="AP3000" s="77"/>
      <c r="AQ3000" s="77"/>
      <c r="AR3000" s="77"/>
      <c r="AS3000" s="77"/>
      <c r="AT3000" s="77"/>
      <c r="AU3000" s="77"/>
      <c r="AV3000" s="80" t="str">
        <f>HYPERLINK("https://pbs.twimg.com/profile_images/1241147984924082183/gZgx_hL-_normal.jpg")</f>
        <v>https://pbs.twimg.com/profile_images/1241147984924082183/gZgx_hL-_normal.jpg</v>
      </c>
      <c r="AW3000" s="82" t="s">
        <v>14596</v>
      </c>
      <c r="AX3000" s="82" t="s">
        <v>14596</v>
      </c>
      <c r="AY3000" s="77"/>
      <c r="AZ3000" s="82" t="s">
        <v>15984</v>
      </c>
      <c r="BA3000" s="82" t="s">
        <v>15984</v>
      </c>
      <c r="BB3000" s="82" t="s">
        <v>15984</v>
      </c>
      <c r="BC3000" s="82" t="s">
        <v>14596</v>
      </c>
      <c r="BD3000" s="82" t="s">
        <v>15979</v>
      </c>
      <c r="BE3000" s="77"/>
      <c r="BF3000" s="77"/>
      <c r="BG3000" s="77"/>
      <c r="BH3000" s="77"/>
      <c r="BI3000" s="77"/>
    </row>
    <row r="3001" spans="1:61" x14ac:dyDescent="0.25">
      <c r="A3001" s="62" t="s">
        <v>387</v>
      </c>
      <c r="B3001" s="62" t="s">
        <v>387</v>
      </c>
      <c r="C3001" s="63"/>
      <c r="D3001" s="64"/>
      <c r="E3001" s="65"/>
      <c r="F3001" s="66"/>
      <c r="G3001" s="63"/>
      <c r="H3001" s="67"/>
      <c r="I3001" s="68"/>
      <c r="J3001" s="68"/>
      <c r="K3001" s="32"/>
      <c r="L3001" s="75">
        <v>3001</v>
      </c>
      <c r="M3001" s="75"/>
      <c r="N3001" s="70"/>
      <c r="O3001" s="77" t="s">
        <v>179</v>
      </c>
      <c r="P3001" s="79">
        <v>45170.760416666664</v>
      </c>
      <c r="Q3001" s="77" t="s">
        <v>3673</v>
      </c>
      <c r="R3001" s="77">
        <v>0</v>
      </c>
      <c r="S3001" s="77">
        <v>1</v>
      </c>
      <c r="T3001" s="77">
        <v>0</v>
      </c>
      <c r="U3001" s="77">
        <v>0</v>
      </c>
      <c r="V3001" s="77">
        <v>663</v>
      </c>
      <c r="W3001" s="82" t="s">
        <v>4833</v>
      </c>
      <c r="X3001" s="80" t="str">
        <f>HYPERLINK("https://einvestidor.estadao.com.br/ultimas/cni-comenta-extincao-jcp/?utm_source=twitter&amp;utm_medium=organic&amp;utm_campaign=&amp;utm_content=materia")</f>
        <v>https://einvestidor.estadao.com.br/ultimas/cni-comenta-extincao-jcp/?utm_source=twitter&amp;utm_medium=organic&amp;utm_campaign=&amp;utm_content=materia</v>
      </c>
      <c r="Y3001" s="77" t="s">
        <v>6470</v>
      </c>
      <c r="Z3001" s="77"/>
      <c r="AA3001" s="77"/>
      <c r="AB3001" s="77"/>
      <c r="AC3001" s="82" t="s">
        <v>7750</v>
      </c>
      <c r="AD3001" s="77" t="s">
        <v>7788</v>
      </c>
      <c r="AE3001" s="80" t="str">
        <f>HYPERLINK("https://twitter.com/einvestidor/status/1697674430791508349")</f>
        <v>https://twitter.com/einvestidor/status/1697674430791508349</v>
      </c>
      <c r="AF3001" s="79">
        <v>45170.760416666664</v>
      </c>
      <c r="AG3001" s="85">
        <v>45170</v>
      </c>
      <c r="AH3001" s="82" t="s">
        <v>9582</v>
      </c>
      <c r="AI3001" s="77" t="b">
        <v>0</v>
      </c>
      <c r="AJ3001" s="77"/>
      <c r="AK3001" s="77"/>
      <c r="AL3001" s="77"/>
      <c r="AM3001" s="77"/>
      <c r="AN3001" s="77"/>
      <c r="AO3001" s="77"/>
      <c r="AP3001" s="77"/>
      <c r="AQ3001" s="77"/>
      <c r="AR3001" s="77"/>
      <c r="AS3001" s="77"/>
      <c r="AT3001" s="77"/>
      <c r="AU3001" s="77"/>
      <c r="AV3001" s="80" t="str">
        <f>HYPERLINK("https://pbs.twimg.com/profile_images/1241147984924082183/gZgx_hL-_normal.jpg")</f>
        <v>https://pbs.twimg.com/profile_images/1241147984924082183/gZgx_hL-_normal.jpg</v>
      </c>
      <c r="AW3001" s="82" t="s">
        <v>14597</v>
      </c>
      <c r="AX3001" s="82" t="s">
        <v>14597</v>
      </c>
      <c r="AY3001" s="77"/>
      <c r="AZ3001" s="82" t="s">
        <v>15984</v>
      </c>
      <c r="BA3001" s="82" t="s">
        <v>15984</v>
      </c>
      <c r="BB3001" s="82" t="s">
        <v>15984</v>
      </c>
      <c r="BC3001" s="82" t="s">
        <v>14597</v>
      </c>
      <c r="BD3001" s="82" t="s">
        <v>15979</v>
      </c>
      <c r="BE3001" s="77"/>
      <c r="BF3001" s="77"/>
      <c r="BG3001" s="77"/>
      <c r="BH3001" s="77"/>
      <c r="BI3001" s="77"/>
    </row>
    <row r="3002" spans="1:61" x14ac:dyDescent="0.25">
      <c r="A3002" s="62" t="s">
        <v>387</v>
      </c>
      <c r="B3002" s="62" t="s">
        <v>387</v>
      </c>
      <c r="C3002" s="63"/>
      <c r="D3002" s="64"/>
      <c r="E3002" s="65"/>
      <c r="F3002" s="66"/>
      <c r="G3002" s="63"/>
      <c r="H3002" s="67"/>
      <c r="I3002" s="68"/>
      <c r="J3002" s="68"/>
      <c r="K3002" s="32"/>
      <c r="L3002" s="75">
        <v>3002</v>
      </c>
      <c r="M3002" s="75"/>
      <c r="N3002" s="70"/>
      <c r="O3002" s="77" t="s">
        <v>179</v>
      </c>
      <c r="P3002" s="79">
        <v>45170.756435185183</v>
      </c>
      <c r="Q3002" s="77" t="s">
        <v>3674</v>
      </c>
      <c r="R3002" s="77">
        <v>0</v>
      </c>
      <c r="S3002" s="77">
        <v>1</v>
      </c>
      <c r="T3002" s="77">
        <v>0</v>
      </c>
      <c r="U3002" s="77">
        <v>0</v>
      </c>
      <c r="V3002" s="77">
        <v>651</v>
      </c>
      <c r="W3002" s="82" t="s">
        <v>4833</v>
      </c>
      <c r="X3002" s="80" t="str">
        <f>HYPERLINK("https://einvestidor.estadao.com.br/mercado/mercado-intraday-01-09-2023/?utm_source=twitter&amp;utm_medium=organic&amp;utm_campaign=&amp;utm_content=materia")</f>
        <v>https://einvestidor.estadao.com.br/mercado/mercado-intraday-01-09-2023/?utm_source=twitter&amp;utm_medium=organic&amp;utm_campaign=&amp;utm_content=materia</v>
      </c>
      <c r="Y3002" s="77" t="s">
        <v>6470</v>
      </c>
      <c r="Z3002" s="77"/>
      <c r="AA3002" s="77"/>
      <c r="AB3002" s="77"/>
      <c r="AC3002" s="82" t="s">
        <v>7750</v>
      </c>
      <c r="AD3002" s="77" t="s">
        <v>7788</v>
      </c>
      <c r="AE3002" s="80" t="str">
        <f>HYPERLINK("https://twitter.com/einvestidor/status/1697672987808502153")</f>
        <v>https://twitter.com/einvestidor/status/1697672987808502153</v>
      </c>
      <c r="AF3002" s="79">
        <v>45170.756435185183</v>
      </c>
      <c r="AG3002" s="85">
        <v>45170</v>
      </c>
      <c r="AH3002" s="82" t="s">
        <v>9907</v>
      </c>
      <c r="AI3002" s="77" t="b">
        <v>0</v>
      </c>
      <c r="AJ3002" s="77"/>
      <c r="AK3002" s="77"/>
      <c r="AL3002" s="77"/>
      <c r="AM3002" s="77"/>
      <c r="AN3002" s="77"/>
      <c r="AO3002" s="77"/>
      <c r="AP3002" s="77"/>
      <c r="AQ3002" s="77"/>
      <c r="AR3002" s="77"/>
      <c r="AS3002" s="77"/>
      <c r="AT3002" s="77"/>
      <c r="AU3002" s="77"/>
      <c r="AV3002" s="80" t="str">
        <f>HYPERLINK("https://pbs.twimg.com/profile_images/1241147984924082183/gZgx_hL-_normal.jpg")</f>
        <v>https://pbs.twimg.com/profile_images/1241147984924082183/gZgx_hL-_normal.jpg</v>
      </c>
      <c r="AW3002" s="82" t="s">
        <v>14598</v>
      </c>
      <c r="AX3002" s="82" t="s">
        <v>14598</v>
      </c>
      <c r="AY3002" s="77"/>
      <c r="AZ3002" s="82" t="s">
        <v>15984</v>
      </c>
      <c r="BA3002" s="82" t="s">
        <v>15984</v>
      </c>
      <c r="BB3002" s="82" t="s">
        <v>15984</v>
      </c>
      <c r="BC3002" s="82" t="s">
        <v>14598</v>
      </c>
      <c r="BD3002" s="82" t="s">
        <v>15979</v>
      </c>
      <c r="BE3002" s="77"/>
      <c r="BF3002" s="77"/>
      <c r="BG3002" s="77"/>
      <c r="BH3002" s="77"/>
      <c r="BI3002" s="77"/>
    </row>
    <row r="3003" spans="1:61" x14ac:dyDescent="0.25">
      <c r="A3003" s="62" t="s">
        <v>387</v>
      </c>
      <c r="B3003" s="62" t="s">
        <v>387</v>
      </c>
      <c r="C3003" s="63"/>
      <c r="D3003" s="64"/>
      <c r="E3003" s="65"/>
      <c r="F3003" s="66"/>
      <c r="G3003" s="63"/>
      <c r="H3003" s="67"/>
      <c r="I3003" s="68"/>
      <c r="J3003" s="68"/>
      <c r="K3003" s="32"/>
      <c r="L3003" s="75">
        <v>3003</v>
      </c>
      <c r="M3003" s="75"/>
      <c r="N3003" s="70"/>
      <c r="O3003" s="77" t="s">
        <v>179</v>
      </c>
      <c r="P3003" s="79">
        <v>45168.03125</v>
      </c>
      <c r="Q3003" s="77" t="s">
        <v>3675</v>
      </c>
      <c r="R3003" s="77">
        <v>0</v>
      </c>
      <c r="S3003" s="77">
        <v>3</v>
      </c>
      <c r="T3003" s="77">
        <v>0</v>
      </c>
      <c r="U3003" s="77">
        <v>0</v>
      </c>
      <c r="V3003" s="77">
        <v>874</v>
      </c>
      <c r="W3003" s="82" t="s">
        <v>4833</v>
      </c>
      <c r="X3003" s="80" t="str">
        <f>HYPERLINK("https://einvestidor.estadao.com.br/ultimas/juros-curva-desinclina-aposta-juro-estavel-eua//?utm_source=twitter&amp;utm_medium=organic&amp;utm_campaign=&amp;utm_content=materia")</f>
        <v>https://einvestidor.estadao.com.br/ultimas/juros-curva-desinclina-aposta-juro-estavel-eua//?utm_source=twitter&amp;utm_medium=organic&amp;utm_campaign=&amp;utm_content=materia</v>
      </c>
      <c r="Y3003" s="77" t="s">
        <v>6470</v>
      </c>
      <c r="Z3003" s="77"/>
      <c r="AA3003" s="77"/>
      <c r="AB3003" s="77"/>
      <c r="AC3003" s="82" t="s">
        <v>7750</v>
      </c>
      <c r="AD3003" s="77" t="s">
        <v>7788</v>
      </c>
      <c r="AE3003" s="80" t="str">
        <f>HYPERLINK("https://twitter.com/einvestidor/status/1696685413891797215")</f>
        <v>https://twitter.com/einvestidor/status/1696685413891797215</v>
      </c>
      <c r="AF3003" s="79">
        <v>45168.03125</v>
      </c>
      <c r="AG3003" s="85">
        <v>45168</v>
      </c>
      <c r="AH3003" s="82" t="s">
        <v>9602</v>
      </c>
      <c r="AI3003" s="77" t="b">
        <v>0</v>
      </c>
      <c r="AJ3003" s="77"/>
      <c r="AK3003" s="77"/>
      <c r="AL3003" s="77"/>
      <c r="AM3003" s="77"/>
      <c r="AN3003" s="77"/>
      <c r="AO3003" s="77"/>
      <c r="AP3003" s="77"/>
      <c r="AQ3003" s="77"/>
      <c r="AR3003" s="77"/>
      <c r="AS3003" s="77"/>
      <c r="AT3003" s="77"/>
      <c r="AU3003" s="77"/>
      <c r="AV3003" s="80" t="str">
        <f>HYPERLINK("https://pbs.twimg.com/profile_images/1241147984924082183/gZgx_hL-_normal.jpg")</f>
        <v>https://pbs.twimg.com/profile_images/1241147984924082183/gZgx_hL-_normal.jpg</v>
      </c>
      <c r="AW3003" s="82" t="s">
        <v>14599</v>
      </c>
      <c r="AX3003" s="82" t="s">
        <v>14599</v>
      </c>
      <c r="AY3003" s="77"/>
      <c r="AZ3003" s="82" t="s">
        <v>15984</v>
      </c>
      <c r="BA3003" s="82" t="s">
        <v>15984</v>
      </c>
      <c r="BB3003" s="82" t="s">
        <v>15984</v>
      </c>
      <c r="BC3003" s="82" t="s">
        <v>14599</v>
      </c>
      <c r="BD3003" s="82" t="s">
        <v>15979</v>
      </c>
      <c r="BE3003" s="77"/>
      <c r="BF3003" s="77"/>
      <c r="BG3003" s="77"/>
      <c r="BH3003" s="77"/>
      <c r="BI3003" s="77"/>
    </row>
    <row r="3004" spans="1:61" x14ac:dyDescent="0.25">
      <c r="A3004" s="62" t="s">
        <v>387</v>
      </c>
      <c r="B3004" s="62" t="s">
        <v>387</v>
      </c>
      <c r="C3004" s="63"/>
      <c r="D3004" s="64"/>
      <c r="E3004" s="65"/>
      <c r="F3004" s="66"/>
      <c r="G3004" s="63"/>
      <c r="H3004" s="67"/>
      <c r="I3004" s="68"/>
      <c r="J3004" s="68"/>
      <c r="K3004" s="32"/>
      <c r="L3004" s="75">
        <v>3004</v>
      </c>
      <c r="M3004" s="75"/>
      <c r="N3004" s="70"/>
      <c r="O3004" s="77" t="s">
        <v>179</v>
      </c>
      <c r="P3004" s="79">
        <v>45168.010416666664</v>
      </c>
      <c r="Q3004" s="77" t="s">
        <v>3676</v>
      </c>
      <c r="R3004" s="77">
        <v>0</v>
      </c>
      <c r="S3004" s="77">
        <v>2</v>
      </c>
      <c r="T3004" s="77">
        <v>0</v>
      </c>
      <c r="U3004" s="77">
        <v>0</v>
      </c>
      <c r="V3004" s="77">
        <v>800</v>
      </c>
      <c r="W3004" s="82" t="s">
        <v>6072</v>
      </c>
      <c r="X3004" s="80" t="str">
        <f>HYPERLINK("https://einvestidor.estadao.com.br/negocios/minerva-beef3-acordo-marfrig-mrfg3-valor-de-mercado/?utm_source=twitter&amp;utm_medium=organic&amp;utm_campaign=&amp;utm_content=materia")</f>
        <v>https://einvestidor.estadao.com.br/negocios/minerva-beef3-acordo-marfrig-mrfg3-valor-de-mercado/?utm_source=twitter&amp;utm_medium=organic&amp;utm_campaign=&amp;utm_content=materia</v>
      </c>
      <c r="Y3004" s="77" t="s">
        <v>6470</v>
      </c>
      <c r="Z3004" s="77"/>
      <c r="AA3004" s="77"/>
      <c r="AB3004" s="77"/>
      <c r="AC3004" s="82" t="s">
        <v>7750</v>
      </c>
      <c r="AD3004" s="77" t="s">
        <v>7788</v>
      </c>
      <c r="AE3004" s="80" t="str">
        <f>HYPERLINK("https://twitter.com/einvestidor/status/1696677864127529100")</f>
        <v>https://twitter.com/einvestidor/status/1696677864127529100</v>
      </c>
      <c r="AF3004" s="79">
        <v>45168.010416666664</v>
      </c>
      <c r="AG3004" s="85">
        <v>45168</v>
      </c>
      <c r="AH3004" s="82" t="s">
        <v>8119</v>
      </c>
      <c r="AI3004" s="77" t="b">
        <v>0</v>
      </c>
      <c r="AJ3004" s="77"/>
      <c r="AK3004" s="77"/>
      <c r="AL3004" s="77"/>
      <c r="AM3004" s="77"/>
      <c r="AN3004" s="77"/>
      <c r="AO3004" s="77"/>
      <c r="AP3004" s="77"/>
      <c r="AQ3004" s="77"/>
      <c r="AR3004" s="77"/>
      <c r="AS3004" s="77"/>
      <c r="AT3004" s="77"/>
      <c r="AU3004" s="77"/>
      <c r="AV3004" s="80" t="str">
        <f>HYPERLINK("https://pbs.twimg.com/profile_images/1241147984924082183/gZgx_hL-_normal.jpg")</f>
        <v>https://pbs.twimg.com/profile_images/1241147984924082183/gZgx_hL-_normal.jpg</v>
      </c>
      <c r="AW3004" s="82" t="s">
        <v>14600</v>
      </c>
      <c r="AX3004" s="82" t="s">
        <v>14600</v>
      </c>
      <c r="AY3004" s="77"/>
      <c r="AZ3004" s="82" t="s">
        <v>15984</v>
      </c>
      <c r="BA3004" s="82" t="s">
        <v>15984</v>
      </c>
      <c r="BB3004" s="82" t="s">
        <v>15984</v>
      </c>
      <c r="BC3004" s="82" t="s">
        <v>14600</v>
      </c>
      <c r="BD3004" s="82" t="s">
        <v>15979</v>
      </c>
      <c r="BE3004" s="77"/>
      <c r="BF3004" s="77"/>
      <c r="BG3004" s="77"/>
      <c r="BH3004" s="77"/>
      <c r="BI3004" s="77"/>
    </row>
    <row r="3005" spans="1:61" x14ac:dyDescent="0.25">
      <c r="A3005" s="62" t="s">
        <v>387</v>
      </c>
      <c r="B3005" s="62" t="s">
        <v>387</v>
      </c>
      <c r="C3005" s="63"/>
      <c r="D3005" s="64"/>
      <c r="E3005" s="65"/>
      <c r="F3005" s="66"/>
      <c r="G3005" s="63"/>
      <c r="H3005" s="67"/>
      <c r="I3005" s="68"/>
      <c r="J3005" s="68"/>
      <c r="K3005" s="32"/>
      <c r="L3005" s="75">
        <v>3005</v>
      </c>
      <c r="M3005" s="75"/>
      <c r="N3005" s="70"/>
      <c r="O3005" s="77" t="s">
        <v>179</v>
      </c>
      <c r="P3005" s="79">
        <v>45168</v>
      </c>
      <c r="Q3005" s="77" t="s">
        <v>3677</v>
      </c>
      <c r="R3005" s="77">
        <v>0</v>
      </c>
      <c r="S3005" s="77">
        <v>0</v>
      </c>
      <c r="T3005" s="77">
        <v>1</v>
      </c>
      <c r="U3005" s="77">
        <v>0</v>
      </c>
      <c r="V3005" s="77">
        <v>667</v>
      </c>
      <c r="W3005" s="82" t="s">
        <v>6190</v>
      </c>
      <c r="X3005" s="80" t="str">
        <f>HYPERLINK("https://einvestidor.estadao.com.br/ultimas/eletrobras-elet6-classificacao-de-risco-sp-global/?utm_source=twitter&amp;utm_medium=organic&amp;utm_campaign=&amp;utm_content=materia")</f>
        <v>https://einvestidor.estadao.com.br/ultimas/eletrobras-elet6-classificacao-de-risco-sp-global/?utm_source=twitter&amp;utm_medium=organic&amp;utm_campaign=&amp;utm_content=materia</v>
      </c>
      <c r="Y3005" s="77" t="s">
        <v>6470</v>
      </c>
      <c r="Z3005" s="77"/>
      <c r="AA3005" s="77"/>
      <c r="AB3005" s="77"/>
      <c r="AC3005" s="82" t="s">
        <v>7750</v>
      </c>
      <c r="AD3005" s="77" t="s">
        <v>7788</v>
      </c>
      <c r="AE3005" s="80" t="str">
        <f>HYPERLINK("https://twitter.com/einvestidor/status/1696674090222809155")</f>
        <v>https://twitter.com/einvestidor/status/1696674090222809155</v>
      </c>
      <c r="AF3005" s="79">
        <v>45168</v>
      </c>
      <c r="AG3005" s="85">
        <v>45168</v>
      </c>
      <c r="AH3005" s="82" t="s">
        <v>9300</v>
      </c>
      <c r="AI3005" s="77" t="b">
        <v>0</v>
      </c>
      <c r="AJ3005" s="77"/>
      <c r="AK3005" s="77"/>
      <c r="AL3005" s="77"/>
      <c r="AM3005" s="77"/>
      <c r="AN3005" s="77"/>
      <c r="AO3005" s="77"/>
      <c r="AP3005" s="77"/>
      <c r="AQ3005" s="77"/>
      <c r="AR3005" s="77"/>
      <c r="AS3005" s="77"/>
      <c r="AT3005" s="77"/>
      <c r="AU3005" s="77"/>
      <c r="AV3005" s="80" t="str">
        <f>HYPERLINK("https://pbs.twimg.com/profile_images/1241147984924082183/gZgx_hL-_normal.jpg")</f>
        <v>https://pbs.twimg.com/profile_images/1241147984924082183/gZgx_hL-_normal.jpg</v>
      </c>
      <c r="AW3005" s="82" t="s">
        <v>14601</v>
      </c>
      <c r="AX3005" s="82" t="s">
        <v>14601</v>
      </c>
      <c r="AY3005" s="77"/>
      <c r="AZ3005" s="82" t="s">
        <v>15984</v>
      </c>
      <c r="BA3005" s="82" t="s">
        <v>15984</v>
      </c>
      <c r="BB3005" s="82" t="s">
        <v>15984</v>
      </c>
      <c r="BC3005" s="82" t="s">
        <v>14601</v>
      </c>
      <c r="BD3005" s="82" t="s">
        <v>15979</v>
      </c>
      <c r="BE3005" s="77"/>
      <c r="BF3005" s="77"/>
      <c r="BG3005" s="77"/>
      <c r="BH3005" s="77"/>
      <c r="BI3005" s="77"/>
    </row>
    <row r="3006" spans="1:61" x14ac:dyDescent="0.25">
      <c r="A3006" s="62" t="s">
        <v>387</v>
      </c>
      <c r="B3006" s="62" t="s">
        <v>387</v>
      </c>
      <c r="C3006" s="63"/>
      <c r="D3006" s="64"/>
      <c r="E3006" s="65"/>
      <c r="F3006" s="66"/>
      <c r="G3006" s="63"/>
      <c r="H3006" s="67"/>
      <c r="I3006" s="68"/>
      <c r="J3006" s="68"/>
      <c r="K3006" s="32"/>
      <c r="L3006" s="75">
        <v>3006</v>
      </c>
      <c r="M3006" s="75"/>
      <c r="N3006" s="70"/>
      <c r="O3006" s="77" t="s">
        <v>179</v>
      </c>
      <c r="P3006" s="79">
        <v>45167.989583333336</v>
      </c>
      <c r="Q3006" s="77" t="s">
        <v>3678</v>
      </c>
      <c r="R3006" s="77">
        <v>0</v>
      </c>
      <c r="S3006" s="77">
        <v>0</v>
      </c>
      <c r="T3006" s="77">
        <v>2</v>
      </c>
      <c r="U3006" s="77">
        <v>0</v>
      </c>
      <c r="V3006" s="77">
        <v>576</v>
      </c>
      <c r="W3006" s="82" t="s">
        <v>6191</v>
      </c>
      <c r="X3006" s="80" t="str">
        <f>HYPERLINK("https://einvestidor.estadao.com.br/ultimas/bitcoin-alta-sec-grayscale/?utm_source=twitter&amp;utm_medium=organic&amp;utm_campaign=&amp;utm_content=materia")</f>
        <v>https://einvestidor.estadao.com.br/ultimas/bitcoin-alta-sec-grayscale/?utm_source=twitter&amp;utm_medium=organic&amp;utm_campaign=&amp;utm_content=materia</v>
      </c>
      <c r="Y3006" s="77" t="s">
        <v>6470</v>
      </c>
      <c r="Z3006" s="77"/>
      <c r="AA3006" s="77"/>
      <c r="AB3006" s="77"/>
      <c r="AC3006" s="82" t="s">
        <v>7750</v>
      </c>
      <c r="AD3006" s="77" t="s">
        <v>7788</v>
      </c>
      <c r="AE3006" s="80" t="str">
        <f>HYPERLINK("https://twitter.com/einvestidor/status/1696670314355151337")</f>
        <v>https://twitter.com/einvestidor/status/1696670314355151337</v>
      </c>
      <c r="AF3006" s="79">
        <v>45167.989583333336</v>
      </c>
      <c r="AG3006" s="85">
        <v>45167</v>
      </c>
      <c r="AH3006" s="82" t="s">
        <v>9620</v>
      </c>
      <c r="AI3006" s="77" t="b">
        <v>0</v>
      </c>
      <c r="AJ3006" s="77"/>
      <c r="AK3006" s="77"/>
      <c r="AL3006" s="77"/>
      <c r="AM3006" s="77"/>
      <c r="AN3006" s="77"/>
      <c r="AO3006" s="77"/>
      <c r="AP3006" s="77"/>
      <c r="AQ3006" s="77"/>
      <c r="AR3006" s="77"/>
      <c r="AS3006" s="77"/>
      <c r="AT3006" s="77"/>
      <c r="AU3006" s="77"/>
      <c r="AV3006" s="80" t="str">
        <f>HYPERLINK("https://pbs.twimg.com/profile_images/1241147984924082183/gZgx_hL-_normal.jpg")</f>
        <v>https://pbs.twimg.com/profile_images/1241147984924082183/gZgx_hL-_normal.jpg</v>
      </c>
      <c r="AW3006" s="82" t="s">
        <v>14602</v>
      </c>
      <c r="AX3006" s="82" t="s">
        <v>14602</v>
      </c>
      <c r="AY3006" s="77"/>
      <c r="AZ3006" s="82" t="s">
        <v>15984</v>
      </c>
      <c r="BA3006" s="82" t="s">
        <v>15984</v>
      </c>
      <c r="BB3006" s="82" t="s">
        <v>15984</v>
      </c>
      <c r="BC3006" s="82" t="s">
        <v>14602</v>
      </c>
      <c r="BD3006" s="82" t="s">
        <v>15979</v>
      </c>
      <c r="BE3006" s="77"/>
      <c r="BF3006" s="77"/>
      <c r="BG3006" s="77"/>
      <c r="BH3006" s="77"/>
      <c r="BI3006" s="77"/>
    </row>
    <row r="3007" spans="1:61" x14ac:dyDescent="0.25">
      <c r="A3007" s="62" t="s">
        <v>387</v>
      </c>
      <c r="B3007" s="62" t="s">
        <v>387</v>
      </c>
      <c r="C3007" s="63"/>
      <c r="D3007" s="64"/>
      <c r="E3007" s="65"/>
      <c r="F3007" s="66"/>
      <c r="G3007" s="63"/>
      <c r="H3007" s="67"/>
      <c r="I3007" s="68"/>
      <c r="J3007" s="68"/>
      <c r="K3007" s="32"/>
      <c r="L3007" s="75">
        <v>3007</v>
      </c>
      <c r="M3007" s="75"/>
      <c r="N3007" s="70"/>
      <c r="O3007" s="77" t="s">
        <v>179</v>
      </c>
      <c r="P3007" s="79">
        <v>45167.979166666664</v>
      </c>
      <c r="Q3007" s="77" t="s">
        <v>3679</v>
      </c>
      <c r="R3007" s="77">
        <v>0</v>
      </c>
      <c r="S3007" s="77">
        <v>1</v>
      </c>
      <c r="T3007" s="77">
        <v>0</v>
      </c>
      <c r="U3007" s="77">
        <v>0</v>
      </c>
      <c r="V3007" s="77">
        <v>686</v>
      </c>
      <c r="W3007" s="82" t="s">
        <v>5925</v>
      </c>
      <c r="X3007" s="80" t="str">
        <f>HYPERLINK("https://einvestidor.estadao.com.br/ultimas/itau-bba-recomendacao-acoes-aereas-logistica-ecorodovias/?utm_source=twitter&amp;utm_medium=organic&amp;utm_campaign=&amp;utm_content=materia")</f>
        <v>https://einvestidor.estadao.com.br/ultimas/itau-bba-recomendacao-acoes-aereas-logistica-ecorodovias/?utm_source=twitter&amp;utm_medium=organic&amp;utm_campaign=&amp;utm_content=materia</v>
      </c>
      <c r="Y3007" s="77" t="s">
        <v>6470</v>
      </c>
      <c r="Z3007" s="77"/>
      <c r="AA3007" s="77"/>
      <c r="AB3007" s="77"/>
      <c r="AC3007" s="82" t="s">
        <v>7750</v>
      </c>
      <c r="AD3007" s="77" t="s">
        <v>7788</v>
      </c>
      <c r="AE3007" s="80" t="str">
        <f>HYPERLINK("https://twitter.com/einvestidor/status/1696666541142483066")</f>
        <v>https://twitter.com/einvestidor/status/1696666541142483066</v>
      </c>
      <c r="AF3007" s="79">
        <v>45167.979166666664</v>
      </c>
      <c r="AG3007" s="85">
        <v>45167</v>
      </c>
      <c r="AH3007" s="82" t="s">
        <v>7928</v>
      </c>
      <c r="AI3007" s="77" t="b">
        <v>0</v>
      </c>
      <c r="AJ3007" s="77"/>
      <c r="AK3007" s="77"/>
      <c r="AL3007" s="77"/>
      <c r="AM3007" s="77"/>
      <c r="AN3007" s="77"/>
      <c r="AO3007" s="77"/>
      <c r="AP3007" s="77"/>
      <c r="AQ3007" s="77"/>
      <c r="AR3007" s="77"/>
      <c r="AS3007" s="77"/>
      <c r="AT3007" s="77"/>
      <c r="AU3007" s="77"/>
      <c r="AV3007" s="80" t="str">
        <f>HYPERLINK("https://pbs.twimg.com/profile_images/1241147984924082183/gZgx_hL-_normal.jpg")</f>
        <v>https://pbs.twimg.com/profile_images/1241147984924082183/gZgx_hL-_normal.jpg</v>
      </c>
      <c r="AW3007" s="82" t="s">
        <v>14603</v>
      </c>
      <c r="AX3007" s="82" t="s">
        <v>14603</v>
      </c>
      <c r="AY3007" s="77"/>
      <c r="AZ3007" s="82" t="s">
        <v>15984</v>
      </c>
      <c r="BA3007" s="82" t="s">
        <v>15984</v>
      </c>
      <c r="BB3007" s="82" t="s">
        <v>15984</v>
      </c>
      <c r="BC3007" s="82" t="s">
        <v>14603</v>
      </c>
      <c r="BD3007" s="82" t="s">
        <v>15979</v>
      </c>
      <c r="BE3007" s="77"/>
      <c r="BF3007" s="77"/>
      <c r="BG3007" s="77"/>
      <c r="BH3007" s="77"/>
      <c r="BI3007" s="77"/>
    </row>
    <row r="3008" spans="1:61" x14ac:dyDescent="0.25">
      <c r="A3008" s="62" t="s">
        <v>387</v>
      </c>
      <c r="B3008" s="62" t="s">
        <v>387</v>
      </c>
      <c r="C3008" s="63"/>
      <c r="D3008" s="64"/>
      <c r="E3008" s="65"/>
      <c r="F3008" s="66"/>
      <c r="G3008" s="63"/>
      <c r="H3008" s="67"/>
      <c r="I3008" s="68"/>
      <c r="J3008" s="68"/>
      <c r="K3008" s="32"/>
      <c r="L3008" s="75">
        <v>3008</v>
      </c>
      <c r="M3008" s="75"/>
      <c r="N3008" s="70"/>
      <c r="O3008" s="77" t="s">
        <v>179</v>
      </c>
      <c r="P3008" s="79">
        <v>45167.96875</v>
      </c>
      <c r="Q3008" s="77" t="s">
        <v>3680</v>
      </c>
      <c r="R3008" s="77">
        <v>0</v>
      </c>
      <c r="S3008" s="77">
        <v>1</v>
      </c>
      <c r="T3008" s="77">
        <v>0</v>
      </c>
      <c r="U3008" s="77">
        <v>0</v>
      </c>
      <c r="V3008" s="77">
        <v>606</v>
      </c>
      <c r="W3008" s="82" t="s">
        <v>6112</v>
      </c>
      <c r="X3008" s="80" t="str">
        <f>HYPERLINK("https://einvestidor.estadao.com.br/ultimas/petroleo-fechamento-29-08-2023/?utm_source=twitter&amp;utm_medium=organic&amp;utm_campaign=&amp;utm_content=materia")</f>
        <v>https://einvestidor.estadao.com.br/ultimas/petroleo-fechamento-29-08-2023/?utm_source=twitter&amp;utm_medium=organic&amp;utm_campaign=&amp;utm_content=materia</v>
      </c>
      <c r="Y3008" s="77" t="s">
        <v>6470</v>
      </c>
      <c r="Z3008" s="77"/>
      <c r="AA3008" s="77"/>
      <c r="AB3008" s="77"/>
      <c r="AC3008" s="82" t="s">
        <v>7750</v>
      </c>
      <c r="AD3008" s="77" t="s">
        <v>7788</v>
      </c>
      <c r="AE3008" s="80" t="str">
        <f>HYPERLINK("https://twitter.com/einvestidor/status/1696662764645749098")</f>
        <v>https://twitter.com/einvestidor/status/1696662764645749098</v>
      </c>
      <c r="AF3008" s="79">
        <v>45167.96875</v>
      </c>
      <c r="AG3008" s="85">
        <v>45167</v>
      </c>
      <c r="AH3008" s="82" t="s">
        <v>9621</v>
      </c>
      <c r="AI3008" s="77" t="b">
        <v>0</v>
      </c>
      <c r="AJ3008" s="77"/>
      <c r="AK3008" s="77"/>
      <c r="AL3008" s="77"/>
      <c r="AM3008" s="77"/>
      <c r="AN3008" s="77"/>
      <c r="AO3008" s="77"/>
      <c r="AP3008" s="77"/>
      <c r="AQ3008" s="77"/>
      <c r="AR3008" s="77"/>
      <c r="AS3008" s="77"/>
      <c r="AT3008" s="77"/>
      <c r="AU3008" s="77"/>
      <c r="AV3008" s="80" t="str">
        <f>HYPERLINK("https://pbs.twimg.com/profile_images/1241147984924082183/gZgx_hL-_normal.jpg")</f>
        <v>https://pbs.twimg.com/profile_images/1241147984924082183/gZgx_hL-_normal.jpg</v>
      </c>
      <c r="AW3008" s="82" t="s">
        <v>14604</v>
      </c>
      <c r="AX3008" s="82" t="s">
        <v>14604</v>
      </c>
      <c r="AY3008" s="77"/>
      <c r="AZ3008" s="82" t="s">
        <v>15984</v>
      </c>
      <c r="BA3008" s="82" t="s">
        <v>15984</v>
      </c>
      <c r="BB3008" s="82" t="s">
        <v>15984</v>
      </c>
      <c r="BC3008" s="82" t="s">
        <v>14604</v>
      </c>
      <c r="BD3008" s="82" t="s">
        <v>15979</v>
      </c>
      <c r="BE3008" s="77"/>
      <c r="BF3008" s="77"/>
      <c r="BG3008" s="77"/>
      <c r="BH3008" s="77"/>
      <c r="BI3008" s="77"/>
    </row>
    <row r="3009" spans="1:61" x14ac:dyDescent="0.25">
      <c r="A3009" s="62" t="s">
        <v>387</v>
      </c>
      <c r="B3009" s="62" t="s">
        <v>387</v>
      </c>
      <c r="C3009" s="63"/>
      <c r="D3009" s="64"/>
      <c r="E3009" s="65"/>
      <c r="F3009" s="66"/>
      <c r="G3009" s="63"/>
      <c r="H3009" s="67"/>
      <c r="I3009" s="68"/>
      <c r="J3009" s="68"/>
      <c r="K3009" s="32"/>
      <c r="L3009" s="75">
        <v>3009</v>
      </c>
      <c r="M3009" s="75"/>
      <c r="N3009" s="70"/>
      <c r="O3009" s="77" t="s">
        <v>179</v>
      </c>
      <c r="P3009" s="79">
        <v>45167.958333333336</v>
      </c>
      <c r="Q3009" s="77" t="s">
        <v>3681</v>
      </c>
      <c r="R3009" s="77">
        <v>0</v>
      </c>
      <c r="S3009" s="77">
        <v>0</v>
      </c>
      <c r="T3009" s="77">
        <v>0</v>
      </c>
      <c r="U3009" s="77">
        <v>0</v>
      </c>
      <c r="V3009" s="77">
        <v>551</v>
      </c>
      <c r="W3009" s="82" t="s">
        <v>4833</v>
      </c>
      <c r="X3009" s="80" t="str">
        <f>HYPERLINK("https://einvestidor.estadao.com.br/ultimas/juros-treasuries-queda-dados-emprego-eua//?utm_source=twitter&amp;utm_medium=organic&amp;utm_campaign=&amp;utm_content=materia")</f>
        <v>https://einvestidor.estadao.com.br/ultimas/juros-treasuries-queda-dados-emprego-eua//?utm_source=twitter&amp;utm_medium=organic&amp;utm_campaign=&amp;utm_content=materia</v>
      </c>
      <c r="Y3009" s="77" t="s">
        <v>6470</v>
      </c>
      <c r="Z3009" s="77"/>
      <c r="AA3009" s="77"/>
      <c r="AB3009" s="77"/>
      <c r="AC3009" s="82" t="s">
        <v>7750</v>
      </c>
      <c r="AD3009" s="77" t="s">
        <v>7788</v>
      </c>
      <c r="AE3009" s="80" t="str">
        <f>HYPERLINK("https://twitter.com/einvestidor/status/1696658989595922873")</f>
        <v>https://twitter.com/einvestidor/status/1696658989595922873</v>
      </c>
      <c r="AF3009" s="79">
        <v>45167.958333333336</v>
      </c>
      <c r="AG3009" s="85">
        <v>45167</v>
      </c>
      <c r="AH3009" s="82" t="s">
        <v>8279</v>
      </c>
      <c r="AI3009" s="77" t="b">
        <v>0</v>
      </c>
      <c r="AJ3009" s="77"/>
      <c r="AK3009" s="77"/>
      <c r="AL3009" s="77"/>
      <c r="AM3009" s="77"/>
      <c r="AN3009" s="77"/>
      <c r="AO3009" s="77"/>
      <c r="AP3009" s="77"/>
      <c r="AQ3009" s="77"/>
      <c r="AR3009" s="77"/>
      <c r="AS3009" s="77"/>
      <c r="AT3009" s="77"/>
      <c r="AU3009" s="77"/>
      <c r="AV3009" s="80" t="str">
        <f>HYPERLINK("https://pbs.twimg.com/profile_images/1241147984924082183/gZgx_hL-_normal.jpg")</f>
        <v>https://pbs.twimg.com/profile_images/1241147984924082183/gZgx_hL-_normal.jpg</v>
      </c>
      <c r="AW3009" s="82" t="s">
        <v>14605</v>
      </c>
      <c r="AX3009" s="82" t="s">
        <v>14605</v>
      </c>
      <c r="AY3009" s="77"/>
      <c r="AZ3009" s="82" t="s">
        <v>15984</v>
      </c>
      <c r="BA3009" s="82" t="s">
        <v>15984</v>
      </c>
      <c r="BB3009" s="82" t="s">
        <v>15984</v>
      </c>
      <c r="BC3009" s="82" t="s">
        <v>14605</v>
      </c>
      <c r="BD3009" s="82" t="s">
        <v>15979</v>
      </c>
      <c r="BE3009" s="77"/>
      <c r="BF3009" s="77"/>
      <c r="BG3009" s="77"/>
      <c r="BH3009" s="77"/>
      <c r="BI3009" s="77"/>
    </row>
    <row r="3010" spans="1:61" x14ac:dyDescent="0.25">
      <c r="A3010" s="62" t="s">
        <v>387</v>
      </c>
      <c r="B3010" s="62" t="s">
        <v>387</v>
      </c>
      <c r="C3010" s="63"/>
      <c r="D3010" s="64"/>
      <c r="E3010" s="65"/>
      <c r="F3010" s="66"/>
      <c r="G3010" s="63"/>
      <c r="H3010" s="67"/>
      <c r="I3010" s="68"/>
      <c r="J3010" s="68"/>
      <c r="K3010" s="32"/>
      <c r="L3010" s="75">
        <v>3010</v>
      </c>
      <c r="M3010" s="75"/>
      <c r="N3010" s="70"/>
      <c r="O3010" s="77" t="s">
        <v>179</v>
      </c>
      <c r="P3010" s="79">
        <v>45167.947916666664</v>
      </c>
      <c r="Q3010" s="77" t="s">
        <v>3682</v>
      </c>
      <c r="R3010" s="77">
        <v>0</v>
      </c>
      <c r="S3010" s="77">
        <v>2</v>
      </c>
      <c r="T3010" s="77">
        <v>0</v>
      </c>
      <c r="U3010" s="77">
        <v>0</v>
      </c>
      <c r="V3010" s="77">
        <v>755</v>
      </c>
      <c r="W3010" s="82" t="s">
        <v>4833</v>
      </c>
      <c r="X3010" s="80" t="str">
        <f>HYPERLINK("https://einvestidor.estadao.com.br/ultimas/bolsas-nova-york-fecham-alta-dados-emprego-eua//?utm_source=twitter&amp;utm_medium=organic&amp;utm_campaign=&amp;utm_content=materia")</f>
        <v>https://einvestidor.estadao.com.br/ultimas/bolsas-nova-york-fecham-alta-dados-emprego-eua//?utm_source=twitter&amp;utm_medium=organic&amp;utm_campaign=&amp;utm_content=materia</v>
      </c>
      <c r="Y3010" s="77" t="s">
        <v>6470</v>
      </c>
      <c r="Z3010" s="77"/>
      <c r="AA3010" s="77"/>
      <c r="AB3010" s="77"/>
      <c r="AC3010" s="82" t="s">
        <v>7750</v>
      </c>
      <c r="AD3010" s="77" t="s">
        <v>7788</v>
      </c>
      <c r="AE3010" s="80" t="str">
        <f>HYPERLINK("https://twitter.com/einvestidor/status/1696655215296934368")</f>
        <v>https://twitter.com/einvestidor/status/1696655215296934368</v>
      </c>
      <c r="AF3010" s="79">
        <v>45167.947916666664</v>
      </c>
      <c r="AG3010" s="85">
        <v>45167</v>
      </c>
      <c r="AH3010" s="82" t="s">
        <v>9595</v>
      </c>
      <c r="AI3010" s="77" t="b">
        <v>0</v>
      </c>
      <c r="AJ3010" s="77"/>
      <c r="AK3010" s="77"/>
      <c r="AL3010" s="77"/>
      <c r="AM3010" s="77"/>
      <c r="AN3010" s="77"/>
      <c r="AO3010" s="77"/>
      <c r="AP3010" s="77"/>
      <c r="AQ3010" s="77"/>
      <c r="AR3010" s="77"/>
      <c r="AS3010" s="77"/>
      <c r="AT3010" s="77"/>
      <c r="AU3010" s="77"/>
      <c r="AV3010" s="80" t="str">
        <f>HYPERLINK("https://pbs.twimg.com/profile_images/1241147984924082183/gZgx_hL-_normal.jpg")</f>
        <v>https://pbs.twimg.com/profile_images/1241147984924082183/gZgx_hL-_normal.jpg</v>
      </c>
      <c r="AW3010" s="82" t="s">
        <v>14606</v>
      </c>
      <c r="AX3010" s="82" t="s">
        <v>14606</v>
      </c>
      <c r="AY3010" s="77"/>
      <c r="AZ3010" s="82" t="s">
        <v>15984</v>
      </c>
      <c r="BA3010" s="82" t="s">
        <v>15984</v>
      </c>
      <c r="BB3010" s="82" t="s">
        <v>15984</v>
      </c>
      <c r="BC3010" s="82" t="s">
        <v>14606</v>
      </c>
      <c r="BD3010" s="82" t="s">
        <v>15979</v>
      </c>
      <c r="BE3010" s="77"/>
      <c r="BF3010" s="77"/>
      <c r="BG3010" s="77"/>
      <c r="BH3010" s="77"/>
      <c r="BI3010" s="77"/>
    </row>
    <row r="3011" spans="1:61" x14ac:dyDescent="0.25">
      <c r="A3011" s="62" t="s">
        <v>387</v>
      </c>
      <c r="B3011" s="62" t="s">
        <v>387</v>
      </c>
      <c r="C3011" s="63"/>
      <c r="D3011" s="64"/>
      <c r="E3011" s="65"/>
      <c r="F3011" s="66"/>
      <c r="G3011" s="63"/>
      <c r="H3011" s="67"/>
      <c r="I3011" s="68"/>
      <c r="J3011" s="68"/>
      <c r="K3011" s="32"/>
      <c r="L3011" s="75">
        <v>3011</v>
      </c>
      <c r="M3011" s="75"/>
      <c r="N3011" s="70"/>
      <c r="O3011" s="77" t="s">
        <v>179</v>
      </c>
      <c r="P3011" s="79">
        <v>45167.9375</v>
      </c>
      <c r="Q3011" s="77" t="s">
        <v>3683</v>
      </c>
      <c r="R3011" s="77">
        <v>0</v>
      </c>
      <c r="S3011" s="77">
        <v>4</v>
      </c>
      <c r="T3011" s="77">
        <v>0</v>
      </c>
      <c r="U3011" s="77">
        <v>0</v>
      </c>
      <c r="V3011" s="77">
        <v>1043</v>
      </c>
      <c r="W3011" s="82" t="s">
        <v>5902</v>
      </c>
      <c r="X3011" s="80" t="str">
        <f>HYPERLINK("https://einvestidor.estadao.com.br/ultimas/dolar-hoje-queda-exterior-avanco-pautas-economicas//?utm_source=twitter&amp;utm_medium=organic&amp;utm_campaign=&amp;utm_content=materia")</f>
        <v>https://einvestidor.estadao.com.br/ultimas/dolar-hoje-queda-exterior-avanco-pautas-economicas//?utm_source=twitter&amp;utm_medium=organic&amp;utm_campaign=&amp;utm_content=materia</v>
      </c>
      <c r="Y3011" s="77" t="s">
        <v>6470</v>
      </c>
      <c r="Z3011" s="77"/>
      <c r="AA3011" s="77"/>
      <c r="AB3011" s="77"/>
      <c r="AC3011" s="82" t="s">
        <v>7750</v>
      </c>
      <c r="AD3011" s="77" t="s">
        <v>7788</v>
      </c>
      <c r="AE3011" s="80" t="str">
        <f>HYPERLINK("https://twitter.com/einvestidor/status/1696651442181005715")</f>
        <v>https://twitter.com/einvestidor/status/1696651442181005715</v>
      </c>
      <c r="AF3011" s="79">
        <v>45167.9375</v>
      </c>
      <c r="AG3011" s="85">
        <v>45167</v>
      </c>
      <c r="AH3011" s="82" t="s">
        <v>7926</v>
      </c>
      <c r="AI3011" s="77" t="b">
        <v>0</v>
      </c>
      <c r="AJ3011" s="77"/>
      <c r="AK3011" s="77"/>
      <c r="AL3011" s="77"/>
      <c r="AM3011" s="77"/>
      <c r="AN3011" s="77"/>
      <c r="AO3011" s="77"/>
      <c r="AP3011" s="77"/>
      <c r="AQ3011" s="77"/>
      <c r="AR3011" s="77"/>
      <c r="AS3011" s="77"/>
      <c r="AT3011" s="77"/>
      <c r="AU3011" s="77"/>
      <c r="AV3011" s="80" t="str">
        <f>HYPERLINK("https://pbs.twimg.com/profile_images/1241147984924082183/gZgx_hL-_normal.jpg")</f>
        <v>https://pbs.twimg.com/profile_images/1241147984924082183/gZgx_hL-_normal.jpg</v>
      </c>
      <c r="AW3011" s="82" t="s">
        <v>14607</v>
      </c>
      <c r="AX3011" s="82" t="s">
        <v>14607</v>
      </c>
      <c r="AY3011" s="77"/>
      <c r="AZ3011" s="82" t="s">
        <v>15984</v>
      </c>
      <c r="BA3011" s="82" t="s">
        <v>15984</v>
      </c>
      <c r="BB3011" s="82" t="s">
        <v>15984</v>
      </c>
      <c r="BC3011" s="82" t="s">
        <v>14607</v>
      </c>
      <c r="BD3011" s="82" t="s">
        <v>15979</v>
      </c>
      <c r="BE3011" s="77"/>
      <c r="BF3011" s="77"/>
      <c r="BG3011" s="77"/>
      <c r="BH3011" s="77"/>
      <c r="BI3011" s="77"/>
    </row>
    <row r="3012" spans="1:61" x14ac:dyDescent="0.25">
      <c r="A3012" s="62" t="s">
        <v>387</v>
      </c>
      <c r="B3012" s="62" t="s">
        <v>387</v>
      </c>
      <c r="C3012" s="63"/>
      <c r="D3012" s="64"/>
      <c r="E3012" s="65"/>
      <c r="F3012" s="66"/>
      <c r="G3012" s="63"/>
      <c r="H3012" s="67"/>
      <c r="I3012" s="68"/>
      <c r="J3012" s="68"/>
      <c r="K3012" s="32"/>
      <c r="L3012" s="75">
        <v>3012</v>
      </c>
      <c r="M3012" s="75"/>
      <c r="N3012" s="70"/>
      <c r="O3012" s="77" t="s">
        <v>179</v>
      </c>
      <c r="P3012" s="79">
        <v>45167.927083333336</v>
      </c>
      <c r="Q3012" s="77" t="s">
        <v>3684</v>
      </c>
      <c r="R3012" s="77">
        <v>0</v>
      </c>
      <c r="S3012" s="77">
        <v>0</v>
      </c>
      <c r="T3012" s="77">
        <v>0</v>
      </c>
      <c r="U3012" s="77">
        <v>0</v>
      </c>
      <c r="V3012" s="77">
        <v>575</v>
      </c>
      <c r="W3012" s="82" t="s">
        <v>4833</v>
      </c>
      <c r="X3012" s="80" t="str">
        <f>HYPERLINK("https://einvestidor.estadao.com.br/ultimas/pulso-mercado-santander-bancos-jcp/?utm_source=twitter&amp;utm_medium=organic&amp;utm_campaign=&amp;utm_content=materia")</f>
        <v>https://einvestidor.estadao.com.br/ultimas/pulso-mercado-santander-bancos-jcp/?utm_source=twitter&amp;utm_medium=organic&amp;utm_campaign=&amp;utm_content=materia</v>
      </c>
      <c r="Y3012" s="77" t="s">
        <v>6470</v>
      </c>
      <c r="Z3012" s="77"/>
      <c r="AA3012" s="77"/>
      <c r="AB3012" s="77"/>
      <c r="AC3012" s="82" t="s">
        <v>7750</v>
      </c>
      <c r="AD3012" s="77" t="s">
        <v>7788</v>
      </c>
      <c r="AE3012" s="80" t="str">
        <f>HYPERLINK("https://twitter.com/einvestidor/status/1696647665675538679")</f>
        <v>https://twitter.com/einvestidor/status/1696647665675538679</v>
      </c>
      <c r="AF3012" s="79">
        <v>45167.927083333336</v>
      </c>
      <c r="AG3012" s="85">
        <v>45167</v>
      </c>
      <c r="AH3012" s="82" t="s">
        <v>9576</v>
      </c>
      <c r="AI3012" s="77" t="b">
        <v>0</v>
      </c>
      <c r="AJ3012" s="77"/>
      <c r="AK3012" s="77"/>
      <c r="AL3012" s="77"/>
      <c r="AM3012" s="77"/>
      <c r="AN3012" s="77"/>
      <c r="AO3012" s="77"/>
      <c r="AP3012" s="77"/>
      <c r="AQ3012" s="77"/>
      <c r="AR3012" s="77"/>
      <c r="AS3012" s="77"/>
      <c r="AT3012" s="77"/>
      <c r="AU3012" s="77"/>
      <c r="AV3012" s="80" t="str">
        <f>HYPERLINK("https://pbs.twimg.com/profile_images/1241147984924082183/gZgx_hL-_normal.jpg")</f>
        <v>https://pbs.twimg.com/profile_images/1241147984924082183/gZgx_hL-_normal.jpg</v>
      </c>
      <c r="AW3012" s="82" t="s">
        <v>14608</v>
      </c>
      <c r="AX3012" s="82" t="s">
        <v>14608</v>
      </c>
      <c r="AY3012" s="77"/>
      <c r="AZ3012" s="82" t="s">
        <v>15984</v>
      </c>
      <c r="BA3012" s="82" t="s">
        <v>15984</v>
      </c>
      <c r="BB3012" s="82" t="s">
        <v>15984</v>
      </c>
      <c r="BC3012" s="82" t="s">
        <v>14608</v>
      </c>
      <c r="BD3012" s="82" t="s">
        <v>15979</v>
      </c>
      <c r="BE3012" s="77"/>
      <c r="BF3012" s="77"/>
      <c r="BG3012" s="77"/>
      <c r="BH3012" s="77"/>
      <c r="BI3012" s="77"/>
    </row>
    <row r="3013" spans="1:61" x14ac:dyDescent="0.25">
      <c r="A3013" s="62" t="s">
        <v>387</v>
      </c>
      <c r="B3013" s="62" t="s">
        <v>387</v>
      </c>
      <c r="C3013" s="63"/>
      <c r="D3013" s="64"/>
      <c r="E3013" s="65"/>
      <c r="F3013" s="66"/>
      <c r="G3013" s="63"/>
      <c r="H3013" s="67"/>
      <c r="I3013" s="68"/>
      <c r="J3013" s="68"/>
      <c r="K3013" s="32"/>
      <c r="L3013" s="75">
        <v>3013</v>
      </c>
      <c r="M3013" s="75"/>
      <c r="N3013" s="70"/>
      <c r="O3013" s="77" t="s">
        <v>179</v>
      </c>
      <c r="P3013" s="79">
        <v>45167.916689814818</v>
      </c>
      <c r="Q3013" s="77" t="s">
        <v>3685</v>
      </c>
      <c r="R3013" s="77">
        <v>0</v>
      </c>
      <c r="S3013" s="77">
        <v>1</v>
      </c>
      <c r="T3013" s="77">
        <v>0</v>
      </c>
      <c r="U3013" s="77">
        <v>0</v>
      </c>
      <c r="V3013" s="77">
        <v>469</v>
      </c>
      <c r="W3013" s="82" t="s">
        <v>6192</v>
      </c>
      <c r="X3013" s="80" t="str">
        <f>HYPERLINK("https://einvestidor.estadao.com.br/educacao-financeira/dinheiro-esquecido-banco-central-consulta/?utm_source=twitter&amp;utm_medium=organic&amp;utm_campaign=&amp;utm_content=materia")</f>
        <v>https://einvestidor.estadao.com.br/educacao-financeira/dinheiro-esquecido-banco-central-consulta/?utm_source=twitter&amp;utm_medium=organic&amp;utm_campaign=&amp;utm_content=materia</v>
      </c>
      <c r="Y3013" s="77" t="s">
        <v>6470</v>
      </c>
      <c r="Z3013" s="77"/>
      <c r="AA3013" s="77"/>
      <c r="AB3013" s="77"/>
      <c r="AC3013" s="82" t="s">
        <v>7750</v>
      </c>
      <c r="AD3013" s="77" t="s">
        <v>7788</v>
      </c>
      <c r="AE3013" s="80" t="str">
        <f>HYPERLINK("https://twitter.com/einvestidor/status/1696643897898975521")</f>
        <v>https://twitter.com/einvestidor/status/1696643897898975521</v>
      </c>
      <c r="AF3013" s="79">
        <v>45167.916689814818</v>
      </c>
      <c r="AG3013" s="85">
        <v>45167</v>
      </c>
      <c r="AH3013" s="82" t="s">
        <v>8627</v>
      </c>
      <c r="AI3013" s="77" t="b">
        <v>0</v>
      </c>
      <c r="AJ3013" s="77"/>
      <c r="AK3013" s="77"/>
      <c r="AL3013" s="77"/>
      <c r="AM3013" s="77"/>
      <c r="AN3013" s="77"/>
      <c r="AO3013" s="77"/>
      <c r="AP3013" s="77"/>
      <c r="AQ3013" s="77"/>
      <c r="AR3013" s="77"/>
      <c r="AS3013" s="77"/>
      <c r="AT3013" s="77"/>
      <c r="AU3013" s="77"/>
      <c r="AV3013" s="80" t="str">
        <f>HYPERLINK("https://pbs.twimg.com/profile_images/1241147984924082183/gZgx_hL-_normal.jpg")</f>
        <v>https://pbs.twimg.com/profile_images/1241147984924082183/gZgx_hL-_normal.jpg</v>
      </c>
      <c r="AW3013" s="82" t="s">
        <v>14609</v>
      </c>
      <c r="AX3013" s="82" t="s">
        <v>14609</v>
      </c>
      <c r="AY3013" s="77"/>
      <c r="AZ3013" s="82" t="s">
        <v>15984</v>
      </c>
      <c r="BA3013" s="82" t="s">
        <v>15984</v>
      </c>
      <c r="BB3013" s="82" t="s">
        <v>15984</v>
      </c>
      <c r="BC3013" s="82" t="s">
        <v>14609</v>
      </c>
      <c r="BD3013" s="82" t="s">
        <v>15979</v>
      </c>
      <c r="BE3013" s="77"/>
      <c r="BF3013" s="77"/>
      <c r="BG3013" s="77"/>
      <c r="BH3013" s="77"/>
      <c r="BI3013" s="77"/>
    </row>
    <row r="3014" spans="1:61" x14ac:dyDescent="0.25">
      <c r="A3014" s="62" t="s">
        <v>387</v>
      </c>
      <c r="B3014" s="62" t="s">
        <v>387</v>
      </c>
      <c r="C3014" s="63"/>
      <c r="D3014" s="64"/>
      <c r="E3014" s="65"/>
      <c r="F3014" s="66"/>
      <c r="G3014" s="63"/>
      <c r="H3014" s="67"/>
      <c r="I3014" s="68"/>
      <c r="J3014" s="68"/>
      <c r="K3014" s="32"/>
      <c r="L3014" s="75">
        <v>3014</v>
      </c>
      <c r="M3014" s="75"/>
      <c r="N3014" s="70"/>
      <c r="O3014" s="77" t="s">
        <v>179</v>
      </c>
      <c r="P3014" s="79">
        <v>45167.916307870371</v>
      </c>
      <c r="Q3014" s="77" t="s">
        <v>3686</v>
      </c>
      <c r="R3014" s="77">
        <v>0</v>
      </c>
      <c r="S3014" s="77">
        <v>0</v>
      </c>
      <c r="T3014" s="77">
        <v>0</v>
      </c>
      <c r="U3014" s="77">
        <v>0</v>
      </c>
      <c r="V3014" s="77">
        <v>446</v>
      </c>
      <c r="W3014" s="82" t="s">
        <v>4833</v>
      </c>
      <c r="X3014" s="80" t="str">
        <f>HYPERLINK("https://einvestidor.estadao.com.br/mercado/fechamento-de-mercado-29-08-2023/?utm_source=twitter&amp;utm_medium=organic&amp;utm_campaign=&amp;utm_content=materia")</f>
        <v>https://einvestidor.estadao.com.br/mercado/fechamento-de-mercado-29-08-2023/?utm_source=twitter&amp;utm_medium=organic&amp;utm_campaign=&amp;utm_content=materia</v>
      </c>
      <c r="Y3014" s="77" t="s">
        <v>6470</v>
      </c>
      <c r="Z3014" s="77"/>
      <c r="AA3014" s="77"/>
      <c r="AB3014" s="77"/>
      <c r="AC3014" s="82" t="s">
        <v>7750</v>
      </c>
      <c r="AD3014" s="77" t="s">
        <v>7788</v>
      </c>
      <c r="AE3014" s="80" t="str">
        <f>HYPERLINK("https://twitter.com/einvestidor/status/1696643760661119357")</f>
        <v>https://twitter.com/einvestidor/status/1696643760661119357</v>
      </c>
      <c r="AF3014" s="79">
        <v>45167.916307870371</v>
      </c>
      <c r="AG3014" s="85">
        <v>45167</v>
      </c>
      <c r="AH3014" s="82" t="s">
        <v>9908</v>
      </c>
      <c r="AI3014" s="77" t="b">
        <v>0</v>
      </c>
      <c r="AJ3014" s="77"/>
      <c r="AK3014" s="77"/>
      <c r="AL3014" s="77"/>
      <c r="AM3014" s="77"/>
      <c r="AN3014" s="77"/>
      <c r="AO3014" s="77"/>
      <c r="AP3014" s="77"/>
      <c r="AQ3014" s="77"/>
      <c r="AR3014" s="77"/>
      <c r="AS3014" s="77"/>
      <c r="AT3014" s="77"/>
      <c r="AU3014" s="77"/>
      <c r="AV3014" s="80" t="str">
        <f>HYPERLINK("https://pbs.twimg.com/profile_images/1241147984924082183/gZgx_hL-_normal.jpg")</f>
        <v>https://pbs.twimg.com/profile_images/1241147984924082183/gZgx_hL-_normal.jpg</v>
      </c>
      <c r="AW3014" s="82" t="s">
        <v>14610</v>
      </c>
      <c r="AX3014" s="82" t="s">
        <v>14610</v>
      </c>
      <c r="AY3014" s="77"/>
      <c r="AZ3014" s="82" t="s">
        <v>15984</v>
      </c>
      <c r="BA3014" s="82" t="s">
        <v>15984</v>
      </c>
      <c r="BB3014" s="82" t="s">
        <v>15984</v>
      </c>
      <c r="BC3014" s="82" t="s">
        <v>14610</v>
      </c>
      <c r="BD3014" s="82" t="s">
        <v>15979</v>
      </c>
      <c r="BE3014" s="77"/>
      <c r="BF3014" s="77"/>
      <c r="BG3014" s="77"/>
      <c r="BH3014" s="77"/>
      <c r="BI3014" s="77"/>
    </row>
    <row r="3015" spans="1:61" x14ac:dyDescent="0.25">
      <c r="A3015" s="62" t="s">
        <v>387</v>
      </c>
      <c r="B3015" s="62" t="s">
        <v>387</v>
      </c>
      <c r="C3015" s="63"/>
      <c r="D3015" s="64"/>
      <c r="E3015" s="65"/>
      <c r="F3015" s="66"/>
      <c r="G3015" s="63"/>
      <c r="H3015" s="67"/>
      <c r="I3015" s="68"/>
      <c r="J3015" s="68"/>
      <c r="K3015" s="32"/>
      <c r="L3015" s="75">
        <v>3015</v>
      </c>
      <c r="M3015" s="75"/>
      <c r="N3015" s="70"/>
      <c r="O3015" s="77" t="s">
        <v>179</v>
      </c>
      <c r="P3015" s="79">
        <v>45167.915358796294</v>
      </c>
      <c r="Q3015" s="77" t="s">
        <v>3687</v>
      </c>
      <c r="R3015" s="77">
        <v>0</v>
      </c>
      <c r="S3015" s="77">
        <v>2</v>
      </c>
      <c r="T3015" s="77">
        <v>1</v>
      </c>
      <c r="U3015" s="77">
        <v>0</v>
      </c>
      <c r="V3015" s="77">
        <v>820</v>
      </c>
      <c r="W3015" s="82" t="s">
        <v>6193</v>
      </c>
      <c r="X3015" s="80" t="str">
        <f>HYPERLINK("https://einvestidor.estadao.com.br/mercado/piores-acoes-ibovespa-minerva-grupo-pao-de-acucar-petz/?utm_source=twitter&amp;utm_medium=organic&amp;utm_campaign=&amp;utm_content=materia")</f>
        <v>https://einvestidor.estadao.com.br/mercado/piores-acoes-ibovespa-minerva-grupo-pao-de-acucar-petz/?utm_source=twitter&amp;utm_medium=organic&amp;utm_campaign=&amp;utm_content=materia</v>
      </c>
      <c r="Y3015" s="77" t="s">
        <v>6470</v>
      </c>
      <c r="Z3015" s="77"/>
      <c r="AA3015" s="77"/>
      <c r="AB3015" s="77"/>
      <c r="AC3015" s="82" t="s">
        <v>7750</v>
      </c>
      <c r="AD3015" s="77" t="s">
        <v>7788</v>
      </c>
      <c r="AE3015" s="80" t="str">
        <f>HYPERLINK("https://twitter.com/einvestidor/status/1696643416455520721")</f>
        <v>https://twitter.com/einvestidor/status/1696643416455520721</v>
      </c>
      <c r="AF3015" s="79">
        <v>45167.915358796294</v>
      </c>
      <c r="AG3015" s="85">
        <v>45167</v>
      </c>
      <c r="AH3015" s="82" t="s">
        <v>9909</v>
      </c>
      <c r="AI3015" s="77" t="b">
        <v>0</v>
      </c>
      <c r="AJ3015" s="77"/>
      <c r="AK3015" s="77"/>
      <c r="AL3015" s="77"/>
      <c r="AM3015" s="77"/>
      <c r="AN3015" s="77"/>
      <c r="AO3015" s="77"/>
      <c r="AP3015" s="77"/>
      <c r="AQ3015" s="77"/>
      <c r="AR3015" s="77"/>
      <c r="AS3015" s="77"/>
      <c r="AT3015" s="77"/>
      <c r="AU3015" s="77"/>
      <c r="AV3015" s="80" t="str">
        <f>HYPERLINK("https://pbs.twimg.com/profile_images/1241147984924082183/gZgx_hL-_normal.jpg")</f>
        <v>https://pbs.twimg.com/profile_images/1241147984924082183/gZgx_hL-_normal.jpg</v>
      </c>
      <c r="AW3015" s="82" t="s">
        <v>14611</v>
      </c>
      <c r="AX3015" s="82" t="s">
        <v>14611</v>
      </c>
      <c r="AY3015" s="77"/>
      <c r="AZ3015" s="82" t="s">
        <v>15984</v>
      </c>
      <c r="BA3015" s="82" t="s">
        <v>15984</v>
      </c>
      <c r="BB3015" s="82" t="s">
        <v>15984</v>
      </c>
      <c r="BC3015" s="82" t="s">
        <v>14611</v>
      </c>
      <c r="BD3015" s="82" t="s">
        <v>15979</v>
      </c>
      <c r="BE3015" s="77"/>
      <c r="BF3015" s="77"/>
      <c r="BG3015" s="77"/>
      <c r="BH3015" s="77"/>
      <c r="BI3015" s="77"/>
    </row>
    <row r="3016" spans="1:61" x14ac:dyDescent="0.25">
      <c r="A3016" s="62" t="s">
        <v>387</v>
      </c>
      <c r="B3016" s="62" t="s">
        <v>387</v>
      </c>
      <c r="C3016" s="63"/>
      <c r="D3016" s="64"/>
      <c r="E3016" s="65"/>
      <c r="F3016" s="66"/>
      <c r="G3016" s="63"/>
      <c r="H3016" s="67"/>
      <c r="I3016" s="68"/>
      <c r="J3016" s="68"/>
      <c r="K3016" s="32"/>
      <c r="L3016" s="75">
        <v>3016</v>
      </c>
      <c r="M3016" s="75"/>
      <c r="N3016" s="70"/>
      <c r="O3016" s="77" t="s">
        <v>179</v>
      </c>
      <c r="P3016" s="79">
        <v>45167.914317129631</v>
      </c>
      <c r="Q3016" s="77" t="s">
        <v>3688</v>
      </c>
      <c r="R3016" s="77">
        <v>0</v>
      </c>
      <c r="S3016" s="77">
        <v>3</v>
      </c>
      <c r="T3016" s="77">
        <v>0</v>
      </c>
      <c r="U3016" s="77">
        <v>0</v>
      </c>
      <c r="V3016" s="77">
        <v>783</v>
      </c>
      <c r="W3016" s="82" t="s">
        <v>6194</v>
      </c>
      <c r="X3016" s="80" t="str">
        <f>HYPERLINK("https://einvestidor.estadao.com.br/mercado/melhores-acoes-ibovespa-marfrig-cvc-locaweb/?utm_source=twitter&amp;utm_medium=organic&amp;utm_campaign=&amp;utm_content=materia")</f>
        <v>https://einvestidor.estadao.com.br/mercado/melhores-acoes-ibovespa-marfrig-cvc-locaweb/?utm_source=twitter&amp;utm_medium=organic&amp;utm_campaign=&amp;utm_content=materia</v>
      </c>
      <c r="Y3016" s="77" t="s">
        <v>6470</v>
      </c>
      <c r="Z3016" s="77"/>
      <c r="AA3016" s="77"/>
      <c r="AB3016" s="77"/>
      <c r="AC3016" s="82" t="s">
        <v>7750</v>
      </c>
      <c r="AD3016" s="77" t="s">
        <v>7788</v>
      </c>
      <c r="AE3016" s="80" t="str">
        <f>HYPERLINK("https://twitter.com/einvestidor/status/1696643041484824614")</f>
        <v>https://twitter.com/einvestidor/status/1696643041484824614</v>
      </c>
      <c r="AF3016" s="79">
        <v>45167.914317129631</v>
      </c>
      <c r="AG3016" s="85">
        <v>45167</v>
      </c>
      <c r="AH3016" s="82" t="s">
        <v>9910</v>
      </c>
      <c r="AI3016" s="77" t="b">
        <v>0</v>
      </c>
      <c r="AJ3016" s="77"/>
      <c r="AK3016" s="77"/>
      <c r="AL3016" s="77"/>
      <c r="AM3016" s="77"/>
      <c r="AN3016" s="77"/>
      <c r="AO3016" s="77"/>
      <c r="AP3016" s="77"/>
      <c r="AQ3016" s="77"/>
      <c r="AR3016" s="77"/>
      <c r="AS3016" s="77"/>
      <c r="AT3016" s="77"/>
      <c r="AU3016" s="77"/>
      <c r="AV3016" s="80" t="str">
        <f>HYPERLINK("https://pbs.twimg.com/profile_images/1241147984924082183/gZgx_hL-_normal.jpg")</f>
        <v>https://pbs.twimg.com/profile_images/1241147984924082183/gZgx_hL-_normal.jpg</v>
      </c>
      <c r="AW3016" s="82" t="s">
        <v>14612</v>
      </c>
      <c r="AX3016" s="82" t="s">
        <v>14612</v>
      </c>
      <c r="AY3016" s="77"/>
      <c r="AZ3016" s="82" t="s">
        <v>15984</v>
      </c>
      <c r="BA3016" s="82" t="s">
        <v>15984</v>
      </c>
      <c r="BB3016" s="82" t="s">
        <v>15984</v>
      </c>
      <c r="BC3016" s="82" t="s">
        <v>14612</v>
      </c>
      <c r="BD3016" s="82" t="s">
        <v>15979</v>
      </c>
      <c r="BE3016" s="77"/>
      <c r="BF3016" s="77"/>
      <c r="BG3016" s="77"/>
      <c r="BH3016" s="77"/>
      <c r="BI3016" s="77"/>
    </row>
    <row r="3017" spans="1:61" x14ac:dyDescent="0.25">
      <c r="A3017" s="62" t="s">
        <v>387</v>
      </c>
      <c r="B3017" s="62" t="s">
        <v>387</v>
      </c>
      <c r="C3017" s="63"/>
      <c r="D3017" s="64"/>
      <c r="E3017" s="65"/>
      <c r="F3017" s="66"/>
      <c r="G3017" s="63"/>
      <c r="H3017" s="67"/>
      <c r="I3017" s="68"/>
      <c r="J3017" s="68"/>
      <c r="K3017" s="32"/>
      <c r="L3017" s="75">
        <v>3017</v>
      </c>
      <c r="M3017" s="75"/>
      <c r="N3017" s="70"/>
      <c r="O3017" s="77" t="s">
        <v>179</v>
      </c>
      <c r="P3017" s="79">
        <v>45155.854166666664</v>
      </c>
      <c r="Q3017" s="77" t="s">
        <v>3689</v>
      </c>
      <c r="R3017" s="77">
        <v>0</v>
      </c>
      <c r="S3017" s="77">
        <v>2</v>
      </c>
      <c r="T3017" s="77">
        <v>0</v>
      </c>
      <c r="U3017" s="77">
        <v>0</v>
      </c>
      <c r="V3017" s="77">
        <v>531</v>
      </c>
      <c r="W3017" s="82" t="s">
        <v>5938</v>
      </c>
      <c r="X3017" s="80" t="str">
        <f>HYPERLINK("https://mla.bs/47238469")</f>
        <v>https://mla.bs/47238469</v>
      </c>
      <c r="Y3017" s="77" t="s">
        <v>6506</v>
      </c>
      <c r="Z3017" s="77"/>
      <c r="AA3017" s="77"/>
      <c r="AB3017" s="77"/>
      <c r="AC3017" s="82" t="s">
        <v>7750</v>
      </c>
      <c r="AD3017" s="77" t="s">
        <v>7788</v>
      </c>
      <c r="AE3017" s="80" t="str">
        <f>HYPERLINK("https://twitter.com/einvestidor/status/1692272587391324494")</f>
        <v>https://twitter.com/einvestidor/status/1692272587391324494</v>
      </c>
      <c r="AF3017" s="79">
        <v>45155.854166666664</v>
      </c>
      <c r="AG3017" s="85">
        <v>45155</v>
      </c>
      <c r="AH3017" s="82" t="s">
        <v>8090</v>
      </c>
      <c r="AI3017" s="77" t="b">
        <v>0</v>
      </c>
      <c r="AJ3017" s="77"/>
      <c r="AK3017" s="77"/>
      <c r="AL3017" s="77"/>
      <c r="AM3017" s="77"/>
      <c r="AN3017" s="77"/>
      <c r="AO3017" s="77"/>
      <c r="AP3017" s="77"/>
      <c r="AQ3017" s="77"/>
      <c r="AR3017" s="77"/>
      <c r="AS3017" s="77"/>
      <c r="AT3017" s="77"/>
      <c r="AU3017" s="77"/>
      <c r="AV3017" s="80" t="str">
        <f>HYPERLINK("https://pbs.twimg.com/profile_images/1241147984924082183/gZgx_hL-_normal.jpg")</f>
        <v>https://pbs.twimg.com/profile_images/1241147984924082183/gZgx_hL-_normal.jpg</v>
      </c>
      <c r="AW3017" s="82" t="s">
        <v>14613</v>
      </c>
      <c r="AX3017" s="82" t="s">
        <v>14613</v>
      </c>
      <c r="AY3017" s="77"/>
      <c r="AZ3017" s="82" t="s">
        <v>15984</v>
      </c>
      <c r="BA3017" s="82" t="s">
        <v>15984</v>
      </c>
      <c r="BB3017" s="82" t="s">
        <v>15984</v>
      </c>
      <c r="BC3017" s="82" t="s">
        <v>14613</v>
      </c>
      <c r="BD3017" s="82" t="s">
        <v>15979</v>
      </c>
      <c r="BE3017" s="77"/>
      <c r="BF3017" s="77"/>
      <c r="BG3017" s="77"/>
      <c r="BH3017" s="77"/>
      <c r="BI3017" s="77"/>
    </row>
    <row r="3018" spans="1:61" x14ac:dyDescent="0.25">
      <c r="A3018" s="62" t="s">
        <v>387</v>
      </c>
      <c r="B3018" s="62" t="s">
        <v>387</v>
      </c>
      <c r="C3018" s="63"/>
      <c r="D3018" s="64"/>
      <c r="E3018" s="65"/>
      <c r="F3018" s="66"/>
      <c r="G3018" s="63"/>
      <c r="H3018" s="67"/>
      <c r="I3018" s="68"/>
      <c r="J3018" s="68"/>
      <c r="K3018" s="32"/>
      <c r="L3018" s="75">
        <v>3018</v>
      </c>
      <c r="M3018" s="75"/>
      <c r="N3018" s="70"/>
      <c r="O3018" s="77" t="s">
        <v>179</v>
      </c>
      <c r="P3018" s="79">
        <v>45155.833333333336</v>
      </c>
      <c r="Q3018" s="77" t="s">
        <v>3690</v>
      </c>
      <c r="R3018" s="77">
        <v>0</v>
      </c>
      <c r="S3018" s="77">
        <v>0</v>
      </c>
      <c r="T3018" s="77">
        <v>0</v>
      </c>
      <c r="U3018" s="77">
        <v>0</v>
      </c>
      <c r="V3018" s="77">
        <v>415</v>
      </c>
      <c r="W3018" s="82" t="s">
        <v>6195</v>
      </c>
      <c r="X3018" s="80" t="str">
        <f>HYPERLINK("https://mla.bs/041584ad")</f>
        <v>https://mla.bs/041584ad</v>
      </c>
      <c r="Y3018" s="77" t="s">
        <v>6506</v>
      </c>
      <c r="Z3018" s="77"/>
      <c r="AA3018" s="77"/>
      <c r="AB3018" s="77"/>
      <c r="AC3018" s="82" t="s">
        <v>7750</v>
      </c>
      <c r="AD3018" s="77" t="s">
        <v>7788</v>
      </c>
      <c r="AE3018" s="80" t="str">
        <f>HYPERLINK("https://twitter.com/einvestidor/status/1692265036939657452")</f>
        <v>https://twitter.com/einvestidor/status/1692265036939657452</v>
      </c>
      <c r="AF3018" s="79">
        <v>45155.833333333336</v>
      </c>
      <c r="AG3018" s="85">
        <v>45155</v>
      </c>
      <c r="AH3018" s="82" t="s">
        <v>8381</v>
      </c>
      <c r="AI3018" s="77" t="b">
        <v>0</v>
      </c>
      <c r="AJ3018" s="77"/>
      <c r="AK3018" s="77"/>
      <c r="AL3018" s="77"/>
      <c r="AM3018" s="77"/>
      <c r="AN3018" s="77"/>
      <c r="AO3018" s="77"/>
      <c r="AP3018" s="77"/>
      <c r="AQ3018" s="77"/>
      <c r="AR3018" s="77"/>
      <c r="AS3018" s="77"/>
      <c r="AT3018" s="77"/>
      <c r="AU3018" s="77"/>
      <c r="AV3018" s="80" t="str">
        <f>HYPERLINK("https://pbs.twimg.com/profile_images/1241147984924082183/gZgx_hL-_normal.jpg")</f>
        <v>https://pbs.twimg.com/profile_images/1241147984924082183/gZgx_hL-_normal.jpg</v>
      </c>
      <c r="AW3018" s="82" t="s">
        <v>14614</v>
      </c>
      <c r="AX3018" s="82" t="s">
        <v>14614</v>
      </c>
      <c r="AY3018" s="77"/>
      <c r="AZ3018" s="82" t="s">
        <v>15984</v>
      </c>
      <c r="BA3018" s="82" t="s">
        <v>15984</v>
      </c>
      <c r="BB3018" s="82" t="s">
        <v>15984</v>
      </c>
      <c r="BC3018" s="82" t="s">
        <v>14614</v>
      </c>
      <c r="BD3018" s="82" t="s">
        <v>15979</v>
      </c>
      <c r="BE3018" s="77"/>
      <c r="BF3018" s="77"/>
      <c r="BG3018" s="77"/>
      <c r="BH3018" s="77"/>
      <c r="BI3018" s="77"/>
    </row>
    <row r="3019" spans="1:61" x14ac:dyDescent="0.25">
      <c r="A3019" s="62" t="s">
        <v>387</v>
      </c>
      <c r="B3019" s="62" t="s">
        <v>387</v>
      </c>
      <c r="C3019" s="63"/>
      <c r="D3019" s="64"/>
      <c r="E3019" s="65"/>
      <c r="F3019" s="66"/>
      <c r="G3019" s="63"/>
      <c r="H3019" s="67"/>
      <c r="I3019" s="68"/>
      <c r="J3019" s="68"/>
      <c r="K3019" s="32"/>
      <c r="L3019" s="75">
        <v>3019</v>
      </c>
      <c r="M3019" s="75"/>
      <c r="N3019" s="70"/>
      <c r="O3019" s="77" t="s">
        <v>179</v>
      </c>
      <c r="P3019" s="79">
        <v>45155.822916666664</v>
      </c>
      <c r="Q3019" s="77" t="s">
        <v>3691</v>
      </c>
      <c r="R3019" s="77">
        <v>0</v>
      </c>
      <c r="S3019" s="77">
        <v>2</v>
      </c>
      <c r="T3019" s="77">
        <v>0</v>
      </c>
      <c r="U3019" s="77">
        <v>0</v>
      </c>
      <c r="V3019" s="77">
        <v>603</v>
      </c>
      <c r="W3019" s="82" t="s">
        <v>5938</v>
      </c>
      <c r="X3019" s="80" t="str">
        <f>HYPERLINK("https://mla.bs/55d5650f")</f>
        <v>https://mla.bs/55d5650f</v>
      </c>
      <c r="Y3019" s="77" t="s">
        <v>6506</v>
      </c>
      <c r="Z3019" s="77"/>
      <c r="AA3019" s="77"/>
      <c r="AB3019" s="77"/>
      <c r="AC3019" s="82" t="s">
        <v>7750</v>
      </c>
      <c r="AD3019" s="77" t="s">
        <v>7788</v>
      </c>
      <c r="AE3019" s="80" t="str">
        <f>HYPERLINK("https://twitter.com/einvestidor/status/1692261262242316507")</f>
        <v>https://twitter.com/einvestidor/status/1692261262242316507</v>
      </c>
      <c r="AF3019" s="79">
        <v>45155.822916666664</v>
      </c>
      <c r="AG3019" s="85">
        <v>45155</v>
      </c>
      <c r="AH3019" s="82" t="s">
        <v>9579</v>
      </c>
      <c r="AI3019" s="77" t="b">
        <v>0</v>
      </c>
      <c r="AJ3019" s="77"/>
      <c r="AK3019" s="77"/>
      <c r="AL3019" s="77"/>
      <c r="AM3019" s="77"/>
      <c r="AN3019" s="77"/>
      <c r="AO3019" s="77"/>
      <c r="AP3019" s="77"/>
      <c r="AQ3019" s="77"/>
      <c r="AR3019" s="77"/>
      <c r="AS3019" s="77"/>
      <c r="AT3019" s="77"/>
      <c r="AU3019" s="77"/>
      <c r="AV3019" s="80" t="str">
        <f>HYPERLINK("https://pbs.twimg.com/profile_images/1241147984924082183/gZgx_hL-_normal.jpg")</f>
        <v>https://pbs.twimg.com/profile_images/1241147984924082183/gZgx_hL-_normal.jpg</v>
      </c>
      <c r="AW3019" s="82" t="s">
        <v>14615</v>
      </c>
      <c r="AX3019" s="82" t="s">
        <v>14615</v>
      </c>
      <c r="AY3019" s="77"/>
      <c r="AZ3019" s="82" t="s">
        <v>15984</v>
      </c>
      <c r="BA3019" s="82" t="s">
        <v>15984</v>
      </c>
      <c r="BB3019" s="82" t="s">
        <v>15984</v>
      </c>
      <c r="BC3019" s="82" t="s">
        <v>14615</v>
      </c>
      <c r="BD3019" s="82" t="s">
        <v>15979</v>
      </c>
      <c r="BE3019" s="77"/>
      <c r="BF3019" s="77"/>
      <c r="BG3019" s="77"/>
      <c r="BH3019" s="77"/>
      <c r="BI3019" s="77"/>
    </row>
    <row r="3020" spans="1:61" x14ac:dyDescent="0.25">
      <c r="A3020" s="62" t="s">
        <v>387</v>
      </c>
      <c r="B3020" s="62" t="s">
        <v>387</v>
      </c>
      <c r="C3020" s="63"/>
      <c r="D3020" s="64"/>
      <c r="E3020" s="65"/>
      <c r="F3020" s="66"/>
      <c r="G3020" s="63"/>
      <c r="H3020" s="67"/>
      <c r="I3020" s="68"/>
      <c r="J3020" s="68"/>
      <c r="K3020" s="32"/>
      <c r="L3020" s="75">
        <v>3020</v>
      </c>
      <c r="M3020" s="75"/>
      <c r="N3020" s="70"/>
      <c r="O3020" s="77" t="s">
        <v>179</v>
      </c>
      <c r="P3020" s="79">
        <v>45155.8125</v>
      </c>
      <c r="Q3020" s="77" t="s">
        <v>3692</v>
      </c>
      <c r="R3020" s="77">
        <v>0</v>
      </c>
      <c r="S3020" s="77">
        <v>0</v>
      </c>
      <c r="T3020" s="77">
        <v>0</v>
      </c>
      <c r="U3020" s="77">
        <v>0</v>
      </c>
      <c r="V3020" s="77">
        <v>468</v>
      </c>
      <c r="W3020" s="82" t="s">
        <v>4833</v>
      </c>
      <c r="X3020" s="80" t="str">
        <f>HYPERLINK("https://mla.bs/967d22d1")</f>
        <v>https://mla.bs/967d22d1</v>
      </c>
      <c r="Y3020" s="77" t="s">
        <v>6506</v>
      </c>
      <c r="Z3020" s="77"/>
      <c r="AA3020" s="77"/>
      <c r="AB3020" s="77"/>
      <c r="AC3020" s="82" t="s">
        <v>7750</v>
      </c>
      <c r="AD3020" s="77" t="s">
        <v>7788</v>
      </c>
      <c r="AE3020" s="80" t="str">
        <f>HYPERLINK("https://twitter.com/einvestidor/status/1692257488173949385")</f>
        <v>https://twitter.com/einvestidor/status/1692257488173949385</v>
      </c>
      <c r="AF3020" s="79">
        <v>45155.8125</v>
      </c>
      <c r="AG3020" s="85">
        <v>45155</v>
      </c>
      <c r="AH3020" s="82" t="s">
        <v>8281</v>
      </c>
      <c r="AI3020" s="77" t="b">
        <v>0</v>
      </c>
      <c r="AJ3020" s="77"/>
      <c r="AK3020" s="77"/>
      <c r="AL3020" s="77"/>
      <c r="AM3020" s="77"/>
      <c r="AN3020" s="77"/>
      <c r="AO3020" s="77"/>
      <c r="AP3020" s="77"/>
      <c r="AQ3020" s="77"/>
      <c r="AR3020" s="77"/>
      <c r="AS3020" s="77"/>
      <c r="AT3020" s="77"/>
      <c r="AU3020" s="77"/>
      <c r="AV3020" s="80" t="str">
        <f>HYPERLINK("https://pbs.twimg.com/profile_images/1241147984924082183/gZgx_hL-_normal.jpg")</f>
        <v>https://pbs.twimg.com/profile_images/1241147984924082183/gZgx_hL-_normal.jpg</v>
      </c>
      <c r="AW3020" s="82" t="s">
        <v>14616</v>
      </c>
      <c r="AX3020" s="82" t="s">
        <v>14616</v>
      </c>
      <c r="AY3020" s="77"/>
      <c r="AZ3020" s="82" t="s">
        <v>15984</v>
      </c>
      <c r="BA3020" s="82" t="s">
        <v>15984</v>
      </c>
      <c r="BB3020" s="82" t="s">
        <v>15984</v>
      </c>
      <c r="BC3020" s="82" t="s">
        <v>14616</v>
      </c>
      <c r="BD3020" s="82" t="s">
        <v>15979</v>
      </c>
      <c r="BE3020" s="77"/>
      <c r="BF3020" s="77"/>
      <c r="BG3020" s="77"/>
      <c r="BH3020" s="77"/>
      <c r="BI3020" s="77"/>
    </row>
    <row r="3021" spans="1:61" x14ac:dyDescent="0.25">
      <c r="A3021" s="62" t="s">
        <v>387</v>
      </c>
      <c r="B3021" s="62" t="s">
        <v>387</v>
      </c>
      <c r="C3021" s="63"/>
      <c r="D3021" s="64"/>
      <c r="E3021" s="65"/>
      <c r="F3021" s="66"/>
      <c r="G3021" s="63"/>
      <c r="H3021" s="67"/>
      <c r="I3021" s="68"/>
      <c r="J3021" s="68"/>
      <c r="K3021" s="32"/>
      <c r="L3021" s="75">
        <v>3021</v>
      </c>
      <c r="M3021" s="75"/>
      <c r="N3021" s="70"/>
      <c r="O3021" s="77" t="s">
        <v>179</v>
      </c>
      <c r="P3021" s="79">
        <v>45155.802083333336</v>
      </c>
      <c r="Q3021" s="77" t="s">
        <v>3693</v>
      </c>
      <c r="R3021" s="77">
        <v>0</v>
      </c>
      <c r="S3021" s="77">
        <v>0</v>
      </c>
      <c r="T3021" s="77">
        <v>1</v>
      </c>
      <c r="U3021" s="77">
        <v>0</v>
      </c>
      <c r="V3021" s="77">
        <v>900</v>
      </c>
      <c r="W3021" s="82" t="s">
        <v>6196</v>
      </c>
      <c r="X3021" s="80" t="str">
        <f>HYPERLINK("https://mla.bs/02b60623")</f>
        <v>https://mla.bs/02b60623</v>
      </c>
      <c r="Y3021" s="77" t="s">
        <v>6506</v>
      </c>
      <c r="Z3021" s="77"/>
      <c r="AA3021" s="77"/>
      <c r="AB3021" s="77"/>
      <c r="AC3021" s="82" t="s">
        <v>7750</v>
      </c>
      <c r="AD3021" s="77" t="s">
        <v>7788</v>
      </c>
      <c r="AE3021" s="80" t="str">
        <f>HYPERLINK("https://twitter.com/einvestidor/status/1692253712386060601")</f>
        <v>https://twitter.com/einvestidor/status/1692253712386060601</v>
      </c>
      <c r="AF3021" s="79">
        <v>45155.802083333336</v>
      </c>
      <c r="AG3021" s="85">
        <v>45155</v>
      </c>
      <c r="AH3021" s="82" t="s">
        <v>7868</v>
      </c>
      <c r="AI3021" s="77" t="b">
        <v>0</v>
      </c>
      <c r="AJ3021" s="77"/>
      <c r="AK3021" s="77"/>
      <c r="AL3021" s="77"/>
      <c r="AM3021" s="77"/>
      <c r="AN3021" s="77"/>
      <c r="AO3021" s="77"/>
      <c r="AP3021" s="77"/>
      <c r="AQ3021" s="77"/>
      <c r="AR3021" s="77"/>
      <c r="AS3021" s="77"/>
      <c r="AT3021" s="77"/>
      <c r="AU3021" s="77"/>
      <c r="AV3021" s="80" t="str">
        <f>HYPERLINK("https://pbs.twimg.com/profile_images/1241147984924082183/gZgx_hL-_normal.jpg")</f>
        <v>https://pbs.twimg.com/profile_images/1241147984924082183/gZgx_hL-_normal.jpg</v>
      </c>
      <c r="AW3021" s="82" t="s">
        <v>14617</v>
      </c>
      <c r="AX3021" s="82" t="s">
        <v>14617</v>
      </c>
      <c r="AY3021" s="77"/>
      <c r="AZ3021" s="82" t="s">
        <v>15984</v>
      </c>
      <c r="BA3021" s="82" t="s">
        <v>15984</v>
      </c>
      <c r="BB3021" s="82" t="s">
        <v>15984</v>
      </c>
      <c r="BC3021" s="82" t="s">
        <v>14617</v>
      </c>
      <c r="BD3021" s="82" t="s">
        <v>15979</v>
      </c>
      <c r="BE3021" s="77"/>
      <c r="BF3021" s="77"/>
      <c r="BG3021" s="77"/>
      <c r="BH3021" s="77"/>
      <c r="BI3021" s="77"/>
    </row>
    <row r="3022" spans="1:61" x14ac:dyDescent="0.25">
      <c r="A3022" s="62" t="s">
        <v>387</v>
      </c>
      <c r="B3022" s="62" t="s">
        <v>387</v>
      </c>
      <c r="C3022" s="63"/>
      <c r="D3022" s="64"/>
      <c r="E3022" s="65"/>
      <c r="F3022" s="66"/>
      <c r="G3022" s="63"/>
      <c r="H3022" s="67"/>
      <c r="I3022" s="68"/>
      <c r="J3022" s="68"/>
      <c r="K3022" s="32"/>
      <c r="L3022" s="75">
        <v>3022</v>
      </c>
      <c r="M3022" s="75"/>
      <c r="N3022" s="70"/>
      <c r="O3022" s="77" t="s">
        <v>179</v>
      </c>
      <c r="P3022" s="79">
        <v>45155.791666666664</v>
      </c>
      <c r="Q3022" s="77" t="s">
        <v>3694</v>
      </c>
      <c r="R3022" s="77">
        <v>1</v>
      </c>
      <c r="S3022" s="77">
        <v>1</v>
      </c>
      <c r="T3022" s="77">
        <v>0</v>
      </c>
      <c r="U3022" s="77">
        <v>0</v>
      </c>
      <c r="V3022" s="77">
        <v>421</v>
      </c>
      <c r="W3022" s="82" t="s">
        <v>6197</v>
      </c>
      <c r="X3022" s="80" t="str">
        <f>HYPERLINK("https://mla.bs/ed8b46c0")</f>
        <v>https://mla.bs/ed8b46c0</v>
      </c>
      <c r="Y3022" s="77" t="s">
        <v>6506</v>
      </c>
      <c r="Z3022" s="77"/>
      <c r="AA3022" s="77"/>
      <c r="AB3022" s="77"/>
      <c r="AC3022" s="82" t="s">
        <v>7750</v>
      </c>
      <c r="AD3022" s="77" t="s">
        <v>7788</v>
      </c>
      <c r="AE3022" s="80" t="str">
        <f>HYPERLINK("https://twitter.com/einvestidor/status/1692249938342617259")</f>
        <v>https://twitter.com/einvestidor/status/1692249938342617259</v>
      </c>
      <c r="AF3022" s="79">
        <v>45155.791666666664</v>
      </c>
      <c r="AG3022" s="85">
        <v>45155</v>
      </c>
      <c r="AH3022" s="82" t="s">
        <v>9299</v>
      </c>
      <c r="AI3022" s="77" t="b">
        <v>0</v>
      </c>
      <c r="AJ3022" s="77"/>
      <c r="AK3022" s="77"/>
      <c r="AL3022" s="77"/>
      <c r="AM3022" s="77"/>
      <c r="AN3022" s="77"/>
      <c r="AO3022" s="77"/>
      <c r="AP3022" s="77"/>
      <c r="AQ3022" s="77"/>
      <c r="AR3022" s="77"/>
      <c r="AS3022" s="77"/>
      <c r="AT3022" s="77"/>
      <c r="AU3022" s="77"/>
      <c r="AV3022" s="80" t="str">
        <f>HYPERLINK("https://pbs.twimg.com/profile_images/1241147984924082183/gZgx_hL-_normal.jpg")</f>
        <v>https://pbs.twimg.com/profile_images/1241147984924082183/gZgx_hL-_normal.jpg</v>
      </c>
      <c r="AW3022" s="82" t="s">
        <v>14618</v>
      </c>
      <c r="AX3022" s="82" t="s">
        <v>14618</v>
      </c>
      <c r="AY3022" s="77"/>
      <c r="AZ3022" s="82" t="s">
        <v>15984</v>
      </c>
      <c r="BA3022" s="82" t="s">
        <v>15984</v>
      </c>
      <c r="BB3022" s="82" t="s">
        <v>15984</v>
      </c>
      <c r="BC3022" s="82" t="s">
        <v>14618</v>
      </c>
      <c r="BD3022" s="82" t="s">
        <v>15979</v>
      </c>
      <c r="BE3022" s="77"/>
      <c r="BF3022" s="77"/>
      <c r="BG3022" s="77"/>
      <c r="BH3022" s="77"/>
      <c r="BI3022" s="77"/>
    </row>
    <row r="3023" spans="1:61" x14ac:dyDescent="0.25">
      <c r="A3023" s="62" t="s">
        <v>387</v>
      </c>
      <c r="B3023" s="62" t="s">
        <v>387</v>
      </c>
      <c r="C3023" s="63"/>
      <c r="D3023" s="64"/>
      <c r="E3023" s="65"/>
      <c r="F3023" s="66"/>
      <c r="G3023" s="63"/>
      <c r="H3023" s="67"/>
      <c r="I3023" s="68"/>
      <c r="J3023" s="68"/>
      <c r="K3023" s="32"/>
      <c r="L3023" s="75">
        <v>3023</v>
      </c>
      <c r="M3023" s="75"/>
      <c r="N3023" s="70"/>
      <c r="O3023" s="77" t="s">
        <v>179</v>
      </c>
      <c r="P3023" s="79">
        <v>45155.78125</v>
      </c>
      <c r="Q3023" s="77" t="s">
        <v>3695</v>
      </c>
      <c r="R3023" s="77">
        <v>1</v>
      </c>
      <c r="S3023" s="77">
        <v>2</v>
      </c>
      <c r="T3023" s="77">
        <v>0</v>
      </c>
      <c r="U3023" s="77">
        <v>0</v>
      </c>
      <c r="V3023" s="77">
        <v>465</v>
      </c>
      <c r="W3023" s="82" t="s">
        <v>6198</v>
      </c>
      <c r="X3023" s="80" t="str">
        <f>HYPERLINK("https://mla.bs/896e7130")</f>
        <v>https://mla.bs/896e7130</v>
      </c>
      <c r="Y3023" s="77" t="s">
        <v>6506</v>
      </c>
      <c r="Z3023" s="77"/>
      <c r="AA3023" s="77"/>
      <c r="AB3023" s="77"/>
      <c r="AC3023" s="82" t="s">
        <v>7750</v>
      </c>
      <c r="AD3023" s="77" t="s">
        <v>7788</v>
      </c>
      <c r="AE3023" s="80" t="str">
        <f>HYPERLINK("https://twitter.com/einvestidor/status/1692246162605035567")</f>
        <v>https://twitter.com/einvestidor/status/1692246162605035567</v>
      </c>
      <c r="AF3023" s="79">
        <v>45155.78125</v>
      </c>
      <c r="AG3023" s="85">
        <v>45155</v>
      </c>
      <c r="AH3023" s="82" t="s">
        <v>9581</v>
      </c>
      <c r="AI3023" s="77" t="b">
        <v>0</v>
      </c>
      <c r="AJ3023" s="77"/>
      <c r="AK3023" s="77"/>
      <c r="AL3023" s="77"/>
      <c r="AM3023" s="77"/>
      <c r="AN3023" s="77"/>
      <c r="AO3023" s="77"/>
      <c r="AP3023" s="77"/>
      <c r="AQ3023" s="77"/>
      <c r="AR3023" s="77"/>
      <c r="AS3023" s="77"/>
      <c r="AT3023" s="77"/>
      <c r="AU3023" s="77"/>
      <c r="AV3023" s="80" t="str">
        <f>HYPERLINK("https://pbs.twimg.com/profile_images/1241147984924082183/gZgx_hL-_normal.jpg")</f>
        <v>https://pbs.twimg.com/profile_images/1241147984924082183/gZgx_hL-_normal.jpg</v>
      </c>
      <c r="AW3023" s="82" t="s">
        <v>14619</v>
      </c>
      <c r="AX3023" s="82" t="s">
        <v>14619</v>
      </c>
      <c r="AY3023" s="77"/>
      <c r="AZ3023" s="82" t="s">
        <v>15984</v>
      </c>
      <c r="BA3023" s="82" t="s">
        <v>15984</v>
      </c>
      <c r="BB3023" s="82" t="s">
        <v>15984</v>
      </c>
      <c r="BC3023" s="82" t="s">
        <v>14619</v>
      </c>
      <c r="BD3023" s="82" t="s">
        <v>15979</v>
      </c>
      <c r="BE3023" s="77"/>
      <c r="BF3023" s="77"/>
      <c r="BG3023" s="77"/>
      <c r="BH3023" s="77"/>
      <c r="BI3023" s="77"/>
    </row>
    <row r="3024" spans="1:61" x14ac:dyDescent="0.25">
      <c r="A3024" s="62" t="s">
        <v>387</v>
      </c>
      <c r="B3024" s="62" t="s">
        <v>387</v>
      </c>
      <c r="C3024" s="63"/>
      <c r="D3024" s="64"/>
      <c r="E3024" s="65"/>
      <c r="F3024" s="66"/>
      <c r="G3024" s="63"/>
      <c r="H3024" s="67"/>
      <c r="I3024" s="68"/>
      <c r="J3024" s="68"/>
      <c r="K3024" s="32"/>
      <c r="L3024" s="75">
        <v>3024</v>
      </c>
      <c r="M3024" s="75"/>
      <c r="N3024" s="70"/>
      <c r="O3024" s="77" t="s">
        <v>179</v>
      </c>
      <c r="P3024" s="79">
        <v>45155.770833333336</v>
      </c>
      <c r="Q3024" s="77" t="s">
        <v>3696</v>
      </c>
      <c r="R3024" s="77">
        <v>0</v>
      </c>
      <c r="S3024" s="77">
        <v>3</v>
      </c>
      <c r="T3024" s="77">
        <v>0</v>
      </c>
      <c r="U3024" s="77">
        <v>0</v>
      </c>
      <c r="V3024" s="77">
        <v>541</v>
      </c>
      <c r="W3024" s="82" t="s">
        <v>6118</v>
      </c>
      <c r="X3024" s="80" t="str">
        <f>HYPERLINK("https://mla.bs/4a3851a1")</f>
        <v>https://mla.bs/4a3851a1</v>
      </c>
      <c r="Y3024" s="77" t="s">
        <v>6506</v>
      </c>
      <c r="Z3024" s="77"/>
      <c r="AA3024" s="77"/>
      <c r="AB3024" s="77"/>
      <c r="AC3024" s="82" t="s">
        <v>7750</v>
      </c>
      <c r="AD3024" s="77" t="s">
        <v>7788</v>
      </c>
      <c r="AE3024" s="80" t="str">
        <f>HYPERLINK("https://twitter.com/einvestidor/status/1692242389853683793")</f>
        <v>https://twitter.com/einvestidor/status/1692242389853683793</v>
      </c>
      <c r="AF3024" s="79">
        <v>45155.770833333336</v>
      </c>
      <c r="AG3024" s="85">
        <v>45155</v>
      </c>
      <c r="AH3024" s="82" t="s">
        <v>7930</v>
      </c>
      <c r="AI3024" s="77" t="b">
        <v>0</v>
      </c>
      <c r="AJ3024" s="77"/>
      <c r="AK3024" s="77"/>
      <c r="AL3024" s="77"/>
      <c r="AM3024" s="77"/>
      <c r="AN3024" s="77"/>
      <c r="AO3024" s="77"/>
      <c r="AP3024" s="77"/>
      <c r="AQ3024" s="77"/>
      <c r="AR3024" s="77"/>
      <c r="AS3024" s="77"/>
      <c r="AT3024" s="77"/>
      <c r="AU3024" s="77"/>
      <c r="AV3024" s="80" t="str">
        <f>HYPERLINK("https://pbs.twimg.com/profile_images/1241147984924082183/gZgx_hL-_normal.jpg")</f>
        <v>https://pbs.twimg.com/profile_images/1241147984924082183/gZgx_hL-_normal.jpg</v>
      </c>
      <c r="AW3024" s="82" t="s">
        <v>14620</v>
      </c>
      <c r="AX3024" s="82" t="s">
        <v>14620</v>
      </c>
      <c r="AY3024" s="77"/>
      <c r="AZ3024" s="82" t="s">
        <v>15984</v>
      </c>
      <c r="BA3024" s="82" t="s">
        <v>15984</v>
      </c>
      <c r="BB3024" s="82" t="s">
        <v>15984</v>
      </c>
      <c r="BC3024" s="82" t="s">
        <v>14620</v>
      </c>
      <c r="BD3024" s="82" t="s">
        <v>15979</v>
      </c>
      <c r="BE3024" s="77"/>
      <c r="BF3024" s="77"/>
      <c r="BG3024" s="77"/>
      <c r="BH3024" s="77"/>
      <c r="BI3024" s="77"/>
    </row>
    <row r="3025" spans="1:61" x14ac:dyDescent="0.25">
      <c r="A3025" s="62" t="s">
        <v>387</v>
      </c>
      <c r="B3025" s="62" t="s">
        <v>387</v>
      </c>
      <c r="C3025" s="63"/>
      <c r="D3025" s="64"/>
      <c r="E3025" s="65"/>
      <c r="F3025" s="66"/>
      <c r="G3025" s="63"/>
      <c r="H3025" s="67"/>
      <c r="I3025" s="68"/>
      <c r="J3025" s="68"/>
      <c r="K3025" s="32"/>
      <c r="L3025" s="75">
        <v>3025</v>
      </c>
      <c r="M3025" s="75"/>
      <c r="N3025" s="70"/>
      <c r="O3025" s="77" t="s">
        <v>179</v>
      </c>
      <c r="P3025" s="79">
        <v>45155.760416666664</v>
      </c>
      <c r="Q3025" s="77" t="s">
        <v>3697</v>
      </c>
      <c r="R3025" s="77">
        <v>0</v>
      </c>
      <c r="S3025" s="77">
        <v>0</v>
      </c>
      <c r="T3025" s="77">
        <v>0</v>
      </c>
      <c r="U3025" s="77">
        <v>0</v>
      </c>
      <c r="V3025" s="77">
        <v>444</v>
      </c>
      <c r="W3025" s="82" t="s">
        <v>4833</v>
      </c>
      <c r="X3025" s="80" t="str">
        <f>HYPERLINK("https://mla.bs/973da900")</f>
        <v>https://mla.bs/973da900</v>
      </c>
      <c r="Y3025" s="77" t="s">
        <v>6506</v>
      </c>
      <c r="Z3025" s="77"/>
      <c r="AA3025" s="77"/>
      <c r="AB3025" s="77"/>
      <c r="AC3025" s="82" t="s">
        <v>7750</v>
      </c>
      <c r="AD3025" s="77" t="s">
        <v>7788</v>
      </c>
      <c r="AE3025" s="80" t="str">
        <f>HYPERLINK("https://twitter.com/einvestidor/status/1692238612740391408")</f>
        <v>https://twitter.com/einvestidor/status/1692238612740391408</v>
      </c>
      <c r="AF3025" s="79">
        <v>45155.760416666664</v>
      </c>
      <c r="AG3025" s="85">
        <v>45155</v>
      </c>
      <c r="AH3025" s="82" t="s">
        <v>9582</v>
      </c>
      <c r="AI3025" s="77" t="b">
        <v>0</v>
      </c>
      <c r="AJ3025" s="77"/>
      <c r="AK3025" s="77"/>
      <c r="AL3025" s="77"/>
      <c r="AM3025" s="77"/>
      <c r="AN3025" s="77"/>
      <c r="AO3025" s="77"/>
      <c r="AP3025" s="77"/>
      <c r="AQ3025" s="77"/>
      <c r="AR3025" s="77"/>
      <c r="AS3025" s="77"/>
      <c r="AT3025" s="77"/>
      <c r="AU3025" s="77"/>
      <c r="AV3025" s="80" t="str">
        <f>HYPERLINK("https://pbs.twimg.com/profile_images/1241147984924082183/gZgx_hL-_normal.jpg")</f>
        <v>https://pbs.twimg.com/profile_images/1241147984924082183/gZgx_hL-_normal.jpg</v>
      </c>
      <c r="AW3025" s="82" t="s">
        <v>14621</v>
      </c>
      <c r="AX3025" s="82" t="s">
        <v>14621</v>
      </c>
      <c r="AY3025" s="77"/>
      <c r="AZ3025" s="82" t="s">
        <v>15984</v>
      </c>
      <c r="BA3025" s="82" t="s">
        <v>15984</v>
      </c>
      <c r="BB3025" s="82" t="s">
        <v>15984</v>
      </c>
      <c r="BC3025" s="82" t="s">
        <v>14621</v>
      </c>
      <c r="BD3025" s="82" t="s">
        <v>15979</v>
      </c>
      <c r="BE3025" s="77"/>
      <c r="BF3025" s="77"/>
      <c r="BG3025" s="77"/>
      <c r="BH3025" s="77"/>
      <c r="BI3025" s="77"/>
    </row>
    <row r="3026" spans="1:61" x14ac:dyDescent="0.25">
      <c r="A3026" s="62" t="s">
        <v>387</v>
      </c>
      <c r="B3026" s="62" t="s">
        <v>387</v>
      </c>
      <c r="C3026" s="63"/>
      <c r="D3026" s="64"/>
      <c r="E3026" s="65"/>
      <c r="F3026" s="66"/>
      <c r="G3026" s="63"/>
      <c r="H3026" s="67"/>
      <c r="I3026" s="68"/>
      <c r="J3026" s="68"/>
      <c r="K3026" s="32"/>
      <c r="L3026" s="75">
        <v>3026</v>
      </c>
      <c r="M3026" s="75"/>
      <c r="N3026" s="70"/>
      <c r="O3026" s="77" t="s">
        <v>179</v>
      </c>
      <c r="P3026" s="79">
        <v>45155.75</v>
      </c>
      <c r="Q3026" s="77" t="s">
        <v>3698</v>
      </c>
      <c r="R3026" s="77">
        <v>0</v>
      </c>
      <c r="S3026" s="77">
        <v>0</v>
      </c>
      <c r="T3026" s="77">
        <v>0</v>
      </c>
      <c r="U3026" s="77">
        <v>0</v>
      </c>
      <c r="V3026" s="77">
        <v>424</v>
      </c>
      <c r="W3026" s="82" t="s">
        <v>6199</v>
      </c>
      <c r="X3026" s="80" t="str">
        <f>HYPERLINK("https://mla.bs/c5d9180b")</f>
        <v>https://mla.bs/c5d9180b</v>
      </c>
      <c r="Y3026" s="77" t="s">
        <v>6506</v>
      </c>
      <c r="Z3026" s="77"/>
      <c r="AA3026" s="77"/>
      <c r="AB3026" s="77"/>
      <c r="AC3026" s="82" t="s">
        <v>7750</v>
      </c>
      <c r="AD3026" s="77" t="s">
        <v>7788</v>
      </c>
      <c r="AE3026" s="80" t="str">
        <f>HYPERLINK("https://twitter.com/einvestidor/status/1692234837778915453")</f>
        <v>https://twitter.com/einvestidor/status/1692234837778915453</v>
      </c>
      <c r="AF3026" s="79">
        <v>45155.75</v>
      </c>
      <c r="AG3026" s="85">
        <v>45155</v>
      </c>
      <c r="AH3026" s="82" t="s">
        <v>7934</v>
      </c>
      <c r="AI3026" s="77" t="b">
        <v>0</v>
      </c>
      <c r="AJ3026" s="77"/>
      <c r="AK3026" s="77"/>
      <c r="AL3026" s="77"/>
      <c r="AM3026" s="77"/>
      <c r="AN3026" s="77"/>
      <c r="AO3026" s="77"/>
      <c r="AP3026" s="77"/>
      <c r="AQ3026" s="77"/>
      <c r="AR3026" s="77"/>
      <c r="AS3026" s="77"/>
      <c r="AT3026" s="77"/>
      <c r="AU3026" s="77"/>
      <c r="AV3026" s="80" t="str">
        <f>HYPERLINK("https://pbs.twimg.com/profile_images/1241147984924082183/gZgx_hL-_normal.jpg")</f>
        <v>https://pbs.twimg.com/profile_images/1241147984924082183/gZgx_hL-_normal.jpg</v>
      </c>
      <c r="AW3026" s="82" t="s">
        <v>14622</v>
      </c>
      <c r="AX3026" s="82" t="s">
        <v>14622</v>
      </c>
      <c r="AY3026" s="77"/>
      <c r="AZ3026" s="82" t="s">
        <v>15984</v>
      </c>
      <c r="BA3026" s="82" t="s">
        <v>15984</v>
      </c>
      <c r="BB3026" s="82" t="s">
        <v>15984</v>
      </c>
      <c r="BC3026" s="82" t="s">
        <v>14622</v>
      </c>
      <c r="BD3026" s="82" t="s">
        <v>15979</v>
      </c>
      <c r="BE3026" s="77"/>
      <c r="BF3026" s="77"/>
      <c r="BG3026" s="77"/>
      <c r="BH3026" s="77"/>
      <c r="BI3026" s="77"/>
    </row>
    <row r="3027" spans="1:61" x14ac:dyDescent="0.25">
      <c r="A3027" s="62" t="s">
        <v>387</v>
      </c>
      <c r="B3027" s="62" t="s">
        <v>387</v>
      </c>
      <c r="C3027" s="63"/>
      <c r="D3027" s="64"/>
      <c r="E3027" s="65"/>
      <c r="F3027" s="66"/>
      <c r="G3027" s="63"/>
      <c r="H3027" s="67"/>
      <c r="I3027" s="68"/>
      <c r="J3027" s="68"/>
      <c r="K3027" s="32"/>
      <c r="L3027" s="75">
        <v>3027</v>
      </c>
      <c r="M3027" s="75"/>
      <c r="N3027" s="70"/>
      <c r="O3027" s="77" t="s">
        <v>179</v>
      </c>
      <c r="P3027" s="79">
        <v>45155.739583333336</v>
      </c>
      <c r="Q3027" s="77" t="s">
        <v>3699</v>
      </c>
      <c r="R3027" s="77">
        <v>0</v>
      </c>
      <c r="S3027" s="77">
        <v>0</v>
      </c>
      <c r="T3027" s="77">
        <v>0</v>
      </c>
      <c r="U3027" s="77">
        <v>0</v>
      </c>
      <c r="V3027" s="77">
        <v>348</v>
      </c>
      <c r="W3027" s="82" t="s">
        <v>4833</v>
      </c>
      <c r="X3027" s="80" t="str">
        <f>HYPERLINK("https://mla.bs/6a27ab8c")</f>
        <v>https://mla.bs/6a27ab8c</v>
      </c>
      <c r="Y3027" s="77" t="s">
        <v>6506</v>
      </c>
      <c r="Z3027" s="77"/>
      <c r="AA3027" s="77"/>
      <c r="AB3027" s="77"/>
      <c r="AC3027" s="82" t="s">
        <v>7750</v>
      </c>
      <c r="AD3027" s="77" t="s">
        <v>7788</v>
      </c>
      <c r="AE3027" s="80" t="str">
        <f>HYPERLINK("https://twitter.com/einvestidor/status/1692231063081476128")</f>
        <v>https://twitter.com/einvestidor/status/1692231063081476128</v>
      </c>
      <c r="AF3027" s="79">
        <v>45155.739583333336</v>
      </c>
      <c r="AG3027" s="85">
        <v>45155</v>
      </c>
      <c r="AH3027" s="82" t="s">
        <v>9626</v>
      </c>
      <c r="AI3027" s="77" t="b">
        <v>0</v>
      </c>
      <c r="AJ3027" s="77"/>
      <c r="AK3027" s="77"/>
      <c r="AL3027" s="77"/>
      <c r="AM3027" s="77"/>
      <c r="AN3027" s="77"/>
      <c r="AO3027" s="77"/>
      <c r="AP3027" s="77"/>
      <c r="AQ3027" s="77"/>
      <c r="AR3027" s="77"/>
      <c r="AS3027" s="77"/>
      <c r="AT3027" s="77"/>
      <c r="AU3027" s="77"/>
      <c r="AV3027" s="80" t="str">
        <f>HYPERLINK("https://pbs.twimg.com/profile_images/1241147984924082183/gZgx_hL-_normal.jpg")</f>
        <v>https://pbs.twimg.com/profile_images/1241147984924082183/gZgx_hL-_normal.jpg</v>
      </c>
      <c r="AW3027" s="82" t="s">
        <v>14623</v>
      </c>
      <c r="AX3027" s="82" t="s">
        <v>14623</v>
      </c>
      <c r="AY3027" s="77"/>
      <c r="AZ3027" s="82" t="s">
        <v>15984</v>
      </c>
      <c r="BA3027" s="82" t="s">
        <v>15984</v>
      </c>
      <c r="BB3027" s="82" t="s">
        <v>15984</v>
      </c>
      <c r="BC3027" s="82" t="s">
        <v>14623</v>
      </c>
      <c r="BD3027" s="82" t="s">
        <v>15979</v>
      </c>
      <c r="BE3027" s="77"/>
      <c r="BF3027" s="77"/>
      <c r="BG3027" s="77"/>
      <c r="BH3027" s="77"/>
      <c r="BI3027" s="77"/>
    </row>
    <row r="3028" spans="1:61" x14ac:dyDescent="0.25">
      <c r="A3028" s="62" t="s">
        <v>387</v>
      </c>
      <c r="B3028" s="62" t="s">
        <v>387</v>
      </c>
      <c r="C3028" s="63"/>
      <c r="D3028" s="64"/>
      <c r="E3028" s="65"/>
      <c r="F3028" s="66"/>
      <c r="G3028" s="63"/>
      <c r="H3028" s="67"/>
      <c r="I3028" s="68"/>
      <c r="J3028" s="68"/>
      <c r="K3028" s="32"/>
      <c r="L3028" s="75">
        <v>3028</v>
      </c>
      <c r="M3028" s="75"/>
      <c r="N3028" s="70"/>
      <c r="O3028" s="77" t="s">
        <v>179</v>
      </c>
      <c r="P3028" s="79">
        <v>45146.84375</v>
      </c>
      <c r="Q3028" s="77" t="s">
        <v>3700</v>
      </c>
      <c r="R3028" s="77">
        <v>0</v>
      </c>
      <c r="S3028" s="77">
        <v>0</v>
      </c>
      <c r="T3028" s="77">
        <v>0</v>
      </c>
      <c r="U3028" s="77">
        <v>0</v>
      </c>
      <c r="V3028" s="77">
        <v>485</v>
      </c>
      <c r="W3028" s="82" t="s">
        <v>6200</v>
      </c>
      <c r="X3028" s="80" t="str">
        <f>HYPERLINK("https://mla.bs/1501a381")</f>
        <v>https://mla.bs/1501a381</v>
      </c>
      <c r="Y3028" s="77" t="s">
        <v>6506</v>
      </c>
      <c r="Z3028" s="77"/>
      <c r="AA3028" s="77"/>
      <c r="AB3028" s="77"/>
      <c r="AC3028" s="82" t="s">
        <v>7754</v>
      </c>
      <c r="AD3028" s="77" t="s">
        <v>7788</v>
      </c>
      <c r="AE3028" s="80" t="str">
        <f>HYPERLINK("https://twitter.com/einvestidor/status/1689007320947191808")</f>
        <v>https://twitter.com/einvestidor/status/1689007320947191808</v>
      </c>
      <c r="AF3028" s="79">
        <v>45146.84375</v>
      </c>
      <c r="AG3028" s="85">
        <v>45146</v>
      </c>
      <c r="AH3028" s="82" t="s">
        <v>9296</v>
      </c>
      <c r="AI3028" s="77" t="b">
        <v>0</v>
      </c>
      <c r="AJ3028" s="77"/>
      <c r="AK3028" s="77"/>
      <c r="AL3028" s="77"/>
      <c r="AM3028" s="77"/>
      <c r="AN3028" s="77"/>
      <c r="AO3028" s="77"/>
      <c r="AP3028" s="77"/>
      <c r="AQ3028" s="77"/>
      <c r="AR3028" s="77"/>
      <c r="AS3028" s="77"/>
      <c r="AT3028" s="77"/>
      <c r="AU3028" s="77"/>
      <c r="AV3028" s="80" t="str">
        <f>HYPERLINK("https://pbs.twimg.com/profile_images/1241147984924082183/gZgx_hL-_normal.jpg")</f>
        <v>https://pbs.twimg.com/profile_images/1241147984924082183/gZgx_hL-_normal.jpg</v>
      </c>
      <c r="AW3028" s="82" t="s">
        <v>14624</v>
      </c>
      <c r="AX3028" s="82" t="s">
        <v>14624</v>
      </c>
      <c r="AY3028" s="77"/>
      <c r="AZ3028" s="82" t="s">
        <v>15984</v>
      </c>
      <c r="BA3028" s="82" t="s">
        <v>15984</v>
      </c>
      <c r="BB3028" s="82" t="s">
        <v>15984</v>
      </c>
      <c r="BC3028" s="82" t="s">
        <v>14624</v>
      </c>
      <c r="BD3028" s="82" t="s">
        <v>15979</v>
      </c>
      <c r="BE3028" s="77"/>
      <c r="BF3028" s="77"/>
      <c r="BG3028" s="77"/>
      <c r="BH3028" s="77"/>
      <c r="BI3028" s="77"/>
    </row>
    <row r="3029" spans="1:61" x14ac:dyDescent="0.25">
      <c r="A3029" s="62" t="s">
        <v>387</v>
      </c>
      <c r="B3029" s="62" t="s">
        <v>387</v>
      </c>
      <c r="C3029" s="63"/>
      <c r="D3029" s="64"/>
      <c r="E3029" s="65"/>
      <c r="F3029" s="66"/>
      <c r="G3029" s="63"/>
      <c r="H3029" s="67"/>
      <c r="I3029" s="68"/>
      <c r="J3029" s="68"/>
      <c r="K3029" s="32"/>
      <c r="L3029" s="75">
        <v>3029</v>
      </c>
      <c r="M3029" s="75"/>
      <c r="N3029" s="70"/>
      <c r="O3029" s="77" t="s">
        <v>179</v>
      </c>
      <c r="P3029" s="79">
        <v>45146.833344907405</v>
      </c>
      <c r="Q3029" s="77" t="s">
        <v>3701</v>
      </c>
      <c r="R3029" s="77">
        <v>0</v>
      </c>
      <c r="S3029" s="77">
        <v>1</v>
      </c>
      <c r="T3029" s="77">
        <v>0</v>
      </c>
      <c r="U3029" s="77">
        <v>0</v>
      </c>
      <c r="V3029" s="77">
        <v>460</v>
      </c>
      <c r="W3029" s="82" t="s">
        <v>6069</v>
      </c>
      <c r="X3029" s="80" t="str">
        <f>HYPERLINK("https://mla.bs/b4561fc6")</f>
        <v>https://mla.bs/b4561fc6</v>
      </c>
      <c r="Y3029" s="77" t="s">
        <v>6506</v>
      </c>
      <c r="Z3029" s="77"/>
      <c r="AA3029" s="77"/>
      <c r="AB3029" s="77"/>
      <c r="AC3029" s="82" t="s">
        <v>7754</v>
      </c>
      <c r="AD3029" s="77" t="s">
        <v>7788</v>
      </c>
      <c r="AE3029" s="80" t="str">
        <f>HYPERLINK("https://twitter.com/einvestidor/status/1689003549592784897")</f>
        <v>https://twitter.com/einvestidor/status/1689003549592784897</v>
      </c>
      <c r="AF3029" s="79">
        <v>45146.833344907405</v>
      </c>
      <c r="AG3029" s="85">
        <v>45146</v>
      </c>
      <c r="AH3029" s="82" t="s">
        <v>8284</v>
      </c>
      <c r="AI3029" s="77" t="b">
        <v>0</v>
      </c>
      <c r="AJ3029" s="77"/>
      <c r="AK3029" s="77"/>
      <c r="AL3029" s="77"/>
      <c r="AM3029" s="77"/>
      <c r="AN3029" s="77"/>
      <c r="AO3029" s="77"/>
      <c r="AP3029" s="77"/>
      <c r="AQ3029" s="77"/>
      <c r="AR3029" s="77"/>
      <c r="AS3029" s="77"/>
      <c r="AT3029" s="77"/>
      <c r="AU3029" s="77"/>
      <c r="AV3029" s="80" t="str">
        <f>HYPERLINK("https://pbs.twimg.com/profile_images/1241147984924082183/gZgx_hL-_normal.jpg")</f>
        <v>https://pbs.twimg.com/profile_images/1241147984924082183/gZgx_hL-_normal.jpg</v>
      </c>
      <c r="AW3029" s="82" t="s">
        <v>14625</v>
      </c>
      <c r="AX3029" s="82" t="s">
        <v>14625</v>
      </c>
      <c r="AY3029" s="77"/>
      <c r="AZ3029" s="82" t="s">
        <v>15984</v>
      </c>
      <c r="BA3029" s="82" t="s">
        <v>15984</v>
      </c>
      <c r="BB3029" s="82" t="s">
        <v>15984</v>
      </c>
      <c r="BC3029" s="82" t="s">
        <v>14625</v>
      </c>
      <c r="BD3029" s="82" t="s">
        <v>15979</v>
      </c>
      <c r="BE3029" s="77"/>
      <c r="BF3029" s="77"/>
      <c r="BG3029" s="77"/>
      <c r="BH3029" s="77"/>
      <c r="BI3029" s="77"/>
    </row>
    <row r="3030" spans="1:61" x14ac:dyDescent="0.25">
      <c r="A3030" s="62" t="s">
        <v>387</v>
      </c>
      <c r="B3030" s="62" t="s">
        <v>387</v>
      </c>
      <c r="C3030" s="63"/>
      <c r="D3030" s="64"/>
      <c r="E3030" s="65"/>
      <c r="F3030" s="66"/>
      <c r="G3030" s="63"/>
      <c r="H3030" s="67"/>
      <c r="I3030" s="68"/>
      <c r="J3030" s="68"/>
      <c r="K3030" s="32"/>
      <c r="L3030" s="75">
        <v>3030</v>
      </c>
      <c r="M3030" s="75"/>
      <c r="N3030" s="70"/>
      <c r="O3030" s="77" t="s">
        <v>179</v>
      </c>
      <c r="P3030" s="79">
        <v>45146.822916666664</v>
      </c>
      <c r="Q3030" s="77" t="s">
        <v>3702</v>
      </c>
      <c r="R3030" s="77">
        <v>0</v>
      </c>
      <c r="S3030" s="77">
        <v>1</v>
      </c>
      <c r="T3030" s="77">
        <v>0</v>
      </c>
      <c r="U3030" s="77">
        <v>0</v>
      </c>
      <c r="V3030" s="77">
        <v>471</v>
      </c>
      <c r="W3030" s="82" t="s">
        <v>4833</v>
      </c>
      <c r="X3030" s="80" t="str">
        <f>HYPERLINK("https://mla.bs/cee25ded")</f>
        <v>https://mla.bs/cee25ded</v>
      </c>
      <c r="Y3030" s="77" t="s">
        <v>6506</v>
      </c>
      <c r="Z3030" s="77"/>
      <c r="AA3030" s="77"/>
      <c r="AB3030" s="77"/>
      <c r="AC3030" s="82" t="s">
        <v>7754</v>
      </c>
      <c r="AD3030" s="77" t="s">
        <v>7788</v>
      </c>
      <c r="AE3030" s="80" t="str">
        <f>HYPERLINK("https://twitter.com/einvestidor/status/1688999771585810432")</f>
        <v>https://twitter.com/einvestidor/status/1688999771585810432</v>
      </c>
      <c r="AF3030" s="79">
        <v>45146.822916666664</v>
      </c>
      <c r="AG3030" s="85">
        <v>45146</v>
      </c>
      <c r="AH3030" s="82" t="s">
        <v>9579</v>
      </c>
      <c r="AI3030" s="77" t="b">
        <v>0</v>
      </c>
      <c r="AJ3030" s="77"/>
      <c r="AK3030" s="77"/>
      <c r="AL3030" s="77"/>
      <c r="AM3030" s="77"/>
      <c r="AN3030" s="77"/>
      <c r="AO3030" s="77"/>
      <c r="AP3030" s="77"/>
      <c r="AQ3030" s="77"/>
      <c r="AR3030" s="77"/>
      <c r="AS3030" s="77"/>
      <c r="AT3030" s="77"/>
      <c r="AU3030" s="77"/>
      <c r="AV3030" s="80" t="str">
        <f>HYPERLINK("https://pbs.twimg.com/profile_images/1241147984924082183/gZgx_hL-_normal.jpg")</f>
        <v>https://pbs.twimg.com/profile_images/1241147984924082183/gZgx_hL-_normal.jpg</v>
      </c>
      <c r="AW3030" s="82" t="s">
        <v>14626</v>
      </c>
      <c r="AX3030" s="82" t="s">
        <v>14626</v>
      </c>
      <c r="AY3030" s="77"/>
      <c r="AZ3030" s="82" t="s">
        <v>15984</v>
      </c>
      <c r="BA3030" s="82" t="s">
        <v>15984</v>
      </c>
      <c r="BB3030" s="82" t="s">
        <v>15984</v>
      </c>
      <c r="BC3030" s="82" t="s">
        <v>14626</v>
      </c>
      <c r="BD3030" s="82" t="s">
        <v>15979</v>
      </c>
      <c r="BE3030" s="77"/>
      <c r="BF3030" s="77"/>
      <c r="BG3030" s="77"/>
      <c r="BH3030" s="77"/>
      <c r="BI3030" s="77"/>
    </row>
    <row r="3031" spans="1:61" x14ac:dyDescent="0.25">
      <c r="A3031" s="62" t="s">
        <v>387</v>
      </c>
      <c r="B3031" s="62" t="s">
        <v>387</v>
      </c>
      <c r="C3031" s="63"/>
      <c r="D3031" s="64"/>
      <c r="E3031" s="65"/>
      <c r="F3031" s="66"/>
      <c r="G3031" s="63"/>
      <c r="H3031" s="67"/>
      <c r="I3031" s="68"/>
      <c r="J3031" s="68"/>
      <c r="K3031" s="32"/>
      <c r="L3031" s="75">
        <v>3031</v>
      </c>
      <c r="M3031" s="75"/>
      <c r="N3031" s="70"/>
      <c r="O3031" s="77" t="s">
        <v>179</v>
      </c>
      <c r="P3031" s="79">
        <v>45146.8125</v>
      </c>
      <c r="Q3031" s="77" t="s">
        <v>3703</v>
      </c>
      <c r="R3031" s="77">
        <v>1</v>
      </c>
      <c r="S3031" s="77">
        <v>1</v>
      </c>
      <c r="T3031" s="77">
        <v>0</v>
      </c>
      <c r="U3031" s="77">
        <v>0</v>
      </c>
      <c r="V3031" s="77">
        <v>490</v>
      </c>
      <c r="W3031" s="82" t="s">
        <v>4833</v>
      </c>
      <c r="X3031" s="80" t="str">
        <f>HYPERLINK("https://mla.bs/0d7b44a2")</f>
        <v>https://mla.bs/0d7b44a2</v>
      </c>
      <c r="Y3031" s="77" t="s">
        <v>6506</v>
      </c>
      <c r="Z3031" s="77"/>
      <c r="AA3031" s="77"/>
      <c r="AB3031" s="77"/>
      <c r="AC3031" s="82" t="s">
        <v>7754</v>
      </c>
      <c r="AD3031" s="77" t="s">
        <v>7788</v>
      </c>
      <c r="AE3031" s="80" t="str">
        <f>HYPERLINK("https://twitter.com/einvestidor/status/1688995997022818315")</f>
        <v>https://twitter.com/einvestidor/status/1688995997022818315</v>
      </c>
      <c r="AF3031" s="79">
        <v>45146.8125</v>
      </c>
      <c r="AG3031" s="85">
        <v>45146</v>
      </c>
      <c r="AH3031" s="82" t="s">
        <v>8281</v>
      </c>
      <c r="AI3031" s="77" t="b">
        <v>0</v>
      </c>
      <c r="AJ3031" s="77"/>
      <c r="AK3031" s="77"/>
      <c r="AL3031" s="77"/>
      <c r="AM3031" s="77"/>
      <c r="AN3031" s="77"/>
      <c r="AO3031" s="77"/>
      <c r="AP3031" s="77"/>
      <c r="AQ3031" s="77"/>
      <c r="AR3031" s="77"/>
      <c r="AS3031" s="77"/>
      <c r="AT3031" s="77"/>
      <c r="AU3031" s="77"/>
      <c r="AV3031" s="80" t="str">
        <f>HYPERLINK("https://pbs.twimg.com/profile_images/1241147984924082183/gZgx_hL-_normal.jpg")</f>
        <v>https://pbs.twimg.com/profile_images/1241147984924082183/gZgx_hL-_normal.jpg</v>
      </c>
      <c r="AW3031" s="82" t="s">
        <v>14627</v>
      </c>
      <c r="AX3031" s="82" t="s">
        <v>14627</v>
      </c>
      <c r="AY3031" s="77"/>
      <c r="AZ3031" s="82" t="s">
        <v>15984</v>
      </c>
      <c r="BA3031" s="82" t="s">
        <v>15984</v>
      </c>
      <c r="BB3031" s="82" t="s">
        <v>15984</v>
      </c>
      <c r="BC3031" s="82" t="s">
        <v>14627</v>
      </c>
      <c r="BD3031" s="82" t="s">
        <v>15979</v>
      </c>
      <c r="BE3031" s="77"/>
      <c r="BF3031" s="77"/>
      <c r="BG3031" s="77"/>
      <c r="BH3031" s="77"/>
      <c r="BI3031" s="77"/>
    </row>
    <row r="3032" spans="1:61" x14ac:dyDescent="0.25">
      <c r="A3032" s="62" t="s">
        <v>387</v>
      </c>
      <c r="B3032" s="62" t="s">
        <v>387</v>
      </c>
      <c r="C3032" s="63"/>
      <c r="D3032" s="64"/>
      <c r="E3032" s="65"/>
      <c r="F3032" s="66"/>
      <c r="G3032" s="63"/>
      <c r="H3032" s="67"/>
      <c r="I3032" s="68"/>
      <c r="J3032" s="68"/>
      <c r="K3032" s="32"/>
      <c r="L3032" s="75">
        <v>3032</v>
      </c>
      <c r="M3032" s="75"/>
      <c r="N3032" s="70"/>
      <c r="O3032" s="77" t="s">
        <v>179</v>
      </c>
      <c r="P3032" s="79">
        <v>45146.802083333336</v>
      </c>
      <c r="Q3032" s="77" t="s">
        <v>3704</v>
      </c>
      <c r="R3032" s="77">
        <v>0</v>
      </c>
      <c r="S3032" s="77">
        <v>3</v>
      </c>
      <c r="T3032" s="77">
        <v>0</v>
      </c>
      <c r="U3032" s="77">
        <v>0</v>
      </c>
      <c r="V3032" s="77">
        <v>649</v>
      </c>
      <c r="W3032" s="82" t="s">
        <v>6201</v>
      </c>
      <c r="X3032" s="80" t="str">
        <f>HYPERLINK("https://mla.bs/1d425330")</f>
        <v>https://mla.bs/1d425330</v>
      </c>
      <c r="Y3032" s="77" t="s">
        <v>6506</v>
      </c>
      <c r="Z3032" s="77"/>
      <c r="AA3032" s="77"/>
      <c r="AB3032" s="77"/>
      <c r="AC3032" s="82" t="s">
        <v>7754</v>
      </c>
      <c r="AD3032" s="77" t="s">
        <v>7788</v>
      </c>
      <c r="AE3032" s="80" t="str">
        <f>HYPERLINK("https://twitter.com/einvestidor/status/1688992221809332225")</f>
        <v>https://twitter.com/einvestidor/status/1688992221809332225</v>
      </c>
      <c r="AF3032" s="79">
        <v>45146.802083333336</v>
      </c>
      <c r="AG3032" s="85">
        <v>45146</v>
      </c>
      <c r="AH3032" s="82" t="s">
        <v>7868</v>
      </c>
      <c r="AI3032" s="77" t="b">
        <v>0</v>
      </c>
      <c r="AJ3032" s="77"/>
      <c r="AK3032" s="77"/>
      <c r="AL3032" s="77"/>
      <c r="AM3032" s="77"/>
      <c r="AN3032" s="77"/>
      <c r="AO3032" s="77"/>
      <c r="AP3032" s="77"/>
      <c r="AQ3032" s="77"/>
      <c r="AR3032" s="77"/>
      <c r="AS3032" s="77"/>
      <c r="AT3032" s="77"/>
      <c r="AU3032" s="77"/>
      <c r="AV3032" s="80" t="str">
        <f>HYPERLINK("https://pbs.twimg.com/profile_images/1241147984924082183/gZgx_hL-_normal.jpg")</f>
        <v>https://pbs.twimg.com/profile_images/1241147984924082183/gZgx_hL-_normal.jpg</v>
      </c>
      <c r="AW3032" s="82" t="s">
        <v>14628</v>
      </c>
      <c r="AX3032" s="82" t="s">
        <v>14628</v>
      </c>
      <c r="AY3032" s="77"/>
      <c r="AZ3032" s="82" t="s">
        <v>15984</v>
      </c>
      <c r="BA3032" s="82" t="s">
        <v>15984</v>
      </c>
      <c r="BB3032" s="82" t="s">
        <v>15984</v>
      </c>
      <c r="BC3032" s="82" t="s">
        <v>14628</v>
      </c>
      <c r="BD3032" s="82" t="s">
        <v>15979</v>
      </c>
      <c r="BE3032" s="77"/>
      <c r="BF3032" s="77"/>
      <c r="BG3032" s="77"/>
      <c r="BH3032" s="77"/>
      <c r="BI3032" s="77"/>
    </row>
    <row r="3033" spans="1:61" x14ac:dyDescent="0.25">
      <c r="A3033" s="62" t="s">
        <v>387</v>
      </c>
      <c r="B3033" s="62" t="s">
        <v>387</v>
      </c>
      <c r="C3033" s="63"/>
      <c r="D3033" s="64"/>
      <c r="E3033" s="65"/>
      <c r="F3033" s="66"/>
      <c r="G3033" s="63"/>
      <c r="H3033" s="67"/>
      <c r="I3033" s="68"/>
      <c r="J3033" s="68"/>
      <c r="K3033" s="32"/>
      <c r="L3033" s="75">
        <v>3033</v>
      </c>
      <c r="M3033" s="75"/>
      <c r="N3033" s="70"/>
      <c r="O3033" s="77" t="s">
        <v>179</v>
      </c>
      <c r="P3033" s="79">
        <v>45146.791666666664</v>
      </c>
      <c r="Q3033" s="77" t="s">
        <v>3705</v>
      </c>
      <c r="R3033" s="77">
        <v>0</v>
      </c>
      <c r="S3033" s="77">
        <v>1</v>
      </c>
      <c r="T3033" s="77">
        <v>0</v>
      </c>
      <c r="U3033" s="77">
        <v>0</v>
      </c>
      <c r="V3033" s="77">
        <v>570</v>
      </c>
      <c r="W3033" s="82" t="s">
        <v>4833</v>
      </c>
      <c r="X3033" s="80" t="str">
        <f>HYPERLINK("https://mla.bs/9d0c718b")</f>
        <v>https://mla.bs/9d0c718b</v>
      </c>
      <c r="Y3033" s="77" t="s">
        <v>6506</v>
      </c>
      <c r="Z3033" s="77"/>
      <c r="AA3033" s="77"/>
      <c r="AB3033" s="77"/>
      <c r="AC3033" s="82" t="s">
        <v>7754</v>
      </c>
      <c r="AD3033" s="77" t="s">
        <v>7788</v>
      </c>
      <c r="AE3033" s="80" t="str">
        <f>HYPERLINK("https://twitter.com/einvestidor/status/1688988449213386753")</f>
        <v>https://twitter.com/einvestidor/status/1688988449213386753</v>
      </c>
      <c r="AF3033" s="79">
        <v>45146.791666666664</v>
      </c>
      <c r="AG3033" s="85">
        <v>45146</v>
      </c>
      <c r="AH3033" s="82" t="s">
        <v>9299</v>
      </c>
      <c r="AI3033" s="77" t="b">
        <v>0</v>
      </c>
      <c r="AJ3033" s="77"/>
      <c r="AK3033" s="77"/>
      <c r="AL3033" s="77"/>
      <c r="AM3033" s="77"/>
      <c r="AN3033" s="77"/>
      <c r="AO3033" s="77"/>
      <c r="AP3033" s="77"/>
      <c r="AQ3033" s="77"/>
      <c r="AR3033" s="77"/>
      <c r="AS3033" s="77"/>
      <c r="AT3033" s="77"/>
      <c r="AU3033" s="77"/>
      <c r="AV3033" s="80" t="str">
        <f>HYPERLINK("https://pbs.twimg.com/profile_images/1241147984924082183/gZgx_hL-_normal.jpg")</f>
        <v>https://pbs.twimg.com/profile_images/1241147984924082183/gZgx_hL-_normal.jpg</v>
      </c>
      <c r="AW3033" s="82" t="s">
        <v>14629</v>
      </c>
      <c r="AX3033" s="82" t="s">
        <v>14629</v>
      </c>
      <c r="AY3033" s="77"/>
      <c r="AZ3033" s="82" t="s">
        <v>15984</v>
      </c>
      <c r="BA3033" s="82" t="s">
        <v>15984</v>
      </c>
      <c r="BB3033" s="82" t="s">
        <v>15984</v>
      </c>
      <c r="BC3033" s="82" t="s">
        <v>14629</v>
      </c>
      <c r="BD3033" s="82" t="s">
        <v>15979</v>
      </c>
      <c r="BE3033" s="77"/>
      <c r="BF3033" s="77"/>
      <c r="BG3033" s="77"/>
      <c r="BH3033" s="77"/>
      <c r="BI3033" s="77"/>
    </row>
    <row r="3034" spans="1:61" x14ac:dyDescent="0.25">
      <c r="A3034" s="62" t="s">
        <v>387</v>
      </c>
      <c r="B3034" s="62" t="s">
        <v>387</v>
      </c>
      <c r="C3034" s="63"/>
      <c r="D3034" s="64"/>
      <c r="E3034" s="65"/>
      <c r="F3034" s="66"/>
      <c r="G3034" s="63"/>
      <c r="H3034" s="67"/>
      <c r="I3034" s="68"/>
      <c r="J3034" s="68"/>
      <c r="K3034" s="32"/>
      <c r="L3034" s="75">
        <v>3034</v>
      </c>
      <c r="M3034" s="75"/>
      <c r="N3034" s="70"/>
      <c r="O3034" s="77" t="s">
        <v>179</v>
      </c>
      <c r="P3034" s="79">
        <v>45146.78125</v>
      </c>
      <c r="Q3034" s="77" t="s">
        <v>3706</v>
      </c>
      <c r="R3034" s="77">
        <v>1</v>
      </c>
      <c r="S3034" s="77">
        <v>3</v>
      </c>
      <c r="T3034" s="77">
        <v>0</v>
      </c>
      <c r="U3034" s="77">
        <v>0</v>
      </c>
      <c r="V3034" s="77">
        <v>488</v>
      </c>
      <c r="W3034" s="82" t="s">
        <v>4833</v>
      </c>
      <c r="X3034" s="80" t="str">
        <f>HYPERLINK("https://mla.bs/4a916037")</f>
        <v>https://mla.bs/4a916037</v>
      </c>
      <c r="Y3034" s="77" t="s">
        <v>6506</v>
      </c>
      <c r="Z3034" s="77"/>
      <c r="AA3034" s="77"/>
      <c r="AB3034" s="77"/>
      <c r="AC3034" s="82" t="s">
        <v>7754</v>
      </c>
      <c r="AD3034" s="77" t="s">
        <v>7788</v>
      </c>
      <c r="AE3034" s="80" t="str">
        <f>HYPERLINK("https://twitter.com/einvestidor/status/1688984672058114048")</f>
        <v>https://twitter.com/einvestidor/status/1688984672058114048</v>
      </c>
      <c r="AF3034" s="79">
        <v>45146.78125</v>
      </c>
      <c r="AG3034" s="85">
        <v>45146</v>
      </c>
      <c r="AH3034" s="82" t="s">
        <v>9581</v>
      </c>
      <c r="AI3034" s="77" t="b">
        <v>0</v>
      </c>
      <c r="AJ3034" s="77"/>
      <c r="AK3034" s="77"/>
      <c r="AL3034" s="77"/>
      <c r="AM3034" s="77"/>
      <c r="AN3034" s="77"/>
      <c r="AO3034" s="77"/>
      <c r="AP3034" s="77"/>
      <c r="AQ3034" s="77"/>
      <c r="AR3034" s="77"/>
      <c r="AS3034" s="77"/>
      <c r="AT3034" s="77"/>
      <c r="AU3034" s="77"/>
      <c r="AV3034" s="80" t="str">
        <f>HYPERLINK("https://pbs.twimg.com/profile_images/1241147984924082183/gZgx_hL-_normal.jpg")</f>
        <v>https://pbs.twimg.com/profile_images/1241147984924082183/gZgx_hL-_normal.jpg</v>
      </c>
      <c r="AW3034" s="82" t="s">
        <v>14630</v>
      </c>
      <c r="AX3034" s="82" t="s">
        <v>14630</v>
      </c>
      <c r="AY3034" s="77"/>
      <c r="AZ3034" s="82" t="s">
        <v>15984</v>
      </c>
      <c r="BA3034" s="82" t="s">
        <v>15984</v>
      </c>
      <c r="BB3034" s="82" t="s">
        <v>15984</v>
      </c>
      <c r="BC3034" s="82" t="s">
        <v>14630</v>
      </c>
      <c r="BD3034" s="82" t="s">
        <v>15979</v>
      </c>
      <c r="BE3034" s="77"/>
      <c r="BF3034" s="77"/>
      <c r="BG3034" s="77"/>
      <c r="BH3034" s="77"/>
      <c r="BI3034" s="77"/>
    </row>
    <row r="3035" spans="1:61" x14ac:dyDescent="0.25">
      <c r="A3035" s="62" t="s">
        <v>387</v>
      </c>
      <c r="B3035" s="62" t="s">
        <v>387</v>
      </c>
      <c r="C3035" s="63"/>
      <c r="D3035" s="64"/>
      <c r="E3035" s="65"/>
      <c r="F3035" s="66"/>
      <c r="G3035" s="63"/>
      <c r="H3035" s="67"/>
      <c r="I3035" s="68"/>
      <c r="J3035" s="68"/>
      <c r="K3035" s="32"/>
      <c r="L3035" s="75">
        <v>3035</v>
      </c>
      <c r="M3035" s="75"/>
      <c r="N3035" s="70"/>
      <c r="O3035" s="77" t="s">
        <v>179</v>
      </c>
      <c r="P3035" s="79">
        <v>45146.770833333336</v>
      </c>
      <c r="Q3035" s="77" t="s">
        <v>3707</v>
      </c>
      <c r="R3035" s="77">
        <v>0</v>
      </c>
      <c r="S3035" s="77">
        <v>1</v>
      </c>
      <c r="T3035" s="77">
        <v>0</v>
      </c>
      <c r="U3035" s="77">
        <v>0</v>
      </c>
      <c r="V3035" s="77">
        <v>420</v>
      </c>
      <c r="W3035" s="82" t="s">
        <v>4833</v>
      </c>
      <c r="X3035" s="80" t="str">
        <f>HYPERLINK("https://mla.bs/72257ed0")</f>
        <v>https://mla.bs/72257ed0</v>
      </c>
      <c r="Y3035" s="77" t="s">
        <v>6506</v>
      </c>
      <c r="Z3035" s="77"/>
      <c r="AA3035" s="77"/>
      <c r="AB3035" s="77"/>
      <c r="AC3035" s="82" t="s">
        <v>7754</v>
      </c>
      <c r="AD3035" s="77" t="s">
        <v>7788</v>
      </c>
      <c r="AE3035" s="80" t="str">
        <f>HYPERLINK("https://twitter.com/einvestidor/status/1688980898316681217")</f>
        <v>https://twitter.com/einvestidor/status/1688980898316681217</v>
      </c>
      <c r="AF3035" s="79">
        <v>45146.770833333336</v>
      </c>
      <c r="AG3035" s="85">
        <v>45146</v>
      </c>
      <c r="AH3035" s="82" t="s">
        <v>7930</v>
      </c>
      <c r="AI3035" s="77" t="b">
        <v>0</v>
      </c>
      <c r="AJ3035" s="77"/>
      <c r="AK3035" s="77"/>
      <c r="AL3035" s="77"/>
      <c r="AM3035" s="77"/>
      <c r="AN3035" s="77"/>
      <c r="AO3035" s="77"/>
      <c r="AP3035" s="77"/>
      <c r="AQ3035" s="77"/>
      <c r="AR3035" s="77"/>
      <c r="AS3035" s="77"/>
      <c r="AT3035" s="77"/>
      <c r="AU3035" s="77"/>
      <c r="AV3035" s="80" t="str">
        <f>HYPERLINK("https://pbs.twimg.com/profile_images/1241147984924082183/gZgx_hL-_normal.jpg")</f>
        <v>https://pbs.twimg.com/profile_images/1241147984924082183/gZgx_hL-_normal.jpg</v>
      </c>
      <c r="AW3035" s="82" t="s">
        <v>14631</v>
      </c>
      <c r="AX3035" s="82" t="s">
        <v>14631</v>
      </c>
      <c r="AY3035" s="77"/>
      <c r="AZ3035" s="82" t="s">
        <v>15984</v>
      </c>
      <c r="BA3035" s="82" t="s">
        <v>15984</v>
      </c>
      <c r="BB3035" s="82" t="s">
        <v>15984</v>
      </c>
      <c r="BC3035" s="82" t="s">
        <v>14631</v>
      </c>
      <c r="BD3035" s="82" t="s">
        <v>15979</v>
      </c>
      <c r="BE3035" s="77"/>
      <c r="BF3035" s="77"/>
      <c r="BG3035" s="77"/>
      <c r="BH3035" s="77"/>
      <c r="BI3035" s="77"/>
    </row>
    <row r="3036" spans="1:61" x14ac:dyDescent="0.25">
      <c r="A3036" s="62" t="s">
        <v>387</v>
      </c>
      <c r="B3036" s="62" t="s">
        <v>387</v>
      </c>
      <c r="C3036" s="63"/>
      <c r="D3036" s="64"/>
      <c r="E3036" s="65"/>
      <c r="F3036" s="66"/>
      <c r="G3036" s="63"/>
      <c r="H3036" s="67"/>
      <c r="I3036" s="68"/>
      <c r="J3036" s="68"/>
      <c r="K3036" s="32"/>
      <c r="L3036" s="75">
        <v>3036</v>
      </c>
      <c r="M3036" s="75"/>
      <c r="N3036" s="70"/>
      <c r="O3036" s="77" t="s">
        <v>179</v>
      </c>
      <c r="P3036" s="79">
        <v>45146.760416666664</v>
      </c>
      <c r="Q3036" s="77" t="s">
        <v>3708</v>
      </c>
      <c r="R3036" s="77">
        <v>0</v>
      </c>
      <c r="S3036" s="77">
        <v>0</v>
      </c>
      <c r="T3036" s="77">
        <v>0</v>
      </c>
      <c r="U3036" s="77">
        <v>0</v>
      </c>
      <c r="V3036" s="77">
        <v>418</v>
      </c>
      <c r="W3036" s="82" t="s">
        <v>4833</v>
      </c>
      <c r="X3036" s="80" t="str">
        <f>HYPERLINK("https://mla.bs/97024a65")</f>
        <v>https://mla.bs/97024a65</v>
      </c>
      <c r="Y3036" s="77" t="s">
        <v>6506</v>
      </c>
      <c r="Z3036" s="77"/>
      <c r="AA3036" s="77"/>
      <c r="AB3036" s="77"/>
      <c r="AC3036" s="82" t="s">
        <v>7754</v>
      </c>
      <c r="AD3036" s="77" t="s">
        <v>7788</v>
      </c>
      <c r="AE3036" s="80" t="str">
        <f>HYPERLINK("https://twitter.com/einvestidor/status/1688977121790820352")</f>
        <v>https://twitter.com/einvestidor/status/1688977121790820352</v>
      </c>
      <c r="AF3036" s="79">
        <v>45146.760416666664</v>
      </c>
      <c r="AG3036" s="85">
        <v>45146</v>
      </c>
      <c r="AH3036" s="82" t="s">
        <v>9582</v>
      </c>
      <c r="AI3036" s="77" t="b">
        <v>0</v>
      </c>
      <c r="AJ3036" s="77"/>
      <c r="AK3036" s="77"/>
      <c r="AL3036" s="77"/>
      <c r="AM3036" s="77"/>
      <c r="AN3036" s="77"/>
      <c r="AO3036" s="77"/>
      <c r="AP3036" s="77"/>
      <c r="AQ3036" s="77"/>
      <c r="AR3036" s="77"/>
      <c r="AS3036" s="77"/>
      <c r="AT3036" s="77"/>
      <c r="AU3036" s="77"/>
      <c r="AV3036" s="80" t="str">
        <f>HYPERLINK("https://pbs.twimg.com/profile_images/1241147984924082183/gZgx_hL-_normal.jpg")</f>
        <v>https://pbs.twimg.com/profile_images/1241147984924082183/gZgx_hL-_normal.jpg</v>
      </c>
      <c r="AW3036" s="82" t="s">
        <v>14632</v>
      </c>
      <c r="AX3036" s="82" t="s">
        <v>14632</v>
      </c>
      <c r="AY3036" s="77"/>
      <c r="AZ3036" s="82" t="s">
        <v>15984</v>
      </c>
      <c r="BA3036" s="82" t="s">
        <v>15984</v>
      </c>
      <c r="BB3036" s="82" t="s">
        <v>15984</v>
      </c>
      <c r="BC3036" s="82" t="s">
        <v>14632</v>
      </c>
      <c r="BD3036" s="82" t="s">
        <v>15979</v>
      </c>
      <c r="BE3036" s="77"/>
      <c r="BF3036" s="77"/>
      <c r="BG3036" s="77"/>
      <c r="BH3036" s="77"/>
      <c r="BI3036" s="77"/>
    </row>
    <row r="3037" spans="1:61" x14ac:dyDescent="0.25">
      <c r="A3037" s="62" t="s">
        <v>387</v>
      </c>
      <c r="B3037" s="62" t="s">
        <v>387</v>
      </c>
      <c r="C3037" s="63"/>
      <c r="D3037" s="64"/>
      <c r="E3037" s="65"/>
      <c r="F3037" s="66"/>
      <c r="G3037" s="63"/>
      <c r="H3037" s="67"/>
      <c r="I3037" s="68"/>
      <c r="J3037" s="68"/>
      <c r="K3037" s="32"/>
      <c r="L3037" s="75">
        <v>3037</v>
      </c>
      <c r="M3037" s="75"/>
      <c r="N3037" s="70"/>
      <c r="O3037" s="77" t="s">
        <v>179</v>
      </c>
      <c r="P3037" s="79">
        <v>45146.75</v>
      </c>
      <c r="Q3037" s="77" t="s">
        <v>3709</v>
      </c>
      <c r="R3037" s="77">
        <v>0</v>
      </c>
      <c r="S3037" s="77">
        <v>1</v>
      </c>
      <c r="T3037" s="77">
        <v>0</v>
      </c>
      <c r="U3037" s="77">
        <v>0</v>
      </c>
      <c r="V3037" s="77">
        <v>397</v>
      </c>
      <c r="W3037" s="82" t="s">
        <v>4833</v>
      </c>
      <c r="X3037" s="80" t="str">
        <f>HYPERLINK("https://mla.bs/3d54952d")</f>
        <v>https://mla.bs/3d54952d</v>
      </c>
      <c r="Y3037" s="77" t="s">
        <v>6506</v>
      </c>
      <c r="Z3037" s="77"/>
      <c r="AA3037" s="77"/>
      <c r="AB3037" s="77"/>
      <c r="AC3037" s="82" t="s">
        <v>7754</v>
      </c>
      <c r="AD3037" s="77" t="s">
        <v>7788</v>
      </c>
      <c r="AE3037" s="80" t="str">
        <f>HYPERLINK("https://twitter.com/einvestidor/status/1688973348544688128")</f>
        <v>https://twitter.com/einvestidor/status/1688973348544688128</v>
      </c>
      <c r="AF3037" s="79">
        <v>45146.75</v>
      </c>
      <c r="AG3037" s="85">
        <v>45146</v>
      </c>
      <c r="AH3037" s="82" t="s">
        <v>7934</v>
      </c>
      <c r="AI3037" s="77" t="b">
        <v>0</v>
      </c>
      <c r="AJ3037" s="77"/>
      <c r="AK3037" s="77"/>
      <c r="AL3037" s="77"/>
      <c r="AM3037" s="77"/>
      <c r="AN3037" s="77"/>
      <c r="AO3037" s="77"/>
      <c r="AP3037" s="77"/>
      <c r="AQ3037" s="77"/>
      <c r="AR3037" s="77"/>
      <c r="AS3037" s="77"/>
      <c r="AT3037" s="77"/>
      <c r="AU3037" s="77"/>
      <c r="AV3037" s="80" t="str">
        <f>HYPERLINK("https://pbs.twimg.com/profile_images/1241147984924082183/gZgx_hL-_normal.jpg")</f>
        <v>https://pbs.twimg.com/profile_images/1241147984924082183/gZgx_hL-_normal.jpg</v>
      </c>
      <c r="AW3037" s="82" t="s">
        <v>14633</v>
      </c>
      <c r="AX3037" s="82" t="s">
        <v>14633</v>
      </c>
      <c r="AY3037" s="77"/>
      <c r="AZ3037" s="82" t="s">
        <v>15984</v>
      </c>
      <c r="BA3037" s="82" t="s">
        <v>15984</v>
      </c>
      <c r="BB3037" s="82" t="s">
        <v>15984</v>
      </c>
      <c r="BC3037" s="82" t="s">
        <v>14633</v>
      </c>
      <c r="BD3037" s="82" t="s">
        <v>15979</v>
      </c>
      <c r="BE3037" s="77"/>
      <c r="BF3037" s="77"/>
      <c r="BG3037" s="77"/>
      <c r="BH3037" s="77"/>
      <c r="BI3037" s="77"/>
    </row>
    <row r="3038" spans="1:61" x14ac:dyDescent="0.25">
      <c r="A3038" s="62" t="s">
        <v>387</v>
      </c>
      <c r="B3038" s="62" t="s">
        <v>387</v>
      </c>
      <c r="C3038" s="63"/>
      <c r="D3038" s="64"/>
      <c r="E3038" s="65"/>
      <c r="F3038" s="66"/>
      <c r="G3038" s="63"/>
      <c r="H3038" s="67"/>
      <c r="I3038" s="68"/>
      <c r="J3038" s="68"/>
      <c r="K3038" s="32"/>
      <c r="L3038" s="75">
        <v>3038</v>
      </c>
      <c r="M3038" s="75"/>
      <c r="N3038" s="70"/>
      <c r="O3038" s="77" t="s">
        <v>179</v>
      </c>
      <c r="P3038" s="79">
        <v>45146.739583333336</v>
      </c>
      <c r="Q3038" s="77" t="s">
        <v>3710</v>
      </c>
      <c r="R3038" s="77">
        <v>0</v>
      </c>
      <c r="S3038" s="77">
        <v>0</v>
      </c>
      <c r="T3038" s="77">
        <v>0</v>
      </c>
      <c r="U3038" s="77">
        <v>0</v>
      </c>
      <c r="V3038" s="77">
        <v>477</v>
      </c>
      <c r="W3038" s="82" t="s">
        <v>6202</v>
      </c>
      <c r="X3038" s="80" t="str">
        <f>HYPERLINK("https://mla.bs/8ca46eaa")</f>
        <v>https://mla.bs/8ca46eaa</v>
      </c>
      <c r="Y3038" s="77" t="s">
        <v>6506</v>
      </c>
      <c r="Z3038" s="77"/>
      <c r="AA3038" s="77"/>
      <c r="AB3038" s="77"/>
      <c r="AC3038" s="82" t="s">
        <v>7754</v>
      </c>
      <c r="AD3038" s="77" t="s">
        <v>7788</v>
      </c>
      <c r="AE3038" s="80" t="str">
        <f>HYPERLINK("https://twitter.com/einvestidor/status/1688969572706095116")</f>
        <v>https://twitter.com/einvestidor/status/1688969572706095116</v>
      </c>
      <c r="AF3038" s="79">
        <v>45146.739583333336</v>
      </c>
      <c r="AG3038" s="85">
        <v>45146</v>
      </c>
      <c r="AH3038" s="82" t="s">
        <v>9626</v>
      </c>
      <c r="AI3038" s="77" t="b">
        <v>0</v>
      </c>
      <c r="AJ3038" s="77"/>
      <c r="AK3038" s="77"/>
      <c r="AL3038" s="77"/>
      <c r="AM3038" s="77"/>
      <c r="AN3038" s="77"/>
      <c r="AO3038" s="77"/>
      <c r="AP3038" s="77"/>
      <c r="AQ3038" s="77"/>
      <c r="AR3038" s="77"/>
      <c r="AS3038" s="77"/>
      <c r="AT3038" s="77"/>
      <c r="AU3038" s="77"/>
      <c r="AV3038" s="80" t="str">
        <f>HYPERLINK("https://pbs.twimg.com/profile_images/1241147984924082183/gZgx_hL-_normal.jpg")</f>
        <v>https://pbs.twimg.com/profile_images/1241147984924082183/gZgx_hL-_normal.jpg</v>
      </c>
      <c r="AW3038" s="82" t="s">
        <v>14634</v>
      </c>
      <c r="AX3038" s="82" t="s">
        <v>14634</v>
      </c>
      <c r="AY3038" s="77"/>
      <c r="AZ3038" s="82" t="s">
        <v>15984</v>
      </c>
      <c r="BA3038" s="82" t="s">
        <v>15984</v>
      </c>
      <c r="BB3038" s="82" t="s">
        <v>15984</v>
      </c>
      <c r="BC3038" s="82" t="s">
        <v>14634</v>
      </c>
      <c r="BD3038" s="82" t="s">
        <v>15979</v>
      </c>
      <c r="BE3038" s="77"/>
      <c r="BF3038" s="77"/>
      <c r="BG3038" s="77"/>
      <c r="BH3038" s="77"/>
      <c r="BI3038" s="77"/>
    </row>
    <row r="3039" spans="1:61" x14ac:dyDescent="0.25">
      <c r="A3039" s="62" t="s">
        <v>387</v>
      </c>
      <c r="B3039" s="62" t="s">
        <v>387</v>
      </c>
      <c r="C3039" s="63"/>
      <c r="D3039" s="64"/>
      <c r="E3039" s="65"/>
      <c r="F3039" s="66"/>
      <c r="G3039" s="63"/>
      <c r="H3039" s="67"/>
      <c r="I3039" s="68"/>
      <c r="J3039" s="68"/>
      <c r="K3039" s="32"/>
      <c r="L3039" s="75">
        <v>3039</v>
      </c>
      <c r="M3039" s="75"/>
      <c r="N3039" s="70"/>
      <c r="O3039" s="77" t="s">
        <v>179</v>
      </c>
      <c r="P3039" s="79">
        <v>45135.877847222226</v>
      </c>
      <c r="Q3039" s="77" t="s">
        <v>3711</v>
      </c>
      <c r="R3039" s="77">
        <v>0</v>
      </c>
      <c r="S3039" s="77">
        <v>1</v>
      </c>
      <c r="T3039" s="77">
        <v>0</v>
      </c>
      <c r="U3039" s="77">
        <v>0</v>
      </c>
      <c r="V3039" s="77">
        <v>685</v>
      </c>
      <c r="W3039" s="82" t="s">
        <v>6203</v>
      </c>
      <c r="X3039" s="80" t="str">
        <f>HYPERLINK("https://mla.bs/edca8c25")</f>
        <v>https://mla.bs/edca8c25</v>
      </c>
      <c r="Y3039" s="77" t="s">
        <v>6506</v>
      </c>
      <c r="Z3039" s="77"/>
      <c r="AA3039" s="77"/>
      <c r="AB3039" s="77"/>
      <c r="AC3039" s="82" t="s">
        <v>7754</v>
      </c>
      <c r="AD3039" s="77" t="s">
        <v>7788</v>
      </c>
      <c r="AE3039" s="80" t="str">
        <f>HYPERLINK("https://twitter.com/einvestidor/status/1685033411331629058")</f>
        <v>https://twitter.com/einvestidor/status/1685033411331629058</v>
      </c>
      <c r="AF3039" s="79">
        <v>45135.877847222226</v>
      </c>
      <c r="AG3039" s="85">
        <v>45135</v>
      </c>
      <c r="AH3039" s="82" t="s">
        <v>9911</v>
      </c>
      <c r="AI3039" s="77" t="b">
        <v>0</v>
      </c>
      <c r="AJ3039" s="77"/>
      <c r="AK3039" s="77"/>
      <c r="AL3039" s="77"/>
      <c r="AM3039" s="77"/>
      <c r="AN3039" s="77"/>
      <c r="AO3039" s="77"/>
      <c r="AP3039" s="77"/>
      <c r="AQ3039" s="77"/>
      <c r="AR3039" s="77"/>
      <c r="AS3039" s="77"/>
      <c r="AT3039" s="77"/>
      <c r="AU3039" s="77"/>
      <c r="AV3039" s="80" t="str">
        <f>HYPERLINK("https://pbs.twimg.com/profile_images/1241147984924082183/gZgx_hL-_normal.jpg")</f>
        <v>https://pbs.twimg.com/profile_images/1241147984924082183/gZgx_hL-_normal.jpg</v>
      </c>
      <c r="AW3039" s="82" t="s">
        <v>14635</v>
      </c>
      <c r="AX3039" s="82" t="s">
        <v>14635</v>
      </c>
      <c r="AY3039" s="77"/>
      <c r="AZ3039" s="82" t="s">
        <v>15984</v>
      </c>
      <c r="BA3039" s="82" t="s">
        <v>15984</v>
      </c>
      <c r="BB3039" s="82" t="s">
        <v>15984</v>
      </c>
      <c r="BC3039" s="82" t="s">
        <v>14635</v>
      </c>
      <c r="BD3039" s="82" t="s">
        <v>15979</v>
      </c>
      <c r="BE3039" s="77"/>
      <c r="BF3039" s="77"/>
      <c r="BG3039" s="77"/>
      <c r="BH3039" s="77"/>
      <c r="BI3039" s="77"/>
    </row>
    <row r="3040" spans="1:61" x14ac:dyDescent="0.25">
      <c r="A3040" s="62" t="s">
        <v>387</v>
      </c>
      <c r="B3040" s="62" t="s">
        <v>387</v>
      </c>
      <c r="C3040" s="63"/>
      <c r="D3040" s="64"/>
      <c r="E3040" s="65"/>
      <c r="F3040" s="66"/>
      <c r="G3040" s="63"/>
      <c r="H3040" s="67"/>
      <c r="I3040" s="68"/>
      <c r="J3040" s="68"/>
      <c r="K3040" s="32"/>
      <c r="L3040" s="75">
        <v>3040</v>
      </c>
      <c r="M3040" s="75"/>
      <c r="N3040" s="70"/>
      <c r="O3040" s="77" t="s">
        <v>179</v>
      </c>
      <c r="P3040" s="79">
        <v>45135.877245370371</v>
      </c>
      <c r="Q3040" s="77" t="s">
        <v>3712</v>
      </c>
      <c r="R3040" s="77">
        <v>0</v>
      </c>
      <c r="S3040" s="77">
        <v>1</v>
      </c>
      <c r="T3040" s="77">
        <v>0</v>
      </c>
      <c r="U3040" s="77">
        <v>0</v>
      </c>
      <c r="V3040" s="77">
        <v>619</v>
      </c>
      <c r="W3040" s="82" t="s">
        <v>6204</v>
      </c>
      <c r="X3040" s="80" t="str">
        <f>HYPERLINK("https://mla.bs/ff1624a9")</f>
        <v>https://mla.bs/ff1624a9</v>
      </c>
      <c r="Y3040" s="77" t="s">
        <v>6506</v>
      </c>
      <c r="Z3040" s="77"/>
      <c r="AA3040" s="77"/>
      <c r="AB3040" s="77"/>
      <c r="AC3040" s="82" t="s">
        <v>7754</v>
      </c>
      <c r="AD3040" s="77" t="s">
        <v>7788</v>
      </c>
      <c r="AE3040" s="80" t="str">
        <f>HYPERLINK("https://twitter.com/einvestidor/status/1685033195857752064")</f>
        <v>https://twitter.com/einvestidor/status/1685033195857752064</v>
      </c>
      <c r="AF3040" s="79">
        <v>45135.877245370371</v>
      </c>
      <c r="AG3040" s="85">
        <v>45135</v>
      </c>
      <c r="AH3040" s="82" t="s">
        <v>9912</v>
      </c>
      <c r="AI3040" s="77" t="b">
        <v>0</v>
      </c>
      <c r="AJ3040" s="77"/>
      <c r="AK3040" s="77"/>
      <c r="AL3040" s="77"/>
      <c r="AM3040" s="77"/>
      <c r="AN3040" s="77"/>
      <c r="AO3040" s="77"/>
      <c r="AP3040" s="77"/>
      <c r="AQ3040" s="77"/>
      <c r="AR3040" s="77"/>
      <c r="AS3040" s="77"/>
      <c r="AT3040" s="77"/>
      <c r="AU3040" s="77"/>
      <c r="AV3040" s="80" t="str">
        <f>HYPERLINK("https://pbs.twimg.com/profile_images/1241147984924082183/gZgx_hL-_normal.jpg")</f>
        <v>https://pbs.twimg.com/profile_images/1241147984924082183/gZgx_hL-_normal.jpg</v>
      </c>
      <c r="AW3040" s="82" t="s">
        <v>14636</v>
      </c>
      <c r="AX3040" s="82" t="s">
        <v>14636</v>
      </c>
      <c r="AY3040" s="77"/>
      <c r="AZ3040" s="82" t="s">
        <v>15984</v>
      </c>
      <c r="BA3040" s="82" t="s">
        <v>15984</v>
      </c>
      <c r="BB3040" s="82" t="s">
        <v>15984</v>
      </c>
      <c r="BC3040" s="82" t="s">
        <v>14636</v>
      </c>
      <c r="BD3040" s="82" t="s">
        <v>15979</v>
      </c>
      <c r="BE3040" s="77"/>
      <c r="BF3040" s="77"/>
      <c r="BG3040" s="77"/>
      <c r="BH3040" s="77"/>
      <c r="BI3040" s="77"/>
    </row>
    <row r="3041" spans="1:61" x14ac:dyDescent="0.25">
      <c r="A3041" s="62" t="s">
        <v>387</v>
      </c>
      <c r="B3041" s="62" t="s">
        <v>387</v>
      </c>
      <c r="C3041" s="63"/>
      <c r="D3041" s="64"/>
      <c r="E3041" s="65"/>
      <c r="F3041" s="66"/>
      <c r="G3041" s="63"/>
      <c r="H3041" s="67"/>
      <c r="I3041" s="68"/>
      <c r="J3041" s="68"/>
      <c r="K3041" s="32"/>
      <c r="L3041" s="75">
        <v>3041</v>
      </c>
      <c r="M3041" s="75"/>
      <c r="N3041" s="70"/>
      <c r="O3041" s="77" t="s">
        <v>179</v>
      </c>
      <c r="P3041" s="79">
        <v>45135.864583333336</v>
      </c>
      <c r="Q3041" s="77" t="s">
        <v>3713</v>
      </c>
      <c r="R3041" s="77">
        <v>0</v>
      </c>
      <c r="S3041" s="77">
        <v>0</v>
      </c>
      <c r="T3041" s="77">
        <v>0</v>
      </c>
      <c r="U3041" s="77">
        <v>0</v>
      </c>
      <c r="V3041" s="77">
        <v>629</v>
      </c>
      <c r="W3041" s="82" t="s">
        <v>4833</v>
      </c>
      <c r="X3041" s="80" t="str">
        <f>HYPERLINK("https://mla.bs/8f3ad01c")</f>
        <v>https://mla.bs/8f3ad01c</v>
      </c>
      <c r="Y3041" s="77" t="s">
        <v>6506</v>
      </c>
      <c r="Z3041" s="77"/>
      <c r="AA3041" s="77"/>
      <c r="AB3041" s="77"/>
      <c r="AC3041" s="82" t="s">
        <v>7754</v>
      </c>
      <c r="AD3041" s="77" t="s">
        <v>7788</v>
      </c>
      <c r="AE3041" s="80" t="str">
        <f>HYPERLINK("https://twitter.com/einvestidor/status/1685028604730617856")</f>
        <v>https://twitter.com/einvestidor/status/1685028604730617856</v>
      </c>
      <c r="AF3041" s="79">
        <v>45135.864583333336</v>
      </c>
      <c r="AG3041" s="85">
        <v>45135</v>
      </c>
      <c r="AH3041" s="82" t="s">
        <v>9596</v>
      </c>
      <c r="AI3041" s="77" t="b">
        <v>0</v>
      </c>
      <c r="AJ3041" s="77"/>
      <c r="AK3041" s="77"/>
      <c r="AL3041" s="77"/>
      <c r="AM3041" s="77"/>
      <c r="AN3041" s="77"/>
      <c r="AO3041" s="77"/>
      <c r="AP3041" s="77"/>
      <c r="AQ3041" s="77"/>
      <c r="AR3041" s="77"/>
      <c r="AS3041" s="77"/>
      <c r="AT3041" s="77"/>
      <c r="AU3041" s="77"/>
      <c r="AV3041" s="80" t="str">
        <f>HYPERLINK("https://pbs.twimg.com/profile_images/1241147984924082183/gZgx_hL-_normal.jpg")</f>
        <v>https://pbs.twimg.com/profile_images/1241147984924082183/gZgx_hL-_normal.jpg</v>
      </c>
      <c r="AW3041" s="82" t="s">
        <v>14637</v>
      </c>
      <c r="AX3041" s="82" t="s">
        <v>14637</v>
      </c>
      <c r="AY3041" s="77"/>
      <c r="AZ3041" s="82" t="s">
        <v>15984</v>
      </c>
      <c r="BA3041" s="82" t="s">
        <v>15984</v>
      </c>
      <c r="BB3041" s="82" t="s">
        <v>15984</v>
      </c>
      <c r="BC3041" s="82" t="s">
        <v>14637</v>
      </c>
      <c r="BD3041" s="82" t="s">
        <v>15979</v>
      </c>
      <c r="BE3041" s="77"/>
      <c r="BF3041" s="77"/>
      <c r="BG3041" s="77"/>
      <c r="BH3041" s="77"/>
      <c r="BI3041" s="77"/>
    </row>
    <row r="3042" spans="1:61" x14ac:dyDescent="0.25">
      <c r="A3042" s="62" t="s">
        <v>387</v>
      </c>
      <c r="B3042" s="62" t="s">
        <v>387</v>
      </c>
      <c r="C3042" s="63"/>
      <c r="D3042" s="64"/>
      <c r="E3042" s="65"/>
      <c r="F3042" s="66"/>
      <c r="G3042" s="63"/>
      <c r="H3042" s="67"/>
      <c r="I3042" s="68"/>
      <c r="J3042" s="68"/>
      <c r="K3042" s="32"/>
      <c r="L3042" s="75">
        <v>3042</v>
      </c>
      <c r="M3042" s="75"/>
      <c r="N3042" s="70"/>
      <c r="O3042" s="77" t="s">
        <v>179</v>
      </c>
      <c r="P3042" s="79">
        <v>45135.854166666664</v>
      </c>
      <c r="Q3042" s="77" t="s">
        <v>3714</v>
      </c>
      <c r="R3042" s="77">
        <v>0</v>
      </c>
      <c r="S3042" s="77">
        <v>1</v>
      </c>
      <c r="T3042" s="77">
        <v>0</v>
      </c>
      <c r="U3042" s="77">
        <v>0</v>
      </c>
      <c r="V3042" s="77">
        <v>601</v>
      </c>
      <c r="W3042" s="82" t="s">
        <v>6205</v>
      </c>
      <c r="X3042" s="80" t="str">
        <f>HYPERLINK("https://mla.bs/2d32c6b2")</f>
        <v>https://mla.bs/2d32c6b2</v>
      </c>
      <c r="Y3042" s="77" t="s">
        <v>6506</v>
      </c>
      <c r="Z3042" s="77"/>
      <c r="AA3042" s="77"/>
      <c r="AB3042" s="77"/>
      <c r="AC3042" s="82" t="s">
        <v>7754</v>
      </c>
      <c r="AD3042" s="77" t="s">
        <v>7788</v>
      </c>
      <c r="AE3042" s="80" t="str">
        <f>HYPERLINK("https://twitter.com/einvestidor/status/1685024829836255234")</f>
        <v>https://twitter.com/einvestidor/status/1685024829836255234</v>
      </c>
      <c r="AF3042" s="79">
        <v>45135.854166666664</v>
      </c>
      <c r="AG3042" s="85">
        <v>45135</v>
      </c>
      <c r="AH3042" s="82" t="s">
        <v>8090</v>
      </c>
      <c r="AI3042" s="77" t="b">
        <v>0</v>
      </c>
      <c r="AJ3042" s="77"/>
      <c r="AK3042" s="77"/>
      <c r="AL3042" s="77"/>
      <c r="AM3042" s="77"/>
      <c r="AN3042" s="77"/>
      <c r="AO3042" s="77"/>
      <c r="AP3042" s="77"/>
      <c r="AQ3042" s="77"/>
      <c r="AR3042" s="77"/>
      <c r="AS3042" s="77"/>
      <c r="AT3042" s="77"/>
      <c r="AU3042" s="77"/>
      <c r="AV3042" s="80" t="str">
        <f>HYPERLINK("https://pbs.twimg.com/profile_images/1241147984924082183/gZgx_hL-_normal.jpg")</f>
        <v>https://pbs.twimg.com/profile_images/1241147984924082183/gZgx_hL-_normal.jpg</v>
      </c>
      <c r="AW3042" s="82" t="s">
        <v>14638</v>
      </c>
      <c r="AX3042" s="82" t="s">
        <v>14638</v>
      </c>
      <c r="AY3042" s="77"/>
      <c r="AZ3042" s="82" t="s">
        <v>15984</v>
      </c>
      <c r="BA3042" s="82" t="s">
        <v>15984</v>
      </c>
      <c r="BB3042" s="82" t="s">
        <v>15984</v>
      </c>
      <c r="BC3042" s="82" t="s">
        <v>14638</v>
      </c>
      <c r="BD3042" s="82" t="s">
        <v>15979</v>
      </c>
      <c r="BE3042" s="77"/>
      <c r="BF3042" s="77"/>
      <c r="BG3042" s="77"/>
      <c r="BH3042" s="77"/>
      <c r="BI3042" s="77"/>
    </row>
    <row r="3043" spans="1:61" x14ac:dyDescent="0.25">
      <c r="A3043" s="62" t="s">
        <v>387</v>
      </c>
      <c r="B3043" s="62" t="s">
        <v>387</v>
      </c>
      <c r="C3043" s="63"/>
      <c r="D3043" s="64"/>
      <c r="E3043" s="65"/>
      <c r="F3043" s="66"/>
      <c r="G3043" s="63"/>
      <c r="H3043" s="67"/>
      <c r="I3043" s="68"/>
      <c r="J3043" s="68"/>
      <c r="K3043" s="32"/>
      <c r="L3043" s="75">
        <v>3043</v>
      </c>
      <c r="M3043" s="75"/>
      <c r="N3043" s="70"/>
      <c r="O3043" s="77" t="s">
        <v>179</v>
      </c>
      <c r="P3043" s="79">
        <v>45135.84375</v>
      </c>
      <c r="Q3043" s="77" t="s">
        <v>3715</v>
      </c>
      <c r="R3043" s="77">
        <v>0</v>
      </c>
      <c r="S3043" s="77">
        <v>2</v>
      </c>
      <c r="T3043" s="77">
        <v>0</v>
      </c>
      <c r="U3043" s="77">
        <v>0</v>
      </c>
      <c r="V3043" s="77">
        <v>737</v>
      </c>
      <c r="W3043" s="82" t="s">
        <v>6206</v>
      </c>
      <c r="X3043" s="80" t="str">
        <f>HYPERLINK("https://mla.bs/2e07c338")</f>
        <v>https://mla.bs/2e07c338</v>
      </c>
      <c r="Y3043" s="77" t="s">
        <v>6506</v>
      </c>
      <c r="Z3043" s="77"/>
      <c r="AA3043" s="77"/>
      <c r="AB3043" s="77"/>
      <c r="AC3043" s="82" t="s">
        <v>7754</v>
      </c>
      <c r="AD3043" s="77" t="s">
        <v>7788</v>
      </c>
      <c r="AE3043" s="80" t="str">
        <f>HYPERLINK("https://twitter.com/einvestidor/status/1685021054354210816")</f>
        <v>https://twitter.com/einvestidor/status/1685021054354210816</v>
      </c>
      <c r="AF3043" s="79">
        <v>45135.84375</v>
      </c>
      <c r="AG3043" s="85">
        <v>45135</v>
      </c>
      <c r="AH3043" s="82" t="s">
        <v>9296</v>
      </c>
      <c r="AI3043" s="77" t="b">
        <v>0</v>
      </c>
      <c r="AJ3043" s="77"/>
      <c r="AK3043" s="77"/>
      <c r="AL3043" s="77"/>
      <c r="AM3043" s="77"/>
      <c r="AN3043" s="77"/>
      <c r="AO3043" s="77"/>
      <c r="AP3043" s="77"/>
      <c r="AQ3043" s="77"/>
      <c r="AR3043" s="77"/>
      <c r="AS3043" s="77"/>
      <c r="AT3043" s="77"/>
      <c r="AU3043" s="77"/>
      <c r="AV3043" s="80" t="str">
        <f>HYPERLINK("https://pbs.twimg.com/profile_images/1241147984924082183/gZgx_hL-_normal.jpg")</f>
        <v>https://pbs.twimg.com/profile_images/1241147984924082183/gZgx_hL-_normal.jpg</v>
      </c>
      <c r="AW3043" s="82" t="s">
        <v>14639</v>
      </c>
      <c r="AX3043" s="82" t="s">
        <v>14639</v>
      </c>
      <c r="AY3043" s="77"/>
      <c r="AZ3043" s="82" t="s">
        <v>15984</v>
      </c>
      <c r="BA3043" s="82" t="s">
        <v>15984</v>
      </c>
      <c r="BB3043" s="82" t="s">
        <v>15984</v>
      </c>
      <c r="BC3043" s="82" t="s">
        <v>14639</v>
      </c>
      <c r="BD3043" s="82" t="s">
        <v>15979</v>
      </c>
      <c r="BE3043" s="77"/>
      <c r="BF3043" s="77"/>
      <c r="BG3043" s="77"/>
      <c r="BH3043" s="77"/>
      <c r="BI3043" s="77"/>
    </row>
    <row r="3044" spans="1:61" x14ac:dyDescent="0.25">
      <c r="A3044" s="62" t="s">
        <v>387</v>
      </c>
      <c r="B3044" s="62" t="s">
        <v>387</v>
      </c>
      <c r="C3044" s="63"/>
      <c r="D3044" s="64"/>
      <c r="E3044" s="65"/>
      <c r="F3044" s="66"/>
      <c r="G3044" s="63"/>
      <c r="H3044" s="67"/>
      <c r="I3044" s="68"/>
      <c r="J3044" s="68"/>
      <c r="K3044" s="32"/>
      <c r="L3044" s="75">
        <v>3044</v>
      </c>
      <c r="M3044" s="75"/>
      <c r="N3044" s="70"/>
      <c r="O3044" s="77" t="s">
        <v>179</v>
      </c>
      <c r="P3044" s="79">
        <v>45135.833333333336</v>
      </c>
      <c r="Q3044" s="77" t="s">
        <v>3716</v>
      </c>
      <c r="R3044" s="77">
        <v>1</v>
      </c>
      <c r="S3044" s="77">
        <v>2</v>
      </c>
      <c r="T3044" s="77">
        <v>0</v>
      </c>
      <c r="U3044" s="77">
        <v>0</v>
      </c>
      <c r="V3044" s="77">
        <v>448</v>
      </c>
      <c r="W3044" s="82" t="s">
        <v>6090</v>
      </c>
      <c r="X3044" s="80" t="str">
        <f>HYPERLINK("https://mla.bs/1a5d3022")</f>
        <v>https://mla.bs/1a5d3022</v>
      </c>
      <c r="Y3044" s="77" t="s">
        <v>6506</v>
      </c>
      <c r="Z3044" s="77"/>
      <c r="AA3044" s="77"/>
      <c r="AB3044" s="77"/>
      <c r="AC3044" s="82" t="s">
        <v>7754</v>
      </c>
      <c r="AD3044" s="77" t="s">
        <v>7788</v>
      </c>
      <c r="AE3044" s="80" t="str">
        <f>HYPERLINK("https://twitter.com/einvestidor/status/1685017279547990023")</f>
        <v>https://twitter.com/einvestidor/status/1685017279547990023</v>
      </c>
      <c r="AF3044" s="79">
        <v>45135.833333333336</v>
      </c>
      <c r="AG3044" s="85">
        <v>45135</v>
      </c>
      <c r="AH3044" s="82" t="s">
        <v>8381</v>
      </c>
      <c r="AI3044" s="77" t="b">
        <v>0</v>
      </c>
      <c r="AJ3044" s="77"/>
      <c r="AK3044" s="77"/>
      <c r="AL3044" s="77"/>
      <c r="AM3044" s="77"/>
      <c r="AN3044" s="77"/>
      <c r="AO3044" s="77"/>
      <c r="AP3044" s="77"/>
      <c r="AQ3044" s="77"/>
      <c r="AR3044" s="77"/>
      <c r="AS3044" s="77"/>
      <c r="AT3044" s="77"/>
      <c r="AU3044" s="77"/>
      <c r="AV3044" s="80" t="str">
        <f>HYPERLINK("https://pbs.twimg.com/profile_images/1241147984924082183/gZgx_hL-_normal.jpg")</f>
        <v>https://pbs.twimg.com/profile_images/1241147984924082183/gZgx_hL-_normal.jpg</v>
      </c>
      <c r="AW3044" s="82" t="s">
        <v>14640</v>
      </c>
      <c r="AX3044" s="82" t="s">
        <v>14640</v>
      </c>
      <c r="AY3044" s="77"/>
      <c r="AZ3044" s="82" t="s">
        <v>15984</v>
      </c>
      <c r="BA3044" s="82" t="s">
        <v>15984</v>
      </c>
      <c r="BB3044" s="82" t="s">
        <v>15984</v>
      </c>
      <c r="BC3044" s="82" t="s">
        <v>14640</v>
      </c>
      <c r="BD3044" s="82" t="s">
        <v>15979</v>
      </c>
      <c r="BE3044" s="77"/>
      <c r="BF3044" s="77"/>
      <c r="BG3044" s="77"/>
      <c r="BH3044" s="77"/>
      <c r="BI3044" s="77"/>
    </row>
    <row r="3045" spans="1:61" x14ac:dyDescent="0.25">
      <c r="A3045" s="62" t="s">
        <v>387</v>
      </c>
      <c r="B3045" s="62" t="s">
        <v>387</v>
      </c>
      <c r="C3045" s="63"/>
      <c r="D3045" s="64"/>
      <c r="E3045" s="65"/>
      <c r="F3045" s="66"/>
      <c r="G3045" s="63"/>
      <c r="H3045" s="67"/>
      <c r="I3045" s="68"/>
      <c r="J3045" s="68"/>
      <c r="K3045" s="32"/>
      <c r="L3045" s="75">
        <v>3045</v>
      </c>
      <c r="M3045" s="75"/>
      <c r="N3045" s="70"/>
      <c r="O3045" s="77" t="s">
        <v>179</v>
      </c>
      <c r="P3045" s="79">
        <v>45135.822916666664</v>
      </c>
      <c r="Q3045" s="77" t="s">
        <v>3717</v>
      </c>
      <c r="R3045" s="77">
        <v>0</v>
      </c>
      <c r="S3045" s="77">
        <v>1</v>
      </c>
      <c r="T3045" s="77">
        <v>0</v>
      </c>
      <c r="U3045" s="77">
        <v>0</v>
      </c>
      <c r="V3045" s="77">
        <v>745</v>
      </c>
      <c r="W3045" s="82" t="s">
        <v>5907</v>
      </c>
      <c r="X3045" s="80" t="str">
        <f>HYPERLINK("https://mla.bs/a98cbea9")</f>
        <v>https://mla.bs/a98cbea9</v>
      </c>
      <c r="Y3045" s="77" t="s">
        <v>6506</v>
      </c>
      <c r="Z3045" s="77"/>
      <c r="AA3045" s="77"/>
      <c r="AB3045" s="77"/>
      <c r="AC3045" s="82" t="s">
        <v>7754</v>
      </c>
      <c r="AD3045" s="77" t="s">
        <v>7788</v>
      </c>
      <c r="AE3045" s="80" t="str">
        <f>HYPERLINK("https://twitter.com/einvestidor/status/1685013504695148544")</f>
        <v>https://twitter.com/einvestidor/status/1685013504695148544</v>
      </c>
      <c r="AF3045" s="79">
        <v>45135.822916666664</v>
      </c>
      <c r="AG3045" s="85">
        <v>45135</v>
      </c>
      <c r="AH3045" s="82" t="s">
        <v>9579</v>
      </c>
      <c r="AI3045" s="77" t="b">
        <v>0</v>
      </c>
      <c r="AJ3045" s="77"/>
      <c r="AK3045" s="77"/>
      <c r="AL3045" s="77"/>
      <c r="AM3045" s="77"/>
      <c r="AN3045" s="77"/>
      <c r="AO3045" s="77"/>
      <c r="AP3045" s="77"/>
      <c r="AQ3045" s="77"/>
      <c r="AR3045" s="77"/>
      <c r="AS3045" s="77"/>
      <c r="AT3045" s="77"/>
      <c r="AU3045" s="77"/>
      <c r="AV3045" s="80" t="str">
        <f>HYPERLINK("https://pbs.twimg.com/profile_images/1241147984924082183/gZgx_hL-_normal.jpg")</f>
        <v>https://pbs.twimg.com/profile_images/1241147984924082183/gZgx_hL-_normal.jpg</v>
      </c>
      <c r="AW3045" s="82" t="s">
        <v>14641</v>
      </c>
      <c r="AX3045" s="82" t="s">
        <v>14641</v>
      </c>
      <c r="AY3045" s="77"/>
      <c r="AZ3045" s="82" t="s">
        <v>15984</v>
      </c>
      <c r="BA3045" s="82" t="s">
        <v>15984</v>
      </c>
      <c r="BB3045" s="82" t="s">
        <v>15984</v>
      </c>
      <c r="BC3045" s="82" t="s">
        <v>14641</v>
      </c>
      <c r="BD3045" s="82" t="s">
        <v>15979</v>
      </c>
      <c r="BE3045" s="77"/>
      <c r="BF3045" s="77"/>
      <c r="BG3045" s="77"/>
      <c r="BH3045" s="77"/>
      <c r="BI3045" s="77"/>
    </row>
    <row r="3046" spans="1:61" x14ac:dyDescent="0.25">
      <c r="A3046" s="62" t="s">
        <v>387</v>
      </c>
      <c r="B3046" s="62" t="s">
        <v>387</v>
      </c>
      <c r="C3046" s="63"/>
      <c r="D3046" s="64"/>
      <c r="E3046" s="65"/>
      <c r="F3046" s="66"/>
      <c r="G3046" s="63"/>
      <c r="H3046" s="67"/>
      <c r="I3046" s="68"/>
      <c r="J3046" s="68"/>
      <c r="K3046" s="32"/>
      <c r="L3046" s="75">
        <v>3046</v>
      </c>
      <c r="M3046" s="75"/>
      <c r="N3046" s="70"/>
      <c r="O3046" s="77" t="s">
        <v>179</v>
      </c>
      <c r="P3046" s="79">
        <v>45135.802083333336</v>
      </c>
      <c r="Q3046" s="77" t="s">
        <v>3718</v>
      </c>
      <c r="R3046" s="77">
        <v>0</v>
      </c>
      <c r="S3046" s="77">
        <v>0</v>
      </c>
      <c r="T3046" s="77">
        <v>0</v>
      </c>
      <c r="U3046" s="77">
        <v>0</v>
      </c>
      <c r="V3046" s="77">
        <v>556</v>
      </c>
      <c r="W3046" s="82" t="s">
        <v>4833</v>
      </c>
      <c r="X3046" s="80" t="str">
        <f>HYPERLINK("https://mla.bs/0ce07649")</f>
        <v>https://mla.bs/0ce07649</v>
      </c>
      <c r="Y3046" s="77" t="s">
        <v>6506</v>
      </c>
      <c r="Z3046" s="77"/>
      <c r="AA3046" s="77"/>
      <c r="AB3046" s="77"/>
      <c r="AC3046" s="82" t="s">
        <v>7754</v>
      </c>
      <c r="AD3046" s="77" t="s">
        <v>7788</v>
      </c>
      <c r="AE3046" s="80" t="str">
        <f>HYPERLINK("https://twitter.com/einvestidor/status/1685005955002400770")</f>
        <v>https://twitter.com/einvestidor/status/1685005955002400770</v>
      </c>
      <c r="AF3046" s="79">
        <v>45135.802083333336</v>
      </c>
      <c r="AG3046" s="85">
        <v>45135</v>
      </c>
      <c r="AH3046" s="82" t="s">
        <v>7868</v>
      </c>
      <c r="AI3046" s="77" t="b">
        <v>0</v>
      </c>
      <c r="AJ3046" s="77"/>
      <c r="AK3046" s="77"/>
      <c r="AL3046" s="77"/>
      <c r="AM3046" s="77"/>
      <c r="AN3046" s="77"/>
      <c r="AO3046" s="77"/>
      <c r="AP3046" s="77"/>
      <c r="AQ3046" s="77"/>
      <c r="AR3046" s="77"/>
      <c r="AS3046" s="77"/>
      <c r="AT3046" s="77"/>
      <c r="AU3046" s="77"/>
      <c r="AV3046" s="80" t="str">
        <f>HYPERLINK("https://pbs.twimg.com/profile_images/1241147984924082183/gZgx_hL-_normal.jpg")</f>
        <v>https://pbs.twimg.com/profile_images/1241147984924082183/gZgx_hL-_normal.jpg</v>
      </c>
      <c r="AW3046" s="82" t="s">
        <v>14642</v>
      </c>
      <c r="AX3046" s="82" t="s">
        <v>14642</v>
      </c>
      <c r="AY3046" s="77"/>
      <c r="AZ3046" s="82" t="s">
        <v>15984</v>
      </c>
      <c r="BA3046" s="82" t="s">
        <v>15984</v>
      </c>
      <c r="BB3046" s="82" t="s">
        <v>15984</v>
      </c>
      <c r="BC3046" s="82" t="s">
        <v>14642</v>
      </c>
      <c r="BD3046" s="82" t="s">
        <v>15979</v>
      </c>
      <c r="BE3046" s="77"/>
      <c r="BF3046" s="77"/>
      <c r="BG3046" s="77"/>
      <c r="BH3046" s="77"/>
      <c r="BI3046" s="77"/>
    </row>
    <row r="3047" spans="1:61" x14ac:dyDescent="0.25">
      <c r="A3047" s="62" t="s">
        <v>387</v>
      </c>
      <c r="B3047" s="62" t="s">
        <v>387</v>
      </c>
      <c r="C3047" s="63"/>
      <c r="D3047" s="64"/>
      <c r="E3047" s="65"/>
      <c r="F3047" s="66"/>
      <c r="G3047" s="63"/>
      <c r="H3047" s="67"/>
      <c r="I3047" s="68"/>
      <c r="J3047" s="68"/>
      <c r="K3047" s="32"/>
      <c r="L3047" s="75">
        <v>3047</v>
      </c>
      <c r="M3047" s="75"/>
      <c r="N3047" s="70"/>
      <c r="O3047" s="77" t="s">
        <v>179</v>
      </c>
      <c r="P3047" s="79">
        <v>45135.791678240741</v>
      </c>
      <c r="Q3047" s="77" t="s">
        <v>3719</v>
      </c>
      <c r="R3047" s="77">
        <v>0</v>
      </c>
      <c r="S3047" s="77">
        <v>0</v>
      </c>
      <c r="T3047" s="77">
        <v>0</v>
      </c>
      <c r="U3047" s="77">
        <v>0</v>
      </c>
      <c r="V3047" s="77">
        <v>498</v>
      </c>
      <c r="W3047" s="82" t="s">
        <v>4833</v>
      </c>
      <c r="X3047" s="80" t="str">
        <f>HYPERLINK("https://mla.bs/2bf2df96")</f>
        <v>https://mla.bs/2bf2df96</v>
      </c>
      <c r="Y3047" s="77" t="s">
        <v>6506</v>
      </c>
      <c r="Z3047" s="77"/>
      <c r="AA3047" s="77"/>
      <c r="AB3047" s="77"/>
      <c r="AC3047" s="82" t="s">
        <v>7754</v>
      </c>
      <c r="AD3047" s="77" t="s">
        <v>7788</v>
      </c>
      <c r="AE3047" s="80" t="str">
        <f>HYPERLINK("https://twitter.com/einvestidor/status/1685002183530668036")</f>
        <v>https://twitter.com/einvestidor/status/1685002183530668036</v>
      </c>
      <c r="AF3047" s="79">
        <v>45135.791678240741</v>
      </c>
      <c r="AG3047" s="85">
        <v>45135</v>
      </c>
      <c r="AH3047" s="82" t="s">
        <v>7933</v>
      </c>
      <c r="AI3047" s="77" t="b">
        <v>0</v>
      </c>
      <c r="AJ3047" s="77"/>
      <c r="AK3047" s="77"/>
      <c r="AL3047" s="77"/>
      <c r="AM3047" s="77"/>
      <c r="AN3047" s="77"/>
      <c r="AO3047" s="77"/>
      <c r="AP3047" s="77"/>
      <c r="AQ3047" s="77"/>
      <c r="AR3047" s="77"/>
      <c r="AS3047" s="77"/>
      <c r="AT3047" s="77"/>
      <c r="AU3047" s="77"/>
      <c r="AV3047" s="80" t="str">
        <f>HYPERLINK("https://pbs.twimg.com/profile_images/1241147984924082183/gZgx_hL-_normal.jpg")</f>
        <v>https://pbs.twimg.com/profile_images/1241147984924082183/gZgx_hL-_normal.jpg</v>
      </c>
      <c r="AW3047" s="82" t="s">
        <v>14643</v>
      </c>
      <c r="AX3047" s="82" t="s">
        <v>14643</v>
      </c>
      <c r="AY3047" s="77"/>
      <c r="AZ3047" s="82" t="s">
        <v>15984</v>
      </c>
      <c r="BA3047" s="82" t="s">
        <v>15984</v>
      </c>
      <c r="BB3047" s="82" t="s">
        <v>15984</v>
      </c>
      <c r="BC3047" s="82" t="s">
        <v>14643</v>
      </c>
      <c r="BD3047" s="82" t="s">
        <v>15979</v>
      </c>
      <c r="BE3047" s="77"/>
      <c r="BF3047" s="77"/>
      <c r="BG3047" s="77"/>
      <c r="BH3047" s="77"/>
      <c r="BI3047" s="77"/>
    </row>
    <row r="3048" spans="1:61" x14ac:dyDescent="0.25">
      <c r="A3048" s="62" t="s">
        <v>387</v>
      </c>
      <c r="B3048" s="62" t="s">
        <v>387</v>
      </c>
      <c r="C3048" s="63"/>
      <c r="D3048" s="64"/>
      <c r="E3048" s="65"/>
      <c r="F3048" s="66"/>
      <c r="G3048" s="63"/>
      <c r="H3048" s="67"/>
      <c r="I3048" s="68"/>
      <c r="J3048" s="68"/>
      <c r="K3048" s="32"/>
      <c r="L3048" s="75">
        <v>3048</v>
      </c>
      <c r="M3048" s="75"/>
      <c r="N3048" s="70"/>
      <c r="O3048" s="77" t="s">
        <v>179</v>
      </c>
      <c r="P3048" s="79">
        <v>45135.78125</v>
      </c>
      <c r="Q3048" s="77" t="s">
        <v>3720</v>
      </c>
      <c r="R3048" s="77">
        <v>0</v>
      </c>
      <c r="S3048" s="77">
        <v>1</v>
      </c>
      <c r="T3048" s="77">
        <v>0</v>
      </c>
      <c r="U3048" s="77">
        <v>0</v>
      </c>
      <c r="V3048" s="77">
        <v>614</v>
      </c>
      <c r="W3048" s="82" t="s">
        <v>4833</v>
      </c>
      <c r="X3048" s="80" t="str">
        <f>HYPERLINK("https://mla.bs/e0d48878")</f>
        <v>https://mla.bs/e0d48878</v>
      </c>
      <c r="Y3048" s="77" t="s">
        <v>6506</v>
      </c>
      <c r="Z3048" s="77"/>
      <c r="AA3048" s="77"/>
      <c r="AB3048" s="77"/>
      <c r="AC3048" s="82" t="s">
        <v>7754</v>
      </c>
      <c r="AD3048" s="77" t="s">
        <v>7788</v>
      </c>
      <c r="AE3048" s="80" t="str">
        <f>HYPERLINK("https://twitter.com/einvestidor/status/1684998405570060293")</f>
        <v>https://twitter.com/einvestidor/status/1684998405570060293</v>
      </c>
      <c r="AF3048" s="79">
        <v>45135.78125</v>
      </c>
      <c r="AG3048" s="85">
        <v>45135</v>
      </c>
      <c r="AH3048" s="82" t="s">
        <v>9581</v>
      </c>
      <c r="AI3048" s="77" t="b">
        <v>0</v>
      </c>
      <c r="AJ3048" s="77"/>
      <c r="AK3048" s="77"/>
      <c r="AL3048" s="77"/>
      <c r="AM3048" s="77"/>
      <c r="AN3048" s="77"/>
      <c r="AO3048" s="77"/>
      <c r="AP3048" s="77"/>
      <c r="AQ3048" s="77"/>
      <c r="AR3048" s="77"/>
      <c r="AS3048" s="77"/>
      <c r="AT3048" s="77"/>
      <c r="AU3048" s="77"/>
      <c r="AV3048" s="80" t="str">
        <f>HYPERLINK("https://pbs.twimg.com/profile_images/1241147984924082183/gZgx_hL-_normal.jpg")</f>
        <v>https://pbs.twimg.com/profile_images/1241147984924082183/gZgx_hL-_normal.jpg</v>
      </c>
      <c r="AW3048" s="82" t="s">
        <v>14644</v>
      </c>
      <c r="AX3048" s="82" t="s">
        <v>14644</v>
      </c>
      <c r="AY3048" s="77"/>
      <c r="AZ3048" s="82" t="s">
        <v>15984</v>
      </c>
      <c r="BA3048" s="82" t="s">
        <v>15984</v>
      </c>
      <c r="BB3048" s="82" t="s">
        <v>15984</v>
      </c>
      <c r="BC3048" s="82" t="s">
        <v>14644</v>
      </c>
      <c r="BD3048" s="82" t="s">
        <v>15979</v>
      </c>
      <c r="BE3048" s="77"/>
      <c r="BF3048" s="77"/>
      <c r="BG3048" s="77"/>
      <c r="BH3048" s="77"/>
      <c r="BI3048" s="77"/>
    </row>
    <row r="3049" spans="1:61" x14ac:dyDescent="0.25">
      <c r="A3049" s="62" t="s">
        <v>387</v>
      </c>
      <c r="B3049" s="62" t="s">
        <v>387</v>
      </c>
      <c r="C3049" s="63"/>
      <c r="D3049" s="64"/>
      <c r="E3049" s="65"/>
      <c r="F3049" s="66"/>
      <c r="G3049" s="63"/>
      <c r="H3049" s="67"/>
      <c r="I3049" s="68"/>
      <c r="J3049" s="68"/>
      <c r="K3049" s="32"/>
      <c r="L3049" s="75">
        <v>3049</v>
      </c>
      <c r="M3049" s="75"/>
      <c r="N3049" s="70"/>
      <c r="O3049" s="77" t="s">
        <v>179</v>
      </c>
      <c r="P3049" s="79">
        <v>45135.750023148146</v>
      </c>
      <c r="Q3049" s="77" t="s">
        <v>3721</v>
      </c>
      <c r="R3049" s="77">
        <v>1</v>
      </c>
      <c r="S3049" s="77">
        <v>1</v>
      </c>
      <c r="T3049" s="77">
        <v>0</v>
      </c>
      <c r="U3049" s="77">
        <v>0</v>
      </c>
      <c r="V3049" s="77">
        <v>559</v>
      </c>
      <c r="W3049" s="82" t="s">
        <v>4833</v>
      </c>
      <c r="X3049" s="80" t="str">
        <f>HYPERLINK("https://mla.bs/49a8ac2c")</f>
        <v>https://mla.bs/49a8ac2c</v>
      </c>
      <c r="Y3049" s="77" t="s">
        <v>6506</v>
      </c>
      <c r="Z3049" s="77"/>
      <c r="AA3049" s="77"/>
      <c r="AB3049" s="77"/>
      <c r="AC3049" s="82" t="s">
        <v>7754</v>
      </c>
      <c r="AD3049" s="77" t="s">
        <v>7788</v>
      </c>
      <c r="AE3049" s="80" t="str">
        <f>HYPERLINK("https://twitter.com/einvestidor/status/1684987088129921024")</f>
        <v>https://twitter.com/einvestidor/status/1684987088129921024</v>
      </c>
      <c r="AF3049" s="79">
        <v>45135.750023148146</v>
      </c>
      <c r="AG3049" s="85">
        <v>45135</v>
      </c>
      <c r="AH3049" s="82" t="s">
        <v>9676</v>
      </c>
      <c r="AI3049" s="77" t="b">
        <v>0</v>
      </c>
      <c r="AJ3049" s="77"/>
      <c r="AK3049" s="77"/>
      <c r="AL3049" s="77"/>
      <c r="AM3049" s="77"/>
      <c r="AN3049" s="77"/>
      <c r="AO3049" s="77"/>
      <c r="AP3049" s="77"/>
      <c r="AQ3049" s="77"/>
      <c r="AR3049" s="77"/>
      <c r="AS3049" s="77"/>
      <c r="AT3049" s="77"/>
      <c r="AU3049" s="77"/>
      <c r="AV3049" s="80" t="str">
        <f>HYPERLINK("https://pbs.twimg.com/profile_images/1241147984924082183/gZgx_hL-_normal.jpg")</f>
        <v>https://pbs.twimg.com/profile_images/1241147984924082183/gZgx_hL-_normal.jpg</v>
      </c>
      <c r="AW3049" s="82" t="s">
        <v>14645</v>
      </c>
      <c r="AX3049" s="82" t="s">
        <v>14645</v>
      </c>
      <c r="AY3049" s="77"/>
      <c r="AZ3049" s="82" t="s">
        <v>15984</v>
      </c>
      <c r="BA3049" s="82" t="s">
        <v>15984</v>
      </c>
      <c r="BB3049" s="82" t="s">
        <v>15984</v>
      </c>
      <c r="BC3049" s="82" t="s">
        <v>14645</v>
      </c>
      <c r="BD3049" s="82" t="s">
        <v>15979</v>
      </c>
      <c r="BE3049" s="77"/>
      <c r="BF3049" s="77"/>
      <c r="BG3049" s="77"/>
      <c r="BH3049" s="77"/>
      <c r="BI3049" s="77"/>
    </row>
    <row r="3050" spans="1:61" x14ac:dyDescent="0.25">
      <c r="A3050" s="62" t="s">
        <v>387</v>
      </c>
      <c r="B3050" s="62" t="s">
        <v>387</v>
      </c>
      <c r="C3050" s="63"/>
      <c r="D3050" s="64"/>
      <c r="E3050" s="65"/>
      <c r="F3050" s="66"/>
      <c r="G3050" s="63"/>
      <c r="H3050" s="67"/>
      <c r="I3050" s="68"/>
      <c r="J3050" s="68"/>
      <c r="K3050" s="32"/>
      <c r="L3050" s="75">
        <v>3050</v>
      </c>
      <c r="M3050" s="75"/>
      <c r="N3050" s="70"/>
      <c r="O3050" s="77" t="s">
        <v>179</v>
      </c>
      <c r="P3050" s="79">
        <v>45135.739583333336</v>
      </c>
      <c r="Q3050" s="77" t="s">
        <v>3722</v>
      </c>
      <c r="R3050" s="77">
        <v>0</v>
      </c>
      <c r="S3050" s="77">
        <v>0</v>
      </c>
      <c r="T3050" s="77">
        <v>0</v>
      </c>
      <c r="U3050" s="77">
        <v>0</v>
      </c>
      <c r="V3050" s="77">
        <v>536</v>
      </c>
      <c r="W3050" s="82" t="s">
        <v>4833</v>
      </c>
      <c r="X3050" s="80" t="str">
        <f>HYPERLINK("https://mla.bs/df24d208")</f>
        <v>https://mla.bs/df24d208</v>
      </c>
      <c r="Y3050" s="77" t="s">
        <v>6506</v>
      </c>
      <c r="Z3050" s="77"/>
      <c r="AA3050" s="77"/>
      <c r="AB3050" s="77"/>
      <c r="AC3050" s="82" t="s">
        <v>7754</v>
      </c>
      <c r="AD3050" s="77" t="s">
        <v>7788</v>
      </c>
      <c r="AE3050" s="80" t="str">
        <f>HYPERLINK("https://twitter.com/einvestidor/status/1684983306050580481")</f>
        <v>https://twitter.com/einvestidor/status/1684983306050580481</v>
      </c>
      <c r="AF3050" s="79">
        <v>45135.739583333336</v>
      </c>
      <c r="AG3050" s="85">
        <v>45135</v>
      </c>
      <c r="AH3050" s="82" t="s">
        <v>9626</v>
      </c>
      <c r="AI3050" s="77" t="b">
        <v>0</v>
      </c>
      <c r="AJ3050" s="77"/>
      <c r="AK3050" s="77"/>
      <c r="AL3050" s="77"/>
      <c r="AM3050" s="77"/>
      <c r="AN3050" s="77"/>
      <c r="AO3050" s="77"/>
      <c r="AP3050" s="77"/>
      <c r="AQ3050" s="77"/>
      <c r="AR3050" s="77"/>
      <c r="AS3050" s="77"/>
      <c r="AT3050" s="77"/>
      <c r="AU3050" s="77"/>
      <c r="AV3050" s="80" t="str">
        <f>HYPERLINK("https://pbs.twimg.com/profile_images/1241147984924082183/gZgx_hL-_normal.jpg")</f>
        <v>https://pbs.twimg.com/profile_images/1241147984924082183/gZgx_hL-_normal.jpg</v>
      </c>
      <c r="AW3050" s="82" t="s">
        <v>14646</v>
      </c>
      <c r="AX3050" s="82" t="s">
        <v>14646</v>
      </c>
      <c r="AY3050" s="77"/>
      <c r="AZ3050" s="82" t="s">
        <v>15984</v>
      </c>
      <c r="BA3050" s="82" t="s">
        <v>15984</v>
      </c>
      <c r="BB3050" s="82" t="s">
        <v>15984</v>
      </c>
      <c r="BC3050" s="82" t="s">
        <v>14646</v>
      </c>
      <c r="BD3050" s="82" t="s">
        <v>15979</v>
      </c>
      <c r="BE3050" s="77"/>
      <c r="BF3050" s="77"/>
      <c r="BG3050" s="77"/>
      <c r="BH3050" s="77"/>
      <c r="BI3050" s="77"/>
    </row>
    <row r="3051" spans="1:61" x14ac:dyDescent="0.25">
      <c r="A3051" s="62" t="s">
        <v>387</v>
      </c>
      <c r="B3051" s="62" t="s">
        <v>387</v>
      </c>
      <c r="C3051" s="63"/>
      <c r="D3051" s="64"/>
      <c r="E3051" s="65"/>
      <c r="F3051" s="66"/>
      <c r="G3051" s="63"/>
      <c r="H3051" s="67"/>
      <c r="I3051" s="68"/>
      <c r="J3051" s="68"/>
      <c r="K3051" s="32"/>
      <c r="L3051" s="75">
        <v>3051</v>
      </c>
      <c r="M3051" s="75"/>
      <c r="N3051" s="70"/>
      <c r="O3051" s="77" t="s">
        <v>179</v>
      </c>
      <c r="P3051" s="79">
        <v>45135.724953703706</v>
      </c>
      <c r="Q3051" s="77" t="s">
        <v>3723</v>
      </c>
      <c r="R3051" s="77">
        <v>0</v>
      </c>
      <c r="S3051" s="77">
        <v>1</v>
      </c>
      <c r="T3051" s="77">
        <v>0</v>
      </c>
      <c r="U3051" s="77">
        <v>0</v>
      </c>
      <c r="V3051" s="77">
        <v>536</v>
      </c>
      <c r="W3051" s="82" t="s">
        <v>4833</v>
      </c>
      <c r="X3051" s="80" t="str">
        <f>HYPERLINK("https://mla.bs/c406f469")</f>
        <v>https://mla.bs/c406f469</v>
      </c>
      <c r="Y3051" s="77" t="s">
        <v>6506</v>
      </c>
      <c r="Z3051" s="77"/>
      <c r="AA3051" s="77"/>
      <c r="AB3051" s="77"/>
      <c r="AC3051" s="82" t="s">
        <v>7754</v>
      </c>
      <c r="AD3051" s="77" t="s">
        <v>7788</v>
      </c>
      <c r="AE3051" s="80" t="str">
        <f>HYPERLINK("https://twitter.com/einvestidor/status/1684978005293051914")</f>
        <v>https://twitter.com/einvestidor/status/1684978005293051914</v>
      </c>
      <c r="AF3051" s="79">
        <v>45135.724953703706</v>
      </c>
      <c r="AG3051" s="85">
        <v>45135</v>
      </c>
      <c r="AH3051" s="82" t="s">
        <v>9913</v>
      </c>
      <c r="AI3051" s="77" t="b">
        <v>0</v>
      </c>
      <c r="AJ3051" s="77"/>
      <c r="AK3051" s="77"/>
      <c r="AL3051" s="77"/>
      <c r="AM3051" s="77"/>
      <c r="AN3051" s="77"/>
      <c r="AO3051" s="77"/>
      <c r="AP3051" s="77"/>
      <c r="AQ3051" s="77"/>
      <c r="AR3051" s="77"/>
      <c r="AS3051" s="77"/>
      <c r="AT3051" s="77"/>
      <c r="AU3051" s="77"/>
      <c r="AV3051" s="80" t="str">
        <f>HYPERLINK("https://pbs.twimg.com/profile_images/1241147984924082183/gZgx_hL-_normal.jpg")</f>
        <v>https://pbs.twimg.com/profile_images/1241147984924082183/gZgx_hL-_normal.jpg</v>
      </c>
      <c r="AW3051" s="82" t="s">
        <v>14647</v>
      </c>
      <c r="AX3051" s="82" t="s">
        <v>14647</v>
      </c>
      <c r="AY3051" s="77"/>
      <c r="AZ3051" s="82" t="s">
        <v>15984</v>
      </c>
      <c r="BA3051" s="82" t="s">
        <v>15984</v>
      </c>
      <c r="BB3051" s="82" t="s">
        <v>15984</v>
      </c>
      <c r="BC3051" s="82" t="s">
        <v>14647</v>
      </c>
      <c r="BD3051" s="82" t="s">
        <v>15979</v>
      </c>
      <c r="BE3051" s="77"/>
      <c r="BF3051" s="77"/>
      <c r="BG3051" s="77"/>
      <c r="BH3051" s="77"/>
      <c r="BI3051" s="77"/>
    </row>
    <row r="3052" spans="1:61" x14ac:dyDescent="0.25">
      <c r="A3052" s="62" t="s">
        <v>387</v>
      </c>
      <c r="B3052" s="62" t="s">
        <v>387</v>
      </c>
      <c r="C3052" s="63"/>
      <c r="D3052" s="64"/>
      <c r="E3052" s="65"/>
      <c r="F3052" s="66"/>
      <c r="G3052" s="63"/>
      <c r="H3052" s="67"/>
      <c r="I3052" s="68"/>
      <c r="J3052" s="68"/>
      <c r="K3052" s="32"/>
      <c r="L3052" s="75">
        <v>3052</v>
      </c>
      <c r="M3052" s="75"/>
      <c r="N3052" s="70"/>
      <c r="O3052" s="77" t="s">
        <v>179</v>
      </c>
      <c r="P3052" s="79">
        <v>45118.125590277778</v>
      </c>
      <c r="Q3052" s="77" t="s">
        <v>3724</v>
      </c>
      <c r="R3052" s="77">
        <v>0</v>
      </c>
      <c r="S3052" s="77">
        <v>5</v>
      </c>
      <c r="T3052" s="77">
        <v>0</v>
      </c>
      <c r="U3052" s="77">
        <v>0</v>
      </c>
      <c r="V3052" s="77">
        <v>765</v>
      </c>
      <c r="W3052" s="82" t="s">
        <v>4833</v>
      </c>
      <c r="X3052" s="80" t="str">
        <f>HYPERLINK("https://mla.bs/c980247c")</f>
        <v>https://mla.bs/c980247c</v>
      </c>
      <c r="Y3052" s="77" t="s">
        <v>6506</v>
      </c>
      <c r="Z3052" s="77"/>
      <c r="AA3052" s="77"/>
      <c r="AB3052" s="77"/>
      <c r="AC3052" s="82" t="s">
        <v>7757</v>
      </c>
      <c r="AD3052" s="77" t="s">
        <v>7788</v>
      </c>
      <c r="AE3052" s="80" t="str">
        <f>HYPERLINK("https://twitter.com/einvestidor/status/1678600210497273860")</f>
        <v>https://twitter.com/einvestidor/status/1678600210497273860</v>
      </c>
      <c r="AF3052" s="79">
        <v>45118.125590277778</v>
      </c>
      <c r="AG3052" s="85">
        <v>45118</v>
      </c>
      <c r="AH3052" s="82" t="s">
        <v>9914</v>
      </c>
      <c r="AI3052" s="77" t="b">
        <v>0</v>
      </c>
      <c r="AJ3052" s="77"/>
      <c r="AK3052" s="77"/>
      <c r="AL3052" s="77"/>
      <c r="AM3052" s="77"/>
      <c r="AN3052" s="77"/>
      <c r="AO3052" s="77"/>
      <c r="AP3052" s="77"/>
      <c r="AQ3052" s="77"/>
      <c r="AR3052" s="77"/>
      <c r="AS3052" s="77"/>
      <c r="AT3052" s="77"/>
      <c r="AU3052" s="77"/>
      <c r="AV3052" s="80" t="str">
        <f>HYPERLINK("https://pbs.twimg.com/profile_images/1241147984924082183/gZgx_hL-_normal.jpg")</f>
        <v>https://pbs.twimg.com/profile_images/1241147984924082183/gZgx_hL-_normal.jpg</v>
      </c>
      <c r="AW3052" s="82" t="s">
        <v>14648</v>
      </c>
      <c r="AX3052" s="82" t="s">
        <v>14648</v>
      </c>
      <c r="AY3052" s="77"/>
      <c r="AZ3052" s="82" t="s">
        <v>15984</v>
      </c>
      <c r="BA3052" s="82" t="s">
        <v>15984</v>
      </c>
      <c r="BB3052" s="82" t="s">
        <v>15984</v>
      </c>
      <c r="BC3052" s="82" t="s">
        <v>14648</v>
      </c>
      <c r="BD3052" s="82" t="s">
        <v>15979</v>
      </c>
      <c r="BE3052" s="77"/>
      <c r="BF3052" s="77"/>
      <c r="BG3052" s="77"/>
      <c r="BH3052" s="77"/>
      <c r="BI3052" s="77"/>
    </row>
    <row r="3053" spans="1:61" x14ac:dyDescent="0.25">
      <c r="A3053" s="62" t="s">
        <v>387</v>
      </c>
      <c r="B3053" s="62" t="s">
        <v>387</v>
      </c>
      <c r="C3053" s="63"/>
      <c r="D3053" s="64"/>
      <c r="E3053" s="65"/>
      <c r="F3053" s="66"/>
      <c r="G3053" s="63"/>
      <c r="H3053" s="67"/>
      <c r="I3053" s="68"/>
      <c r="J3053" s="68"/>
      <c r="K3053" s="32"/>
      <c r="L3053" s="75">
        <v>3053</v>
      </c>
      <c r="M3053" s="75"/>
      <c r="N3053" s="70"/>
      <c r="O3053" s="77" t="s">
        <v>179</v>
      </c>
      <c r="P3053" s="79">
        <v>45118.111111111109</v>
      </c>
      <c r="Q3053" s="77" t="s">
        <v>3725</v>
      </c>
      <c r="R3053" s="77">
        <v>0</v>
      </c>
      <c r="S3053" s="77">
        <v>5</v>
      </c>
      <c r="T3053" s="77">
        <v>1</v>
      </c>
      <c r="U3053" s="77">
        <v>0</v>
      </c>
      <c r="V3053" s="77">
        <v>775</v>
      </c>
      <c r="W3053" s="82" t="s">
        <v>4833</v>
      </c>
      <c r="X3053" s="80" t="str">
        <f>HYPERLINK("https://mla.bs/b92b979a")</f>
        <v>https://mla.bs/b92b979a</v>
      </c>
      <c r="Y3053" s="77" t="s">
        <v>6506</v>
      </c>
      <c r="Z3053" s="77"/>
      <c r="AA3053" s="77"/>
      <c r="AB3053" s="77"/>
      <c r="AC3053" s="82" t="s">
        <v>7757</v>
      </c>
      <c r="AD3053" s="77" t="s">
        <v>7788</v>
      </c>
      <c r="AE3053" s="80" t="str">
        <f>HYPERLINK("https://twitter.com/einvestidor/status/1678594962819039233")</f>
        <v>https://twitter.com/einvestidor/status/1678594962819039233</v>
      </c>
      <c r="AF3053" s="79">
        <v>45118.111111111109</v>
      </c>
      <c r="AG3053" s="85">
        <v>45118</v>
      </c>
      <c r="AH3053" s="82" t="s">
        <v>9665</v>
      </c>
      <c r="AI3053" s="77" t="b">
        <v>0</v>
      </c>
      <c r="AJ3053" s="77"/>
      <c r="AK3053" s="77"/>
      <c r="AL3053" s="77"/>
      <c r="AM3053" s="77"/>
      <c r="AN3053" s="77"/>
      <c r="AO3053" s="77"/>
      <c r="AP3053" s="77"/>
      <c r="AQ3053" s="77"/>
      <c r="AR3053" s="77"/>
      <c r="AS3053" s="77"/>
      <c r="AT3053" s="77"/>
      <c r="AU3053" s="77"/>
      <c r="AV3053" s="80" t="str">
        <f>HYPERLINK("https://pbs.twimg.com/profile_images/1241147984924082183/gZgx_hL-_normal.jpg")</f>
        <v>https://pbs.twimg.com/profile_images/1241147984924082183/gZgx_hL-_normal.jpg</v>
      </c>
      <c r="AW3053" s="82" t="s">
        <v>14649</v>
      </c>
      <c r="AX3053" s="82" t="s">
        <v>14649</v>
      </c>
      <c r="AY3053" s="77"/>
      <c r="AZ3053" s="82" t="s">
        <v>15984</v>
      </c>
      <c r="BA3053" s="82" t="s">
        <v>15984</v>
      </c>
      <c r="BB3053" s="82" t="s">
        <v>15984</v>
      </c>
      <c r="BC3053" s="82" t="s">
        <v>14649</v>
      </c>
      <c r="BD3053" s="82" t="s">
        <v>15979</v>
      </c>
      <c r="BE3053" s="77"/>
      <c r="BF3053" s="77"/>
      <c r="BG3053" s="77"/>
      <c r="BH3053" s="77"/>
      <c r="BI3053" s="77"/>
    </row>
    <row r="3054" spans="1:61" x14ac:dyDescent="0.25">
      <c r="A3054" s="62" t="s">
        <v>387</v>
      </c>
      <c r="B3054" s="62" t="s">
        <v>387</v>
      </c>
      <c r="C3054" s="63"/>
      <c r="D3054" s="64"/>
      <c r="E3054" s="65"/>
      <c r="F3054" s="66"/>
      <c r="G3054" s="63"/>
      <c r="H3054" s="67"/>
      <c r="I3054" s="68"/>
      <c r="J3054" s="68"/>
      <c r="K3054" s="32"/>
      <c r="L3054" s="75">
        <v>3054</v>
      </c>
      <c r="M3054" s="75"/>
      <c r="N3054" s="70"/>
      <c r="O3054" s="77" t="s">
        <v>179</v>
      </c>
      <c r="P3054" s="79">
        <v>45118.097222222219</v>
      </c>
      <c r="Q3054" s="77" t="s">
        <v>3726</v>
      </c>
      <c r="R3054" s="77">
        <v>0</v>
      </c>
      <c r="S3054" s="77">
        <v>4</v>
      </c>
      <c r="T3054" s="77">
        <v>0</v>
      </c>
      <c r="U3054" s="77">
        <v>0</v>
      </c>
      <c r="V3054" s="77">
        <v>707</v>
      </c>
      <c r="W3054" s="82" t="s">
        <v>4833</v>
      </c>
      <c r="X3054" s="80" t="str">
        <f>HYPERLINK("https://mla.bs/0b67ca64")</f>
        <v>https://mla.bs/0b67ca64</v>
      </c>
      <c r="Y3054" s="77" t="s">
        <v>6506</v>
      </c>
      <c r="Z3054" s="77"/>
      <c r="AA3054" s="77"/>
      <c r="AB3054" s="77"/>
      <c r="AC3054" s="82" t="s">
        <v>7757</v>
      </c>
      <c r="AD3054" s="77" t="s">
        <v>7788</v>
      </c>
      <c r="AE3054" s="80" t="str">
        <f>HYPERLINK("https://twitter.com/einvestidor/status/1678589930103099395")</f>
        <v>https://twitter.com/einvestidor/status/1678589930103099395</v>
      </c>
      <c r="AF3054" s="79">
        <v>45118.097222222219</v>
      </c>
      <c r="AG3054" s="85">
        <v>45118</v>
      </c>
      <c r="AH3054" s="82" t="s">
        <v>9666</v>
      </c>
      <c r="AI3054" s="77" t="b">
        <v>0</v>
      </c>
      <c r="AJ3054" s="77"/>
      <c r="AK3054" s="77"/>
      <c r="AL3054" s="77"/>
      <c r="AM3054" s="77"/>
      <c r="AN3054" s="77"/>
      <c r="AO3054" s="77"/>
      <c r="AP3054" s="77"/>
      <c r="AQ3054" s="77"/>
      <c r="AR3054" s="77"/>
      <c r="AS3054" s="77"/>
      <c r="AT3054" s="77"/>
      <c r="AU3054" s="77"/>
      <c r="AV3054" s="80" t="str">
        <f>HYPERLINK("https://pbs.twimg.com/profile_images/1241147984924082183/gZgx_hL-_normal.jpg")</f>
        <v>https://pbs.twimg.com/profile_images/1241147984924082183/gZgx_hL-_normal.jpg</v>
      </c>
      <c r="AW3054" s="82" t="s">
        <v>14650</v>
      </c>
      <c r="AX3054" s="82" t="s">
        <v>14650</v>
      </c>
      <c r="AY3054" s="77"/>
      <c r="AZ3054" s="82" t="s">
        <v>15984</v>
      </c>
      <c r="BA3054" s="82" t="s">
        <v>15984</v>
      </c>
      <c r="BB3054" s="82" t="s">
        <v>15984</v>
      </c>
      <c r="BC3054" s="82" t="s">
        <v>14650</v>
      </c>
      <c r="BD3054" s="82" t="s">
        <v>15979</v>
      </c>
      <c r="BE3054" s="77"/>
      <c r="BF3054" s="77"/>
      <c r="BG3054" s="77"/>
      <c r="BH3054" s="77"/>
      <c r="BI3054" s="77"/>
    </row>
    <row r="3055" spans="1:61" x14ac:dyDescent="0.25">
      <c r="A3055" s="62" t="s">
        <v>387</v>
      </c>
      <c r="B3055" s="62" t="s">
        <v>387</v>
      </c>
      <c r="C3055" s="63"/>
      <c r="D3055" s="64"/>
      <c r="E3055" s="65"/>
      <c r="F3055" s="66"/>
      <c r="G3055" s="63"/>
      <c r="H3055" s="67"/>
      <c r="I3055" s="68"/>
      <c r="J3055" s="68"/>
      <c r="K3055" s="32"/>
      <c r="L3055" s="75">
        <v>3055</v>
      </c>
      <c r="M3055" s="75"/>
      <c r="N3055" s="70"/>
      <c r="O3055" s="77" t="s">
        <v>179</v>
      </c>
      <c r="P3055" s="79">
        <v>45118.069444444445</v>
      </c>
      <c r="Q3055" s="77" t="s">
        <v>3727</v>
      </c>
      <c r="R3055" s="77">
        <v>0</v>
      </c>
      <c r="S3055" s="77">
        <v>1</v>
      </c>
      <c r="T3055" s="77">
        <v>0</v>
      </c>
      <c r="U3055" s="77">
        <v>0</v>
      </c>
      <c r="V3055" s="77">
        <v>875</v>
      </c>
      <c r="W3055" s="82" t="s">
        <v>4833</v>
      </c>
      <c r="X3055" s="80" t="str">
        <f>HYPERLINK("https://mla.bs/36689910")</f>
        <v>https://mla.bs/36689910</v>
      </c>
      <c r="Y3055" s="77" t="s">
        <v>6506</v>
      </c>
      <c r="Z3055" s="77"/>
      <c r="AA3055" s="77"/>
      <c r="AB3055" s="77"/>
      <c r="AC3055" s="82" t="s">
        <v>7757</v>
      </c>
      <c r="AD3055" s="77" t="s">
        <v>7788</v>
      </c>
      <c r="AE3055" s="80" t="str">
        <f>HYPERLINK("https://twitter.com/einvestidor/status/1678579864465489920")</f>
        <v>https://twitter.com/einvestidor/status/1678579864465489920</v>
      </c>
      <c r="AF3055" s="79">
        <v>45118.069444444445</v>
      </c>
      <c r="AG3055" s="85">
        <v>45118</v>
      </c>
      <c r="AH3055" s="82" t="s">
        <v>9915</v>
      </c>
      <c r="AI3055" s="77" t="b">
        <v>0</v>
      </c>
      <c r="AJ3055" s="77"/>
      <c r="AK3055" s="77"/>
      <c r="AL3055" s="77"/>
      <c r="AM3055" s="77"/>
      <c r="AN3055" s="77"/>
      <c r="AO3055" s="77"/>
      <c r="AP3055" s="77"/>
      <c r="AQ3055" s="77"/>
      <c r="AR3055" s="77"/>
      <c r="AS3055" s="77"/>
      <c r="AT3055" s="77"/>
      <c r="AU3055" s="77"/>
      <c r="AV3055" s="80" t="str">
        <f>HYPERLINK("https://pbs.twimg.com/profile_images/1241147984924082183/gZgx_hL-_normal.jpg")</f>
        <v>https://pbs.twimg.com/profile_images/1241147984924082183/gZgx_hL-_normal.jpg</v>
      </c>
      <c r="AW3055" s="82" t="s">
        <v>14651</v>
      </c>
      <c r="AX3055" s="82" t="s">
        <v>14651</v>
      </c>
      <c r="AY3055" s="77"/>
      <c r="AZ3055" s="82" t="s">
        <v>15984</v>
      </c>
      <c r="BA3055" s="82" t="s">
        <v>15984</v>
      </c>
      <c r="BB3055" s="82" t="s">
        <v>15984</v>
      </c>
      <c r="BC3055" s="82" t="s">
        <v>14651</v>
      </c>
      <c r="BD3055" s="82" t="s">
        <v>15979</v>
      </c>
      <c r="BE3055" s="77"/>
      <c r="BF3055" s="77"/>
      <c r="BG3055" s="77"/>
      <c r="BH3055" s="77"/>
      <c r="BI3055" s="77"/>
    </row>
    <row r="3056" spans="1:61" x14ac:dyDescent="0.25">
      <c r="A3056" s="62" t="s">
        <v>387</v>
      </c>
      <c r="B3056" s="62" t="s">
        <v>387</v>
      </c>
      <c r="C3056" s="63"/>
      <c r="D3056" s="64"/>
      <c r="E3056" s="65"/>
      <c r="F3056" s="66"/>
      <c r="G3056" s="63"/>
      <c r="H3056" s="67"/>
      <c r="I3056" s="68"/>
      <c r="J3056" s="68"/>
      <c r="K3056" s="32"/>
      <c r="L3056" s="75">
        <v>3056</v>
      </c>
      <c r="M3056" s="75"/>
      <c r="N3056" s="70"/>
      <c r="O3056" s="77" t="s">
        <v>179</v>
      </c>
      <c r="P3056" s="79">
        <v>45117.889143518521</v>
      </c>
      <c r="Q3056" s="77" t="s">
        <v>3728</v>
      </c>
      <c r="R3056" s="77">
        <v>1</v>
      </c>
      <c r="S3056" s="77">
        <v>5</v>
      </c>
      <c r="T3056" s="77">
        <v>0</v>
      </c>
      <c r="U3056" s="77">
        <v>0</v>
      </c>
      <c r="V3056" s="77">
        <v>813</v>
      </c>
      <c r="W3056" s="82" t="s">
        <v>4833</v>
      </c>
      <c r="X3056" s="80" t="str">
        <f>HYPERLINK("https://mla.bs/ef198306")</f>
        <v>https://mla.bs/ef198306</v>
      </c>
      <c r="Y3056" s="77" t="s">
        <v>6506</v>
      </c>
      <c r="Z3056" s="77"/>
      <c r="AA3056" s="77"/>
      <c r="AB3056" s="77"/>
      <c r="AC3056" s="82" t="s">
        <v>7757</v>
      </c>
      <c r="AD3056" s="77" t="s">
        <v>7788</v>
      </c>
      <c r="AE3056" s="80" t="str">
        <f>HYPERLINK("https://twitter.com/einvestidor/status/1678514525983703044")</f>
        <v>https://twitter.com/einvestidor/status/1678514525983703044</v>
      </c>
      <c r="AF3056" s="79">
        <v>45117.889143518521</v>
      </c>
      <c r="AG3056" s="85">
        <v>45117</v>
      </c>
      <c r="AH3056" s="82" t="s">
        <v>8079</v>
      </c>
      <c r="AI3056" s="77" t="b">
        <v>0</v>
      </c>
      <c r="AJ3056" s="77"/>
      <c r="AK3056" s="77"/>
      <c r="AL3056" s="77"/>
      <c r="AM3056" s="77"/>
      <c r="AN3056" s="77"/>
      <c r="AO3056" s="77"/>
      <c r="AP3056" s="77"/>
      <c r="AQ3056" s="77"/>
      <c r="AR3056" s="77"/>
      <c r="AS3056" s="77"/>
      <c r="AT3056" s="77"/>
      <c r="AU3056" s="77"/>
      <c r="AV3056" s="80" t="str">
        <f>HYPERLINK("https://pbs.twimg.com/profile_images/1241147984924082183/gZgx_hL-_normal.jpg")</f>
        <v>https://pbs.twimg.com/profile_images/1241147984924082183/gZgx_hL-_normal.jpg</v>
      </c>
      <c r="AW3056" s="82" t="s">
        <v>14652</v>
      </c>
      <c r="AX3056" s="82" t="s">
        <v>14652</v>
      </c>
      <c r="AY3056" s="77"/>
      <c r="AZ3056" s="82" t="s">
        <v>15984</v>
      </c>
      <c r="BA3056" s="82" t="s">
        <v>15984</v>
      </c>
      <c r="BB3056" s="82" t="s">
        <v>15984</v>
      </c>
      <c r="BC3056" s="82" t="s">
        <v>14652</v>
      </c>
      <c r="BD3056" s="82" t="s">
        <v>15979</v>
      </c>
      <c r="BE3056" s="77"/>
      <c r="BF3056" s="77"/>
      <c r="BG3056" s="77"/>
      <c r="BH3056" s="77"/>
      <c r="BI3056" s="77"/>
    </row>
    <row r="3057" spans="1:61" x14ac:dyDescent="0.25">
      <c r="A3057" s="62" t="s">
        <v>387</v>
      </c>
      <c r="B3057" s="62" t="s">
        <v>387</v>
      </c>
      <c r="C3057" s="63"/>
      <c r="D3057" s="64"/>
      <c r="E3057" s="65"/>
      <c r="F3057" s="66"/>
      <c r="G3057" s="63"/>
      <c r="H3057" s="67"/>
      <c r="I3057" s="68"/>
      <c r="J3057" s="68"/>
      <c r="K3057" s="32"/>
      <c r="L3057" s="75">
        <v>3057</v>
      </c>
      <c r="M3057" s="75"/>
      <c r="N3057" s="70"/>
      <c r="O3057" s="77" t="s">
        <v>179</v>
      </c>
      <c r="P3057" s="79">
        <v>45117.884375000001</v>
      </c>
      <c r="Q3057" s="77" t="s">
        <v>3729</v>
      </c>
      <c r="R3057" s="77">
        <v>0</v>
      </c>
      <c r="S3057" s="77">
        <v>1</v>
      </c>
      <c r="T3057" s="77">
        <v>0</v>
      </c>
      <c r="U3057" s="77">
        <v>0</v>
      </c>
      <c r="V3057" s="77">
        <v>543</v>
      </c>
      <c r="W3057" s="82" t="s">
        <v>4833</v>
      </c>
      <c r="X3057" s="80" t="str">
        <f>HYPERLINK("https://mla.bs/5b366d09")</f>
        <v>https://mla.bs/5b366d09</v>
      </c>
      <c r="Y3057" s="77" t="s">
        <v>6506</v>
      </c>
      <c r="Z3057" s="77"/>
      <c r="AA3057" s="77"/>
      <c r="AB3057" s="77"/>
      <c r="AC3057" s="82" t="s">
        <v>7752</v>
      </c>
      <c r="AD3057" s="77" t="s">
        <v>7790</v>
      </c>
      <c r="AE3057" s="80" t="str">
        <f>HYPERLINK("https://twitter.com/einvestidor/status/1678512797074825216")</f>
        <v>https://twitter.com/einvestidor/status/1678512797074825216</v>
      </c>
      <c r="AF3057" s="79">
        <v>45117.884375000001</v>
      </c>
      <c r="AG3057" s="85">
        <v>45117</v>
      </c>
      <c r="AH3057" s="82" t="s">
        <v>9916</v>
      </c>
      <c r="AI3057" s="77" t="b">
        <v>0</v>
      </c>
      <c r="AJ3057" s="77"/>
      <c r="AK3057" s="77"/>
      <c r="AL3057" s="77"/>
      <c r="AM3057" s="77"/>
      <c r="AN3057" s="77"/>
      <c r="AO3057" s="77"/>
      <c r="AP3057" s="77"/>
      <c r="AQ3057" s="77"/>
      <c r="AR3057" s="77"/>
      <c r="AS3057" s="77"/>
      <c r="AT3057" s="77"/>
      <c r="AU3057" s="77"/>
      <c r="AV3057" s="80" t="str">
        <f>HYPERLINK("https://pbs.twimg.com/profile_images/1241147984924082183/gZgx_hL-_normal.jpg")</f>
        <v>https://pbs.twimg.com/profile_images/1241147984924082183/gZgx_hL-_normal.jpg</v>
      </c>
      <c r="AW3057" s="82" t="s">
        <v>14653</v>
      </c>
      <c r="AX3057" s="82" t="s">
        <v>14653</v>
      </c>
      <c r="AY3057" s="77"/>
      <c r="AZ3057" s="82" t="s">
        <v>15984</v>
      </c>
      <c r="BA3057" s="82" t="s">
        <v>15984</v>
      </c>
      <c r="BB3057" s="82" t="s">
        <v>15984</v>
      </c>
      <c r="BC3057" s="82" t="s">
        <v>14653</v>
      </c>
      <c r="BD3057" s="82" t="s">
        <v>15979</v>
      </c>
      <c r="BE3057" s="77"/>
      <c r="BF3057" s="77"/>
      <c r="BG3057" s="77"/>
      <c r="BH3057" s="77"/>
      <c r="BI3057" s="77"/>
    </row>
    <row r="3058" spans="1:61" x14ac:dyDescent="0.25">
      <c r="A3058" s="62" t="s">
        <v>387</v>
      </c>
      <c r="B3058" s="62" t="s">
        <v>387</v>
      </c>
      <c r="C3058" s="63"/>
      <c r="D3058" s="64"/>
      <c r="E3058" s="65"/>
      <c r="F3058" s="66"/>
      <c r="G3058" s="63"/>
      <c r="H3058" s="67"/>
      <c r="I3058" s="68"/>
      <c r="J3058" s="68"/>
      <c r="K3058" s="32"/>
      <c r="L3058" s="75">
        <v>3058</v>
      </c>
      <c r="M3058" s="75"/>
      <c r="N3058" s="70"/>
      <c r="O3058" s="77" t="s">
        <v>179</v>
      </c>
      <c r="P3058" s="79">
        <v>45117.8825462963</v>
      </c>
      <c r="Q3058" s="77" t="s">
        <v>3730</v>
      </c>
      <c r="R3058" s="77">
        <v>1</v>
      </c>
      <c r="S3058" s="77">
        <v>2</v>
      </c>
      <c r="T3058" s="77">
        <v>0</v>
      </c>
      <c r="U3058" s="77">
        <v>0</v>
      </c>
      <c r="V3058" s="77">
        <v>732</v>
      </c>
      <c r="W3058" s="82" t="s">
        <v>6207</v>
      </c>
      <c r="X3058" s="80" t="str">
        <f>HYPERLINK("https://mla.bs/d3b598b4")</f>
        <v>https://mla.bs/d3b598b4</v>
      </c>
      <c r="Y3058" s="77" t="s">
        <v>6506</v>
      </c>
      <c r="Z3058" s="77"/>
      <c r="AA3058" s="77"/>
      <c r="AB3058" s="77"/>
      <c r="AC3058" s="82" t="s">
        <v>7752</v>
      </c>
      <c r="AD3058" s="77" t="s">
        <v>7788</v>
      </c>
      <c r="AE3058" s="80" t="str">
        <f>HYPERLINK("https://twitter.com/einvestidor/status/1678512133762437120")</f>
        <v>https://twitter.com/einvestidor/status/1678512133762437120</v>
      </c>
      <c r="AF3058" s="79">
        <v>45117.8825462963</v>
      </c>
      <c r="AG3058" s="85">
        <v>45117</v>
      </c>
      <c r="AH3058" s="82" t="s">
        <v>9917</v>
      </c>
      <c r="AI3058" s="77" t="b">
        <v>0</v>
      </c>
      <c r="AJ3058" s="77"/>
      <c r="AK3058" s="77"/>
      <c r="AL3058" s="77"/>
      <c r="AM3058" s="77"/>
      <c r="AN3058" s="77"/>
      <c r="AO3058" s="77"/>
      <c r="AP3058" s="77"/>
      <c r="AQ3058" s="77"/>
      <c r="AR3058" s="77"/>
      <c r="AS3058" s="77"/>
      <c r="AT3058" s="77"/>
      <c r="AU3058" s="77"/>
      <c r="AV3058" s="80" t="str">
        <f>HYPERLINK("https://pbs.twimg.com/profile_images/1241147984924082183/gZgx_hL-_normal.jpg")</f>
        <v>https://pbs.twimg.com/profile_images/1241147984924082183/gZgx_hL-_normal.jpg</v>
      </c>
      <c r="AW3058" s="82" t="s">
        <v>14654</v>
      </c>
      <c r="AX3058" s="82" t="s">
        <v>14654</v>
      </c>
      <c r="AY3058" s="77"/>
      <c r="AZ3058" s="82" t="s">
        <v>15984</v>
      </c>
      <c r="BA3058" s="82" t="s">
        <v>15984</v>
      </c>
      <c r="BB3058" s="82" t="s">
        <v>15984</v>
      </c>
      <c r="BC3058" s="82" t="s">
        <v>14654</v>
      </c>
      <c r="BD3058" s="82" t="s">
        <v>15979</v>
      </c>
      <c r="BE3058" s="77"/>
      <c r="BF3058" s="77"/>
      <c r="BG3058" s="77"/>
      <c r="BH3058" s="77"/>
      <c r="BI3058" s="77"/>
    </row>
    <row r="3059" spans="1:61" x14ac:dyDescent="0.25">
      <c r="A3059" s="62" t="s">
        <v>387</v>
      </c>
      <c r="B3059" s="62" t="s">
        <v>387</v>
      </c>
      <c r="C3059" s="63"/>
      <c r="D3059" s="64"/>
      <c r="E3059" s="65"/>
      <c r="F3059" s="66"/>
      <c r="G3059" s="63"/>
      <c r="H3059" s="67"/>
      <c r="I3059" s="68"/>
      <c r="J3059" s="68"/>
      <c r="K3059" s="32"/>
      <c r="L3059" s="75">
        <v>3059</v>
      </c>
      <c r="M3059" s="75"/>
      <c r="N3059" s="70"/>
      <c r="O3059" s="77" t="s">
        <v>179</v>
      </c>
      <c r="P3059" s="79">
        <v>45117.881099537037</v>
      </c>
      <c r="Q3059" s="77" t="s">
        <v>3731</v>
      </c>
      <c r="R3059" s="77">
        <v>0</v>
      </c>
      <c r="S3059" s="77">
        <v>0</v>
      </c>
      <c r="T3059" s="77">
        <v>0</v>
      </c>
      <c r="U3059" s="77">
        <v>0</v>
      </c>
      <c r="V3059" s="77">
        <v>565</v>
      </c>
      <c r="W3059" s="82" t="s">
        <v>6208</v>
      </c>
      <c r="X3059" s="80" t="str">
        <f>HYPERLINK("https://mla.bs/67dbe4d1")</f>
        <v>https://mla.bs/67dbe4d1</v>
      </c>
      <c r="Y3059" s="77" t="s">
        <v>6506</v>
      </c>
      <c r="Z3059" s="77"/>
      <c r="AA3059" s="77"/>
      <c r="AB3059" s="77"/>
      <c r="AC3059" s="82" t="s">
        <v>7752</v>
      </c>
      <c r="AD3059" s="77" t="s">
        <v>7788</v>
      </c>
      <c r="AE3059" s="80" t="str">
        <f>HYPERLINK("https://twitter.com/einvestidor/status/1678511607960281092")</f>
        <v>https://twitter.com/einvestidor/status/1678511607960281092</v>
      </c>
      <c r="AF3059" s="79">
        <v>45117.881099537037</v>
      </c>
      <c r="AG3059" s="85">
        <v>45117</v>
      </c>
      <c r="AH3059" s="82" t="s">
        <v>9918</v>
      </c>
      <c r="AI3059" s="77" t="b">
        <v>0</v>
      </c>
      <c r="AJ3059" s="77"/>
      <c r="AK3059" s="77"/>
      <c r="AL3059" s="77"/>
      <c r="AM3059" s="77"/>
      <c r="AN3059" s="77"/>
      <c r="AO3059" s="77"/>
      <c r="AP3059" s="77"/>
      <c r="AQ3059" s="77"/>
      <c r="AR3059" s="77"/>
      <c r="AS3059" s="77"/>
      <c r="AT3059" s="77"/>
      <c r="AU3059" s="77"/>
      <c r="AV3059" s="80" t="str">
        <f>HYPERLINK("https://pbs.twimg.com/profile_images/1241147984924082183/gZgx_hL-_normal.jpg")</f>
        <v>https://pbs.twimg.com/profile_images/1241147984924082183/gZgx_hL-_normal.jpg</v>
      </c>
      <c r="AW3059" s="82" t="s">
        <v>14655</v>
      </c>
      <c r="AX3059" s="82" t="s">
        <v>14655</v>
      </c>
      <c r="AY3059" s="77"/>
      <c r="AZ3059" s="82" t="s">
        <v>15984</v>
      </c>
      <c r="BA3059" s="82" t="s">
        <v>15984</v>
      </c>
      <c r="BB3059" s="82" t="s">
        <v>15984</v>
      </c>
      <c r="BC3059" s="82" t="s">
        <v>14655</v>
      </c>
      <c r="BD3059" s="82" t="s">
        <v>15979</v>
      </c>
      <c r="BE3059" s="77"/>
      <c r="BF3059" s="77"/>
      <c r="BG3059" s="77"/>
      <c r="BH3059" s="77"/>
      <c r="BI3059" s="77"/>
    </row>
    <row r="3060" spans="1:61" x14ac:dyDescent="0.25">
      <c r="A3060" s="62" t="s">
        <v>387</v>
      </c>
      <c r="B3060" s="62" t="s">
        <v>387</v>
      </c>
      <c r="C3060" s="63"/>
      <c r="D3060" s="64"/>
      <c r="E3060" s="65"/>
      <c r="F3060" s="66"/>
      <c r="G3060" s="63"/>
      <c r="H3060" s="67"/>
      <c r="I3060" s="68"/>
      <c r="J3060" s="68"/>
      <c r="K3060" s="32"/>
      <c r="L3060" s="75">
        <v>3060</v>
      </c>
      <c r="M3060" s="75"/>
      <c r="N3060" s="70"/>
      <c r="O3060" s="77" t="s">
        <v>179</v>
      </c>
      <c r="P3060" s="79">
        <v>45189.861111111109</v>
      </c>
      <c r="Q3060" s="77" t="s">
        <v>3732</v>
      </c>
      <c r="R3060" s="77">
        <v>0</v>
      </c>
      <c r="S3060" s="77">
        <v>0</v>
      </c>
      <c r="T3060" s="77">
        <v>0</v>
      </c>
      <c r="U3060" s="77">
        <v>0</v>
      </c>
      <c r="V3060" s="77">
        <v>414</v>
      </c>
      <c r="W3060" s="82" t="s">
        <v>6186</v>
      </c>
      <c r="X3060" s="80" t="str">
        <f>HYPERLINK("https://einvestidor.estadao.com.br/ultimas/cvm-absolve-acusados-fraude-forjas-taurus-tasa4/?utm_source=twitter&amp;utm_medium=organic&amp;utm_campaign=&amp;utm_content=materia")</f>
        <v>https://einvestidor.estadao.com.br/ultimas/cvm-absolve-acusados-fraude-forjas-taurus-tasa4/?utm_source=twitter&amp;utm_medium=organic&amp;utm_campaign=&amp;utm_content=materia</v>
      </c>
      <c r="Y3060" s="77" t="s">
        <v>6470</v>
      </c>
      <c r="Z3060" s="77"/>
      <c r="AA3060" s="77"/>
      <c r="AB3060" s="77"/>
      <c r="AC3060" s="82" t="s">
        <v>7750</v>
      </c>
      <c r="AD3060" s="77" t="s">
        <v>7788</v>
      </c>
      <c r="AE3060" s="80" t="str">
        <f>HYPERLINK("https://twitter.com/einvestidor/status/1704596290837897242")</f>
        <v>https://twitter.com/einvestidor/status/1704596290837897242</v>
      </c>
      <c r="AF3060" s="79">
        <v>45189.861111111109</v>
      </c>
      <c r="AG3060" s="85">
        <v>45189</v>
      </c>
      <c r="AH3060" s="82" t="s">
        <v>9919</v>
      </c>
      <c r="AI3060" s="77" t="b">
        <v>0</v>
      </c>
      <c r="AJ3060" s="77"/>
      <c r="AK3060" s="77"/>
      <c r="AL3060" s="77"/>
      <c r="AM3060" s="77"/>
      <c r="AN3060" s="77"/>
      <c r="AO3060" s="77"/>
      <c r="AP3060" s="77"/>
      <c r="AQ3060" s="77"/>
      <c r="AR3060" s="77"/>
      <c r="AS3060" s="77"/>
      <c r="AT3060" s="77"/>
      <c r="AU3060" s="77"/>
      <c r="AV3060" s="80" t="str">
        <f>HYPERLINK("https://pbs.twimg.com/profile_images/1241147984924082183/gZgx_hL-_normal.jpg")</f>
        <v>https://pbs.twimg.com/profile_images/1241147984924082183/gZgx_hL-_normal.jpg</v>
      </c>
      <c r="AW3060" s="82" t="s">
        <v>14656</v>
      </c>
      <c r="AX3060" s="82" t="s">
        <v>14656</v>
      </c>
      <c r="AY3060" s="77"/>
      <c r="AZ3060" s="82" t="s">
        <v>15984</v>
      </c>
      <c r="BA3060" s="82" t="s">
        <v>15984</v>
      </c>
      <c r="BB3060" s="82" t="s">
        <v>15984</v>
      </c>
      <c r="BC3060" s="82" t="s">
        <v>14656</v>
      </c>
      <c r="BD3060" s="82" t="s">
        <v>15979</v>
      </c>
      <c r="BE3060" s="77"/>
      <c r="BF3060" s="77"/>
      <c r="BG3060" s="77"/>
      <c r="BH3060" s="77"/>
      <c r="BI3060" s="77"/>
    </row>
    <row r="3061" spans="1:61" x14ac:dyDescent="0.25">
      <c r="A3061" s="62" t="s">
        <v>387</v>
      </c>
      <c r="B3061" s="62" t="s">
        <v>387</v>
      </c>
      <c r="C3061" s="63"/>
      <c r="D3061" s="64"/>
      <c r="E3061" s="65"/>
      <c r="F3061" s="66"/>
      <c r="G3061" s="63"/>
      <c r="H3061" s="67"/>
      <c r="I3061" s="68"/>
      <c r="J3061" s="68"/>
      <c r="K3061" s="32"/>
      <c r="L3061" s="75">
        <v>3061</v>
      </c>
      <c r="M3061" s="75"/>
      <c r="N3061" s="70"/>
      <c r="O3061" s="77" t="s">
        <v>179</v>
      </c>
      <c r="P3061" s="79">
        <v>45189.854166666664</v>
      </c>
      <c r="Q3061" s="77" t="s">
        <v>3733</v>
      </c>
      <c r="R3061" s="77">
        <v>0</v>
      </c>
      <c r="S3061" s="77">
        <v>4</v>
      </c>
      <c r="T3061" s="77">
        <v>0</v>
      </c>
      <c r="U3061" s="77">
        <v>0</v>
      </c>
      <c r="V3061" s="77">
        <v>449</v>
      </c>
      <c r="W3061" s="82" t="s">
        <v>6209</v>
      </c>
      <c r="X3061" s="80" t="str">
        <f>HYPERLINK("https://einvestidor.estadao.com.br/ultimas/mglu3-magazine-luiza-acoes-sobem-apos-recomendacao-bb-investimentos/?utm_source=twitter&amp;utm_medium=organic&amp;utm_campaign=&amp;utm_content=materia")</f>
        <v>https://einvestidor.estadao.com.br/ultimas/mglu3-magazine-luiza-acoes-sobem-apos-recomendacao-bb-investimentos/?utm_source=twitter&amp;utm_medium=organic&amp;utm_campaign=&amp;utm_content=materia</v>
      </c>
      <c r="Y3061" s="77" t="s">
        <v>6470</v>
      </c>
      <c r="Z3061" s="77"/>
      <c r="AA3061" s="77"/>
      <c r="AB3061" s="77"/>
      <c r="AC3061" s="82" t="s">
        <v>7750</v>
      </c>
      <c r="AD3061" s="77" t="s">
        <v>7788</v>
      </c>
      <c r="AE3061" s="80" t="str">
        <f>HYPERLINK("https://twitter.com/einvestidor/status/1704593775157506124")</f>
        <v>https://twitter.com/einvestidor/status/1704593775157506124</v>
      </c>
      <c r="AF3061" s="79">
        <v>45189.854166666664</v>
      </c>
      <c r="AG3061" s="85">
        <v>45189</v>
      </c>
      <c r="AH3061" s="82" t="s">
        <v>8090</v>
      </c>
      <c r="AI3061" s="77" t="b">
        <v>0</v>
      </c>
      <c r="AJ3061" s="77"/>
      <c r="AK3061" s="77"/>
      <c r="AL3061" s="77"/>
      <c r="AM3061" s="77"/>
      <c r="AN3061" s="77"/>
      <c r="AO3061" s="77"/>
      <c r="AP3061" s="77"/>
      <c r="AQ3061" s="77"/>
      <c r="AR3061" s="77"/>
      <c r="AS3061" s="77"/>
      <c r="AT3061" s="77"/>
      <c r="AU3061" s="77"/>
      <c r="AV3061" s="80" t="str">
        <f>HYPERLINK("https://pbs.twimg.com/profile_images/1241147984924082183/gZgx_hL-_normal.jpg")</f>
        <v>https://pbs.twimg.com/profile_images/1241147984924082183/gZgx_hL-_normal.jpg</v>
      </c>
      <c r="AW3061" s="82" t="s">
        <v>14657</v>
      </c>
      <c r="AX3061" s="82" t="s">
        <v>14657</v>
      </c>
      <c r="AY3061" s="77"/>
      <c r="AZ3061" s="82" t="s">
        <v>15984</v>
      </c>
      <c r="BA3061" s="82" t="s">
        <v>15984</v>
      </c>
      <c r="BB3061" s="82" t="s">
        <v>15984</v>
      </c>
      <c r="BC3061" s="82" t="s">
        <v>14657</v>
      </c>
      <c r="BD3061" s="82" t="s">
        <v>15979</v>
      </c>
      <c r="BE3061" s="77"/>
      <c r="BF3061" s="77"/>
      <c r="BG3061" s="77"/>
      <c r="BH3061" s="77"/>
      <c r="BI3061" s="77"/>
    </row>
    <row r="3062" spans="1:61" x14ac:dyDescent="0.25">
      <c r="A3062" s="62" t="s">
        <v>387</v>
      </c>
      <c r="B3062" s="62" t="s">
        <v>387</v>
      </c>
      <c r="C3062" s="63"/>
      <c r="D3062" s="64"/>
      <c r="E3062" s="65"/>
      <c r="F3062" s="66"/>
      <c r="G3062" s="63"/>
      <c r="H3062" s="67"/>
      <c r="I3062" s="68"/>
      <c r="J3062" s="68"/>
      <c r="K3062" s="32"/>
      <c r="L3062" s="75">
        <v>3062</v>
      </c>
      <c r="M3062" s="75"/>
      <c r="N3062" s="70"/>
      <c r="O3062" s="77" t="s">
        <v>179</v>
      </c>
      <c r="P3062" s="79">
        <v>45189.84375</v>
      </c>
      <c r="Q3062" s="77" t="s">
        <v>3734</v>
      </c>
      <c r="R3062" s="77">
        <v>0</v>
      </c>
      <c r="S3062" s="77">
        <v>0</v>
      </c>
      <c r="T3062" s="77">
        <v>0</v>
      </c>
      <c r="U3062" s="77">
        <v>0</v>
      </c>
      <c r="V3062" s="77">
        <v>394</v>
      </c>
      <c r="W3062" s="82" t="s">
        <v>4833</v>
      </c>
      <c r="X3062" s="80" t="str">
        <f>HYPERLINK("https://einvestidor.estadao.com.br/ultimas/mglu3-magazine-luiza-acoes-sobem-apos-recomendacao-bb-investimentos/?utm_source=&amp;utm_medium=organic&amp;utm_campaign=&amp;utm_content=materia")</f>
        <v>https://einvestidor.estadao.com.br/ultimas/mglu3-magazine-luiza-acoes-sobem-apos-recomendacao-bb-investimentos/?utm_source=&amp;utm_medium=organic&amp;utm_campaign=&amp;utm_content=materia</v>
      </c>
      <c r="Y3062" s="77" t="s">
        <v>6470</v>
      </c>
      <c r="Z3062" s="77"/>
      <c r="AA3062" s="77"/>
      <c r="AB3062" s="77"/>
      <c r="AC3062" s="82" t="s">
        <v>7750</v>
      </c>
      <c r="AD3062" s="77" t="s">
        <v>7788</v>
      </c>
      <c r="AE3062" s="80" t="str">
        <f>HYPERLINK("https://twitter.com/einvestidor/status/1704589999084044513")</f>
        <v>https://twitter.com/einvestidor/status/1704589999084044513</v>
      </c>
      <c r="AF3062" s="79">
        <v>45189.84375</v>
      </c>
      <c r="AG3062" s="85">
        <v>45189</v>
      </c>
      <c r="AH3062" s="82" t="s">
        <v>9296</v>
      </c>
      <c r="AI3062" s="77" t="b">
        <v>0</v>
      </c>
      <c r="AJ3062" s="77"/>
      <c r="AK3062" s="77"/>
      <c r="AL3062" s="77"/>
      <c r="AM3062" s="77"/>
      <c r="AN3062" s="77"/>
      <c r="AO3062" s="77"/>
      <c r="AP3062" s="77"/>
      <c r="AQ3062" s="77"/>
      <c r="AR3062" s="77"/>
      <c r="AS3062" s="77"/>
      <c r="AT3062" s="77"/>
      <c r="AU3062" s="77"/>
      <c r="AV3062" s="80" t="str">
        <f>HYPERLINK("https://pbs.twimg.com/profile_images/1241147984924082183/gZgx_hL-_normal.jpg")</f>
        <v>https://pbs.twimg.com/profile_images/1241147984924082183/gZgx_hL-_normal.jpg</v>
      </c>
      <c r="AW3062" s="82" t="s">
        <v>14658</v>
      </c>
      <c r="AX3062" s="82" t="s">
        <v>14658</v>
      </c>
      <c r="AY3062" s="77"/>
      <c r="AZ3062" s="82" t="s">
        <v>15984</v>
      </c>
      <c r="BA3062" s="82" t="s">
        <v>15984</v>
      </c>
      <c r="BB3062" s="82" t="s">
        <v>15984</v>
      </c>
      <c r="BC3062" s="82" t="s">
        <v>14658</v>
      </c>
      <c r="BD3062" s="82" t="s">
        <v>15979</v>
      </c>
      <c r="BE3062" s="77"/>
      <c r="BF3062" s="77"/>
      <c r="BG3062" s="77"/>
      <c r="BH3062" s="77"/>
      <c r="BI3062" s="77"/>
    </row>
    <row r="3063" spans="1:61" x14ac:dyDescent="0.25">
      <c r="A3063" s="62" t="s">
        <v>387</v>
      </c>
      <c r="B3063" s="62" t="s">
        <v>387</v>
      </c>
      <c r="C3063" s="63"/>
      <c r="D3063" s="64"/>
      <c r="E3063" s="65"/>
      <c r="F3063" s="66"/>
      <c r="G3063" s="63"/>
      <c r="H3063" s="67"/>
      <c r="I3063" s="68"/>
      <c r="J3063" s="68"/>
      <c r="K3063" s="32"/>
      <c r="L3063" s="75">
        <v>3063</v>
      </c>
      <c r="M3063" s="75"/>
      <c r="N3063" s="70"/>
      <c r="O3063" s="77" t="s">
        <v>179</v>
      </c>
      <c r="P3063" s="79">
        <v>45189.468321759261</v>
      </c>
      <c r="Q3063" s="77" t="s">
        <v>3735</v>
      </c>
      <c r="R3063" s="77">
        <v>0</v>
      </c>
      <c r="S3063" s="77">
        <v>3</v>
      </c>
      <c r="T3063" s="77">
        <v>0</v>
      </c>
      <c r="U3063" s="77">
        <v>0</v>
      </c>
      <c r="V3063" s="77">
        <v>413</v>
      </c>
      <c r="W3063" s="82" t="s">
        <v>4839</v>
      </c>
      <c r="X3063" s="80" t="str">
        <f>HYPERLINK("https://einvestidor.estadao.com.br/ultimas/bolsas-da-europa-reagem-apos-queda-inesperada-cpi-britanico/?utm_source=twitter&amp;utm_medium=organic&amp;utm_campaign=europa&amp;utm_content=materia")</f>
        <v>https://einvestidor.estadao.com.br/ultimas/bolsas-da-europa-reagem-apos-queda-inesperada-cpi-britanico/?utm_source=twitter&amp;utm_medium=organic&amp;utm_campaign=europa&amp;utm_content=materia</v>
      </c>
      <c r="Y3063" s="77" t="s">
        <v>6470</v>
      </c>
      <c r="Z3063" s="77"/>
      <c r="AA3063" s="77" t="s">
        <v>7613</v>
      </c>
      <c r="AB3063" s="77" t="s">
        <v>7742</v>
      </c>
      <c r="AC3063" s="82" t="s">
        <v>7750</v>
      </c>
      <c r="AD3063" s="77" t="s">
        <v>7788</v>
      </c>
      <c r="AE3063" s="80" t="str">
        <f>HYPERLINK("https://twitter.com/einvestidor/status/1704453948961161398")</f>
        <v>https://twitter.com/einvestidor/status/1704453948961161398</v>
      </c>
      <c r="AF3063" s="79">
        <v>45189.468321759261</v>
      </c>
      <c r="AG3063" s="85">
        <v>45189</v>
      </c>
      <c r="AH3063" s="82" t="s">
        <v>9920</v>
      </c>
      <c r="AI3063" s="77" t="b">
        <v>0</v>
      </c>
      <c r="AJ3063" s="77"/>
      <c r="AK3063" s="77"/>
      <c r="AL3063" s="77"/>
      <c r="AM3063" s="77"/>
      <c r="AN3063" s="77"/>
      <c r="AO3063" s="77"/>
      <c r="AP3063" s="77"/>
      <c r="AQ3063" s="77" t="s">
        <v>11585</v>
      </c>
      <c r="AR3063" s="77"/>
      <c r="AS3063" s="77"/>
      <c r="AT3063" s="77"/>
      <c r="AU3063" s="77"/>
      <c r="AV3063" s="80" t="str">
        <f>HYPERLINK("https://pbs.twimg.com/media/F6dvzdMWcAATL3R.png")</f>
        <v>https://pbs.twimg.com/media/F6dvzdMWcAATL3R.png</v>
      </c>
      <c r="AW3063" s="82" t="s">
        <v>14659</v>
      </c>
      <c r="AX3063" s="82" t="s">
        <v>14659</v>
      </c>
      <c r="AY3063" s="77"/>
      <c r="AZ3063" s="82" t="s">
        <v>15984</v>
      </c>
      <c r="BA3063" s="82" t="s">
        <v>15984</v>
      </c>
      <c r="BB3063" s="82" t="s">
        <v>15984</v>
      </c>
      <c r="BC3063" s="82" t="s">
        <v>14659</v>
      </c>
      <c r="BD3063" s="82" t="s">
        <v>15979</v>
      </c>
      <c r="BE3063" s="77"/>
      <c r="BF3063" s="77"/>
      <c r="BG3063" s="77"/>
      <c r="BH3063" s="77"/>
      <c r="BI3063" s="77"/>
    </row>
    <row r="3064" spans="1:61" x14ac:dyDescent="0.25">
      <c r="A3064" s="62" t="s">
        <v>387</v>
      </c>
      <c r="B3064" s="62" t="s">
        <v>387</v>
      </c>
      <c r="C3064" s="63"/>
      <c r="D3064" s="64"/>
      <c r="E3064" s="65"/>
      <c r="F3064" s="66"/>
      <c r="G3064" s="63"/>
      <c r="H3064" s="67"/>
      <c r="I3064" s="68"/>
      <c r="J3064" s="68"/>
      <c r="K3064" s="32"/>
      <c r="L3064" s="75">
        <v>3064</v>
      </c>
      <c r="M3064" s="75"/>
      <c r="N3064" s="70"/>
      <c r="O3064" s="77" t="s">
        <v>179</v>
      </c>
      <c r="P3064" s="79">
        <v>45188.84375</v>
      </c>
      <c r="Q3064" s="77" t="s">
        <v>3736</v>
      </c>
      <c r="R3064" s="77">
        <v>0</v>
      </c>
      <c r="S3064" s="77">
        <v>1</v>
      </c>
      <c r="T3064" s="77">
        <v>0</v>
      </c>
      <c r="U3064" s="77">
        <v>0</v>
      </c>
      <c r="V3064" s="77">
        <v>421</v>
      </c>
      <c r="W3064" s="82" t="s">
        <v>5908</v>
      </c>
      <c r="X3064" s="80" t="str">
        <f>HYPERLINK("https://einvestidor.estadao.com.br/ultimas/mglu3-magazine-luiza-confira-acoes-apos-declaracao-luiza-trajano/?utm_source=twitter&amp;utm_medium=organic&amp;utm_campaign=&amp;utm_content=materia")</f>
        <v>https://einvestidor.estadao.com.br/ultimas/mglu3-magazine-luiza-confira-acoes-apos-declaracao-luiza-trajano/?utm_source=twitter&amp;utm_medium=organic&amp;utm_campaign=&amp;utm_content=materia</v>
      </c>
      <c r="Y3064" s="77" t="s">
        <v>6470</v>
      </c>
      <c r="Z3064" s="77"/>
      <c r="AA3064" s="77"/>
      <c r="AB3064" s="77"/>
      <c r="AC3064" s="82" t="s">
        <v>7750</v>
      </c>
      <c r="AD3064" s="77" t="s">
        <v>7788</v>
      </c>
      <c r="AE3064" s="80" t="str">
        <f>HYPERLINK("https://twitter.com/einvestidor/status/1704227611604632024")</f>
        <v>https://twitter.com/einvestidor/status/1704227611604632024</v>
      </c>
      <c r="AF3064" s="79">
        <v>45188.84375</v>
      </c>
      <c r="AG3064" s="85">
        <v>45188</v>
      </c>
      <c r="AH3064" s="82" t="s">
        <v>9296</v>
      </c>
      <c r="AI3064" s="77" t="b">
        <v>0</v>
      </c>
      <c r="AJ3064" s="77"/>
      <c r="AK3064" s="77"/>
      <c r="AL3064" s="77"/>
      <c r="AM3064" s="77"/>
      <c r="AN3064" s="77"/>
      <c r="AO3064" s="77"/>
      <c r="AP3064" s="77"/>
      <c r="AQ3064" s="77"/>
      <c r="AR3064" s="77"/>
      <c r="AS3064" s="77"/>
      <c r="AT3064" s="77"/>
      <c r="AU3064" s="77"/>
      <c r="AV3064" s="80" t="str">
        <f>HYPERLINK("https://pbs.twimg.com/profile_images/1241147984924082183/gZgx_hL-_normal.jpg")</f>
        <v>https://pbs.twimg.com/profile_images/1241147984924082183/gZgx_hL-_normal.jpg</v>
      </c>
      <c r="AW3064" s="82" t="s">
        <v>14660</v>
      </c>
      <c r="AX3064" s="82" t="s">
        <v>14660</v>
      </c>
      <c r="AY3064" s="77"/>
      <c r="AZ3064" s="82" t="s">
        <v>15984</v>
      </c>
      <c r="BA3064" s="82" t="s">
        <v>15984</v>
      </c>
      <c r="BB3064" s="82" t="s">
        <v>15984</v>
      </c>
      <c r="BC3064" s="82" t="s">
        <v>14660</v>
      </c>
      <c r="BD3064" s="82" t="s">
        <v>15979</v>
      </c>
      <c r="BE3064" s="77"/>
      <c r="BF3064" s="77"/>
      <c r="BG3064" s="77"/>
      <c r="BH3064" s="77"/>
      <c r="BI3064" s="77"/>
    </row>
    <row r="3065" spans="1:61" x14ac:dyDescent="0.25">
      <c r="A3065" s="62" t="s">
        <v>387</v>
      </c>
      <c r="B3065" s="62" t="s">
        <v>387</v>
      </c>
      <c r="C3065" s="63"/>
      <c r="D3065" s="64"/>
      <c r="E3065" s="65"/>
      <c r="F3065" s="66"/>
      <c r="G3065" s="63"/>
      <c r="H3065" s="67"/>
      <c r="I3065" s="68"/>
      <c r="J3065" s="68"/>
      <c r="K3065" s="32"/>
      <c r="L3065" s="75">
        <v>3065</v>
      </c>
      <c r="M3065" s="75"/>
      <c r="N3065" s="70"/>
      <c r="O3065" s="77" t="s">
        <v>179</v>
      </c>
      <c r="P3065" s="79">
        <v>45188.833344907405</v>
      </c>
      <c r="Q3065" s="77" t="s">
        <v>3737</v>
      </c>
      <c r="R3065" s="77">
        <v>0</v>
      </c>
      <c r="S3065" s="77">
        <v>0</v>
      </c>
      <c r="T3065" s="77">
        <v>0</v>
      </c>
      <c r="U3065" s="77">
        <v>0</v>
      </c>
      <c r="V3065" s="77">
        <v>415</v>
      </c>
      <c r="W3065" s="82" t="s">
        <v>6210</v>
      </c>
      <c r="X3065" s="80" t="str">
        <f>HYPERLINK("https://einvestidor.estadao.com.br/ultimas/nubank-acoes-bofa-eleva/?utm_source=twitter&amp;utm_medium=organic&amp;utm_campaign=&amp;utm_content=materia")</f>
        <v>https://einvestidor.estadao.com.br/ultimas/nubank-acoes-bofa-eleva/?utm_source=twitter&amp;utm_medium=organic&amp;utm_campaign=&amp;utm_content=materia</v>
      </c>
      <c r="Y3065" s="77" t="s">
        <v>6470</v>
      </c>
      <c r="Z3065" s="77"/>
      <c r="AA3065" s="77"/>
      <c r="AB3065" s="77"/>
      <c r="AC3065" s="82" t="s">
        <v>7750</v>
      </c>
      <c r="AD3065" s="77" t="s">
        <v>7788</v>
      </c>
      <c r="AE3065" s="80" t="str">
        <f>HYPERLINK("https://twitter.com/einvestidor/status/1704223842049184139")</f>
        <v>https://twitter.com/einvestidor/status/1704223842049184139</v>
      </c>
      <c r="AF3065" s="79">
        <v>45188.833344907405</v>
      </c>
      <c r="AG3065" s="85">
        <v>45188</v>
      </c>
      <c r="AH3065" s="82" t="s">
        <v>8284</v>
      </c>
      <c r="AI3065" s="77" t="b">
        <v>0</v>
      </c>
      <c r="AJ3065" s="77"/>
      <c r="AK3065" s="77"/>
      <c r="AL3065" s="77"/>
      <c r="AM3065" s="77"/>
      <c r="AN3065" s="77"/>
      <c r="AO3065" s="77"/>
      <c r="AP3065" s="77"/>
      <c r="AQ3065" s="77"/>
      <c r="AR3065" s="77"/>
      <c r="AS3065" s="77"/>
      <c r="AT3065" s="77"/>
      <c r="AU3065" s="77"/>
      <c r="AV3065" s="80" t="str">
        <f>HYPERLINK("https://pbs.twimg.com/profile_images/1241147984924082183/gZgx_hL-_normal.jpg")</f>
        <v>https://pbs.twimg.com/profile_images/1241147984924082183/gZgx_hL-_normal.jpg</v>
      </c>
      <c r="AW3065" s="82" t="s">
        <v>14661</v>
      </c>
      <c r="AX3065" s="82" t="s">
        <v>14661</v>
      </c>
      <c r="AY3065" s="77"/>
      <c r="AZ3065" s="82" t="s">
        <v>15984</v>
      </c>
      <c r="BA3065" s="82" t="s">
        <v>15984</v>
      </c>
      <c r="BB3065" s="82" t="s">
        <v>15984</v>
      </c>
      <c r="BC3065" s="82" t="s">
        <v>14661</v>
      </c>
      <c r="BD3065" s="82" t="s">
        <v>15979</v>
      </c>
      <c r="BE3065" s="77"/>
      <c r="BF3065" s="77"/>
      <c r="BG3065" s="77"/>
      <c r="BH3065" s="77"/>
      <c r="BI3065" s="77"/>
    </row>
    <row r="3066" spans="1:61" x14ac:dyDescent="0.25">
      <c r="A3066" s="62" t="s">
        <v>387</v>
      </c>
      <c r="B3066" s="62" t="s">
        <v>387</v>
      </c>
      <c r="C3066" s="63"/>
      <c r="D3066" s="64"/>
      <c r="E3066" s="65"/>
      <c r="F3066" s="66"/>
      <c r="G3066" s="63"/>
      <c r="H3066" s="67"/>
      <c r="I3066" s="68"/>
      <c r="J3066" s="68"/>
      <c r="K3066" s="32"/>
      <c r="L3066" s="75">
        <v>3066</v>
      </c>
      <c r="M3066" s="75"/>
      <c r="N3066" s="70"/>
      <c r="O3066" s="77" t="s">
        <v>179</v>
      </c>
      <c r="P3066" s="79">
        <v>45187.90625</v>
      </c>
      <c r="Q3066" s="77" t="s">
        <v>3738</v>
      </c>
      <c r="R3066" s="77">
        <v>0</v>
      </c>
      <c r="S3066" s="77">
        <v>1</v>
      </c>
      <c r="T3066" s="77">
        <v>0</v>
      </c>
      <c r="U3066" s="77">
        <v>1</v>
      </c>
      <c r="V3066" s="77">
        <v>835</v>
      </c>
      <c r="W3066" s="82" t="s">
        <v>4833</v>
      </c>
      <c r="X3066" s="80" t="str">
        <f>HYPERLINK("https://einvestidor.estadao.com.br/ultimas/bofa-rebaixa-recomendacao-vamos/?utm_source=twitter&amp;utm_medium=organic&amp;utm_campaign=&amp;utm_content=materia")</f>
        <v>https://einvestidor.estadao.com.br/ultimas/bofa-rebaixa-recomendacao-vamos/?utm_source=twitter&amp;utm_medium=organic&amp;utm_campaign=&amp;utm_content=materia</v>
      </c>
      <c r="Y3066" s="77" t="s">
        <v>6470</v>
      </c>
      <c r="Z3066" s="77"/>
      <c r="AA3066" s="77"/>
      <c r="AB3066" s="77"/>
      <c r="AC3066" s="82" t="s">
        <v>7750</v>
      </c>
      <c r="AD3066" s="77" t="s">
        <v>7788</v>
      </c>
      <c r="AE3066" s="80" t="str">
        <f>HYPERLINK("https://twitter.com/einvestidor/status/1703887872846184492")</f>
        <v>https://twitter.com/einvestidor/status/1703887872846184492</v>
      </c>
      <c r="AF3066" s="79">
        <v>45187.90625</v>
      </c>
      <c r="AG3066" s="85">
        <v>45187</v>
      </c>
      <c r="AH3066" s="82" t="s">
        <v>9578</v>
      </c>
      <c r="AI3066" s="77" t="b">
        <v>0</v>
      </c>
      <c r="AJ3066" s="77"/>
      <c r="AK3066" s="77"/>
      <c r="AL3066" s="77"/>
      <c r="AM3066" s="77"/>
      <c r="AN3066" s="77"/>
      <c r="AO3066" s="77"/>
      <c r="AP3066" s="77"/>
      <c r="AQ3066" s="77"/>
      <c r="AR3066" s="77"/>
      <c r="AS3066" s="77"/>
      <c r="AT3066" s="77"/>
      <c r="AU3066" s="77"/>
      <c r="AV3066" s="80" t="str">
        <f>HYPERLINK("https://pbs.twimg.com/profile_images/1241147984924082183/gZgx_hL-_normal.jpg")</f>
        <v>https://pbs.twimg.com/profile_images/1241147984924082183/gZgx_hL-_normal.jpg</v>
      </c>
      <c r="AW3066" s="82" t="s">
        <v>14662</v>
      </c>
      <c r="AX3066" s="82" t="s">
        <v>14662</v>
      </c>
      <c r="AY3066" s="77"/>
      <c r="AZ3066" s="82" t="s">
        <v>15984</v>
      </c>
      <c r="BA3066" s="82" t="s">
        <v>15984</v>
      </c>
      <c r="BB3066" s="82" t="s">
        <v>15984</v>
      </c>
      <c r="BC3066" s="82" t="s">
        <v>14662</v>
      </c>
      <c r="BD3066" s="82" t="s">
        <v>15979</v>
      </c>
      <c r="BE3066" s="77"/>
      <c r="BF3066" s="77"/>
      <c r="BG3066" s="77"/>
      <c r="BH3066" s="77"/>
      <c r="BI3066" s="77"/>
    </row>
    <row r="3067" spans="1:61" x14ac:dyDescent="0.25">
      <c r="A3067" s="62" t="s">
        <v>387</v>
      </c>
      <c r="B3067" s="62" t="s">
        <v>387</v>
      </c>
      <c r="C3067" s="63"/>
      <c r="D3067" s="64"/>
      <c r="E3067" s="65"/>
      <c r="F3067" s="66"/>
      <c r="G3067" s="63"/>
      <c r="H3067" s="67"/>
      <c r="I3067" s="68"/>
      <c r="J3067" s="68"/>
      <c r="K3067" s="32"/>
      <c r="L3067" s="75">
        <v>3067</v>
      </c>
      <c r="M3067" s="75"/>
      <c r="N3067" s="70"/>
      <c r="O3067" s="77" t="s">
        <v>179</v>
      </c>
      <c r="P3067" s="79">
        <v>45187.895833333336</v>
      </c>
      <c r="Q3067" s="77" t="s">
        <v>3739</v>
      </c>
      <c r="R3067" s="77">
        <v>0</v>
      </c>
      <c r="S3067" s="77">
        <v>0</v>
      </c>
      <c r="T3067" s="77">
        <v>0</v>
      </c>
      <c r="U3067" s="77">
        <v>0</v>
      </c>
      <c r="V3067" s="77">
        <v>568</v>
      </c>
      <c r="W3067" s="82" t="s">
        <v>6007</v>
      </c>
      <c r="X3067" s="80" t="str">
        <f>HYPERLINK("https://einvestidor.estadao.com.br/educacao-financeira/como-pagar-com-cartao-virtual-nubank/?utm_source=twitter&amp;utm_medium=organic&amp;utm_campaign=&amp;utm_content=materia")</f>
        <v>https://einvestidor.estadao.com.br/educacao-financeira/como-pagar-com-cartao-virtual-nubank/?utm_source=twitter&amp;utm_medium=organic&amp;utm_campaign=&amp;utm_content=materia</v>
      </c>
      <c r="Y3067" s="77" t="s">
        <v>6470</v>
      </c>
      <c r="Z3067" s="77"/>
      <c r="AA3067" s="77"/>
      <c r="AB3067" s="77"/>
      <c r="AC3067" s="82" t="s">
        <v>7750</v>
      </c>
      <c r="AD3067" s="77" t="s">
        <v>7788</v>
      </c>
      <c r="AE3067" s="80" t="str">
        <f>HYPERLINK("https://twitter.com/einvestidor/status/1703884099977675172")</f>
        <v>https://twitter.com/einvestidor/status/1703884099977675172</v>
      </c>
      <c r="AF3067" s="79">
        <v>45187.895833333336</v>
      </c>
      <c r="AG3067" s="85">
        <v>45187</v>
      </c>
      <c r="AH3067" s="82" t="s">
        <v>8089</v>
      </c>
      <c r="AI3067" s="77" t="b">
        <v>0</v>
      </c>
      <c r="AJ3067" s="77"/>
      <c r="AK3067" s="77"/>
      <c r="AL3067" s="77"/>
      <c r="AM3067" s="77"/>
      <c r="AN3067" s="77"/>
      <c r="AO3067" s="77"/>
      <c r="AP3067" s="77"/>
      <c r="AQ3067" s="77"/>
      <c r="AR3067" s="77"/>
      <c r="AS3067" s="77"/>
      <c r="AT3067" s="77"/>
      <c r="AU3067" s="77"/>
      <c r="AV3067" s="80" t="str">
        <f>HYPERLINK("https://pbs.twimg.com/profile_images/1241147984924082183/gZgx_hL-_normal.jpg")</f>
        <v>https://pbs.twimg.com/profile_images/1241147984924082183/gZgx_hL-_normal.jpg</v>
      </c>
      <c r="AW3067" s="82" t="s">
        <v>14663</v>
      </c>
      <c r="AX3067" s="82" t="s">
        <v>14663</v>
      </c>
      <c r="AY3067" s="77"/>
      <c r="AZ3067" s="82" t="s">
        <v>15984</v>
      </c>
      <c r="BA3067" s="82" t="s">
        <v>15984</v>
      </c>
      <c r="BB3067" s="82" t="s">
        <v>15984</v>
      </c>
      <c r="BC3067" s="82" t="s">
        <v>14663</v>
      </c>
      <c r="BD3067" s="82" t="s">
        <v>15979</v>
      </c>
      <c r="BE3067" s="77"/>
      <c r="BF3067" s="77"/>
      <c r="BG3067" s="77"/>
      <c r="BH3067" s="77"/>
      <c r="BI3067" s="77"/>
    </row>
    <row r="3068" spans="1:61" x14ac:dyDescent="0.25">
      <c r="A3068" s="62" t="s">
        <v>387</v>
      </c>
      <c r="B3068" s="62" t="s">
        <v>387</v>
      </c>
      <c r="C3068" s="63"/>
      <c r="D3068" s="64"/>
      <c r="E3068" s="65"/>
      <c r="F3068" s="66"/>
      <c r="G3068" s="63"/>
      <c r="H3068" s="67"/>
      <c r="I3068" s="68"/>
      <c r="J3068" s="68"/>
      <c r="K3068" s="32"/>
      <c r="L3068" s="75">
        <v>3068</v>
      </c>
      <c r="M3068" s="75"/>
      <c r="N3068" s="70"/>
      <c r="O3068" s="77" t="s">
        <v>179</v>
      </c>
      <c r="P3068" s="79">
        <v>45187.875011574077</v>
      </c>
      <c r="Q3068" s="77" t="s">
        <v>3740</v>
      </c>
      <c r="R3068" s="77">
        <v>0</v>
      </c>
      <c r="S3068" s="77">
        <v>0</v>
      </c>
      <c r="T3068" s="77">
        <v>0</v>
      </c>
      <c r="U3068" s="77">
        <v>0</v>
      </c>
      <c r="V3068" s="77">
        <v>508</v>
      </c>
      <c r="W3068" s="82" t="s">
        <v>6211</v>
      </c>
      <c r="X3068" s="80" t="str">
        <f>HYPERLINK("https://einvestidor.estadao.com.br/radar-einvestidor/live-de-npc-quanto-ganham-tiktokers/?utm_source=twitter&amp;utm_medium=organic&amp;utm_campaign=&amp;utm_content=materia")</f>
        <v>https://einvestidor.estadao.com.br/radar-einvestidor/live-de-npc-quanto-ganham-tiktokers/?utm_source=twitter&amp;utm_medium=organic&amp;utm_campaign=&amp;utm_content=materia</v>
      </c>
      <c r="Y3068" s="77" t="s">
        <v>6470</v>
      </c>
      <c r="Z3068" s="77"/>
      <c r="AA3068" s="77"/>
      <c r="AB3068" s="77"/>
      <c r="AC3068" s="82" t="s">
        <v>7750</v>
      </c>
      <c r="AD3068" s="77" t="s">
        <v>7788</v>
      </c>
      <c r="AE3068" s="80" t="str">
        <f>HYPERLINK("https://twitter.com/einvestidor/status/1703876553648590973")</f>
        <v>https://twitter.com/einvestidor/status/1703876553648590973</v>
      </c>
      <c r="AF3068" s="79">
        <v>45187.875011574077</v>
      </c>
      <c r="AG3068" s="85">
        <v>45187</v>
      </c>
      <c r="AH3068" s="82" t="s">
        <v>7871</v>
      </c>
      <c r="AI3068" s="77" t="b">
        <v>0</v>
      </c>
      <c r="AJ3068" s="77"/>
      <c r="AK3068" s="77"/>
      <c r="AL3068" s="77"/>
      <c r="AM3068" s="77"/>
      <c r="AN3068" s="77"/>
      <c r="AO3068" s="77"/>
      <c r="AP3068" s="77"/>
      <c r="AQ3068" s="77"/>
      <c r="AR3068" s="77"/>
      <c r="AS3068" s="77"/>
      <c r="AT3068" s="77"/>
      <c r="AU3068" s="77"/>
      <c r="AV3068" s="80" t="str">
        <f>HYPERLINK("https://pbs.twimg.com/profile_images/1241147984924082183/gZgx_hL-_normal.jpg")</f>
        <v>https://pbs.twimg.com/profile_images/1241147984924082183/gZgx_hL-_normal.jpg</v>
      </c>
      <c r="AW3068" s="82" t="s">
        <v>14664</v>
      </c>
      <c r="AX3068" s="82" t="s">
        <v>14664</v>
      </c>
      <c r="AY3068" s="77"/>
      <c r="AZ3068" s="82" t="s">
        <v>15984</v>
      </c>
      <c r="BA3068" s="82" t="s">
        <v>15984</v>
      </c>
      <c r="BB3068" s="82" t="s">
        <v>15984</v>
      </c>
      <c r="BC3068" s="82" t="s">
        <v>14664</v>
      </c>
      <c r="BD3068" s="82" t="s">
        <v>15979</v>
      </c>
      <c r="BE3068" s="77"/>
      <c r="BF3068" s="77"/>
      <c r="BG3068" s="77"/>
      <c r="BH3068" s="77"/>
      <c r="BI3068" s="77"/>
    </row>
    <row r="3069" spans="1:61" x14ac:dyDescent="0.25">
      <c r="A3069" s="62" t="s">
        <v>387</v>
      </c>
      <c r="B3069" s="62" t="s">
        <v>387</v>
      </c>
      <c r="C3069" s="63"/>
      <c r="D3069" s="64"/>
      <c r="E3069" s="65"/>
      <c r="F3069" s="66"/>
      <c r="G3069" s="63"/>
      <c r="H3069" s="67"/>
      <c r="I3069" s="68"/>
      <c r="J3069" s="68"/>
      <c r="K3069" s="32"/>
      <c r="L3069" s="75">
        <v>3069</v>
      </c>
      <c r="M3069" s="75"/>
      <c r="N3069" s="70"/>
      <c r="O3069" s="77" t="s">
        <v>179</v>
      </c>
      <c r="P3069" s="79">
        <v>45187.802083333336</v>
      </c>
      <c r="Q3069" s="77" t="s">
        <v>3741</v>
      </c>
      <c r="R3069" s="77">
        <v>0</v>
      </c>
      <c r="S3069" s="77">
        <v>0</v>
      </c>
      <c r="T3069" s="77">
        <v>0</v>
      </c>
      <c r="U3069" s="77">
        <v>0</v>
      </c>
      <c r="V3069" s="77">
        <v>407</v>
      </c>
      <c r="W3069" s="82" t="s">
        <v>6069</v>
      </c>
      <c r="X3069" s="80" t="str">
        <f>HYPERLINK("https://einvestidor.estadao.com.br/investimentos/turbinar-renda-fixa-credito-privado/?utm_source=twitter&amp;utm_medium=organic&amp;utm_campaign=&amp;utm_content=materia")</f>
        <v>https://einvestidor.estadao.com.br/investimentos/turbinar-renda-fixa-credito-privado/?utm_source=twitter&amp;utm_medium=organic&amp;utm_campaign=&amp;utm_content=materia</v>
      </c>
      <c r="Y3069" s="77" t="s">
        <v>6470</v>
      </c>
      <c r="Z3069" s="77"/>
      <c r="AA3069" s="77"/>
      <c r="AB3069" s="77"/>
      <c r="AC3069" s="82" t="s">
        <v>7750</v>
      </c>
      <c r="AD3069" s="77" t="s">
        <v>7788</v>
      </c>
      <c r="AE3069" s="80" t="str">
        <f>HYPERLINK("https://twitter.com/einvestidor/status/1703850124235997381")</f>
        <v>https://twitter.com/einvestidor/status/1703850124235997381</v>
      </c>
      <c r="AF3069" s="79">
        <v>45187.802083333336</v>
      </c>
      <c r="AG3069" s="85">
        <v>45187</v>
      </c>
      <c r="AH3069" s="82" t="s">
        <v>7868</v>
      </c>
      <c r="AI3069" s="77" t="b">
        <v>0</v>
      </c>
      <c r="AJ3069" s="77"/>
      <c r="AK3069" s="77"/>
      <c r="AL3069" s="77"/>
      <c r="AM3069" s="77"/>
      <c r="AN3069" s="77"/>
      <c r="AO3069" s="77"/>
      <c r="AP3069" s="77"/>
      <c r="AQ3069" s="77"/>
      <c r="AR3069" s="77"/>
      <c r="AS3069" s="77"/>
      <c r="AT3069" s="77"/>
      <c r="AU3069" s="77"/>
      <c r="AV3069" s="80" t="str">
        <f>HYPERLINK("https://pbs.twimg.com/profile_images/1241147984924082183/gZgx_hL-_normal.jpg")</f>
        <v>https://pbs.twimg.com/profile_images/1241147984924082183/gZgx_hL-_normal.jpg</v>
      </c>
      <c r="AW3069" s="82" t="s">
        <v>14665</v>
      </c>
      <c r="AX3069" s="82" t="s">
        <v>14665</v>
      </c>
      <c r="AY3069" s="77"/>
      <c r="AZ3069" s="82" t="s">
        <v>15984</v>
      </c>
      <c r="BA3069" s="82" t="s">
        <v>15984</v>
      </c>
      <c r="BB3069" s="82" t="s">
        <v>15984</v>
      </c>
      <c r="BC3069" s="82" t="s">
        <v>14665</v>
      </c>
      <c r="BD3069" s="82" t="s">
        <v>15979</v>
      </c>
      <c r="BE3069" s="77"/>
      <c r="BF3069" s="77"/>
      <c r="BG3069" s="77"/>
      <c r="BH3069" s="77"/>
      <c r="BI3069" s="77"/>
    </row>
    <row r="3070" spans="1:61" x14ac:dyDescent="0.25">
      <c r="A3070" s="62" t="s">
        <v>387</v>
      </c>
      <c r="B3070" s="62" t="s">
        <v>387</v>
      </c>
      <c r="C3070" s="63"/>
      <c r="D3070" s="64"/>
      <c r="E3070" s="65"/>
      <c r="F3070" s="66"/>
      <c r="G3070" s="63"/>
      <c r="H3070" s="67"/>
      <c r="I3070" s="68"/>
      <c r="J3070" s="68"/>
      <c r="K3070" s="32"/>
      <c r="L3070" s="75">
        <v>3070</v>
      </c>
      <c r="M3070" s="75"/>
      <c r="N3070" s="70"/>
      <c r="O3070" s="77" t="s">
        <v>179</v>
      </c>
      <c r="P3070" s="79">
        <v>45187.791678240741</v>
      </c>
      <c r="Q3070" s="77" t="s">
        <v>3742</v>
      </c>
      <c r="R3070" s="77">
        <v>0</v>
      </c>
      <c r="S3070" s="77">
        <v>0</v>
      </c>
      <c r="T3070" s="77">
        <v>0</v>
      </c>
      <c r="U3070" s="77">
        <v>0</v>
      </c>
      <c r="V3070" s="77">
        <v>427</v>
      </c>
      <c r="W3070" s="82" t="s">
        <v>6135</v>
      </c>
      <c r="X3070" s="80" t="str">
        <f>HYPERLINK("https://einvestidor.estadao.com.br/educacao-financeira/aposentado-pode-abrir-mei-renda-extra/?utm_source=twitter&amp;utm_medium=organic&amp;utm_campaign=&amp;utm_content=materia")</f>
        <v>https://einvestidor.estadao.com.br/educacao-financeira/aposentado-pode-abrir-mei-renda-extra/?utm_source=twitter&amp;utm_medium=organic&amp;utm_campaign=&amp;utm_content=materia</v>
      </c>
      <c r="Y3070" s="77" t="s">
        <v>6470</v>
      </c>
      <c r="Z3070" s="77"/>
      <c r="AA3070" s="77"/>
      <c r="AB3070" s="77"/>
      <c r="AC3070" s="82" t="s">
        <v>7750</v>
      </c>
      <c r="AD3070" s="77" t="s">
        <v>7788</v>
      </c>
      <c r="AE3070" s="80" t="str">
        <f>HYPERLINK("https://twitter.com/einvestidor/status/1703846356035699114")</f>
        <v>https://twitter.com/einvestidor/status/1703846356035699114</v>
      </c>
      <c r="AF3070" s="79">
        <v>45187.791678240741</v>
      </c>
      <c r="AG3070" s="85">
        <v>45187</v>
      </c>
      <c r="AH3070" s="82" t="s">
        <v>7933</v>
      </c>
      <c r="AI3070" s="77" t="b">
        <v>0</v>
      </c>
      <c r="AJ3070" s="77"/>
      <c r="AK3070" s="77"/>
      <c r="AL3070" s="77"/>
      <c r="AM3070" s="77"/>
      <c r="AN3070" s="77"/>
      <c r="AO3070" s="77"/>
      <c r="AP3070" s="77"/>
      <c r="AQ3070" s="77"/>
      <c r="AR3070" s="77"/>
      <c r="AS3070" s="77"/>
      <c r="AT3070" s="77"/>
      <c r="AU3070" s="77"/>
      <c r="AV3070" s="80" t="str">
        <f>HYPERLINK("https://pbs.twimg.com/profile_images/1241147984924082183/gZgx_hL-_normal.jpg")</f>
        <v>https://pbs.twimg.com/profile_images/1241147984924082183/gZgx_hL-_normal.jpg</v>
      </c>
      <c r="AW3070" s="82" t="s">
        <v>14666</v>
      </c>
      <c r="AX3070" s="82" t="s">
        <v>14666</v>
      </c>
      <c r="AY3070" s="77"/>
      <c r="AZ3070" s="82" t="s">
        <v>15984</v>
      </c>
      <c r="BA3070" s="82" t="s">
        <v>15984</v>
      </c>
      <c r="BB3070" s="82" t="s">
        <v>15984</v>
      </c>
      <c r="BC3070" s="82" t="s">
        <v>14666</v>
      </c>
      <c r="BD3070" s="82" t="s">
        <v>15979</v>
      </c>
      <c r="BE3070" s="77"/>
      <c r="BF3070" s="77"/>
      <c r="BG3070" s="77"/>
      <c r="BH3070" s="77"/>
      <c r="BI3070" s="77"/>
    </row>
    <row r="3071" spans="1:61" x14ac:dyDescent="0.25">
      <c r="A3071" s="62" t="s">
        <v>387</v>
      </c>
      <c r="B3071" s="62" t="s">
        <v>387</v>
      </c>
      <c r="C3071" s="63"/>
      <c r="D3071" s="64"/>
      <c r="E3071" s="65"/>
      <c r="F3071" s="66"/>
      <c r="G3071" s="63"/>
      <c r="H3071" s="67"/>
      <c r="I3071" s="68"/>
      <c r="J3071" s="68"/>
      <c r="K3071" s="32"/>
      <c r="L3071" s="75">
        <v>3071</v>
      </c>
      <c r="M3071" s="75"/>
      <c r="N3071" s="70"/>
      <c r="O3071" s="77" t="s">
        <v>179</v>
      </c>
      <c r="P3071" s="79">
        <v>45187.729166666664</v>
      </c>
      <c r="Q3071" s="77" t="s">
        <v>3743</v>
      </c>
      <c r="R3071" s="77">
        <v>0</v>
      </c>
      <c r="S3071" s="77">
        <v>3</v>
      </c>
      <c r="T3071" s="77">
        <v>0</v>
      </c>
      <c r="U3071" s="77">
        <v>0</v>
      </c>
      <c r="V3071" s="77">
        <v>540</v>
      </c>
      <c r="W3071" s="82" t="s">
        <v>4833</v>
      </c>
      <c r="X3071" s="80" t="str">
        <f>HYPERLINK("https://einvestidor.estadao.com.br/investimentos/fundos-imobiliarios-fiis-debentures-cri-kinea/?utm_source=twitter&amp;utm_medium=organic&amp;utm_campaign=&amp;utm_content=materia")</f>
        <v>https://einvestidor.estadao.com.br/investimentos/fundos-imobiliarios-fiis-debentures-cri-kinea/?utm_source=twitter&amp;utm_medium=organic&amp;utm_campaign=&amp;utm_content=materia</v>
      </c>
      <c r="Y3071" s="77" t="s">
        <v>6470</v>
      </c>
      <c r="Z3071" s="77"/>
      <c r="AA3071" s="77"/>
      <c r="AB3071" s="77"/>
      <c r="AC3071" s="82" t="s">
        <v>7750</v>
      </c>
      <c r="AD3071" s="77" t="s">
        <v>7788</v>
      </c>
      <c r="AE3071" s="80" t="str">
        <f>HYPERLINK("https://twitter.com/einvestidor/status/1703823701676855391")</f>
        <v>https://twitter.com/einvestidor/status/1703823701676855391</v>
      </c>
      <c r="AF3071" s="79">
        <v>45187.729166666664</v>
      </c>
      <c r="AG3071" s="85">
        <v>45187</v>
      </c>
      <c r="AH3071" s="82" t="s">
        <v>8091</v>
      </c>
      <c r="AI3071" s="77" t="b">
        <v>0</v>
      </c>
      <c r="AJ3071" s="77"/>
      <c r="AK3071" s="77"/>
      <c r="AL3071" s="77"/>
      <c r="AM3071" s="77"/>
      <c r="AN3071" s="77"/>
      <c r="AO3071" s="77"/>
      <c r="AP3071" s="77"/>
      <c r="AQ3071" s="77"/>
      <c r="AR3071" s="77"/>
      <c r="AS3071" s="77"/>
      <c r="AT3071" s="77"/>
      <c r="AU3071" s="77"/>
      <c r="AV3071" s="80" t="str">
        <f>HYPERLINK("https://pbs.twimg.com/profile_images/1241147984924082183/gZgx_hL-_normal.jpg")</f>
        <v>https://pbs.twimg.com/profile_images/1241147984924082183/gZgx_hL-_normal.jpg</v>
      </c>
      <c r="AW3071" s="82" t="s">
        <v>14667</v>
      </c>
      <c r="AX3071" s="82" t="s">
        <v>14667</v>
      </c>
      <c r="AY3071" s="77"/>
      <c r="AZ3071" s="82" t="s">
        <v>15984</v>
      </c>
      <c r="BA3071" s="82" t="s">
        <v>15984</v>
      </c>
      <c r="BB3071" s="82" t="s">
        <v>15984</v>
      </c>
      <c r="BC3071" s="82" t="s">
        <v>14667</v>
      </c>
      <c r="BD3071" s="82" t="s">
        <v>15979</v>
      </c>
      <c r="BE3071" s="77"/>
      <c r="BF3071" s="77"/>
      <c r="BG3071" s="77"/>
      <c r="BH3071" s="77"/>
      <c r="BI3071" s="77"/>
    </row>
    <row r="3072" spans="1:61" x14ac:dyDescent="0.25">
      <c r="A3072" s="62" t="s">
        <v>387</v>
      </c>
      <c r="B3072" s="62" t="s">
        <v>387</v>
      </c>
      <c r="C3072" s="63"/>
      <c r="D3072" s="64"/>
      <c r="E3072" s="65"/>
      <c r="F3072" s="66"/>
      <c r="G3072" s="63"/>
      <c r="H3072" s="67"/>
      <c r="I3072" s="68"/>
      <c r="J3072" s="68"/>
      <c r="K3072" s="32"/>
      <c r="L3072" s="75">
        <v>3072</v>
      </c>
      <c r="M3072" s="75"/>
      <c r="N3072" s="70"/>
      <c r="O3072" s="77" t="s">
        <v>179</v>
      </c>
      <c r="P3072" s="79">
        <v>45184.947916666664</v>
      </c>
      <c r="Q3072" s="77" t="s">
        <v>3744</v>
      </c>
      <c r="R3072" s="77">
        <v>0</v>
      </c>
      <c r="S3072" s="77">
        <v>1</v>
      </c>
      <c r="T3072" s="77">
        <v>0</v>
      </c>
      <c r="U3072" s="77">
        <v>0</v>
      </c>
      <c r="V3072" s="77">
        <v>613</v>
      </c>
      <c r="W3072" s="82" t="s">
        <v>4833</v>
      </c>
      <c r="X3072" s="80" t="str">
        <f>HYPERLINK("https://einvestidor.estadao.com.br/ultimas/moedas-globais-dolar-fica-mista-ante-rivais-antes-decisao-fed/?utm_source=twitter&amp;utm_medium=organic&amp;utm_campaign=&amp;utm_content=materia")</f>
        <v>https://einvestidor.estadao.com.br/ultimas/moedas-globais-dolar-fica-mista-ante-rivais-antes-decisao-fed/?utm_source=twitter&amp;utm_medium=organic&amp;utm_campaign=&amp;utm_content=materia</v>
      </c>
      <c r="Y3072" s="77" t="s">
        <v>6470</v>
      </c>
      <c r="Z3072" s="77"/>
      <c r="AA3072" s="77"/>
      <c r="AB3072" s="77"/>
      <c r="AC3072" s="82" t="s">
        <v>7750</v>
      </c>
      <c r="AD3072" s="77" t="s">
        <v>7788</v>
      </c>
      <c r="AE3072" s="80" t="str">
        <f>HYPERLINK("https://twitter.com/einvestidor/status/1702815808483652051")</f>
        <v>https://twitter.com/einvestidor/status/1702815808483652051</v>
      </c>
      <c r="AF3072" s="79">
        <v>45184.947916666664</v>
      </c>
      <c r="AG3072" s="85">
        <v>45184</v>
      </c>
      <c r="AH3072" s="82" t="s">
        <v>9595</v>
      </c>
      <c r="AI3072" s="77" t="b">
        <v>0</v>
      </c>
      <c r="AJ3072" s="77"/>
      <c r="AK3072" s="77"/>
      <c r="AL3072" s="77"/>
      <c r="AM3072" s="77"/>
      <c r="AN3072" s="77"/>
      <c r="AO3072" s="77"/>
      <c r="AP3072" s="77"/>
      <c r="AQ3072" s="77"/>
      <c r="AR3072" s="77"/>
      <c r="AS3072" s="77"/>
      <c r="AT3072" s="77"/>
      <c r="AU3072" s="77"/>
      <c r="AV3072" s="80" t="str">
        <f>HYPERLINK("https://pbs.twimg.com/profile_images/1241147984924082183/gZgx_hL-_normal.jpg")</f>
        <v>https://pbs.twimg.com/profile_images/1241147984924082183/gZgx_hL-_normal.jpg</v>
      </c>
      <c r="AW3072" s="82" t="s">
        <v>14668</v>
      </c>
      <c r="AX3072" s="82" t="s">
        <v>14668</v>
      </c>
      <c r="AY3072" s="77"/>
      <c r="AZ3072" s="82" t="s">
        <v>15984</v>
      </c>
      <c r="BA3072" s="82" t="s">
        <v>15984</v>
      </c>
      <c r="BB3072" s="82" t="s">
        <v>15984</v>
      </c>
      <c r="BC3072" s="82" t="s">
        <v>14668</v>
      </c>
      <c r="BD3072" s="82" t="s">
        <v>15979</v>
      </c>
      <c r="BE3072" s="77"/>
      <c r="BF3072" s="77"/>
      <c r="BG3072" s="77"/>
      <c r="BH3072" s="77"/>
      <c r="BI3072" s="77"/>
    </row>
    <row r="3073" spans="1:61" x14ac:dyDescent="0.25">
      <c r="A3073" s="62" t="s">
        <v>387</v>
      </c>
      <c r="B3073" s="62" t="s">
        <v>387</v>
      </c>
      <c r="C3073" s="63"/>
      <c r="D3073" s="64"/>
      <c r="E3073" s="65"/>
      <c r="F3073" s="66"/>
      <c r="G3073" s="63"/>
      <c r="H3073" s="67"/>
      <c r="I3073" s="68"/>
      <c r="J3073" s="68"/>
      <c r="K3073" s="32"/>
      <c r="L3073" s="75">
        <v>3073</v>
      </c>
      <c r="M3073" s="75"/>
      <c r="N3073" s="70"/>
      <c r="O3073" s="77" t="s">
        <v>179</v>
      </c>
      <c r="P3073" s="79">
        <v>45184.9375</v>
      </c>
      <c r="Q3073" s="77" t="s">
        <v>3745</v>
      </c>
      <c r="R3073" s="77">
        <v>0</v>
      </c>
      <c r="S3073" s="77">
        <v>2</v>
      </c>
      <c r="T3073" s="77">
        <v>1</v>
      </c>
      <c r="U3073" s="77">
        <v>0</v>
      </c>
      <c r="V3073" s="77">
        <v>501</v>
      </c>
      <c r="W3073" s="82" t="s">
        <v>4833</v>
      </c>
      <c r="X3073" s="80" t="str">
        <f>HYPERLINK("https://einvestidor.estadao.com.br/ultimas/bolsas-nova-york-fecham-queda-incertezas-decisao-fed/?utm_source=twitter&amp;utm_medium=organic&amp;utm_campaign=&amp;utm_content=materia")</f>
        <v>https://einvestidor.estadao.com.br/ultimas/bolsas-nova-york-fecham-queda-incertezas-decisao-fed/?utm_source=twitter&amp;utm_medium=organic&amp;utm_campaign=&amp;utm_content=materia</v>
      </c>
      <c r="Y3073" s="77" t="s">
        <v>6470</v>
      </c>
      <c r="Z3073" s="77"/>
      <c r="AA3073" s="77"/>
      <c r="AB3073" s="77"/>
      <c r="AC3073" s="82" t="s">
        <v>7750</v>
      </c>
      <c r="AD3073" s="77" t="s">
        <v>7788</v>
      </c>
      <c r="AE3073" s="80" t="str">
        <f>HYPERLINK("https://twitter.com/einvestidor/status/1702812033597735033")</f>
        <v>https://twitter.com/einvestidor/status/1702812033597735033</v>
      </c>
      <c r="AF3073" s="79">
        <v>45184.9375</v>
      </c>
      <c r="AG3073" s="85">
        <v>45184</v>
      </c>
      <c r="AH3073" s="82" t="s">
        <v>7926</v>
      </c>
      <c r="AI3073" s="77" t="b">
        <v>0</v>
      </c>
      <c r="AJ3073" s="77"/>
      <c r="AK3073" s="77"/>
      <c r="AL3073" s="77"/>
      <c r="AM3073" s="77"/>
      <c r="AN3073" s="77"/>
      <c r="AO3073" s="77"/>
      <c r="AP3073" s="77"/>
      <c r="AQ3073" s="77"/>
      <c r="AR3073" s="77"/>
      <c r="AS3073" s="77"/>
      <c r="AT3073" s="77"/>
      <c r="AU3073" s="77"/>
      <c r="AV3073" s="80" t="str">
        <f>HYPERLINK("https://pbs.twimg.com/profile_images/1241147984924082183/gZgx_hL-_normal.jpg")</f>
        <v>https://pbs.twimg.com/profile_images/1241147984924082183/gZgx_hL-_normal.jpg</v>
      </c>
      <c r="AW3073" s="82" t="s">
        <v>14669</v>
      </c>
      <c r="AX3073" s="82" t="s">
        <v>14669</v>
      </c>
      <c r="AY3073" s="77"/>
      <c r="AZ3073" s="82" t="s">
        <v>15984</v>
      </c>
      <c r="BA3073" s="82" t="s">
        <v>15984</v>
      </c>
      <c r="BB3073" s="82" t="s">
        <v>15984</v>
      </c>
      <c r="BC3073" s="82" t="s">
        <v>14669</v>
      </c>
      <c r="BD3073" s="82" t="s">
        <v>15979</v>
      </c>
      <c r="BE3073" s="77"/>
      <c r="BF3073" s="77"/>
      <c r="BG3073" s="77"/>
      <c r="BH3073" s="77"/>
      <c r="BI3073" s="77"/>
    </row>
    <row r="3074" spans="1:61" x14ac:dyDescent="0.25">
      <c r="A3074" s="62" t="s">
        <v>387</v>
      </c>
      <c r="B3074" s="62" t="s">
        <v>387</v>
      </c>
      <c r="C3074" s="63"/>
      <c r="D3074" s="64"/>
      <c r="E3074" s="65"/>
      <c r="F3074" s="66"/>
      <c r="G3074" s="63"/>
      <c r="H3074" s="67"/>
      <c r="I3074" s="68"/>
      <c r="J3074" s="68"/>
      <c r="K3074" s="32"/>
      <c r="L3074" s="75">
        <v>3074</v>
      </c>
      <c r="M3074" s="75"/>
      <c r="N3074" s="70"/>
      <c r="O3074" s="77" t="s">
        <v>179</v>
      </c>
      <c r="P3074" s="79">
        <v>45184.9216087963</v>
      </c>
      <c r="Q3074" s="77" t="s">
        <v>3746</v>
      </c>
      <c r="R3074" s="77">
        <v>0</v>
      </c>
      <c r="S3074" s="77">
        <v>0</v>
      </c>
      <c r="T3074" s="77">
        <v>0</v>
      </c>
      <c r="U3074" s="77">
        <v>0</v>
      </c>
      <c r="V3074" s="77">
        <v>534</v>
      </c>
      <c r="W3074" s="82" t="s">
        <v>4833</v>
      </c>
      <c r="X3074" s="80" t="str">
        <f>HYPERLINK("https://einvestidor.estadao.com.br/ultimas/juros-treasuries-alta-antes-semana-decisao-fed/?utm_source=twitter&amp;utm_medium=organic&amp;utm_campaign=&amp;utm_content=materia")</f>
        <v>https://einvestidor.estadao.com.br/ultimas/juros-treasuries-alta-antes-semana-decisao-fed/?utm_source=twitter&amp;utm_medium=organic&amp;utm_campaign=&amp;utm_content=materia</v>
      </c>
      <c r="Y3074" s="77" t="s">
        <v>6470</v>
      </c>
      <c r="Z3074" s="77"/>
      <c r="AA3074" s="77"/>
      <c r="AB3074" s="77"/>
      <c r="AC3074" s="82" t="s">
        <v>7750</v>
      </c>
      <c r="AD3074" s="77" t="s">
        <v>7788</v>
      </c>
      <c r="AE3074" s="80" t="str">
        <f>HYPERLINK("https://twitter.com/einvestidor/status/1702806278211338543")</f>
        <v>https://twitter.com/einvestidor/status/1702806278211338543</v>
      </c>
      <c r="AF3074" s="79">
        <v>45184.9216087963</v>
      </c>
      <c r="AG3074" s="85">
        <v>45184</v>
      </c>
      <c r="AH3074" s="82" t="s">
        <v>9921</v>
      </c>
      <c r="AI3074" s="77" t="b">
        <v>0</v>
      </c>
      <c r="AJ3074" s="77"/>
      <c r="AK3074" s="77"/>
      <c r="AL3074" s="77"/>
      <c r="AM3074" s="77"/>
      <c r="AN3074" s="77"/>
      <c r="AO3074" s="77"/>
      <c r="AP3074" s="77"/>
      <c r="AQ3074" s="77"/>
      <c r="AR3074" s="77"/>
      <c r="AS3074" s="77"/>
      <c r="AT3074" s="77"/>
      <c r="AU3074" s="77"/>
      <c r="AV3074" s="80" t="str">
        <f>HYPERLINK("https://pbs.twimg.com/profile_images/1241147984924082183/gZgx_hL-_normal.jpg")</f>
        <v>https://pbs.twimg.com/profile_images/1241147984924082183/gZgx_hL-_normal.jpg</v>
      </c>
      <c r="AW3074" s="82" t="s">
        <v>14670</v>
      </c>
      <c r="AX3074" s="82" t="s">
        <v>14670</v>
      </c>
      <c r="AY3074" s="77"/>
      <c r="AZ3074" s="82" t="s">
        <v>15984</v>
      </c>
      <c r="BA3074" s="82" t="s">
        <v>15984</v>
      </c>
      <c r="BB3074" s="82" t="s">
        <v>15984</v>
      </c>
      <c r="BC3074" s="82" t="s">
        <v>14670</v>
      </c>
      <c r="BD3074" s="82" t="s">
        <v>15979</v>
      </c>
      <c r="BE3074" s="77"/>
      <c r="BF3074" s="77"/>
      <c r="BG3074" s="77"/>
      <c r="BH3074" s="77"/>
      <c r="BI3074" s="77"/>
    </row>
    <row r="3075" spans="1:61" x14ac:dyDescent="0.25">
      <c r="A3075" s="62" t="s">
        <v>387</v>
      </c>
      <c r="B3075" s="62" t="s">
        <v>387</v>
      </c>
      <c r="C3075" s="63"/>
      <c r="D3075" s="64"/>
      <c r="E3075" s="65"/>
      <c r="F3075" s="66"/>
      <c r="G3075" s="63"/>
      <c r="H3075" s="67"/>
      <c r="I3075" s="68"/>
      <c r="J3075" s="68"/>
      <c r="K3075" s="32"/>
      <c r="L3075" s="75">
        <v>3075</v>
      </c>
      <c r="M3075" s="75"/>
      <c r="N3075" s="70"/>
      <c r="O3075" s="77" t="s">
        <v>179</v>
      </c>
      <c r="P3075" s="79">
        <v>45184.909155092595</v>
      </c>
      <c r="Q3075" s="77" t="s">
        <v>3747</v>
      </c>
      <c r="R3075" s="77">
        <v>0</v>
      </c>
      <c r="S3075" s="77">
        <v>0</v>
      </c>
      <c r="T3075" s="77">
        <v>0</v>
      </c>
      <c r="U3075" s="77">
        <v>0</v>
      </c>
      <c r="V3075" s="77">
        <v>490</v>
      </c>
      <c r="W3075" s="82" t="s">
        <v>4833</v>
      </c>
      <c r="X3075" s="80" t="str">
        <f>HYPERLINK("https://einvestidor.estadao.com.br/mercado/fechamento-de-mercado-15-09-2023/?utm_source=twitter&amp;utm_medium=organic&amp;utm_campaign=&amp;utm_content=materia")</f>
        <v>https://einvestidor.estadao.com.br/mercado/fechamento-de-mercado-15-09-2023/?utm_source=twitter&amp;utm_medium=organic&amp;utm_campaign=&amp;utm_content=materia</v>
      </c>
      <c r="Y3075" s="77" t="s">
        <v>6470</v>
      </c>
      <c r="Z3075" s="77"/>
      <c r="AA3075" s="77"/>
      <c r="AB3075" s="77"/>
      <c r="AC3075" s="82" t="s">
        <v>7750</v>
      </c>
      <c r="AD3075" s="77" t="s">
        <v>7788</v>
      </c>
      <c r="AE3075" s="80" t="str">
        <f>HYPERLINK("https://twitter.com/einvestidor/status/1702801764192248023")</f>
        <v>https://twitter.com/einvestidor/status/1702801764192248023</v>
      </c>
      <c r="AF3075" s="79">
        <v>45184.909155092595</v>
      </c>
      <c r="AG3075" s="85">
        <v>45184</v>
      </c>
      <c r="AH3075" s="82" t="s">
        <v>9922</v>
      </c>
      <c r="AI3075" s="77" t="b">
        <v>0</v>
      </c>
      <c r="AJ3075" s="77"/>
      <c r="AK3075" s="77"/>
      <c r="AL3075" s="77"/>
      <c r="AM3075" s="77"/>
      <c r="AN3075" s="77"/>
      <c r="AO3075" s="77"/>
      <c r="AP3075" s="77"/>
      <c r="AQ3075" s="77"/>
      <c r="AR3075" s="77"/>
      <c r="AS3075" s="77"/>
      <c r="AT3075" s="77"/>
      <c r="AU3075" s="77"/>
      <c r="AV3075" s="80" t="str">
        <f>HYPERLINK("https://pbs.twimg.com/profile_images/1241147984924082183/gZgx_hL-_normal.jpg")</f>
        <v>https://pbs.twimg.com/profile_images/1241147984924082183/gZgx_hL-_normal.jpg</v>
      </c>
      <c r="AW3075" s="82" t="s">
        <v>14671</v>
      </c>
      <c r="AX3075" s="82" t="s">
        <v>14671</v>
      </c>
      <c r="AY3075" s="77"/>
      <c r="AZ3075" s="82" t="s">
        <v>15984</v>
      </c>
      <c r="BA3075" s="82" t="s">
        <v>15984</v>
      </c>
      <c r="BB3075" s="82" t="s">
        <v>15984</v>
      </c>
      <c r="BC3075" s="82" t="s">
        <v>14671</v>
      </c>
      <c r="BD3075" s="82" t="s">
        <v>15979</v>
      </c>
      <c r="BE3075" s="77"/>
      <c r="BF3075" s="77"/>
      <c r="BG3075" s="77"/>
      <c r="BH3075" s="77"/>
      <c r="BI3075" s="77"/>
    </row>
    <row r="3076" spans="1:61" x14ac:dyDescent="0.25">
      <c r="A3076" s="62" t="s">
        <v>387</v>
      </c>
      <c r="B3076" s="62" t="s">
        <v>387</v>
      </c>
      <c r="C3076" s="63"/>
      <c r="D3076" s="64"/>
      <c r="E3076" s="65"/>
      <c r="F3076" s="66"/>
      <c r="G3076" s="63"/>
      <c r="H3076" s="67"/>
      <c r="I3076" s="68"/>
      <c r="J3076" s="68"/>
      <c r="K3076" s="32"/>
      <c r="L3076" s="75">
        <v>3076</v>
      </c>
      <c r="M3076" s="75"/>
      <c r="N3076" s="70"/>
      <c r="O3076" s="77" t="s">
        <v>179</v>
      </c>
      <c r="P3076" s="79">
        <v>45184.908530092594</v>
      </c>
      <c r="Q3076" s="77" t="s">
        <v>3748</v>
      </c>
      <c r="R3076" s="77">
        <v>0</v>
      </c>
      <c r="S3076" s="77">
        <v>1</v>
      </c>
      <c r="T3076" s="77">
        <v>0</v>
      </c>
      <c r="U3076" s="77">
        <v>0</v>
      </c>
      <c r="V3076" s="77">
        <v>671</v>
      </c>
      <c r="W3076" s="82" t="s">
        <v>6212</v>
      </c>
      <c r="X3076" s="80" t="str">
        <f>HYPERLINK("https://einvestidor.estadao.com.br/mercado/piores-acoes-ibovespa-via-viia3-irb-re-irbr3-carrefour-crfb3/?utm_source=twitter&amp;utm_medium=organic&amp;utm_campaign=piores-semanas&amp;utm_content=materia")</f>
        <v>https://einvestidor.estadao.com.br/mercado/piores-acoes-ibovespa-via-viia3-irb-re-irbr3-carrefour-crfb3/?utm_source=twitter&amp;utm_medium=organic&amp;utm_campaign=piores-semanas&amp;utm_content=materia</v>
      </c>
      <c r="Y3076" s="77" t="s">
        <v>6470</v>
      </c>
      <c r="Z3076" s="77"/>
      <c r="AA3076" s="77"/>
      <c r="AB3076" s="77"/>
      <c r="AC3076" s="82" t="s">
        <v>7750</v>
      </c>
      <c r="AD3076" s="77" t="s">
        <v>7788</v>
      </c>
      <c r="AE3076" s="80" t="str">
        <f>HYPERLINK("https://twitter.com/einvestidor/status/1702801536949141938")</f>
        <v>https://twitter.com/einvestidor/status/1702801536949141938</v>
      </c>
      <c r="AF3076" s="79">
        <v>45184.908530092594</v>
      </c>
      <c r="AG3076" s="85">
        <v>45184</v>
      </c>
      <c r="AH3076" s="82" t="s">
        <v>9923</v>
      </c>
      <c r="AI3076" s="77" t="b">
        <v>0</v>
      </c>
      <c r="AJ3076" s="77"/>
      <c r="AK3076" s="77"/>
      <c r="AL3076" s="77"/>
      <c r="AM3076" s="77"/>
      <c r="AN3076" s="77"/>
      <c r="AO3076" s="77"/>
      <c r="AP3076" s="77"/>
      <c r="AQ3076" s="77"/>
      <c r="AR3076" s="77"/>
      <c r="AS3076" s="77"/>
      <c r="AT3076" s="77"/>
      <c r="AU3076" s="77"/>
      <c r="AV3076" s="80" t="str">
        <f>HYPERLINK("https://pbs.twimg.com/profile_images/1241147984924082183/gZgx_hL-_normal.jpg")</f>
        <v>https://pbs.twimg.com/profile_images/1241147984924082183/gZgx_hL-_normal.jpg</v>
      </c>
      <c r="AW3076" s="82" t="s">
        <v>14672</v>
      </c>
      <c r="AX3076" s="82" t="s">
        <v>14672</v>
      </c>
      <c r="AY3076" s="77"/>
      <c r="AZ3076" s="82" t="s">
        <v>15984</v>
      </c>
      <c r="BA3076" s="82" t="s">
        <v>15984</v>
      </c>
      <c r="BB3076" s="82" t="s">
        <v>15984</v>
      </c>
      <c r="BC3076" s="82" t="s">
        <v>14672</v>
      </c>
      <c r="BD3076" s="82" t="s">
        <v>15979</v>
      </c>
      <c r="BE3076" s="77"/>
      <c r="BF3076" s="77"/>
      <c r="BG3076" s="77"/>
      <c r="BH3076" s="77"/>
      <c r="BI3076" s="77"/>
    </row>
    <row r="3077" spans="1:61" x14ac:dyDescent="0.25">
      <c r="A3077" s="62" t="s">
        <v>387</v>
      </c>
      <c r="B3077" s="62" t="s">
        <v>387</v>
      </c>
      <c r="C3077" s="63"/>
      <c r="D3077" s="64"/>
      <c r="E3077" s="65"/>
      <c r="F3077" s="66"/>
      <c r="G3077" s="63"/>
      <c r="H3077" s="67"/>
      <c r="I3077" s="68"/>
      <c r="J3077" s="68"/>
      <c r="K3077" s="32"/>
      <c r="L3077" s="75">
        <v>3077</v>
      </c>
      <c r="M3077" s="75"/>
      <c r="N3077" s="70"/>
      <c r="O3077" s="77" t="s">
        <v>179</v>
      </c>
      <c r="P3077" s="79">
        <v>45184.90697916667</v>
      </c>
      <c r="Q3077" s="77" t="s">
        <v>3749</v>
      </c>
      <c r="R3077" s="77">
        <v>0</v>
      </c>
      <c r="S3077" s="77">
        <v>2</v>
      </c>
      <c r="T3077" s="77">
        <v>0</v>
      </c>
      <c r="U3077" s="77">
        <v>0</v>
      </c>
      <c r="V3077" s="77">
        <v>510</v>
      </c>
      <c r="W3077" s="82" t="s">
        <v>6133</v>
      </c>
      <c r="X3077" s="80" t="str">
        <f>HYPERLINK("https://einvestidor.estadao.com.br/mercado/melhores-acoes-ibovespa-semana-15-09-2023/?utm_source=twitter&amp;utm_medium=organic&amp;utm_campaign=melhores-semana&amp;utm_content=materia")</f>
        <v>https://einvestidor.estadao.com.br/mercado/melhores-acoes-ibovespa-semana-15-09-2023/?utm_source=twitter&amp;utm_medium=organic&amp;utm_campaign=melhores-semana&amp;utm_content=materia</v>
      </c>
      <c r="Y3077" s="77" t="s">
        <v>6470</v>
      </c>
      <c r="Z3077" s="77"/>
      <c r="AA3077" s="77"/>
      <c r="AB3077" s="77"/>
      <c r="AC3077" s="82" t="s">
        <v>7750</v>
      </c>
      <c r="AD3077" s="77" t="s">
        <v>7788</v>
      </c>
      <c r="AE3077" s="80" t="str">
        <f>HYPERLINK("https://twitter.com/einvestidor/status/1702800974006415429")</f>
        <v>https://twitter.com/einvestidor/status/1702800974006415429</v>
      </c>
      <c r="AF3077" s="79">
        <v>45184.90697916667</v>
      </c>
      <c r="AG3077" s="85">
        <v>45184</v>
      </c>
      <c r="AH3077" s="82" t="s">
        <v>9924</v>
      </c>
      <c r="AI3077" s="77" t="b">
        <v>0</v>
      </c>
      <c r="AJ3077" s="77"/>
      <c r="AK3077" s="77"/>
      <c r="AL3077" s="77"/>
      <c r="AM3077" s="77"/>
      <c r="AN3077" s="77"/>
      <c r="AO3077" s="77"/>
      <c r="AP3077" s="77"/>
      <c r="AQ3077" s="77"/>
      <c r="AR3077" s="77"/>
      <c r="AS3077" s="77"/>
      <c r="AT3077" s="77"/>
      <c r="AU3077" s="77"/>
      <c r="AV3077" s="80" t="str">
        <f>HYPERLINK("https://pbs.twimg.com/profile_images/1241147984924082183/gZgx_hL-_normal.jpg")</f>
        <v>https://pbs.twimg.com/profile_images/1241147984924082183/gZgx_hL-_normal.jpg</v>
      </c>
      <c r="AW3077" s="82" t="s">
        <v>14673</v>
      </c>
      <c r="AX3077" s="82" t="s">
        <v>14673</v>
      </c>
      <c r="AY3077" s="77"/>
      <c r="AZ3077" s="82" t="s">
        <v>15984</v>
      </c>
      <c r="BA3077" s="82" t="s">
        <v>15984</v>
      </c>
      <c r="BB3077" s="82" t="s">
        <v>15984</v>
      </c>
      <c r="BC3077" s="82" t="s">
        <v>14673</v>
      </c>
      <c r="BD3077" s="82" t="s">
        <v>15979</v>
      </c>
      <c r="BE3077" s="77"/>
      <c r="BF3077" s="77"/>
      <c r="BG3077" s="77"/>
      <c r="BH3077" s="77"/>
      <c r="BI3077" s="77"/>
    </row>
    <row r="3078" spans="1:61" x14ac:dyDescent="0.25">
      <c r="A3078" s="62" t="s">
        <v>387</v>
      </c>
      <c r="B3078" s="62" t="s">
        <v>387</v>
      </c>
      <c r="C3078" s="63"/>
      <c r="D3078" s="64"/>
      <c r="E3078" s="65"/>
      <c r="F3078" s="66"/>
      <c r="G3078" s="63"/>
      <c r="H3078" s="67"/>
      <c r="I3078" s="68"/>
      <c r="J3078" s="68"/>
      <c r="K3078" s="32"/>
      <c r="L3078" s="75">
        <v>3078</v>
      </c>
      <c r="M3078" s="75"/>
      <c r="N3078" s="70"/>
      <c r="O3078" s="77" t="s">
        <v>179</v>
      </c>
      <c r="P3078" s="79">
        <v>45184.90625</v>
      </c>
      <c r="Q3078" s="77" t="s">
        <v>3750</v>
      </c>
      <c r="R3078" s="77">
        <v>1</v>
      </c>
      <c r="S3078" s="77">
        <v>2</v>
      </c>
      <c r="T3078" s="77">
        <v>0</v>
      </c>
      <c r="U3078" s="77">
        <v>0</v>
      </c>
      <c r="V3078" s="77">
        <v>555</v>
      </c>
      <c r="W3078" s="82" t="s">
        <v>4833</v>
      </c>
      <c r="X3078" s="80" t="str">
        <f>HYPERLINK("https://einvestidor.estadao.com.br/radar-einvestidor/itau-itub4-apos-anuncio-aprovacao-compra-acoes-caem/?utm_source=twitter&amp;utm_medium=organic&amp;utm_campaign=&amp;utm_content=materia")</f>
        <v>https://einvestidor.estadao.com.br/radar-einvestidor/itau-itub4-apos-anuncio-aprovacao-compra-acoes-caem/?utm_source=twitter&amp;utm_medium=organic&amp;utm_campaign=&amp;utm_content=materia</v>
      </c>
      <c r="Y3078" s="77" t="s">
        <v>6470</v>
      </c>
      <c r="Z3078" s="77"/>
      <c r="AA3078" s="77"/>
      <c r="AB3078" s="77"/>
      <c r="AC3078" s="82" t="s">
        <v>7750</v>
      </c>
      <c r="AD3078" s="77" t="s">
        <v>7788</v>
      </c>
      <c r="AE3078" s="80" t="str">
        <f>HYPERLINK("https://twitter.com/einvestidor/status/1702800709043867682")</f>
        <v>https://twitter.com/einvestidor/status/1702800709043867682</v>
      </c>
      <c r="AF3078" s="79">
        <v>45184.90625</v>
      </c>
      <c r="AG3078" s="85">
        <v>45184</v>
      </c>
      <c r="AH3078" s="82" t="s">
        <v>9578</v>
      </c>
      <c r="AI3078" s="77" t="b">
        <v>0</v>
      </c>
      <c r="AJ3078" s="77"/>
      <c r="AK3078" s="77"/>
      <c r="AL3078" s="77"/>
      <c r="AM3078" s="77"/>
      <c r="AN3078" s="77"/>
      <c r="AO3078" s="77"/>
      <c r="AP3078" s="77"/>
      <c r="AQ3078" s="77"/>
      <c r="AR3078" s="77"/>
      <c r="AS3078" s="77"/>
      <c r="AT3078" s="77"/>
      <c r="AU3078" s="77"/>
      <c r="AV3078" s="80" t="str">
        <f>HYPERLINK("https://pbs.twimg.com/profile_images/1241147984924082183/gZgx_hL-_normal.jpg")</f>
        <v>https://pbs.twimg.com/profile_images/1241147984924082183/gZgx_hL-_normal.jpg</v>
      </c>
      <c r="AW3078" s="82" t="s">
        <v>14674</v>
      </c>
      <c r="AX3078" s="82" t="s">
        <v>14674</v>
      </c>
      <c r="AY3078" s="77"/>
      <c r="AZ3078" s="82" t="s">
        <v>15984</v>
      </c>
      <c r="BA3078" s="82" t="s">
        <v>15984</v>
      </c>
      <c r="BB3078" s="82" t="s">
        <v>15984</v>
      </c>
      <c r="BC3078" s="82" t="s">
        <v>14674</v>
      </c>
      <c r="BD3078" s="82" t="s">
        <v>15979</v>
      </c>
      <c r="BE3078" s="77"/>
      <c r="BF3078" s="77"/>
      <c r="BG3078" s="77"/>
      <c r="BH3078" s="77"/>
      <c r="BI3078" s="77"/>
    </row>
    <row r="3079" spans="1:61" x14ac:dyDescent="0.25">
      <c r="A3079" s="62" t="s">
        <v>387</v>
      </c>
      <c r="B3079" s="62" t="s">
        <v>387</v>
      </c>
      <c r="C3079" s="63"/>
      <c r="D3079" s="64"/>
      <c r="E3079" s="65"/>
      <c r="F3079" s="66"/>
      <c r="G3079" s="63"/>
      <c r="H3079" s="67"/>
      <c r="I3079" s="68"/>
      <c r="J3079" s="68"/>
      <c r="K3079" s="32"/>
      <c r="L3079" s="75">
        <v>3079</v>
      </c>
      <c r="M3079" s="75"/>
      <c r="N3079" s="70"/>
      <c r="O3079" s="77" t="s">
        <v>179</v>
      </c>
      <c r="P3079" s="79">
        <v>45182.9375</v>
      </c>
      <c r="Q3079" s="77" t="s">
        <v>3751</v>
      </c>
      <c r="R3079" s="77">
        <v>0</v>
      </c>
      <c r="S3079" s="77">
        <v>0</v>
      </c>
      <c r="T3079" s="77">
        <v>0</v>
      </c>
      <c r="U3079" s="77">
        <v>0</v>
      </c>
      <c r="V3079" s="77">
        <v>422</v>
      </c>
      <c r="W3079" s="82" t="s">
        <v>6213</v>
      </c>
      <c r="X3079" s="80" t="str">
        <f>HYPERLINK("https://einvestidor.estadao.com.br/ultimas/fitch-previsao-oferta-petroleo-2023/?utm_source=twitter&amp;utm_medium=organic&amp;utm_campaign=&amp;utm_content=materia")</f>
        <v>https://einvestidor.estadao.com.br/ultimas/fitch-previsao-oferta-petroleo-2023/?utm_source=twitter&amp;utm_medium=organic&amp;utm_campaign=&amp;utm_content=materia</v>
      </c>
      <c r="Y3079" s="77" t="s">
        <v>6470</v>
      </c>
      <c r="Z3079" s="77"/>
      <c r="AA3079" s="77"/>
      <c r="AB3079" s="77"/>
      <c r="AC3079" s="82" t="s">
        <v>7750</v>
      </c>
      <c r="AD3079" s="77" t="s">
        <v>7788</v>
      </c>
      <c r="AE3079" s="80" t="str">
        <f>HYPERLINK("https://twitter.com/einvestidor/status/1702087259539775579")</f>
        <v>https://twitter.com/einvestidor/status/1702087259539775579</v>
      </c>
      <c r="AF3079" s="79">
        <v>45182.9375</v>
      </c>
      <c r="AG3079" s="85">
        <v>45182</v>
      </c>
      <c r="AH3079" s="82" t="s">
        <v>7926</v>
      </c>
      <c r="AI3079" s="77" t="b">
        <v>0</v>
      </c>
      <c r="AJ3079" s="77"/>
      <c r="AK3079" s="77"/>
      <c r="AL3079" s="77"/>
      <c r="AM3079" s="77"/>
      <c r="AN3079" s="77"/>
      <c r="AO3079" s="77"/>
      <c r="AP3079" s="77"/>
      <c r="AQ3079" s="77"/>
      <c r="AR3079" s="77"/>
      <c r="AS3079" s="77"/>
      <c r="AT3079" s="77"/>
      <c r="AU3079" s="77"/>
      <c r="AV3079" s="80" t="str">
        <f>HYPERLINK("https://pbs.twimg.com/profile_images/1241147984924082183/gZgx_hL-_normal.jpg")</f>
        <v>https://pbs.twimg.com/profile_images/1241147984924082183/gZgx_hL-_normal.jpg</v>
      </c>
      <c r="AW3079" s="82" t="s">
        <v>14675</v>
      </c>
      <c r="AX3079" s="82" t="s">
        <v>14675</v>
      </c>
      <c r="AY3079" s="77"/>
      <c r="AZ3079" s="82" t="s">
        <v>15984</v>
      </c>
      <c r="BA3079" s="82" t="s">
        <v>15984</v>
      </c>
      <c r="BB3079" s="82" t="s">
        <v>15984</v>
      </c>
      <c r="BC3079" s="82" t="s">
        <v>14675</v>
      </c>
      <c r="BD3079" s="82" t="s">
        <v>15979</v>
      </c>
      <c r="BE3079" s="77"/>
      <c r="BF3079" s="77"/>
      <c r="BG3079" s="77"/>
      <c r="BH3079" s="77"/>
      <c r="BI3079" s="77"/>
    </row>
    <row r="3080" spans="1:61" x14ac:dyDescent="0.25">
      <c r="A3080" s="62" t="s">
        <v>387</v>
      </c>
      <c r="B3080" s="62" t="s">
        <v>387</v>
      </c>
      <c r="C3080" s="63"/>
      <c r="D3080" s="64"/>
      <c r="E3080" s="65"/>
      <c r="F3080" s="66"/>
      <c r="G3080" s="63"/>
      <c r="H3080" s="67"/>
      <c r="I3080" s="68"/>
      <c r="J3080" s="68"/>
      <c r="K3080" s="32"/>
      <c r="L3080" s="75">
        <v>3080</v>
      </c>
      <c r="M3080" s="75"/>
      <c r="N3080" s="70"/>
      <c r="O3080" s="77" t="s">
        <v>179</v>
      </c>
      <c r="P3080" s="79">
        <v>45182.927083333336</v>
      </c>
      <c r="Q3080" s="77" t="s">
        <v>3752</v>
      </c>
      <c r="R3080" s="77">
        <v>0</v>
      </c>
      <c r="S3080" s="77">
        <v>1</v>
      </c>
      <c r="T3080" s="77">
        <v>0</v>
      </c>
      <c r="U3080" s="77">
        <v>0</v>
      </c>
      <c r="V3080" s="77">
        <v>573</v>
      </c>
      <c r="W3080" s="82" t="s">
        <v>6214</v>
      </c>
      <c r="X3080" s="80" t="str">
        <f>HYPERLINK("https://einvestidor.estadao.com.br/radar-einvestidor/assai-asai3-btg-pactual-recomenda-compra-acoes/?utm_source=twitter&amp;utm_medium=organic&amp;utm_campaign=&amp;utm_content=materia")</f>
        <v>https://einvestidor.estadao.com.br/radar-einvestidor/assai-asai3-btg-pactual-recomenda-compra-acoes/?utm_source=twitter&amp;utm_medium=organic&amp;utm_campaign=&amp;utm_content=materia</v>
      </c>
      <c r="Y3080" s="77" t="s">
        <v>6470</v>
      </c>
      <c r="Z3080" s="77"/>
      <c r="AA3080" s="77"/>
      <c r="AB3080" s="77"/>
      <c r="AC3080" s="82" t="s">
        <v>7750</v>
      </c>
      <c r="AD3080" s="77" t="s">
        <v>7788</v>
      </c>
      <c r="AE3080" s="80" t="str">
        <f>HYPERLINK("https://twitter.com/einvestidor/status/1702083483215319552")</f>
        <v>https://twitter.com/einvestidor/status/1702083483215319552</v>
      </c>
      <c r="AF3080" s="79">
        <v>45182.927083333336</v>
      </c>
      <c r="AG3080" s="85">
        <v>45182</v>
      </c>
      <c r="AH3080" s="82" t="s">
        <v>9576</v>
      </c>
      <c r="AI3080" s="77" t="b">
        <v>0</v>
      </c>
      <c r="AJ3080" s="77"/>
      <c r="AK3080" s="77"/>
      <c r="AL3080" s="77"/>
      <c r="AM3080" s="77"/>
      <c r="AN3080" s="77"/>
      <c r="AO3080" s="77"/>
      <c r="AP3080" s="77"/>
      <c r="AQ3080" s="77"/>
      <c r="AR3080" s="77"/>
      <c r="AS3080" s="77"/>
      <c r="AT3080" s="77"/>
      <c r="AU3080" s="77"/>
      <c r="AV3080" s="80" t="str">
        <f>HYPERLINK("https://pbs.twimg.com/profile_images/1241147984924082183/gZgx_hL-_normal.jpg")</f>
        <v>https://pbs.twimg.com/profile_images/1241147984924082183/gZgx_hL-_normal.jpg</v>
      </c>
      <c r="AW3080" s="82" t="s">
        <v>14676</v>
      </c>
      <c r="AX3080" s="82" t="s">
        <v>14676</v>
      </c>
      <c r="AY3080" s="77"/>
      <c r="AZ3080" s="82" t="s">
        <v>15984</v>
      </c>
      <c r="BA3080" s="82" t="s">
        <v>15984</v>
      </c>
      <c r="BB3080" s="82" t="s">
        <v>15984</v>
      </c>
      <c r="BC3080" s="82" t="s">
        <v>14676</v>
      </c>
      <c r="BD3080" s="82" t="s">
        <v>15979</v>
      </c>
      <c r="BE3080" s="77"/>
      <c r="BF3080" s="77"/>
      <c r="BG3080" s="77"/>
      <c r="BH3080" s="77"/>
      <c r="BI3080" s="77"/>
    </row>
    <row r="3081" spans="1:61" x14ac:dyDescent="0.25">
      <c r="A3081" s="62" t="s">
        <v>387</v>
      </c>
      <c r="B3081" s="62" t="s">
        <v>387</v>
      </c>
      <c r="C3081" s="63"/>
      <c r="D3081" s="64"/>
      <c r="E3081" s="65"/>
      <c r="F3081" s="66"/>
      <c r="G3081" s="63"/>
      <c r="H3081" s="67"/>
      <c r="I3081" s="68"/>
      <c r="J3081" s="68"/>
      <c r="K3081" s="32"/>
      <c r="L3081" s="75">
        <v>3081</v>
      </c>
      <c r="M3081" s="75"/>
      <c r="N3081" s="70"/>
      <c r="O3081" s="77" t="s">
        <v>179</v>
      </c>
      <c r="P3081" s="79">
        <v>45182.916678240741</v>
      </c>
      <c r="Q3081" s="77" t="s">
        <v>3753</v>
      </c>
      <c r="R3081" s="77">
        <v>0</v>
      </c>
      <c r="S3081" s="77">
        <v>0</v>
      </c>
      <c r="T3081" s="77">
        <v>0</v>
      </c>
      <c r="U3081" s="77">
        <v>0</v>
      </c>
      <c r="V3081" s="77">
        <v>496</v>
      </c>
      <c r="W3081" s="82" t="s">
        <v>6145</v>
      </c>
      <c r="X3081" s="80" t="str">
        <f>HYPERLINK("https://einvestidor.estadao.com.br/radar-einvestidor/acoes-weg-wege3-decolam-apos-acordo-petrobras-petr4-petr3/?utm_source=twitter&amp;utm_medium=organic&amp;utm_campaign=&amp;utm_content=materia")</f>
        <v>https://einvestidor.estadao.com.br/radar-einvestidor/acoes-weg-wege3-decolam-apos-acordo-petrobras-petr4-petr3/?utm_source=twitter&amp;utm_medium=organic&amp;utm_campaign=&amp;utm_content=materia</v>
      </c>
      <c r="Y3081" s="77" t="s">
        <v>6470</v>
      </c>
      <c r="Z3081" s="77"/>
      <c r="AA3081" s="77"/>
      <c r="AB3081" s="77"/>
      <c r="AC3081" s="82" t="s">
        <v>7750</v>
      </c>
      <c r="AD3081" s="77" t="s">
        <v>7788</v>
      </c>
      <c r="AE3081" s="80" t="str">
        <f>HYPERLINK("https://twitter.com/einvestidor/status/1702079715287199975")</f>
        <v>https://twitter.com/einvestidor/status/1702079715287199975</v>
      </c>
      <c r="AF3081" s="79">
        <v>45182.916678240741</v>
      </c>
      <c r="AG3081" s="85">
        <v>45182</v>
      </c>
      <c r="AH3081" s="82" t="s">
        <v>8052</v>
      </c>
      <c r="AI3081" s="77" t="b">
        <v>0</v>
      </c>
      <c r="AJ3081" s="77"/>
      <c r="AK3081" s="77"/>
      <c r="AL3081" s="77"/>
      <c r="AM3081" s="77"/>
      <c r="AN3081" s="77"/>
      <c r="AO3081" s="77"/>
      <c r="AP3081" s="77"/>
      <c r="AQ3081" s="77"/>
      <c r="AR3081" s="77"/>
      <c r="AS3081" s="77"/>
      <c r="AT3081" s="77"/>
      <c r="AU3081" s="77"/>
      <c r="AV3081" s="80" t="str">
        <f>HYPERLINK("https://pbs.twimg.com/profile_images/1241147984924082183/gZgx_hL-_normal.jpg")</f>
        <v>https://pbs.twimg.com/profile_images/1241147984924082183/gZgx_hL-_normal.jpg</v>
      </c>
      <c r="AW3081" s="82" t="s">
        <v>14677</v>
      </c>
      <c r="AX3081" s="82" t="s">
        <v>14677</v>
      </c>
      <c r="AY3081" s="77"/>
      <c r="AZ3081" s="82" t="s">
        <v>15984</v>
      </c>
      <c r="BA3081" s="82" t="s">
        <v>15984</v>
      </c>
      <c r="BB3081" s="82" t="s">
        <v>15984</v>
      </c>
      <c r="BC3081" s="82" t="s">
        <v>14677</v>
      </c>
      <c r="BD3081" s="82" t="s">
        <v>15979</v>
      </c>
      <c r="BE3081" s="77"/>
      <c r="BF3081" s="77"/>
      <c r="BG3081" s="77"/>
      <c r="BH3081" s="77"/>
      <c r="BI3081" s="77"/>
    </row>
    <row r="3082" spans="1:61" x14ac:dyDescent="0.25">
      <c r="A3082" s="62" t="s">
        <v>387</v>
      </c>
      <c r="B3082" s="62" t="s">
        <v>387</v>
      </c>
      <c r="C3082" s="63"/>
      <c r="D3082" s="64"/>
      <c r="E3082" s="65"/>
      <c r="F3082" s="66"/>
      <c r="G3082" s="63"/>
      <c r="H3082" s="67"/>
      <c r="I3082" s="68"/>
      <c r="J3082" s="68"/>
      <c r="K3082" s="32"/>
      <c r="L3082" s="75">
        <v>3082</v>
      </c>
      <c r="M3082" s="75"/>
      <c r="N3082" s="70"/>
      <c r="O3082" s="77" t="s">
        <v>179</v>
      </c>
      <c r="P3082" s="79">
        <v>45182.90625</v>
      </c>
      <c r="Q3082" s="77" t="s">
        <v>3754</v>
      </c>
      <c r="R3082" s="77">
        <v>0</v>
      </c>
      <c r="S3082" s="77">
        <v>2</v>
      </c>
      <c r="T3082" s="77">
        <v>0</v>
      </c>
      <c r="U3082" s="77">
        <v>0</v>
      </c>
      <c r="V3082" s="77">
        <v>610</v>
      </c>
      <c r="W3082" s="82" t="s">
        <v>6089</v>
      </c>
      <c r="X3082" s="80" t="str">
        <f>HYPERLINK("https://einvestidor.estadao.com.br/radar-einvestidor/minerva-beef3-acoes-btg-pactual-novo-preco-alvo/?utm_source=twitter&amp;utm_medium=organic&amp;utm_campaign=&amp;utm_content=materia")</f>
        <v>https://einvestidor.estadao.com.br/radar-einvestidor/minerva-beef3-acoes-btg-pactual-novo-preco-alvo/?utm_source=twitter&amp;utm_medium=organic&amp;utm_campaign=&amp;utm_content=materia</v>
      </c>
      <c r="Y3082" s="77" t="s">
        <v>6470</v>
      </c>
      <c r="Z3082" s="77"/>
      <c r="AA3082" s="77"/>
      <c r="AB3082" s="77"/>
      <c r="AC3082" s="82" t="s">
        <v>7750</v>
      </c>
      <c r="AD3082" s="77" t="s">
        <v>7788</v>
      </c>
      <c r="AE3082" s="80" t="str">
        <f>HYPERLINK("https://twitter.com/einvestidor/status/1702075933299978430")</f>
        <v>https://twitter.com/einvestidor/status/1702075933299978430</v>
      </c>
      <c r="AF3082" s="79">
        <v>45182.90625</v>
      </c>
      <c r="AG3082" s="85">
        <v>45182</v>
      </c>
      <c r="AH3082" s="82" t="s">
        <v>9578</v>
      </c>
      <c r="AI3082" s="77" t="b">
        <v>0</v>
      </c>
      <c r="AJ3082" s="77"/>
      <c r="AK3082" s="77"/>
      <c r="AL3082" s="77"/>
      <c r="AM3082" s="77"/>
      <c r="AN3082" s="77"/>
      <c r="AO3082" s="77"/>
      <c r="AP3082" s="77"/>
      <c r="AQ3082" s="77"/>
      <c r="AR3082" s="77"/>
      <c r="AS3082" s="77"/>
      <c r="AT3082" s="77"/>
      <c r="AU3082" s="77"/>
      <c r="AV3082" s="80" t="str">
        <f>HYPERLINK("https://pbs.twimg.com/profile_images/1241147984924082183/gZgx_hL-_normal.jpg")</f>
        <v>https://pbs.twimg.com/profile_images/1241147984924082183/gZgx_hL-_normal.jpg</v>
      </c>
      <c r="AW3082" s="82" t="s">
        <v>14678</v>
      </c>
      <c r="AX3082" s="82" t="s">
        <v>14678</v>
      </c>
      <c r="AY3082" s="77"/>
      <c r="AZ3082" s="82" t="s">
        <v>15984</v>
      </c>
      <c r="BA3082" s="82" t="s">
        <v>15984</v>
      </c>
      <c r="BB3082" s="82" t="s">
        <v>15984</v>
      </c>
      <c r="BC3082" s="82" t="s">
        <v>14678</v>
      </c>
      <c r="BD3082" s="82" t="s">
        <v>15979</v>
      </c>
      <c r="BE3082" s="77"/>
      <c r="BF3082" s="77"/>
      <c r="BG3082" s="77"/>
      <c r="BH3082" s="77"/>
      <c r="BI3082" s="77"/>
    </row>
    <row r="3083" spans="1:61" x14ac:dyDescent="0.25">
      <c r="A3083" s="62" t="s">
        <v>387</v>
      </c>
      <c r="B3083" s="62" t="s">
        <v>387</v>
      </c>
      <c r="C3083" s="63"/>
      <c r="D3083" s="64"/>
      <c r="E3083" s="65"/>
      <c r="F3083" s="66"/>
      <c r="G3083" s="63"/>
      <c r="H3083" s="67"/>
      <c r="I3083" s="68"/>
      <c r="J3083" s="68"/>
      <c r="K3083" s="32"/>
      <c r="L3083" s="75">
        <v>3083</v>
      </c>
      <c r="M3083" s="75"/>
      <c r="N3083" s="70"/>
      <c r="O3083" s="77" t="s">
        <v>179</v>
      </c>
      <c r="P3083" s="79">
        <v>45182.900578703702</v>
      </c>
      <c r="Q3083" s="77" t="s">
        <v>3755</v>
      </c>
      <c r="R3083" s="77">
        <v>0</v>
      </c>
      <c r="S3083" s="77">
        <v>1</v>
      </c>
      <c r="T3083" s="77">
        <v>0</v>
      </c>
      <c r="U3083" s="77">
        <v>0</v>
      </c>
      <c r="V3083" s="77">
        <v>572</v>
      </c>
      <c r="W3083" s="82" t="s">
        <v>4833</v>
      </c>
      <c r="X3083" s="80" t="str">
        <f>HYPERLINK("https://einvestidor.estadao.com.br/mercado/fechamento-de-mercado-13-09-2023/?utm_source=twitter&amp;utm_medium=organic&amp;utm_campaign=&amp;utm_content=materia")</f>
        <v>https://einvestidor.estadao.com.br/mercado/fechamento-de-mercado-13-09-2023/?utm_source=twitter&amp;utm_medium=organic&amp;utm_campaign=&amp;utm_content=materia</v>
      </c>
      <c r="Y3083" s="77" t="s">
        <v>6470</v>
      </c>
      <c r="Z3083" s="77"/>
      <c r="AA3083" s="77"/>
      <c r="AB3083" s="77"/>
      <c r="AC3083" s="82" t="s">
        <v>7750</v>
      </c>
      <c r="AD3083" s="77" t="s">
        <v>7788</v>
      </c>
      <c r="AE3083" s="80" t="str">
        <f>HYPERLINK("https://twitter.com/einvestidor/status/1702073878883828192")</f>
        <v>https://twitter.com/einvestidor/status/1702073878883828192</v>
      </c>
      <c r="AF3083" s="79">
        <v>45182.900578703702</v>
      </c>
      <c r="AG3083" s="85">
        <v>45182</v>
      </c>
      <c r="AH3083" s="82" t="s">
        <v>9925</v>
      </c>
      <c r="AI3083" s="77" t="b">
        <v>0</v>
      </c>
      <c r="AJ3083" s="77"/>
      <c r="AK3083" s="77"/>
      <c r="AL3083" s="77"/>
      <c r="AM3083" s="77"/>
      <c r="AN3083" s="77"/>
      <c r="AO3083" s="77"/>
      <c r="AP3083" s="77"/>
      <c r="AQ3083" s="77"/>
      <c r="AR3083" s="77"/>
      <c r="AS3083" s="77"/>
      <c r="AT3083" s="77"/>
      <c r="AU3083" s="77"/>
      <c r="AV3083" s="80" t="str">
        <f>HYPERLINK("https://pbs.twimg.com/profile_images/1241147984924082183/gZgx_hL-_normal.jpg")</f>
        <v>https://pbs.twimg.com/profile_images/1241147984924082183/gZgx_hL-_normal.jpg</v>
      </c>
      <c r="AW3083" s="82" t="s">
        <v>14679</v>
      </c>
      <c r="AX3083" s="82" t="s">
        <v>14679</v>
      </c>
      <c r="AY3083" s="77"/>
      <c r="AZ3083" s="82" t="s">
        <v>15984</v>
      </c>
      <c r="BA3083" s="82" t="s">
        <v>15984</v>
      </c>
      <c r="BB3083" s="82" t="s">
        <v>15984</v>
      </c>
      <c r="BC3083" s="82" t="s">
        <v>14679</v>
      </c>
      <c r="BD3083" s="82" t="s">
        <v>15979</v>
      </c>
      <c r="BE3083" s="77"/>
      <c r="BF3083" s="77"/>
      <c r="BG3083" s="77"/>
      <c r="BH3083" s="77"/>
      <c r="BI3083" s="77"/>
    </row>
    <row r="3084" spans="1:61" x14ac:dyDescent="0.25">
      <c r="A3084" s="62" t="s">
        <v>387</v>
      </c>
      <c r="B3084" s="62" t="s">
        <v>387</v>
      </c>
      <c r="C3084" s="63"/>
      <c r="D3084" s="64"/>
      <c r="E3084" s="65"/>
      <c r="F3084" s="66"/>
      <c r="G3084" s="63"/>
      <c r="H3084" s="67"/>
      <c r="I3084" s="68"/>
      <c r="J3084" s="68"/>
      <c r="K3084" s="32"/>
      <c r="L3084" s="75">
        <v>3084</v>
      </c>
      <c r="M3084" s="75"/>
      <c r="N3084" s="70"/>
      <c r="O3084" s="77" t="s">
        <v>179</v>
      </c>
      <c r="P3084" s="79">
        <v>45182.899976851855</v>
      </c>
      <c r="Q3084" s="77" t="s">
        <v>3756</v>
      </c>
      <c r="R3084" s="77">
        <v>0</v>
      </c>
      <c r="S3084" s="77">
        <v>0</v>
      </c>
      <c r="T3084" s="77">
        <v>0</v>
      </c>
      <c r="U3084" s="77">
        <v>0</v>
      </c>
      <c r="V3084" s="77">
        <v>721</v>
      </c>
      <c r="W3084" s="82" t="s">
        <v>6215</v>
      </c>
      <c r="X3084" s="80" t="str">
        <f>HYPERLINK("https://einvestidor.estadao.com.br/mercado/piores-acoes-ibovespa-viia3-ugpa3-recv3/?utm_source=twitter&amp;utm_medium=organic&amp;utm_campaign=&amp;utm_content=materia")</f>
        <v>https://einvestidor.estadao.com.br/mercado/piores-acoes-ibovespa-viia3-ugpa3-recv3/?utm_source=twitter&amp;utm_medium=organic&amp;utm_campaign=&amp;utm_content=materia</v>
      </c>
      <c r="Y3084" s="77" t="s">
        <v>6470</v>
      </c>
      <c r="Z3084" s="77"/>
      <c r="AA3084" s="77"/>
      <c r="AB3084" s="77"/>
      <c r="AC3084" s="82" t="s">
        <v>7750</v>
      </c>
      <c r="AD3084" s="77" t="s">
        <v>7788</v>
      </c>
      <c r="AE3084" s="80" t="str">
        <f>HYPERLINK("https://twitter.com/einvestidor/status/1702073662847738042")</f>
        <v>https://twitter.com/einvestidor/status/1702073662847738042</v>
      </c>
      <c r="AF3084" s="79">
        <v>45182.899976851855</v>
      </c>
      <c r="AG3084" s="85">
        <v>45182</v>
      </c>
      <c r="AH3084" s="82" t="s">
        <v>9926</v>
      </c>
      <c r="AI3084" s="77" t="b">
        <v>0</v>
      </c>
      <c r="AJ3084" s="77"/>
      <c r="AK3084" s="77"/>
      <c r="AL3084" s="77"/>
      <c r="AM3084" s="77"/>
      <c r="AN3084" s="77"/>
      <c r="AO3084" s="77"/>
      <c r="AP3084" s="77"/>
      <c r="AQ3084" s="77"/>
      <c r="AR3084" s="77"/>
      <c r="AS3084" s="77"/>
      <c r="AT3084" s="77"/>
      <c r="AU3084" s="77"/>
      <c r="AV3084" s="80" t="str">
        <f>HYPERLINK("https://pbs.twimg.com/profile_images/1241147984924082183/gZgx_hL-_normal.jpg")</f>
        <v>https://pbs.twimg.com/profile_images/1241147984924082183/gZgx_hL-_normal.jpg</v>
      </c>
      <c r="AW3084" s="82" t="s">
        <v>14680</v>
      </c>
      <c r="AX3084" s="82" t="s">
        <v>14680</v>
      </c>
      <c r="AY3084" s="77"/>
      <c r="AZ3084" s="82" t="s">
        <v>15984</v>
      </c>
      <c r="BA3084" s="82" t="s">
        <v>15984</v>
      </c>
      <c r="BB3084" s="82" t="s">
        <v>15984</v>
      </c>
      <c r="BC3084" s="82" t="s">
        <v>14680</v>
      </c>
      <c r="BD3084" s="82" t="s">
        <v>15979</v>
      </c>
      <c r="BE3084" s="77"/>
      <c r="BF3084" s="77"/>
      <c r="BG3084" s="77"/>
      <c r="BH3084" s="77"/>
      <c r="BI3084" s="77"/>
    </row>
    <row r="3085" spans="1:61" x14ac:dyDescent="0.25">
      <c r="A3085" s="62" t="s">
        <v>387</v>
      </c>
      <c r="B3085" s="62" t="s">
        <v>387</v>
      </c>
      <c r="C3085" s="63"/>
      <c r="D3085" s="64"/>
      <c r="E3085" s="65"/>
      <c r="F3085" s="66"/>
      <c r="G3085" s="63"/>
      <c r="H3085" s="67"/>
      <c r="I3085" s="68"/>
      <c r="J3085" s="68"/>
      <c r="K3085" s="32"/>
      <c r="L3085" s="75">
        <v>3085</v>
      </c>
      <c r="M3085" s="75"/>
      <c r="N3085" s="70"/>
      <c r="O3085" s="77" t="s">
        <v>179</v>
      </c>
      <c r="P3085" s="79">
        <v>45182.899363425924</v>
      </c>
      <c r="Q3085" s="77" t="s">
        <v>3757</v>
      </c>
      <c r="R3085" s="77">
        <v>0</v>
      </c>
      <c r="S3085" s="77">
        <v>1</v>
      </c>
      <c r="T3085" s="77">
        <v>0</v>
      </c>
      <c r="U3085" s="77">
        <v>0</v>
      </c>
      <c r="V3085" s="77">
        <v>576</v>
      </c>
      <c r="W3085" s="82" t="s">
        <v>6216</v>
      </c>
      <c r="X3085" s="80" t="str">
        <f>HYPERLINK("https://einvestidor.estadao.com.br/mercado/melhores-acoes-ibovespa-carrefour-crfb3-btg-pactual-bpac11-weg-wege3/?utm_source=twitter&amp;utm_medium=organic&amp;utm_campaign=&amp;utm_content=materia")</f>
        <v>https://einvestidor.estadao.com.br/mercado/melhores-acoes-ibovespa-carrefour-crfb3-btg-pactual-bpac11-weg-wege3/?utm_source=twitter&amp;utm_medium=organic&amp;utm_campaign=&amp;utm_content=materia</v>
      </c>
      <c r="Y3085" s="77" t="s">
        <v>6470</v>
      </c>
      <c r="Z3085" s="77"/>
      <c r="AA3085" s="77"/>
      <c r="AB3085" s="77"/>
      <c r="AC3085" s="82" t="s">
        <v>7750</v>
      </c>
      <c r="AD3085" s="77" t="s">
        <v>7788</v>
      </c>
      <c r="AE3085" s="80" t="str">
        <f>HYPERLINK("https://twitter.com/einvestidor/status/1702073437638754710")</f>
        <v>https://twitter.com/einvestidor/status/1702073437638754710</v>
      </c>
      <c r="AF3085" s="79">
        <v>45182.899363425924</v>
      </c>
      <c r="AG3085" s="85">
        <v>45182</v>
      </c>
      <c r="AH3085" s="82" t="s">
        <v>9927</v>
      </c>
      <c r="AI3085" s="77" t="b">
        <v>0</v>
      </c>
      <c r="AJ3085" s="77"/>
      <c r="AK3085" s="77"/>
      <c r="AL3085" s="77"/>
      <c r="AM3085" s="77"/>
      <c r="AN3085" s="77"/>
      <c r="AO3085" s="77"/>
      <c r="AP3085" s="77"/>
      <c r="AQ3085" s="77"/>
      <c r="AR3085" s="77"/>
      <c r="AS3085" s="77"/>
      <c r="AT3085" s="77"/>
      <c r="AU3085" s="77"/>
      <c r="AV3085" s="80" t="str">
        <f>HYPERLINK("https://pbs.twimg.com/profile_images/1241147984924082183/gZgx_hL-_normal.jpg")</f>
        <v>https://pbs.twimg.com/profile_images/1241147984924082183/gZgx_hL-_normal.jpg</v>
      </c>
      <c r="AW3085" s="82" t="s">
        <v>14681</v>
      </c>
      <c r="AX3085" s="82" t="s">
        <v>14681</v>
      </c>
      <c r="AY3085" s="77"/>
      <c r="AZ3085" s="82" t="s">
        <v>15984</v>
      </c>
      <c r="BA3085" s="82" t="s">
        <v>15984</v>
      </c>
      <c r="BB3085" s="82" t="s">
        <v>15984</v>
      </c>
      <c r="BC3085" s="82" t="s">
        <v>14681</v>
      </c>
      <c r="BD3085" s="82" t="s">
        <v>15979</v>
      </c>
      <c r="BE3085" s="77"/>
      <c r="BF3085" s="77"/>
      <c r="BG3085" s="77"/>
      <c r="BH3085" s="77"/>
      <c r="BI3085" s="77"/>
    </row>
    <row r="3086" spans="1:61" x14ac:dyDescent="0.25">
      <c r="A3086" s="62" t="s">
        <v>387</v>
      </c>
      <c r="B3086" s="62" t="s">
        <v>387</v>
      </c>
      <c r="C3086" s="63"/>
      <c r="D3086" s="64"/>
      <c r="E3086" s="65"/>
      <c r="F3086" s="66"/>
      <c r="G3086" s="63"/>
      <c r="H3086" s="67"/>
      <c r="I3086" s="68"/>
      <c r="J3086" s="68"/>
      <c r="K3086" s="32"/>
      <c r="L3086" s="75">
        <v>3086</v>
      </c>
      <c r="M3086" s="75"/>
      <c r="N3086" s="70"/>
      <c r="O3086" s="77" t="s">
        <v>179</v>
      </c>
      <c r="P3086" s="79">
        <v>45175.916678240741</v>
      </c>
      <c r="Q3086" s="77" t="s">
        <v>3758</v>
      </c>
      <c r="R3086" s="77">
        <v>0</v>
      </c>
      <c r="S3086" s="77">
        <v>0</v>
      </c>
      <c r="T3086" s="77">
        <v>0</v>
      </c>
      <c r="U3086" s="77">
        <v>0</v>
      </c>
      <c r="V3086" s="77">
        <v>525</v>
      </c>
      <c r="W3086" s="82" t="s">
        <v>6112</v>
      </c>
      <c r="X3086" s="80" t="str">
        <f>HYPERLINK("https://einvestidor.estadao.com.br/ultimas/petroleo-fechamento-06-09-2023//?utm_source=twitter&amp;utm_medium=organic&amp;utm_campaign=&amp;utm_content=materia")</f>
        <v>https://einvestidor.estadao.com.br/ultimas/petroleo-fechamento-06-09-2023//?utm_source=twitter&amp;utm_medium=organic&amp;utm_campaign=&amp;utm_content=materia</v>
      </c>
      <c r="Y3086" s="77" t="s">
        <v>6470</v>
      </c>
      <c r="Z3086" s="77"/>
      <c r="AA3086" s="77"/>
      <c r="AB3086" s="77"/>
      <c r="AC3086" s="82" t="s">
        <v>7750</v>
      </c>
      <c r="AD3086" s="77" t="s">
        <v>7788</v>
      </c>
      <c r="AE3086" s="80" t="str">
        <f>HYPERLINK("https://twitter.com/einvestidor/status/1699542996910260239")</f>
        <v>https://twitter.com/einvestidor/status/1699542996910260239</v>
      </c>
      <c r="AF3086" s="79">
        <v>45175.916678240741</v>
      </c>
      <c r="AG3086" s="85">
        <v>45175</v>
      </c>
      <c r="AH3086" s="82" t="s">
        <v>8052</v>
      </c>
      <c r="AI3086" s="77" t="b">
        <v>0</v>
      </c>
      <c r="AJ3086" s="77"/>
      <c r="AK3086" s="77"/>
      <c r="AL3086" s="77"/>
      <c r="AM3086" s="77"/>
      <c r="AN3086" s="77"/>
      <c r="AO3086" s="77"/>
      <c r="AP3086" s="77"/>
      <c r="AQ3086" s="77"/>
      <c r="AR3086" s="77"/>
      <c r="AS3086" s="77"/>
      <c r="AT3086" s="77"/>
      <c r="AU3086" s="77"/>
      <c r="AV3086" s="80" t="str">
        <f>HYPERLINK("https://pbs.twimg.com/profile_images/1241147984924082183/gZgx_hL-_normal.jpg")</f>
        <v>https://pbs.twimg.com/profile_images/1241147984924082183/gZgx_hL-_normal.jpg</v>
      </c>
      <c r="AW3086" s="82" t="s">
        <v>14682</v>
      </c>
      <c r="AX3086" s="82" t="s">
        <v>14682</v>
      </c>
      <c r="AY3086" s="77"/>
      <c r="AZ3086" s="82" t="s">
        <v>15984</v>
      </c>
      <c r="BA3086" s="82" t="s">
        <v>15984</v>
      </c>
      <c r="BB3086" s="82" t="s">
        <v>15984</v>
      </c>
      <c r="BC3086" s="82" t="s">
        <v>14682</v>
      </c>
      <c r="BD3086" s="82" t="s">
        <v>15979</v>
      </c>
      <c r="BE3086" s="77"/>
      <c r="BF3086" s="77"/>
      <c r="BG3086" s="77"/>
      <c r="BH3086" s="77"/>
      <c r="BI3086" s="77"/>
    </row>
    <row r="3087" spans="1:61" x14ac:dyDescent="0.25">
      <c r="A3087" s="62" t="s">
        <v>387</v>
      </c>
      <c r="B3087" s="62" t="s">
        <v>387</v>
      </c>
      <c r="C3087" s="63"/>
      <c r="D3087" s="64"/>
      <c r="E3087" s="65"/>
      <c r="F3087" s="66"/>
      <c r="G3087" s="63"/>
      <c r="H3087" s="67"/>
      <c r="I3087" s="68"/>
      <c r="J3087" s="68"/>
      <c r="K3087" s="32"/>
      <c r="L3087" s="75">
        <v>3087</v>
      </c>
      <c r="M3087" s="75"/>
      <c r="N3087" s="70"/>
      <c r="O3087" s="77" t="s">
        <v>179</v>
      </c>
      <c r="P3087" s="79">
        <v>45175.90625</v>
      </c>
      <c r="Q3087" s="77" t="s">
        <v>3759</v>
      </c>
      <c r="R3087" s="77">
        <v>0</v>
      </c>
      <c r="S3087" s="77">
        <v>2</v>
      </c>
      <c r="T3087" s="77">
        <v>0</v>
      </c>
      <c r="U3087" s="77">
        <v>0</v>
      </c>
      <c r="V3087" s="77">
        <v>664</v>
      </c>
      <c r="W3087" s="82" t="s">
        <v>4833</v>
      </c>
      <c r="X3087" s="80" t="str">
        <f>HYPERLINK("https://einvestidor.estadao.com.br/ultimas/santander-corretora-fala-mau-desempenho-bolsa-agosto/?utm_source=twitter&amp;utm_medium=organic&amp;utm_campaign=&amp;utm_content=materia")</f>
        <v>https://einvestidor.estadao.com.br/ultimas/santander-corretora-fala-mau-desempenho-bolsa-agosto/?utm_source=twitter&amp;utm_medium=organic&amp;utm_campaign=&amp;utm_content=materia</v>
      </c>
      <c r="Y3087" s="77" t="s">
        <v>6470</v>
      </c>
      <c r="Z3087" s="77"/>
      <c r="AA3087" s="77"/>
      <c r="AB3087" s="77"/>
      <c r="AC3087" s="82" t="s">
        <v>7750</v>
      </c>
      <c r="AD3087" s="77" t="s">
        <v>7788</v>
      </c>
      <c r="AE3087" s="80" t="str">
        <f>HYPERLINK("https://twitter.com/einvestidor/status/1699539218433777728")</f>
        <v>https://twitter.com/einvestidor/status/1699539218433777728</v>
      </c>
      <c r="AF3087" s="79">
        <v>45175.90625</v>
      </c>
      <c r="AG3087" s="85">
        <v>45175</v>
      </c>
      <c r="AH3087" s="82" t="s">
        <v>9578</v>
      </c>
      <c r="AI3087" s="77" t="b">
        <v>0</v>
      </c>
      <c r="AJ3087" s="77"/>
      <c r="AK3087" s="77"/>
      <c r="AL3087" s="77"/>
      <c r="AM3087" s="77"/>
      <c r="AN3087" s="77"/>
      <c r="AO3087" s="77"/>
      <c r="AP3087" s="77"/>
      <c r="AQ3087" s="77"/>
      <c r="AR3087" s="77"/>
      <c r="AS3087" s="77"/>
      <c r="AT3087" s="77"/>
      <c r="AU3087" s="77"/>
      <c r="AV3087" s="80" t="str">
        <f>HYPERLINK("https://pbs.twimg.com/profile_images/1241147984924082183/gZgx_hL-_normal.jpg")</f>
        <v>https://pbs.twimg.com/profile_images/1241147984924082183/gZgx_hL-_normal.jpg</v>
      </c>
      <c r="AW3087" s="82" t="s">
        <v>14683</v>
      </c>
      <c r="AX3087" s="82" t="s">
        <v>14683</v>
      </c>
      <c r="AY3087" s="77"/>
      <c r="AZ3087" s="82" t="s">
        <v>15984</v>
      </c>
      <c r="BA3087" s="82" t="s">
        <v>15984</v>
      </c>
      <c r="BB3087" s="82" t="s">
        <v>15984</v>
      </c>
      <c r="BC3087" s="82" t="s">
        <v>14683</v>
      </c>
      <c r="BD3087" s="82" t="s">
        <v>15979</v>
      </c>
      <c r="BE3087" s="77"/>
      <c r="BF3087" s="77"/>
      <c r="BG3087" s="77"/>
      <c r="BH3087" s="77"/>
      <c r="BI3087" s="77"/>
    </row>
    <row r="3088" spans="1:61" x14ac:dyDescent="0.25">
      <c r="A3088" s="62" t="s">
        <v>387</v>
      </c>
      <c r="B3088" s="62" t="s">
        <v>387</v>
      </c>
      <c r="C3088" s="63"/>
      <c r="D3088" s="64"/>
      <c r="E3088" s="65"/>
      <c r="F3088" s="66"/>
      <c r="G3088" s="63"/>
      <c r="H3088" s="67"/>
      <c r="I3088" s="68"/>
      <c r="J3088" s="68"/>
      <c r="K3088" s="32"/>
      <c r="L3088" s="75">
        <v>3088</v>
      </c>
      <c r="M3088" s="75"/>
      <c r="N3088" s="70"/>
      <c r="O3088" s="77" t="s">
        <v>179</v>
      </c>
      <c r="P3088" s="79">
        <v>45175.895833333336</v>
      </c>
      <c r="Q3088" s="77" t="s">
        <v>3760</v>
      </c>
      <c r="R3088" s="77">
        <v>0</v>
      </c>
      <c r="S3088" s="77">
        <v>1</v>
      </c>
      <c r="T3088" s="77">
        <v>0</v>
      </c>
      <c r="U3088" s="77">
        <v>0</v>
      </c>
      <c r="V3088" s="77">
        <v>594</v>
      </c>
      <c r="W3088" s="82" t="s">
        <v>4833</v>
      </c>
      <c r="X3088" s="80" t="str">
        <f>HYPERLINK("https://einvestidor.estadao.com.br/investimentos/fundo-verde-luis-stuhlberger-aproveita-piora-da-bolsa/?utm_source=twitter&amp;utm_medium=organic&amp;utm_campaign=&amp;utm_content=materia")</f>
        <v>https://einvestidor.estadao.com.br/investimentos/fundo-verde-luis-stuhlberger-aproveita-piora-da-bolsa/?utm_source=twitter&amp;utm_medium=organic&amp;utm_campaign=&amp;utm_content=materia</v>
      </c>
      <c r="Y3088" s="77" t="s">
        <v>6470</v>
      </c>
      <c r="Z3088" s="77"/>
      <c r="AA3088" s="77"/>
      <c r="AB3088" s="77"/>
      <c r="AC3088" s="82" t="s">
        <v>7750</v>
      </c>
      <c r="AD3088" s="77" t="s">
        <v>7788</v>
      </c>
      <c r="AE3088" s="80" t="str">
        <f>HYPERLINK("https://twitter.com/einvestidor/status/1699535444050956671")</f>
        <v>https://twitter.com/einvestidor/status/1699535444050956671</v>
      </c>
      <c r="AF3088" s="79">
        <v>45175.895833333336</v>
      </c>
      <c r="AG3088" s="85">
        <v>45175</v>
      </c>
      <c r="AH3088" s="82" t="s">
        <v>8089</v>
      </c>
      <c r="AI3088" s="77" t="b">
        <v>0</v>
      </c>
      <c r="AJ3088" s="77"/>
      <c r="AK3088" s="77"/>
      <c r="AL3088" s="77"/>
      <c r="AM3088" s="77"/>
      <c r="AN3088" s="77"/>
      <c r="AO3088" s="77"/>
      <c r="AP3088" s="77"/>
      <c r="AQ3088" s="77"/>
      <c r="AR3088" s="77"/>
      <c r="AS3088" s="77"/>
      <c r="AT3088" s="77"/>
      <c r="AU3088" s="77"/>
      <c r="AV3088" s="80" t="str">
        <f>HYPERLINK("https://pbs.twimg.com/profile_images/1241147984924082183/gZgx_hL-_normal.jpg")</f>
        <v>https://pbs.twimg.com/profile_images/1241147984924082183/gZgx_hL-_normal.jpg</v>
      </c>
      <c r="AW3088" s="82" t="s">
        <v>14684</v>
      </c>
      <c r="AX3088" s="82" t="s">
        <v>14684</v>
      </c>
      <c r="AY3088" s="77"/>
      <c r="AZ3088" s="82" t="s">
        <v>15984</v>
      </c>
      <c r="BA3088" s="82" t="s">
        <v>15984</v>
      </c>
      <c r="BB3088" s="82" t="s">
        <v>15984</v>
      </c>
      <c r="BC3088" s="82" t="s">
        <v>14684</v>
      </c>
      <c r="BD3088" s="82" t="s">
        <v>15979</v>
      </c>
      <c r="BE3088" s="77"/>
      <c r="BF3088" s="77"/>
      <c r="BG3088" s="77"/>
      <c r="BH3088" s="77"/>
      <c r="BI3088" s="77"/>
    </row>
    <row r="3089" spans="1:61" x14ac:dyDescent="0.25">
      <c r="A3089" s="62" t="s">
        <v>387</v>
      </c>
      <c r="B3089" s="62" t="s">
        <v>387</v>
      </c>
      <c r="C3089" s="63"/>
      <c r="D3089" s="64"/>
      <c r="E3089" s="65"/>
      <c r="F3089" s="66"/>
      <c r="G3089" s="63"/>
      <c r="H3089" s="67"/>
      <c r="I3089" s="68"/>
      <c r="J3089" s="68"/>
      <c r="K3089" s="32"/>
      <c r="L3089" s="75">
        <v>3089</v>
      </c>
      <c r="M3089" s="75"/>
      <c r="N3089" s="70"/>
      <c r="O3089" s="77" t="s">
        <v>179</v>
      </c>
      <c r="P3089" s="79">
        <v>45175.890497685185</v>
      </c>
      <c r="Q3089" s="77" t="s">
        <v>3761</v>
      </c>
      <c r="R3089" s="77">
        <v>0</v>
      </c>
      <c r="S3089" s="77">
        <v>0</v>
      </c>
      <c r="T3089" s="77">
        <v>0</v>
      </c>
      <c r="U3089" s="77">
        <v>0</v>
      </c>
      <c r="V3089" s="77">
        <v>492</v>
      </c>
      <c r="W3089" s="82" t="s">
        <v>4833</v>
      </c>
      <c r="X3089" s="80" t="str">
        <f>HYPERLINK("https://einvestidor.estadao.com.br/mercado/fechamento-de-mercado-06-09-2023/?utm_source=twitter&amp;utm_medium=organic&amp;utm_campaign=&amp;utm_content=materia")</f>
        <v>https://einvestidor.estadao.com.br/mercado/fechamento-de-mercado-06-09-2023/?utm_source=twitter&amp;utm_medium=organic&amp;utm_campaign=&amp;utm_content=materia</v>
      </c>
      <c r="Y3089" s="77" t="s">
        <v>6470</v>
      </c>
      <c r="Z3089" s="77"/>
      <c r="AA3089" s="77"/>
      <c r="AB3089" s="77"/>
      <c r="AC3089" s="82" t="s">
        <v>7750</v>
      </c>
      <c r="AD3089" s="77" t="s">
        <v>7788</v>
      </c>
      <c r="AE3089" s="80" t="str">
        <f>HYPERLINK("https://twitter.com/einvestidor/status/1699533512452280608")</f>
        <v>https://twitter.com/einvestidor/status/1699533512452280608</v>
      </c>
      <c r="AF3089" s="79">
        <v>45175.890497685185</v>
      </c>
      <c r="AG3089" s="85">
        <v>45175</v>
      </c>
      <c r="AH3089" s="82" t="s">
        <v>9928</v>
      </c>
      <c r="AI3089" s="77" t="b">
        <v>0</v>
      </c>
      <c r="AJ3089" s="77"/>
      <c r="AK3089" s="77"/>
      <c r="AL3089" s="77"/>
      <c r="AM3089" s="77"/>
      <c r="AN3089" s="77"/>
      <c r="AO3089" s="77"/>
      <c r="AP3089" s="77"/>
      <c r="AQ3089" s="77"/>
      <c r="AR3089" s="77"/>
      <c r="AS3089" s="77"/>
      <c r="AT3089" s="77"/>
      <c r="AU3089" s="77"/>
      <c r="AV3089" s="80" t="str">
        <f>HYPERLINK("https://pbs.twimg.com/profile_images/1241147984924082183/gZgx_hL-_normal.jpg")</f>
        <v>https://pbs.twimg.com/profile_images/1241147984924082183/gZgx_hL-_normal.jpg</v>
      </c>
      <c r="AW3089" s="82" t="s">
        <v>14685</v>
      </c>
      <c r="AX3089" s="82" t="s">
        <v>14685</v>
      </c>
      <c r="AY3089" s="77"/>
      <c r="AZ3089" s="82" t="s">
        <v>15984</v>
      </c>
      <c r="BA3089" s="82" t="s">
        <v>15984</v>
      </c>
      <c r="BB3089" s="82" t="s">
        <v>15984</v>
      </c>
      <c r="BC3089" s="82" t="s">
        <v>14685</v>
      </c>
      <c r="BD3089" s="82" t="s">
        <v>15979</v>
      </c>
      <c r="BE3089" s="77"/>
      <c r="BF3089" s="77"/>
      <c r="BG3089" s="77"/>
      <c r="BH3089" s="77"/>
      <c r="BI3089" s="77"/>
    </row>
    <row r="3090" spans="1:61" x14ac:dyDescent="0.25">
      <c r="A3090" s="62" t="s">
        <v>387</v>
      </c>
      <c r="B3090" s="62" t="s">
        <v>387</v>
      </c>
      <c r="C3090" s="63"/>
      <c r="D3090" s="64"/>
      <c r="E3090" s="65"/>
      <c r="F3090" s="66"/>
      <c r="G3090" s="63"/>
      <c r="H3090" s="67"/>
      <c r="I3090" s="68"/>
      <c r="J3090" s="68"/>
      <c r="K3090" s="32"/>
      <c r="L3090" s="75">
        <v>3090</v>
      </c>
      <c r="M3090" s="75"/>
      <c r="N3090" s="70"/>
      <c r="O3090" s="77" t="s">
        <v>179</v>
      </c>
      <c r="P3090" s="79">
        <v>45175.889965277776</v>
      </c>
      <c r="Q3090" s="77" t="s">
        <v>3762</v>
      </c>
      <c r="R3090" s="77">
        <v>0</v>
      </c>
      <c r="S3090" s="77">
        <v>0</v>
      </c>
      <c r="T3090" s="77">
        <v>0</v>
      </c>
      <c r="U3090" s="77">
        <v>0</v>
      </c>
      <c r="V3090" s="77">
        <v>535</v>
      </c>
      <c r="W3090" s="82" t="s">
        <v>6217</v>
      </c>
      <c r="X3090" s="80" t="str">
        <f>HYPERLINK("https://einvestidor.estadao.com.br/mercado/piores-acoes-ibovespa-cvc-cvcb3-irb-re-irbr3-carrefour-crfb3/?utm_source=twitter&amp;utm_medium=organic&amp;utm_campaign=&amp;utm_content=materia")</f>
        <v>https://einvestidor.estadao.com.br/mercado/piores-acoes-ibovespa-cvc-cvcb3-irb-re-irbr3-carrefour-crfb3/?utm_source=twitter&amp;utm_medium=organic&amp;utm_campaign=&amp;utm_content=materia</v>
      </c>
      <c r="Y3090" s="77" t="s">
        <v>6470</v>
      </c>
      <c r="Z3090" s="77"/>
      <c r="AA3090" s="77"/>
      <c r="AB3090" s="77"/>
      <c r="AC3090" s="82" t="s">
        <v>7750</v>
      </c>
      <c r="AD3090" s="77" t="s">
        <v>7788</v>
      </c>
      <c r="AE3090" s="80" t="str">
        <f>HYPERLINK("https://twitter.com/einvestidor/status/1699533316133662746")</f>
        <v>https://twitter.com/einvestidor/status/1699533316133662746</v>
      </c>
      <c r="AF3090" s="79">
        <v>45175.889965277776</v>
      </c>
      <c r="AG3090" s="85">
        <v>45175</v>
      </c>
      <c r="AH3090" s="82" t="s">
        <v>9929</v>
      </c>
      <c r="AI3090" s="77" t="b">
        <v>0</v>
      </c>
      <c r="AJ3090" s="77"/>
      <c r="AK3090" s="77"/>
      <c r="AL3090" s="77"/>
      <c r="AM3090" s="77"/>
      <c r="AN3090" s="77"/>
      <c r="AO3090" s="77"/>
      <c r="AP3090" s="77"/>
      <c r="AQ3090" s="77"/>
      <c r="AR3090" s="77"/>
      <c r="AS3090" s="77"/>
      <c r="AT3090" s="77"/>
      <c r="AU3090" s="77"/>
      <c r="AV3090" s="80" t="str">
        <f>HYPERLINK("https://pbs.twimg.com/profile_images/1241147984924082183/gZgx_hL-_normal.jpg")</f>
        <v>https://pbs.twimg.com/profile_images/1241147984924082183/gZgx_hL-_normal.jpg</v>
      </c>
      <c r="AW3090" s="82" t="s">
        <v>14686</v>
      </c>
      <c r="AX3090" s="82" t="s">
        <v>14686</v>
      </c>
      <c r="AY3090" s="77"/>
      <c r="AZ3090" s="82" t="s">
        <v>15984</v>
      </c>
      <c r="BA3090" s="82" t="s">
        <v>15984</v>
      </c>
      <c r="BB3090" s="82" t="s">
        <v>15984</v>
      </c>
      <c r="BC3090" s="82" t="s">
        <v>14686</v>
      </c>
      <c r="BD3090" s="82" t="s">
        <v>15979</v>
      </c>
      <c r="BE3090" s="77"/>
      <c r="BF3090" s="77"/>
      <c r="BG3090" s="77"/>
      <c r="BH3090" s="77"/>
      <c r="BI3090" s="77"/>
    </row>
    <row r="3091" spans="1:61" x14ac:dyDescent="0.25">
      <c r="A3091" s="62" t="s">
        <v>387</v>
      </c>
      <c r="B3091" s="62" t="s">
        <v>387</v>
      </c>
      <c r="C3091" s="63"/>
      <c r="D3091" s="64"/>
      <c r="E3091" s="65"/>
      <c r="F3091" s="66"/>
      <c r="G3091" s="63"/>
      <c r="H3091" s="67"/>
      <c r="I3091" s="68"/>
      <c r="J3091" s="68"/>
      <c r="K3091" s="32"/>
      <c r="L3091" s="75">
        <v>3091</v>
      </c>
      <c r="M3091" s="75"/>
      <c r="N3091" s="70"/>
      <c r="O3091" s="77" t="s">
        <v>179</v>
      </c>
      <c r="P3091" s="79">
        <v>45175.889328703706</v>
      </c>
      <c r="Q3091" s="77" t="s">
        <v>3763</v>
      </c>
      <c r="R3091" s="77">
        <v>0</v>
      </c>
      <c r="S3091" s="77">
        <v>0</v>
      </c>
      <c r="T3091" s="77">
        <v>0</v>
      </c>
      <c r="U3091" s="77">
        <v>0</v>
      </c>
      <c r="V3091" s="77">
        <v>543</v>
      </c>
      <c r="W3091" s="82" t="s">
        <v>6218</v>
      </c>
      <c r="X3091" s="80" t="str">
        <f>HYPERLINK("https://einvestidor.estadao.com.br/mercado/melhores-acoes-ibovespa-braskem-brkm5-yduqs-ydq3-eneva-enev3/?utm_source=twitter&amp;utm_medium=organic&amp;utm_campaign=&amp;utm_content=materia")</f>
        <v>https://einvestidor.estadao.com.br/mercado/melhores-acoes-ibovespa-braskem-brkm5-yduqs-ydq3-eneva-enev3/?utm_source=twitter&amp;utm_medium=organic&amp;utm_campaign=&amp;utm_content=materia</v>
      </c>
      <c r="Y3091" s="77" t="s">
        <v>6470</v>
      </c>
      <c r="Z3091" s="77"/>
      <c r="AA3091" s="77"/>
      <c r="AB3091" s="77"/>
      <c r="AC3091" s="82" t="s">
        <v>7750</v>
      </c>
      <c r="AD3091" s="77" t="s">
        <v>7788</v>
      </c>
      <c r="AE3091" s="80" t="str">
        <f>HYPERLINK("https://twitter.com/einvestidor/status/1699533087334334513")</f>
        <v>https://twitter.com/einvestidor/status/1699533087334334513</v>
      </c>
      <c r="AF3091" s="79">
        <v>45175.889328703706</v>
      </c>
      <c r="AG3091" s="85">
        <v>45175</v>
      </c>
      <c r="AH3091" s="82" t="s">
        <v>9930</v>
      </c>
      <c r="AI3091" s="77" t="b">
        <v>0</v>
      </c>
      <c r="AJ3091" s="77"/>
      <c r="AK3091" s="77"/>
      <c r="AL3091" s="77"/>
      <c r="AM3091" s="77"/>
      <c r="AN3091" s="77"/>
      <c r="AO3091" s="77"/>
      <c r="AP3091" s="77"/>
      <c r="AQ3091" s="77"/>
      <c r="AR3091" s="77"/>
      <c r="AS3091" s="77"/>
      <c r="AT3091" s="77"/>
      <c r="AU3091" s="77"/>
      <c r="AV3091" s="80" t="str">
        <f>HYPERLINK("https://pbs.twimg.com/profile_images/1241147984924082183/gZgx_hL-_normal.jpg")</f>
        <v>https://pbs.twimg.com/profile_images/1241147984924082183/gZgx_hL-_normal.jpg</v>
      </c>
      <c r="AW3091" s="82" t="s">
        <v>14687</v>
      </c>
      <c r="AX3091" s="82" t="s">
        <v>14687</v>
      </c>
      <c r="AY3091" s="77"/>
      <c r="AZ3091" s="82" t="s">
        <v>15984</v>
      </c>
      <c r="BA3091" s="82" t="s">
        <v>15984</v>
      </c>
      <c r="BB3091" s="82" t="s">
        <v>15984</v>
      </c>
      <c r="BC3091" s="82" t="s">
        <v>14687</v>
      </c>
      <c r="BD3091" s="82" t="s">
        <v>15979</v>
      </c>
      <c r="BE3091" s="77"/>
      <c r="BF3091" s="77"/>
      <c r="BG3091" s="77"/>
      <c r="BH3091" s="77"/>
      <c r="BI3091" s="77"/>
    </row>
    <row r="3092" spans="1:61" x14ac:dyDescent="0.25">
      <c r="A3092" s="62" t="s">
        <v>387</v>
      </c>
      <c r="B3092" s="62" t="s">
        <v>387</v>
      </c>
      <c r="C3092" s="63"/>
      <c r="D3092" s="64"/>
      <c r="E3092" s="65"/>
      <c r="F3092" s="66"/>
      <c r="G3092" s="63"/>
      <c r="H3092" s="67"/>
      <c r="I3092" s="68"/>
      <c r="J3092" s="68"/>
      <c r="K3092" s="32"/>
      <c r="L3092" s="75">
        <v>3092</v>
      </c>
      <c r="M3092" s="75"/>
      <c r="N3092" s="70"/>
      <c r="O3092" s="77" t="s">
        <v>179</v>
      </c>
      <c r="P3092" s="79">
        <v>45167.503472222219</v>
      </c>
      <c r="Q3092" s="77" t="s">
        <v>3764</v>
      </c>
      <c r="R3092" s="77">
        <v>1</v>
      </c>
      <c r="S3092" s="77">
        <v>3</v>
      </c>
      <c r="T3092" s="77">
        <v>0</v>
      </c>
      <c r="U3092" s="77">
        <v>0</v>
      </c>
      <c r="V3092" s="77">
        <v>462</v>
      </c>
      <c r="W3092" s="82" t="s">
        <v>6219</v>
      </c>
      <c r="X3092" s="80" t="str">
        <f>HYPERLINK("https://einvestidor.estadao.com.br/investimentos/tributacao-fundos-exclusivos-offshore-impacto-investidor/?utm_source=twitter&amp;utm_medium=organic&amp;utm_campaign=impostos&amp;utm_content=materia")</f>
        <v>https://einvestidor.estadao.com.br/investimentos/tributacao-fundos-exclusivos-offshore-impacto-investidor/?utm_source=twitter&amp;utm_medium=organic&amp;utm_campaign=impostos&amp;utm_content=materia</v>
      </c>
      <c r="Y3092" s="77" t="s">
        <v>6470</v>
      </c>
      <c r="Z3092" s="77"/>
      <c r="AA3092" s="77"/>
      <c r="AB3092" s="77"/>
      <c r="AC3092" s="82" t="s">
        <v>7750</v>
      </c>
      <c r="AD3092" s="77" t="s">
        <v>7788</v>
      </c>
      <c r="AE3092" s="80" t="str">
        <f>HYPERLINK("https://twitter.com/einvestidor/status/1696494154392760684")</f>
        <v>https://twitter.com/einvestidor/status/1696494154392760684</v>
      </c>
      <c r="AF3092" s="79">
        <v>45167.503472222219</v>
      </c>
      <c r="AG3092" s="85">
        <v>45167</v>
      </c>
      <c r="AH3092" s="82" t="s">
        <v>9931</v>
      </c>
      <c r="AI3092" s="77" t="b">
        <v>0</v>
      </c>
      <c r="AJ3092" s="77"/>
      <c r="AK3092" s="77"/>
      <c r="AL3092" s="77"/>
      <c r="AM3092" s="77"/>
      <c r="AN3092" s="77"/>
      <c r="AO3092" s="77"/>
      <c r="AP3092" s="77"/>
      <c r="AQ3092" s="77"/>
      <c r="AR3092" s="77"/>
      <c r="AS3092" s="77"/>
      <c r="AT3092" s="77"/>
      <c r="AU3092" s="77"/>
      <c r="AV3092" s="80" t="str">
        <f>HYPERLINK("https://pbs.twimg.com/profile_images/1241147984924082183/gZgx_hL-_normal.jpg")</f>
        <v>https://pbs.twimg.com/profile_images/1241147984924082183/gZgx_hL-_normal.jpg</v>
      </c>
      <c r="AW3092" s="82" t="s">
        <v>14688</v>
      </c>
      <c r="AX3092" s="82" t="s">
        <v>14688</v>
      </c>
      <c r="AY3092" s="77"/>
      <c r="AZ3092" s="82" t="s">
        <v>15984</v>
      </c>
      <c r="BA3092" s="82" t="s">
        <v>15984</v>
      </c>
      <c r="BB3092" s="82" t="s">
        <v>15984</v>
      </c>
      <c r="BC3092" s="82" t="s">
        <v>14688</v>
      </c>
      <c r="BD3092" s="82" t="s">
        <v>15979</v>
      </c>
      <c r="BE3092" s="77"/>
      <c r="BF3092" s="77"/>
      <c r="BG3092" s="77"/>
      <c r="BH3092" s="77"/>
      <c r="BI3092" s="77"/>
    </row>
    <row r="3093" spans="1:61" x14ac:dyDescent="0.25">
      <c r="A3093" s="62" t="s">
        <v>387</v>
      </c>
      <c r="B3093" s="62" t="s">
        <v>387</v>
      </c>
      <c r="C3093" s="63"/>
      <c r="D3093" s="64"/>
      <c r="E3093" s="65"/>
      <c r="F3093" s="66"/>
      <c r="G3093" s="63"/>
      <c r="H3093" s="67"/>
      <c r="I3093" s="68"/>
      <c r="J3093" s="68"/>
      <c r="K3093" s="32"/>
      <c r="L3093" s="75">
        <v>3093</v>
      </c>
      <c r="M3093" s="75"/>
      <c r="N3093" s="70"/>
      <c r="O3093" s="77" t="s">
        <v>179</v>
      </c>
      <c r="P3093" s="79">
        <v>45167.436111111114</v>
      </c>
      <c r="Q3093" s="77" t="s">
        <v>3765</v>
      </c>
      <c r="R3093" s="77">
        <v>0</v>
      </c>
      <c r="S3093" s="77">
        <v>3</v>
      </c>
      <c r="T3093" s="77">
        <v>0</v>
      </c>
      <c r="U3093" s="77">
        <v>0</v>
      </c>
      <c r="V3093" s="77">
        <v>553</v>
      </c>
      <c r="W3093" s="82" t="s">
        <v>4839</v>
      </c>
      <c r="X3093" s="80" t="str">
        <f>HYPERLINK("https://einvestidor.estadao.com.br/noticias/bolsas-da-asia-fechamento-29-08-2023/?utm_source=twitter&amp;utm_medium=organic&amp;utm_campaign=asia&amp;utm_content=materia")</f>
        <v>https://einvestidor.estadao.com.br/noticias/bolsas-da-asia-fechamento-29-08-2023/?utm_source=twitter&amp;utm_medium=organic&amp;utm_campaign=asia&amp;utm_content=materia</v>
      </c>
      <c r="Y3093" s="77" t="s">
        <v>6470</v>
      </c>
      <c r="Z3093" s="77"/>
      <c r="AA3093" s="77"/>
      <c r="AB3093" s="77"/>
      <c r="AC3093" s="82" t="s">
        <v>7750</v>
      </c>
      <c r="AD3093" s="77" t="s">
        <v>7788</v>
      </c>
      <c r="AE3093" s="80" t="str">
        <f>HYPERLINK("https://twitter.com/einvestidor/status/1696469745560645793")</f>
        <v>https://twitter.com/einvestidor/status/1696469745560645793</v>
      </c>
      <c r="AF3093" s="79">
        <v>45167.436111111114</v>
      </c>
      <c r="AG3093" s="85">
        <v>45167</v>
      </c>
      <c r="AH3093" s="82" t="s">
        <v>9932</v>
      </c>
      <c r="AI3093" s="77" t="b">
        <v>0</v>
      </c>
      <c r="AJ3093" s="77"/>
      <c r="AK3093" s="77"/>
      <c r="AL3093" s="77"/>
      <c r="AM3093" s="77"/>
      <c r="AN3093" s="77"/>
      <c r="AO3093" s="77"/>
      <c r="AP3093" s="77"/>
      <c r="AQ3093" s="77"/>
      <c r="AR3093" s="77"/>
      <c r="AS3093" s="77"/>
      <c r="AT3093" s="77"/>
      <c r="AU3093" s="77"/>
      <c r="AV3093" s="80" t="str">
        <f>HYPERLINK("https://pbs.twimg.com/profile_images/1241147984924082183/gZgx_hL-_normal.jpg")</f>
        <v>https://pbs.twimg.com/profile_images/1241147984924082183/gZgx_hL-_normal.jpg</v>
      </c>
      <c r="AW3093" s="82" t="s">
        <v>14689</v>
      </c>
      <c r="AX3093" s="82" t="s">
        <v>14689</v>
      </c>
      <c r="AY3093" s="77"/>
      <c r="AZ3093" s="82" t="s">
        <v>15984</v>
      </c>
      <c r="BA3093" s="82" t="s">
        <v>15984</v>
      </c>
      <c r="BB3093" s="82" t="s">
        <v>15984</v>
      </c>
      <c r="BC3093" s="82" t="s">
        <v>14689</v>
      </c>
      <c r="BD3093" s="82" t="s">
        <v>15979</v>
      </c>
      <c r="BE3093" s="77"/>
      <c r="BF3093" s="77"/>
      <c r="BG3093" s="77"/>
      <c r="BH3093" s="77"/>
      <c r="BI3093" s="77"/>
    </row>
    <row r="3094" spans="1:61" x14ac:dyDescent="0.25">
      <c r="A3094" s="62" t="s">
        <v>387</v>
      </c>
      <c r="B3094" s="62" t="s">
        <v>387</v>
      </c>
      <c r="C3094" s="63"/>
      <c r="D3094" s="64"/>
      <c r="E3094" s="65"/>
      <c r="F3094" s="66"/>
      <c r="G3094" s="63"/>
      <c r="H3094" s="67"/>
      <c r="I3094" s="68"/>
      <c r="J3094" s="68"/>
      <c r="K3094" s="32"/>
      <c r="L3094" s="75">
        <v>3094</v>
      </c>
      <c r="M3094" s="75"/>
      <c r="N3094" s="70"/>
      <c r="O3094" s="77" t="s">
        <v>179</v>
      </c>
      <c r="P3094" s="79">
        <v>45167.429212962961</v>
      </c>
      <c r="Q3094" s="77" t="s">
        <v>3766</v>
      </c>
      <c r="R3094" s="77">
        <v>1</v>
      </c>
      <c r="S3094" s="77">
        <v>4</v>
      </c>
      <c r="T3094" s="77">
        <v>1</v>
      </c>
      <c r="U3094" s="77">
        <v>0</v>
      </c>
      <c r="V3094" s="77">
        <v>736</v>
      </c>
      <c r="W3094" s="82" t="s">
        <v>6220</v>
      </c>
      <c r="X3094" s="80" t="str">
        <f>HYPERLINK("https://einvestidor.estadao.com.br/mercado/arcabouco-fiscal-bolsa-repercussao-mercado/?utm_source=twitter&amp;utm_medium=organic&amp;utm_campaign=arcabouco-fiscal&amp;utm_content=materia")</f>
        <v>https://einvestidor.estadao.com.br/mercado/arcabouco-fiscal-bolsa-repercussao-mercado/?utm_source=twitter&amp;utm_medium=organic&amp;utm_campaign=arcabouco-fiscal&amp;utm_content=materia</v>
      </c>
      <c r="Y3094" s="77" t="s">
        <v>6470</v>
      </c>
      <c r="Z3094" s="77"/>
      <c r="AA3094" s="77"/>
      <c r="AB3094" s="77"/>
      <c r="AC3094" s="82" t="s">
        <v>7750</v>
      </c>
      <c r="AD3094" s="77" t="s">
        <v>7788</v>
      </c>
      <c r="AE3094" s="80" t="str">
        <f>HYPERLINK("https://twitter.com/einvestidor/status/1696467243972878407")</f>
        <v>https://twitter.com/einvestidor/status/1696467243972878407</v>
      </c>
      <c r="AF3094" s="79">
        <v>45167.429212962961</v>
      </c>
      <c r="AG3094" s="85">
        <v>45167</v>
      </c>
      <c r="AH3094" s="82" t="s">
        <v>9933</v>
      </c>
      <c r="AI3094" s="77" t="b">
        <v>0</v>
      </c>
      <c r="AJ3094" s="77"/>
      <c r="AK3094" s="77"/>
      <c r="AL3094" s="77"/>
      <c r="AM3094" s="77"/>
      <c r="AN3094" s="77"/>
      <c r="AO3094" s="77"/>
      <c r="AP3094" s="77"/>
      <c r="AQ3094" s="77"/>
      <c r="AR3094" s="77"/>
      <c r="AS3094" s="77"/>
      <c r="AT3094" s="77"/>
      <c r="AU3094" s="77"/>
      <c r="AV3094" s="80" t="str">
        <f>HYPERLINK("https://pbs.twimg.com/profile_images/1241147984924082183/gZgx_hL-_normal.jpg")</f>
        <v>https://pbs.twimg.com/profile_images/1241147984924082183/gZgx_hL-_normal.jpg</v>
      </c>
      <c r="AW3094" s="82" t="s">
        <v>14690</v>
      </c>
      <c r="AX3094" s="82" t="s">
        <v>14690</v>
      </c>
      <c r="AY3094" s="77"/>
      <c r="AZ3094" s="82" t="s">
        <v>15984</v>
      </c>
      <c r="BA3094" s="82" t="s">
        <v>15984</v>
      </c>
      <c r="BB3094" s="82" t="s">
        <v>15984</v>
      </c>
      <c r="BC3094" s="82" t="s">
        <v>14690</v>
      </c>
      <c r="BD3094" s="82" t="s">
        <v>15979</v>
      </c>
      <c r="BE3094" s="77"/>
      <c r="BF3094" s="77"/>
      <c r="BG3094" s="77"/>
      <c r="BH3094" s="77"/>
      <c r="BI3094" s="77"/>
    </row>
    <row r="3095" spans="1:61" x14ac:dyDescent="0.25">
      <c r="A3095" s="62" t="s">
        <v>387</v>
      </c>
      <c r="B3095" s="62" t="s">
        <v>387</v>
      </c>
      <c r="C3095" s="63"/>
      <c r="D3095" s="64"/>
      <c r="E3095" s="65"/>
      <c r="F3095" s="66"/>
      <c r="G3095" s="63"/>
      <c r="H3095" s="67"/>
      <c r="I3095" s="68"/>
      <c r="J3095" s="68"/>
      <c r="K3095" s="32"/>
      <c r="L3095" s="75">
        <v>3095</v>
      </c>
      <c r="M3095" s="75"/>
      <c r="N3095" s="70"/>
      <c r="O3095" s="77" t="s">
        <v>179</v>
      </c>
      <c r="P3095" s="79">
        <v>45166.926759259259</v>
      </c>
      <c r="Q3095" s="77" t="s">
        <v>3767</v>
      </c>
      <c r="R3095" s="77">
        <v>0</v>
      </c>
      <c r="S3095" s="77">
        <v>2</v>
      </c>
      <c r="T3095" s="77">
        <v>0</v>
      </c>
      <c r="U3095" s="77">
        <v>0</v>
      </c>
      <c r="V3095" s="77">
        <v>784</v>
      </c>
      <c r="W3095" s="82" t="s">
        <v>4833</v>
      </c>
      <c r="X3095" s="80" t="str">
        <f>HYPERLINK("https://einvestidor.estadao.com.br/mercado/fechamento-de-mercado-28-08-2023/?utm_source=twitter&amp;utm_medium=organic&amp;utm_campaign=&amp;utm_content=materia")</f>
        <v>https://einvestidor.estadao.com.br/mercado/fechamento-de-mercado-28-08-2023/?utm_source=twitter&amp;utm_medium=organic&amp;utm_campaign=&amp;utm_content=materia</v>
      </c>
      <c r="Y3095" s="77" t="s">
        <v>6470</v>
      </c>
      <c r="Z3095" s="77"/>
      <c r="AA3095" s="77"/>
      <c r="AB3095" s="77"/>
      <c r="AC3095" s="82" t="s">
        <v>7750</v>
      </c>
      <c r="AD3095" s="77" t="s">
        <v>7788</v>
      </c>
      <c r="AE3095" s="80" t="str">
        <f>HYPERLINK("https://twitter.com/einvestidor/status/1696285162084913532")</f>
        <v>https://twitter.com/einvestidor/status/1696285162084913532</v>
      </c>
      <c r="AF3095" s="79">
        <v>45166.926759259259</v>
      </c>
      <c r="AG3095" s="85">
        <v>45166</v>
      </c>
      <c r="AH3095" s="82" t="s">
        <v>9934</v>
      </c>
      <c r="AI3095" s="77" t="b">
        <v>0</v>
      </c>
      <c r="AJ3095" s="77"/>
      <c r="AK3095" s="77"/>
      <c r="AL3095" s="77"/>
      <c r="AM3095" s="77"/>
      <c r="AN3095" s="77"/>
      <c r="AO3095" s="77"/>
      <c r="AP3095" s="77"/>
      <c r="AQ3095" s="77"/>
      <c r="AR3095" s="77"/>
      <c r="AS3095" s="77"/>
      <c r="AT3095" s="77"/>
      <c r="AU3095" s="77"/>
      <c r="AV3095" s="80" t="str">
        <f>HYPERLINK("https://pbs.twimg.com/profile_images/1241147984924082183/gZgx_hL-_normal.jpg")</f>
        <v>https://pbs.twimg.com/profile_images/1241147984924082183/gZgx_hL-_normal.jpg</v>
      </c>
      <c r="AW3095" s="82" t="s">
        <v>14691</v>
      </c>
      <c r="AX3095" s="82" t="s">
        <v>14691</v>
      </c>
      <c r="AY3095" s="77"/>
      <c r="AZ3095" s="82" t="s">
        <v>15984</v>
      </c>
      <c r="BA3095" s="82" t="s">
        <v>15984</v>
      </c>
      <c r="BB3095" s="82" t="s">
        <v>15984</v>
      </c>
      <c r="BC3095" s="82" t="s">
        <v>14691</v>
      </c>
      <c r="BD3095" s="82" t="s">
        <v>15979</v>
      </c>
      <c r="BE3095" s="77"/>
      <c r="BF3095" s="77"/>
      <c r="BG3095" s="77"/>
      <c r="BH3095" s="77"/>
      <c r="BI3095" s="77"/>
    </row>
    <row r="3096" spans="1:61" x14ac:dyDescent="0.25">
      <c r="A3096" s="62" t="s">
        <v>387</v>
      </c>
      <c r="B3096" s="62" t="s">
        <v>387</v>
      </c>
      <c r="C3096" s="63"/>
      <c r="D3096" s="64"/>
      <c r="E3096" s="65"/>
      <c r="F3096" s="66"/>
      <c r="G3096" s="63"/>
      <c r="H3096" s="67"/>
      <c r="I3096" s="68"/>
      <c r="J3096" s="68"/>
      <c r="K3096" s="32"/>
      <c r="L3096" s="75">
        <v>3096</v>
      </c>
      <c r="M3096" s="75"/>
      <c r="N3096" s="70"/>
      <c r="O3096" s="77" t="s">
        <v>179</v>
      </c>
      <c r="P3096" s="79">
        <v>45153.979166666664</v>
      </c>
      <c r="Q3096" s="77" t="s">
        <v>3768</v>
      </c>
      <c r="R3096" s="77">
        <v>1</v>
      </c>
      <c r="S3096" s="77">
        <v>5</v>
      </c>
      <c r="T3096" s="77">
        <v>0</v>
      </c>
      <c r="U3096" s="77">
        <v>0</v>
      </c>
      <c r="V3096" s="77">
        <v>823</v>
      </c>
      <c r="W3096" s="82" t="s">
        <v>4833</v>
      </c>
      <c r="X3096" s="80" t="str">
        <f>HYPERLINK("https://mla.bs/9d530b3e")</f>
        <v>https://mla.bs/9d530b3e</v>
      </c>
      <c r="Y3096" s="77" t="s">
        <v>6506</v>
      </c>
      <c r="Z3096" s="77"/>
      <c r="AA3096" s="77"/>
      <c r="AB3096" s="77"/>
      <c r="AC3096" s="82" t="s">
        <v>7754</v>
      </c>
      <c r="AD3096" s="77" t="s">
        <v>7788</v>
      </c>
      <c r="AE3096" s="80" t="str">
        <f>HYPERLINK("https://twitter.com/einvestidor/status/1691593110533423307")</f>
        <v>https://twitter.com/einvestidor/status/1691593110533423307</v>
      </c>
      <c r="AF3096" s="79">
        <v>45153.979166666664</v>
      </c>
      <c r="AG3096" s="85">
        <v>45153</v>
      </c>
      <c r="AH3096" s="82" t="s">
        <v>7928</v>
      </c>
      <c r="AI3096" s="77" t="b">
        <v>0</v>
      </c>
      <c r="AJ3096" s="77"/>
      <c r="AK3096" s="77"/>
      <c r="AL3096" s="77"/>
      <c r="AM3096" s="77"/>
      <c r="AN3096" s="77"/>
      <c r="AO3096" s="77"/>
      <c r="AP3096" s="77"/>
      <c r="AQ3096" s="77"/>
      <c r="AR3096" s="77"/>
      <c r="AS3096" s="77"/>
      <c r="AT3096" s="77"/>
      <c r="AU3096" s="77"/>
      <c r="AV3096" s="80" t="str">
        <f>HYPERLINK("https://pbs.twimg.com/profile_images/1241147984924082183/gZgx_hL-_normal.jpg")</f>
        <v>https://pbs.twimg.com/profile_images/1241147984924082183/gZgx_hL-_normal.jpg</v>
      </c>
      <c r="AW3096" s="82" t="s">
        <v>14692</v>
      </c>
      <c r="AX3096" s="82" t="s">
        <v>14692</v>
      </c>
      <c r="AY3096" s="77"/>
      <c r="AZ3096" s="82" t="s">
        <v>15984</v>
      </c>
      <c r="BA3096" s="82" t="s">
        <v>15984</v>
      </c>
      <c r="BB3096" s="82" t="s">
        <v>15984</v>
      </c>
      <c r="BC3096" s="82" t="s">
        <v>14692</v>
      </c>
      <c r="BD3096" s="82" t="s">
        <v>15979</v>
      </c>
      <c r="BE3096" s="77"/>
      <c r="BF3096" s="77"/>
      <c r="BG3096" s="77"/>
      <c r="BH3096" s="77"/>
      <c r="BI3096" s="77"/>
    </row>
    <row r="3097" spans="1:61" x14ac:dyDescent="0.25">
      <c r="A3097" s="62" t="s">
        <v>387</v>
      </c>
      <c r="B3097" s="62" t="s">
        <v>387</v>
      </c>
      <c r="C3097" s="63"/>
      <c r="D3097" s="64"/>
      <c r="E3097" s="65"/>
      <c r="F3097" s="66"/>
      <c r="G3097" s="63"/>
      <c r="H3097" s="67"/>
      <c r="I3097" s="68"/>
      <c r="J3097" s="68"/>
      <c r="K3097" s="32"/>
      <c r="L3097" s="75">
        <v>3097</v>
      </c>
      <c r="M3097" s="75"/>
      <c r="N3097" s="70"/>
      <c r="O3097" s="77" t="s">
        <v>179</v>
      </c>
      <c r="P3097" s="79">
        <v>45153.96875</v>
      </c>
      <c r="Q3097" s="77" t="s">
        <v>3769</v>
      </c>
      <c r="R3097" s="77">
        <v>0</v>
      </c>
      <c r="S3097" s="77">
        <v>0</v>
      </c>
      <c r="T3097" s="77">
        <v>0</v>
      </c>
      <c r="U3097" s="77">
        <v>0</v>
      </c>
      <c r="V3097" s="77">
        <v>685</v>
      </c>
      <c r="W3097" s="82" t="s">
        <v>4833</v>
      </c>
      <c r="X3097" s="80" t="str">
        <f>HYPERLINK("https://mla.bs/fceb3448")</f>
        <v>https://mla.bs/fceb3448</v>
      </c>
      <c r="Y3097" s="77" t="s">
        <v>6506</v>
      </c>
      <c r="Z3097" s="77"/>
      <c r="AA3097" s="77"/>
      <c r="AB3097" s="77"/>
      <c r="AC3097" s="82" t="s">
        <v>7754</v>
      </c>
      <c r="AD3097" s="77" t="s">
        <v>7788</v>
      </c>
      <c r="AE3097" s="80" t="str">
        <f>HYPERLINK("https://twitter.com/einvestidor/status/1691589334414111205")</f>
        <v>https://twitter.com/einvestidor/status/1691589334414111205</v>
      </c>
      <c r="AF3097" s="79">
        <v>45153.96875</v>
      </c>
      <c r="AG3097" s="85">
        <v>45153</v>
      </c>
      <c r="AH3097" s="82" t="s">
        <v>9621</v>
      </c>
      <c r="AI3097" s="77" t="b">
        <v>0</v>
      </c>
      <c r="AJ3097" s="77"/>
      <c r="AK3097" s="77"/>
      <c r="AL3097" s="77"/>
      <c r="AM3097" s="77"/>
      <c r="AN3097" s="77"/>
      <c r="AO3097" s="77"/>
      <c r="AP3097" s="77"/>
      <c r="AQ3097" s="77"/>
      <c r="AR3097" s="77"/>
      <c r="AS3097" s="77"/>
      <c r="AT3097" s="77"/>
      <c r="AU3097" s="77"/>
      <c r="AV3097" s="80" t="str">
        <f>HYPERLINK("https://pbs.twimg.com/profile_images/1241147984924082183/gZgx_hL-_normal.jpg")</f>
        <v>https://pbs.twimg.com/profile_images/1241147984924082183/gZgx_hL-_normal.jpg</v>
      </c>
      <c r="AW3097" s="82" t="s">
        <v>14693</v>
      </c>
      <c r="AX3097" s="82" t="s">
        <v>14693</v>
      </c>
      <c r="AY3097" s="77"/>
      <c r="AZ3097" s="82" t="s">
        <v>15984</v>
      </c>
      <c r="BA3097" s="82" t="s">
        <v>15984</v>
      </c>
      <c r="BB3097" s="82" t="s">
        <v>15984</v>
      </c>
      <c r="BC3097" s="82" t="s">
        <v>14693</v>
      </c>
      <c r="BD3097" s="82" t="s">
        <v>15979</v>
      </c>
      <c r="BE3097" s="77"/>
      <c r="BF3097" s="77"/>
      <c r="BG3097" s="77"/>
      <c r="BH3097" s="77"/>
      <c r="BI3097" s="77"/>
    </row>
    <row r="3098" spans="1:61" x14ac:dyDescent="0.25">
      <c r="A3098" s="62" t="s">
        <v>387</v>
      </c>
      <c r="B3098" s="62" t="s">
        <v>387</v>
      </c>
      <c r="C3098" s="63"/>
      <c r="D3098" s="64"/>
      <c r="E3098" s="65"/>
      <c r="F3098" s="66"/>
      <c r="G3098" s="63"/>
      <c r="H3098" s="67"/>
      <c r="I3098" s="68"/>
      <c r="J3098" s="68"/>
      <c r="K3098" s="32"/>
      <c r="L3098" s="75">
        <v>3098</v>
      </c>
      <c r="M3098" s="75"/>
      <c r="N3098" s="70"/>
      <c r="O3098" s="77" t="s">
        <v>179</v>
      </c>
      <c r="P3098" s="79">
        <v>45153.958344907405</v>
      </c>
      <c r="Q3098" s="77" t="s">
        <v>3770</v>
      </c>
      <c r="R3098" s="77">
        <v>0</v>
      </c>
      <c r="S3098" s="77">
        <v>0</v>
      </c>
      <c r="T3098" s="77">
        <v>1</v>
      </c>
      <c r="U3098" s="77">
        <v>0</v>
      </c>
      <c r="V3098" s="77">
        <v>609</v>
      </c>
      <c r="W3098" s="82" t="s">
        <v>4833</v>
      </c>
      <c r="X3098" s="80" t="str">
        <f>HYPERLINK("https://mla.bs/c6e2e90a")</f>
        <v>https://mla.bs/c6e2e90a</v>
      </c>
      <c r="Y3098" s="77" t="s">
        <v>6506</v>
      </c>
      <c r="Z3098" s="77"/>
      <c r="AA3098" s="77"/>
      <c r="AB3098" s="77"/>
      <c r="AC3098" s="82" t="s">
        <v>7754</v>
      </c>
      <c r="AD3098" s="77" t="s">
        <v>7788</v>
      </c>
      <c r="AE3098" s="80" t="str">
        <f>HYPERLINK("https://twitter.com/einvestidor/status/1691585565072765127")</f>
        <v>https://twitter.com/einvestidor/status/1691585565072765127</v>
      </c>
      <c r="AF3098" s="79">
        <v>45153.958344907405</v>
      </c>
      <c r="AG3098" s="85">
        <v>45153</v>
      </c>
      <c r="AH3098" s="82" t="s">
        <v>9241</v>
      </c>
      <c r="AI3098" s="77" t="b">
        <v>0</v>
      </c>
      <c r="AJ3098" s="77"/>
      <c r="AK3098" s="77"/>
      <c r="AL3098" s="77"/>
      <c r="AM3098" s="77"/>
      <c r="AN3098" s="77"/>
      <c r="AO3098" s="77"/>
      <c r="AP3098" s="77"/>
      <c r="AQ3098" s="77"/>
      <c r="AR3098" s="77"/>
      <c r="AS3098" s="77"/>
      <c r="AT3098" s="77"/>
      <c r="AU3098" s="77"/>
      <c r="AV3098" s="80" t="str">
        <f>HYPERLINK("https://pbs.twimg.com/profile_images/1241147984924082183/gZgx_hL-_normal.jpg")</f>
        <v>https://pbs.twimg.com/profile_images/1241147984924082183/gZgx_hL-_normal.jpg</v>
      </c>
      <c r="AW3098" s="82" t="s">
        <v>14694</v>
      </c>
      <c r="AX3098" s="82" t="s">
        <v>14694</v>
      </c>
      <c r="AY3098" s="77"/>
      <c r="AZ3098" s="82" t="s">
        <v>15984</v>
      </c>
      <c r="BA3098" s="82" t="s">
        <v>15984</v>
      </c>
      <c r="BB3098" s="82" t="s">
        <v>15984</v>
      </c>
      <c r="BC3098" s="82" t="s">
        <v>14694</v>
      </c>
      <c r="BD3098" s="82" t="s">
        <v>15979</v>
      </c>
      <c r="BE3098" s="77"/>
      <c r="BF3098" s="77"/>
      <c r="BG3098" s="77"/>
      <c r="BH3098" s="77"/>
      <c r="BI3098" s="77"/>
    </row>
    <row r="3099" spans="1:61" x14ac:dyDescent="0.25">
      <c r="A3099" s="62" t="s">
        <v>387</v>
      </c>
      <c r="B3099" s="62" t="s">
        <v>387</v>
      </c>
      <c r="C3099" s="63"/>
      <c r="D3099" s="64"/>
      <c r="E3099" s="65"/>
      <c r="F3099" s="66"/>
      <c r="G3099" s="63"/>
      <c r="H3099" s="67"/>
      <c r="I3099" s="68"/>
      <c r="J3099" s="68"/>
      <c r="K3099" s="32"/>
      <c r="L3099" s="75">
        <v>3099</v>
      </c>
      <c r="M3099" s="75"/>
      <c r="N3099" s="70"/>
      <c r="O3099" s="77" t="s">
        <v>179</v>
      </c>
      <c r="P3099" s="79">
        <v>45153.947916666664</v>
      </c>
      <c r="Q3099" s="77" t="s">
        <v>3771</v>
      </c>
      <c r="R3099" s="77">
        <v>0</v>
      </c>
      <c r="S3099" s="77">
        <v>3</v>
      </c>
      <c r="T3099" s="77">
        <v>0</v>
      </c>
      <c r="U3099" s="77">
        <v>0</v>
      </c>
      <c r="V3099" s="77">
        <v>730</v>
      </c>
      <c r="W3099" s="82" t="s">
        <v>4833</v>
      </c>
      <c r="X3099" s="80" t="str">
        <f>HYPERLINK("https://mla.bs/05d291cb")</f>
        <v>https://mla.bs/05d291cb</v>
      </c>
      <c r="Y3099" s="77" t="s">
        <v>6506</v>
      </c>
      <c r="Z3099" s="77"/>
      <c r="AA3099" s="77"/>
      <c r="AB3099" s="77"/>
      <c r="AC3099" s="82" t="s">
        <v>7754</v>
      </c>
      <c r="AD3099" s="77" t="s">
        <v>7788</v>
      </c>
      <c r="AE3099" s="80" t="str">
        <f>HYPERLINK("https://twitter.com/einvestidor/status/1691581784759366107")</f>
        <v>https://twitter.com/einvestidor/status/1691581784759366107</v>
      </c>
      <c r="AF3099" s="79">
        <v>45153.947916666664</v>
      </c>
      <c r="AG3099" s="85">
        <v>45153</v>
      </c>
      <c r="AH3099" s="82" t="s">
        <v>9595</v>
      </c>
      <c r="AI3099" s="77" t="b">
        <v>0</v>
      </c>
      <c r="AJ3099" s="77"/>
      <c r="AK3099" s="77"/>
      <c r="AL3099" s="77"/>
      <c r="AM3099" s="77"/>
      <c r="AN3099" s="77"/>
      <c r="AO3099" s="77"/>
      <c r="AP3099" s="77"/>
      <c r="AQ3099" s="77"/>
      <c r="AR3099" s="77"/>
      <c r="AS3099" s="77"/>
      <c r="AT3099" s="77"/>
      <c r="AU3099" s="77"/>
      <c r="AV3099" s="80" t="str">
        <f>HYPERLINK("https://pbs.twimg.com/profile_images/1241147984924082183/gZgx_hL-_normal.jpg")</f>
        <v>https://pbs.twimg.com/profile_images/1241147984924082183/gZgx_hL-_normal.jpg</v>
      </c>
      <c r="AW3099" s="82" t="s">
        <v>14695</v>
      </c>
      <c r="AX3099" s="82" t="s">
        <v>14695</v>
      </c>
      <c r="AY3099" s="77"/>
      <c r="AZ3099" s="82" t="s">
        <v>15984</v>
      </c>
      <c r="BA3099" s="82" t="s">
        <v>15984</v>
      </c>
      <c r="BB3099" s="82" t="s">
        <v>15984</v>
      </c>
      <c r="BC3099" s="82" t="s">
        <v>14695</v>
      </c>
      <c r="BD3099" s="82" t="s">
        <v>15979</v>
      </c>
      <c r="BE3099" s="77"/>
      <c r="BF3099" s="77"/>
      <c r="BG3099" s="77"/>
      <c r="BH3099" s="77"/>
      <c r="BI3099" s="77"/>
    </row>
    <row r="3100" spans="1:61" x14ac:dyDescent="0.25">
      <c r="A3100" s="62" t="s">
        <v>387</v>
      </c>
      <c r="B3100" s="62" t="s">
        <v>387</v>
      </c>
      <c r="C3100" s="63"/>
      <c r="D3100" s="64"/>
      <c r="E3100" s="65"/>
      <c r="F3100" s="66"/>
      <c r="G3100" s="63"/>
      <c r="H3100" s="67"/>
      <c r="I3100" s="68"/>
      <c r="J3100" s="68"/>
      <c r="K3100" s="32"/>
      <c r="L3100" s="75">
        <v>3100</v>
      </c>
      <c r="M3100" s="75"/>
      <c r="N3100" s="70"/>
      <c r="O3100" s="77" t="s">
        <v>179</v>
      </c>
      <c r="P3100" s="79">
        <v>45153.9375</v>
      </c>
      <c r="Q3100" s="77" t="s">
        <v>3772</v>
      </c>
      <c r="R3100" s="77">
        <v>1</v>
      </c>
      <c r="S3100" s="77">
        <v>5</v>
      </c>
      <c r="T3100" s="77">
        <v>0</v>
      </c>
      <c r="U3100" s="77">
        <v>0</v>
      </c>
      <c r="V3100" s="77">
        <v>775</v>
      </c>
      <c r="W3100" s="82" t="s">
        <v>6221</v>
      </c>
      <c r="X3100" s="80" t="str">
        <f>HYPERLINK("https://mla.bs/90ef1920")</f>
        <v>https://mla.bs/90ef1920</v>
      </c>
      <c r="Y3100" s="77" t="s">
        <v>6506</v>
      </c>
      <c r="Z3100" s="77"/>
      <c r="AA3100" s="77"/>
      <c r="AB3100" s="77"/>
      <c r="AC3100" s="82" t="s">
        <v>7754</v>
      </c>
      <c r="AD3100" s="77" t="s">
        <v>7788</v>
      </c>
      <c r="AE3100" s="80" t="str">
        <f>HYPERLINK("https://twitter.com/einvestidor/status/1691578009868709899")</f>
        <v>https://twitter.com/einvestidor/status/1691578009868709899</v>
      </c>
      <c r="AF3100" s="79">
        <v>45153.9375</v>
      </c>
      <c r="AG3100" s="85">
        <v>45153</v>
      </c>
      <c r="AH3100" s="82" t="s">
        <v>7926</v>
      </c>
      <c r="AI3100" s="77" t="b">
        <v>0</v>
      </c>
      <c r="AJ3100" s="77"/>
      <c r="AK3100" s="77"/>
      <c r="AL3100" s="77"/>
      <c r="AM3100" s="77"/>
      <c r="AN3100" s="77"/>
      <c r="AO3100" s="77"/>
      <c r="AP3100" s="77"/>
      <c r="AQ3100" s="77"/>
      <c r="AR3100" s="77"/>
      <c r="AS3100" s="77"/>
      <c r="AT3100" s="77"/>
      <c r="AU3100" s="77"/>
      <c r="AV3100" s="80" t="str">
        <f>HYPERLINK("https://pbs.twimg.com/profile_images/1241147984924082183/gZgx_hL-_normal.jpg")</f>
        <v>https://pbs.twimg.com/profile_images/1241147984924082183/gZgx_hL-_normal.jpg</v>
      </c>
      <c r="AW3100" s="82" t="s">
        <v>14696</v>
      </c>
      <c r="AX3100" s="82" t="s">
        <v>14696</v>
      </c>
      <c r="AY3100" s="77"/>
      <c r="AZ3100" s="82" t="s">
        <v>15984</v>
      </c>
      <c r="BA3100" s="82" t="s">
        <v>15984</v>
      </c>
      <c r="BB3100" s="82" t="s">
        <v>15984</v>
      </c>
      <c r="BC3100" s="82" t="s">
        <v>14696</v>
      </c>
      <c r="BD3100" s="82" t="s">
        <v>15979</v>
      </c>
      <c r="BE3100" s="77"/>
      <c r="BF3100" s="77"/>
      <c r="BG3100" s="77"/>
      <c r="BH3100" s="77"/>
      <c r="BI3100" s="77"/>
    </row>
    <row r="3101" spans="1:61" x14ac:dyDescent="0.25">
      <c r="A3101" s="62" t="s">
        <v>387</v>
      </c>
      <c r="B3101" s="62" t="s">
        <v>387</v>
      </c>
      <c r="C3101" s="63"/>
      <c r="D3101" s="64"/>
      <c r="E3101" s="65"/>
      <c r="F3101" s="66"/>
      <c r="G3101" s="63"/>
      <c r="H3101" s="67"/>
      <c r="I3101" s="68"/>
      <c r="J3101" s="68"/>
      <c r="K3101" s="32"/>
      <c r="L3101" s="75">
        <v>3101</v>
      </c>
      <c r="M3101" s="75"/>
      <c r="N3101" s="70"/>
      <c r="O3101" s="77" t="s">
        <v>179</v>
      </c>
      <c r="P3101" s="79">
        <v>45153.927083333336</v>
      </c>
      <c r="Q3101" s="77" t="s">
        <v>3773</v>
      </c>
      <c r="R3101" s="77">
        <v>0</v>
      </c>
      <c r="S3101" s="77">
        <v>0</v>
      </c>
      <c r="T3101" s="77">
        <v>0</v>
      </c>
      <c r="U3101" s="77">
        <v>0</v>
      </c>
      <c r="V3101" s="77">
        <v>590</v>
      </c>
      <c r="W3101" s="82" t="s">
        <v>6222</v>
      </c>
      <c r="X3101" s="80" t="str">
        <f>HYPERLINK("https://mla.bs/ae2e0c81")</f>
        <v>https://mla.bs/ae2e0c81</v>
      </c>
      <c r="Y3101" s="77" t="s">
        <v>6506</v>
      </c>
      <c r="Z3101" s="77"/>
      <c r="AA3101" s="77"/>
      <c r="AB3101" s="77"/>
      <c r="AC3101" s="82" t="s">
        <v>7754</v>
      </c>
      <c r="AD3101" s="77" t="s">
        <v>7788</v>
      </c>
      <c r="AE3101" s="80" t="str">
        <f>HYPERLINK("https://twitter.com/einvestidor/status/1691574235448082921")</f>
        <v>https://twitter.com/einvestidor/status/1691574235448082921</v>
      </c>
      <c r="AF3101" s="79">
        <v>45153.927083333336</v>
      </c>
      <c r="AG3101" s="85">
        <v>45153</v>
      </c>
      <c r="AH3101" s="82" t="s">
        <v>9576</v>
      </c>
      <c r="AI3101" s="77" t="b">
        <v>0</v>
      </c>
      <c r="AJ3101" s="77"/>
      <c r="AK3101" s="77"/>
      <c r="AL3101" s="77"/>
      <c r="AM3101" s="77"/>
      <c r="AN3101" s="77"/>
      <c r="AO3101" s="77"/>
      <c r="AP3101" s="77"/>
      <c r="AQ3101" s="77"/>
      <c r="AR3101" s="77"/>
      <c r="AS3101" s="77"/>
      <c r="AT3101" s="77"/>
      <c r="AU3101" s="77"/>
      <c r="AV3101" s="80" t="str">
        <f>HYPERLINK("https://pbs.twimg.com/profile_images/1241147984924082183/gZgx_hL-_normal.jpg")</f>
        <v>https://pbs.twimg.com/profile_images/1241147984924082183/gZgx_hL-_normal.jpg</v>
      </c>
      <c r="AW3101" s="82" t="s">
        <v>14697</v>
      </c>
      <c r="AX3101" s="82" t="s">
        <v>14697</v>
      </c>
      <c r="AY3101" s="77"/>
      <c r="AZ3101" s="82" t="s">
        <v>15984</v>
      </c>
      <c r="BA3101" s="82" t="s">
        <v>15984</v>
      </c>
      <c r="BB3101" s="82" t="s">
        <v>15984</v>
      </c>
      <c r="BC3101" s="82" t="s">
        <v>14697</v>
      </c>
      <c r="BD3101" s="82" t="s">
        <v>15979</v>
      </c>
      <c r="BE3101" s="77"/>
      <c r="BF3101" s="77"/>
      <c r="BG3101" s="77"/>
      <c r="BH3101" s="77"/>
      <c r="BI3101" s="77"/>
    </row>
    <row r="3102" spans="1:61" x14ac:dyDescent="0.25">
      <c r="A3102" s="62" t="s">
        <v>387</v>
      </c>
      <c r="B3102" s="62" t="s">
        <v>387</v>
      </c>
      <c r="C3102" s="63"/>
      <c r="D3102" s="64"/>
      <c r="E3102" s="65"/>
      <c r="F3102" s="66"/>
      <c r="G3102" s="63"/>
      <c r="H3102" s="67"/>
      <c r="I3102" s="68"/>
      <c r="J3102" s="68"/>
      <c r="K3102" s="32"/>
      <c r="L3102" s="75">
        <v>3102</v>
      </c>
      <c r="M3102" s="75"/>
      <c r="N3102" s="70"/>
      <c r="O3102" s="77" t="s">
        <v>179</v>
      </c>
      <c r="P3102" s="79">
        <v>45153.916678240741</v>
      </c>
      <c r="Q3102" s="77" t="s">
        <v>3774</v>
      </c>
      <c r="R3102" s="77">
        <v>0</v>
      </c>
      <c r="S3102" s="77">
        <v>1</v>
      </c>
      <c r="T3102" s="77">
        <v>0</v>
      </c>
      <c r="U3102" s="77">
        <v>0</v>
      </c>
      <c r="V3102" s="77">
        <v>468</v>
      </c>
      <c r="W3102" s="82" t="s">
        <v>5913</v>
      </c>
      <c r="X3102" s="80" t="str">
        <f>HYPERLINK("https://mla.bs/d91e04ba")</f>
        <v>https://mla.bs/d91e04ba</v>
      </c>
      <c r="Y3102" s="77" t="s">
        <v>6506</v>
      </c>
      <c r="Z3102" s="77"/>
      <c r="AA3102" s="77"/>
      <c r="AB3102" s="77"/>
      <c r="AC3102" s="82" t="s">
        <v>7754</v>
      </c>
      <c r="AD3102" s="77" t="s">
        <v>7788</v>
      </c>
      <c r="AE3102" s="80" t="str">
        <f>HYPERLINK("https://twitter.com/einvestidor/status/1691570465012347042")</f>
        <v>https://twitter.com/einvestidor/status/1691570465012347042</v>
      </c>
      <c r="AF3102" s="79">
        <v>45153.916678240741</v>
      </c>
      <c r="AG3102" s="85">
        <v>45153</v>
      </c>
      <c r="AH3102" s="82" t="s">
        <v>8052</v>
      </c>
      <c r="AI3102" s="77" t="b">
        <v>0</v>
      </c>
      <c r="AJ3102" s="77"/>
      <c r="AK3102" s="77"/>
      <c r="AL3102" s="77"/>
      <c r="AM3102" s="77"/>
      <c r="AN3102" s="77"/>
      <c r="AO3102" s="77"/>
      <c r="AP3102" s="77"/>
      <c r="AQ3102" s="77"/>
      <c r="AR3102" s="77"/>
      <c r="AS3102" s="77"/>
      <c r="AT3102" s="77"/>
      <c r="AU3102" s="77"/>
      <c r="AV3102" s="80" t="str">
        <f>HYPERLINK("https://pbs.twimg.com/profile_images/1241147984924082183/gZgx_hL-_normal.jpg")</f>
        <v>https://pbs.twimg.com/profile_images/1241147984924082183/gZgx_hL-_normal.jpg</v>
      </c>
      <c r="AW3102" s="82" t="s">
        <v>14698</v>
      </c>
      <c r="AX3102" s="82" t="s">
        <v>14698</v>
      </c>
      <c r="AY3102" s="77"/>
      <c r="AZ3102" s="82" t="s">
        <v>15984</v>
      </c>
      <c r="BA3102" s="82" t="s">
        <v>15984</v>
      </c>
      <c r="BB3102" s="82" t="s">
        <v>15984</v>
      </c>
      <c r="BC3102" s="82" t="s">
        <v>14698</v>
      </c>
      <c r="BD3102" s="82" t="s">
        <v>15979</v>
      </c>
      <c r="BE3102" s="77"/>
      <c r="BF3102" s="77"/>
      <c r="BG3102" s="77"/>
      <c r="BH3102" s="77"/>
      <c r="BI3102" s="77"/>
    </row>
    <row r="3103" spans="1:61" x14ac:dyDescent="0.25">
      <c r="A3103" s="62" t="s">
        <v>387</v>
      </c>
      <c r="B3103" s="62" t="s">
        <v>387</v>
      </c>
      <c r="C3103" s="63"/>
      <c r="D3103" s="64"/>
      <c r="E3103" s="65"/>
      <c r="F3103" s="66"/>
      <c r="G3103" s="63"/>
      <c r="H3103" s="67"/>
      <c r="I3103" s="68"/>
      <c r="J3103" s="68"/>
      <c r="K3103" s="32"/>
      <c r="L3103" s="75">
        <v>3103</v>
      </c>
      <c r="M3103" s="75"/>
      <c r="N3103" s="70"/>
      <c r="O3103" s="77" t="s">
        <v>179</v>
      </c>
      <c r="P3103" s="79">
        <v>45153.90625</v>
      </c>
      <c r="Q3103" s="77" t="s">
        <v>3775</v>
      </c>
      <c r="R3103" s="77">
        <v>0</v>
      </c>
      <c r="S3103" s="77">
        <v>0</v>
      </c>
      <c r="T3103" s="77">
        <v>0</v>
      </c>
      <c r="U3103" s="77">
        <v>0</v>
      </c>
      <c r="V3103" s="77">
        <v>493</v>
      </c>
      <c r="W3103" s="82" t="s">
        <v>4833</v>
      </c>
      <c r="X3103" s="80" t="str">
        <f>HYPERLINK("https://mla.bs/cba55518")</f>
        <v>https://mla.bs/cba55518</v>
      </c>
      <c r="Y3103" s="77" t="s">
        <v>6506</v>
      </c>
      <c r="Z3103" s="77"/>
      <c r="AA3103" s="77"/>
      <c r="AB3103" s="77"/>
      <c r="AC3103" s="82" t="s">
        <v>7754</v>
      </c>
      <c r="AD3103" s="77" t="s">
        <v>7788</v>
      </c>
      <c r="AE3103" s="80" t="str">
        <f>HYPERLINK("https://twitter.com/einvestidor/status/1691566685181108361")</f>
        <v>https://twitter.com/einvestidor/status/1691566685181108361</v>
      </c>
      <c r="AF3103" s="79">
        <v>45153.90625</v>
      </c>
      <c r="AG3103" s="85">
        <v>45153</v>
      </c>
      <c r="AH3103" s="82" t="s">
        <v>9578</v>
      </c>
      <c r="AI3103" s="77" t="b">
        <v>0</v>
      </c>
      <c r="AJ3103" s="77"/>
      <c r="AK3103" s="77"/>
      <c r="AL3103" s="77"/>
      <c r="AM3103" s="77"/>
      <c r="AN3103" s="77"/>
      <c r="AO3103" s="77"/>
      <c r="AP3103" s="77"/>
      <c r="AQ3103" s="77"/>
      <c r="AR3103" s="77"/>
      <c r="AS3103" s="77"/>
      <c r="AT3103" s="77"/>
      <c r="AU3103" s="77"/>
      <c r="AV3103" s="80" t="str">
        <f>HYPERLINK("https://pbs.twimg.com/profile_images/1241147984924082183/gZgx_hL-_normal.jpg")</f>
        <v>https://pbs.twimg.com/profile_images/1241147984924082183/gZgx_hL-_normal.jpg</v>
      </c>
      <c r="AW3103" s="82" t="s">
        <v>14699</v>
      </c>
      <c r="AX3103" s="82" t="s">
        <v>14699</v>
      </c>
      <c r="AY3103" s="77"/>
      <c r="AZ3103" s="82" t="s">
        <v>15984</v>
      </c>
      <c r="BA3103" s="82" t="s">
        <v>15984</v>
      </c>
      <c r="BB3103" s="82" t="s">
        <v>15984</v>
      </c>
      <c r="BC3103" s="82" t="s">
        <v>14699</v>
      </c>
      <c r="BD3103" s="82" t="s">
        <v>15979</v>
      </c>
      <c r="BE3103" s="77"/>
      <c r="BF3103" s="77"/>
      <c r="BG3103" s="77"/>
      <c r="BH3103" s="77"/>
      <c r="BI3103" s="77"/>
    </row>
    <row r="3104" spans="1:61" x14ac:dyDescent="0.25">
      <c r="A3104" s="62" t="s">
        <v>387</v>
      </c>
      <c r="B3104" s="62" t="s">
        <v>387</v>
      </c>
      <c r="C3104" s="63"/>
      <c r="D3104" s="64"/>
      <c r="E3104" s="65"/>
      <c r="F3104" s="66"/>
      <c r="G3104" s="63"/>
      <c r="H3104" s="67"/>
      <c r="I3104" s="68"/>
      <c r="J3104" s="68"/>
      <c r="K3104" s="32"/>
      <c r="L3104" s="75">
        <v>3104</v>
      </c>
      <c r="M3104" s="75"/>
      <c r="N3104" s="70"/>
      <c r="O3104" s="77" t="s">
        <v>179</v>
      </c>
      <c r="P3104" s="79">
        <v>45153.895833333336</v>
      </c>
      <c r="Q3104" s="77" t="s">
        <v>3776</v>
      </c>
      <c r="R3104" s="77">
        <v>0</v>
      </c>
      <c r="S3104" s="77">
        <v>0</v>
      </c>
      <c r="T3104" s="77">
        <v>0</v>
      </c>
      <c r="U3104" s="77">
        <v>1</v>
      </c>
      <c r="V3104" s="77">
        <v>596</v>
      </c>
      <c r="W3104" s="82" t="s">
        <v>6223</v>
      </c>
      <c r="X3104" s="80" t="str">
        <f>HYPERLINK("https://mla.bs/1d89e93e")</f>
        <v>https://mla.bs/1d89e93e</v>
      </c>
      <c r="Y3104" s="77" t="s">
        <v>6506</v>
      </c>
      <c r="Z3104" s="77"/>
      <c r="AA3104" s="77"/>
      <c r="AB3104" s="77"/>
      <c r="AC3104" s="82" t="s">
        <v>7754</v>
      </c>
      <c r="AD3104" s="77" t="s">
        <v>7788</v>
      </c>
      <c r="AE3104" s="80" t="str">
        <f>HYPERLINK("https://twitter.com/einvestidor/status/1691562912589209935")</f>
        <v>https://twitter.com/einvestidor/status/1691562912589209935</v>
      </c>
      <c r="AF3104" s="79">
        <v>45153.895833333336</v>
      </c>
      <c r="AG3104" s="85">
        <v>45153</v>
      </c>
      <c r="AH3104" s="82" t="s">
        <v>8089</v>
      </c>
      <c r="AI3104" s="77" t="b">
        <v>0</v>
      </c>
      <c r="AJ3104" s="77"/>
      <c r="AK3104" s="77"/>
      <c r="AL3104" s="77"/>
      <c r="AM3104" s="77"/>
      <c r="AN3104" s="77"/>
      <c r="AO3104" s="77"/>
      <c r="AP3104" s="77"/>
      <c r="AQ3104" s="77"/>
      <c r="AR3104" s="77"/>
      <c r="AS3104" s="77"/>
      <c r="AT3104" s="77"/>
      <c r="AU3104" s="77"/>
      <c r="AV3104" s="80" t="str">
        <f>HYPERLINK("https://pbs.twimg.com/profile_images/1241147984924082183/gZgx_hL-_normal.jpg")</f>
        <v>https://pbs.twimg.com/profile_images/1241147984924082183/gZgx_hL-_normal.jpg</v>
      </c>
      <c r="AW3104" s="82" t="s">
        <v>14700</v>
      </c>
      <c r="AX3104" s="82" t="s">
        <v>14700</v>
      </c>
      <c r="AY3104" s="77"/>
      <c r="AZ3104" s="82" t="s">
        <v>15984</v>
      </c>
      <c r="BA3104" s="82" t="s">
        <v>15984</v>
      </c>
      <c r="BB3104" s="82" t="s">
        <v>15984</v>
      </c>
      <c r="BC3104" s="82" t="s">
        <v>14700</v>
      </c>
      <c r="BD3104" s="82" t="s">
        <v>15979</v>
      </c>
      <c r="BE3104" s="77"/>
      <c r="BF3104" s="77"/>
      <c r="BG3104" s="77"/>
      <c r="BH3104" s="77"/>
      <c r="BI3104" s="77"/>
    </row>
    <row r="3105" spans="1:61" x14ac:dyDescent="0.25">
      <c r="A3105" s="62" t="s">
        <v>387</v>
      </c>
      <c r="B3105" s="62" t="s">
        <v>387</v>
      </c>
      <c r="C3105" s="63"/>
      <c r="D3105" s="64"/>
      <c r="E3105" s="65"/>
      <c r="F3105" s="66"/>
      <c r="G3105" s="63"/>
      <c r="H3105" s="67"/>
      <c r="I3105" s="68"/>
      <c r="J3105" s="68"/>
      <c r="K3105" s="32"/>
      <c r="L3105" s="75">
        <v>3105</v>
      </c>
      <c r="M3105" s="75"/>
      <c r="N3105" s="70"/>
      <c r="O3105" s="77" t="s">
        <v>179</v>
      </c>
      <c r="P3105" s="79">
        <v>45153.875</v>
      </c>
      <c r="Q3105" s="77" t="s">
        <v>3777</v>
      </c>
      <c r="R3105" s="77">
        <v>0</v>
      </c>
      <c r="S3105" s="77">
        <v>0</v>
      </c>
      <c r="T3105" s="77">
        <v>0</v>
      </c>
      <c r="U3105" s="77">
        <v>0</v>
      </c>
      <c r="V3105" s="77">
        <v>479</v>
      </c>
      <c r="W3105" s="82" t="s">
        <v>4833</v>
      </c>
      <c r="X3105" s="80" t="str">
        <f>HYPERLINK("https://mla.bs/30537bfa")</f>
        <v>https://mla.bs/30537bfa</v>
      </c>
      <c r="Y3105" s="77" t="s">
        <v>6506</v>
      </c>
      <c r="Z3105" s="77"/>
      <c r="AA3105" s="77"/>
      <c r="AB3105" s="77"/>
      <c r="AC3105" s="82" t="s">
        <v>7754</v>
      </c>
      <c r="AD3105" s="77" t="s">
        <v>7788</v>
      </c>
      <c r="AE3105" s="80" t="str">
        <f>HYPERLINK("https://twitter.com/einvestidor/status/1691555360602005639")</f>
        <v>https://twitter.com/einvestidor/status/1691555360602005639</v>
      </c>
      <c r="AF3105" s="79">
        <v>45153.875</v>
      </c>
      <c r="AG3105" s="85">
        <v>45153</v>
      </c>
      <c r="AH3105" s="82" t="s">
        <v>9647</v>
      </c>
      <c r="AI3105" s="77" t="b">
        <v>0</v>
      </c>
      <c r="AJ3105" s="77"/>
      <c r="AK3105" s="77"/>
      <c r="AL3105" s="77"/>
      <c r="AM3105" s="77"/>
      <c r="AN3105" s="77"/>
      <c r="AO3105" s="77"/>
      <c r="AP3105" s="77"/>
      <c r="AQ3105" s="77"/>
      <c r="AR3105" s="77"/>
      <c r="AS3105" s="77"/>
      <c r="AT3105" s="77"/>
      <c r="AU3105" s="77"/>
      <c r="AV3105" s="80" t="str">
        <f>HYPERLINK("https://pbs.twimg.com/profile_images/1241147984924082183/gZgx_hL-_normal.jpg")</f>
        <v>https://pbs.twimg.com/profile_images/1241147984924082183/gZgx_hL-_normal.jpg</v>
      </c>
      <c r="AW3105" s="82" t="s">
        <v>14701</v>
      </c>
      <c r="AX3105" s="82" t="s">
        <v>14701</v>
      </c>
      <c r="AY3105" s="77"/>
      <c r="AZ3105" s="82" t="s">
        <v>15984</v>
      </c>
      <c r="BA3105" s="82" t="s">
        <v>15984</v>
      </c>
      <c r="BB3105" s="82" t="s">
        <v>15984</v>
      </c>
      <c r="BC3105" s="82" t="s">
        <v>14701</v>
      </c>
      <c r="BD3105" s="82" t="s">
        <v>15979</v>
      </c>
      <c r="BE3105" s="77"/>
      <c r="BF3105" s="77"/>
      <c r="BG3105" s="77"/>
      <c r="BH3105" s="77"/>
      <c r="BI3105" s="77"/>
    </row>
    <row r="3106" spans="1:61" x14ac:dyDescent="0.25">
      <c r="A3106" s="62" t="s">
        <v>387</v>
      </c>
      <c r="B3106" s="62" t="s">
        <v>387</v>
      </c>
      <c r="C3106" s="63"/>
      <c r="D3106" s="64"/>
      <c r="E3106" s="65"/>
      <c r="F3106" s="66"/>
      <c r="G3106" s="63"/>
      <c r="H3106" s="67"/>
      <c r="I3106" s="68"/>
      <c r="J3106" s="68"/>
      <c r="K3106" s="32"/>
      <c r="L3106" s="75">
        <v>3106</v>
      </c>
      <c r="M3106" s="75"/>
      <c r="N3106" s="70"/>
      <c r="O3106" s="77" t="s">
        <v>179</v>
      </c>
      <c r="P3106" s="79">
        <v>45146.445486111108</v>
      </c>
      <c r="Q3106" s="77" t="s">
        <v>3778</v>
      </c>
      <c r="R3106" s="77">
        <v>0</v>
      </c>
      <c r="S3106" s="77">
        <v>1</v>
      </c>
      <c r="T3106" s="77">
        <v>0</v>
      </c>
      <c r="U3106" s="77">
        <v>0</v>
      </c>
      <c r="V3106" s="77">
        <v>510</v>
      </c>
      <c r="W3106" s="82" t="s">
        <v>4839</v>
      </c>
      <c r="X3106" s="80" t="str">
        <f>HYPERLINK("https://einvestidor.estadao.com.br/ultimas/bolsas-da-asia-fechamento-china-toquio/?utm_source=twitter&amp;utm_medium=organic&amp;utm_campaign=asia&amp;utm_content=materia")</f>
        <v>https://einvestidor.estadao.com.br/ultimas/bolsas-da-asia-fechamento-china-toquio/?utm_source=twitter&amp;utm_medium=organic&amp;utm_campaign=asia&amp;utm_content=materia</v>
      </c>
      <c r="Y3106" s="77" t="s">
        <v>6470</v>
      </c>
      <c r="Z3106" s="77"/>
      <c r="AA3106" s="77"/>
      <c r="AB3106" s="77"/>
      <c r="AC3106" s="82" t="s">
        <v>7754</v>
      </c>
      <c r="AD3106" s="77" t="s">
        <v>7788</v>
      </c>
      <c r="AE3106" s="80" t="str">
        <f>HYPERLINK("https://twitter.com/einvestidor/status/1688862996095774721")</f>
        <v>https://twitter.com/einvestidor/status/1688862996095774721</v>
      </c>
      <c r="AF3106" s="79">
        <v>45146.445486111108</v>
      </c>
      <c r="AG3106" s="85">
        <v>45146</v>
      </c>
      <c r="AH3106" s="82" t="s">
        <v>9935</v>
      </c>
      <c r="AI3106" s="77" t="b">
        <v>0</v>
      </c>
      <c r="AJ3106" s="77"/>
      <c r="AK3106" s="77"/>
      <c r="AL3106" s="77"/>
      <c r="AM3106" s="77"/>
      <c r="AN3106" s="77"/>
      <c r="AO3106" s="77"/>
      <c r="AP3106" s="77"/>
      <c r="AQ3106" s="77"/>
      <c r="AR3106" s="77"/>
      <c r="AS3106" s="77"/>
      <c r="AT3106" s="77"/>
      <c r="AU3106" s="77"/>
      <c r="AV3106" s="80" t="str">
        <f>HYPERLINK("https://pbs.twimg.com/profile_images/1241147984924082183/gZgx_hL-_normal.jpg")</f>
        <v>https://pbs.twimg.com/profile_images/1241147984924082183/gZgx_hL-_normal.jpg</v>
      </c>
      <c r="AW3106" s="82" t="s">
        <v>14702</v>
      </c>
      <c r="AX3106" s="82" t="s">
        <v>14702</v>
      </c>
      <c r="AY3106" s="77"/>
      <c r="AZ3106" s="82" t="s">
        <v>15984</v>
      </c>
      <c r="BA3106" s="82" t="s">
        <v>15984</v>
      </c>
      <c r="BB3106" s="82" t="s">
        <v>15984</v>
      </c>
      <c r="BC3106" s="82" t="s">
        <v>14702</v>
      </c>
      <c r="BD3106" s="82" t="s">
        <v>15979</v>
      </c>
      <c r="BE3106" s="77"/>
      <c r="BF3106" s="77"/>
      <c r="BG3106" s="77"/>
      <c r="BH3106" s="77"/>
      <c r="BI3106" s="77"/>
    </row>
    <row r="3107" spans="1:61" x14ac:dyDescent="0.25">
      <c r="A3107" s="62" t="s">
        <v>387</v>
      </c>
      <c r="B3107" s="62" t="s">
        <v>387</v>
      </c>
      <c r="C3107" s="63"/>
      <c r="D3107" s="64"/>
      <c r="E3107" s="65"/>
      <c r="F3107" s="66"/>
      <c r="G3107" s="63"/>
      <c r="H3107" s="67"/>
      <c r="I3107" s="68"/>
      <c r="J3107" s="68"/>
      <c r="K3107" s="32"/>
      <c r="L3107" s="75">
        <v>3107</v>
      </c>
      <c r="M3107" s="75"/>
      <c r="N3107" s="70"/>
      <c r="O3107" s="77" t="s">
        <v>179</v>
      </c>
      <c r="P3107" s="79">
        <v>45146</v>
      </c>
      <c r="Q3107" s="77" t="s">
        <v>3779</v>
      </c>
      <c r="R3107" s="77">
        <v>0</v>
      </c>
      <c r="S3107" s="77">
        <v>8</v>
      </c>
      <c r="T3107" s="77">
        <v>2</v>
      </c>
      <c r="U3107" s="77">
        <v>1</v>
      </c>
      <c r="V3107" s="77">
        <v>1578</v>
      </c>
      <c r="W3107" s="82" t="s">
        <v>4833</v>
      </c>
      <c r="X3107" s="80" t="str">
        <f>HYPERLINK("https://mla.bs/3f235507")</f>
        <v>https://mla.bs/3f235507</v>
      </c>
      <c r="Y3107" s="77" t="s">
        <v>6506</v>
      </c>
      <c r="Z3107" s="77"/>
      <c r="AA3107" s="77"/>
      <c r="AB3107" s="77"/>
      <c r="AC3107" s="82" t="s">
        <v>7754</v>
      </c>
      <c r="AD3107" s="77" t="s">
        <v>7788</v>
      </c>
      <c r="AE3107" s="80" t="str">
        <f>HYPERLINK("https://twitter.com/einvestidor/status/1688701558454886401")</f>
        <v>https://twitter.com/einvestidor/status/1688701558454886401</v>
      </c>
      <c r="AF3107" s="79">
        <v>45146</v>
      </c>
      <c r="AG3107" s="85">
        <v>45146</v>
      </c>
      <c r="AH3107" s="82" t="s">
        <v>9300</v>
      </c>
      <c r="AI3107" s="77" t="b">
        <v>0</v>
      </c>
      <c r="AJ3107" s="77"/>
      <c r="AK3107" s="77"/>
      <c r="AL3107" s="77"/>
      <c r="AM3107" s="77"/>
      <c r="AN3107" s="77"/>
      <c r="AO3107" s="77"/>
      <c r="AP3107" s="77"/>
      <c r="AQ3107" s="77"/>
      <c r="AR3107" s="77"/>
      <c r="AS3107" s="77"/>
      <c r="AT3107" s="77"/>
      <c r="AU3107" s="77"/>
      <c r="AV3107" s="80" t="str">
        <f>HYPERLINK("https://pbs.twimg.com/profile_images/1241147984924082183/gZgx_hL-_normal.jpg")</f>
        <v>https://pbs.twimg.com/profile_images/1241147984924082183/gZgx_hL-_normal.jpg</v>
      </c>
      <c r="AW3107" s="82" t="s">
        <v>14703</v>
      </c>
      <c r="AX3107" s="82" t="s">
        <v>14703</v>
      </c>
      <c r="AY3107" s="77"/>
      <c r="AZ3107" s="82" t="s">
        <v>15984</v>
      </c>
      <c r="BA3107" s="82" t="s">
        <v>15984</v>
      </c>
      <c r="BB3107" s="82" t="s">
        <v>15984</v>
      </c>
      <c r="BC3107" s="82" t="s">
        <v>14703</v>
      </c>
      <c r="BD3107" s="82" t="s">
        <v>15979</v>
      </c>
      <c r="BE3107" s="77"/>
      <c r="BF3107" s="77"/>
      <c r="BG3107" s="77"/>
      <c r="BH3107" s="77"/>
      <c r="BI3107" s="77"/>
    </row>
    <row r="3108" spans="1:61" x14ac:dyDescent="0.25">
      <c r="A3108" s="62" t="s">
        <v>387</v>
      </c>
      <c r="B3108" s="62" t="s">
        <v>387</v>
      </c>
      <c r="C3108" s="63"/>
      <c r="D3108" s="64"/>
      <c r="E3108" s="65"/>
      <c r="F3108" s="66"/>
      <c r="G3108" s="63"/>
      <c r="H3108" s="67"/>
      <c r="I3108" s="68"/>
      <c r="J3108" s="68"/>
      <c r="K3108" s="32"/>
      <c r="L3108" s="75">
        <v>3108</v>
      </c>
      <c r="M3108" s="75"/>
      <c r="N3108" s="70"/>
      <c r="O3108" s="77" t="s">
        <v>179</v>
      </c>
      <c r="P3108" s="79">
        <v>45145.989583333336</v>
      </c>
      <c r="Q3108" s="77" t="s">
        <v>3780</v>
      </c>
      <c r="R3108" s="77">
        <v>0</v>
      </c>
      <c r="S3108" s="77">
        <v>1</v>
      </c>
      <c r="T3108" s="77">
        <v>0</v>
      </c>
      <c r="U3108" s="77">
        <v>0</v>
      </c>
      <c r="V3108" s="77">
        <v>730</v>
      </c>
      <c r="W3108" s="82" t="s">
        <v>4833</v>
      </c>
      <c r="X3108" s="80" t="str">
        <f>HYPERLINK("https://mla.bs/20bf8792")</f>
        <v>https://mla.bs/20bf8792</v>
      </c>
      <c r="Y3108" s="77" t="s">
        <v>6506</v>
      </c>
      <c r="Z3108" s="77"/>
      <c r="AA3108" s="77"/>
      <c r="AB3108" s="77"/>
      <c r="AC3108" s="82" t="s">
        <v>7754</v>
      </c>
      <c r="AD3108" s="77" t="s">
        <v>7788</v>
      </c>
      <c r="AE3108" s="80" t="str">
        <f>HYPERLINK("https://twitter.com/einvestidor/status/1688697781303611392")</f>
        <v>https://twitter.com/einvestidor/status/1688697781303611392</v>
      </c>
      <c r="AF3108" s="79">
        <v>45145.989583333336</v>
      </c>
      <c r="AG3108" s="85">
        <v>45145</v>
      </c>
      <c r="AH3108" s="82" t="s">
        <v>9620</v>
      </c>
      <c r="AI3108" s="77" t="b">
        <v>0</v>
      </c>
      <c r="AJ3108" s="77"/>
      <c r="AK3108" s="77"/>
      <c r="AL3108" s="77"/>
      <c r="AM3108" s="77"/>
      <c r="AN3108" s="77"/>
      <c r="AO3108" s="77"/>
      <c r="AP3108" s="77"/>
      <c r="AQ3108" s="77"/>
      <c r="AR3108" s="77"/>
      <c r="AS3108" s="77"/>
      <c r="AT3108" s="77"/>
      <c r="AU3108" s="77"/>
      <c r="AV3108" s="80" t="str">
        <f>HYPERLINK("https://pbs.twimg.com/profile_images/1241147984924082183/gZgx_hL-_normal.jpg")</f>
        <v>https://pbs.twimg.com/profile_images/1241147984924082183/gZgx_hL-_normal.jpg</v>
      </c>
      <c r="AW3108" s="82" t="s">
        <v>14704</v>
      </c>
      <c r="AX3108" s="82" t="s">
        <v>14704</v>
      </c>
      <c r="AY3108" s="77"/>
      <c r="AZ3108" s="82" t="s">
        <v>15984</v>
      </c>
      <c r="BA3108" s="82" t="s">
        <v>15984</v>
      </c>
      <c r="BB3108" s="82" t="s">
        <v>15984</v>
      </c>
      <c r="BC3108" s="82" t="s">
        <v>14704</v>
      </c>
      <c r="BD3108" s="82" t="s">
        <v>15979</v>
      </c>
      <c r="BE3108" s="77"/>
      <c r="BF3108" s="77"/>
      <c r="BG3108" s="77"/>
      <c r="BH3108" s="77"/>
      <c r="BI3108" s="77"/>
    </row>
    <row r="3109" spans="1:61" x14ac:dyDescent="0.25">
      <c r="A3109" s="62" t="s">
        <v>387</v>
      </c>
      <c r="B3109" s="62" t="s">
        <v>387</v>
      </c>
      <c r="C3109" s="63"/>
      <c r="D3109" s="64"/>
      <c r="E3109" s="65"/>
      <c r="F3109" s="66"/>
      <c r="G3109" s="63"/>
      <c r="H3109" s="67"/>
      <c r="I3109" s="68"/>
      <c r="J3109" s="68"/>
      <c r="K3109" s="32"/>
      <c r="L3109" s="75">
        <v>3109</v>
      </c>
      <c r="M3109" s="75"/>
      <c r="N3109" s="70"/>
      <c r="O3109" s="77" t="s">
        <v>179</v>
      </c>
      <c r="P3109" s="79">
        <v>45145.979166666664</v>
      </c>
      <c r="Q3109" s="77" t="s">
        <v>3781</v>
      </c>
      <c r="R3109" s="77">
        <v>1</v>
      </c>
      <c r="S3109" s="77">
        <v>5</v>
      </c>
      <c r="T3109" s="77">
        <v>0</v>
      </c>
      <c r="U3109" s="77">
        <v>0</v>
      </c>
      <c r="V3109" s="77">
        <v>7689</v>
      </c>
      <c r="W3109" s="82" t="s">
        <v>4833</v>
      </c>
      <c r="X3109" s="80" t="str">
        <f>HYPERLINK("https://mla.bs/fa4057e2")</f>
        <v>https://mla.bs/fa4057e2</v>
      </c>
      <c r="Y3109" s="77" t="s">
        <v>6506</v>
      </c>
      <c r="Z3109" s="77"/>
      <c r="AA3109" s="77"/>
      <c r="AB3109" s="77"/>
      <c r="AC3109" s="82" t="s">
        <v>7754</v>
      </c>
      <c r="AD3109" s="77" t="s">
        <v>7788</v>
      </c>
      <c r="AE3109" s="80" t="str">
        <f>HYPERLINK("https://twitter.com/einvestidor/status/1688694007134932992")</f>
        <v>https://twitter.com/einvestidor/status/1688694007134932992</v>
      </c>
      <c r="AF3109" s="79">
        <v>45145.979166666664</v>
      </c>
      <c r="AG3109" s="85">
        <v>45145</v>
      </c>
      <c r="AH3109" s="82" t="s">
        <v>7928</v>
      </c>
      <c r="AI3109" s="77" t="b">
        <v>0</v>
      </c>
      <c r="AJ3109" s="77"/>
      <c r="AK3109" s="77"/>
      <c r="AL3109" s="77"/>
      <c r="AM3109" s="77"/>
      <c r="AN3109" s="77"/>
      <c r="AO3109" s="77"/>
      <c r="AP3109" s="77"/>
      <c r="AQ3109" s="77"/>
      <c r="AR3109" s="77"/>
      <c r="AS3109" s="77"/>
      <c r="AT3109" s="77"/>
      <c r="AU3109" s="77"/>
      <c r="AV3109" s="80" t="str">
        <f>HYPERLINK("https://pbs.twimg.com/profile_images/1241147984924082183/gZgx_hL-_normal.jpg")</f>
        <v>https://pbs.twimg.com/profile_images/1241147984924082183/gZgx_hL-_normal.jpg</v>
      </c>
      <c r="AW3109" s="82" t="s">
        <v>14705</v>
      </c>
      <c r="AX3109" s="82" t="s">
        <v>14705</v>
      </c>
      <c r="AY3109" s="77"/>
      <c r="AZ3109" s="82" t="s">
        <v>15984</v>
      </c>
      <c r="BA3109" s="82" t="s">
        <v>15984</v>
      </c>
      <c r="BB3109" s="82" t="s">
        <v>15984</v>
      </c>
      <c r="BC3109" s="82" t="s">
        <v>14705</v>
      </c>
      <c r="BD3109" s="82" t="s">
        <v>15979</v>
      </c>
      <c r="BE3109" s="77"/>
      <c r="BF3109" s="77"/>
      <c r="BG3109" s="77"/>
      <c r="BH3109" s="77"/>
      <c r="BI3109" s="77"/>
    </row>
    <row r="3110" spans="1:61" x14ac:dyDescent="0.25">
      <c r="A3110" s="62" t="s">
        <v>387</v>
      </c>
      <c r="B3110" s="62" t="s">
        <v>387</v>
      </c>
      <c r="C3110" s="63"/>
      <c r="D3110" s="64"/>
      <c r="E3110" s="65"/>
      <c r="F3110" s="66"/>
      <c r="G3110" s="63"/>
      <c r="H3110" s="67"/>
      <c r="I3110" s="68"/>
      <c r="J3110" s="68"/>
      <c r="K3110" s="32"/>
      <c r="L3110" s="75">
        <v>3110</v>
      </c>
      <c r="M3110" s="75"/>
      <c r="N3110" s="70"/>
      <c r="O3110" s="77" t="s">
        <v>179</v>
      </c>
      <c r="P3110" s="79">
        <v>45145.96875</v>
      </c>
      <c r="Q3110" s="77" t="s">
        <v>3782</v>
      </c>
      <c r="R3110" s="77">
        <v>0</v>
      </c>
      <c r="S3110" s="77">
        <v>2</v>
      </c>
      <c r="T3110" s="77">
        <v>0</v>
      </c>
      <c r="U3110" s="77">
        <v>0</v>
      </c>
      <c r="V3110" s="77">
        <v>632</v>
      </c>
      <c r="W3110" s="82" t="s">
        <v>4833</v>
      </c>
      <c r="X3110" s="80" t="str">
        <f>HYPERLINK("https://mla.bs/f50b5edf")</f>
        <v>https://mla.bs/f50b5edf</v>
      </c>
      <c r="Y3110" s="77" t="s">
        <v>6506</v>
      </c>
      <c r="Z3110" s="77"/>
      <c r="AA3110" s="77"/>
      <c r="AB3110" s="77"/>
      <c r="AC3110" s="82" t="s">
        <v>7754</v>
      </c>
      <c r="AD3110" s="77" t="s">
        <v>7788</v>
      </c>
      <c r="AE3110" s="80" t="str">
        <f>HYPERLINK("https://twitter.com/einvestidor/status/1688690231531175936")</f>
        <v>https://twitter.com/einvestidor/status/1688690231531175936</v>
      </c>
      <c r="AF3110" s="79">
        <v>45145.96875</v>
      </c>
      <c r="AG3110" s="85">
        <v>45145</v>
      </c>
      <c r="AH3110" s="82" t="s">
        <v>9621</v>
      </c>
      <c r="AI3110" s="77" t="b">
        <v>0</v>
      </c>
      <c r="AJ3110" s="77"/>
      <c r="AK3110" s="77"/>
      <c r="AL3110" s="77"/>
      <c r="AM3110" s="77"/>
      <c r="AN3110" s="77"/>
      <c r="AO3110" s="77"/>
      <c r="AP3110" s="77"/>
      <c r="AQ3110" s="77"/>
      <c r="AR3110" s="77"/>
      <c r="AS3110" s="77"/>
      <c r="AT3110" s="77"/>
      <c r="AU3110" s="77"/>
      <c r="AV3110" s="80" t="str">
        <f>HYPERLINK("https://pbs.twimg.com/profile_images/1241147984924082183/gZgx_hL-_normal.jpg")</f>
        <v>https://pbs.twimg.com/profile_images/1241147984924082183/gZgx_hL-_normal.jpg</v>
      </c>
      <c r="AW3110" s="82" t="s">
        <v>14706</v>
      </c>
      <c r="AX3110" s="82" t="s">
        <v>14706</v>
      </c>
      <c r="AY3110" s="77"/>
      <c r="AZ3110" s="82" t="s">
        <v>15984</v>
      </c>
      <c r="BA3110" s="82" t="s">
        <v>15984</v>
      </c>
      <c r="BB3110" s="82" t="s">
        <v>15984</v>
      </c>
      <c r="BC3110" s="82" t="s">
        <v>14706</v>
      </c>
      <c r="BD3110" s="82" t="s">
        <v>15979</v>
      </c>
      <c r="BE3110" s="77"/>
      <c r="BF3110" s="77"/>
      <c r="BG3110" s="77"/>
      <c r="BH3110" s="77"/>
      <c r="BI3110" s="77"/>
    </row>
    <row r="3111" spans="1:61" x14ac:dyDescent="0.25">
      <c r="A3111" s="62" t="s">
        <v>387</v>
      </c>
      <c r="B3111" s="62" t="s">
        <v>387</v>
      </c>
      <c r="C3111" s="63"/>
      <c r="D3111" s="64"/>
      <c r="E3111" s="65"/>
      <c r="F3111" s="66"/>
      <c r="G3111" s="63"/>
      <c r="H3111" s="67"/>
      <c r="I3111" s="68"/>
      <c r="J3111" s="68"/>
      <c r="K3111" s="32"/>
      <c r="L3111" s="75">
        <v>3111</v>
      </c>
      <c r="M3111" s="75"/>
      <c r="N3111" s="70"/>
      <c r="O3111" s="77" t="s">
        <v>179</v>
      </c>
      <c r="P3111" s="79">
        <v>45145.958333333336</v>
      </c>
      <c r="Q3111" s="77" t="s">
        <v>3783</v>
      </c>
      <c r="R3111" s="77">
        <v>0</v>
      </c>
      <c r="S3111" s="77">
        <v>2</v>
      </c>
      <c r="T3111" s="77">
        <v>0</v>
      </c>
      <c r="U3111" s="77">
        <v>0</v>
      </c>
      <c r="V3111" s="77">
        <v>612</v>
      </c>
      <c r="W3111" s="82" t="s">
        <v>4833</v>
      </c>
      <c r="X3111" s="80" t="str">
        <f>HYPERLINK("https://mla.bs/c7c24a83")</f>
        <v>https://mla.bs/c7c24a83</v>
      </c>
      <c r="Y3111" s="77" t="s">
        <v>6506</v>
      </c>
      <c r="Z3111" s="77"/>
      <c r="AA3111" s="77"/>
      <c r="AB3111" s="77"/>
      <c r="AC3111" s="82" t="s">
        <v>7754</v>
      </c>
      <c r="AD3111" s="77" t="s">
        <v>7788</v>
      </c>
      <c r="AE3111" s="80" t="str">
        <f>HYPERLINK("https://twitter.com/einvestidor/status/1688686458440130562")</f>
        <v>https://twitter.com/einvestidor/status/1688686458440130562</v>
      </c>
      <c r="AF3111" s="79">
        <v>45145.958333333336</v>
      </c>
      <c r="AG3111" s="85">
        <v>45145</v>
      </c>
      <c r="AH3111" s="82" t="s">
        <v>8279</v>
      </c>
      <c r="AI3111" s="77" t="b">
        <v>0</v>
      </c>
      <c r="AJ3111" s="77"/>
      <c r="AK3111" s="77"/>
      <c r="AL3111" s="77"/>
      <c r="AM3111" s="77"/>
      <c r="AN3111" s="77"/>
      <c r="AO3111" s="77"/>
      <c r="AP3111" s="77"/>
      <c r="AQ3111" s="77"/>
      <c r="AR3111" s="77"/>
      <c r="AS3111" s="77"/>
      <c r="AT3111" s="77"/>
      <c r="AU3111" s="77"/>
      <c r="AV3111" s="80" t="str">
        <f>HYPERLINK("https://pbs.twimg.com/profile_images/1241147984924082183/gZgx_hL-_normal.jpg")</f>
        <v>https://pbs.twimg.com/profile_images/1241147984924082183/gZgx_hL-_normal.jpg</v>
      </c>
      <c r="AW3111" s="82" t="s">
        <v>14707</v>
      </c>
      <c r="AX3111" s="82" t="s">
        <v>14707</v>
      </c>
      <c r="AY3111" s="77"/>
      <c r="AZ3111" s="82" t="s">
        <v>15984</v>
      </c>
      <c r="BA3111" s="82" t="s">
        <v>15984</v>
      </c>
      <c r="BB3111" s="82" t="s">
        <v>15984</v>
      </c>
      <c r="BC3111" s="82" t="s">
        <v>14707</v>
      </c>
      <c r="BD3111" s="82" t="s">
        <v>15979</v>
      </c>
      <c r="BE3111" s="77"/>
      <c r="BF3111" s="77"/>
      <c r="BG3111" s="77"/>
      <c r="BH3111" s="77"/>
      <c r="BI3111" s="77"/>
    </row>
    <row r="3112" spans="1:61" x14ac:dyDescent="0.25">
      <c r="A3112" s="62" t="s">
        <v>387</v>
      </c>
      <c r="B3112" s="62" t="s">
        <v>387</v>
      </c>
      <c r="C3112" s="63"/>
      <c r="D3112" s="64"/>
      <c r="E3112" s="65"/>
      <c r="F3112" s="66"/>
      <c r="G3112" s="63"/>
      <c r="H3112" s="67"/>
      <c r="I3112" s="68"/>
      <c r="J3112" s="68"/>
      <c r="K3112" s="32"/>
      <c r="L3112" s="75">
        <v>3112</v>
      </c>
      <c r="M3112" s="75"/>
      <c r="N3112" s="70"/>
      <c r="O3112" s="77" t="s">
        <v>179</v>
      </c>
      <c r="P3112" s="79">
        <v>45145.947916666664</v>
      </c>
      <c r="Q3112" s="77" t="s">
        <v>3784</v>
      </c>
      <c r="R3112" s="77">
        <v>0</v>
      </c>
      <c r="S3112" s="77">
        <v>3</v>
      </c>
      <c r="T3112" s="77">
        <v>0</v>
      </c>
      <c r="U3112" s="77">
        <v>0</v>
      </c>
      <c r="V3112" s="77">
        <v>747</v>
      </c>
      <c r="W3112" s="82" t="s">
        <v>4833</v>
      </c>
      <c r="X3112" s="80" t="str">
        <f>HYPERLINK("https://mla.bs/c42d4006")</f>
        <v>https://mla.bs/c42d4006</v>
      </c>
      <c r="Y3112" s="77" t="s">
        <v>6506</v>
      </c>
      <c r="Z3112" s="77"/>
      <c r="AA3112" s="77"/>
      <c r="AB3112" s="77"/>
      <c r="AC3112" s="82" t="s">
        <v>7754</v>
      </c>
      <c r="AD3112" s="77" t="s">
        <v>7788</v>
      </c>
      <c r="AE3112" s="80" t="str">
        <f>HYPERLINK("https://twitter.com/einvestidor/status/1688682682341822464")</f>
        <v>https://twitter.com/einvestidor/status/1688682682341822464</v>
      </c>
      <c r="AF3112" s="79">
        <v>45145.947916666664</v>
      </c>
      <c r="AG3112" s="85">
        <v>45145</v>
      </c>
      <c r="AH3112" s="82" t="s">
        <v>9595</v>
      </c>
      <c r="AI3112" s="77" t="b">
        <v>0</v>
      </c>
      <c r="AJ3112" s="77"/>
      <c r="AK3112" s="77"/>
      <c r="AL3112" s="77"/>
      <c r="AM3112" s="77"/>
      <c r="AN3112" s="77"/>
      <c r="AO3112" s="77"/>
      <c r="AP3112" s="77"/>
      <c r="AQ3112" s="77"/>
      <c r="AR3112" s="77"/>
      <c r="AS3112" s="77"/>
      <c r="AT3112" s="77"/>
      <c r="AU3112" s="77"/>
      <c r="AV3112" s="80" t="str">
        <f>HYPERLINK("https://pbs.twimg.com/profile_images/1241147984924082183/gZgx_hL-_normal.jpg")</f>
        <v>https://pbs.twimg.com/profile_images/1241147984924082183/gZgx_hL-_normal.jpg</v>
      </c>
      <c r="AW3112" s="82" t="s">
        <v>14708</v>
      </c>
      <c r="AX3112" s="82" t="s">
        <v>14708</v>
      </c>
      <c r="AY3112" s="77"/>
      <c r="AZ3112" s="82" t="s">
        <v>15984</v>
      </c>
      <c r="BA3112" s="82" t="s">
        <v>15984</v>
      </c>
      <c r="BB3112" s="82" t="s">
        <v>15984</v>
      </c>
      <c r="BC3112" s="82" t="s">
        <v>14708</v>
      </c>
      <c r="BD3112" s="82" t="s">
        <v>15979</v>
      </c>
      <c r="BE3112" s="77"/>
      <c r="BF3112" s="77"/>
      <c r="BG3112" s="77"/>
      <c r="BH3112" s="77"/>
      <c r="BI3112" s="77"/>
    </row>
    <row r="3113" spans="1:61" x14ac:dyDescent="0.25">
      <c r="A3113" s="62" t="s">
        <v>387</v>
      </c>
      <c r="B3113" s="62" t="s">
        <v>387</v>
      </c>
      <c r="C3113" s="63"/>
      <c r="D3113" s="64"/>
      <c r="E3113" s="65"/>
      <c r="F3113" s="66"/>
      <c r="G3113" s="63"/>
      <c r="H3113" s="67"/>
      <c r="I3113" s="68"/>
      <c r="J3113" s="68"/>
      <c r="K3113" s="32"/>
      <c r="L3113" s="75">
        <v>3113</v>
      </c>
      <c r="M3113" s="75"/>
      <c r="N3113" s="70"/>
      <c r="O3113" s="77" t="s">
        <v>179</v>
      </c>
      <c r="P3113" s="79">
        <v>45145.9375</v>
      </c>
      <c r="Q3113" s="77" t="s">
        <v>3785</v>
      </c>
      <c r="R3113" s="77">
        <v>1</v>
      </c>
      <c r="S3113" s="77">
        <v>7</v>
      </c>
      <c r="T3113" s="77">
        <v>0</v>
      </c>
      <c r="U3113" s="77">
        <v>0</v>
      </c>
      <c r="V3113" s="77">
        <v>861</v>
      </c>
      <c r="W3113" s="82" t="s">
        <v>4833</v>
      </c>
      <c r="X3113" s="80" t="str">
        <f>HYPERLINK("https://mla.bs/a9af140d")</f>
        <v>https://mla.bs/a9af140d</v>
      </c>
      <c r="Y3113" s="77" t="s">
        <v>6506</v>
      </c>
      <c r="Z3113" s="77"/>
      <c r="AA3113" s="77"/>
      <c r="AB3113" s="77"/>
      <c r="AC3113" s="82" t="s">
        <v>7754</v>
      </c>
      <c r="AD3113" s="77" t="s">
        <v>7788</v>
      </c>
      <c r="AE3113" s="80" t="str">
        <f>HYPERLINK("https://twitter.com/einvestidor/status/1688678908034453504")</f>
        <v>https://twitter.com/einvestidor/status/1688678908034453504</v>
      </c>
      <c r="AF3113" s="79">
        <v>45145.9375</v>
      </c>
      <c r="AG3113" s="85">
        <v>45145</v>
      </c>
      <c r="AH3113" s="82" t="s">
        <v>7926</v>
      </c>
      <c r="AI3113" s="77" t="b">
        <v>0</v>
      </c>
      <c r="AJ3113" s="77"/>
      <c r="AK3113" s="77"/>
      <c r="AL3113" s="77"/>
      <c r="AM3113" s="77"/>
      <c r="AN3113" s="77"/>
      <c r="AO3113" s="77"/>
      <c r="AP3113" s="77"/>
      <c r="AQ3113" s="77"/>
      <c r="AR3113" s="77"/>
      <c r="AS3113" s="77"/>
      <c r="AT3113" s="77"/>
      <c r="AU3113" s="77"/>
      <c r="AV3113" s="80" t="str">
        <f>HYPERLINK("https://pbs.twimg.com/profile_images/1241147984924082183/gZgx_hL-_normal.jpg")</f>
        <v>https://pbs.twimg.com/profile_images/1241147984924082183/gZgx_hL-_normal.jpg</v>
      </c>
      <c r="AW3113" s="82" t="s">
        <v>14709</v>
      </c>
      <c r="AX3113" s="82" t="s">
        <v>14709</v>
      </c>
      <c r="AY3113" s="77"/>
      <c r="AZ3113" s="82" t="s">
        <v>15984</v>
      </c>
      <c r="BA3113" s="82" t="s">
        <v>15984</v>
      </c>
      <c r="BB3113" s="82" t="s">
        <v>15984</v>
      </c>
      <c r="BC3113" s="82" t="s">
        <v>14709</v>
      </c>
      <c r="BD3113" s="82" t="s">
        <v>15979</v>
      </c>
      <c r="BE3113" s="77"/>
      <c r="BF3113" s="77"/>
      <c r="BG3113" s="77"/>
      <c r="BH3113" s="77"/>
      <c r="BI3113" s="77"/>
    </row>
    <row r="3114" spans="1:61" x14ac:dyDescent="0.25">
      <c r="A3114" s="62" t="s">
        <v>387</v>
      </c>
      <c r="B3114" s="62" t="s">
        <v>387</v>
      </c>
      <c r="C3114" s="63"/>
      <c r="D3114" s="64"/>
      <c r="E3114" s="65"/>
      <c r="F3114" s="66"/>
      <c r="G3114" s="63"/>
      <c r="H3114" s="67"/>
      <c r="I3114" s="68"/>
      <c r="J3114" s="68"/>
      <c r="K3114" s="32"/>
      <c r="L3114" s="75">
        <v>3114</v>
      </c>
      <c r="M3114" s="75"/>
      <c r="N3114" s="70"/>
      <c r="O3114" s="77" t="s">
        <v>179</v>
      </c>
      <c r="P3114" s="79">
        <v>45145.927083333336</v>
      </c>
      <c r="Q3114" s="77" t="s">
        <v>3786</v>
      </c>
      <c r="R3114" s="77">
        <v>0</v>
      </c>
      <c r="S3114" s="77">
        <v>1</v>
      </c>
      <c r="T3114" s="77">
        <v>0</v>
      </c>
      <c r="U3114" s="77">
        <v>0</v>
      </c>
      <c r="V3114" s="77">
        <v>545</v>
      </c>
      <c r="W3114" s="82" t="s">
        <v>6224</v>
      </c>
      <c r="X3114" s="80" t="str">
        <f>HYPERLINK("https://mla.bs/99e9ba26")</f>
        <v>https://mla.bs/99e9ba26</v>
      </c>
      <c r="Y3114" s="77" t="s">
        <v>6506</v>
      </c>
      <c r="Z3114" s="77"/>
      <c r="AA3114" s="77"/>
      <c r="AB3114" s="77"/>
      <c r="AC3114" s="82" t="s">
        <v>7754</v>
      </c>
      <c r="AD3114" s="77" t="s">
        <v>7788</v>
      </c>
      <c r="AE3114" s="80" t="str">
        <f>HYPERLINK("https://twitter.com/einvestidor/status/1688675132028395521")</f>
        <v>https://twitter.com/einvestidor/status/1688675132028395521</v>
      </c>
      <c r="AF3114" s="79">
        <v>45145.927083333336</v>
      </c>
      <c r="AG3114" s="85">
        <v>45145</v>
      </c>
      <c r="AH3114" s="82" t="s">
        <v>9576</v>
      </c>
      <c r="AI3114" s="77" t="b">
        <v>0</v>
      </c>
      <c r="AJ3114" s="77"/>
      <c r="AK3114" s="77"/>
      <c r="AL3114" s="77"/>
      <c r="AM3114" s="77"/>
      <c r="AN3114" s="77"/>
      <c r="AO3114" s="77"/>
      <c r="AP3114" s="77"/>
      <c r="AQ3114" s="77"/>
      <c r="AR3114" s="77"/>
      <c r="AS3114" s="77"/>
      <c r="AT3114" s="77"/>
      <c r="AU3114" s="77"/>
      <c r="AV3114" s="80" t="str">
        <f>HYPERLINK("https://pbs.twimg.com/profile_images/1241147984924082183/gZgx_hL-_normal.jpg")</f>
        <v>https://pbs.twimg.com/profile_images/1241147984924082183/gZgx_hL-_normal.jpg</v>
      </c>
      <c r="AW3114" s="82" t="s">
        <v>14710</v>
      </c>
      <c r="AX3114" s="82" t="s">
        <v>14710</v>
      </c>
      <c r="AY3114" s="77"/>
      <c r="AZ3114" s="82" t="s">
        <v>15984</v>
      </c>
      <c r="BA3114" s="82" t="s">
        <v>15984</v>
      </c>
      <c r="BB3114" s="82" t="s">
        <v>15984</v>
      </c>
      <c r="BC3114" s="82" t="s">
        <v>14710</v>
      </c>
      <c r="BD3114" s="82" t="s">
        <v>15979</v>
      </c>
      <c r="BE3114" s="77"/>
      <c r="BF3114" s="77"/>
      <c r="BG3114" s="77"/>
      <c r="BH3114" s="77"/>
      <c r="BI3114" s="77"/>
    </row>
    <row r="3115" spans="1:61" x14ac:dyDescent="0.25">
      <c r="A3115" s="62" t="s">
        <v>387</v>
      </c>
      <c r="B3115" s="62" t="s">
        <v>387</v>
      </c>
      <c r="C3115" s="63"/>
      <c r="D3115" s="64"/>
      <c r="E3115" s="65"/>
      <c r="F3115" s="66"/>
      <c r="G3115" s="63"/>
      <c r="H3115" s="67"/>
      <c r="I3115" s="68"/>
      <c r="J3115" s="68"/>
      <c r="K3115" s="32"/>
      <c r="L3115" s="75">
        <v>3115</v>
      </c>
      <c r="M3115" s="75"/>
      <c r="N3115" s="70"/>
      <c r="O3115" s="77" t="s">
        <v>179</v>
      </c>
      <c r="P3115" s="79">
        <v>45127.833935185183</v>
      </c>
      <c r="Q3115" s="77" t="s">
        <v>3787</v>
      </c>
      <c r="R3115" s="77">
        <v>0</v>
      </c>
      <c r="S3115" s="77">
        <v>1</v>
      </c>
      <c r="T3115" s="77">
        <v>0</v>
      </c>
      <c r="U3115" s="77">
        <v>0</v>
      </c>
      <c r="V3115" s="77">
        <v>541</v>
      </c>
      <c r="W3115" s="82" t="s">
        <v>4833</v>
      </c>
      <c r="X3115" s="80" t="str">
        <f>HYPERLINK("https://mla.bs/d835c12e")</f>
        <v>https://mla.bs/d835c12e</v>
      </c>
      <c r="Y3115" s="77" t="s">
        <v>6506</v>
      </c>
      <c r="Z3115" s="77"/>
      <c r="AA3115" s="77"/>
      <c r="AB3115" s="77"/>
      <c r="AC3115" s="82" t="s">
        <v>7757</v>
      </c>
      <c r="AD3115" s="77" t="s">
        <v>7788</v>
      </c>
      <c r="AE3115" s="80" t="str">
        <f>HYPERLINK("https://twitter.com/einvestidor/status/1682118396605857793")</f>
        <v>https://twitter.com/einvestidor/status/1682118396605857793</v>
      </c>
      <c r="AF3115" s="79">
        <v>45127.833935185183</v>
      </c>
      <c r="AG3115" s="85">
        <v>45127</v>
      </c>
      <c r="AH3115" s="82" t="s">
        <v>9936</v>
      </c>
      <c r="AI3115" s="77" t="b">
        <v>0</v>
      </c>
      <c r="AJ3115" s="77"/>
      <c r="AK3115" s="77"/>
      <c r="AL3115" s="77"/>
      <c r="AM3115" s="77"/>
      <c r="AN3115" s="77"/>
      <c r="AO3115" s="77"/>
      <c r="AP3115" s="77"/>
      <c r="AQ3115" s="77"/>
      <c r="AR3115" s="77"/>
      <c r="AS3115" s="77"/>
      <c r="AT3115" s="77"/>
      <c r="AU3115" s="77"/>
      <c r="AV3115" s="80" t="str">
        <f>HYPERLINK("https://pbs.twimg.com/profile_images/1241147984924082183/gZgx_hL-_normal.jpg")</f>
        <v>https://pbs.twimg.com/profile_images/1241147984924082183/gZgx_hL-_normal.jpg</v>
      </c>
      <c r="AW3115" s="82" t="s">
        <v>14711</v>
      </c>
      <c r="AX3115" s="82" t="s">
        <v>14711</v>
      </c>
      <c r="AY3115" s="77"/>
      <c r="AZ3115" s="82" t="s">
        <v>15984</v>
      </c>
      <c r="BA3115" s="82" t="s">
        <v>15984</v>
      </c>
      <c r="BB3115" s="82" t="s">
        <v>15984</v>
      </c>
      <c r="BC3115" s="82" t="s">
        <v>14711</v>
      </c>
      <c r="BD3115" s="82" t="s">
        <v>15979</v>
      </c>
      <c r="BE3115" s="77"/>
      <c r="BF3115" s="77"/>
      <c r="BG3115" s="77"/>
      <c r="BH3115" s="77"/>
      <c r="BI3115" s="77"/>
    </row>
    <row r="3116" spans="1:61" x14ac:dyDescent="0.25">
      <c r="A3116" s="62" t="s">
        <v>387</v>
      </c>
      <c r="B3116" s="62" t="s">
        <v>387</v>
      </c>
      <c r="C3116" s="63"/>
      <c r="D3116" s="64"/>
      <c r="E3116" s="65"/>
      <c r="F3116" s="66"/>
      <c r="G3116" s="63"/>
      <c r="H3116" s="67"/>
      <c r="I3116" s="68"/>
      <c r="J3116" s="68"/>
      <c r="K3116" s="32"/>
      <c r="L3116" s="75">
        <v>3116</v>
      </c>
      <c r="M3116" s="75"/>
      <c r="N3116" s="70"/>
      <c r="O3116" s="77" t="s">
        <v>179</v>
      </c>
      <c r="P3116" s="79">
        <v>45127.819594907407</v>
      </c>
      <c r="Q3116" s="77" t="s">
        <v>3788</v>
      </c>
      <c r="R3116" s="77">
        <v>0</v>
      </c>
      <c r="S3116" s="77">
        <v>2</v>
      </c>
      <c r="T3116" s="77">
        <v>0</v>
      </c>
      <c r="U3116" s="77">
        <v>0</v>
      </c>
      <c r="V3116" s="77">
        <v>595</v>
      </c>
      <c r="W3116" s="82" t="s">
        <v>4833</v>
      </c>
      <c r="X3116" s="80" t="str">
        <f>HYPERLINK("https://mla.bs/91ab8d8f")</f>
        <v>https://mla.bs/91ab8d8f</v>
      </c>
      <c r="Y3116" s="77" t="s">
        <v>6506</v>
      </c>
      <c r="Z3116" s="77"/>
      <c r="AA3116" s="77"/>
      <c r="AB3116" s="77"/>
      <c r="AC3116" s="82" t="s">
        <v>7757</v>
      </c>
      <c r="AD3116" s="77" t="s">
        <v>7788</v>
      </c>
      <c r="AE3116" s="80" t="str">
        <f>HYPERLINK("https://twitter.com/einvestidor/status/1682113200794263552")</f>
        <v>https://twitter.com/einvestidor/status/1682113200794263552</v>
      </c>
      <c r="AF3116" s="79">
        <v>45127.819594907407</v>
      </c>
      <c r="AG3116" s="85">
        <v>45127</v>
      </c>
      <c r="AH3116" s="82" t="s">
        <v>9937</v>
      </c>
      <c r="AI3116" s="77" t="b">
        <v>0</v>
      </c>
      <c r="AJ3116" s="77"/>
      <c r="AK3116" s="77"/>
      <c r="AL3116" s="77"/>
      <c r="AM3116" s="77"/>
      <c r="AN3116" s="77"/>
      <c r="AO3116" s="77"/>
      <c r="AP3116" s="77"/>
      <c r="AQ3116" s="77"/>
      <c r="AR3116" s="77"/>
      <c r="AS3116" s="77"/>
      <c r="AT3116" s="77"/>
      <c r="AU3116" s="77"/>
      <c r="AV3116" s="80" t="str">
        <f>HYPERLINK("https://pbs.twimg.com/profile_images/1241147984924082183/gZgx_hL-_normal.jpg")</f>
        <v>https://pbs.twimg.com/profile_images/1241147984924082183/gZgx_hL-_normal.jpg</v>
      </c>
      <c r="AW3116" s="82" t="s">
        <v>14712</v>
      </c>
      <c r="AX3116" s="82" t="s">
        <v>14712</v>
      </c>
      <c r="AY3116" s="77"/>
      <c r="AZ3116" s="82" t="s">
        <v>15984</v>
      </c>
      <c r="BA3116" s="82" t="s">
        <v>15984</v>
      </c>
      <c r="BB3116" s="82" t="s">
        <v>15984</v>
      </c>
      <c r="BC3116" s="82" t="s">
        <v>14712</v>
      </c>
      <c r="BD3116" s="82" t="s">
        <v>15979</v>
      </c>
      <c r="BE3116" s="77"/>
      <c r="BF3116" s="77"/>
      <c r="BG3116" s="77"/>
      <c r="BH3116" s="77"/>
      <c r="BI3116" s="77"/>
    </row>
    <row r="3117" spans="1:61" x14ac:dyDescent="0.25">
      <c r="A3117" s="62" t="s">
        <v>387</v>
      </c>
      <c r="B3117" s="62" t="s">
        <v>387</v>
      </c>
      <c r="C3117" s="63"/>
      <c r="D3117" s="64"/>
      <c r="E3117" s="65"/>
      <c r="F3117" s="66"/>
      <c r="G3117" s="63"/>
      <c r="H3117" s="67"/>
      <c r="I3117" s="68"/>
      <c r="J3117" s="68"/>
      <c r="K3117" s="32"/>
      <c r="L3117" s="75">
        <v>3117</v>
      </c>
      <c r="M3117" s="75"/>
      <c r="N3117" s="70"/>
      <c r="O3117" s="77" t="s">
        <v>179</v>
      </c>
      <c r="P3117" s="79">
        <v>45127.805752314816</v>
      </c>
      <c r="Q3117" s="77" t="s">
        <v>3789</v>
      </c>
      <c r="R3117" s="77">
        <v>0</v>
      </c>
      <c r="S3117" s="77">
        <v>1</v>
      </c>
      <c r="T3117" s="77">
        <v>0</v>
      </c>
      <c r="U3117" s="77">
        <v>0</v>
      </c>
      <c r="V3117" s="77">
        <v>737</v>
      </c>
      <c r="W3117" s="82" t="s">
        <v>4833</v>
      </c>
      <c r="X3117" s="80" t="str">
        <f>HYPERLINK("https://mla.bs/77edd508")</f>
        <v>https://mla.bs/77edd508</v>
      </c>
      <c r="Y3117" s="77" t="s">
        <v>6506</v>
      </c>
      <c r="Z3117" s="77"/>
      <c r="AA3117" s="77"/>
      <c r="AB3117" s="77"/>
      <c r="AC3117" s="82" t="s">
        <v>7757</v>
      </c>
      <c r="AD3117" s="77" t="s">
        <v>7788</v>
      </c>
      <c r="AE3117" s="80" t="str">
        <f>HYPERLINK("https://twitter.com/einvestidor/status/1682108183517511683")</f>
        <v>https://twitter.com/einvestidor/status/1682108183517511683</v>
      </c>
      <c r="AF3117" s="79">
        <v>45127.805752314816</v>
      </c>
      <c r="AG3117" s="85">
        <v>45127</v>
      </c>
      <c r="AH3117" s="82" t="s">
        <v>9938</v>
      </c>
      <c r="AI3117" s="77" t="b">
        <v>0</v>
      </c>
      <c r="AJ3117" s="77"/>
      <c r="AK3117" s="77"/>
      <c r="AL3117" s="77"/>
      <c r="AM3117" s="77"/>
      <c r="AN3117" s="77"/>
      <c r="AO3117" s="77"/>
      <c r="AP3117" s="77"/>
      <c r="AQ3117" s="77"/>
      <c r="AR3117" s="77"/>
      <c r="AS3117" s="77"/>
      <c r="AT3117" s="77"/>
      <c r="AU3117" s="77"/>
      <c r="AV3117" s="80" t="str">
        <f>HYPERLINK("https://pbs.twimg.com/profile_images/1241147984924082183/gZgx_hL-_normal.jpg")</f>
        <v>https://pbs.twimg.com/profile_images/1241147984924082183/gZgx_hL-_normal.jpg</v>
      </c>
      <c r="AW3117" s="82" t="s">
        <v>14713</v>
      </c>
      <c r="AX3117" s="82" t="s">
        <v>14713</v>
      </c>
      <c r="AY3117" s="77"/>
      <c r="AZ3117" s="82" t="s">
        <v>15984</v>
      </c>
      <c r="BA3117" s="82" t="s">
        <v>15984</v>
      </c>
      <c r="BB3117" s="82" t="s">
        <v>15984</v>
      </c>
      <c r="BC3117" s="82" t="s">
        <v>14713</v>
      </c>
      <c r="BD3117" s="82" t="s">
        <v>15979</v>
      </c>
      <c r="BE3117" s="77"/>
      <c r="BF3117" s="77"/>
      <c r="BG3117" s="77"/>
      <c r="BH3117" s="77"/>
      <c r="BI3117" s="77"/>
    </row>
    <row r="3118" spans="1:61" x14ac:dyDescent="0.25">
      <c r="A3118" s="62" t="s">
        <v>387</v>
      </c>
      <c r="B3118" s="62" t="s">
        <v>387</v>
      </c>
      <c r="C3118" s="63"/>
      <c r="D3118" s="64"/>
      <c r="E3118" s="65"/>
      <c r="F3118" s="66"/>
      <c r="G3118" s="63"/>
      <c r="H3118" s="67"/>
      <c r="I3118" s="68"/>
      <c r="J3118" s="68"/>
      <c r="K3118" s="32"/>
      <c r="L3118" s="75">
        <v>3118</v>
      </c>
      <c r="M3118" s="75"/>
      <c r="N3118" s="70"/>
      <c r="O3118" s="77" t="s">
        <v>179</v>
      </c>
      <c r="P3118" s="79">
        <v>45127.792187500003</v>
      </c>
      <c r="Q3118" s="77" t="s">
        <v>3790</v>
      </c>
      <c r="R3118" s="77">
        <v>1</v>
      </c>
      <c r="S3118" s="77">
        <v>1</v>
      </c>
      <c r="T3118" s="77">
        <v>0</v>
      </c>
      <c r="U3118" s="77">
        <v>0</v>
      </c>
      <c r="V3118" s="77">
        <v>760</v>
      </c>
      <c r="W3118" s="82" t="s">
        <v>4833</v>
      </c>
      <c r="X3118" s="80" t="str">
        <f>HYPERLINK("https://mla.bs/27fdcf8d")</f>
        <v>https://mla.bs/27fdcf8d</v>
      </c>
      <c r="Y3118" s="77" t="s">
        <v>6506</v>
      </c>
      <c r="Z3118" s="77"/>
      <c r="AA3118" s="77"/>
      <c r="AB3118" s="77"/>
      <c r="AC3118" s="82" t="s">
        <v>7757</v>
      </c>
      <c r="AD3118" s="77" t="s">
        <v>7788</v>
      </c>
      <c r="AE3118" s="80" t="str">
        <f>HYPERLINK("https://twitter.com/einvestidor/status/1682103267415687168")</f>
        <v>https://twitter.com/einvestidor/status/1682103267415687168</v>
      </c>
      <c r="AF3118" s="79">
        <v>45127.792187500003</v>
      </c>
      <c r="AG3118" s="85">
        <v>45127</v>
      </c>
      <c r="AH3118" s="82" t="s">
        <v>9717</v>
      </c>
      <c r="AI3118" s="77" t="b">
        <v>0</v>
      </c>
      <c r="AJ3118" s="77"/>
      <c r="AK3118" s="77"/>
      <c r="AL3118" s="77"/>
      <c r="AM3118" s="77"/>
      <c r="AN3118" s="77"/>
      <c r="AO3118" s="77"/>
      <c r="AP3118" s="77"/>
      <c r="AQ3118" s="77"/>
      <c r="AR3118" s="77"/>
      <c r="AS3118" s="77"/>
      <c r="AT3118" s="77"/>
      <c r="AU3118" s="77"/>
      <c r="AV3118" s="80" t="str">
        <f>HYPERLINK("https://pbs.twimg.com/profile_images/1241147984924082183/gZgx_hL-_normal.jpg")</f>
        <v>https://pbs.twimg.com/profile_images/1241147984924082183/gZgx_hL-_normal.jpg</v>
      </c>
      <c r="AW3118" s="82" t="s">
        <v>14714</v>
      </c>
      <c r="AX3118" s="82" t="s">
        <v>14714</v>
      </c>
      <c r="AY3118" s="77"/>
      <c r="AZ3118" s="82" t="s">
        <v>15984</v>
      </c>
      <c r="BA3118" s="82" t="s">
        <v>15984</v>
      </c>
      <c r="BB3118" s="82" t="s">
        <v>15984</v>
      </c>
      <c r="BC3118" s="82" t="s">
        <v>14714</v>
      </c>
      <c r="BD3118" s="82" t="s">
        <v>15979</v>
      </c>
      <c r="BE3118" s="77"/>
      <c r="BF3118" s="77"/>
      <c r="BG3118" s="77"/>
      <c r="BH3118" s="77"/>
      <c r="BI3118" s="77"/>
    </row>
    <row r="3119" spans="1:61" x14ac:dyDescent="0.25">
      <c r="A3119" s="62" t="s">
        <v>387</v>
      </c>
      <c r="B3119" s="62" t="s">
        <v>387</v>
      </c>
      <c r="C3119" s="63"/>
      <c r="D3119" s="64"/>
      <c r="E3119" s="65"/>
      <c r="F3119" s="66"/>
      <c r="G3119" s="63"/>
      <c r="H3119" s="67"/>
      <c r="I3119" s="68"/>
      <c r="J3119" s="68"/>
      <c r="K3119" s="32"/>
      <c r="L3119" s="75">
        <v>3119</v>
      </c>
      <c r="M3119" s="75"/>
      <c r="N3119" s="70"/>
      <c r="O3119" s="77" t="s">
        <v>179</v>
      </c>
      <c r="P3119" s="79">
        <v>45127.764039351852</v>
      </c>
      <c r="Q3119" s="77" t="s">
        <v>3791</v>
      </c>
      <c r="R3119" s="77">
        <v>0</v>
      </c>
      <c r="S3119" s="77">
        <v>2</v>
      </c>
      <c r="T3119" s="77">
        <v>0</v>
      </c>
      <c r="U3119" s="77">
        <v>0</v>
      </c>
      <c r="V3119" s="77">
        <v>555</v>
      </c>
      <c r="W3119" s="82" t="s">
        <v>4833</v>
      </c>
      <c r="X3119" s="80" t="str">
        <f>HYPERLINK("https://mla.bs/8a82d7b8")</f>
        <v>https://mla.bs/8a82d7b8</v>
      </c>
      <c r="Y3119" s="77" t="s">
        <v>6506</v>
      </c>
      <c r="Z3119" s="77"/>
      <c r="AA3119" s="77"/>
      <c r="AB3119" s="77"/>
      <c r="AC3119" s="82" t="s">
        <v>7757</v>
      </c>
      <c r="AD3119" s="77" t="s">
        <v>7788</v>
      </c>
      <c r="AE3119" s="80" t="str">
        <f>HYPERLINK("https://twitter.com/einvestidor/status/1682093065391972375")</f>
        <v>https://twitter.com/einvestidor/status/1682093065391972375</v>
      </c>
      <c r="AF3119" s="79">
        <v>45127.764039351852</v>
      </c>
      <c r="AG3119" s="85">
        <v>45127</v>
      </c>
      <c r="AH3119" s="82" t="s">
        <v>9939</v>
      </c>
      <c r="AI3119" s="77" t="b">
        <v>0</v>
      </c>
      <c r="AJ3119" s="77"/>
      <c r="AK3119" s="77"/>
      <c r="AL3119" s="77"/>
      <c r="AM3119" s="77"/>
      <c r="AN3119" s="77"/>
      <c r="AO3119" s="77"/>
      <c r="AP3119" s="77"/>
      <c r="AQ3119" s="77"/>
      <c r="AR3119" s="77"/>
      <c r="AS3119" s="77"/>
      <c r="AT3119" s="77"/>
      <c r="AU3119" s="77"/>
      <c r="AV3119" s="80" t="str">
        <f>HYPERLINK("https://pbs.twimg.com/profile_images/1241147984924082183/gZgx_hL-_normal.jpg")</f>
        <v>https://pbs.twimg.com/profile_images/1241147984924082183/gZgx_hL-_normal.jpg</v>
      </c>
      <c r="AW3119" s="82" t="s">
        <v>14715</v>
      </c>
      <c r="AX3119" s="82" t="s">
        <v>14715</v>
      </c>
      <c r="AY3119" s="77"/>
      <c r="AZ3119" s="82" t="s">
        <v>15984</v>
      </c>
      <c r="BA3119" s="82" t="s">
        <v>15984</v>
      </c>
      <c r="BB3119" s="82" t="s">
        <v>15984</v>
      </c>
      <c r="BC3119" s="82" t="s">
        <v>14715</v>
      </c>
      <c r="BD3119" s="82" t="s">
        <v>15979</v>
      </c>
      <c r="BE3119" s="77"/>
      <c r="BF3119" s="77"/>
      <c r="BG3119" s="77"/>
      <c r="BH3119" s="77"/>
      <c r="BI3119" s="77"/>
    </row>
    <row r="3120" spans="1:61" x14ac:dyDescent="0.25">
      <c r="A3120" s="62" t="s">
        <v>387</v>
      </c>
      <c r="B3120" s="62" t="s">
        <v>387</v>
      </c>
      <c r="C3120" s="63"/>
      <c r="D3120" s="64"/>
      <c r="E3120" s="65"/>
      <c r="F3120" s="66"/>
      <c r="G3120" s="63"/>
      <c r="H3120" s="67"/>
      <c r="I3120" s="68"/>
      <c r="J3120" s="68"/>
      <c r="K3120" s="32"/>
      <c r="L3120" s="75">
        <v>3120</v>
      </c>
      <c r="M3120" s="75"/>
      <c r="N3120" s="70"/>
      <c r="O3120" s="77" t="s">
        <v>179</v>
      </c>
      <c r="P3120" s="79">
        <v>45127.750520833331</v>
      </c>
      <c r="Q3120" s="77" t="s">
        <v>3792</v>
      </c>
      <c r="R3120" s="77">
        <v>0</v>
      </c>
      <c r="S3120" s="77">
        <v>0</v>
      </c>
      <c r="T3120" s="77">
        <v>0</v>
      </c>
      <c r="U3120" s="77">
        <v>0</v>
      </c>
      <c r="V3120" s="77">
        <v>553</v>
      </c>
      <c r="W3120" s="82" t="s">
        <v>4833</v>
      </c>
      <c r="X3120" s="80" t="str">
        <f>HYPERLINK("https://mla.bs/a24d340a")</f>
        <v>https://mla.bs/a24d340a</v>
      </c>
      <c r="Y3120" s="77" t="s">
        <v>6506</v>
      </c>
      <c r="Z3120" s="77"/>
      <c r="AA3120" s="77"/>
      <c r="AB3120" s="77"/>
      <c r="AC3120" s="82" t="s">
        <v>7757</v>
      </c>
      <c r="AD3120" s="77" t="s">
        <v>7788</v>
      </c>
      <c r="AE3120" s="80" t="str">
        <f>HYPERLINK("https://twitter.com/einvestidor/status/1682088165576679443")</f>
        <v>https://twitter.com/einvestidor/status/1682088165576679443</v>
      </c>
      <c r="AF3120" s="79">
        <v>45127.750520833331</v>
      </c>
      <c r="AG3120" s="85">
        <v>45127</v>
      </c>
      <c r="AH3120" s="82" t="s">
        <v>9940</v>
      </c>
      <c r="AI3120" s="77" t="b">
        <v>0</v>
      </c>
      <c r="AJ3120" s="77"/>
      <c r="AK3120" s="77"/>
      <c r="AL3120" s="77"/>
      <c r="AM3120" s="77"/>
      <c r="AN3120" s="77"/>
      <c r="AO3120" s="77"/>
      <c r="AP3120" s="77"/>
      <c r="AQ3120" s="77"/>
      <c r="AR3120" s="77"/>
      <c r="AS3120" s="77"/>
      <c r="AT3120" s="77"/>
      <c r="AU3120" s="77"/>
      <c r="AV3120" s="80" t="str">
        <f>HYPERLINK("https://pbs.twimg.com/profile_images/1241147984924082183/gZgx_hL-_normal.jpg")</f>
        <v>https://pbs.twimg.com/profile_images/1241147984924082183/gZgx_hL-_normal.jpg</v>
      </c>
      <c r="AW3120" s="82" t="s">
        <v>14716</v>
      </c>
      <c r="AX3120" s="82" t="s">
        <v>14716</v>
      </c>
      <c r="AY3120" s="77"/>
      <c r="AZ3120" s="82" t="s">
        <v>15984</v>
      </c>
      <c r="BA3120" s="82" t="s">
        <v>15984</v>
      </c>
      <c r="BB3120" s="82" t="s">
        <v>15984</v>
      </c>
      <c r="BC3120" s="82" t="s">
        <v>14716</v>
      </c>
      <c r="BD3120" s="82" t="s">
        <v>15979</v>
      </c>
      <c r="BE3120" s="77"/>
      <c r="BF3120" s="77"/>
      <c r="BG3120" s="77"/>
      <c r="BH3120" s="77"/>
      <c r="BI3120" s="77"/>
    </row>
    <row r="3121" spans="1:61" x14ac:dyDescent="0.25">
      <c r="A3121" s="62" t="s">
        <v>387</v>
      </c>
      <c r="B3121" s="62" t="s">
        <v>387</v>
      </c>
      <c r="C3121" s="63"/>
      <c r="D3121" s="64"/>
      <c r="E3121" s="65"/>
      <c r="F3121" s="66"/>
      <c r="G3121" s="63"/>
      <c r="H3121" s="67"/>
      <c r="I3121" s="68"/>
      <c r="J3121" s="68"/>
      <c r="K3121" s="32"/>
      <c r="L3121" s="75">
        <v>3121</v>
      </c>
      <c r="M3121" s="75"/>
      <c r="N3121" s="70"/>
      <c r="O3121" s="77" t="s">
        <v>179</v>
      </c>
      <c r="P3121" s="79">
        <v>45127.739282407405</v>
      </c>
      <c r="Q3121" s="77" t="s">
        <v>3793</v>
      </c>
      <c r="R3121" s="77">
        <v>0</v>
      </c>
      <c r="S3121" s="77">
        <v>0</v>
      </c>
      <c r="T3121" s="77">
        <v>0</v>
      </c>
      <c r="U3121" s="77">
        <v>0</v>
      </c>
      <c r="V3121" s="77">
        <v>517</v>
      </c>
      <c r="W3121" s="82" t="s">
        <v>4833</v>
      </c>
      <c r="X3121" s="80" t="str">
        <f>HYPERLINK("https://mla.bs/46be8f0b")</f>
        <v>https://mla.bs/46be8f0b</v>
      </c>
      <c r="Y3121" s="77" t="s">
        <v>6506</v>
      </c>
      <c r="Z3121" s="77"/>
      <c r="AA3121" s="77"/>
      <c r="AB3121" s="77"/>
      <c r="AC3121" s="82" t="s">
        <v>7757</v>
      </c>
      <c r="AD3121" s="77" t="s">
        <v>7788</v>
      </c>
      <c r="AE3121" s="80" t="str">
        <f>HYPERLINK("https://twitter.com/einvestidor/status/1682084094400667664")</f>
        <v>https://twitter.com/einvestidor/status/1682084094400667664</v>
      </c>
      <c r="AF3121" s="79">
        <v>45127.739282407405</v>
      </c>
      <c r="AG3121" s="85">
        <v>45127</v>
      </c>
      <c r="AH3121" s="82" t="s">
        <v>9941</v>
      </c>
      <c r="AI3121" s="77" t="b">
        <v>0</v>
      </c>
      <c r="AJ3121" s="77"/>
      <c r="AK3121" s="77"/>
      <c r="AL3121" s="77"/>
      <c r="AM3121" s="77"/>
      <c r="AN3121" s="77"/>
      <c r="AO3121" s="77"/>
      <c r="AP3121" s="77"/>
      <c r="AQ3121" s="77"/>
      <c r="AR3121" s="77"/>
      <c r="AS3121" s="77"/>
      <c r="AT3121" s="77"/>
      <c r="AU3121" s="77"/>
      <c r="AV3121" s="80" t="str">
        <f>HYPERLINK("https://pbs.twimg.com/profile_images/1241147984924082183/gZgx_hL-_normal.jpg")</f>
        <v>https://pbs.twimg.com/profile_images/1241147984924082183/gZgx_hL-_normal.jpg</v>
      </c>
      <c r="AW3121" s="82" t="s">
        <v>14717</v>
      </c>
      <c r="AX3121" s="82" t="s">
        <v>14717</v>
      </c>
      <c r="AY3121" s="77"/>
      <c r="AZ3121" s="82" t="s">
        <v>15984</v>
      </c>
      <c r="BA3121" s="82" t="s">
        <v>15984</v>
      </c>
      <c r="BB3121" s="82" t="s">
        <v>15984</v>
      </c>
      <c r="BC3121" s="82" t="s">
        <v>14717</v>
      </c>
      <c r="BD3121" s="82" t="s">
        <v>15979</v>
      </c>
      <c r="BE3121" s="77"/>
      <c r="BF3121" s="77"/>
      <c r="BG3121" s="77"/>
      <c r="BH3121" s="77"/>
      <c r="BI3121" s="77"/>
    </row>
    <row r="3122" spans="1:61" x14ac:dyDescent="0.25">
      <c r="A3122" s="62" t="s">
        <v>387</v>
      </c>
      <c r="B3122" s="62" t="s">
        <v>387</v>
      </c>
      <c r="C3122" s="63"/>
      <c r="D3122" s="64"/>
      <c r="E3122" s="65"/>
      <c r="F3122" s="66"/>
      <c r="G3122" s="63"/>
      <c r="H3122" s="67"/>
      <c r="I3122" s="68"/>
      <c r="J3122" s="68"/>
      <c r="K3122" s="32"/>
      <c r="L3122" s="75">
        <v>3122</v>
      </c>
      <c r="M3122" s="75"/>
      <c r="N3122" s="70"/>
      <c r="O3122" s="77" t="s">
        <v>179</v>
      </c>
      <c r="P3122" s="79">
        <v>45127.736226851855</v>
      </c>
      <c r="Q3122" s="77" t="s">
        <v>3794</v>
      </c>
      <c r="R3122" s="77">
        <v>0</v>
      </c>
      <c r="S3122" s="77">
        <v>0</v>
      </c>
      <c r="T3122" s="77">
        <v>0</v>
      </c>
      <c r="U3122" s="77">
        <v>0</v>
      </c>
      <c r="V3122" s="77">
        <v>549</v>
      </c>
      <c r="W3122" s="82" t="s">
        <v>4833</v>
      </c>
      <c r="X3122" s="80" t="str">
        <f>HYPERLINK("https://mla.bs/fb816a05")</f>
        <v>https://mla.bs/fb816a05</v>
      </c>
      <c r="Y3122" s="77" t="s">
        <v>6506</v>
      </c>
      <c r="Z3122" s="77"/>
      <c r="AA3122" s="77"/>
      <c r="AB3122" s="77"/>
      <c r="AC3122" s="82" t="s">
        <v>7757</v>
      </c>
      <c r="AD3122" s="77" t="s">
        <v>7788</v>
      </c>
      <c r="AE3122" s="80" t="str">
        <f>HYPERLINK("https://twitter.com/einvestidor/status/1682082986739617794")</f>
        <v>https://twitter.com/einvestidor/status/1682082986739617794</v>
      </c>
      <c r="AF3122" s="79">
        <v>45127.736226851855</v>
      </c>
      <c r="AG3122" s="85">
        <v>45127</v>
      </c>
      <c r="AH3122" s="82" t="s">
        <v>9942</v>
      </c>
      <c r="AI3122" s="77" t="b">
        <v>0</v>
      </c>
      <c r="AJ3122" s="77"/>
      <c r="AK3122" s="77"/>
      <c r="AL3122" s="77"/>
      <c r="AM3122" s="77"/>
      <c r="AN3122" s="77"/>
      <c r="AO3122" s="77"/>
      <c r="AP3122" s="77"/>
      <c r="AQ3122" s="77"/>
      <c r="AR3122" s="77"/>
      <c r="AS3122" s="77"/>
      <c r="AT3122" s="77"/>
      <c r="AU3122" s="77"/>
      <c r="AV3122" s="80" t="str">
        <f>HYPERLINK("https://pbs.twimg.com/profile_images/1241147984924082183/gZgx_hL-_normal.jpg")</f>
        <v>https://pbs.twimg.com/profile_images/1241147984924082183/gZgx_hL-_normal.jpg</v>
      </c>
      <c r="AW3122" s="82" t="s">
        <v>14718</v>
      </c>
      <c r="AX3122" s="82" t="s">
        <v>14718</v>
      </c>
      <c r="AY3122" s="77"/>
      <c r="AZ3122" s="82" t="s">
        <v>15984</v>
      </c>
      <c r="BA3122" s="82" t="s">
        <v>15984</v>
      </c>
      <c r="BB3122" s="82" t="s">
        <v>15984</v>
      </c>
      <c r="BC3122" s="82" t="s">
        <v>14718</v>
      </c>
      <c r="BD3122" s="82" t="s">
        <v>15979</v>
      </c>
      <c r="BE3122" s="77"/>
      <c r="BF3122" s="77"/>
      <c r="BG3122" s="77"/>
      <c r="BH3122" s="77"/>
      <c r="BI3122" s="77"/>
    </row>
    <row r="3123" spans="1:61" x14ac:dyDescent="0.25">
      <c r="A3123" s="62" t="s">
        <v>387</v>
      </c>
      <c r="B3123" s="62" t="s">
        <v>387</v>
      </c>
      <c r="C3123" s="63"/>
      <c r="D3123" s="64"/>
      <c r="E3123" s="65"/>
      <c r="F3123" s="66"/>
      <c r="G3123" s="63"/>
      <c r="H3123" s="67"/>
      <c r="I3123" s="68"/>
      <c r="J3123" s="68"/>
      <c r="K3123" s="32"/>
      <c r="L3123" s="75">
        <v>3123</v>
      </c>
      <c r="M3123" s="75"/>
      <c r="N3123" s="70"/>
      <c r="O3123" s="77" t="s">
        <v>179</v>
      </c>
      <c r="P3123" s="79">
        <v>45127.719097222223</v>
      </c>
      <c r="Q3123" s="77" t="s">
        <v>3795</v>
      </c>
      <c r="R3123" s="77">
        <v>0</v>
      </c>
      <c r="S3123" s="77">
        <v>1</v>
      </c>
      <c r="T3123" s="77">
        <v>0</v>
      </c>
      <c r="U3123" s="77">
        <v>0</v>
      </c>
      <c r="V3123" s="77">
        <v>615</v>
      </c>
      <c r="W3123" s="82" t="s">
        <v>6007</v>
      </c>
      <c r="X3123" s="80" t="str">
        <f>HYPERLINK("https://mla.bs/61956e44")</f>
        <v>https://mla.bs/61956e44</v>
      </c>
      <c r="Y3123" s="77" t="s">
        <v>6506</v>
      </c>
      <c r="Z3123" s="77"/>
      <c r="AA3123" s="77"/>
      <c r="AB3123" s="77"/>
      <c r="AC3123" s="82" t="s">
        <v>7757</v>
      </c>
      <c r="AD3123" s="77" t="s">
        <v>7788</v>
      </c>
      <c r="AE3123" s="80" t="str">
        <f>HYPERLINK("https://twitter.com/einvestidor/status/1682076778590879748")</f>
        <v>https://twitter.com/einvestidor/status/1682076778590879748</v>
      </c>
      <c r="AF3123" s="79">
        <v>45127.719097222223</v>
      </c>
      <c r="AG3123" s="85">
        <v>45127</v>
      </c>
      <c r="AH3123" s="82" t="s">
        <v>9943</v>
      </c>
      <c r="AI3123" s="77" t="b">
        <v>0</v>
      </c>
      <c r="AJ3123" s="77"/>
      <c r="AK3123" s="77"/>
      <c r="AL3123" s="77"/>
      <c r="AM3123" s="77"/>
      <c r="AN3123" s="77"/>
      <c r="AO3123" s="77"/>
      <c r="AP3123" s="77"/>
      <c r="AQ3123" s="77"/>
      <c r="AR3123" s="77"/>
      <c r="AS3123" s="77"/>
      <c r="AT3123" s="77"/>
      <c r="AU3123" s="77"/>
      <c r="AV3123" s="80" t="str">
        <f>HYPERLINK("https://pbs.twimg.com/profile_images/1241147984924082183/gZgx_hL-_normal.jpg")</f>
        <v>https://pbs.twimg.com/profile_images/1241147984924082183/gZgx_hL-_normal.jpg</v>
      </c>
      <c r="AW3123" s="82" t="s">
        <v>14719</v>
      </c>
      <c r="AX3123" s="82" t="s">
        <v>14719</v>
      </c>
      <c r="AY3123" s="77"/>
      <c r="AZ3123" s="82" t="s">
        <v>15984</v>
      </c>
      <c r="BA3123" s="82" t="s">
        <v>15984</v>
      </c>
      <c r="BB3123" s="82" t="s">
        <v>15984</v>
      </c>
      <c r="BC3123" s="82" t="s">
        <v>14719</v>
      </c>
      <c r="BD3123" s="82" t="s">
        <v>15979</v>
      </c>
      <c r="BE3123" s="77"/>
      <c r="BF3123" s="77"/>
      <c r="BG3123" s="77"/>
      <c r="BH3123" s="77"/>
      <c r="BI3123" s="77"/>
    </row>
    <row r="3124" spans="1:61" x14ac:dyDescent="0.25">
      <c r="A3124" s="62" t="s">
        <v>387</v>
      </c>
      <c r="B3124" s="62" t="s">
        <v>387</v>
      </c>
      <c r="C3124" s="63"/>
      <c r="D3124" s="64"/>
      <c r="E3124" s="65"/>
      <c r="F3124" s="66"/>
      <c r="G3124" s="63"/>
      <c r="H3124" s="67"/>
      <c r="I3124" s="68"/>
      <c r="J3124" s="68"/>
      <c r="K3124" s="32"/>
      <c r="L3124" s="75">
        <v>3124</v>
      </c>
      <c r="M3124" s="75"/>
      <c r="N3124" s="70"/>
      <c r="O3124" s="77" t="s">
        <v>179</v>
      </c>
      <c r="P3124" s="79">
        <v>45127.6878125</v>
      </c>
      <c r="Q3124" s="77" t="s">
        <v>3796</v>
      </c>
      <c r="R3124" s="77">
        <v>0</v>
      </c>
      <c r="S3124" s="77">
        <v>0</v>
      </c>
      <c r="T3124" s="77">
        <v>0</v>
      </c>
      <c r="U3124" s="77">
        <v>0</v>
      </c>
      <c r="V3124" s="77">
        <v>548</v>
      </c>
      <c r="W3124" s="82" t="s">
        <v>4833</v>
      </c>
      <c r="X3124" s="80" t="str">
        <f>HYPERLINK("https://mla.bs/98fcbfe3")</f>
        <v>https://mla.bs/98fcbfe3</v>
      </c>
      <c r="Y3124" s="77" t="s">
        <v>6506</v>
      </c>
      <c r="Z3124" s="77"/>
      <c r="AA3124" s="77"/>
      <c r="AB3124" s="77"/>
      <c r="AC3124" s="82" t="s">
        <v>7757</v>
      </c>
      <c r="AD3124" s="77" t="s">
        <v>7788</v>
      </c>
      <c r="AE3124" s="80" t="str">
        <f>HYPERLINK("https://twitter.com/einvestidor/status/1682065444746805258")</f>
        <v>https://twitter.com/einvestidor/status/1682065444746805258</v>
      </c>
      <c r="AF3124" s="79">
        <v>45127.6878125</v>
      </c>
      <c r="AG3124" s="85">
        <v>45127</v>
      </c>
      <c r="AH3124" s="82" t="s">
        <v>9944</v>
      </c>
      <c r="AI3124" s="77" t="b">
        <v>0</v>
      </c>
      <c r="AJ3124" s="77"/>
      <c r="AK3124" s="77"/>
      <c r="AL3124" s="77"/>
      <c r="AM3124" s="77"/>
      <c r="AN3124" s="77"/>
      <c r="AO3124" s="77"/>
      <c r="AP3124" s="77"/>
      <c r="AQ3124" s="77"/>
      <c r="AR3124" s="77"/>
      <c r="AS3124" s="77"/>
      <c r="AT3124" s="77"/>
      <c r="AU3124" s="77"/>
      <c r="AV3124" s="80" t="str">
        <f>HYPERLINK("https://pbs.twimg.com/profile_images/1241147984924082183/gZgx_hL-_normal.jpg")</f>
        <v>https://pbs.twimg.com/profile_images/1241147984924082183/gZgx_hL-_normal.jpg</v>
      </c>
      <c r="AW3124" s="82" t="s">
        <v>14720</v>
      </c>
      <c r="AX3124" s="82" t="s">
        <v>14720</v>
      </c>
      <c r="AY3124" s="77"/>
      <c r="AZ3124" s="82" t="s">
        <v>15984</v>
      </c>
      <c r="BA3124" s="82" t="s">
        <v>15984</v>
      </c>
      <c r="BB3124" s="82" t="s">
        <v>15984</v>
      </c>
      <c r="BC3124" s="82" t="s">
        <v>14720</v>
      </c>
      <c r="BD3124" s="82" t="s">
        <v>15979</v>
      </c>
      <c r="BE3124" s="77"/>
      <c r="BF3124" s="77"/>
      <c r="BG3124" s="77"/>
      <c r="BH3124" s="77"/>
      <c r="BI3124" s="77"/>
    </row>
    <row r="3125" spans="1:61" x14ac:dyDescent="0.25">
      <c r="A3125" s="62" t="s">
        <v>387</v>
      </c>
      <c r="B3125" s="62" t="s">
        <v>387</v>
      </c>
      <c r="C3125" s="63"/>
      <c r="D3125" s="64"/>
      <c r="E3125" s="65"/>
      <c r="F3125" s="66"/>
      <c r="G3125" s="63"/>
      <c r="H3125" s="67"/>
      <c r="I3125" s="68"/>
      <c r="J3125" s="68"/>
      <c r="K3125" s="32"/>
      <c r="L3125" s="75">
        <v>3125</v>
      </c>
      <c r="M3125" s="75"/>
      <c r="N3125" s="70"/>
      <c r="O3125" s="77" t="s">
        <v>179</v>
      </c>
      <c r="P3125" s="79">
        <v>45195.9375</v>
      </c>
      <c r="Q3125" s="77" t="s">
        <v>3797</v>
      </c>
      <c r="R3125" s="77">
        <v>0</v>
      </c>
      <c r="S3125" s="77">
        <v>2</v>
      </c>
      <c r="T3125" s="77">
        <v>0</v>
      </c>
      <c r="U3125" s="77">
        <v>0</v>
      </c>
      <c r="V3125" s="77">
        <v>699</v>
      </c>
      <c r="W3125" s="82" t="s">
        <v>4833</v>
      </c>
      <c r="X3125" s="80" t="str">
        <f>HYPERLINK("https://einvestidor.estadao.com.br/investimentos/oi-oibr3-capta-recursos-mercado-avalia/?utm_source=twitter&amp;utm_medium=organic&amp;utm_campaign=&amp;utm_content=materia")</f>
        <v>https://einvestidor.estadao.com.br/investimentos/oi-oibr3-capta-recursos-mercado-avalia/?utm_source=twitter&amp;utm_medium=organic&amp;utm_campaign=&amp;utm_content=materia</v>
      </c>
      <c r="Y3125" s="77" t="s">
        <v>6470</v>
      </c>
      <c r="Z3125" s="77"/>
      <c r="AA3125" s="77" t="s">
        <v>7614</v>
      </c>
      <c r="AB3125" s="77" t="s">
        <v>7742</v>
      </c>
      <c r="AC3125" s="82" t="s">
        <v>7750</v>
      </c>
      <c r="AD3125" s="77" t="s">
        <v>7788</v>
      </c>
      <c r="AE3125" s="80" t="str">
        <f>HYPERLINK("https://twitter.com/einvestidor/status/1706798301172097105")</f>
        <v>https://twitter.com/einvestidor/status/1706798301172097105</v>
      </c>
      <c r="AF3125" s="79">
        <v>45195.9375</v>
      </c>
      <c r="AG3125" s="85">
        <v>45195</v>
      </c>
      <c r="AH3125" s="82" t="s">
        <v>7926</v>
      </c>
      <c r="AI3125" s="77" t="b">
        <v>0</v>
      </c>
      <c r="AJ3125" s="77"/>
      <c r="AK3125" s="77"/>
      <c r="AL3125" s="77"/>
      <c r="AM3125" s="77"/>
      <c r="AN3125" s="77"/>
      <c r="AO3125" s="77"/>
      <c r="AP3125" s="77"/>
      <c r="AQ3125" s="77" t="s">
        <v>11586</v>
      </c>
      <c r="AR3125" s="77"/>
      <c r="AS3125" s="77"/>
      <c r="AT3125" s="77"/>
      <c r="AU3125" s="77"/>
      <c r="AV3125" s="80" t="str">
        <f>HYPERLINK("https://pbs.twimg.com/media/F6-7kx5XkAAjnYn.jpg")</f>
        <v>https://pbs.twimg.com/media/F6-7kx5XkAAjnYn.jpg</v>
      </c>
      <c r="AW3125" s="82" t="s">
        <v>14721</v>
      </c>
      <c r="AX3125" s="82" t="s">
        <v>14721</v>
      </c>
      <c r="AY3125" s="77"/>
      <c r="AZ3125" s="82" t="s">
        <v>15984</v>
      </c>
      <c r="BA3125" s="82" t="s">
        <v>15984</v>
      </c>
      <c r="BB3125" s="82" t="s">
        <v>15984</v>
      </c>
      <c r="BC3125" s="82" t="s">
        <v>14721</v>
      </c>
      <c r="BD3125" s="82" t="s">
        <v>15979</v>
      </c>
      <c r="BE3125" s="77"/>
      <c r="BF3125" s="77"/>
      <c r="BG3125" s="77"/>
      <c r="BH3125" s="77"/>
      <c r="BI3125" s="77"/>
    </row>
    <row r="3126" spans="1:61" x14ac:dyDescent="0.25">
      <c r="A3126" s="62" t="s">
        <v>387</v>
      </c>
      <c r="B3126" s="62" t="s">
        <v>387</v>
      </c>
      <c r="C3126" s="63"/>
      <c r="D3126" s="64"/>
      <c r="E3126" s="65"/>
      <c r="F3126" s="66"/>
      <c r="G3126" s="63"/>
      <c r="H3126" s="67"/>
      <c r="I3126" s="68"/>
      <c r="J3126" s="68"/>
      <c r="K3126" s="32"/>
      <c r="L3126" s="75">
        <v>3126</v>
      </c>
      <c r="M3126" s="75"/>
      <c r="N3126" s="70"/>
      <c r="O3126" s="77" t="s">
        <v>179</v>
      </c>
      <c r="P3126" s="79">
        <v>45195.916678240741</v>
      </c>
      <c r="Q3126" s="77" t="s">
        <v>3798</v>
      </c>
      <c r="R3126" s="77">
        <v>0</v>
      </c>
      <c r="S3126" s="77">
        <v>3</v>
      </c>
      <c r="T3126" s="77">
        <v>1</v>
      </c>
      <c r="U3126" s="77">
        <v>0</v>
      </c>
      <c r="V3126" s="77">
        <v>614</v>
      </c>
      <c r="W3126" s="82" t="s">
        <v>4833</v>
      </c>
      <c r="X3126" s="80" t="str">
        <f>HYPERLINK("https://einvestidor.estadao.com.br/mercado/discurso-de-lula-foi-bem-diferente-da-pratica-diz-gestora/?utm_source=twitter&amp;utm_medium=organic&amp;utm_campaign=&amp;utm_content=materia")</f>
        <v>https://einvestidor.estadao.com.br/mercado/discurso-de-lula-foi-bem-diferente-da-pratica-diz-gestora/?utm_source=twitter&amp;utm_medium=organic&amp;utm_campaign=&amp;utm_content=materia</v>
      </c>
      <c r="Y3126" s="77" t="s">
        <v>6470</v>
      </c>
      <c r="Z3126" s="77"/>
      <c r="AA3126" s="77" t="s">
        <v>7615</v>
      </c>
      <c r="AB3126" s="77" t="s">
        <v>7742</v>
      </c>
      <c r="AC3126" s="82" t="s">
        <v>7750</v>
      </c>
      <c r="AD3126" s="77" t="s">
        <v>7788</v>
      </c>
      <c r="AE3126" s="80" t="str">
        <f>HYPERLINK("https://twitter.com/einvestidor/status/1706790754079719615")</f>
        <v>https://twitter.com/einvestidor/status/1706790754079719615</v>
      </c>
      <c r="AF3126" s="79">
        <v>45195.916678240741</v>
      </c>
      <c r="AG3126" s="85">
        <v>45195</v>
      </c>
      <c r="AH3126" s="82" t="s">
        <v>8052</v>
      </c>
      <c r="AI3126" s="77" t="b">
        <v>0</v>
      </c>
      <c r="AJ3126" s="77"/>
      <c r="AK3126" s="77"/>
      <c r="AL3126" s="77"/>
      <c r="AM3126" s="77"/>
      <c r="AN3126" s="77"/>
      <c r="AO3126" s="77"/>
      <c r="AP3126" s="77"/>
      <c r="AQ3126" s="77" t="s">
        <v>11587</v>
      </c>
      <c r="AR3126" s="77"/>
      <c r="AS3126" s="77"/>
      <c r="AT3126" s="77"/>
      <c r="AU3126" s="77"/>
      <c r="AV3126" s="80" t="str">
        <f>HYPERLINK("https://pbs.twimg.com/media/F6-4XrJXMAAXTs6.jpg")</f>
        <v>https://pbs.twimg.com/media/F6-4XrJXMAAXTs6.jpg</v>
      </c>
      <c r="AW3126" s="82" t="s">
        <v>14722</v>
      </c>
      <c r="AX3126" s="82" t="s">
        <v>14722</v>
      </c>
      <c r="AY3126" s="77"/>
      <c r="AZ3126" s="82" t="s">
        <v>15984</v>
      </c>
      <c r="BA3126" s="82" t="s">
        <v>15984</v>
      </c>
      <c r="BB3126" s="82" t="s">
        <v>15984</v>
      </c>
      <c r="BC3126" s="82" t="s">
        <v>14722</v>
      </c>
      <c r="BD3126" s="82" t="s">
        <v>15979</v>
      </c>
      <c r="BE3126" s="77"/>
      <c r="BF3126" s="77"/>
      <c r="BG3126" s="77"/>
      <c r="BH3126" s="77"/>
      <c r="BI3126" s="77"/>
    </row>
    <row r="3127" spans="1:61" x14ac:dyDescent="0.25">
      <c r="A3127" s="62" t="s">
        <v>387</v>
      </c>
      <c r="B3127" s="62" t="s">
        <v>387</v>
      </c>
      <c r="C3127" s="63"/>
      <c r="D3127" s="64"/>
      <c r="E3127" s="65"/>
      <c r="F3127" s="66"/>
      <c r="G3127" s="63"/>
      <c r="H3127" s="67"/>
      <c r="I3127" s="68"/>
      <c r="J3127" s="68"/>
      <c r="K3127" s="32"/>
      <c r="L3127" s="75">
        <v>3127</v>
      </c>
      <c r="M3127" s="75"/>
      <c r="N3127" s="70"/>
      <c r="O3127" s="77" t="s">
        <v>179</v>
      </c>
      <c r="P3127" s="79">
        <v>45195.905243055553</v>
      </c>
      <c r="Q3127" s="77" t="s">
        <v>3799</v>
      </c>
      <c r="R3127" s="77">
        <v>0</v>
      </c>
      <c r="S3127" s="77">
        <v>0</v>
      </c>
      <c r="T3127" s="77">
        <v>0</v>
      </c>
      <c r="U3127" s="77">
        <v>0</v>
      </c>
      <c r="V3127" s="77">
        <v>475</v>
      </c>
      <c r="W3127" s="82" t="s">
        <v>4833</v>
      </c>
      <c r="X3127" s="80" t="str">
        <f>HYPERLINK("https://einvestidor.estadao.com.br/mercado/fechamento-de-mercado-26-09-2023/?utm_source=twitter&amp;utm_medium=organic&amp;utm_campaign=&amp;utm_content=materia")</f>
        <v>https://einvestidor.estadao.com.br/mercado/fechamento-de-mercado-26-09-2023/?utm_source=twitter&amp;utm_medium=organic&amp;utm_campaign=&amp;utm_content=materia</v>
      </c>
      <c r="Y3127" s="77" t="s">
        <v>6470</v>
      </c>
      <c r="Z3127" s="77"/>
      <c r="AA3127" s="77"/>
      <c r="AB3127" s="77"/>
      <c r="AC3127" s="82" t="s">
        <v>7750</v>
      </c>
      <c r="AD3127" s="77" t="s">
        <v>7788</v>
      </c>
      <c r="AE3127" s="80" t="str">
        <f>HYPERLINK("https://twitter.com/einvestidor/status/1706786611332043151")</f>
        <v>https://twitter.com/einvestidor/status/1706786611332043151</v>
      </c>
      <c r="AF3127" s="79">
        <v>45195.905243055553</v>
      </c>
      <c r="AG3127" s="85">
        <v>45195</v>
      </c>
      <c r="AH3127" s="82" t="s">
        <v>9945</v>
      </c>
      <c r="AI3127" s="77" t="b">
        <v>0</v>
      </c>
      <c r="AJ3127" s="77"/>
      <c r="AK3127" s="77"/>
      <c r="AL3127" s="77"/>
      <c r="AM3127" s="77"/>
      <c r="AN3127" s="77"/>
      <c r="AO3127" s="77"/>
      <c r="AP3127" s="77"/>
      <c r="AQ3127" s="77"/>
      <c r="AR3127" s="77"/>
      <c r="AS3127" s="77"/>
      <c r="AT3127" s="77"/>
      <c r="AU3127" s="77"/>
      <c r="AV3127" s="80" t="str">
        <f>HYPERLINK("https://pbs.twimg.com/profile_images/1241147984924082183/gZgx_hL-_normal.jpg")</f>
        <v>https://pbs.twimg.com/profile_images/1241147984924082183/gZgx_hL-_normal.jpg</v>
      </c>
      <c r="AW3127" s="82" t="s">
        <v>14723</v>
      </c>
      <c r="AX3127" s="82" t="s">
        <v>14723</v>
      </c>
      <c r="AY3127" s="77"/>
      <c r="AZ3127" s="82" t="s">
        <v>15984</v>
      </c>
      <c r="BA3127" s="82" t="s">
        <v>15984</v>
      </c>
      <c r="BB3127" s="82" t="s">
        <v>15984</v>
      </c>
      <c r="BC3127" s="82" t="s">
        <v>14723</v>
      </c>
      <c r="BD3127" s="82" t="s">
        <v>15979</v>
      </c>
      <c r="BE3127" s="77"/>
      <c r="BF3127" s="77"/>
      <c r="BG3127" s="77"/>
      <c r="BH3127" s="77"/>
      <c r="BI3127" s="77"/>
    </row>
    <row r="3128" spans="1:61" x14ac:dyDescent="0.25">
      <c r="A3128" s="62" t="s">
        <v>387</v>
      </c>
      <c r="B3128" s="62" t="s">
        <v>387</v>
      </c>
      <c r="C3128" s="63"/>
      <c r="D3128" s="64"/>
      <c r="E3128" s="65"/>
      <c r="F3128" s="66"/>
      <c r="G3128" s="63"/>
      <c r="H3128" s="67"/>
      <c r="I3128" s="68"/>
      <c r="J3128" s="68"/>
      <c r="K3128" s="32"/>
      <c r="L3128" s="75">
        <v>3128</v>
      </c>
      <c r="M3128" s="75"/>
      <c r="N3128" s="70"/>
      <c r="O3128" s="77" t="s">
        <v>179</v>
      </c>
      <c r="P3128" s="79">
        <v>45195.733032407406</v>
      </c>
      <c r="Q3128" s="77" t="s">
        <v>3800</v>
      </c>
      <c r="R3128" s="77">
        <v>0</v>
      </c>
      <c r="S3128" s="77">
        <v>0</v>
      </c>
      <c r="T3128" s="77">
        <v>0</v>
      </c>
      <c r="U3128" s="77">
        <v>0</v>
      </c>
      <c r="V3128" s="77">
        <v>425</v>
      </c>
      <c r="W3128" s="82" t="s">
        <v>4833</v>
      </c>
      <c r="X3128" s="80" t="str">
        <f>HYPERLINK("https://einvestidor.estadao.com.br/mercado/mercado-intraday-26-09-2023/?utm_source=twitter&amp;utm_medium=organic&amp;utm_campaign=&amp;utm_content=materia")</f>
        <v>https://einvestidor.estadao.com.br/mercado/mercado-intraday-26-09-2023/?utm_source=twitter&amp;utm_medium=organic&amp;utm_campaign=&amp;utm_content=materia</v>
      </c>
      <c r="Y3128" s="77" t="s">
        <v>6470</v>
      </c>
      <c r="Z3128" s="77"/>
      <c r="AA3128" s="77" t="s">
        <v>7616</v>
      </c>
      <c r="AB3128" s="77" t="s">
        <v>7742</v>
      </c>
      <c r="AC3128" s="82" t="s">
        <v>7750</v>
      </c>
      <c r="AD3128" s="77" t="s">
        <v>7788</v>
      </c>
      <c r="AE3128" s="80" t="str">
        <f>HYPERLINK("https://twitter.com/einvestidor/status/1706724205193314587")</f>
        <v>https://twitter.com/einvestidor/status/1706724205193314587</v>
      </c>
      <c r="AF3128" s="79">
        <v>45195.733032407406</v>
      </c>
      <c r="AG3128" s="85">
        <v>45195</v>
      </c>
      <c r="AH3128" s="82" t="s">
        <v>9946</v>
      </c>
      <c r="AI3128" s="77" t="b">
        <v>0</v>
      </c>
      <c r="AJ3128" s="77"/>
      <c r="AK3128" s="77"/>
      <c r="AL3128" s="77"/>
      <c r="AM3128" s="77"/>
      <c r="AN3128" s="77"/>
      <c r="AO3128" s="77"/>
      <c r="AP3128" s="77"/>
      <c r="AQ3128" s="77" t="s">
        <v>11588</v>
      </c>
      <c r="AR3128" s="77"/>
      <c r="AS3128" s="77"/>
      <c r="AT3128" s="77"/>
      <c r="AU3128" s="77"/>
      <c r="AV3128" s="80" t="str">
        <f>HYPERLINK("https://pbs.twimg.com/media/F6-AnEHWYAARTBT.jpg")</f>
        <v>https://pbs.twimg.com/media/F6-AnEHWYAARTBT.jpg</v>
      </c>
      <c r="AW3128" s="82" t="s">
        <v>14724</v>
      </c>
      <c r="AX3128" s="82" t="s">
        <v>14724</v>
      </c>
      <c r="AY3128" s="77"/>
      <c r="AZ3128" s="82" t="s">
        <v>15984</v>
      </c>
      <c r="BA3128" s="82" t="s">
        <v>15984</v>
      </c>
      <c r="BB3128" s="82" t="s">
        <v>15984</v>
      </c>
      <c r="BC3128" s="82" t="s">
        <v>14724</v>
      </c>
      <c r="BD3128" s="82" t="s">
        <v>15979</v>
      </c>
      <c r="BE3128" s="77"/>
      <c r="BF3128" s="77"/>
      <c r="BG3128" s="77"/>
      <c r="BH3128" s="77"/>
      <c r="BI3128" s="77"/>
    </row>
    <row r="3129" spans="1:61" x14ac:dyDescent="0.25">
      <c r="A3129" s="62" t="s">
        <v>387</v>
      </c>
      <c r="B3129" s="62" t="s">
        <v>387</v>
      </c>
      <c r="C3129" s="63"/>
      <c r="D3129" s="64"/>
      <c r="E3129" s="65"/>
      <c r="F3129" s="66"/>
      <c r="G3129" s="63"/>
      <c r="H3129" s="67"/>
      <c r="I3129" s="68"/>
      <c r="J3129" s="68"/>
      <c r="K3129" s="32"/>
      <c r="L3129" s="75">
        <v>3129</v>
      </c>
      <c r="M3129" s="75"/>
      <c r="N3129" s="70"/>
      <c r="O3129" s="77" t="s">
        <v>179</v>
      </c>
      <c r="P3129" s="79">
        <v>45194.96875</v>
      </c>
      <c r="Q3129" s="77" t="s">
        <v>3801</v>
      </c>
      <c r="R3129" s="77">
        <v>0</v>
      </c>
      <c r="S3129" s="77">
        <v>0</v>
      </c>
      <c r="T3129" s="77">
        <v>0</v>
      </c>
      <c r="U3129" s="77">
        <v>0</v>
      </c>
      <c r="V3129" s="77">
        <v>565</v>
      </c>
      <c r="W3129" s="82" t="s">
        <v>6225</v>
      </c>
      <c r="X3129" s="80" t="str">
        <f>HYPERLINK("https://einvestidor.estadao.com.br/ultimas/moedas-globais-dolar-alta-china-federal-reserve//?utm_source=twitter&amp;utm_medium=organic&amp;utm_campaign=&amp;utm_content=materia")</f>
        <v>https://einvestidor.estadao.com.br/ultimas/moedas-globais-dolar-alta-china-federal-reserve//?utm_source=twitter&amp;utm_medium=organic&amp;utm_campaign=&amp;utm_content=materia</v>
      </c>
      <c r="Y3129" s="77" t="s">
        <v>6470</v>
      </c>
      <c r="Z3129" s="77"/>
      <c r="AA3129" s="77"/>
      <c r="AB3129" s="77"/>
      <c r="AC3129" s="82" t="s">
        <v>7750</v>
      </c>
      <c r="AD3129" s="77" t="s">
        <v>7788</v>
      </c>
      <c r="AE3129" s="80" t="str">
        <f>HYPERLINK("https://twitter.com/einvestidor/status/1706447237365240119")</f>
        <v>https://twitter.com/einvestidor/status/1706447237365240119</v>
      </c>
      <c r="AF3129" s="79">
        <v>45194.96875</v>
      </c>
      <c r="AG3129" s="85">
        <v>45194</v>
      </c>
      <c r="AH3129" s="82" t="s">
        <v>9621</v>
      </c>
      <c r="AI3129" s="77" t="b">
        <v>0</v>
      </c>
      <c r="AJ3129" s="77"/>
      <c r="AK3129" s="77"/>
      <c r="AL3129" s="77"/>
      <c r="AM3129" s="77"/>
      <c r="AN3129" s="77"/>
      <c r="AO3129" s="77"/>
      <c r="AP3129" s="77"/>
      <c r="AQ3129" s="77"/>
      <c r="AR3129" s="77"/>
      <c r="AS3129" s="77"/>
      <c r="AT3129" s="77"/>
      <c r="AU3129" s="77"/>
      <c r="AV3129" s="80" t="str">
        <f>HYPERLINK("https://pbs.twimg.com/profile_images/1241147984924082183/gZgx_hL-_normal.jpg")</f>
        <v>https://pbs.twimg.com/profile_images/1241147984924082183/gZgx_hL-_normal.jpg</v>
      </c>
      <c r="AW3129" s="82" t="s">
        <v>14725</v>
      </c>
      <c r="AX3129" s="82" t="s">
        <v>14725</v>
      </c>
      <c r="AY3129" s="77"/>
      <c r="AZ3129" s="82" t="s">
        <v>15984</v>
      </c>
      <c r="BA3129" s="82" t="s">
        <v>15984</v>
      </c>
      <c r="BB3129" s="82" t="s">
        <v>15984</v>
      </c>
      <c r="BC3129" s="82" t="s">
        <v>14725</v>
      </c>
      <c r="BD3129" s="82" t="s">
        <v>15979</v>
      </c>
      <c r="BE3129" s="77"/>
      <c r="BF3129" s="77"/>
      <c r="BG3129" s="77"/>
      <c r="BH3129" s="77"/>
      <c r="BI3129" s="77"/>
    </row>
    <row r="3130" spans="1:61" x14ac:dyDescent="0.25">
      <c r="A3130" s="62" t="s">
        <v>387</v>
      </c>
      <c r="B3130" s="62" t="s">
        <v>387</v>
      </c>
      <c r="C3130" s="63"/>
      <c r="D3130" s="64"/>
      <c r="E3130" s="65"/>
      <c r="F3130" s="66"/>
      <c r="G3130" s="63"/>
      <c r="H3130" s="67"/>
      <c r="I3130" s="68"/>
      <c r="J3130" s="68"/>
      <c r="K3130" s="32"/>
      <c r="L3130" s="75">
        <v>3130</v>
      </c>
      <c r="M3130" s="75"/>
      <c r="N3130" s="70"/>
      <c r="O3130" s="77" t="s">
        <v>179</v>
      </c>
      <c r="P3130" s="79">
        <v>45194.958344907405</v>
      </c>
      <c r="Q3130" s="77" t="s">
        <v>3802</v>
      </c>
      <c r="R3130" s="77">
        <v>0</v>
      </c>
      <c r="S3130" s="77">
        <v>0</v>
      </c>
      <c r="T3130" s="77">
        <v>0</v>
      </c>
      <c r="U3130" s="77">
        <v>0</v>
      </c>
      <c r="V3130" s="77">
        <v>502</v>
      </c>
      <c r="W3130" s="82" t="s">
        <v>5902</v>
      </c>
      <c r="X3130" s="80" t="str">
        <f>HYPERLINK("https://einvestidor.estadao.com.br/ultimas/dolar-hoje-fecha-alta-novos-temores-china//?utm_source=twitter&amp;utm_medium=organic&amp;utm_campaign=&amp;utm_content=materia")</f>
        <v>https://einvestidor.estadao.com.br/ultimas/dolar-hoje-fecha-alta-novos-temores-china//?utm_source=twitter&amp;utm_medium=organic&amp;utm_campaign=&amp;utm_content=materia</v>
      </c>
      <c r="Y3130" s="77" t="s">
        <v>6470</v>
      </c>
      <c r="Z3130" s="77"/>
      <c r="AA3130" s="77"/>
      <c r="AB3130" s="77"/>
      <c r="AC3130" s="82" t="s">
        <v>7750</v>
      </c>
      <c r="AD3130" s="77" t="s">
        <v>7788</v>
      </c>
      <c r="AE3130" s="80" t="str">
        <f>HYPERLINK("https://twitter.com/einvestidor/status/1706443468594393479")</f>
        <v>https://twitter.com/einvestidor/status/1706443468594393479</v>
      </c>
      <c r="AF3130" s="79">
        <v>45194.958344907405</v>
      </c>
      <c r="AG3130" s="85">
        <v>45194</v>
      </c>
      <c r="AH3130" s="82" t="s">
        <v>9241</v>
      </c>
      <c r="AI3130" s="77" t="b">
        <v>0</v>
      </c>
      <c r="AJ3130" s="77"/>
      <c r="AK3130" s="77"/>
      <c r="AL3130" s="77"/>
      <c r="AM3130" s="77"/>
      <c r="AN3130" s="77"/>
      <c r="AO3130" s="77"/>
      <c r="AP3130" s="77"/>
      <c r="AQ3130" s="77"/>
      <c r="AR3130" s="77"/>
      <c r="AS3130" s="77"/>
      <c r="AT3130" s="77"/>
      <c r="AU3130" s="77"/>
      <c r="AV3130" s="80" t="str">
        <f>HYPERLINK("https://pbs.twimg.com/profile_images/1241147984924082183/gZgx_hL-_normal.jpg")</f>
        <v>https://pbs.twimg.com/profile_images/1241147984924082183/gZgx_hL-_normal.jpg</v>
      </c>
      <c r="AW3130" s="82" t="s">
        <v>14726</v>
      </c>
      <c r="AX3130" s="82" t="s">
        <v>14726</v>
      </c>
      <c r="AY3130" s="77"/>
      <c r="AZ3130" s="82" t="s">
        <v>15984</v>
      </c>
      <c r="BA3130" s="82" t="s">
        <v>15984</v>
      </c>
      <c r="BB3130" s="82" t="s">
        <v>15984</v>
      </c>
      <c r="BC3130" s="82" t="s">
        <v>14726</v>
      </c>
      <c r="BD3130" s="82" t="s">
        <v>15979</v>
      </c>
      <c r="BE3130" s="77"/>
      <c r="BF3130" s="77"/>
      <c r="BG3130" s="77"/>
      <c r="BH3130" s="77"/>
      <c r="BI3130" s="77"/>
    </row>
    <row r="3131" spans="1:61" x14ac:dyDescent="0.25">
      <c r="A3131" s="62" t="s">
        <v>387</v>
      </c>
      <c r="B3131" s="62" t="s">
        <v>387</v>
      </c>
      <c r="C3131" s="63"/>
      <c r="D3131" s="64"/>
      <c r="E3131" s="65"/>
      <c r="F3131" s="66"/>
      <c r="G3131" s="63"/>
      <c r="H3131" s="67"/>
      <c r="I3131" s="68"/>
      <c r="J3131" s="68"/>
      <c r="K3131" s="32"/>
      <c r="L3131" s="75">
        <v>3131</v>
      </c>
      <c r="M3131" s="75"/>
      <c r="N3131" s="70"/>
      <c r="O3131" s="77" t="s">
        <v>179</v>
      </c>
      <c r="P3131" s="79">
        <v>45194.864583333336</v>
      </c>
      <c r="Q3131" s="77" t="s">
        <v>3803</v>
      </c>
      <c r="R3131" s="77">
        <v>0</v>
      </c>
      <c r="S3131" s="77">
        <v>1</v>
      </c>
      <c r="T3131" s="77">
        <v>0</v>
      </c>
      <c r="U3131" s="77">
        <v>0</v>
      </c>
      <c r="V3131" s="77">
        <v>449</v>
      </c>
      <c r="W3131" s="82" t="s">
        <v>6226</v>
      </c>
      <c r="X3131" s="80" t="str">
        <f>HYPERLINK("https://einvestidor.estadao.com.br/comportamento/inss-vai-liberar-beneficio-para-quem-aguarda-pericia/?utm_source=twitter&amp;utm_medium=organic&amp;utm_campaign=&amp;utm_content=materia")</f>
        <v>https://einvestidor.estadao.com.br/comportamento/inss-vai-liberar-beneficio-para-quem-aguarda-pericia/?utm_source=twitter&amp;utm_medium=organic&amp;utm_campaign=&amp;utm_content=materia</v>
      </c>
      <c r="Y3131" s="77" t="s">
        <v>6470</v>
      </c>
      <c r="Z3131" s="77"/>
      <c r="AA3131" s="77" t="s">
        <v>7617</v>
      </c>
      <c r="AB3131" s="77" t="s">
        <v>7742</v>
      </c>
      <c r="AC3131" s="82" t="s">
        <v>7750</v>
      </c>
      <c r="AD3131" s="77" t="s">
        <v>7788</v>
      </c>
      <c r="AE3131" s="80" t="str">
        <f>HYPERLINK("https://twitter.com/einvestidor/status/1706409488218247609")</f>
        <v>https://twitter.com/einvestidor/status/1706409488218247609</v>
      </c>
      <c r="AF3131" s="79">
        <v>45194.864583333336</v>
      </c>
      <c r="AG3131" s="85">
        <v>45194</v>
      </c>
      <c r="AH3131" s="82" t="s">
        <v>9596</v>
      </c>
      <c r="AI3131" s="77" t="b">
        <v>0</v>
      </c>
      <c r="AJ3131" s="77"/>
      <c r="AK3131" s="77"/>
      <c r="AL3131" s="77"/>
      <c r="AM3131" s="77"/>
      <c r="AN3131" s="77"/>
      <c r="AO3131" s="77"/>
      <c r="AP3131" s="77"/>
      <c r="AQ3131" s="77" t="s">
        <v>11589</v>
      </c>
      <c r="AR3131" s="77"/>
      <c r="AS3131" s="77"/>
      <c r="AT3131" s="77"/>
      <c r="AU3131" s="77"/>
      <c r="AV3131" s="80" t="str">
        <f>HYPERLINK("https://pbs.twimg.com/media/F65h7OPWQAAaoex.jpg")</f>
        <v>https://pbs.twimg.com/media/F65h7OPWQAAaoex.jpg</v>
      </c>
      <c r="AW3131" s="82" t="s">
        <v>14727</v>
      </c>
      <c r="AX3131" s="82" t="s">
        <v>14727</v>
      </c>
      <c r="AY3131" s="77"/>
      <c r="AZ3131" s="82" t="s">
        <v>15984</v>
      </c>
      <c r="BA3131" s="82" t="s">
        <v>15984</v>
      </c>
      <c r="BB3131" s="82" t="s">
        <v>15984</v>
      </c>
      <c r="BC3131" s="82" t="s">
        <v>14727</v>
      </c>
      <c r="BD3131" s="82" t="s">
        <v>15979</v>
      </c>
      <c r="BE3131" s="77"/>
      <c r="BF3131" s="77"/>
      <c r="BG3131" s="77"/>
      <c r="BH3131" s="77"/>
      <c r="BI3131" s="77"/>
    </row>
    <row r="3132" spans="1:61" x14ac:dyDescent="0.25">
      <c r="A3132" s="62" t="s">
        <v>387</v>
      </c>
      <c r="B3132" s="62" t="s">
        <v>387</v>
      </c>
      <c r="C3132" s="63"/>
      <c r="D3132" s="64"/>
      <c r="E3132" s="65"/>
      <c r="F3132" s="66"/>
      <c r="G3132" s="63"/>
      <c r="H3132" s="67"/>
      <c r="I3132" s="68"/>
      <c r="J3132" s="68"/>
      <c r="K3132" s="32"/>
      <c r="L3132" s="75">
        <v>3132</v>
      </c>
      <c r="M3132" s="75"/>
      <c r="N3132" s="70"/>
      <c r="O3132" s="77" t="s">
        <v>179</v>
      </c>
      <c r="P3132" s="79">
        <v>45191.48609953704</v>
      </c>
      <c r="Q3132" s="77" t="s">
        <v>3804</v>
      </c>
      <c r="R3132" s="77">
        <v>0</v>
      </c>
      <c r="S3132" s="77">
        <v>3</v>
      </c>
      <c r="T3132" s="77">
        <v>0</v>
      </c>
      <c r="U3132" s="77">
        <v>0</v>
      </c>
      <c r="V3132" s="77">
        <v>523</v>
      </c>
      <c r="W3132" s="82" t="s">
        <v>4839</v>
      </c>
      <c r="X3132" s="80" t="str">
        <f>HYPERLINK("https://einvestidor.estadao.com.br/mercado/mercado-hoje-investidores-aguardam-relatorio-receitas-despesas-exterior-misto/?utm_source=twitter&amp;utm_medium=organic&amp;utm_campaign=mercado-hoje&amp;utm_content=materia")</f>
        <v>https://einvestidor.estadao.com.br/mercado/mercado-hoje-investidores-aguardam-relatorio-receitas-despesas-exterior-misto/?utm_source=twitter&amp;utm_medium=organic&amp;utm_campaign=mercado-hoje&amp;utm_content=materia</v>
      </c>
      <c r="Y3132" s="77" t="s">
        <v>6470</v>
      </c>
      <c r="Z3132" s="77"/>
      <c r="AA3132" s="77" t="s">
        <v>7618</v>
      </c>
      <c r="AB3132" s="77" t="s">
        <v>7742</v>
      </c>
      <c r="AC3132" s="82" t="s">
        <v>7750</v>
      </c>
      <c r="AD3132" s="77" t="s">
        <v>7788</v>
      </c>
      <c r="AE3132" s="80" t="str">
        <f>HYPERLINK("https://twitter.com/einvestidor/status/1705185168967778456")</f>
        <v>https://twitter.com/einvestidor/status/1705185168967778456</v>
      </c>
      <c r="AF3132" s="79">
        <v>45191.48609953704</v>
      </c>
      <c r="AG3132" s="85">
        <v>45191</v>
      </c>
      <c r="AH3132" s="82" t="s">
        <v>9947</v>
      </c>
      <c r="AI3132" s="77" t="b">
        <v>0</v>
      </c>
      <c r="AJ3132" s="77"/>
      <c r="AK3132" s="77"/>
      <c r="AL3132" s="77"/>
      <c r="AM3132" s="77"/>
      <c r="AN3132" s="77"/>
      <c r="AO3132" s="77"/>
      <c r="AP3132" s="77"/>
      <c r="AQ3132" s="77" t="s">
        <v>11590</v>
      </c>
      <c r="AR3132" s="77"/>
      <c r="AS3132" s="77"/>
      <c r="AT3132" s="77"/>
      <c r="AU3132" s="77"/>
      <c r="AV3132" s="80" t="str">
        <f>HYPERLINK("https://pbs.twimg.com/media/F6oI3naXoAE7I-b.png")</f>
        <v>https://pbs.twimg.com/media/F6oI3naXoAE7I-b.png</v>
      </c>
      <c r="AW3132" s="82" t="s">
        <v>14728</v>
      </c>
      <c r="AX3132" s="82" t="s">
        <v>14728</v>
      </c>
      <c r="AY3132" s="77"/>
      <c r="AZ3132" s="82" t="s">
        <v>15984</v>
      </c>
      <c r="BA3132" s="82" t="s">
        <v>15984</v>
      </c>
      <c r="BB3132" s="82" t="s">
        <v>15984</v>
      </c>
      <c r="BC3132" s="82" t="s">
        <v>14728</v>
      </c>
      <c r="BD3132" s="82" t="s">
        <v>15979</v>
      </c>
      <c r="BE3132" s="77"/>
      <c r="BF3132" s="77"/>
      <c r="BG3132" s="77"/>
      <c r="BH3132" s="77"/>
      <c r="BI3132" s="77"/>
    </row>
    <row r="3133" spans="1:61" x14ac:dyDescent="0.25">
      <c r="A3133" s="62" t="s">
        <v>387</v>
      </c>
      <c r="B3133" s="62" t="s">
        <v>387</v>
      </c>
      <c r="C3133" s="63"/>
      <c r="D3133" s="64"/>
      <c r="E3133" s="65"/>
      <c r="F3133" s="66"/>
      <c r="G3133" s="63"/>
      <c r="H3133" s="67"/>
      <c r="I3133" s="68"/>
      <c r="J3133" s="68"/>
      <c r="K3133" s="32"/>
      <c r="L3133" s="75">
        <v>3133</v>
      </c>
      <c r="M3133" s="75"/>
      <c r="N3133" s="70"/>
      <c r="O3133" s="77" t="s">
        <v>179</v>
      </c>
      <c r="P3133" s="79">
        <v>45191.479166666664</v>
      </c>
      <c r="Q3133" s="77" t="s">
        <v>3805</v>
      </c>
      <c r="R3133" s="77">
        <v>0</v>
      </c>
      <c r="S3133" s="77">
        <v>0</v>
      </c>
      <c r="T3133" s="77">
        <v>1</v>
      </c>
      <c r="U3133" s="77">
        <v>0</v>
      </c>
      <c r="V3133" s="77">
        <v>563</v>
      </c>
      <c r="W3133" s="82" t="s">
        <v>6227</v>
      </c>
      <c r="X3133" s="80" t="str">
        <f>HYPERLINK("https://einvestidor.estadao.com.br/ultimas/santander-sanb11-sanb3-rebaixa-recomendacao-gap/?utm_source=twitter&amp;utm_medium=organic&amp;utm_campaign=pcar3&amp;utm_content=materia")</f>
        <v>https://einvestidor.estadao.com.br/ultimas/santander-sanb11-sanb3-rebaixa-recomendacao-gap/?utm_source=twitter&amp;utm_medium=organic&amp;utm_campaign=pcar3&amp;utm_content=materia</v>
      </c>
      <c r="Y3133" s="77" t="s">
        <v>6470</v>
      </c>
      <c r="Z3133" s="77"/>
      <c r="AA3133" s="77"/>
      <c r="AB3133" s="77"/>
      <c r="AC3133" s="82" t="s">
        <v>7750</v>
      </c>
      <c r="AD3133" s="77" t="s">
        <v>7788</v>
      </c>
      <c r="AE3133" s="80" t="str">
        <f>HYPERLINK("https://twitter.com/einvestidor/status/1705182655187153123")</f>
        <v>https://twitter.com/einvestidor/status/1705182655187153123</v>
      </c>
      <c r="AF3133" s="79">
        <v>45191.479166666664</v>
      </c>
      <c r="AG3133" s="85">
        <v>45191</v>
      </c>
      <c r="AH3133" s="82" t="s">
        <v>7851</v>
      </c>
      <c r="AI3133" s="77" t="b">
        <v>0</v>
      </c>
      <c r="AJ3133" s="77"/>
      <c r="AK3133" s="77"/>
      <c r="AL3133" s="77"/>
      <c r="AM3133" s="77"/>
      <c r="AN3133" s="77"/>
      <c r="AO3133" s="77"/>
      <c r="AP3133" s="77"/>
      <c r="AQ3133" s="77"/>
      <c r="AR3133" s="77"/>
      <c r="AS3133" s="77"/>
      <c r="AT3133" s="77"/>
      <c r="AU3133" s="77"/>
      <c r="AV3133" s="80" t="str">
        <f>HYPERLINK("https://pbs.twimg.com/profile_images/1241147984924082183/gZgx_hL-_normal.jpg")</f>
        <v>https://pbs.twimg.com/profile_images/1241147984924082183/gZgx_hL-_normal.jpg</v>
      </c>
      <c r="AW3133" s="82" t="s">
        <v>14729</v>
      </c>
      <c r="AX3133" s="82" t="s">
        <v>14729</v>
      </c>
      <c r="AY3133" s="77"/>
      <c r="AZ3133" s="82" t="s">
        <v>15984</v>
      </c>
      <c r="BA3133" s="82" t="s">
        <v>15984</v>
      </c>
      <c r="BB3133" s="82" t="s">
        <v>15984</v>
      </c>
      <c r="BC3133" s="82" t="s">
        <v>14729</v>
      </c>
      <c r="BD3133" s="82" t="s">
        <v>15979</v>
      </c>
      <c r="BE3133" s="77"/>
      <c r="BF3133" s="77"/>
      <c r="BG3133" s="77"/>
      <c r="BH3133" s="77"/>
      <c r="BI3133" s="77"/>
    </row>
    <row r="3134" spans="1:61" x14ac:dyDescent="0.25">
      <c r="A3134" s="62" t="s">
        <v>387</v>
      </c>
      <c r="B3134" s="62" t="s">
        <v>387</v>
      </c>
      <c r="C3134" s="63"/>
      <c r="D3134" s="64"/>
      <c r="E3134" s="65"/>
      <c r="F3134" s="66"/>
      <c r="G3134" s="63"/>
      <c r="H3134" s="67"/>
      <c r="I3134" s="68"/>
      <c r="J3134" s="68"/>
      <c r="K3134" s="32"/>
      <c r="L3134" s="75">
        <v>3134</v>
      </c>
      <c r="M3134" s="75"/>
      <c r="N3134" s="70"/>
      <c r="O3134" s="77" t="s">
        <v>179</v>
      </c>
      <c r="P3134" s="79">
        <v>45191.461284722223</v>
      </c>
      <c r="Q3134" s="77" t="s">
        <v>3806</v>
      </c>
      <c r="R3134" s="77">
        <v>0</v>
      </c>
      <c r="S3134" s="77">
        <v>2</v>
      </c>
      <c r="T3134" s="77">
        <v>0</v>
      </c>
      <c r="U3134" s="77">
        <v>0</v>
      </c>
      <c r="V3134" s="77">
        <v>538</v>
      </c>
      <c r="W3134" s="82" t="s">
        <v>4839</v>
      </c>
      <c r="X3134" s="80" t="str">
        <f>HYPERLINK("https://einvestidor.estadao.com.br/ultimas/bolsas-europa-operam-com-perspectiva-juros-altos-pmis/?utm_source=twitter&amp;utm_medium=organic&amp;utm_campaign=europa&amp;utm_content=materia")</f>
        <v>https://einvestidor.estadao.com.br/ultimas/bolsas-europa-operam-com-perspectiva-juros-altos-pmis/?utm_source=twitter&amp;utm_medium=organic&amp;utm_campaign=europa&amp;utm_content=materia</v>
      </c>
      <c r="Y3134" s="77" t="s">
        <v>6470</v>
      </c>
      <c r="Z3134" s="77"/>
      <c r="AA3134" s="77" t="s">
        <v>7619</v>
      </c>
      <c r="AB3134" s="77" t="s">
        <v>7742</v>
      </c>
      <c r="AC3134" s="82" t="s">
        <v>7750</v>
      </c>
      <c r="AD3134" s="77" t="s">
        <v>7788</v>
      </c>
      <c r="AE3134" s="80" t="str">
        <f>HYPERLINK("https://twitter.com/einvestidor/status/1705176176304488884")</f>
        <v>https://twitter.com/einvestidor/status/1705176176304488884</v>
      </c>
      <c r="AF3134" s="79">
        <v>45191.461284722223</v>
      </c>
      <c r="AG3134" s="85">
        <v>45191</v>
      </c>
      <c r="AH3134" s="82" t="s">
        <v>9948</v>
      </c>
      <c r="AI3134" s="77" t="b">
        <v>0</v>
      </c>
      <c r="AJ3134" s="77"/>
      <c r="AK3134" s="77"/>
      <c r="AL3134" s="77"/>
      <c r="AM3134" s="77"/>
      <c r="AN3134" s="77"/>
      <c r="AO3134" s="77"/>
      <c r="AP3134" s="77"/>
      <c r="AQ3134" s="77" t="s">
        <v>11591</v>
      </c>
      <c r="AR3134" s="77"/>
      <c r="AS3134" s="77"/>
      <c r="AT3134" s="77"/>
      <c r="AU3134" s="77"/>
      <c r="AV3134" s="80" t="str">
        <f>HYPERLINK("https://pbs.twimg.com/media/F6oAsNYXUAAwmOx.png")</f>
        <v>https://pbs.twimg.com/media/F6oAsNYXUAAwmOx.png</v>
      </c>
      <c r="AW3134" s="82" t="s">
        <v>14730</v>
      </c>
      <c r="AX3134" s="82" t="s">
        <v>14730</v>
      </c>
      <c r="AY3134" s="77"/>
      <c r="AZ3134" s="82" t="s">
        <v>15984</v>
      </c>
      <c r="BA3134" s="82" t="s">
        <v>15984</v>
      </c>
      <c r="BB3134" s="82" t="s">
        <v>15984</v>
      </c>
      <c r="BC3134" s="82" t="s">
        <v>14730</v>
      </c>
      <c r="BD3134" s="82" t="s">
        <v>15979</v>
      </c>
      <c r="BE3134" s="77"/>
      <c r="BF3134" s="77"/>
      <c r="BG3134" s="77"/>
      <c r="BH3134" s="77"/>
      <c r="BI3134" s="77"/>
    </row>
    <row r="3135" spans="1:61" x14ac:dyDescent="0.25">
      <c r="A3135" s="62" t="s">
        <v>387</v>
      </c>
      <c r="B3135" s="62" t="s">
        <v>387</v>
      </c>
      <c r="C3135" s="63"/>
      <c r="D3135" s="64"/>
      <c r="E3135" s="65"/>
      <c r="F3135" s="66"/>
      <c r="G3135" s="63"/>
      <c r="H3135" s="67"/>
      <c r="I3135" s="68"/>
      <c r="J3135" s="68"/>
      <c r="K3135" s="32"/>
      <c r="L3135" s="75">
        <v>3135</v>
      </c>
      <c r="M3135" s="75"/>
      <c r="N3135" s="70"/>
      <c r="O3135" s="77" t="s">
        <v>179</v>
      </c>
      <c r="P3135" s="79">
        <v>45191.45076388889</v>
      </c>
      <c r="Q3135" s="77" t="s">
        <v>3807</v>
      </c>
      <c r="R3135" s="77">
        <v>0</v>
      </c>
      <c r="S3135" s="77">
        <v>1</v>
      </c>
      <c r="T3135" s="77">
        <v>0</v>
      </c>
      <c r="U3135" s="77">
        <v>0</v>
      </c>
      <c r="V3135" s="77">
        <v>470</v>
      </c>
      <c r="W3135" s="82" t="s">
        <v>4839</v>
      </c>
      <c r="X3135" s="80" t="str">
        <f>HYPERLINK("https://einvestidor.estadao.com.br/ultimas/bolsas-da-asia-fecham-mistas-incentivo-china/?utm_source=twitter&amp;utm_medium=organic&amp;utm_campaign=asia&amp;utm_content=materia")</f>
        <v>https://einvestidor.estadao.com.br/ultimas/bolsas-da-asia-fecham-mistas-incentivo-china/?utm_source=twitter&amp;utm_medium=organic&amp;utm_campaign=asia&amp;utm_content=materia</v>
      </c>
      <c r="Y3135" s="77" t="s">
        <v>6470</v>
      </c>
      <c r="Z3135" s="77"/>
      <c r="AA3135" s="77" t="s">
        <v>7620</v>
      </c>
      <c r="AB3135" s="77" t="s">
        <v>7742</v>
      </c>
      <c r="AC3135" s="82" t="s">
        <v>7750</v>
      </c>
      <c r="AD3135" s="77" t="s">
        <v>7788</v>
      </c>
      <c r="AE3135" s="80" t="str">
        <f>HYPERLINK("https://twitter.com/einvestidor/status/1705172364239978892")</f>
        <v>https://twitter.com/einvestidor/status/1705172364239978892</v>
      </c>
      <c r="AF3135" s="79">
        <v>45191.45076388889</v>
      </c>
      <c r="AG3135" s="85">
        <v>45191</v>
      </c>
      <c r="AH3135" s="82" t="s">
        <v>9949</v>
      </c>
      <c r="AI3135" s="77" t="b">
        <v>0</v>
      </c>
      <c r="AJ3135" s="77"/>
      <c r="AK3135" s="77"/>
      <c r="AL3135" s="77"/>
      <c r="AM3135" s="77"/>
      <c r="AN3135" s="77"/>
      <c r="AO3135" s="77"/>
      <c r="AP3135" s="77"/>
      <c r="AQ3135" s="77" t="s">
        <v>11592</v>
      </c>
      <c r="AR3135" s="77"/>
      <c r="AS3135" s="77"/>
      <c r="AT3135" s="77"/>
      <c r="AU3135" s="77"/>
      <c r="AV3135" s="80" t="str">
        <f>HYPERLINK("https://pbs.twimg.com/media/F6n9E8PW0AAR0_M.png")</f>
        <v>https://pbs.twimg.com/media/F6n9E8PW0AAR0_M.png</v>
      </c>
      <c r="AW3135" s="82" t="s">
        <v>14731</v>
      </c>
      <c r="AX3135" s="82" t="s">
        <v>14731</v>
      </c>
      <c r="AY3135" s="77"/>
      <c r="AZ3135" s="82" t="s">
        <v>15984</v>
      </c>
      <c r="BA3135" s="82" t="s">
        <v>15984</v>
      </c>
      <c r="BB3135" s="82" t="s">
        <v>15984</v>
      </c>
      <c r="BC3135" s="82" t="s">
        <v>14731</v>
      </c>
      <c r="BD3135" s="82" t="s">
        <v>15979</v>
      </c>
      <c r="BE3135" s="77"/>
      <c r="BF3135" s="77"/>
      <c r="BG3135" s="77"/>
      <c r="BH3135" s="77"/>
      <c r="BI3135" s="77"/>
    </row>
    <row r="3136" spans="1:61" x14ac:dyDescent="0.25">
      <c r="A3136" s="62" t="s">
        <v>387</v>
      </c>
      <c r="B3136" s="62" t="s">
        <v>387</v>
      </c>
      <c r="C3136" s="63"/>
      <c r="D3136" s="64"/>
      <c r="E3136" s="65"/>
      <c r="F3136" s="66"/>
      <c r="G3136" s="63"/>
      <c r="H3136" s="67"/>
      <c r="I3136" s="68"/>
      <c r="J3136" s="68"/>
      <c r="K3136" s="32"/>
      <c r="L3136" s="75">
        <v>3136</v>
      </c>
      <c r="M3136" s="75"/>
      <c r="N3136" s="70"/>
      <c r="O3136" s="77" t="s">
        <v>179</v>
      </c>
      <c r="P3136" s="79">
        <v>45189.833344907405</v>
      </c>
      <c r="Q3136" s="77" t="s">
        <v>3808</v>
      </c>
      <c r="R3136" s="77">
        <v>0</v>
      </c>
      <c r="S3136" s="77">
        <v>1</v>
      </c>
      <c r="T3136" s="77">
        <v>0</v>
      </c>
      <c r="U3136" s="77">
        <v>0</v>
      </c>
      <c r="V3136" s="77">
        <v>378</v>
      </c>
      <c r="W3136" s="82" t="s">
        <v>6228</v>
      </c>
      <c r="X3136" s="80" t="str">
        <f>HYPERLINK("https://einvestidor.estadao.com.br/mercado/reforma-fiscal-ecommerce-pressionam-acoes-varejo/?utm_source=twitter&amp;utm_medium=organic&amp;utm_campaign=&amp;utm_content=materia")</f>
        <v>https://einvestidor.estadao.com.br/mercado/reforma-fiscal-ecommerce-pressionam-acoes-varejo/?utm_source=twitter&amp;utm_medium=organic&amp;utm_campaign=&amp;utm_content=materia</v>
      </c>
      <c r="Y3136" s="77" t="s">
        <v>6470</v>
      </c>
      <c r="Z3136" s="77"/>
      <c r="AA3136" s="77"/>
      <c r="AB3136" s="77"/>
      <c r="AC3136" s="82" t="s">
        <v>7750</v>
      </c>
      <c r="AD3136" s="77" t="s">
        <v>7788</v>
      </c>
      <c r="AE3136" s="80" t="str">
        <f>HYPERLINK("https://twitter.com/einvestidor/status/1704586230544154688")</f>
        <v>https://twitter.com/einvestidor/status/1704586230544154688</v>
      </c>
      <c r="AF3136" s="79">
        <v>45189.833344907405</v>
      </c>
      <c r="AG3136" s="85">
        <v>45189</v>
      </c>
      <c r="AH3136" s="82" t="s">
        <v>8284</v>
      </c>
      <c r="AI3136" s="77" t="b">
        <v>0</v>
      </c>
      <c r="AJ3136" s="77"/>
      <c r="AK3136" s="77"/>
      <c r="AL3136" s="77"/>
      <c r="AM3136" s="77"/>
      <c r="AN3136" s="77"/>
      <c r="AO3136" s="77"/>
      <c r="AP3136" s="77"/>
      <c r="AQ3136" s="77"/>
      <c r="AR3136" s="77"/>
      <c r="AS3136" s="77"/>
      <c r="AT3136" s="77"/>
      <c r="AU3136" s="77"/>
      <c r="AV3136" s="80" t="str">
        <f>HYPERLINK("https://pbs.twimg.com/profile_images/1241147984924082183/gZgx_hL-_normal.jpg")</f>
        <v>https://pbs.twimg.com/profile_images/1241147984924082183/gZgx_hL-_normal.jpg</v>
      </c>
      <c r="AW3136" s="82" t="s">
        <v>14732</v>
      </c>
      <c r="AX3136" s="82" t="s">
        <v>14732</v>
      </c>
      <c r="AY3136" s="77"/>
      <c r="AZ3136" s="82" t="s">
        <v>15984</v>
      </c>
      <c r="BA3136" s="82" t="s">
        <v>15984</v>
      </c>
      <c r="BB3136" s="82" t="s">
        <v>15984</v>
      </c>
      <c r="BC3136" s="82" t="s">
        <v>14732</v>
      </c>
      <c r="BD3136" s="82" t="s">
        <v>15979</v>
      </c>
      <c r="BE3136" s="77"/>
      <c r="BF3136" s="77"/>
      <c r="BG3136" s="77"/>
      <c r="BH3136" s="77"/>
      <c r="BI3136" s="77"/>
    </row>
    <row r="3137" spans="1:61" x14ac:dyDescent="0.25">
      <c r="A3137" s="62" t="s">
        <v>387</v>
      </c>
      <c r="B3137" s="62" t="s">
        <v>387</v>
      </c>
      <c r="C3137" s="63"/>
      <c r="D3137" s="64"/>
      <c r="E3137" s="65"/>
      <c r="F3137" s="66"/>
      <c r="G3137" s="63"/>
      <c r="H3137" s="67"/>
      <c r="I3137" s="68"/>
      <c r="J3137" s="68"/>
      <c r="K3137" s="32"/>
      <c r="L3137" s="75">
        <v>3137</v>
      </c>
      <c r="M3137" s="75"/>
      <c r="N3137" s="70"/>
      <c r="O3137" s="77" t="s">
        <v>179</v>
      </c>
      <c r="P3137" s="79">
        <v>45189.822916666664</v>
      </c>
      <c r="Q3137" s="77" t="s">
        <v>3809</v>
      </c>
      <c r="R3137" s="77">
        <v>0</v>
      </c>
      <c r="S3137" s="77">
        <v>1</v>
      </c>
      <c r="T3137" s="77">
        <v>0</v>
      </c>
      <c r="U3137" s="77">
        <v>0</v>
      </c>
      <c r="V3137" s="77">
        <v>344</v>
      </c>
      <c r="W3137" s="82" t="s">
        <v>4833</v>
      </c>
      <c r="X3137" s="80" t="str">
        <f>HYPERLINK("https://einvestidor.estadao.com.br/ultimas/desenrola-pode-ser-paralisado-senado//?utm_source=twitter&amp;utm_medium=organic&amp;utm_campaign=&amp;utm_content=materia")</f>
        <v>https://einvestidor.estadao.com.br/ultimas/desenrola-pode-ser-paralisado-senado//?utm_source=twitter&amp;utm_medium=organic&amp;utm_campaign=&amp;utm_content=materia</v>
      </c>
      <c r="Y3137" s="77" t="s">
        <v>6470</v>
      </c>
      <c r="Z3137" s="77"/>
      <c r="AA3137" s="77"/>
      <c r="AB3137" s="77"/>
      <c r="AC3137" s="82" t="s">
        <v>7750</v>
      </c>
      <c r="AD3137" s="77" t="s">
        <v>7788</v>
      </c>
      <c r="AE3137" s="80" t="str">
        <f>HYPERLINK("https://twitter.com/einvestidor/status/1704582449705943150")</f>
        <v>https://twitter.com/einvestidor/status/1704582449705943150</v>
      </c>
      <c r="AF3137" s="79">
        <v>45189.822916666664</v>
      </c>
      <c r="AG3137" s="85">
        <v>45189</v>
      </c>
      <c r="AH3137" s="82" t="s">
        <v>9579</v>
      </c>
      <c r="AI3137" s="77" t="b">
        <v>0</v>
      </c>
      <c r="AJ3137" s="77"/>
      <c r="AK3137" s="77"/>
      <c r="AL3137" s="77"/>
      <c r="AM3137" s="77"/>
      <c r="AN3137" s="77"/>
      <c r="AO3137" s="77"/>
      <c r="AP3137" s="77"/>
      <c r="AQ3137" s="77"/>
      <c r="AR3137" s="77"/>
      <c r="AS3137" s="77"/>
      <c r="AT3137" s="77"/>
      <c r="AU3137" s="77"/>
      <c r="AV3137" s="80" t="str">
        <f>HYPERLINK("https://pbs.twimg.com/profile_images/1241147984924082183/gZgx_hL-_normal.jpg")</f>
        <v>https://pbs.twimg.com/profile_images/1241147984924082183/gZgx_hL-_normal.jpg</v>
      </c>
      <c r="AW3137" s="82" t="s">
        <v>14733</v>
      </c>
      <c r="AX3137" s="82" t="s">
        <v>14733</v>
      </c>
      <c r="AY3137" s="77"/>
      <c r="AZ3137" s="82" t="s">
        <v>15984</v>
      </c>
      <c r="BA3137" s="82" t="s">
        <v>15984</v>
      </c>
      <c r="BB3137" s="82" t="s">
        <v>15984</v>
      </c>
      <c r="BC3137" s="82" t="s">
        <v>14733</v>
      </c>
      <c r="BD3137" s="82" t="s">
        <v>15979</v>
      </c>
      <c r="BE3137" s="77"/>
      <c r="BF3137" s="77"/>
      <c r="BG3137" s="77"/>
      <c r="BH3137" s="77"/>
      <c r="BI3137" s="77"/>
    </row>
    <row r="3138" spans="1:61" x14ac:dyDescent="0.25">
      <c r="A3138" s="62" t="s">
        <v>387</v>
      </c>
      <c r="B3138" s="62" t="s">
        <v>387</v>
      </c>
      <c r="C3138" s="63"/>
      <c r="D3138" s="64"/>
      <c r="E3138" s="65"/>
      <c r="F3138" s="66"/>
      <c r="G3138" s="63"/>
      <c r="H3138" s="67"/>
      <c r="I3138" s="68"/>
      <c r="J3138" s="68"/>
      <c r="K3138" s="32"/>
      <c r="L3138" s="75">
        <v>3138</v>
      </c>
      <c r="M3138" s="75"/>
      <c r="N3138" s="70"/>
      <c r="O3138" s="77" t="s">
        <v>179</v>
      </c>
      <c r="P3138" s="79">
        <v>45189.8125</v>
      </c>
      <c r="Q3138" s="77" t="s">
        <v>3810</v>
      </c>
      <c r="R3138" s="77">
        <v>0</v>
      </c>
      <c r="S3138" s="77">
        <v>1</v>
      </c>
      <c r="T3138" s="77">
        <v>1</v>
      </c>
      <c r="U3138" s="77">
        <v>0</v>
      </c>
      <c r="V3138" s="77">
        <v>383</v>
      </c>
      <c r="W3138" s="82" t="s">
        <v>5907</v>
      </c>
      <c r="X3138" s="80" t="str">
        <f>HYPERLINK("https://einvestidor.estadao.com.br/ultimas/vale3-vale-acoes-sustentam-alta-acordando-fechamento-minerio/?utm_source=twitter&amp;utm_medium=organic&amp;utm_campaign=&amp;utm_content=materia")</f>
        <v>https://einvestidor.estadao.com.br/ultimas/vale3-vale-acoes-sustentam-alta-acordando-fechamento-minerio/?utm_source=twitter&amp;utm_medium=organic&amp;utm_campaign=&amp;utm_content=materia</v>
      </c>
      <c r="Y3138" s="77" t="s">
        <v>6470</v>
      </c>
      <c r="Z3138" s="77"/>
      <c r="AA3138" s="77"/>
      <c r="AB3138" s="77"/>
      <c r="AC3138" s="82" t="s">
        <v>7750</v>
      </c>
      <c r="AD3138" s="77" t="s">
        <v>7788</v>
      </c>
      <c r="AE3138" s="80" t="str">
        <f>HYPERLINK("https://twitter.com/einvestidor/status/1704578674543182071")</f>
        <v>https://twitter.com/einvestidor/status/1704578674543182071</v>
      </c>
      <c r="AF3138" s="79">
        <v>45189.8125</v>
      </c>
      <c r="AG3138" s="85">
        <v>45189</v>
      </c>
      <c r="AH3138" s="82" t="s">
        <v>8281</v>
      </c>
      <c r="AI3138" s="77" t="b">
        <v>0</v>
      </c>
      <c r="AJ3138" s="77"/>
      <c r="AK3138" s="77"/>
      <c r="AL3138" s="77"/>
      <c r="AM3138" s="77"/>
      <c r="AN3138" s="77"/>
      <c r="AO3138" s="77"/>
      <c r="AP3138" s="77"/>
      <c r="AQ3138" s="77"/>
      <c r="AR3138" s="77"/>
      <c r="AS3138" s="77"/>
      <c r="AT3138" s="77"/>
      <c r="AU3138" s="77"/>
      <c r="AV3138" s="80" t="str">
        <f>HYPERLINK("https://pbs.twimg.com/profile_images/1241147984924082183/gZgx_hL-_normal.jpg")</f>
        <v>https://pbs.twimg.com/profile_images/1241147984924082183/gZgx_hL-_normal.jpg</v>
      </c>
      <c r="AW3138" s="82" t="s">
        <v>14734</v>
      </c>
      <c r="AX3138" s="82" t="s">
        <v>14734</v>
      </c>
      <c r="AY3138" s="77"/>
      <c r="AZ3138" s="82" t="s">
        <v>15984</v>
      </c>
      <c r="BA3138" s="82" t="s">
        <v>15984</v>
      </c>
      <c r="BB3138" s="82" t="s">
        <v>15984</v>
      </c>
      <c r="BC3138" s="82" t="s">
        <v>14734</v>
      </c>
      <c r="BD3138" s="82" t="s">
        <v>15979</v>
      </c>
      <c r="BE3138" s="77"/>
      <c r="BF3138" s="77"/>
      <c r="BG3138" s="77"/>
      <c r="BH3138" s="77"/>
      <c r="BI3138" s="77"/>
    </row>
    <row r="3139" spans="1:61" x14ac:dyDescent="0.25">
      <c r="A3139" s="62" t="s">
        <v>387</v>
      </c>
      <c r="B3139" s="62" t="s">
        <v>387</v>
      </c>
      <c r="C3139" s="63"/>
      <c r="D3139" s="64"/>
      <c r="E3139" s="65"/>
      <c r="F3139" s="66"/>
      <c r="G3139" s="63"/>
      <c r="H3139" s="67"/>
      <c r="I3139" s="68"/>
      <c r="J3139" s="68"/>
      <c r="K3139" s="32"/>
      <c r="L3139" s="75">
        <v>3139</v>
      </c>
      <c r="M3139" s="75"/>
      <c r="N3139" s="70"/>
      <c r="O3139" s="77" t="s">
        <v>179</v>
      </c>
      <c r="P3139" s="79">
        <v>45189.791678240741</v>
      </c>
      <c r="Q3139" s="77" t="s">
        <v>3811</v>
      </c>
      <c r="R3139" s="77">
        <v>0</v>
      </c>
      <c r="S3139" s="77">
        <v>2</v>
      </c>
      <c r="T3139" s="77">
        <v>0</v>
      </c>
      <c r="U3139" s="77">
        <v>0</v>
      </c>
      <c r="V3139" s="77">
        <v>324</v>
      </c>
      <c r="W3139" s="82" t="s">
        <v>4833</v>
      </c>
      <c r="X3139" s="80" t="str">
        <f>HYPERLINK("https://einvestidor.estadao.com.br/radar-einvestidor/enel-rio-campanha-renegociacao-dividas-quem-tem-direito/?utm_source=twitter&amp;utm_medium=organic&amp;utm_campaign=&amp;utm_content=materia")</f>
        <v>https://einvestidor.estadao.com.br/radar-einvestidor/enel-rio-campanha-renegociacao-dividas-quem-tem-direito/?utm_source=twitter&amp;utm_medium=organic&amp;utm_campaign=&amp;utm_content=materia</v>
      </c>
      <c r="Y3139" s="77" t="s">
        <v>6470</v>
      </c>
      <c r="Z3139" s="77"/>
      <c r="AA3139" s="77"/>
      <c r="AB3139" s="77"/>
      <c r="AC3139" s="82" t="s">
        <v>7750</v>
      </c>
      <c r="AD3139" s="77" t="s">
        <v>7788</v>
      </c>
      <c r="AE3139" s="80" t="str">
        <f>HYPERLINK("https://twitter.com/einvestidor/status/1704571129573048500")</f>
        <v>https://twitter.com/einvestidor/status/1704571129573048500</v>
      </c>
      <c r="AF3139" s="79">
        <v>45189.791678240741</v>
      </c>
      <c r="AG3139" s="85">
        <v>45189</v>
      </c>
      <c r="AH3139" s="82" t="s">
        <v>7933</v>
      </c>
      <c r="AI3139" s="77" t="b">
        <v>0</v>
      </c>
      <c r="AJ3139" s="77"/>
      <c r="AK3139" s="77"/>
      <c r="AL3139" s="77"/>
      <c r="AM3139" s="77"/>
      <c r="AN3139" s="77"/>
      <c r="AO3139" s="77"/>
      <c r="AP3139" s="77"/>
      <c r="AQ3139" s="77"/>
      <c r="AR3139" s="77"/>
      <c r="AS3139" s="77"/>
      <c r="AT3139" s="77"/>
      <c r="AU3139" s="77"/>
      <c r="AV3139" s="80" t="str">
        <f>HYPERLINK("https://pbs.twimg.com/profile_images/1241147984924082183/gZgx_hL-_normal.jpg")</f>
        <v>https://pbs.twimg.com/profile_images/1241147984924082183/gZgx_hL-_normal.jpg</v>
      </c>
      <c r="AW3139" s="82" t="s">
        <v>14735</v>
      </c>
      <c r="AX3139" s="82" t="s">
        <v>14735</v>
      </c>
      <c r="AY3139" s="77"/>
      <c r="AZ3139" s="82" t="s">
        <v>15984</v>
      </c>
      <c r="BA3139" s="82" t="s">
        <v>15984</v>
      </c>
      <c r="BB3139" s="82" t="s">
        <v>15984</v>
      </c>
      <c r="BC3139" s="82" t="s">
        <v>14735</v>
      </c>
      <c r="BD3139" s="82" t="s">
        <v>15979</v>
      </c>
      <c r="BE3139" s="77"/>
      <c r="BF3139" s="77"/>
      <c r="BG3139" s="77"/>
      <c r="BH3139" s="77"/>
      <c r="BI3139" s="77"/>
    </row>
    <row r="3140" spans="1:61" x14ac:dyDescent="0.25">
      <c r="A3140" s="62" t="s">
        <v>387</v>
      </c>
      <c r="B3140" s="62" t="s">
        <v>387</v>
      </c>
      <c r="C3140" s="63"/>
      <c r="D3140" s="64"/>
      <c r="E3140" s="65"/>
      <c r="F3140" s="66"/>
      <c r="G3140" s="63"/>
      <c r="H3140" s="67"/>
      <c r="I3140" s="68"/>
      <c r="J3140" s="68"/>
      <c r="K3140" s="32"/>
      <c r="L3140" s="75">
        <v>3140</v>
      </c>
      <c r="M3140" s="75"/>
      <c r="N3140" s="70"/>
      <c r="O3140" s="77" t="s">
        <v>179</v>
      </c>
      <c r="P3140" s="79">
        <v>45189.78125</v>
      </c>
      <c r="Q3140" s="77" t="s">
        <v>3812</v>
      </c>
      <c r="R3140" s="77">
        <v>0</v>
      </c>
      <c r="S3140" s="77">
        <v>1</v>
      </c>
      <c r="T3140" s="77">
        <v>0</v>
      </c>
      <c r="U3140" s="77">
        <v>0</v>
      </c>
      <c r="V3140" s="77">
        <v>340</v>
      </c>
      <c r="W3140" s="82" t="s">
        <v>6229</v>
      </c>
      <c r="X3140" s="80" t="str">
        <f>HYPERLINK("https://einvestidor.estadao.com.br/radar-einvestidor/disney-disb34-anuncia-investimento-bilionario-acoes-sobem/?utm_source=twitter&amp;utm_medium=organic&amp;utm_campaign=&amp;utm_content=materia")</f>
        <v>https://einvestidor.estadao.com.br/radar-einvestidor/disney-disb34-anuncia-investimento-bilionario-acoes-sobem/?utm_source=twitter&amp;utm_medium=organic&amp;utm_campaign=&amp;utm_content=materia</v>
      </c>
      <c r="Y3140" s="77" t="s">
        <v>6470</v>
      </c>
      <c r="Z3140" s="77"/>
      <c r="AA3140" s="77"/>
      <c r="AB3140" s="77"/>
      <c r="AC3140" s="82" t="s">
        <v>7750</v>
      </c>
      <c r="AD3140" s="77" t="s">
        <v>7788</v>
      </c>
      <c r="AE3140" s="80" t="str">
        <f>HYPERLINK("https://twitter.com/einvestidor/status/1704567350060794232")</f>
        <v>https://twitter.com/einvestidor/status/1704567350060794232</v>
      </c>
      <c r="AF3140" s="79">
        <v>45189.78125</v>
      </c>
      <c r="AG3140" s="85">
        <v>45189</v>
      </c>
      <c r="AH3140" s="82" t="s">
        <v>9581</v>
      </c>
      <c r="AI3140" s="77" t="b">
        <v>0</v>
      </c>
      <c r="AJ3140" s="77"/>
      <c r="AK3140" s="77"/>
      <c r="AL3140" s="77"/>
      <c r="AM3140" s="77"/>
      <c r="AN3140" s="77"/>
      <c r="AO3140" s="77"/>
      <c r="AP3140" s="77"/>
      <c r="AQ3140" s="77"/>
      <c r="AR3140" s="77"/>
      <c r="AS3140" s="77"/>
      <c r="AT3140" s="77"/>
      <c r="AU3140" s="77"/>
      <c r="AV3140" s="80" t="str">
        <f>HYPERLINK("https://pbs.twimg.com/profile_images/1241147984924082183/gZgx_hL-_normal.jpg")</f>
        <v>https://pbs.twimg.com/profile_images/1241147984924082183/gZgx_hL-_normal.jpg</v>
      </c>
      <c r="AW3140" s="82" t="s">
        <v>14736</v>
      </c>
      <c r="AX3140" s="82" t="s">
        <v>14736</v>
      </c>
      <c r="AY3140" s="77"/>
      <c r="AZ3140" s="82" t="s">
        <v>15984</v>
      </c>
      <c r="BA3140" s="82" t="s">
        <v>15984</v>
      </c>
      <c r="BB3140" s="82" t="s">
        <v>15984</v>
      </c>
      <c r="BC3140" s="82" t="s">
        <v>14736</v>
      </c>
      <c r="BD3140" s="82" t="s">
        <v>15979</v>
      </c>
      <c r="BE3140" s="77"/>
      <c r="BF3140" s="77"/>
      <c r="BG3140" s="77"/>
      <c r="BH3140" s="77"/>
      <c r="BI3140" s="77"/>
    </row>
    <row r="3141" spans="1:61" x14ac:dyDescent="0.25">
      <c r="A3141" s="62" t="s">
        <v>387</v>
      </c>
      <c r="B3141" s="62" t="s">
        <v>387</v>
      </c>
      <c r="C3141" s="63"/>
      <c r="D3141" s="64"/>
      <c r="E3141" s="65"/>
      <c r="F3141" s="66"/>
      <c r="G3141" s="63"/>
      <c r="H3141" s="67"/>
      <c r="I3141" s="68"/>
      <c r="J3141" s="68"/>
      <c r="K3141" s="32"/>
      <c r="L3141" s="75">
        <v>3141</v>
      </c>
      <c r="M3141" s="75"/>
      <c r="N3141" s="70"/>
      <c r="O3141" s="77" t="s">
        <v>179</v>
      </c>
      <c r="P3141" s="79">
        <v>45189.770833333336</v>
      </c>
      <c r="Q3141" s="77" t="s">
        <v>3813</v>
      </c>
      <c r="R3141" s="77">
        <v>0</v>
      </c>
      <c r="S3141" s="77">
        <v>1</v>
      </c>
      <c r="T3141" s="77">
        <v>0</v>
      </c>
      <c r="U3141" s="77">
        <v>0</v>
      </c>
      <c r="V3141" s="77">
        <v>319</v>
      </c>
      <c r="W3141" s="82" t="s">
        <v>6230</v>
      </c>
      <c r="X3141" s="80" t="str">
        <f>HYPERLINK("https://einvestidor.estadao.com.br/radar-einvestidor/resultado-lotofacil-2908-aposta-unica-leva-bolada/?utm_source=twitter&amp;utm_medium=organic&amp;utm_campaign=&amp;utm_content=materia")</f>
        <v>https://einvestidor.estadao.com.br/radar-einvestidor/resultado-lotofacil-2908-aposta-unica-leva-bolada/?utm_source=twitter&amp;utm_medium=organic&amp;utm_campaign=&amp;utm_content=materia</v>
      </c>
      <c r="Y3141" s="77" t="s">
        <v>6470</v>
      </c>
      <c r="Z3141" s="77"/>
      <c r="AA3141" s="77"/>
      <c r="AB3141" s="77"/>
      <c r="AC3141" s="82" t="s">
        <v>7750</v>
      </c>
      <c r="AD3141" s="77" t="s">
        <v>7788</v>
      </c>
      <c r="AE3141" s="80" t="str">
        <f>HYPERLINK("https://twitter.com/einvestidor/status/1704563576189456770")</f>
        <v>https://twitter.com/einvestidor/status/1704563576189456770</v>
      </c>
      <c r="AF3141" s="79">
        <v>45189.770833333336</v>
      </c>
      <c r="AG3141" s="85">
        <v>45189</v>
      </c>
      <c r="AH3141" s="82" t="s">
        <v>7930</v>
      </c>
      <c r="AI3141" s="77" t="b">
        <v>0</v>
      </c>
      <c r="AJ3141" s="77"/>
      <c r="AK3141" s="77"/>
      <c r="AL3141" s="77"/>
      <c r="AM3141" s="77"/>
      <c r="AN3141" s="77"/>
      <c r="AO3141" s="77"/>
      <c r="AP3141" s="77"/>
      <c r="AQ3141" s="77"/>
      <c r="AR3141" s="77"/>
      <c r="AS3141" s="77"/>
      <c r="AT3141" s="77"/>
      <c r="AU3141" s="77"/>
      <c r="AV3141" s="80" t="str">
        <f>HYPERLINK("https://pbs.twimg.com/profile_images/1241147984924082183/gZgx_hL-_normal.jpg")</f>
        <v>https://pbs.twimg.com/profile_images/1241147984924082183/gZgx_hL-_normal.jpg</v>
      </c>
      <c r="AW3141" s="82" t="s">
        <v>14737</v>
      </c>
      <c r="AX3141" s="82" t="s">
        <v>14737</v>
      </c>
      <c r="AY3141" s="77"/>
      <c r="AZ3141" s="82" t="s">
        <v>15984</v>
      </c>
      <c r="BA3141" s="82" t="s">
        <v>15984</v>
      </c>
      <c r="BB3141" s="82" t="s">
        <v>15984</v>
      </c>
      <c r="BC3141" s="82" t="s">
        <v>14737</v>
      </c>
      <c r="BD3141" s="82" t="s">
        <v>15979</v>
      </c>
      <c r="BE3141" s="77"/>
      <c r="BF3141" s="77"/>
      <c r="BG3141" s="77"/>
      <c r="BH3141" s="77"/>
      <c r="BI3141" s="77"/>
    </row>
    <row r="3142" spans="1:61" x14ac:dyDescent="0.25">
      <c r="A3142" s="62" t="s">
        <v>387</v>
      </c>
      <c r="B3142" s="62" t="s">
        <v>387</v>
      </c>
      <c r="C3142" s="63"/>
      <c r="D3142" s="64"/>
      <c r="E3142" s="65"/>
      <c r="F3142" s="66"/>
      <c r="G3142" s="63"/>
      <c r="H3142" s="67"/>
      <c r="I3142" s="68"/>
      <c r="J3142" s="68"/>
      <c r="K3142" s="32"/>
      <c r="L3142" s="75">
        <v>3142</v>
      </c>
      <c r="M3142" s="75"/>
      <c r="N3142" s="70"/>
      <c r="O3142" s="77" t="s">
        <v>179</v>
      </c>
      <c r="P3142" s="79">
        <v>45189.760416666664</v>
      </c>
      <c r="Q3142" s="77" t="s">
        <v>3814</v>
      </c>
      <c r="R3142" s="77">
        <v>0</v>
      </c>
      <c r="S3142" s="77">
        <v>2</v>
      </c>
      <c r="T3142" s="77">
        <v>0</v>
      </c>
      <c r="U3142" s="77">
        <v>0</v>
      </c>
      <c r="V3142" s="77">
        <v>392</v>
      </c>
      <c r="W3142" s="82" t="s">
        <v>4833</v>
      </c>
      <c r="X3142" s="80" t="str">
        <f>HYPERLINK("https://einvestidor.estadao.com.br/ultimas/petr4-petrobras-empresa-mantem-alta-aguardo-fed-copom/?utm_source=twitter&amp;utm_medium=organic&amp;utm_campaign=&amp;utm_content=materia")</f>
        <v>https://einvestidor.estadao.com.br/ultimas/petr4-petrobras-empresa-mantem-alta-aguardo-fed-copom/?utm_source=twitter&amp;utm_medium=organic&amp;utm_campaign=&amp;utm_content=materia</v>
      </c>
      <c r="Y3142" s="77" t="s">
        <v>6470</v>
      </c>
      <c r="Z3142" s="77"/>
      <c r="AA3142" s="77"/>
      <c r="AB3142" s="77"/>
      <c r="AC3142" s="82" t="s">
        <v>7750</v>
      </c>
      <c r="AD3142" s="77" t="s">
        <v>7788</v>
      </c>
      <c r="AE3142" s="80" t="str">
        <f>HYPERLINK("https://twitter.com/einvestidor/status/1704559800514666823")</f>
        <v>https://twitter.com/einvestidor/status/1704559800514666823</v>
      </c>
      <c r="AF3142" s="79">
        <v>45189.760416666664</v>
      </c>
      <c r="AG3142" s="85">
        <v>45189</v>
      </c>
      <c r="AH3142" s="82" t="s">
        <v>9582</v>
      </c>
      <c r="AI3142" s="77" t="b">
        <v>0</v>
      </c>
      <c r="AJ3142" s="77"/>
      <c r="AK3142" s="77"/>
      <c r="AL3142" s="77"/>
      <c r="AM3142" s="77"/>
      <c r="AN3142" s="77"/>
      <c r="AO3142" s="77"/>
      <c r="AP3142" s="77"/>
      <c r="AQ3142" s="77"/>
      <c r="AR3142" s="77"/>
      <c r="AS3142" s="77"/>
      <c r="AT3142" s="77"/>
      <c r="AU3142" s="77"/>
      <c r="AV3142" s="80" t="str">
        <f>HYPERLINK("https://pbs.twimg.com/profile_images/1241147984924082183/gZgx_hL-_normal.jpg")</f>
        <v>https://pbs.twimg.com/profile_images/1241147984924082183/gZgx_hL-_normal.jpg</v>
      </c>
      <c r="AW3142" s="82" t="s">
        <v>14738</v>
      </c>
      <c r="AX3142" s="82" t="s">
        <v>14738</v>
      </c>
      <c r="AY3142" s="77"/>
      <c r="AZ3142" s="82" t="s">
        <v>15984</v>
      </c>
      <c r="BA3142" s="82" t="s">
        <v>15984</v>
      </c>
      <c r="BB3142" s="82" t="s">
        <v>15984</v>
      </c>
      <c r="BC3142" s="82" t="s">
        <v>14738</v>
      </c>
      <c r="BD3142" s="82" t="s">
        <v>15979</v>
      </c>
      <c r="BE3142" s="77"/>
      <c r="BF3142" s="77"/>
      <c r="BG3142" s="77"/>
      <c r="BH3142" s="77"/>
      <c r="BI3142" s="77"/>
    </row>
    <row r="3143" spans="1:61" x14ac:dyDescent="0.25">
      <c r="A3143" s="62" t="s">
        <v>387</v>
      </c>
      <c r="B3143" s="62" t="s">
        <v>387</v>
      </c>
      <c r="C3143" s="63"/>
      <c r="D3143" s="64"/>
      <c r="E3143" s="65"/>
      <c r="F3143" s="66"/>
      <c r="G3143" s="63"/>
      <c r="H3143" s="67"/>
      <c r="I3143" s="68"/>
      <c r="J3143" s="68"/>
      <c r="K3143" s="32"/>
      <c r="L3143" s="75">
        <v>3143</v>
      </c>
      <c r="M3143" s="75"/>
      <c r="N3143" s="70"/>
      <c r="O3143" s="77" t="s">
        <v>179</v>
      </c>
      <c r="P3143" s="79">
        <v>45189.72351851852</v>
      </c>
      <c r="Q3143" s="77" t="s">
        <v>3815</v>
      </c>
      <c r="R3143" s="77">
        <v>1</v>
      </c>
      <c r="S3143" s="77">
        <v>0</v>
      </c>
      <c r="T3143" s="77">
        <v>0</v>
      </c>
      <c r="U3143" s="77">
        <v>0</v>
      </c>
      <c r="V3143" s="77">
        <v>489</v>
      </c>
      <c r="W3143" s="82" t="s">
        <v>4833</v>
      </c>
      <c r="X3143" s="80" t="str">
        <f>HYPERLINK("https://einvestidor.estadao.com.br/mercado/mercado-intraday-20-09-2023/?utm_source=twitter&amp;utm_medium=organic&amp;utm_campaign=&amp;utm_content=materia")</f>
        <v>https://einvestidor.estadao.com.br/mercado/mercado-intraday-20-09-2023/?utm_source=twitter&amp;utm_medium=organic&amp;utm_campaign=&amp;utm_content=materia</v>
      </c>
      <c r="Y3143" s="77" t="s">
        <v>6470</v>
      </c>
      <c r="Z3143" s="77"/>
      <c r="AA3143" s="77"/>
      <c r="AB3143" s="77"/>
      <c r="AC3143" s="82" t="s">
        <v>7750</v>
      </c>
      <c r="AD3143" s="77" t="s">
        <v>7790</v>
      </c>
      <c r="AE3143" s="80" t="str">
        <f>HYPERLINK("https://twitter.com/einvestidor/status/1704546430885548080")</f>
        <v>https://twitter.com/einvestidor/status/1704546430885548080</v>
      </c>
      <c r="AF3143" s="79">
        <v>45189.72351851852</v>
      </c>
      <c r="AG3143" s="85">
        <v>45189</v>
      </c>
      <c r="AH3143" s="82" t="s">
        <v>9950</v>
      </c>
      <c r="AI3143" s="77" t="b">
        <v>0</v>
      </c>
      <c r="AJ3143" s="77"/>
      <c r="AK3143" s="77"/>
      <c r="AL3143" s="77"/>
      <c r="AM3143" s="77"/>
      <c r="AN3143" s="77"/>
      <c r="AO3143" s="77"/>
      <c r="AP3143" s="77"/>
      <c r="AQ3143" s="77"/>
      <c r="AR3143" s="77"/>
      <c r="AS3143" s="77"/>
      <c r="AT3143" s="77"/>
      <c r="AU3143" s="77"/>
      <c r="AV3143" s="80" t="str">
        <f>HYPERLINK("https://pbs.twimg.com/profile_images/1241147984924082183/gZgx_hL-_normal.jpg")</f>
        <v>https://pbs.twimg.com/profile_images/1241147984924082183/gZgx_hL-_normal.jpg</v>
      </c>
      <c r="AW3143" s="82" t="s">
        <v>14739</v>
      </c>
      <c r="AX3143" s="82" t="s">
        <v>14739</v>
      </c>
      <c r="AY3143" s="77"/>
      <c r="AZ3143" s="82" t="s">
        <v>15984</v>
      </c>
      <c r="BA3143" s="82" t="s">
        <v>15984</v>
      </c>
      <c r="BB3143" s="82" t="s">
        <v>15984</v>
      </c>
      <c r="BC3143" s="82" t="s">
        <v>14739</v>
      </c>
      <c r="BD3143" s="82" t="s">
        <v>15979</v>
      </c>
      <c r="BE3143" s="77"/>
      <c r="BF3143" s="77"/>
      <c r="BG3143" s="77"/>
      <c r="BH3143" s="77"/>
      <c r="BI3143" s="77"/>
    </row>
    <row r="3144" spans="1:61" x14ac:dyDescent="0.25">
      <c r="A3144" s="62" t="s">
        <v>387</v>
      </c>
      <c r="B3144" s="62" t="s">
        <v>387</v>
      </c>
      <c r="C3144" s="63"/>
      <c r="D3144" s="64"/>
      <c r="E3144" s="65"/>
      <c r="F3144" s="66"/>
      <c r="G3144" s="63"/>
      <c r="H3144" s="67"/>
      <c r="I3144" s="68"/>
      <c r="J3144" s="68"/>
      <c r="K3144" s="32"/>
      <c r="L3144" s="75">
        <v>3144</v>
      </c>
      <c r="M3144" s="75"/>
      <c r="N3144" s="70"/>
      <c r="O3144" s="77" t="s">
        <v>179</v>
      </c>
      <c r="P3144" s="79">
        <v>45189.739583333336</v>
      </c>
      <c r="Q3144" s="77" t="s">
        <v>3816</v>
      </c>
      <c r="R3144" s="77">
        <v>1</v>
      </c>
      <c r="S3144" s="77">
        <v>0</v>
      </c>
      <c r="T3144" s="77">
        <v>0</v>
      </c>
      <c r="U3144" s="77">
        <v>0</v>
      </c>
      <c r="V3144" s="77">
        <v>368</v>
      </c>
      <c r="W3144" s="82" t="s">
        <v>6231</v>
      </c>
      <c r="X3144" s="80" t="str">
        <f>HYPERLINK("https://einvestidor.estadao.com.br/ultimas/casas-bahia-bhia3-acoes-estreiam-em-alta/?utm_source=twitter&amp;utm_medium=organic&amp;utm_campaign=&amp;utm_content=materia")</f>
        <v>https://einvestidor.estadao.com.br/ultimas/casas-bahia-bhia3-acoes-estreiam-em-alta/?utm_source=twitter&amp;utm_medium=organic&amp;utm_campaign=&amp;utm_content=materia</v>
      </c>
      <c r="Y3144" s="77" t="s">
        <v>6470</v>
      </c>
      <c r="Z3144" s="77"/>
      <c r="AA3144" s="77"/>
      <c r="AB3144" s="77"/>
      <c r="AC3144" s="82" t="s">
        <v>7750</v>
      </c>
      <c r="AD3144" s="77" t="s">
        <v>7788</v>
      </c>
      <c r="AE3144" s="80" t="str">
        <f>HYPERLINK("https://twitter.com/einvestidor/status/1704552250369261692")</f>
        <v>https://twitter.com/einvestidor/status/1704552250369261692</v>
      </c>
      <c r="AF3144" s="79">
        <v>45189.739583333336</v>
      </c>
      <c r="AG3144" s="85">
        <v>45189</v>
      </c>
      <c r="AH3144" s="82" t="s">
        <v>9626</v>
      </c>
      <c r="AI3144" s="77" t="b">
        <v>0</v>
      </c>
      <c r="AJ3144" s="77"/>
      <c r="AK3144" s="77"/>
      <c r="AL3144" s="77"/>
      <c r="AM3144" s="77"/>
      <c r="AN3144" s="77"/>
      <c r="AO3144" s="77"/>
      <c r="AP3144" s="77"/>
      <c r="AQ3144" s="77"/>
      <c r="AR3144" s="77"/>
      <c r="AS3144" s="77"/>
      <c r="AT3144" s="77"/>
      <c r="AU3144" s="77"/>
      <c r="AV3144" s="80" t="str">
        <f>HYPERLINK("https://pbs.twimg.com/profile_images/1241147984924082183/gZgx_hL-_normal.jpg")</f>
        <v>https://pbs.twimg.com/profile_images/1241147984924082183/gZgx_hL-_normal.jpg</v>
      </c>
      <c r="AW3144" s="82" t="s">
        <v>14740</v>
      </c>
      <c r="AX3144" s="82" t="s">
        <v>14740</v>
      </c>
      <c r="AY3144" s="77"/>
      <c r="AZ3144" s="82" t="s">
        <v>15984</v>
      </c>
      <c r="BA3144" s="82" t="s">
        <v>15984</v>
      </c>
      <c r="BB3144" s="82" t="s">
        <v>15984</v>
      </c>
      <c r="BC3144" s="82" t="s">
        <v>14740</v>
      </c>
      <c r="BD3144" s="82" t="s">
        <v>15979</v>
      </c>
      <c r="BE3144" s="77"/>
      <c r="BF3144" s="77"/>
      <c r="BG3144" s="77"/>
      <c r="BH3144" s="77"/>
      <c r="BI3144" s="77"/>
    </row>
    <row r="3145" spans="1:61" x14ac:dyDescent="0.25">
      <c r="A3145" s="62" t="s">
        <v>387</v>
      </c>
      <c r="B3145" s="62" t="s">
        <v>387</v>
      </c>
      <c r="C3145" s="63"/>
      <c r="D3145" s="64"/>
      <c r="E3145" s="65"/>
      <c r="F3145" s="66"/>
      <c r="G3145" s="63"/>
      <c r="H3145" s="67"/>
      <c r="I3145" s="68"/>
      <c r="J3145" s="68"/>
      <c r="K3145" s="32"/>
      <c r="L3145" s="75">
        <v>3145</v>
      </c>
      <c r="M3145" s="75"/>
      <c r="N3145" s="70"/>
      <c r="O3145" s="77" t="s">
        <v>179</v>
      </c>
      <c r="P3145" s="79">
        <v>45184.854166666664</v>
      </c>
      <c r="Q3145" s="77" t="s">
        <v>3817</v>
      </c>
      <c r="R3145" s="77">
        <v>0</v>
      </c>
      <c r="S3145" s="77">
        <v>0</v>
      </c>
      <c r="T3145" s="77">
        <v>0</v>
      </c>
      <c r="U3145" s="77">
        <v>0</v>
      </c>
      <c r="V3145" s="77">
        <v>366</v>
      </c>
      <c r="W3145" s="82" t="s">
        <v>4833</v>
      </c>
      <c r="X3145" s="77" t="s">
        <v>6467</v>
      </c>
      <c r="Y3145" s="77" t="s">
        <v>6562</v>
      </c>
      <c r="Z3145" s="77"/>
      <c r="AA3145" s="77"/>
      <c r="AB3145" s="77"/>
      <c r="AC3145" s="82" t="s">
        <v>7750</v>
      </c>
      <c r="AD3145" s="77" t="s">
        <v>7788</v>
      </c>
      <c r="AE3145" s="80" t="str">
        <f>HYPERLINK("https://twitter.com/einvestidor/status/1702781835502133478")</f>
        <v>https://twitter.com/einvestidor/status/1702781835502133478</v>
      </c>
      <c r="AF3145" s="79">
        <v>45184.854166666664</v>
      </c>
      <c r="AG3145" s="85">
        <v>45184</v>
      </c>
      <c r="AH3145" s="82" t="s">
        <v>8090</v>
      </c>
      <c r="AI3145" s="77" t="b">
        <v>0</v>
      </c>
      <c r="AJ3145" s="77"/>
      <c r="AK3145" s="77"/>
      <c r="AL3145" s="77"/>
      <c r="AM3145" s="77"/>
      <c r="AN3145" s="77"/>
      <c r="AO3145" s="77"/>
      <c r="AP3145" s="77"/>
      <c r="AQ3145" s="77"/>
      <c r="AR3145" s="77"/>
      <c r="AS3145" s="77"/>
      <c r="AT3145" s="77"/>
      <c r="AU3145" s="77"/>
      <c r="AV3145" s="80" t="str">
        <f>HYPERLINK("https://pbs.twimg.com/profile_images/1241147984924082183/gZgx_hL-_normal.jpg")</f>
        <v>https://pbs.twimg.com/profile_images/1241147984924082183/gZgx_hL-_normal.jpg</v>
      </c>
      <c r="AW3145" s="82" t="s">
        <v>14741</v>
      </c>
      <c r="AX3145" s="82" t="s">
        <v>14741</v>
      </c>
      <c r="AY3145" s="77"/>
      <c r="AZ3145" s="82" t="s">
        <v>15984</v>
      </c>
      <c r="BA3145" s="82" t="s">
        <v>15984</v>
      </c>
      <c r="BB3145" s="82" t="s">
        <v>15984</v>
      </c>
      <c r="BC3145" s="82" t="s">
        <v>14741</v>
      </c>
      <c r="BD3145" s="82" t="s">
        <v>15979</v>
      </c>
      <c r="BE3145" s="77"/>
      <c r="BF3145" s="77"/>
      <c r="BG3145" s="77"/>
      <c r="BH3145" s="77"/>
      <c r="BI3145" s="77"/>
    </row>
    <row r="3146" spans="1:61" x14ac:dyDescent="0.25">
      <c r="A3146" s="62" t="s">
        <v>387</v>
      </c>
      <c r="B3146" s="62" t="s">
        <v>387</v>
      </c>
      <c r="C3146" s="63"/>
      <c r="D3146" s="64"/>
      <c r="E3146" s="65"/>
      <c r="F3146" s="66"/>
      <c r="G3146" s="63"/>
      <c r="H3146" s="67"/>
      <c r="I3146" s="68"/>
      <c r="J3146" s="68"/>
      <c r="K3146" s="32"/>
      <c r="L3146" s="75">
        <v>3146</v>
      </c>
      <c r="M3146" s="75"/>
      <c r="N3146" s="70"/>
      <c r="O3146" s="77" t="s">
        <v>179</v>
      </c>
      <c r="P3146" s="79">
        <v>45184.84375</v>
      </c>
      <c r="Q3146" s="77" t="s">
        <v>3818</v>
      </c>
      <c r="R3146" s="77">
        <v>0</v>
      </c>
      <c r="S3146" s="77">
        <v>0</v>
      </c>
      <c r="T3146" s="77">
        <v>0</v>
      </c>
      <c r="U3146" s="77">
        <v>0</v>
      </c>
      <c r="V3146" s="77">
        <v>373</v>
      </c>
      <c r="W3146" s="82" t="s">
        <v>6135</v>
      </c>
      <c r="X3146" s="80" t="str">
        <f>HYPERLINK("https://einvestidor.estadao.com.br/educacao-financeira/qual-a-porcentagem-de-desconto-do-inss/?utm_source=twitter&amp;utm_medium=organic&amp;utm_campaign=&amp;utm_content=materia")</f>
        <v>https://einvestidor.estadao.com.br/educacao-financeira/qual-a-porcentagem-de-desconto-do-inss/?utm_source=twitter&amp;utm_medium=organic&amp;utm_campaign=&amp;utm_content=materia</v>
      </c>
      <c r="Y3146" s="77" t="s">
        <v>6470</v>
      </c>
      <c r="Z3146" s="77"/>
      <c r="AA3146" s="77"/>
      <c r="AB3146" s="77"/>
      <c r="AC3146" s="82" t="s">
        <v>7750</v>
      </c>
      <c r="AD3146" s="77" t="s">
        <v>7788</v>
      </c>
      <c r="AE3146" s="80" t="str">
        <f>HYPERLINK("https://twitter.com/einvestidor/status/1702778059844202751")</f>
        <v>https://twitter.com/einvestidor/status/1702778059844202751</v>
      </c>
      <c r="AF3146" s="79">
        <v>45184.84375</v>
      </c>
      <c r="AG3146" s="85">
        <v>45184</v>
      </c>
      <c r="AH3146" s="82" t="s">
        <v>9296</v>
      </c>
      <c r="AI3146" s="77" t="b">
        <v>0</v>
      </c>
      <c r="AJ3146" s="77"/>
      <c r="AK3146" s="77"/>
      <c r="AL3146" s="77"/>
      <c r="AM3146" s="77"/>
      <c r="AN3146" s="77"/>
      <c r="AO3146" s="77"/>
      <c r="AP3146" s="77"/>
      <c r="AQ3146" s="77"/>
      <c r="AR3146" s="77"/>
      <c r="AS3146" s="77"/>
      <c r="AT3146" s="77"/>
      <c r="AU3146" s="77"/>
      <c r="AV3146" s="80" t="str">
        <f>HYPERLINK("https://pbs.twimg.com/profile_images/1241147984924082183/gZgx_hL-_normal.jpg")</f>
        <v>https://pbs.twimg.com/profile_images/1241147984924082183/gZgx_hL-_normal.jpg</v>
      </c>
      <c r="AW3146" s="82" t="s">
        <v>14742</v>
      </c>
      <c r="AX3146" s="82" t="s">
        <v>14742</v>
      </c>
      <c r="AY3146" s="77"/>
      <c r="AZ3146" s="82" t="s">
        <v>15984</v>
      </c>
      <c r="BA3146" s="82" t="s">
        <v>15984</v>
      </c>
      <c r="BB3146" s="82" t="s">
        <v>15984</v>
      </c>
      <c r="BC3146" s="82" t="s">
        <v>14742</v>
      </c>
      <c r="BD3146" s="82" t="s">
        <v>15979</v>
      </c>
      <c r="BE3146" s="77"/>
      <c r="BF3146" s="77"/>
      <c r="BG3146" s="77"/>
      <c r="BH3146" s="77"/>
      <c r="BI3146" s="77"/>
    </row>
    <row r="3147" spans="1:61" x14ac:dyDescent="0.25">
      <c r="A3147" s="62" t="s">
        <v>387</v>
      </c>
      <c r="B3147" s="62" t="s">
        <v>387</v>
      </c>
      <c r="C3147" s="63"/>
      <c r="D3147" s="64"/>
      <c r="E3147" s="65"/>
      <c r="F3147" s="66"/>
      <c r="G3147" s="63"/>
      <c r="H3147" s="67"/>
      <c r="I3147" s="68"/>
      <c r="J3147" s="68"/>
      <c r="K3147" s="32"/>
      <c r="L3147" s="75">
        <v>3147</v>
      </c>
      <c r="M3147" s="75"/>
      <c r="N3147" s="70"/>
      <c r="O3147" s="77" t="s">
        <v>179</v>
      </c>
      <c r="P3147" s="79">
        <v>45184.833344907405</v>
      </c>
      <c r="Q3147" s="77" t="s">
        <v>3819</v>
      </c>
      <c r="R3147" s="77">
        <v>1</v>
      </c>
      <c r="S3147" s="77">
        <v>0</v>
      </c>
      <c r="T3147" s="77">
        <v>0</v>
      </c>
      <c r="U3147" s="77">
        <v>0</v>
      </c>
      <c r="V3147" s="77">
        <v>442</v>
      </c>
      <c r="W3147" s="82" t="s">
        <v>4833</v>
      </c>
      <c r="X3147" s="80" t="str">
        <f>HYPERLINK("https://einvestidor.estadao.com.br/mercado/acoes-casas-bahia-via-oportunidade-cilada/?utm_source=twitter&amp;utm_medium=organic&amp;utm_campaign=&amp;utm_content=materia")</f>
        <v>https://einvestidor.estadao.com.br/mercado/acoes-casas-bahia-via-oportunidade-cilada/?utm_source=twitter&amp;utm_medium=organic&amp;utm_campaign=&amp;utm_content=materia</v>
      </c>
      <c r="Y3147" s="77" t="s">
        <v>6470</v>
      </c>
      <c r="Z3147" s="77"/>
      <c r="AA3147" s="77"/>
      <c r="AB3147" s="77"/>
      <c r="AC3147" s="82" t="s">
        <v>7750</v>
      </c>
      <c r="AD3147" s="77" t="s">
        <v>7788</v>
      </c>
      <c r="AE3147" s="80" t="str">
        <f>HYPERLINK("https://twitter.com/einvestidor/status/1702774288493789682")</f>
        <v>https://twitter.com/einvestidor/status/1702774288493789682</v>
      </c>
      <c r="AF3147" s="79">
        <v>45184.833344907405</v>
      </c>
      <c r="AG3147" s="85">
        <v>45184</v>
      </c>
      <c r="AH3147" s="82" t="s">
        <v>8284</v>
      </c>
      <c r="AI3147" s="77" t="b">
        <v>0</v>
      </c>
      <c r="AJ3147" s="77"/>
      <c r="AK3147" s="77"/>
      <c r="AL3147" s="77"/>
      <c r="AM3147" s="77"/>
      <c r="AN3147" s="77"/>
      <c r="AO3147" s="77"/>
      <c r="AP3147" s="77"/>
      <c r="AQ3147" s="77"/>
      <c r="AR3147" s="77"/>
      <c r="AS3147" s="77"/>
      <c r="AT3147" s="77"/>
      <c r="AU3147" s="77"/>
      <c r="AV3147" s="80" t="str">
        <f>HYPERLINK("https://pbs.twimg.com/profile_images/1241147984924082183/gZgx_hL-_normal.jpg")</f>
        <v>https://pbs.twimg.com/profile_images/1241147984924082183/gZgx_hL-_normal.jpg</v>
      </c>
      <c r="AW3147" s="82" t="s">
        <v>14743</v>
      </c>
      <c r="AX3147" s="82" t="s">
        <v>14743</v>
      </c>
      <c r="AY3147" s="77"/>
      <c r="AZ3147" s="82" t="s">
        <v>15984</v>
      </c>
      <c r="BA3147" s="82" t="s">
        <v>15984</v>
      </c>
      <c r="BB3147" s="82" t="s">
        <v>15984</v>
      </c>
      <c r="BC3147" s="82" t="s">
        <v>14743</v>
      </c>
      <c r="BD3147" s="82" t="s">
        <v>15979</v>
      </c>
      <c r="BE3147" s="77"/>
      <c r="BF3147" s="77"/>
      <c r="BG3147" s="77"/>
      <c r="BH3147" s="77"/>
      <c r="BI3147" s="77"/>
    </row>
    <row r="3148" spans="1:61" x14ac:dyDescent="0.25">
      <c r="A3148" s="62" t="s">
        <v>387</v>
      </c>
      <c r="B3148" s="62" t="s">
        <v>387</v>
      </c>
      <c r="C3148" s="63"/>
      <c r="D3148" s="64"/>
      <c r="E3148" s="65"/>
      <c r="F3148" s="66"/>
      <c r="G3148" s="63"/>
      <c r="H3148" s="67"/>
      <c r="I3148" s="68"/>
      <c r="J3148" s="68"/>
      <c r="K3148" s="32"/>
      <c r="L3148" s="75">
        <v>3148</v>
      </c>
      <c r="M3148" s="75"/>
      <c r="N3148" s="70"/>
      <c r="O3148" s="77" t="s">
        <v>179</v>
      </c>
      <c r="P3148" s="79">
        <v>45184.822916666664</v>
      </c>
      <c r="Q3148" s="77" t="s">
        <v>3820</v>
      </c>
      <c r="R3148" s="77">
        <v>0</v>
      </c>
      <c r="S3148" s="77">
        <v>0</v>
      </c>
      <c r="T3148" s="77">
        <v>0</v>
      </c>
      <c r="U3148" s="77">
        <v>0</v>
      </c>
      <c r="V3148" s="77">
        <v>581</v>
      </c>
      <c r="W3148" s="82" t="s">
        <v>4833</v>
      </c>
      <c r="X3148" s="80" t="str">
        <f>HYPERLINK("https://einvestidor.estadao.com.br/radar-einvestidor/acoes-wiz-co-wizc3-derretem-apos-anuncio-dividendos/?utm_source=twitter&amp;utm_medium=organic&amp;utm_campaign=&amp;utm_content=materia")</f>
        <v>https://einvestidor.estadao.com.br/radar-einvestidor/acoes-wiz-co-wizc3-derretem-apos-anuncio-dividendos/?utm_source=twitter&amp;utm_medium=organic&amp;utm_campaign=&amp;utm_content=materia</v>
      </c>
      <c r="Y3148" s="77" t="s">
        <v>6470</v>
      </c>
      <c r="Z3148" s="77"/>
      <c r="AA3148" s="77"/>
      <c r="AB3148" s="77"/>
      <c r="AC3148" s="82" t="s">
        <v>7750</v>
      </c>
      <c r="AD3148" s="77" t="s">
        <v>7788</v>
      </c>
      <c r="AE3148" s="80" t="str">
        <f>HYPERLINK("https://twitter.com/einvestidor/status/1702770510302486992")</f>
        <v>https://twitter.com/einvestidor/status/1702770510302486992</v>
      </c>
      <c r="AF3148" s="79">
        <v>45184.822916666664</v>
      </c>
      <c r="AG3148" s="85">
        <v>45184</v>
      </c>
      <c r="AH3148" s="82" t="s">
        <v>9579</v>
      </c>
      <c r="AI3148" s="77" t="b">
        <v>0</v>
      </c>
      <c r="AJ3148" s="77"/>
      <c r="AK3148" s="77"/>
      <c r="AL3148" s="77"/>
      <c r="AM3148" s="77"/>
      <c r="AN3148" s="77"/>
      <c r="AO3148" s="77"/>
      <c r="AP3148" s="77"/>
      <c r="AQ3148" s="77"/>
      <c r="AR3148" s="77"/>
      <c r="AS3148" s="77"/>
      <c r="AT3148" s="77"/>
      <c r="AU3148" s="77"/>
      <c r="AV3148" s="80" t="str">
        <f>HYPERLINK("https://pbs.twimg.com/profile_images/1241147984924082183/gZgx_hL-_normal.jpg")</f>
        <v>https://pbs.twimg.com/profile_images/1241147984924082183/gZgx_hL-_normal.jpg</v>
      </c>
      <c r="AW3148" s="82" t="s">
        <v>14744</v>
      </c>
      <c r="AX3148" s="82" t="s">
        <v>14744</v>
      </c>
      <c r="AY3148" s="77"/>
      <c r="AZ3148" s="82" t="s">
        <v>15984</v>
      </c>
      <c r="BA3148" s="82" t="s">
        <v>15984</v>
      </c>
      <c r="BB3148" s="82" t="s">
        <v>15984</v>
      </c>
      <c r="BC3148" s="82" t="s">
        <v>14744</v>
      </c>
      <c r="BD3148" s="82" t="s">
        <v>15979</v>
      </c>
      <c r="BE3148" s="77"/>
      <c r="BF3148" s="77"/>
      <c r="BG3148" s="77"/>
      <c r="BH3148" s="77"/>
      <c r="BI3148" s="77"/>
    </row>
    <row r="3149" spans="1:61" x14ac:dyDescent="0.25">
      <c r="A3149" s="62" t="s">
        <v>387</v>
      </c>
      <c r="B3149" s="62" t="s">
        <v>387</v>
      </c>
      <c r="C3149" s="63"/>
      <c r="D3149" s="64"/>
      <c r="E3149" s="65"/>
      <c r="F3149" s="66"/>
      <c r="G3149" s="63"/>
      <c r="H3149" s="67"/>
      <c r="I3149" s="68"/>
      <c r="J3149" s="68"/>
      <c r="K3149" s="32"/>
      <c r="L3149" s="75">
        <v>3149</v>
      </c>
      <c r="M3149" s="75"/>
      <c r="N3149" s="70"/>
      <c r="O3149" s="77" t="s">
        <v>179</v>
      </c>
      <c r="P3149" s="79">
        <v>45184.8125</v>
      </c>
      <c r="Q3149" s="77" t="s">
        <v>3821</v>
      </c>
      <c r="R3149" s="77">
        <v>0</v>
      </c>
      <c r="S3149" s="77">
        <v>1</v>
      </c>
      <c r="T3149" s="77">
        <v>0</v>
      </c>
      <c r="U3149" s="77">
        <v>0</v>
      </c>
      <c r="V3149" s="77">
        <v>488</v>
      </c>
      <c r="W3149" s="82" t="s">
        <v>6232</v>
      </c>
      <c r="X3149" s="80" t="str">
        <f>HYPERLINK("https://einvestidor.estadao.com.br/radar-einvestidor/mega-sena-2632-acumula-para-valor-milionario/?utm_source=twitter&amp;utm_medium=organic&amp;utm_campaign=&amp;utm_content=materia")</f>
        <v>https://einvestidor.estadao.com.br/radar-einvestidor/mega-sena-2632-acumula-para-valor-milionario/?utm_source=twitter&amp;utm_medium=organic&amp;utm_campaign=&amp;utm_content=materia</v>
      </c>
      <c r="Y3149" s="77" t="s">
        <v>6470</v>
      </c>
      <c r="Z3149" s="77"/>
      <c r="AA3149" s="77"/>
      <c r="AB3149" s="77"/>
      <c r="AC3149" s="82" t="s">
        <v>7750</v>
      </c>
      <c r="AD3149" s="77" t="s">
        <v>7788</v>
      </c>
      <c r="AE3149" s="80" t="str">
        <f>HYPERLINK("https://twitter.com/einvestidor/status/1702766736854942024")</f>
        <v>https://twitter.com/einvestidor/status/1702766736854942024</v>
      </c>
      <c r="AF3149" s="79">
        <v>45184.8125</v>
      </c>
      <c r="AG3149" s="85">
        <v>45184</v>
      </c>
      <c r="AH3149" s="82" t="s">
        <v>8281</v>
      </c>
      <c r="AI3149" s="77" t="b">
        <v>0</v>
      </c>
      <c r="AJ3149" s="77"/>
      <c r="AK3149" s="77"/>
      <c r="AL3149" s="77"/>
      <c r="AM3149" s="77"/>
      <c r="AN3149" s="77"/>
      <c r="AO3149" s="77"/>
      <c r="AP3149" s="77"/>
      <c r="AQ3149" s="77"/>
      <c r="AR3149" s="77"/>
      <c r="AS3149" s="77"/>
      <c r="AT3149" s="77"/>
      <c r="AU3149" s="77"/>
      <c r="AV3149" s="80" t="str">
        <f>HYPERLINK("https://pbs.twimg.com/profile_images/1241147984924082183/gZgx_hL-_normal.jpg")</f>
        <v>https://pbs.twimg.com/profile_images/1241147984924082183/gZgx_hL-_normal.jpg</v>
      </c>
      <c r="AW3149" s="82" t="s">
        <v>14745</v>
      </c>
      <c r="AX3149" s="82" t="s">
        <v>14745</v>
      </c>
      <c r="AY3149" s="77"/>
      <c r="AZ3149" s="82" t="s">
        <v>15984</v>
      </c>
      <c r="BA3149" s="82" t="s">
        <v>15984</v>
      </c>
      <c r="BB3149" s="82" t="s">
        <v>15984</v>
      </c>
      <c r="BC3149" s="82" t="s">
        <v>14745</v>
      </c>
      <c r="BD3149" s="82" t="s">
        <v>15979</v>
      </c>
      <c r="BE3149" s="77"/>
      <c r="BF3149" s="77"/>
      <c r="BG3149" s="77"/>
      <c r="BH3149" s="77"/>
      <c r="BI3149" s="77"/>
    </row>
    <row r="3150" spans="1:61" x14ac:dyDescent="0.25">
      <c r="A3150" s="62" t="s">
        <v>387</v>
      </c>
      <c r="B3150" s="62" t="s">
        <v>387</v>
      </c>
      <c r="C3150" s="63"/>
      <c r="D3150" s="64"/>
      <c r="E3150" s="65"/>
      <c r="F3150" s="66"/>
      <c r="G3150" s="63"/>
      <c r="H3150" s="67"/>
      <c r="I3150" s="68"/>
      <c r="J3150" s="68"/>
      <c r="K3150" s="32"/>
      <c r="L3150" s="75">
        <v>3150</v>
      </c>
      <c r="M3150" s="75"/>
      <c r="N3150" s="70"/>
      <c r="O3150" s="77" t="s">
        <v>179</v>
      </c>
      <c r="P3150" s="79">
        <v>45184.791643518518</v>
      </c>
      <c r="Q3150" s="77" t="s">
        <v>3822</v>
      </c>
      <c r="R3150" s="77">
        <v>0</v>
      </c>
      <c r="S3150" s="77">
        <v>2</v>
      </c>
      <c r="T3150" s="77">
        <v>0</v>
      </c>
      <c r="U3150" s="77">
        <v>0</v>
      </c>
      <c r="V3150" s="77">
        <v>464</v>
      </c>
      <c r="W3150" s="82" t="s">
        <v>6233</v>
      </c>
      <c r="X3150" s="80" t="str">
        <f>HYPERLINK("https://einvestidor.estadao.com.br/ultimas/bradesco-recomendacao-rival-itau-itub4/?utm_source=twitter&amp;utm_medium=organic&amp;utm_campaign=&amp;utm_content=materia")</f>
        <v>https://einvestidor.estadao.com.br/ultimas/bradesco-recomendacao-rival-itau-itub4/?utm_source=twitter&amp;utm_medium=organic&amp;utm_campaign=&amp;utm_content=materia</v>
      </c>
      <c r="Y3150" s="77" t="s">
        <v>6470</v>
      </c>
      <c r="Z3150" s="77"/>
      <c r="AA3150" s="77"/>
      <c r="AB3150" s="77"/>
      <c r="AC3150" s="82" t="s">
        <v>7750</v>
      </c>
      <c r="AD3150" s="77" t="s">
        <v>7788</v>
      </c>
      <c r="AE3150" s="80" t="str">
        <f>HYPERLINK("https://twitter.com/einvestidor/status/1702759178320671118")</f>
        <v>https://twitter.com/einvestidor/status/1702759178320671118</v>
      </c>
      <c r="AF3150" s="79">
        <v>45184.791643518518</v>
      </c>
      <c r="AG3150" s="85">
        <v>45184</v>
      </c>
      <c r="AH3150" s="82" t="s">
        <v>9951</v>
      </c>
      <c r="AI3150" s="77" t="b">
        <v>0</v>
      </c>
      <c r="AJ3150" s="77"/>
      <c r="AK3150" s="77"/>
      <c r="AL3150" s="77"/>
      <c r="AM3150" s="77"/>
      <c r="AN3150" s="77"/>
      <c r="AO3150" s="77"/>
      <c r="AP3150" s="77"/>
      <c r="AQ3150" s="77"/>
      <c r="AR3150" s="77"/>
      <c r="AS3150" s="77"/>
      <c r="AT3150" s="77"/>
      <c r="AU3150" s="77"/>
      <c r="AV3150" s="80" t="str">
        <f>HYPERLINK("https://pbs.twimg.com/profile_images/1241147984924082183/gZgx_hL-_normal.jpg")</f>
        <v>https://pbs.twimg.com/profile_images/1241147984924082183/gZgx_hL-_normal.jpg</v>
      </c>
      <c r="AW3150" s="82" t="s">
        <v>14746</v>
      </c>
      <c r="AX3150" s="82" t="s">
        <v>14746</v>
      </c>
      <c r="AY3150" s="77"/>
      <c r="AZ3150" s="82" t="s">
        <v>15984</v>
      </c>
      <c r="BA3150" s="82" t="s">
        <v>15984</v>
      </c>
      <c r="BB3150" s="82" t="s">
        <v>15984</v>
      </c>
      <c r="BC3150" s="82" t="s">
        <v>14746</v>
      </c>
      <c r="BD3150" s="82" t="s">
        <v>15979</v>
      </c>
      <c r="BE3150" s="77"/>
      <c r="BF3150" s="77"/>
      <c r="BG3150" s="77"/>
      <c r="BH3150" s="77"/>
      <c r="BI3150" s="77"/>
    </row>
    <row r="3151" spans="1:61" x14ac:dyDescent="0.25">
      <c r="A3151" s="62" t="s">
        <v>387</v>
      </c>
      <c r="B3151" s="62" t="s">
        <v>387</v>
      </c>
      <c r="C3151" s="63"/>
      <c r="D3151" s="64"/>
      <c r="E3151" s="65"/>
      <c r="F3151" s="66"/>
      <c r="G3151" s="63"/>
      <c r="H3151" s="67"/>
      <c r="I3151" s="68"/>
      <c r="J3151" s="68"/>
      <c r="K3151" s="32"/>
      <c r="L3151" s="75">
        <v>3151</v>
      </c>
      <c r="M3151" s="75"/>
      <c r="N3151" s="70"/>
      <c r="O3151" s="77" t="s">
        <v>179</v>
      </c>
      <c r="P3151" s="79">
        <v>45184.78125</v>
      </c>
      <c r="Q3151" s="77" t="s">
        <v>3823</v>
      </c>
      <c r="R3151" s="77">
        <v>0</v>
      </c>
      <c r="S3151" s="77">
        <v>2</v>
      </c>
      <c r="T3151" s="77">
        <v>0</v>
      </c>
      <c r="U3151" s="77">
        <v>0</v>
      </c>
      <c r="V3151" s="77">
        <v>437</v>
      </c>
      <c r="W3151" s="82" t="s">
        <v>4833</v>
      </c>
      <c r="X3151" s="80" t="str">
        <f>HYPERLINK("https://einvestidor.estadao.com.br/colunas/fabricio-tota/cpi-piramides-protecao-investidores-criptomoedas/?utm_source=twitter&amp;utm_medium=organic&amp;utm_campaign=&amp;utm_content=materia")</f>
        <v>https://einvestidor.estadao.com.br/colunas/fabricio-tota/cpi-piramides-protecao-investidores-criptomoedas/?utm_source=twitter&amp;utm_medium=organic&amp;utm_campaign=&amp;utm_content=materia</v>
      </c>
      <c r="Y3151" s="77" t="s">
        <v>6470</v>
      </c>
      <c r="Z3151" s="77"/>
      <c r="AA3151" s="77"/>
      <c r="AB3151" s="77"/>
      <c r="AC3151" s="82" t="s">
        <v>7750</v>
      </c>
      <c r="AD3151" s="77" t="s">
        <v>7788</v>
      </c>
      <c r="AE3151" s="80" t="str">
        <f>HYPERLINK("https://twitter.com/einvestidor/status/1702755410648735856")</f>
        <v>https://twitter.com/einvestidor/status/1702755410648735856</v>
      </c>
      <c r="AF3151" s="79">
        <v>45184.78125</v>
      </c>
      <c r="AG3151" s="85">
        <v>45184</v>
      </c>
      <c r="AH3151" s="82" t="s">
        <v>9581</v>
      </c>
      <c r="AI3151" s="77" t="b">
        <v>0</v>
      </c>
      <c r="AJ3151" s="77"/>
      <c r="AK3151" s="77"/>
      <c r="AL3151" s="77"/>
      <c r="AM3151" s="77"/>
      <c r="AN3151" s="77"/>
      <c r="AO3151" s="77"/>
      <c r="AP3151" s="77"/>
      <c r="AQ3151" s="77"/>
      <c r="AR3151" s="77"/>
      <c r="AS3151" s="77"/>
      <c r="AT3151" s="77"/>
      <c r="AU3151" s="77"/>
      <c r="AV3151" s="80" t="str">
        <f>HYPERLINK("https://pbs.twimg.com/profile_images/1241147984924082183/gZgx_hL-_normal.jpg")</f>
        <v>https://pbs.twimg.com/profile_images/1241147984924082183/gZgx_hL-_normal.jpg</v>
      </c>
      <c r="AW3151" s="82" t="s">
        <v>14747</v>
      </c>
      <c r="AX3151" s="82" t="s">
        <v>14747</v>
      </c>
      <c r="AY3151" s="77"/>
      <c r="AZ3151" s="82" t="s">
        <v>15984</v>
      </c>
      <c r="BA3151" s="82" t="s">
        <v>15984</v>
      </c>
      <c r="BB3151" s="82" t="s">
        <v>15984</v>
      </c>
      <c r="BC3151" s="82" t="s">
        <v>14747</v>
      </c>
      <c r="BD3151" s="82" t="s">
        <v>15979</v>
      </c>
      <c r="BE3151" s="77"/>
      <c r="BF3151" s="77"/>
      <c r="BG3151" s="77"/>
      <c r="BH3151" s="77"/>
      <c r="BI3151" s="77"/>
    </row>
    <row r="3152" spans="1:61" x14ac:dyDescent="0.25">
      <c r="A3152" s="62" t="s">
        <v>387</v>
      </c>
      <c r="B3152" s="62" t="s">
        <v>387</v>
      </c>
      <c r="C3152" s="63"/>
      <c r="D3152" s="64"/>
      <c r="E3152" s="65"/>
      <c r="F3152" s="66"/>
      <c r="G3152" s="63"/>
      <c r="H3152" s="67"/>
      <c r="I3152" s="68"/>
      <c r="J3152" s="68"/>
      <c r="K3152" s="32"/>
      <c r="L3152" s="75">
        <v>3152</v>
      </c>
      <c r="M3152" s="75"/>
      <c r="N3152" s="70"/>
      <c r="O3152" s="77" t="s">
        <v>179</v>
      </c>
      <c r="P3152" s="79">
        <v>45184.770833333336</v>
      </c>
      <c r="Q3152" s="77" t="s">
        <v>3824</v>
      </c>
      <c r="R3152" s="77">
        <v>0</v>
      </c>
      <c r="S3152" s="77">
        <v>1</v>
      </c>
      <c r="T3152" s="77">
        <v>0</v>
      </c>
      <c r="U3152" s="77">
        <v>0</v>
      </c>
      <c r="V3152" s="77">
        <v>449</v>
      </c>
      <c r="W3152" s="82" t="s">
        <v>6234</v>
      </c>
      <c r="X3152" s="80" t="str">
        <f>HYPERLINK("https://einvestidor.estadao.com.br/ultimas/tesla-securitizacao-titulos-veiculos-arrendados/?utm_source=twitter&amp;utm_medium=organic&amp;utm_campaign=&amp;utm_content=materia")</f>
        <v>https://einvestidor.estadao.com.br/ultimas/tesla-securitizacao-titulos-veiculos-arrendados/?utm_source=twitter&amp;utm_medium=organic&amp;utm_campaign=&amp;utm_content=materia</v>
      </c>
      <c r="Y3152" s="77" t="s">
        <v>6470</v>
      </c>
      <c r="Z3152" s="77"/>
      <c r="AA3152" s="77"/>
      <c r="AB3152" s="77"/>
      <c r="AC3152" s="82" t="s">
        <v>7750</v>
      </c>
      <c r="AD3152" s="77" t="s">
        <v>7788</v>
      </c>
      <c r="AE3152" s="80" t="str">
        <f>HYPERLINK("https://twitter.com/einvestidor/status/1702751637675352380")</f>
        <v>https://twitter.com/einvestidor/status/1702751637675352380</v>
      </c>
      <c r="AF3152" s="79">
        <v>45184.770833333336</v>
      </c>
      <c r="AG3152" s="85">
        <v>45184</v>
      </c>
      <c r="AH3152" s="82" t="s">
        <v>7930</v>
      </c>
      <c r="AI3152" s="77" t="b">
        <v>0</v>
      </c>
      <c r="AJ3152" s="77"/>
      <c r="AK3152" s="77"/>
      <c r="AL3152" s="77"/>
      <c r="AM3152" s="77"/>
      <c r="AN3152" s="77"/>
      <c r="AO3152" s="77"/>
      <c r="AP3152" s="77"/>
      <c r="AQ3152" s="77"/>
      <c r="AR3152" s="77"/>
      <c r="AS3152" s="77"/>
      <c r="AT3152" s="77"/>
      <c r="AU3152" s="77"/>
      <c r="AV3152" s="80" t="str">
        <f>HYPERLINK("https://pbs.twimg.com/profile_images/1241147984924082183/gZgx_hL-_normal.jpg")</f>
        <v>https://pbs.twimg.com/profile_images/1241147984924082183/gZgx_hL-_normal.jpg</v>
      </c>
      <c r="AW3152" s="82" t="s">
        <v>14748</v>
      </c>
      <c r="AX3152" s="82" t="s">
        <v>14748</v>
      </c>
      <c r="AY3152" s="77"/>
      <c r="AZ3152" s="82" t="s">
        <v>15984</v>
      </c>
      <c r="BA3152" s="82" t="s">
        <v>15984</v>
      </c>
      <c r="BB3152" s="82" t="s">
        <v>15984</v>
      </c>
      <c r="BC3152" s="82" t="s">
        <v>14748</v>
      </c>
      <c r="BD3152" s="82" t="s">
        <v>15979</v>
      </c>
      <c r="BE3152" s="77"/>
      <c r="BF3152" s="77"/>
      <c r="BG3152" s="77"/>
      <c r="BH3152" s="77"/>
      <c r="BI3152" s="77"/>
    </row>
    <row r="3153" spans="1:61" x14ac:dyDescent="0.25">
      <c r="A3153" s="62" t="s">
        <v>387</v>
      </c>
      <c r="B3153" s="62" t="s">
        <v>387</v>
      </c>
      <c r="C3153" s="63"/>
      <c r="D3153" s="64"/>
      <c r="E3153" s="65"/>
      <c r="F3153" s="66"/>
      <c r="G3153" s="63"/>
      <c r="H3153" s="67"/>
      <c r="I3153" s="68"/>
      <c r="J3153" s="68"/>
      <c r="K3153" s="32"/>
      <c r="L3153" s="75">
        <v>3153</v>
      </c>
      <c r="M3153" s="75"/>
      <c r="N3153" s="70"/>
      <c r="O3153" s="77" t="s">
        <v>898</v>
      </c>
      <c r="P3153" s="79">
        <v>45173.499814814815</v>
      </c>
      <c r="Q3153" s="77" t="s">
        <v>3825</v>
      </c>
      <c r="R3153" s="77">
        <v>0</v>
      </c>
      <c r="S3153" s="77">
        <v>1</v>
      </c>
      <c r="T3153" s="77">
        <v>0</v>
      </c>
      <c r="U3153" s="77">
        <v>0</v>
      </c>
      <c r="V3153" s="77">
        <v>359</v>
      </c>
      <c r="W3153" s="82" t="s">
        <v>6235</v>
      </c>
      <c r="X3153" s="80" t="str">
        <f>HYPERLINK("https://einvestidor.estadao.com.br/mercado/mercado-hoje-eletrobras-vale-telefonica-anatel/?utm_source=twitter&amp;utm_medium=organic&amp;utm_campaign=mercado-hoje&amp;utm_content=materia")</f>
        <v>https://einvestidor.estadao.com.br/mercado/mercado-hoje-eletrobras-vale-telefonica-anatel/?utm_source=twitter&amp;utm_medium=organic&amp;utm_campaign=mercado-hoje&amp;utm_content=materia</v>
      </c>
      <c r="Y3153" s="77" t="s">
        <v>6470</v>
      </c>
      <c r="Z3153" s="77"/>
      <c r="AA3153" s="77"/>
      <c r="AB3153" s="77"/>
      <c r="AC3153" s="82" t="s">
        <v>7750</v>
      </c>
      <c r="AD3153" s="77" t="s">
        <v>7788</v>
      </c>
      <c r="AE3153" s="80" t="str">
        <f>HYPERLINK("https://twitter.com/einvestidor/status/1698667158538945010")</f>
        <v>https://twitter.com/einvestidor/status/1698667158538945010</v>
      </c>
      <c r="AF3153" s="79">
        <v>45173.499814814815</v>
      </c>
      <c r="AG3153" s="85">
        <v>45173</v>
      </c>
      <c r="AH3153" s="82" t="s">
        <v>9952</v>
      </c>
      <c r="AI3153" s="77" t="b">
        <v>0</v>
      </c>
      <c r="AJ3153" s="77"/>
      <c r="AK3153" s="77"/>
      <c r="AL3153" s="77"/>
      <c r="AM3153" s="77"/>
      <c r="AN3153" s="77"/>
      <c r="AO3153" s="77"/>
      <c r="AP3153" s="77"/>
      <c r="AQ3153" s="77"/>
      <c r="AR3153" s="77"/>
      <c r="AS3153" s="77"/>
      <c r="AT3153" s="77"/>
      <c r="AU3153" s="77"/>
      <c r="AV3153" s="80" t="str">
        <f>HYPERLINK("https://pbs.twimg.com/profile_images/1241147984924082183/gZgx_hL-_normal.jpg")</f>
        <v>https://pbs.twimg.com/profile_images/1241147984924082183/gZgx_hL-_normal.jpg</v>
      </c>
      <c r="AW3153" s="82" t="s">
        <v>14749</v>
      </c>
      <c r="AX3153" s="82" t="s">
        <v>15902</v>
      </c>
      <c r="AY3153" s="82" t="s">
        <v>15979</v>
      </c>
      <c r="AZ3153" s="82" t="s">
        <v>15902</v>
      </c>
      <c r="BA3153" s="82" t="s">
        <v>15984</v>
      </c>
      <c r="BB3153" s="82" t="s">
        <v>15984</v>
      </c>
      <c r="BC3153" s="82" t="s">
        <v>15902</v>
      </c>
      <c r="BD3153" s="82" t="s">
        <v>15979</v>
      </c>
      <c r="BE3153" s="77"/>
      <c r="BF3153" s="77"/>
      <c r="BG3153" s="77"/>
      <c r="BH3153" s="77"/>
      <c r="BI3153" s="77"/>
    </row>
    <row r="3154" spans="1:61" x14ac:dyDescent="0.25">
      <c r="A3154" s="62" t="s">
        <v>387</v>
      </c>
      <c r="B3154" s="62" t="s">
        <v>387</v>
      </c>
      <c r="C3154" s="63"/>
      <c r="D3154" s="64"/>
      <c r="E3154" s="65"/>
      <c r="F3154" s="66"/>
      <c r="G3154" s="63"/>
      <c r="H3154" s="67"/>
      <c r="I3154" s="68"/>
      <c r="J3154" s="68"/>
      <c r="K3154" s="32"/>
      <c r="L3154" s="75">
        <v>3154</v>
      </c>
      <c r="M3154" s="75"/>
      <c r="N3154" s="70"/>
      <c r="O3154" s="77" t="s">
        <v>179</v>
      </c>
      <c r="P3154" s="79">
        <v>45162.441550925927</v>
      </c>
      <c r="Q3154" s="77" t="s">
        <v>3826</v>
      </c>
      <c r="R3154" s="77">
        <v>0</v>
      </c>
      <c r="S3154" s="77">
        <v>4</v>
      </c>
      <c r="T3154" s="77">
        <v>0</v>
      </c>
      <c r="U3154" s="77">
        <v>0</v>
      </c>
      <c r="V3154" s="77">
        <v>592</v>
      </c>
      <c r="W3154" s="82" t="s">
        <v>4839</v>
      </c>
      <c r="X3154" s="80" t="str">
        <f>HYPERLINK("https://einvestidor.estadao.com.br/ultimas/bolsas-europa-balanco-nvidia/?utm_source=twitter&amp;utm_medium=organic&amp;utm_campaign=europa&amp;utm_content=materia")</f>
        <v>https://einvestidor.estadao.com.br/ultimas/bolsas-europa-balanco-nvidia/?utm_source=twitter&amp;utm_medium=organic&amp;utm_campaign=europa&amp;utm_content=materia</v>
      </c>
      <c r="Y3154" s="77" t="s">
        <v>6470</v>
      </c>
      <c r="Z3154" s="77"/>
      <c r="AA3154" s="77"/>
      <c r="AB3154" s="77"/>
      <c r="AC3154" s="82" t="s">
        <v>7750</v>
      </c>
      <c r="AD3154" s="77" t="s">
        <v>7788</v>
      </c>
      <c r="AE3154" s="80" t="str">
        <f>HYPERLINK("https://twitter.com/einvestidor/status/1694659775626134006")</f>
        <v>https://twitter.com/einvestidor/status/1694659775626134006</v>
      </c>
      <c r="AF3154" s="79">
        <v>45162.441550925927</v>
      </c>
      <c r="AG3154" s="85">
        <v>45162</v>
      </c>
      <c r="AH3154" s="82" t="s">
        <v>9953</v>
      </c>
      <c r="AI3154" s="77" t="b">
        <v>0</v>
      </c>
      <c r="AJ3154" s="77"/>
      <c r="AK3154" s="77"/>
      <c r="AL3154" s="77"/>
      <c r="AM3154" s="77"/>
      <c r="AN3154" s="77"/>
      <c r="AO3154" s="77"/>
      <c r="AP3154" s="77"/>
      <c r="AQ3154" s="77"/>
      <c r="AR3154" s="77"/>
      <c r="AS3154" s="77"/>
      <c r="AT3154" s="77"/>
      <c r="AU3154" s="77"/>
      <c r="AV3154" s="80" t="str">
        <f>HYPERLINK("https://pbs.twimg.com/profile_images/1241147984924082183/gZgx_hL-_normal.jpg")</f>
        <v>https://pbs.twimg.com/profile_images/1241147984924082183/gZgx_hL-_normal.jpg</v>
      </c>
      <c r="AW3154" s="82" t="s">
        <v>14750</v>
      </c>
      <c r="AX3154" s="82" t="s">
        <v>14750</v>
      </c>
      <c r="AY3154" s="77"/>
      <c r="AZ3154" s="82" t="s">
        <v>15984</v>
      </c>
      <c r="BA3154" s="82" t="s">
        <v>15984</v>
      </c>
      <c r="BB3154" s="82" t="s">
        <v>15984</v>
      </c>
      <c r="BC3154" s="82" t="s">
        <v>14750</v>
      </c>
      <c r="BD3154" s="82" t="s">
        <v>15979</v>
      </c>
      <c r="BE3154" s="77"/>
      <c r="BF3154" s="77"/>
      <c r="BG3154" s="77"/>
      <c r="BH3154" s="77"/>
      <c r="BI3154" s="77"/>
    </row>
    <row r="3155" spans="1:61" x14ac:dyDescent="0.25">
      <c r="A3155" s="62" t="s">
        <v>387</v>
      </c>
      <c r="B3155" s="62" t="s">
        <v>387</v>
      </c>
      <c r="C3155" s="63"/>
      <c r="D3155" s="64"/>
      <c r="E3155" s="65"/>
      <c r="F3155" s="66"/>
      <c r="G3155" s="63"/>
      <c r="H3155" s="67"/>
      <c r="I3155" s="68"/>
      <c r="J3155" s="68"/>
      <c r="K3155" s="32"/>
      <c r="L3155" s="75">
        <v>3155</v>
      </c>
      <c r="M3155" s="75"/>
      <c r="N3155" s="70"/>
      <c r="O3155" s="77" t="s">
        <v>179</v>
      </c>
      <c r="P3155" s="79">
        <v>45141.989583333336</v>
      </c>
      <c r="Q3155" s="77" t="s">
        <v>3827</v>
      </c>
      <c r="R3155" s="77">
        <v>0</v>
      </c>
      <c r="S3155" s="77">
        <v>1</v>
      </c>
      <c r="T3155" s="77">
        <v>0</v>
      </c>
      <c r="U3155" s="77">
        <v>0</v>
      </c>
      <c r="V3155" s="77">
        <v>772</v>
      </c>
      <c r="W3155" s="82" t="s">
        <v>4833</v>
      </c>
      <c r="X3155" s="80" t="str">
        <f>HYPERLINK("https://mla.bs/38665bd8")</f>
        <v>https://mla.bs/38665bd8</v>
      </c>
      <c r="Y3155" s="77" t="s">
        <v>6506</v>
      </c>
      <c r="Z3155" s="77"/>
      <c r="AA3155" s="77"/>
      <c r="AB3155" s="77"/>
      <c r="AC3155" s="82" t="s">
        <v>7754</v>
      </c>
      <c r="AD3155" s="77" t="s">
        <v>7788</v>
      </c>
      <c r="AE3155" s="80" t="str">
        <f>HYPERLINK("https://twitter.com/einvestidor/status/1687248229677813761")</f>
        <v>https://twitter.com/einvestidor/status/1687248229677813761</v>
      </c>
      <c r="AF3155" s="79">
        <v>45141.989583333336</v>
      </c>
      <c r="AG3155" s="85">
        <v>45141</v>
      </c>
      <c r="AH3155" s="82" t="s">
        <v>9620</v>
      </c>
      <c r="AI3155" s="77" t="b">
        <v>0</v>
      </c>
      <c r="AJ3155" s="77"/>
      <c r="AK3155" s="77"/>
      <c r="AL3155" s="77"/>
      <c r="AM3155" s="77"/>
      <c r="AN3155" s="77"/>
      <c r="AO3155" s="77"/>
      <c r="AP3155" s="77"/>
      <c r="AQ3155" s="77"/>
      <c r="AR3155" s="77"/>
      <c r="AS3155" s="77"/>
      <c r="AT3155" s="77"/>
      <c r="AU3155" s="77"/>
      <c r="AV3155" s="80" t="str">
        <f>HYPERLINK("https://pbs.twimg.com/profile_images/1241147984924082183/gZgx_hL-_normal.jpg")</f>
        <v>https://pbs.twimg.com/profile_images/1241147984924082183/gZgx_hL-_normal.jpg</v>
      </c>
      <c r="AW3155" s="82" t="s">
        <v>14751</v>
      </c>
      <c r="AX3155" s="82" t="s">
        <v>14751</v>
      </c>
      <c r="AY3155" s="77"/>
      <c r="AZ3155" s="82" t="s">
        <v>15984</v>
      </c>
      <c r="BA3155" s="82" t="s">
        <v>15984</v>
      </c>
      <c r="BB3155" s="82" t="s">
        <v>15984</v>
      </c>
      <c r="BC3155" s="82" t="s">
        <v>14751</v>
      </c>
      <c r="BD3155" s="82" t="s">
        <v>15979</v>
      </c>
      <c r="BE3155" s="77"/>
      <c r="BF3155" s="77"/>
      <c r="BG3155" s="77"/>
      <c r="BH3155" s="77"/>
      <c r="BI3155" s="77"/>
    </row>
    <row r="3156" spans="1:61" x14ac:dyDescent="0.25">
      <c r="A3156" s="62" t="s">
        <v>387</v>
      </c>
      <c r="B3156" s="62" t="s">
        <v>387</v>
      </c>
      <c r="C3156" s="63"/>
      <c r="D3156" s="64"/>
      <c r="E3156" s="65"/>
      <c r="F3156" s="66"/>
      <c r="G3156" s="63"/>
      <c r="H3156" s="67"/>
      <c r="I3156" s="68"/>
      <c r="J3156" s="68"/>
      <c r="K3156" s="32"/>
      <c r="L3156" s="75">
        <v>3156</v>
      </c>
      <c r="M3156" s="75"/>
      <c r="N3156" s="70"/>
      <c r="O3156" s="77" t="s">
        <v>179</v>
      </c>
      <c r="P3156" s="79">
        <v>45141.979166666664</v>
      </c>
      <c r="Q3156" s="77" t="s">
        <v>3828</v>
      </c>
      <c r="R3156" s="77">
        <v>0</v>
      </c>
      <c r="S3156" s="77">
        <v>3</v>
      </c>
      <c r="T3156" s="77">
        <v>0</v>
      </c>
      <c r="U3156" s="77">
        <v>0</v>
      </c>
      <c r="V3156" s="77">
        <v>635</v>
      </c>
      <c r="W3156" s="82" t="s">
        <v>4833</v>
      </c>
      <c r="X3156" s="80" t="str">
        <f>HYPERLINK("https://mla.bs/68c12870")</f>
        <v>https://mla.bs/68c12870</v>
      </c>
      <c r="Y3156" s="77" t="s">
        <v>6506</v>
      </c>
      <c r="Z3156" s="77"/>
      <c r="AA3156" s="77"/>
      <c r="AB3156" s="77"/>
      <c r="AC3156" s="82" t="s">
        <v>7754</v>
      </c>
      <c r="AD3156" s="77" t="s">
        <v>7788</v>
      </c>
      <c r="AE3156" s="80" t="str">
        <f>HYPERLINK("https://twitter.com/einvestidor/status/1687244457203355648")</f>
        <v>https://twitter.com/einvestidor/status/1687244457203355648</v>
      </c>
      <c r="AF3156" s="79">
        <v>45141.979166666664</v>
      </c>
      <c r="AG3156" s="85">
        <v>45141</v>
      </c>
      <c r="AH3156" s="82" t="s">
        <v>7928</v>
      </c>
      <c r="AI3156" s="77" t="b">
        <v>0</v>
      </c>
      <c r="AJ3156" s="77"/>
      <c r="AK3156" s="77"/>
      <c r="AL3156" s="77"/>
      <c r="AM3156" s="77"/>
      <c r="AN3156" s="77"/>
      <c r="AO3156" s="77"/>
      <c r="AP3156" s="77"/>
      <c r="AQ3156" s="77"/>
      <c r="AR3156" s="77"/>
      <c r="AS3156" s="77"/>
      <c r="AT3156" s="77"/>
      <c r="AU3156" s="77"/>
      <c r="AV3156" s="80" t="str">
        <f>HYPERLINK("https://pbs.twimg.com/profile_images/1241147984924082183/gZgx_hL-_normal.jpg")</f>
        <v>https://pbs.twimg.com/profile_images/1241147984924082183/gZgx_hL-_normal.jpg</v>
      </c>
      <c r="AW3156" s="82" t="s">
        <v>14752</v>
      </c>
      <c r="AX3156" s="82" t="s">
        <v>14752</v>
      </c>
      <c r="AY3156" s="77"/>
      <c r="AZ3156" s="82" t="s">
        <v>15984</v>
      </c>
      <c r="BA3156" s="82" t="s">
        <v>15984</v>
      </c>
      <c r="BB3156" s="82" t="s">
        <v>15984</v>
      </c>
      <c r="BC3156" s="82" t="s">
        <v>14752</v>
      </c>
      <c r="BD3156" s="82" t="s">
        <v>15979</v>
      </c>
      <c r="BE3156" s="77"/>
      <c r="BF3156" s="77"/>
      <c r="BG3156" s="77"/>
      <c r="BH3156" s="77"/>
      <c r="BI3156" s="77"/>
    </row>
    <row r="3157" spans="1:61" x14ac:dyDescent="0.25">
      <c r="A3157" s="62" t="s">
        <v>387</v>
      </c>
      <c r="B3157" s="62" t="s">
        <v>387</v>
      </c>
      <c r="C3157" s="63"/>
      <c r="D3157" s="64"/>
      <c r="E3157" s="65"/>
      <c r="F3157" s="66"/>
      <c r="G3157" s="63"/>
      <c r="H3157" s="67"/>
      <c r="I3157" s="68"/>
      <c r="J3157" s="68"/>
      <c r="K3157" s="32"/>
      <c r="L3157" s="75">
        <v>3157</v>
      </c>
      <c r="M3157" s="75"/>
      <c r="N3157" s="70"/>
      <c r="O3157" s="77" t="s">
        <v>179</v>
      </c>
      <c r="P3157" s="79">
        <v>45141.96875</v>
      </c>
      <c r="Q3157" s="77" t="s">
        <v>3829</v>
      </c>
      <c r="R3157" s="77">
        <v>0</v>
      </c>
      <c r="S3157" s="77">
        <v>6</v>
      </c>
      <c r="T3157" s="77">
        <v>0</v>
      </c>
      <c r="U3157" s="77">
        <v>0</v>
      </c>
      <c r="V3157" s="77">
        <v>759</v>
      </c>
      <c r="W3157" s="82" t="s">
        <v>5907</v>
      </c>
      <c r="X3157" s="80" t="str">
        <f>HYPERLINK("https://mla.bs/5fb4412b")</f>
        <v>https://mla.bs/5fb4412b</v>
      </c>
      <c r="Y3157" s="77" t="s">
        <v>6506</v>
      </c>
      <c r="Z3157" s="77"/>
      <c r="AA3157" s="77"/>
      <c r="AB3157" s="77"/>
      <c r="AC3157" s="82" t="s">
        <v>7754</v>
      </c>
      <c r="AD3157" s="77" t="s">
        <v>7788</v>
      </c>
      <c r="AE3157" s="80" t="str">
        <f>HYPERLINK("https://twitter.com/einvestidor/status/1687240680245014528")</f>
        <v>https://twitter.com/einvestidor/status/1687240680245014528</v>
      </c>
      <c r="AF3157" s="79">
        <v>45141.96875</v>
      </c>
      <c r="AG3157" s="85">
        <v>45141</v>
      </c>
      <c r="AH3157" s="82" t="s">
        <v>9621</v>
      </c>
      <c r="AI3157" s="77" t="b">
        <v>0</v>
      </c>
      <c r="AJ3157" s="77"/>
      <c r="AK3157" s="77"/>
      <c r="AL3157" s="77"/>
      <c r="AM3157" s="77"/>
      <c r="AN3157" s="77"/>
      <c r="AO3157" s="77"/>
      <c r="AP3157" s="77"/>
      <c r="AQ3157" s="77"/>
      <c r="AR3157" s="77"/>
      <c r="AS3157" s="77"/>
      <c r="AT3157" s="77"/>
      <c r="AU3157" s="77"/>
      <c r="AV3157" s="80" t="str">
        <f>HYPERLINK("https://pbs.twimg.com/profile_images/1241147984924082183/gZgx_hL-_normal.jpg")</f>
        <v>https://pbs.twimg.com/profile_images/1241147984924082183/gZgx_hL-_normal.jpg</v>
      </c>
      <c r="AW3157" s="82" t="s">
        <v>14753</v>
      </c>
      <c r="AX3157" s="82" t="s">
        <v>14753</v>
      </c>
      <c r="AY3157" s="77"/>
      <c r="AZ3157" s="82" t="s">
        <v>15984</v>
      </c>
      <c r="BA3157" s="82" t="s">
        <v>15984</v>
      </c>
      <c r="BB3157" s="82" t="s">
        <v>15984</v>
      </c>
      <c r="BC3157" s="82" t="s">
        <v>14753</v>
      </c>
      <c r="BD3157" s="82" t="s">
        <v>15979</v>
      </c>
      <c r="BE3157" s="77"/>
      <c r="BF3157" s="77"/>
      <c r="BG3157" s="77"/>
      <c r="BH3157" s="77"/>
      <c r="BI3157" s="77"/>
    </row>
    <row r="3158" spans="1:61" x14ac:dyDescent="0.25">
      <c r="A3158" s="62" t="s">
        <v>387</v>
      </c>
      <c r="B3158" s="62" t="s">
        <v>387</v>
      </c>
      <c r="C3158" s="63"/>
      <c r="D3158" s="64"/>
      <c r="E3158" s="65"/>
      <c r="F3158" s="66"/>
      <c r="G3158" s="63"/>
      <c r="H3158" s="67"/>
      <c r="I3158" s="68"/>
      <c r="J3158" s="68"/>
      <c r="K3158" s="32"/>
      <c r="L3158" s="75">
        <v>3158</v>
      </c>
      <c r="M3158" s="75"/>
      <c r="N3158" s="70"/>
      <c r="O3158" s="77" t="s">
        <v>179</v>
      </c>
      <c r="P3158" s="79">
        <v>45141.958333333336</v>
      </c>
      <c r="Q3158" s="77" t="s">
        <v>3830</v>
      </c>
      <c r="R3158" s="77">
        <v>0</v>
      </c>
      <c r="S3158" s="77">
        <v>2</v>
      </c>
      <c r="T3158" s="77">
        <v>0</v>
      </c>
      <c r="U3158" s="77">
        <v>0</v>
      </c>
      <c r="V3158" s="77">
        <v>504</v>
      </c>
      <c r="W3158" s="82" t="s">
        <v>4833</v>
      </c>
      <c r="X3158" s="80" t="str">
        <f>HYPERLINK("https://mla.bs/499b5e92")</f>
        <v>https://mla.bs/499b5e92</v>
      </c>
      <c r="Y3158" s="77" t="s">
        <v>6506</v>
      </c>
      <c r="Z3158" s="77"/>
      <c r="AA3158" s="77"/>
      <c r="AB3158" s="77"/>
      <c r="AC3158" s="82" t="s">
        <v>7754</v>
      </c>
      <c r="AD3158" s="77" t="s">
        <v>7788</v>
      </c>
      <c r="AE3158" s="80" t="str">
        <f>HYPERLINK("https://twitter.com/einvestidor/status/1687236907812450305")</f>
        <v>https://twitter.com/einvestidor/status/1687236907812450305</v>
      </c>
      <c r="AF3158" s="79">
        <v>45141.958333333336</v>
      </c>
      <c r="AG3158" s="85">
        <v>45141</v>
      </c>
      <c r="AH3158" s="82" t="s">
        <v>8279</v>
      </c>
      <c r="AI3158" s="77" t="b">
        <v>0</v>
      </c>
      <c r="AJ3158" s="77"/>
      <c r="AK3158" s="77"/>
      <c r="AL3158" s="77"/>
      <c r="AM3158" s="77"/>
      <c r="AN3158" s="77"/>
      <c r="AO3158" s="77"/>
      <c r="AP3158" s="77"/>
      <c r="AQ3158" s="77"/>
      <c r="AR3158" s="77"/>
      <c r="AS3158" s="77"/>
      <c r="AT3158" s="77"/>
      <c r="AU3158" s="77"/>
      <c r="AV3158" s="80" t="str">
        <f>HYPERLINK("https://pbs.twimg.com/profile_images/1241147984924082183/gZgx_hL-_normal.jpg")</f>
        <v>https://pbs.twimg.com/profile_images/1241147984924082183/gZgx_hL-_normal.jpg</v>
      </c>
      <c r="AW3158" s="82" t="s">
        <v>14754</v>
      </c>
      <c r="AX3158" s="82" t="s">
        <v>14754</v>
      </c>
      <c r="AY3158" s="77"/>
      <c r="AZ3158" s="82" t="s">
        <v>15984</v>
      </c>
      <c r="BA3158" s="82" t="s">
        <v>15984</v>
      </c>
      <c r="BB3158" s="82" t="s">
        <v>15984</v>
      </c>
      <c r="BC3158" s="82" t="s">
        <v>14754</v>
      </c>
      <c r="BD3158" s="82" t="s">
        <v>15979</v>
      </c>
      <c r="BE3158" s="77"/>
      <c r="BF3158" s="77"/>
      <c r="BG3158" s="77"/>
      <c r="BH3158" s="77"/>
      <c r="BI3158" s="77"/>
    </row>
    <row r="3159" spans="1:61" x14ac:dyDescent="0.25">
      <c r="A3159" s="62" t="s">
        <v>387</v>
      </c>
      <c r="B3159" s="62" t="s">
        <v>387</v>
      </c>
      <c r="C3159" s="63"/>
      <c r="D3159" s="64"/>
      <c r="E3159" s="65"/>
      <c r="F3159" s="66"/>
      <c r="G3159" s="63"/>
      <c r="H3159" s="67"/>
      <c r="I3159" s="68"/>
      <c r="J3159" s="68"/>
      <c r="K3159" s="32"/>
      <c r="L3159" s="75">
        <v>3159</v>
      </c>
      <c r="M3159" s="75"/>
      <c r="N3159" s="70"/>
      <c r="O3159" s="77" t="s">
        <v>179</v>
      </c>
      <c r="P3159" s="79">
        <v>45141.947916666664</v>
      </c>
      <c r="Q3159" s="77" t="s">
        <v>3831</v>
      </c>
      <c r="R3159" s="77">
        <v>0</v>
      </c>
      <c r="S3159" s="77">
        <v>2</v>
      </c>
      <c r="T3159" s="77">
        <v>0</v>
      </c>
      <c r="U3159" s="77">
        <v>0</v>
      </c>
      <c r="V3159" s="77">
        <v>551</v>
      </c>
      <c r="W3159" s="82" t="s">
        <v>4833</v>
      </c>
      <c r="X3159" s="80" t="str">
        <f>HYPERLINK("https://mla.bs/128a534a")</f>
        <v>https://mla.bs/128a534a</v>
      </c>
      <c r="Y3159" s="77" t="s">
        <v>6506</v>
      </c>
      <c r="Z3159" s="77"/>
      <c r="AA3159" s="77"/>
      <c r="AB3159" s="77"/>
      <c r="AC3159" s="82" t="s">
        <v>7754</v>
      </c>
      <c r="AD3159" s="77" t="s">
        <v>7788</v>
      </c>
      <c r="AE3159" s="80" t="str">
        <f>HYPERLINK("https://twitter.com/einvestidor/status/1687233130376429578")</f>
        <v>https://twitter.com/einvestidor/status/1687233130376429578</v>
      </c>
      <c r="AF3159" s="79">
        <v>45141.947916666664</v>
      </c>
      <c r="AG3159" s="85">
        <v>45141</v>
      </c>
      <c r="AH3159" s="82" t="s">
        <v>9595</v>
      </c>
      <c r="AI3159" s="77" t="b">
        <v>0</v>
      </c>
      <c r="AJ3159" s="77"/>
      <c r="AK3159" s="77"/>
      <c r="AL3159" s="77"/>
      <c r="AM3159" s="77"/>
      <c r="AN3159" s="77"/>
      <c r="AO3159" s="77"/>
      <c r="AP3159" s="77"/>
      <c r="AQ3159" s="77"/>
      <c r="AR3159" s="77"/>
      <c r="AS3159" s="77"/>
      <c r="AT3159" s="77"/>
      <c r="AU3159" s="77"/>
      <c r="AV3159" s="80" t="str">
        <f>HYPERLINK("https://pbs.twimg.com/profile_images/1241147984924082183/gZgx_hL-_normal.jpg")</f>
        <v>https://pbs.twimg.com/profile_images/1241147984924082183/gZgx_hL-_normal.jpg</v>
      </c>
      <c r="AW3159" s="82" t="s">
        <v>14755</v>
      </c>
      <c r="AX3159" s="82" t="s">
        <v>14755</v>
      </c>
      <c r="AY3159" s="77"/>
      <c r="AZ3159" s="82" t="s">
        <v>15984</v>
      </c>
      <c r="BA3159" s="82" t="s">
        <v>15984</v>
      </c>
      <c r="BB3159" s="82" t="s">
        <v>15984</v>
      </c>
      <c r="BC3159" s="82" t="s">
        <v>14755</v>
      </c>
      <c r="BD3159" s="82" t="s">
        <v>15979</v>
      </c>
      <c r="BE3159" s="77"/>
      <c r="BF3159" s="77"/>
      <c r="BG3159" s="77"/>
      <c r="BH3159" s="77"/>
      <c r="BI3159" s="77"/>
    </row>
    <row r="3160" spans="1:61" x14ac:dyDescent="0.25">
      <c r="A3160" s="62" t="s">
        <v>387</v>
      </c>
      <c r="B3160" s="62" t="s">
        <v>387</v>
      </c>
      <c r="C3160" s="63"/>
      <c r="D3160" s="64"/>
      <c r="E3160" s="65"/>
      <c r="F3160" s="66"/>
      <c r="G3160" s="63"/>
      <c r="H3160" s="67"/>
      <c r="I3160" s="68"/>
      <c r="J3160" s="68"/>
      <c r="K3160" s="32"/>
      <c r="L3160" s="75">
        <v>3160</v>
      </c>
      <c r="M3160" s="75"/>
      <c r="N3160" s="70"/>
      <c r="O3160" s="77" t="s">
        <v>179</v>
      </c>
      <c r="P3160" s="79">
        <v>45141.9375</v>
      </c>
      <c r="Q3160" s="77" t="s">
        <v>3832</v>
      </c>
      <c r="R3160" s="77">
        <v>0</v>
      </c>
      <c r="S3160" s="77">
        <v>3</v>
      </c>
      <c r="T3160" s="77">
        <v>0</v>
      </c>
      <c r="U3160" s="77">
        <v>0</v>
      </c>
      <c r="V3160" s="77">
        <v>558</v>
      </c>
      <c r="W3160" s="82" t="s">
        <v>4833</v>
      </c>
      <c r="X3160" s="80" t="str">
        <f>HYPERLINK("https://mla.bs/ad6d60aa")</f>
        <v>https://mla.bs/ad6d60aa</v>
      </c>
      <c r="Y3160" s="77" t="s">
        <v>6506</v>
      </c>
      <c r="Z3160" s="77"/>
      <c r="AA3160" s="77"/>
      <c r="AB3160" s="77"/>
      <c r="AC3160" s="82" t="s">
        <v>7754</v>
      </c>
      <c r="AD3160" s="77" t="s">
        <v>7788</v>
      </c>
      <c r="AE3160" s="80" t="str">
        <f>HYPERLINK("https://twitter.com/einvestidor/status/1687229357176356868")</f>
        <v>https://twitter.com/einvestidor/status/1687229357176356868</v>
      </c>
      <c r="AF3160" s="79">
        <v>45141.9375</v>
      </c>
      <c r="AG3160" s="85">
        <v>45141</v>
      </c>
      <c r="AH3160" s="82" t="s">
        <v>7926</v>
      </c>
      <c r="AI3160" s="77" t="b">
        <v>0</v>
      </c>
      <c r="AJ3160" s="77"/>
      <c r="AK3160" s="77"/>
      <c r="AL3160" s="77"/>
      <c r="AM3160" s="77"/>
      <c r="AN3160" s="77"/>
      <c r="AO3160" s="77"/>
      <c r="AP3160" s="77"/>
      <c r="AQ3160" s="77"/>
      <c r="AR3160" s="77"/>
      <c r="AS3160" s="77"/>
      <c r="AT3160" s="77"/>
      <c r="AU3160" s="77"/>
      <c r="AV3160" s="80" t="str">
        <f>HYPERLINK("https://pbs.twimg.com/profile_images/1241147984924082183/gZgx_hL-_normal.jpg")</f>
        <v>https://pbs.twimg.com/profile_images/1241147984924082183/gZgx_hL-_normal.jpg</v>
      </c>
      <c r="AW3160" s="82" t="s">
        <v>14756</v>
      </c>
      <c r="AX3160" s="82" t="s">
        <v>14756</v>
      </c>
      <c r="AY3160" s="77"/>
      <c r="AZ3160" s="82" t="s">
        <v>15984</v>
      </c>
      <c r="BA3160" s="82" t="s">
        <v>15984</v>
      </c>
      <c r="BB3160" s="82" t="s">
        <v>15984</v>
      </c>
      <c r="BC3160" s="82" t="s">
        <v>14756</v>
      </c>
      <c r="BD3160" s="82" t="s">
        <v>15979</v>
      </c>
      <c r="BE3160" s="77"/>
      <c r="BF3160" s="77"/>
      <c r="BG3160" s="77"/>
      <c r="BH3160" s="77"/>
      <c r="BI3160" s="77"/>
    </row>
    <row r="3161" spans="1:61" x14ac:dyDescent="0.25">
      <c r="A3161" s="62" t="s">
        <v>387</v>
      </c>
      <c r="B3161" s="62" t="s">
        <v>387</v>
      </c>
      <c r="C3161" s="63"/>
      <c r="D3161" s="64"/>
      <c r="E3161" s="65"/>
      <c r="F3161" s="66"/>
      <c r="G3161" s="63"/>
      <c r="H3161" s="67"/>
      <c r="I3161" s="68"/>
      <c r="J3161" s="68"/>
      <c r="K3161" s="32"/>
      <c r="L3161" s="75">
        <v>3161</v>
      </c>
      <c r="M3161" s="75"/>
      <c r="N3161" s="70"/>
      <c r="O3161" s="77" t="s">
        <v>179</v>
      </c>
      <c r="P3161" s="79">
        <v>45141.927083333336</v>
      </c>
      <c r="Q3161" s="77" t="s">
        <v>3833</v>
      </c>
      <c r="R3161" s="77">
        <v>1</v>
      </c>
      <c r="S3161" s="77">
        <v>2</v>
      </c>
      <c r="T3161" s="77">
        <v>0</v>
      </c>
      <c r="U3161" s="77">
        <v>0</v>
      </c>
      <c r="V3161" s="77">
        <v>522</v>
      </c>
      <c r="W3161" s="82" t="s">
        <v>4833</v>
      </c>
      <c r="X3161" s="80" t="str">
        <f>HYPERLINK("https://mla.bs/28c1161c")</f>
        <v>https://mla.bs/28c1161c</v>
      </c>
      <c r="Y3161" s="77" t="s">
        <v>6506</v>
      </c>
      <c r="Z3161" s="77"/>
      <c r="AA3161" s="77"/>
      <c r="AB3161" s="77"/>
      <c r="AC3161" s="82" t="s">
        <v>7754</v>
      </c>
      <c r="AD3161" s="77" t="s">
        <v>7788</v>
      </c>
      <c r="AE3161" s="80" t="str">
        <f>HYPERLINK("https://twitter.com/einvestidor/status/1687225581199405056")</f>
        <v>https://twitter.com/einvestidor/status/1687225581199405056</v>
      </c>
      <c r="AF3161" s="79">
        <v>45141.927083333336</v>
      </c>
      <c r="AG3161" s="85">
        <v>45141</v>
      </c>
      <c r="AH3161" s="82" t="s">
        <v>9576</v>
      </c>
      <c r="AI3161" s="77" t="b">
        <v>0</v>
      </c>
      <c r="AJ3161" s="77"/>
      <c r="AK3161" s="77"/>
      <c r="AL3161" s="77"/>
      <c r="AM3161" s="77"/>
      <c r="AN3161" s="77"/>
      <c r="AO3161" s="77"/>
      <c r="AP3161" s="77"/>
      <c r="AQ3161" s="77"/>
      <c r="AR3161" s="77"/>
      <c r="AS3161" s="77"/>
      <c r="AT3161" s="77"/>
      <c r="AU3161" s="77"/>
      <c r="AV3161" s="80" t="str">
        <f>HYPERLINK("https://pbs.twimg.com/profile_images/1241147984924082183/gZgx_hL-_normal.jpg")</f>
        <v>https://pbs.twimg.com/profile_images/1241147984924082183/gZgx_hL-_normal.jpg</v>
      </c>
      <c r="AW3161" s="82" t="s">
        <v>14757</v>
      </c>
      <c r="AX3161" s="82" t="s">
        <v>14757</v>
      </c>
      <c r="AY3161" s="77"/>
      <c r="AZ3161" s="82" t="s">
        <v>15984</v>
      </c>
      <c r="BA3161" s="82" t="s">
        <v>15984</v>
      </c>
      <c r="BB3161" s="82" t="s">
        <v>15984</v>
      </c>
      <c r="BC3161" s="82" t="s">
        <v>14757</v>
      </c>
      <c r="BD3161" s="82" t="s">
        <v>15979</v>
      </c>
      <c r="BE3161" s="77"/>
      <c r="BF3161" s="77"/>
      <c r="BG3161" s="77"/>
      <c r="BH3161" s="77"/>
      <c r="BI3161" s="77"/>
    </row>
    <row r="3162" spans="1:61" x14ac:dyDescent="0.25">
      <c r="A3162" s="62" t="s">
        <v>387</v>
      </c>
      <c r="B3162" s="62" t="s">
        <v>387</v>
      </c>
      <c r="C3162" s="63"/>
      <c r="D3162" s="64"/>
      <c r="E3162" s="65"/>
      <c r="F3162" s="66"/>
      <c r="G3162" s="63"/>
      <c r="H3162" s="67"/>
      <c r="I3162" s="68"/>
      <c r="J3162" s="68"/>
      <c r="K3162" s="32"/>
      <c r="L3162" s="75">
        <v>3162</v>
      </c>
      <c r="M3162" s="75"/>
      <c r="N3162" s="70"/>
      <c r="O3162" s="77" t="s">
        <v>179</v>
      </c>
      <c r="P3162" s="79">
        <v>45141.916689814818</v>
      </c>
      <c r="Q3162" s="77" t="s">
        <v>3834</v>
      </c>
      <c r="R3162" s="77">
        <v>0</v>
      </c>
      <c r="S3162" s="77">
        <v>0</v>
      </c>
      <c r="T3162" s="77">
        <v>1</v>
      </c>
      <c r="U3162" s="77">
        <v>0</v>
      </c>
      <c r="V3162" s="77">
        <v>540</v>
      </c>
      <c r="W3162" s="82" t="s">
        <v>4833</v>
      </c>
      <c r="X3162" s="80" t="str">
        <f>HYPERLINK("https://mla.bs/6e0efbf5")</f>
        <v>https://mla.bs/6e0efbf5</v>
      </c>
      <c r="Y3162" s="77" t="s">
        <v>6506</v>
      </c>
      <c r="Z3162" s="77"/>
      <c r="AA3162" s="77"/>
      <c r="AB3162" s="77"/>
      <c r="AC3162" s="82" t="s">
        <v>7754</v>
      </c>
      <c r="AD3162" s="77" t="s">
        <v>7788</v>
      </c>
      <c r="AE3162" s="80" t="str">
        <f>HYPERLINK("https://twitter.com/einvestidor/status/1687221815108599809")</f>
        <v>https://twitter.com/einvestidor/status/1687221815108599809</v>
      </c>
      <c r="AF3162" s="79">
        <v>45141.916689814818</v>
      </c>
      <c r="AG3162" s="85">
        <v>45141</v>
      </c>
      <c r="AH3162" s="82" t="s">
        <v>8627</v>
      </c>
      <c r="AI3162" s="77" t="b">
        <v>0</v>
      </c>
      <c r="AJ3162" s="77"/>
      <c r="AK3162" s="77"/>
      <c r="AL3162" s="77"/>
      <c r="AM3162" s="77"/>
      <c r="AN3162" s="77"/>
      <c r="AO3162" s="77"/>
      <c r="AP3162" s="77"/>
      <c r="AQ3162" s="77"/>
      <c r="AR3162" s="77"/>
      <c r="AS3162" s="77"/>
      <c r="AT3162" s="77"/>
      <c r="AU3162" s="77"/>
      <c r="AV3162" s="80" t="str">
        <f>HYPERLINK("https://pbs.twimg.com/profile_images/1241147984924082183/gZgx_hL-_normal.jpg")</f>
        <v>https://pbs.twimg.com/profile_images/1241147984924082183/gZgx_hL-_normal.jpg</v>
      </c>
      <c r="AW3162" s="82" t="s">
        <v>14758</v>
      </c>
      <c r="AX3162" s="82" t="s">
        <v>14758</v>
      </c>
      <c r="AY3162" s="77"/>
      <c r="AZ3162" s="82" t="s">
        <v>15984</v>
      </c>
      <c r="BA3162" s="82" t="s">
        <v>15984</v>
      </c>
      <c r="BB3162" s="82" t="s">
        <v>15984</v>
      </c>
      <c r="BC3162" s="82" t="s">
        <v>14758</v>
      </c>
      <c r="BD3162" s="82" t="s">
        <v>15979</v>
      </c>
      <c r="BE3162" s="77"/>
      <c r="BF3162" s="77"/>
      <c r="BG3162" s="77"/>
      <c r="BH3162" s="77"/>
      <c r="BI3162" s="77"/>
    </row>
    <row r="3163" spans="1:61" x14ac:dyDescent="0.25">
      <c r="A3163" s="62" t="s">
        <v>387</v>
      </c>
      <c r="B3163" s="62" t="s">
        <v>387</v>
      </c>
      <c r="C3163" s="63"/>
      <c r="D3163" s="64"/>
      <c r="E3163" s="65"/>
      <c r="F3163" s="66"/>
      <c r="G3163" s="63"/>
      <c r="H3163" s="67"/>
      <c r="I3163" s="68"/>
      <c r="J3163" s="68"/>
      <c r="K3163" s="32"/>
      <c r="L3163" s="75">
        <v>3163</v>
      </c>
      <c r="M3163" s="75"/>
      <c r="N3163" s="70"/>
      <c r="O3163" s="77" t="s">
        <v>179</v>
      </c>
      <c r="P3163" s="79">
        <v>45141.915219907409</v>
      </c>
      <c r="Q3163" s="77" t="s">
        <v>3835</v>
      </c>
      <c r="R3163" s="77">
        <v>0</v>
      </c>
      <c r="S3163" s="77">
        <v>0</v>
      </c>
      <c r="T3163" s="77">
        <v>0</v>
      </c>
      <c r="U3163" s="77">
        <v>0</v>
      </c>
      <c r="V3163" s="77">
        <v>521</v>
      </c>
      <c r="W3163" s="82" t="s">
        <v>4833</v>
      </c>
      <c r="X3163" s="80" t="str">
        <f>HYPERLINK("https://mla.bs/f0706f69")</f>
        <v>https://mla.bs/f0706f69</v>
      </c>
      <c r="Y3163" s="77" t="s">
        <v>6506</v>
      </c>
      <c r="Z3163" s="77"/>
      <c r="AA3163" s="77"/>
      <c r="AB3163" s="77"/>
      <c r="AC3163" s="82" t="s">
        <v>7754</v>
      </c>
      <c r="AD3163" s="77" t="s">
        <v>7788</v>
      </c>
      <c r="AE3163" s="80" t="str">
        <f>HYPERLINK("https://twitter.com/einvestidor/status/1687221282759118850")</f>
        <v>https://twitter.com/einvestidor/status/1687221282759118850</v>
      </c>
      <c r="AF3163" s="79">
        <v>45141.915219907409</v>
      </c>
      <c r="AG3163" s="85">
        <v>45141</v>
      </c>
      <c r="AH3163" s="82" t="s">
        <v>9954</v>
      </c>
      <c r="AI3163" s="77" t="b">
        <v>0</v>
      </c>
      <c r="AJ3163" s="77"/>
      <c r="AK3163" s="77"/>
      <c r="AL3163" s="77"/>
      <c r="AM3163" s="77"/>
      <c r="AN3163" s="77"/>
      <c r="AO3163" s="77"/>
      <c r="AP3163" s="77"/>
      <c r="AQ3163" s="77"/>
      <c r="AR3163" s="77"/>
      <c r="AS3163" s="77"/>
      <c r="AT3163" s="77"/>
      <c r="AU3163" s="77"/>
      <c r="AV3163" s="80" t="str">
        <f>HYPERLINK("https://pbs.twimg.com/profile_images/1241147984924082183/gZgx_hL-_normal.jpg")</f>
        <v>https://pbs.twimg.com/profile_images/1241147984924082183/gZgx_hL-_normal.jpg</v>
      </c>
      <c r="AW3163" s="82" t="s">
        <v>14759</v>
      </c>
      <c r="AX3163" s="82" t="s">
        <v>14759</v>
      </c>
      <c r="AY3163" s="77"/>
      <c r="AZ3163" s="82" t="s">
        <v>15984</v>
      </c>
      <c r="BA3163" s="82" t="s">
        <v>15984</v>
      </c>
      <c r="BB3163" s="82" t="s">
        <v>15984</v>
      </c>
      <c r="BC3163" s="82" t="s">
        <v>14759</v>
      </c>
      <c r="BD3163" s="82" t="s">
        <v>15979</v>
      </c>
      <c r="BE3163" s="77"/>
      <c r="BF3163" s="77"/>
      <c r="BG3163" s="77"/>
      <c r="BH3163" s="77"/>
      <c r="BI3163" s="77"/>
    </row>
    <row r="3164" spans="1:61" x14ac:dyDescent="0.25">
      <c r="A3164" s="62" t="s">
        <v>387</v>
      </c>
      <c r="B3164" s="62" t="s">
        <v>387</v>
      </c>
      <c r="C3164" s="63"/>
      <c r="D3164" s="64"/>
      <c r="E3164" s="65"/>
      <c r="F3164" s="66"/>
      <c r="G3164" s="63"/>
      <c r="H3164" s="67"/>
      <c r="I3164" s="68"/>
      <c r="J3164" s="68"/>
      <c r="K3164" s="32"/>
      <c r="L3164" s="75">
        <v>3164</v>
      </c>
      <c r="M3164" s="75"/>
      <c r="N3164" s="70"/>
      <c r="O3164" s="77" t="s">
        <v>179</v>
      </c>
      <c r="P3164" s="79">
        <v>45141.90625</v>
      </c>
      <c r="Q3164" s="77" t="s">
        <v>3836</v>
      </c>
      <c r="R3164" s="77">
        <v>0</v>
      </c>
      <c r="S3164" s="77">
        <v>0</v>
      </c>
      <c r="T3164" s="77">
        <v>0</v>
      </c>
      <c r="U3164" s="77">
        <v>0</v>
      </c>
      <c r="V3164" s="77">
        <v>550</v>
      </c>
      <c r="W3164" s="82" t="s">
        <v>4833</v>
      </c>
      <c r="X3164" s="80" t="str">
        <f>HYPERLINK("https://mla.bs/1c4dd801")</f>
        <v>https://mla.bs/1c4dd801</v>
      </c>
      <c r="Y3164" s="77" t="s">
        <v>6506</v>
      </c>
      <c r="Z3164" s="77"/>
      <c r="AA3164" s="77"/>
      <c r="AB3164" s="77"/>
      <c r="AC3164" s="82" t="s">
        <v>7754</v>
      </c>
      <c r="AD3164" s="77" t="s">
        <v>7788</v>
      </c>
      <c r="AE3164" s="80" t="str">
        <f>HYPERLINK("https://twitter.com/einvestidor/status/1687218031137865728")</f>
        <v>https://twitter.com/einvestidor/status/1687218031137865728</v>
      </c>
      <c r="AF3164" s="79">
        <v>45141.90625</v>
      </c>
      <c r="AG3164" s="85">
        <v>45141</v>
      </c>
      <c r="AH3164" s="82" t="s">
        <v>9578</v>
      </c>
      <c r="AI3164" s="77" t="b">
        <v>0</v>
      </c>
      <c r="AJ3164" s="77"/>
      <c r="AK3164" s="77"/>
      <c r="AL3164" s="77"/>
      <c r="AM3164" s="77"/>
      <c r="AN3164" s="77"/>
      <c r="AO3164" s="77"/>
      <c r="AP3164" s="77"/>
      <c r="AQ3164" s="77"/>
      <c r="AR3164" s="77"/>
      <c r="AS3164" s="77"/>
      <c r="AT3164" s="77"/>
      <c r="AU3164" s="77"/>
      <c r="AV3164" s="80" t="str">
        <f>HYPERLINK("https://pbs.twimg.com/profile_images/1241147984924082183/gZgx_hL-_normal.jpg")</f>
        <v>https://pbs.twimg.com/profile_images/1241147984924082183/gZgx_hL-_normal.jpg</v>
      </c>
      <c r="AW3164" s="82" t="s">
        <v>14760</v>
      </c>
      <c r="AX3164" s="82" t="s">
        <v>14760</v>
      </c>
      <c r="AY3164" s="77"/>
      <c r="AZ3164" s="82" t="s">
        <v>15984</v>
      </c>
      <c r="BA3164" s="82" t="s">
        <v>15984</v>
      </c>
      <c r="BB3164" s="82" t="s">
        <v>15984</v>
      </c>
      <c r="BC3164" s="82" t="s">
        <v>14760</v>
      </c>
      <c r="BD3164" s="82" t="s">
        <v>15979</v>
      </c>
      <c r="BE3164" s="77"/>
      <c r="BF3164" s="77"/>
      <c r="BG3164" s="77"/>
      <c r="BH3164" s="77"/>
      <c r="BI3164" s="77"/>
    </row>
    <row r="3165" spans="1:61" x14ac:dyDescent="0.25">
      <c r="A3165" s="62" t="s">
        <v>387</v>
      </c>
      <c r="B3165" s="62" t="s">
        <v>387</v>
      </c>
      <c r="C3165" s="63"/>
      <c r="D3165" s="64"/>
      <c r="E3165" s="65"/>
      <c r="F3165" s="66"/>
      <c r="G3165" s="63"/>
      <c r="H3165" s="67"/>
      <c r="I3165" s="68"/>
      <c r="J3165" s="68"/>
      <c r="K3165" s="32"/>
      <c r="L3165" s="75">
        <v>3165</v>
      </c>
      <c r="M3165" s="75"/>
      <c r="N3165" s="70"/>
      <c r="O3165" s="77" t="s">
        <v>179</v>
      </c>
      <c r="P3165" s="79">
        <v>45141.895833333336</v>
      </c>
      <c r="Q3165" s="77" t="s">
        <v>3837</v>
      </c>
      <c r="R3165" s="77">
        <v>0</v>
      </c>
      <c r="S3165" s="77">
        <v>3</v>
      </c>
      <c r="T3165" s="77">
        <v>0</v>
      </c>
      <c r="U3165" s="77">
        <v>0</v>
      </c>
      <c r="V3165" s="77">
        <v>718</v>
      </c>
      <c r="W3165" s="82" t="s">
        <v>5907</v>
      </c>
      <c r="X3165" s="80" t="str">
        <f>HYPERLINK("https://mla.bs/796295ee")</f>
        <v>https://mla.bs/796295ee</v>
      </c>
      <c r="Y3165" s="77" t="s">
        <v>6506</v>
      </c>
      <c r="Z3165" s="77"/>
      <c r="AA3165" s="77"/>
      <c r="AB3165" s="77"/>
      <c r="AC3165" s="82" t="s">
        <v>7754</v>
      </c>
      <c r="AD3165" s="77" t="s">
        <v>7788</v>
      </c>
      <c r="AE3165" s="80" t="str">
        <f>HYPERLINK("https://twitter.com/einvestidor/status/1687214258268864513")</f>
        <v>https://twitter.com/einvestidor/status/1687214258268864513</v>
      </c>
      <c r="AF3165" s="79">
        <v>45141.895833333336</v>
      </c>
      <c r="AG3165" s="85">
        <v>45141</v>
      </c>
      <c r="AH3165" s="82" t="s">
        <v>8089</v>
      </c>
      <c r="AI3165" s="77" t="b">
        <v>0</v>
      </c>
      <c r="AJ3165" s="77"/>
      <c r="AK3165" s="77"/>
      <c r="AL3165" s="77"/>
      <c r="AM3165" s="77"/>
      <c r="AN3165" s="77"/>
      <c r="AO3165" s="77"/>
      <c r="AP3165" s="77"/>
      <c r="AQ3165" s="77"/>
      <c r="AR3165" s="77"/>
      <c r="AS3165" s="77"/>
      <c r="AT3165" s="77"/>
      <c r="AU3165" s="77"/>
      <c r="AV3165" s="80" t="str">
        <f>HYPERLINK("https://pbs.twimg.com/profile_images/1241147984924082183/gZgx_hL-_normal.jpg")</f>
        <v>https://pbs.twimg.com/profile_images/1241147984924082183/gZgx_hL-_normal.jpg</v>
      </c>
      <c r="AW3165" s="82" t="s">
        <v>14761</v>
      </c>
      <c r="AX3165" s="82" t="s">
        <v>14761</v>
      </c>
      <c r="AY3165" s="77"/>
      <c r="AZ3165" s="82" t="s">
        <v>15984</v>
      </c>
      <c r="BA3165" s="82" t="s">
        <v>15984</v>
      </c>
      <c r="BB3165" s="82" t="s">
        <v>15984</v>
      </c>
      <c r="BC3165" s="82" t="s">
        <v>14761</v>
      </c>
      <c r="BD3165" s="82" t="s">
        <v>15979</v>
      </c>
      <c r="BE3165" s="77"/>
      <c r="BF3165" s="77"/>
      <c r="BG3165" s="77"/>
      <c r="BH3165" s="77"/>
      <c r="BI3165" s="77"/>
    </row>
    <row r="3166" spans="1:61" x14ac:dyDescent="0.25">
      <c r="A3166" s="62" t="s">
        <v>387</v>
      </c>
      <c r="B3166" s="62" t="s">
        <v>387</v>
      </c>
      <c r="C3166" s="63"/>
      <c r="D3166" s="64"/>
      <c r="E3166" s="65"/>
      <c r="F3166" s="66"/>
      <c r="G3166" s="63"/>
      <c r="H3166" s="67"/>
      <c r="I3166" s="68"/>
      <c r="J3166" s="68"/>
      <c r="K3166" s="32"/>
      <c r="L3166" s="75">
        <v>3166</v>
      </c>
      <c r="M3166" s="75"/>
      <c r="N3166" s="70"/>
      <c r="O3166" s="77" t="s">
        <v>179</v>
      </c>
      <c r="P3166" s="79">
        <v>45141.890914351854</v>
      </c>
      <c r="Q3166" s="77" t="s">
        <v>3838</v>
      </c>
      <c r="R3166" s="77">
        <v>0</v>
      </c>
      <c r="S3166" s="77">
        <v>3</v>
      </c>
      <c r="T3166" s="77">
        <v>0</v>
      </c>
      <c r="U3166" s="77">
        <v>0</v>
      </c>
      <c r="V3166" s="77">
        <v>731</v>
      </c>
      <c r="W3166" s="82" t="s">
        <v>6236</v>
      </c>
      <c r="X3166" s="80" t="str">
        <f>HYPERLINK("https://mla.bs/3e6f5a4c")</f>
        <v>https://mla.bs/3e6f5a4c</v>
      </c>
      <c r="Y3166" s="77" t="s">
        <v>6506</v>
      </c>
      <c r="Z3166" s="77"/>
      <c r="AA3166" s="77"/>
      <c r="AB3166" s="77"/>
      <c r="AC3166" s="82" t="s">
        <v>7754</v>
      </c>
      <c r="AD3166" s="77" t="s">
        <v>7788</v>
      </c>
      <c r="AE3166" s="80" t="str">
        <f>HYPERLINK("https://twitter.com/einvestidor/status/1687212473081024512")</f>
        <v>https://twitter.com/einvestidor/status/1687212473081024512</v>
      </c>
      <c r="AF3166" s="79">
        <v>45141.890914351854</v>
      </c>
      <c r="AG3166" s="85">
        <v>45141</v>
      </c>
      <c r="AH3166" s="82" t="s">
        <v>9955</v>
      </c>
      <c r="AI3166" s="77" t="b">
        <v>0</v>
      </c>
      <c r="AJ3166" s="77"/>
      <c r="AK3166" s="77"/>
      <c r="AL3166" s="77"/>
      <c r="AM3166" s="77"/>
      <c r="AN3166" s="77"/>
      <c r="AO3166" s="77"/>
      <c r="AP3166" s="77"/>
      <c r="AQ3166" s="77"/>
      <c r="AR3166" s="77"/>
      <c r="AS3166" s="77"/>
      <c r="AT3166" s="77"/>
      <c r="AU3166" s="77"/>
      <c r="AV3166" s="80" t="str">
        <f>HYPERLINK("https://pbs.twimg.com/profile_images/1241147984924082183/gZgx_hL-_normal.jpg")</f>
        <v>https://pbs.twimg.com/profile_images/1241147984924082183/gZgx_hL-_normal.jpg</v>
      </c>
      <c r="AW3166" s="82" t="s">
        <v>14762</v>
      </c>
      <c r="AX3166" s="82" t="s">
        <v>14762</v>
      </c>
      <c r="AY3166" s="77"/>
      <c r="AZ3166" s="82" t="s">
        <v>15984</v>
      </c>
      <c r="BA3166" s="82" t="s">
        <v>15984</v>
      </c>
      <c r="BB3166" s="82" t="s">
        <v>15984</v>
      </c>
      <c r="BC3166" s="82" t="s">
        <v>14762</v>
      </c>
      <c r="BD3166" s="82" t="s">
        <v>15979</v>
      </c>
      <c r="BE3166" s="77"/>
      <c r="BF3166" s="77"/>
      <c r="BG3166" s="77"/>
      <c r="BH3166" s="77"/>
      <c r="BI3166" s="77"/>
    </row>
    <row r="3167" spans="1:61" x14ac:dyDescent="0.25">
      <c r="A3167" s="62" t="s">
        <v>387</v>
      </c>
      <c r="B3167" s="62" t="s">
        <v>387</v>
      </c>
      <c r="C3167" s="63"/>
      <c r="D3167" s="64"/>
      <c r="E3167" s="65"/>
      <c r="F3167" s="66"/>
      <c r="G3167" s="63"/>
      <c r="H3167" s="67"/>
      <c r="I3167" s="68"/>
      <c r="J3167" s="68"/>
      <c r="K3167" s="32"/>
      <c r="L3167" s="75">
        <v>3167</v>
      </c>
      <c r="M3167" s="75"/>
      <c r="N3167" s="70"/>
      <c r="O3167" s="77" t="s">
        <v>179</v>
      </c>
      <c r="P3167" s="79">
        <v>45141.890555555554</v>
      </c>
      <c r="Q3167" s="77" t="s">
        <v>3839</v>
      </c>
      <c r="R3167" s="77">
        <v>0</v>
      </c>
      <c r="S3167" s="77">
        <v>1</v>
      </c>
      <c r="T3167" s="77">
        <v>0</v>
      </c>
      <c r="U3167" s="77">
        <v>0</v>
      </c>
      <c r="V3167" s="77">
        <v>707</v>
      </c>
      <c r="W3167" s="82" t="s">
        <v>6237</v>
      </c>
      <c r="X3167" s="80" t="str">
        <f>HYPERLINK("https://mla.bs/cf198345")</f>
        <v>https://mla.bs/cf198345</v>
      </c>
      <c r="Y3167" s="77" t="s">
        <v>6506</v>
      </c>
      <c r="Z3167" s="77"/>
      <c r="AA3167" s="77"/>
      <c r="AB3167" s="77"/>
      <c r="AC3167" s="82" t="s">
        <v>7754</v>
      </c>
      <c r="AD3167" s="77" t="s">
        <v>7788</v>
      </c>
      <c r="AE3167" s="80" t="str">
        <f>HYPERLINK("https://twitter.com/einvestidor/status/1687212346689851392")</f>
        <v>https://twitter.com/einvestidor/status/1687212346689851392</v>
      </c>
      <c r="AF3167" s="79">
        <v>45141.890555555554</v>
      </c>
      <c r="AG3167" s="85">
        <v>45141</v>
      </c>
      <c r="AH3167" s="82" t="s">
        <v>9956</v>
      </c>
      <c r="AI3167" s="77" t="b">
        <v>0</v>
      </c>
      <c r="AJ3167" s="77"/>
      <c r="AK3167" s="77"/>
      <c r="AL3167" s="77"/>
      <c r="AM3167" s="77"/>
      <c r="AN3167" s="77"/>
      <c r="AO3167" s="77"/>
      <c r="AP3167" s="77"/>
      <c r="AQ3167" s="77"/>
      <c r="AR3167" s="77"/>
      <c r="AS3167" s="77"/>
      <c r="AT3167" s="77"/>
      <c r="AU3167" s="77"/>
      <c r="AV3167" s="80" t="str">
        <f>HYPERLINK("https://pbs.twimg.com/profile_images/1241147984924082183/gZgx_hL-_normal.jpg")</f>
        <v>https://pbs.twimg.com/profile_images/1241147984924082183/gZgx_hL-_normal.jpg</v>
      </c>
      <c r="AW3167" s="82" t="s">
        <v>14763</v>
      </c>
      <c r="AX3167" s="82" t="s">
        <v>14763</v>
      </c>
      <c r="AY3167" s="77"/>
      <c r="AZ3167" s="82" t="s">
        <v>15984</v>
      </c>
      <c r="BA3167" s="82" t="s">
        <v>15984</v>
      </c>
      <c r="BB3167" s="82" t="s">
        <v>15984</v>
      </c>
      <c r="BC3167" s="82" t="s">
        <v>14763</v>
      </c>
      <c r="BD3167" s="82" t="s">
        <v>15979</v>
      </c>
      <c r="BE3167" s="77"/>
      <c r="BF3167" s="77"/>
      <c r="BG3167" s="77"/>
      <c r="BH3167" s="77"/>
      <c r="BI3167" s="77"/>
    </row>
    <row r="3168" spans="1:61" x14ac:dyDescent="0.25">
      <c r="A3168" s="62" t="s">
        <v>387</v>
      </c>
      <c r="B3168" s="62" t="s">
        <v>387</v>
      </c>
      <c r="C3168" s="63"/>
      <c r="D3168" s="64"/>
      <c r="E3168" s="65"/>
      <c r="F3168" s="66"/>
      <c r="G3168" s="63"/>
      <c r="H3168" s="67"/>
      <c r="I3168" s="68"/>
      <c r="J3168" s="68"/>
      <c r="K3168" s="32"/>
      <c r="L3168" s="75">
        <v>3168</v>
      </c>
      <c r="M3168" s="75"/>
      <c r="N3168" s="70"/>
      <c r="O3168" s="77" t="s">
        <v>179</v>
      </c>
      <c r="P3168" s="79">
        <v>45141.791666666664</v>
      </c>
      <c r="Q3168" s="77" t="s">
        <v>3840</v>
      </c>
      <c r="R3168" s="77">
        <v>0</v>
      </c>
      <c r="S3168" s="77">
        <v>2</v>
      </c>
      <c r="T3168" s="77">
        <v>0</v>
      </c>
      <c r="U3168" s="77">
        <v>0</v>
      </c>
      <c r="V3168" s="77">
        <v>604</v>
      </c>
      <c r="W3168" s="82" t="s">
        <v>4833</v>
      </c>
      <c r="X3168" s="80" t="str">
        <f>HYPERLINK("https://mla.bs/43100e89")</f>
        <v>https://mla.bs/43100e89</v>
      </c>
      <c r="Y3168" s="77" t="s">
        <v>6506</v>
      </c>
      <c r="Z3168" s="77"/>
      <c r="AA3168" s="77"/>
      <c r="AB3168" s="77"/>
      <c r="AC3168" s="82" t="s">
        <v>7754</v>
      </c>
      <c r="AD3168" s="77" t="s">
        <v>7788</v>
      </c>
      <c r="AE3168" s="80" t="str">
        <f>HYPERLINK("https://twitter.com/einvestidor/status/1687176510225154048")</f>
        <v>https://twitter.com/einvestidor/status/1687176510225154048</v>
      </c>
      <c r="AF3168" s="79">
        <v>45141.791666666664</v>
      </c>
      <c r="AG3168" s="85">
        <v>45141</v>
      </c>
      <c r="AH3168" s="82" t="s">
        <v>9299</v>
      </c>
      <c r="AI3168" s="77" t="b">
        <v>0</v>
      </c>
      <c r="AJ3168" s="77"/>
      <c r="AK3168" s="77"/>
      <c r="AL3168" s="77"/>
      <c r="AM3168" s="77"/>
      <c r="AN3168" s="77"/>
      <c r="AO3168" s="77"/>
      <c r="AP3168" s="77"/>
      <c r="AQ3168" s="77"/>
      <c r="AR3168" s="77"/>
      <c r="AS3168" s="77"/>
      <c r="AT3168" s="77"/>
      <c r="AU3168" s="77"/>
      <c r="AV3168" s="80" t="str">
        <f>HYPERLINK("https://pbs.twimg.com/profile_images/1241147984924082183/gZgx_hL-_normal.jpg")</f>
        <v>https://pbs.twimg.com/profile_images/1241147984924082183/gZgx_hL-_normal.jpg</v>
      </c>
      <c r="AW3168" s="82" t="s">
        <v>14764</v>
      </c>
      <c r="AX3168" s="82" t="s">
        <v>14764</v>
      </c>
      <c r="AY3168" s="77"/>
      <c r="AZ3168" s="82" t="s">
        <v>15984</v>
      </c>
      <c r="BA3168" s="82" t="s">
        <v>15984</v>
      </c>
      <c r="BB3168" s="82" t="s">
        <v>15984</v>
      </c>
      <c r="BC3168" s="82" t="s">
        <v>14764</v>
      </c>
      <c r="BD3168" s="82" t="s">
        <v>15979</v>
      </c>
      <c r="BE3168" s="77"/>
      <c r="BF3168" s="77"/>
      <c r="BG3168" s="77"/>
      <c r="BH3168" s="77"/>
      <c r="BI3168" s="77"/>
    </row>
    <row r="3169" spans="1:61" x14ac:dyDescent="0.25">
      <c r="A3169" s="62" t="s">
        <v>387</v>
      </c>
      <c r="B3169" s="62" t="s">
        <v>387</v>
      </c>
      <c r="C3169" s="63"/>
      <c r="D3169" s="64"/>
      <c r="E3169" s="65"/>
      <c r="F3169" s="66"/>
      <c r="G3169" s="63"/>
      <c r="H3169" s="67"/>
      <c r="I3169" s="68"/>
      <c r="J3169" s="68"/>
      <c r="K3169" s="32"/>
      <c r="L3169" s="75">
        <v>3169</v>
      </c>
      <c r="M3169" s="75"/>
      <c r="N3169" s="70"/>
      <c r="O3169" s="77" t="s">
        <v>179</v>
      </c>
      <c r="P3169" s="79">
        <v>45141.78125</v>
      </c>
      <c r="Q3169" s="77" t="s">
        <v>3841</v>
      </c>
      <c r="R3169" s="77">
        <v>0</v>
      </c>
      <c r="S3169" s="77">
        <v>2</v>
      </c>
      <c r="T3169" s="77">
        <v>0</v>
      </c>
      <c r="U3169" s="77">
        <v>0</v>
      </c>
      <c r="V3169" s="77">
        <v>437</v>
      </c>
      <c r="W3169" s="82" t="s">
        <v>4833</v>
      </c>
      <c r="X3169" s="80" t="str">
        <f>HYPERLINK("https://mla.bs/75159d82")</f>
        <v>https://mla.bs/75159d82</v>
      </c>
      <c r="Y3169" s="77" t="s">
        <v>6506</v>
      </c>
      <c r="Z3169" s="77"/>
      <c r="AA3169" s="77"/>
      <c r="AB3169" s="77"/>
      <c r="AC3169" s="82" t="s">
        <v>7754</v>
      </c>
      <c r="AD3169" s="77" t="s">
        <v>7788</v>
      </c>
      <c r="AE3169" s="80" t="str">
        <f>HYPERLINK("https://twitter.com/einvestidor/status/1687172732566319105")</f>
        <v>https://twitter.com/einvestidor/status/1687172732566319105</v>
      </c>
      <c r="AF3169" s="79">
        <v>45141.78125</v>
      </c>
      <c r="AG3169" s="85">
        <v>45141</v>
      </c>
      <c r="AH3169" s="82" t="s">
        <v>9581</v>
      </c>
      <c r="AI3169" s="77" t="b">
        <v>0</v>
      </c>
      <c r="AJ3169" s="77"/>
      <c r="AK3169" s="77"/>
      <c r="AL3169" s="77"/>
      <c r="AM3169" s="77"/>
      <c r="AN3169" s="77"/>
      <c r="AO3169" s="77"/>
      <c r="AP3169" s="77"/>
      <c r="AQ3169" s="77"/>
      <c r="AR3169" s="77"/>
      <c r="AS3169" s="77"/>
      <c r="AT3169" s="77"/>
      <c r="AU3169" s="77"/>
      <c r="AV3169" s="80" t="str">
        <f>HYPERLINK("https://pbs.twimg.com/profile_images/1241147984924082183/gZgx_hL-_normal.jpg")</f>
        <v>https://pbs.twimg.com/profile_images/1241147984924082183/gZgx_hL-_normal.jpg</v>
      </c>
      <c r="AW3169" s="82" t="s">
        <v>14765</v>
      </c>
      <c r="AX3169" s="82" t="s">
        <v>14765</v>
      </c>
      <c r="AY3169" s="77"/>
      <c r="AZ3169" s="82" t="s">
        <v>15984</v>
      </c>
      <c r="BA3169" s="82" t="s">
        <v>15984</v>
      </c>
      <c r="BB3169" s="82" t="s">
        <v>15984</v>
      </c>
      <c r="BC3169" s="82" t="s">
        <v>14765</v>
      </c>
      <c r="BD3169" s="82" t="s">
        <v>15979</v>
      </c>
      <c r="BE3169" s="77"/>
      <c r="BF3169" s="77"/>
      <c r="BG3169" s="77"/>
      <c r="BH3169" s="77"/>
      <c r="BI3169" s="77"/>
    </row>
    <row r="3170" spans="1:61" x14ac:dyDescent="0.25">
      <c r="A3170" s="62" t="s">
        <v>387</v>
      </c>
      <c r="B3170" s="62" t="s">
        <v>387</v>
      </c>
      <c r="C3170" s="63"/>
      <c r="D3170" s="64"/>
      <c r="E3170" s="65"/>
      <c r="F3170" s="66"/>
      <c r="G3170" s="63"/>
      <c r="H3170" s="67"/>
      <c r="I3170" s="68"/>
      <c r="J3170" s="68"/>
      <c r="K3170" s="32"/>
      <c r="L3170" s="75">
        <v>3170</v>
      </c>
      <c r="M3170" s="75"/>
      <c r="N3170" s="70"/>
      <c r="O3170" s="77" t="s">
        <v>179</v>
      </c>
      <c r="P3170" s="79">
        <v>45141.770833333336</v>
      </c>
      <c r="Q3170" s="77" t="s">
        <v>3842</v>
      </c>
      <c r="R3170" s="77">
        <v>1</v>
      </c>
      <c r="S3170" s="77">
        <v>5</v>
      </c>
      <c r="T3170" s="77">
        <v>0</v>
      </c>
      <c r="U3170" s="77">
        <v>0</v>
      </c>
      <c r="V3170" s="77">
        <v>483</v>
      </c>
      <c r="W3170" s="82" t="s">
        <v>4833</v>
      </c>
      <c r="X3170" s="80" t="str">
        <f>HYPERLINK("https://mla.bs/0e7d55ea")</f>
        <v>https://mla.bs/0e7d55ea</v>
      </c>
      <c r="Y3170" s="77" t="s">
        <v>6506</v>
      </c>
      <c r="Z3170" s="77"/>
      <c r="AA3170" s="77"/>
      <c r="AB3170" s="77"/>
      <c r="AC3170" s="82" t="s">
        <v>7754</v>
      </c>
      <c r="AD3170" s="77" t="s">
        <v>7788</v>
      </c>
      <c r="AE3170" s="80" t="str">
        <f>HYPERLINK("https://twitter.com/einvestidor/status/1687168957432643584")</f>
        <v>https://twitter.com/einvestidor/status/1687168957432643584</v>
      </c>
      <c r="AF3170" s="79">
        <v>45141.770833333336</v>
      </c>
      <c r="AG3170" s="85">
        <v>45141</v>
      </c>
      <c r="AH3170" s="82" t="s">
        <v>7930</v>
      </c>
      <c r="AI3170" s="77" t="b">
        <v>0</v>
      </c>
      <c r="AJ3170" s="77"/>
      <c r="AK3170" s="77"/>
      <c r="AL3170" s="77"/>
      <c r="AM3170" s="77"/>
      <c r="AN3170" s="77"/>
      <c r="AO3170" s="77"/>
      <c r="AP3170" s="77"/>
      <c r="AQ3170" s="77"/>
      <c r="AR3170" s="77"/>
      <c r="AS3170" s="77"/>
      <c r="AT3170" s="77"/>
      <c r="AU3170" s="77"/>
      <c r="AV3170" s="80" t="str">
        <f>HYPERLINK("https://pbs.twimg.com/profile_images/1241147984924082183/gZgx_hL-_normal.jpg")</f>
        <v>https://pbs.twimg.com/profile_images/1241147984924082183/gZgx_hL-_normal.jpg</v>
      </c>
      <c r="AW3170" s="82" t="s">
        <v>14766</v>
      </c>
      <c r="AX3170" s="82" t="s">
        <v>14766</v>
      </c>
      <c r="AY3170" s="77"/>
      <c r="AZ3170" s="82" t="s">
        <v>15984</v>
      </c>
      <c r="BA3170" s="82" t="s">
        <v>15984</v>
      </c>
      <c r="BB3170" s="82" t="s">
        <v>15984</v>
      </c>
      <c r="BC3170" s="82" t="s">
        <v>14766</v>
      </c>
      <c r="BD3170" s="82" t="s">
        <v>15979</v>
      </c>
      <c r="BE3170" s="77"/>
      <c r="BF3170" s="77"/>
      <c r="BG3170" s="77"/>
      <c r="BH3170" s="77"/>
      <c r="BI3170" s="77"/>
    </row>
    <row r="3171" spans="1:61" x14ac:dyDescent="0.25">
      <c r="A3171" s="62" t="s">
        <v>387</v>
      </c>
      <c r="B3171" s="62" t="s">
        <v>387</v>
      </c>
      <c r="C3171" s="63"/>
      <c r="D3171" s="64"/>
      <c r="E3171" s="65"/>
      <c r="F3171" s="66"/>
      <c r="G3171" s="63"/>
      <c r="H3171" s="67"/>
      <c r="I3171" s="68"/>
      <c r="J3171" s="68"/>
      <c r="K3171" s="32"/>
      <c r="L3171" s="75">
        <v>3171</v>
      </c>
      <c r="M3171" s="75"/>
      <c r="N3171" s="70"/>
      <c r="O3171" s="77" t="s">
        <v>179</v>
      </c>
      <c r="P3171" s="79">
        <v>45141.760416666664</v>
      </c>
      <c r="Q3171" s="77" t="s">
        <v>3843</v>
      </c>
      <c r="R3171" s="77">
        <v>0</v>
      </c>
      <c r="S3171" s="77">
        <v>1</v>
      </c>
      <c r="T3171" s="77">
        <v>0</v>
      </c>
      <c r="U3171" s="77">
        <v>0</v>
      </c>
      <c r="V3171" s="77">
        <v>547</v>
      </c>
      <c r="W3171" s="82" t="s">
        <v>4833</v>
      </c>
      <c r="X3171" s="80" t="str">
        <f>HYPERLINK("https://mla.bs/dc897898")</f>
        <v>https://mla.bs/dc897898</v>
      </c>
      <c r="Y3171" s="77" t="s">
        <v>6506</v>
      </c>
      <c r="Z3171" s="77"/>
      <c r="AA3171" s="77"/>
      <c r="AB3171" s="77"/>
      <c r="AC3171" s="82" t="s">
        <v>7754</v>
      </c>
      <c r="AD3171" s="77" t="s">
        <v>7788</v>
      </c>
      <c r="AE3171" s="80" t="str">
        <f>HYPERLINK("https://twitter.com/einvestidor/status/1687165182605213701")</f>
        <v>https://twitter.com/einvestidor/status/1687165182605213701</v>
      </c>
      <c r="AF3171" s="79">
        <v>45141.760416666664</v>
      </c>
      <c r="AG3171" s="85">
        <v>45141</v>
      </c>
      <c r="AH3171" s="82" t="s">
        <v>9582</v>
      </c>
      <c r="AI3171" s="77" t="b">
        <v>0</v>
      </c>
      <c r="AJ3171" s="77"/>
      <c r="AK3171" s="77"/>
      <c r="AL3171" s="77"/>
      <c r="AM3171" s="77"/>
      <c r="AN3171" s="77"/>
      <c r="AO3171" s="77"/>
      <c r="AP3171" s="77"/>
      <c r="AQ3171" s="77"/>
      <c r="AR3171" s="77"/>
      <c r="AS3171" s="77"/>
      <c r="AT3171" s="77"/>
      <c r="AU3171" s="77"/>
      <c r="AV3171" s="80" t="str">
        <f>HYPERLINK("https://pbs.twimg.com/profile_images/1241147984924082183/gZgx_hL-_normal.jpg")</f>
        <v>https://pbs.twimg.com/profile_images/1241147984924082183/gZgx_hL-_normal.jpg</v>
      </c>
      <c r="AW3171" s="82" t="s">
        <v>14767</v>
      </c>
      <c r="AX3171" s="82" t="s">
        <v>14767</v>
      </c>
      <c r="AY3171" s="77"/>
      <c r="AZ3171" s="82" t="s">
        <v>15984</v>
      </c>
      <c r="BA3171" s="82" t="s">
        <v>15984</v>
      </c>
      <c r="BB3171" s="82" t="s">
        <v>15984</v>
      </c>
      <c r="BC3171" s="82" t="s">
        <v>14767</v>
      </c>
      <c r="BD3171" s="82" t="s">
        <v>15979</v>
      </c>
      <c r="BE3171" s="77"/>
      <c r="BF3171" s="77"/>
      <c r="BG3171" s="77"/>
      <c r="BH3171" s="77"/>
      <c r="BI3171" s="77"/>
    </row>
    <row r="3172" spans="1:61" x14ac:dyDescent="0.25">
      <c r="A3172" s="62" t="s">
        <v>387</v>
      </c>
      <c r="B3172" s="62" t="s">
        <v>387</v>
      </c>
      <c r="C3172" s="63"/>
      <c r="D3172" s="64"/>
      <c r="E3172" s="65"/>
      <c r="F3172" s="66"/>
      <c r="G3172" s="63"/>
      <c r="H3172" s="67"/>
      <c r="I3172" s="68"/>
      <c r="J3172" s="68"/>
      <c r="K3172" s="32"/>
      <c r="L3172" s="75">
        <v>3172</v>
      </c>
      <c r="M3172" s="75"/>
      <c r="N3172" s="70"/>
      <c r="O3172" s="77" t="s">
        <v>179</v>
      </c>
      <c r="P3172" s="79">
        <v>45124.719224537039</v>
      </c>
      <c r="Q3172" s="77" t="s">
        <v>3844</v>
      </c>
      <c r="R3172" s="77">
        <v>1</v>
      </c>
      <c r="S3172" s="77">
        <v>5</v>
      </c>
      <c r="T3172" s="77">
        <v>0</v>
      </c>
      <c r="U3172" s="77">
        <v>0</v>
      </c>
      <c r="V3172" s="77">
        <v>640</v>
      </c>
      <c r="W3172" s="82" t="s">
        <v>4833</v>
      </c>
      <c r="X3172" s="80" t="str">
        <f>HYPERLINK("https://mla.bs/79020973")</f>
        <v>https://mla.bs/79020973</v>
      </c>
      <c r="Y3172" s="77" t="s">
        <v>6506</v>
      </c>
      <c r="Z3172" s="77"/>
      <c r="AA3172" s="77"/>
      <c r="AB3172" s="77"/>
      <c r="AC3172" s="82" t="s">
        <v>7757</v>
      </c>
      <c r="AD3172" s="77" t="s">
        <v>7788</v>
      </c>
      <c r="AE3172" s="80" t="str">
        <f>HYPERLINK("https://twitter.com/einvestidor/status/1680989664306405376")</f>
        <v>https://twitter.com/einvestidor/status/1680989664306405376</v>
      </c>
      <c r="AF3172" s="79">
        <v>45124.719224537039</v>
      </c>
      <c r="AG3172" s="85">
        <v>45124</v>
      </c>
      <c r="AH3172" s="82" t="s">
        <v>9957</v>
      </c>
      <c r="AI3172" s="77" t="b">
        <v>0</v>
      </c>
      <c r="AJ3172" s="77"/>
      <c r="AK3172" s="77"/>
      <c r="AL3172" s="77"/>
      <c r="AM3172" s="77"/>
      <c r="AN3172" s="77"/>
      <c r="AO3172" s="77"/>
      <c r="AP3172" s="77"/>
      <c r="AQ3172" s="77"/>
      <c r="AR3172" s="77"/>
      <c r="AS3172" s="77"/>
      <c r="AT3172" s="77"/>
      <c r="AU3172" s="77"/>
      <c r="AV3172" s="80" t="str">
        <f>HYPERLINK("https://pbs.twimg.com/profile_images/1241147984924082183/gZgx_hL-_normal.jpg")</f>
        <v>https://pbs.twimg.com/profile_images/1241147984924082183/gZgx_hL-_normal.jpg</v>
      </c>
      <c r="AW3172" s="82" t="s">
        <v>14768</v>
      </c>
      <c r="AX3172" s="82" t="s">
        <v>14768</v>
      </c>
      <c r="AY3172" s="77"/>
      <c r="AZ3172" s="82" t="s">
        <v>15984</v>
      </c>
      <c r="BA3172" s="82" t="s">
        <v>15984</v>
      </c>
      <c r="BB3172" s="82" t="s">
        <v>15984</v>
      </c>
      <c r="BC3172" s="82" t="s">
        <v>14768</v>
      </c>
      <c r="BD3172" s="82" t="s">
        <v>15979</v>
      </c>
      <c r="BE3172" s="77"/>
      <c r="BF3172" s="77"/>
      <c r="BG3172" s="77"/>
      <c r="BH3172" s="77"/>
      <c r="BI3172" s="77"/>
    </row>
    <row r="3173" spans="1:61" x14ac:dyDescent="0.25">
      <c r="A3173" s="62" t="s">
        <v>387</v>
      </c>
      <c r="B3173" s="62" t="s">
        <v>387</v>
      </c>
      <c r="C3173" s="63"/>
      <c r="D3173" s="64"/>
      <c r="E3173" s="65"/>
      <c r="F3173" s="66"/>
      <c r="G3173" s="63"/>
      <c r="H3173" s="67"/>
      <c r="I3173" s="68"/>
      <c r="J3173" s="68"/>
      <c r="K3173" s="32"/>
      <c r="L3173" s="75">
        <v>3173</v>
      </c>
      <c r="M3173" s="75"/>
      <c r="N3173" s="70"/>
      <c r="O3173" s="77" t="s">
        <v>179</v>
      </c>
      <c r="P3173" s="79">
        <v>45124.708761574075</v>
      </c>
      <c r="Q3173" s="77" t="s">
        <v>3845</v>
      </c>
      <c r="R3173" s="77">
        <v>0</v>
      </c>
      <c r="S3173" s="77">
        <v>1</v>
      </c>
      <c r="T3173" s="77">
        <v>0</v>
      </c>
      <c r="U3173" s="77">
        <v>0</v>
      </c>
      <c r="V3173" s="77">
        <v>515</v>
      </c>
      <c r="W3173" s="82" t="s">
        <v>4833</v>
      </c>
      <c r="X3173" s="80" t="str">
        <f>HYPERLINK("https://mla.bs/be86f3a6")</f>
        <v>https://mla.bs/be86f3a6</v>
      </c>
      <c r="Y3173" s="77" t="s">
        <v>6506</v>
      </c>
      <c r="Z3173" s="77"/>
      <c r="AA3173" s="77"/>
      <c r="AB3173" s="77"/>
      <c r="AC3173" s="82" t="s">
        <v>7757</v>
      </c>
      <c r="AD3173" s="77" t="s">
        <v>7788</v>
      </c>
      <c r="AE3173" s="80" t="str">
        <f>HYPERLINK("https://twitter.com/einvestidor/status/1680985869925113856")</f>
        <v>https://twitter.com/einvestidor/status/1680985869925113856</v>
      </c>
      <c r="AF3173" s="79">
        <v>45124.708761574075</v>
      </c>
      <c r="AG3173" s="85">
        <v>45124</v>
      </c>
      <c r="AH3173" s="82" t="s">
        <v>9958</v>
      </c>
      <c r="AI3173" s="77" t="b">
        <v>0</v>
      </c>
      <c r="AJ3173" s="77"/>
      <c r="AK3173" s="77"/>
      <c r="AL3173" s="77"/>
      <c r="AM3173" s="77"/>
      <c r="AN3173" s="77"/>
      <c r="AO3173" s="77"/>
      <c r="AP3173" s="77"/>
      <c r="AQ3173" s="77"/>
      <c r="AR3173" s="77"/>
      <c r="AS3173" s="77"/>
      <c r="AT3173" s="77"/>
      <c r="AU3173" s="77"/>
      <c r="AV3173" s="80" t="str">
        <f>HYPERLINK("https://pbs.twimg.com/profile_images/1241147984924082183/gZgx_hL-_normal.jpg")</f>
        <v>https://pbs.twimg.com/profile_images/1241147984924082183/gZgx_hL-_normal.jpg</v>
      </c>
      <c r="AW3173" s="82" t="s">
        <v>14769</v>
      </c>
      <c r="AX3173" s="82" t="s">
        <v>14769</v>
      </c>
      <c r="AY3173" s="77"/>
      <c r="AZ3173" s="82" t="s">
        <v>15984</v>
      </c>
      <c r="BA3173" s="82" t="s">
        <v>15984</v>
      </c>
      <c r="BB3173" s="82" t="s">
        <v>15984</v>
      </c>
      <c r="BC3173" s="82" t="s">
        <v>14769</v>
      </c>
      <c r="BD3173" s="82" t="s">
        <v>15979</v>
      </c>
      <c r="BE3173" s="77"/>
      <c r="BF3173" s="77"/>
      <c r="BG3173" s="77"/>
      <c r="BH3173" s="77"/>
      <c r="BI3173" s="77"/>
    </row>
    <row r="3174" spans="1:61" x14ac:dyDescent="0.25">
      <c r="A3174" s="62" t="s">
        <v>387</v>
      </c>
      <c r="B3174" s="62" t="s">
        <v>387</v>
      </c>
      <c r="C3174" s="63"/>
      <c r="D3174" s="64"/>
      <c r="E3174" s="65"/>
      <c r="F3174" s="66"/>
      <c r="G3174" s="63"/>
      <c r="H3174" s="67"/>
      <c r="I3174" s="68"/>
      <c r="J3174" s="68"/>
      <c r="K3174" s="32"/>
      <c r="L3174" s="75">
        <v>3174</v>
      </c>
      <c r="M3174" s="75"/>
      <c r="N3174" s="70"/>
      <c r="O3174" s="77" t="s">
        <v>179</v>
      </c>
      <c r="P3174" s="79">
        <v>45124.687800925924</v>
      </c>
      <c r="Q3174" s="77" t="s">
        <v>3846</v>
      </c>
      <c r="R3174" s="77">
        <v>0</v>
      </c>
      <c r="S3174" s="77">
        <v>1</v>
      </c>
      <c r="T3174" s="77">
        <v>0</v>
      </c>
      <c r="U3174" s="77">
        <v>0</v>
      </c>
      <c r="V3174" s="77">
        <v>553</v>
      </c>
      <c r="W3174" s="82" t="s">
        <v>4833</v>
      </c>
      <c r="X3174" s="80" t="str">
        <f>HYPERLINK("https://mla.bs/59999460")</f>
        <v>https://mla.bs/59999460</v>
      </c>
      <c r="Y3174" s="77" t="s">
        <v>6506</v>
      </c>
      <c r="Z3174" s="77"/>
      <c r="AA3174" s="77"/>
      <c r="AB3174" s="77"/>
      <c r="AC3174" s="82" t="s">
        <v>7757</v>
      </c>
      <c r="AD3174" s="77" t="s">
        <v>7788</v>
      </c>
      <c r="AE3174" s="80" t="str">
        <f>HYPERLINK("https://twitter.com/einvestidor/status/1680978274313224196")</f>
        <v>https://twitter.com/einvestidor/status/1680978274313224196</v>
      </c>
      <c r="AF3174" s="79">
        <v>45124.687800925924</v>
      </c>
      <c r="AG3174" s="85">
        <v>45124</v>
      </c>
      <c r="AH3174" s="82" t="s">
        <v>9959</v>
      </c>
      <c r="AI3174" s="77" t="b">
        <v>0</v>
      </c>
      <c r="AJ3174" s="77"/>
      <c r="AK3174" s="77"/>
      <c r="AL3174" s="77"/>
      <c r="AM3174" s="77"/>
      <c r="AN3174" s="77"/>
      <c r="AO3174" s="77"/>
      <c r="AP3174" s="77"/>
      <c r="AQ3174" s="77"/>
      <c r="AR3174" s="77"/>
      <c r="AS3174" s="77"/>
      <c r="AT3174" s="77"/>
      <c r="AU3174" s="77"/>
      <c r="AV3174" s="80" t="str">
        <f>HYPERLINK("https://pbs.twimg.com/profile_images/1241147984924082183/gZgx_hL-_normal.jpg")</f>
        <v>https://pbs.twimg.com/profile_images/1241147984924082183/gZgx_hL-_normal.jpg</v>
      </c>
      <c r="AW3174" s="82" t="s">
        <v>14770</v>
      </c>
      <c r="AX3174" s="82" t="s">
        <v>14770</v>
      </c>
      <c r="AY3174" s="77"/>
      <c r="AZ3174" s="82" t="s">
        <v>15984</v>
      </c>
      <c r="BA3174" s="82" t="s">
        <v>15984</v>
      </c>
      <c r="BB3174" s="82" t="s">
        <v>15984</v>
      </c>
      <c r="BC3174" s="82" t="s">
        <v>14770</v>
      </c>
      <c r="BD3174" s="82" t="s">
        <v>15979</v>
      </c>
      <c r="BE3174" s="77"/>
      <c r="BF3174" s="77"/>
      <c r="BG3174" s="77"/>
      <c r="BH3174" s="77"/>
      <c r="BI3174" s="77"/>
    </row>
    <row r="3175" spans="1:61" x14ac:dyDescent="0.25">
      <c r="A3175" s="62" t="s">
        <v>387</v>
      </c>
      <c r="B3175" s="62" t="s">
        <v>387</v>
      </c>
      <c r="C3175" s="63"/>
      <c r="D3175" s="64"/>
      <c r="E3175" s="65"/>
      <c r="F3175" s="66"/>
      <c r="G3175" s="63"/>
      <c r="H3175" s="67"/>
      <c r="I3175" s="68"/>
      <c r="J3175" s="68"/>
      <c r="K3175" s="32"/>
      <c r="L3175" s="75">
        <v>3175</v>
      </c>
      <c r="M3175" s="75"/>
      <c r="N3175" s="70"/>
      <c r="O3175" s="77" t="s">
        <v>179</v>
      </c>
      <c r="P3175" s="79">
        <v>45124.552337962959</v>
      </c>
      <c r="Q3175" s="77" t="s">
        <v>3847</v>
      </c>
      <c r="R3175" s="77">
        <v>0</v>
      </c>
      <c r="S3175" s="77">
        <v>1</v>
      </c>
      <c r="T3175" s="77">
        <v>0</v>
      </c>
      <c r="U3175" s="77">
        <v>0</v>
      </c>
      <c r="V3175" s="77">
        <v>502</v>
      </c>
      <c r="W3175" s="82" t="s">
        <v>5574</v>
      </c>
      <c r="X3175" s="80" t="str">
        <f>HYPERLINK("https://mla.bs/c17eb64b")</f>
        <v>https://mla.bs/c17eb64b</v>
      </c>
      <c r="Y3175" s="77" t="s">
        <v>6506</v>
      </c>
      <c r="Z3175" s="77"/>
      <c r="AA3175" s="77"/>
      <c r="AB3175" s="77"/>
      <c r="AC3175" s="82" t="s">
        <v>7757</v>
      </c>
      <c r="AD3175" s="77" t="s">
        <v>7788</v>
      </c>
      <c r="AE3175" s="80" t="str">
        <f>HYPERLINK("https://twitter.com/einvestidor/status/1680929185571692544")</f>
        <v>https://twitter.com/einvestidor/status/1680929185571692544</v>
      </c>
      <c r="AF3175" s="79">
        <v>45124.552337962959</v>
      </c>
      <c r="AG3175" s="85">
        <v>45124</v>
      </c>
      <c r="AH3175" s="82" t="s">
        <v>9960</v>
      </c>
      <c r="AI3175" s="77" t="b">
        <v>0</v>
      </c>
      <c r="AJ3175" s="77"/>
      <c r="AK3175" s="77"/>
      <c r="AL3175" s="77"/>
      <c r="AM3175" s="77"/>
      <c r="AN3175" s="77"/>
      <c r="AO3175" s="77"/>
      <c r="AP3175" s="77"/>
      <c r="AQ3175" s="77"/>
      <c r="AR3175" s="77"/>
      <c r="AS3175" s="77"/>
      <c r="AT3175" s="77"/>
      <c r="AU3175" s="77"/>
      <c r="AV3175" s="80" t="str">
        <f>HYPERLINK("https://pbs.twimg.com/profile_images/1241147984924082183/gZgx_hL-_normal.jpg")</f>
        <v>https://pbs.twimg.com/profile_images/1241147984924082183/gZgx_hL-_normal.jpg</v>
      </c>
      <c r="AW3175" s="82" t="s">
        <v>14771</v>
      </c>
      <c r="AX3175" s="82" t="s">
        <v>14771</v>
      </c>
      <c r="AY3175" s="77"/>
      <c r="AZ3175" s="82" t="s">
        <v>15984</v>
      </c>
      <c r="BA3175" s="82" t="s">
        <v>15984</v>
      </c>
      <c r="BB3175" s="82" t="s">
        <v>15984</v>
      </c>
      <c r="BC3175" s="82" t="s">
        <v>14771</v>
      </c>
      <c r="BD3175" s="82" t="s">
        <v>15979</v>
      </c>
      <c r="BE3175" s="77"/>
      <c r="BF3175" s="77"/>
      <c r="BG3175" s="77"/>
      <c r="BH3175" s="77"/>
      <c r="BI3175" s="77"/>
    </row>
    <row r="3176" spans="1:61" x14ac:dyDescent="0.25">
      <c r="A3176" s="62" t="s">
        <v>387</v>
      </c>
      <c r="B3176" s="62" t="s">
        <v>387</v>
      </c>
      <c r="C3176" s="63"/>
      <c r="D3176" s="64"/>
      <c r="E3176" s="65"/>
      <c r="F3176" s="66"/>
      <c r="G3176" s="63"/>
      <c r="H3176" s="67"/>
      <c r="I3176" s="68"/>
      <c r="J3176" s="68"/>
      <c r="K3176" s="32"/>
      <c r="L3176" s="75">
        <v>3176</v>
      </c>
      <c r="M3176" s="75"/>
      <c r="N3176" s="70"/>
      <c r="O3176" s="77" t="s">
        <v>179</v>
      </c>
      <c r="P3176" s="79">
        <v>45196.888923611114</v>
      </c>
      <c r="Q3176" s="77" t="s">
        <v>3848</v>
      </c>
      <c r="R3176" s="77">
        <v>0</v>
      </c>
      <c r="S3176" s="77">
        <v>2</v>
      </c>
      <c r="T3176" s="77">
        <v>0</v>
      </c>
      <c r="U3176" s="77">
        <v>0</v>
      </c>
      <c r="V3176" s="77">
        <v>672</v>
      </c>
      <c r="W3176" s="82" t="s">
        <v>5902</v>
      </c>
      <c r="X3176" s="80" t="str">
        <f>HYPERLINK("https://einvestidor.estadao.com.br/investimentos/dolar-5-reais-vai-continuar-em-alta/?utm_source=twitter&amp;utm_medium=organic&amp;utm_campaign=&amp;utm_content=materia")</f>
        <v>https://einvestidor.estadao.com.br/investimentos/dolar-5-reais-vai-continuar-em-alta/?utm_source=twitter&amp;utm_medium=organic&amp;utm_campaign=&amp;utm_content=materia</v>
      </c>
      <c r="Y3176" s="77" t="s">
        <v>6470</v>
      </c>
      <c r="Z3176" s="77"/>
      <c r="AA3176" s="77" t="s">
        <v>7621</v>
      </c>
      <c r="AB3176" s="77" t="s">
        <v>7742</v>
      </c>
      <c r="AC3176" s="82" t="s">
        <v>7750</v>
      </c>
      <c r="AD3176" s="77" t="s">
        <v>7788</v>
      </c>
      <c r="AE3176" s="80" t="str">
        <f>HYPERLINK("https://twitter.com/einvestidor/status/1707143087426818161")</f>
        <v>https://twitter.com/einvestidor/status/1707143087426818161</v>
      </c>
      <c r="AF3176" s="79">
        <v>45196.888923611114</v>
      </c>
      <c r="AG3176" s="85">
        <v>45196</v>
      </c>
      <c r="AH3176" s="82" t="s">
        <v>9961</v>
      </c>
      <c r="AI3176" s="77" t="b">
        <v>0</v>
      </c>
      <c r="AJ3176" s="77"/>
      <c r="AK3176" s="77"/>
      <c r="AL3176" s="77"/>
      <c r="AM3176" s="77"/>
      <c r="AN3176" s="77"/>
      <c r="AO3176" s="77"/>
      <c r="AP3176" s="77"/>
      <c r="AQ3176" s="77" t="s">
        <v>11593</v>
      </c>
      <c r="AR3176" s="77"/>
      <c r="AS3176" s="77"/>
      <c r="AT3176" s="77"/>
      <c r="AU3176" s="77"/>
      <c r="AV3176" s="80" t="str">
        <f>HYPERLINK("https://pbs.twimg.com/media/F7D9lvIWIAEkQ_l.jpg")</f>
        <v>https://pbs.twimg.com/media/F7D9lvIWIAEkQ_l.jpg</v>
      </c>
      <c r="AW3176" s="82" t="s">
        <v>14772</v>
      </c>
      <c r="AX3176" s="82" t="s">
        <v>14772</v>
      </c>
      <c r="AY3176" s="77"/>
      <c r="AZ3176" s="82" t="s">
        <v>15984</v>
      </c>
      <c r="BA3176" s="82" t="s">
        <v>15984</v>
      </c>
      <c r="BB3176" s="82" t="s">
        <v>15984</v>
      </c>
      <c r="BC3176" s="82" t="s">
        <v>14772</v>
      </c>
      <c r="BD3176" s="82" t="s">
        <v>15979</v>
      </c>
      <c r="BE3176" s="77"/>
      <c r="BF3176" s="77"/>
      <c r="BG3176" s="77"/>
      <c r="BH3176" s="77"/>
      <c r="BI3176" s="77"/>
    </row>
    <row r="3177" spans="1:61" x14ac:dyDescent="0.25">
      <c r="A3177" s="62" t="s">
        <v>387</v>
      </c>
      <c r="B3177" s="62" t="s">
        <v>387</v>
      </c>
      <c r="C3177" s="63"/>
      <c r="D3177" s="64"/>
      <c r="E3177" s="65"/>
      <c r="F3177" s="66"/>
      <c r="G3177" s="63"/>
      <c r="H3177" s="67"/>
      <c r="I3177" s="68"/>
      <c r="J3177" s="68"/>
      <c r="K3177" s="32"/>
      <c r="L3177" s="75">
        <v>3177</v>
      </c>
      <c r="M3177" s="75"/>
      <c r="N3177" s="70"/>
      <c r="O3177" s="77" t="s">
        <v>179</v>
      </c>
      <c r="P3177" s="79">
        <v>45196.854166666664</v>
      </c>
      <c r="Q3177" s="77" t="s">
        <v>3849</v>
      </c>
      <c r="R3177" s="77">
        <v>0</v>
      </c>
      <c r="S3177" s="77">
        <v>0</v>
      </c>
      <c r="T3177" s="77">
        <v>0</v>
      </c>
      <c r="U3177" s="77">
        <v>0</v>
      </c>
      <c r="V3177" s="77">
        <v>369</v>
      </c>
      <c r="W3177" s="82" t="s">
        <v>4833</v>
      </c>
      <c r="X3177" s="80" t="str">
        <f>HYPERLINK("https://einvestidor.estadao.com.br/colunas/thiago-de-aragao/geopolitica-aco-e-mais-importante-do-que-parece/?utm_source=twitter&amp;utm_medium=organic&amp;utm_campaign=&amp;utm_content=materia")</f>
        <v>https://einvestidor.estadao.com.br/colunas/thiago-de-aragao/geopolitica-aco-e-mais-importante-do-que-parece/?utm_source=twitter&amp;utm_medium=organic&amp;utm_campaign=&amp;utm_content=materia</v>
      </c>
      <c r="Y3177" s="77" t="s">
        <v>6470</v>
      </c>
      <c r="Z3177" s="77"/>
      <c r="AA3177" s="77" t="s">
        <v>7622</v>
      </c>
      <c r="AB3177" s="77" t="s">
        <v>7742</v>
      </c>
      <c r="AC3177" s="82" t="s">
        <v>7750</v>
      </c>
      <c r="AD3177" s="77" t="s">
        <v>7788</v>
      </c>
      <c r="AE3177" s="80" t="str">
        <f>HYPERLINK("https://twitter.com/einvestidor/status/1707130489947967850")</f>
        <v>https://twitter.com/einvestidor/status/1707130489947967850</v>
      </c>
      <c r="AF3177" s="79">
        <v>45196.854166666664</v>
      </c>
      <c r="AG3177" s="85">
        <v>45196</v>
      </c>
      <c r="AH3177" s="82" t="s">
        <v>8090</v>
      </c>
      <c r="AI3177" s="77" t="b">
        <v>0</v>
      </c>
      <c r="AJ3177" s="77"/>
      <c r="AK3177" s="77"/>
      <c r="AL3177" s="77"/>
      <c r="AM3177" s="77"/>
      <c r="AN3177" s="77"/>
      <c r="AO3177" s="77"/>
      <c r="AP3177" s="77"/>
      <c r="AQ3177" s="77" t="s">
        <v>11594</v>
      </c>
      <c r="AR3177" s="77"/>
      <c r="AS3177" s="77"/>
      <c r="AT3177" s="77"/>
      <c r="AU3177" s="77"/>
      <c r="AV3177" s="80" t="str">
        <f>HYPERLINK("https://pbs.twimg.com/media/F7Dsp9PXIAAuxi1.jpg")</f>
        <v>https://pbs.twimg.com/media/F7Dsp9PXIAAuxi1.jpg</v>
      </c>
      <c r="AW3177" s="82" t="s">
        <v>14773</v>
      </c>
      <c r="AX3177" s="82" t="s">
        <v>14773</v>
      </c>
      <c r="AY3177" s="77"/>
      <c r="AZ3177" s="82" t="s">
        <v>15984</v>
      </c>
      <c r="BA3177" s="82" t="s">
        <v>15984</v>
      </c>
      <c r="BB3177" s="82" t="s">
        <v>15984</v>
      </c>
      <c r="BC3177" s="82" t="s">
        <v>14773</v>
      </c>
      <c r="BD3177" s="82" t="s">
        <v>15979</v>
      </c>
      <c r="BE3177" s="77"/>
      <c r="BF3177" s="77"/>
      <c r="BG3177" s="77"/>
      <c r="BH3177" s="77"/>
      <c r="BI3177" s="77"/>
    </row>
    <row r="3178" spans="1:61" x14ac:dyDescent="0.25">
      <c r="A3178" s="62" t="s">
        <v>387</v>
      </c>
      <c r="B3178" s="62" t="s">
        <v>387</v>
      </c>
      <c r="C3178" s="63"/>
      <c r="D3178" s="64"/>
      <c r="E3178" s="65"/>
      <c r="F3178" s="66"/>
      <c r="G3178" s="63"/>
      <c r="H3178" s="67"/>
      <c r="I3178" s="68"/>
      <c r="J3178" s="68"/>
      <c r="K3178" s="32"/>
      <c r="L3178" s="75">
        <v>3178</v>
      </c>
      <c r="M3178" s="75"/>
      <c r="N3178" s="70"/>
      <c r="O3178" s="77" t="s">
        <v>179</v>
      </c>
      <c r="P3178" s="79">
        <v>45196.83053240741</v>
      </c>
      <c r="Q3178" s="77" t="s">
        <v>3850</v>
      </c>
      <c r="R3178" s="77">
        <v>0</v>
      </c>
      <c r="S3178" s="77">
        <v>0</v>
      </c>
      <c r="T3178" s="77">
        <v>0</v>
      </c>
      <c r="U3178" s="77">
        <v>0</v>
      </c>
      <c r="V3178" s="77">
        <v>510</v>
      </c>
      <c r="W3178" s="82" t="s">
        <v>6238</v>
      </c>
      <c r="X3178" s="80" t="str">
        <f>HYPERLINK("https://einvestidor.estadao.com.br/investimentos/fundos-imobiliarios-que-pagam-dividendos-acima-selic/?utm_source=twitter&amp;utm_medium=organic&amp;utm_campaign=&amp;utm_content=materia")</f>
        <v>https://einvestidor.estadao.com.br/investimentos/fundos-imobiliarios-que-pagam-dividendos-acima-selic/?utm_source=twitter&amp;utm_medium=organic&amp;utm_campaign=&amp;utm_content=materia</v>
      </c>
      <c r="Y3178" s="77" t="s">
        <v>6470</v>
      </c>
      <c r="Z3178" s="77"/>
      <c r="AA3178" s="77" t="s">
        <v>7623</v>
      </c>
      <c r="AB3178" s="77" t="s">
        <v>7742</v>
      </c>
      <c r="AC3178" s="82" t="s">
        <v>7750</v>
      </c>
      <c r="AD3178" s="77" t="s">
        <v>7788</v>
      </c>
      <c r="AE3178" s="80" t="str">
        <f>HYPERLINK("https://twitter.com/einvestidor/status/1707121924550144451")</f>
        <v>https://twitter.com/einvestidor/status/1707121924550144451</v>
      </c>
      <c r="AF3178" s="79">
        <v>45196.83053240741</v>
      </c>
      <c r="AG3178" s="85">
        <v>45196</v>
      </c>
      <c r="AH3178" s="82" t="s">
        <v>9962</v>
      </c>
      <c r="AI3178" s="77" t="b">
        <v>0</v>
      </c>
      <c r="AJ3178" s="77"/>
      <c r="AK3178" s="77"/>
      <c r="AL3178" s="77"/>
      <c r="AM3178" s="77"/>
      <c r="AN3178" s="77"/>
      <c r="AO3178" s="77"/>
      <c r="AP3178" s="77"/>
      <c r="AQ3178" s="77" t="s">
        <v>11595</v>
      </c>
      <c r="AR3178" s="77"/>
      <c r="AS3178" s="77"/>
      <c r="AT3178" s="77"/>
      <c r="AU3178" s="77"/>
      <c r="AV3178" s="80" t="str">
        <f>HYPERLINK("https://pbs.twimg.com/media/F7DqV3CWYAAwyKz.jpg")</f>
        <v>https://pbs.twimg.com/media/F7DqV3CWYAAwyKz.jpg</v>
      </c>
      <c r="AW3178" s="82" t="s">
        <v>14774</v>
      </c>
      <c r="AX3178" s="82" t="s">
        <v>14774</v>
      </c>
      <c r="AY3178" s="77"/>
      <c r="AZ3178" s="82" t="s">
        <v>15984</v>
      </c>
      <c r="BA3178" s="82" t="s">
        <v>15984</v>
      </c>
      <c r="BB3178" s="82" t="s">
        <v>15984</v>
      </c>
      <c r="BC3178" s="82" t="s">
        <v>14774</v>
      </c>
      <c r="BD3178" s="82" t="s">
        <v>15979</v>
      </c>
      <c r="BE3178" s="77"/>
      <c r="BF3178" s="77"/>
      <c r="BG3178" s="77"/>
      <c r="BH3178" s="77"/>
      <c r="BI3178" s="77"/>
    </row>
    <row r="3179" spans="1:61" x14ac:dyDescent="0.25">
      <c r="A3179" s="62" t="s">
        <v>387</v>
      </c>
      <c r="B3179" s="62" t="s">
        <v>387</v>
      </c>
      <c r="C3179" s="63"/>
      <c r="D3179" s="64"/>
      <c r="E3179" s="65"/>
      <c r="F3179" s="66"/>
      <c r="G3179" s="63"/>
      <c r="H3179" s="67"/>
      <c r="I3179" s="68"/>
      <c r="J3179" s="68"/>
      <c r="K3179" s="32"/>
      <c r="L3179" s="75">
        <v>3179</v>
      </c>
      <c r="M3179" s="75"/>
      <c r="N3179" s="70"/>
      <c r="O3179" s="77" t="s">
        <v>179</v>
      </c>
      <c r="P3179" s="79">
        <v>45196.490312499998</v>
      </c>
      <c r="Q3179" s="77" t="s">
        <v>3851</v>
      </c>
      <c r="R3179" s="77">
        <v>0</v>
      </c>
      <c r="S3179" s="77">
        <v>0</v>
      </c>
      <c r="T3179" s="77">
        <v>0</v>
      </c>
      <c r="U3179" s="77">
        <v>0</v>
      </c>
      <c r="V3179" s="77">
        <v>361</v>
      </c>
      <c r="W3179" s="82" t="s">
        <v>4839</v>
      </c>
      <c r="X3179" s="80" t="str">
        <f>HYPERLINK("https://einvestidor.estadao.com.br/mercado/mercado-hoje-encontro-lula-haddad-campos-neto-agenda-politica/?utm_source=twitter&amp;utm_medium=organic&amp;utm_campaign=mercado-hoje&amp;utm_content=materia")</f>
        <v>https://einvestidor.estadao.com.br/mercado/mercado-hoje-encontro-lula-haddad-campos-neto-agenda-politica/?utm_source=twitter&amp;utm_medium=organic&amp;utm_campaign=mercado-hoje&amp;utm_content=materia</v>
      </c>
      <c r="Y3179" s="77" t="s">
        <v>6470</v>
      </c>
      <c r="Z3179" s="77"/>
      <c r="AA3179" s="77"/>
      <c r="AB3179" s="77"/>
      <c r="AC3179" s="82" t="s">
        <v>7750</v>
      </c>
      <c r="AD3179" s="77" t="s">
        <v>7788</v>
      </c>
      <c r="AE3179" s="80" t="str">
        <f>HYPERLINK("https://twitter.com/einvestidor/status/1706998631931277541")</f>
        <v>https://twitter.com/einvestidor/status/1706998631931277541</v>
      </c>
      <c r="AF3179" s="79">
        <v>45196.490312499998</v>
      </c>
      <c r="AG3179" s="85">
        <v>45196</v>
      </c>
      <c r="AH3179" s="82" t="s">
        <v>9963</v>
      </c>
      <c r="AI3179" s="77" t="b">
        <v>0</v>
      </c>
      <c r="AJ3179" s="77"/>
      <c r="AK3179" s="77"/>
      <c r="AL3179" s="77"/>
      <c r="AM3179" s="77"/>
      <c r="AN3179" s="77"/>
      <c r="AO3179" s="77"/>
      <c r="AP3179" s="77"/>
      <c r="AQ3179" s="77"/>
      <c r="AR3179" s="77"/>
      <c r="AS3179" s="77"/>
      <c r="AT3179" s="77"/>
      <c r="AU3179" s="77"/>
      <c r="AV3179" s="80" t="str">
        <f>HYPERLINK("https://pbs.twimg.com/profile_images/1241147984924082183/gZgx_hL-_normal.jpg")</f>
        <v>https://pbs.twimg.com/profile_images/1241147984924082183/gZgx_hL-_normal.jpg</v>
      </c>
      <c r="AW3179" s="82" t="s">
        <v>14775</v>
      </c>
      <c r="AX3179" s="82" t="s">
        <v>14775</v>
      </c>
      <c r="AY3179" s="77"/>
      <c r="AZ3179" s="82" t="s">
        <v>15984</v>
      </c>
      <c r="BA3179" s="82" t="s">
        <v>15984</v>
      </c>
      <c r="BB3179" s="82" t="s">
        <v>15984</v>
      </c>
      <c r="BC3179" s="82" t="s">
        <v>14775</v>
      </c>
      <c r="BD3179" s="82" t="s">
        <v>15979</v>
      </c>
      <c r="BE3179" s="77"/>
      <c r="BF3179" s="77"/>
      <c r="BG3179" s="77"/>
      <c r="BH3179" s="77"/>
      <c r="BI3179" s="77"/>
    </row>
    <row r="3180" spans="1:61" x14ac:dyDescent="0.25">
      <c r="A3180" s="62" t="s">
        <v>387</v>
      </c>
      <c r="B3180" s="62" t="s">
        <v>387</v>
      </c>
      <c r="C3180" s="63"/>
      <c r="D3180" s="64"/>
      <c r="E3180" s="65"/>
      <c r="F3180" s="66"/>
      <c r="G3180" s="63"/>
      <c r="H3180" s="67"/>
      <c r="I3180" s="68"/>
      <c r="J3180" s="68"/>
      <c r="K3180" s="32"/>
      <c r="L3180" s="75">
        <v>3180</v>
      </c>
      <c r="M3180" s="75"/>
      <c r="N3180" s="70"/>
      <c r="O3180" s="77" t="s">
        <v>179</v>
      </c>
      <c r="P3180" s="79">
        <v>45195.891064814816</v>
      </c>
      <c r="Q3180" s="77" t="s">
        <v>3852</v>
      </c>
      <c r="R3180" s="77">
        <v>0</v>
      </c>
      <c r="S3180" s="77">
        <v>1</v>
      </c>
      <c r="T3180" s="77">
        <v>0</v>
      </c>
      <c r="U3180" s="77">
        <v>0</v>
      </c>
      <c r="V3180" s="77">
        <v>462</v>
      </c>
      <c r="W3180" s="82" t="s">
        <v>4833</v>
      </c>
      <c r="X3180" s="80" t="str">
        <f>HYPERLINK("https://einvestidor.estadao.com.br/investimentos/bancos-japoneses-acoes-beneficiadas-alta-juros/?utm_source=twitter&amp;utm_medium=organic&amp;utm_campaign=&amp;utm_content=materia")</f>
        <v>https://einvestidor.estadao.com.br/investimentos/bancos-japoneses-acoes-beneficiadas-alta-juros/?utm_source=twitter&amp;utm_medium=organic&amp;utm_campaign=&amp;utm_content=materia</v>
      </c>
      <c r="Y3180" s="77" t="s">
        <v>6470</v>
      </c>
      <c r="Z3180" s="77"/>
      <c r="AA3180" s="77" t="s">
        <v>7624</v>
      </c>
      <c r="AB3180" s="77" t="s">
        <v>7742</v>
      </c>
      <c r="AC3180" s="82" t="s">
        <v>7750</v>
      </c>
      <c r="AD3180" s="77" t="s">
        <v>7788</v>
      </c>
      <c r="AE3180" s="80" t="str">
        <f>HYPERLINK("https://twitter.com/einvestidor/status/1706781472407900224")</f>
        <v>https://twitter.com/einvestidor/status/1706781472407900224</v>
      </c>
      <c r="AF3180" s="79">
        <v>45195.891064814816</v>
      </c>
      <c r="AG3180" s="85">
        <v>45195</v>
      </c>
      <c r="AH3180" s="82" t="s">
        <v>9964</v>
      </c>
      <c r="AI3180" s="77" t="b">
        <v>0</v>
      </c>
      <c r="AJ3180" s="77"/>
      <c r="AK3180" s="77"/>
      <c r="AL3180" s="77"/>
      <c r="AM3180" s="77"/>
      <c r="AN3180" s="77"/>
      <c r="AO3180" s="77"/>
      <c r="AP3180" s="77"/>
      <c r="AQ3180" s="77" t="s">
        <v>11596</v>
      </c>
      <c r="AR3180" s="77"/>
      <c r="AS3180" s="77"/>
      <c r="AT3180" s="77"/>
      <c r="AU3180" s="77"/>
      <c r="AV3180" s="80" t="str">
        <f>HYPERLINK("https://pbs.twimg.com/media/F6-0ssiX0AAIBgQ.jpg")</f>
        <v>https://pbs.twimg.com/media/F6-0ssiX0AAIBgQ.jpg</v>
      </c>
      <c r="AW3180" s="82" t="s">
        <v>14776</v>
      </c>
      <c r="AX3180" s="82" t="s">
        <v>14776</v>
      </c>
      <c r="AY3180" s="77"/>
      <c r="AZ3180" s="82" t="s">
        <v>15984</v>
      </c>
      <c r="BA3180" s="82" t="s">
        <v>15984</v>
      </c>
      <c r="BB3180" s="82" t="s">
        <v>15984</v>
      </c>
      <c r="BC3180" s="82" t="s">
        <v>14776</v>
      </c>
      <c r="BD3180" s="82" t="s">
        <v>15979</v>
      </c>
      <c r="BE3180" s="77"/>
      <c r="BF3180" s="77"/>
      <c r="BG3180" s="77"/>
      <c r="BH3180" s="77"/>
      <c r="BI3180" s="77"/>
    </row>
    <row r="3181" spans="1:61" x14ac:dyDescent="0.25">
      <c r="A3181" s="62" t="s">
        <v>387</v>
      </c>
      <c r="B3181" s="62" t="s">
        <v>387</v>
      </c>
      <c r="C3181" s="63"/>
      <c r="D3181" s="64"/>
      <c r="E3181" s="65"/>
      <c r="F3181" s="66"/>
      <c r="G3181" s="63"/>
      <c r="H3181" s="67"/>
      <c r="I3181" s="68"/>
      <c r="J3181" s="68"/>
      <c r="K3181" s="32"/>
      <c r="L3181" s="75">
        <v>3181</v>
      </c>
      <c r="M3181" s="75"/>
      <c r="N3181" s="70"/>
      <c r="O3181" s="77" t="s">
        <v>179</v>
      </c>
      <c r="P3181" s="79">
        <v>45195.489583333336</v>
      </c>
      <c r="Q3181" s="77" t="s">
        <v>3853</v>
      </c>
      <c r="R3181" s="77">
        <v>1</v>
      </c>
      <c r="S3181" s="77">
        <v>2</v>
      </c>
      <c r="T3181" s="77">
        <v>0</v>
      </c>
      <c r="U3181" s="77">
        <v>0</v>
      </c>
      <c r="V3181" s="77">
        <v>712</v>
      </c>
      <c r="W3181" s="82" t="s">
        <v>6239</v>
      </c>
      <c r="X3181" s="80" t="str">
        <f>HYPERLINK("https://einvestidor.estadao.com.br/ultimas/oi-oibr4-acordo-milionario-btg-pactua-bpac11/?utm_source=twitter&amp;utm_medium=organic&amp;utm_campaign=oibr3&amp;utm_content=materia")</f>
        <v>https://einvestidor.estadao.com.br/ultimas/oi-oibr4-acordo-milionario-btg-pactua-bpac11/?utm_source=twitter&amp;utm_medium=organic&amp;utm_campaign=oibr3&amp;utm_content=materia</v>
      </c>
      <c r="Y3181" s="77" t="s">
        <v>6470</v>
      </c>
      <c r="Z3181" s="77"/>
      <c r="AA3181" s="77"/>
      <c r="AB3181" s="77"/>
      <c r="AC3181" s="82" t="s">
        <v>7750</v>
      </c>
      <c r="AD3181" s="77" t="s">
        <v>7788</v>
      </c>
      <c r="AE3181" s="80" t="str">
        <f>HYPERLINK("https://twitter.com/einvestidor/status/1706635981242147149")</f>
        <v>https://twitter.com/einvestidor/status/1706635981242147149</v>
      </c>
      <c r="AF3181" s="79">
        <v>45195.489583333336</v>
      </c>
      <c r="AG3181" s="85">
        <v>45195</v>
      </c>
      <c r="AH3181" s="82" t="s">
        <v>9965</v>
      </c>
      <c r="AI3181" s="77" t="b">
        <v>0</v>
      </c>
      <c r="AJ3181" s="77"/>
      <c r="AK3181" s="77"/>
      <c r="AL3181" s="77"/>
      <c r="AM3181" s="77"/>
      <c r="AN3181" s="77"/>
      <c r="AO3181" s="77"/>
      <c r="AP3181" s="77"/>
      <c r="AQ3181" s="77"/>
      <c r="AR3181" s="77"/>
      <c r="AS3181" s="77"/>
      <c r="AT3181" s="77"/>
      <c r="AU3181" s="77"/>
      <c r="AV3181" s="80" t="str">
        <f>HYPERLINK("https://pbs.twimg.com/profile_images/1241147984924082183/gZgx_hL-_normal.jpg")</f>
        <v>https://pbs.twimg.com/profile_images/1241147984924082183/gZgx_hL-_normal.jpg</v>
      </c>
      <c r="AW3181" s="82" t="s">
        <v>14777</v>
      </c>
      <c r="AX3181" s="82" t="s">
        <v>14777</v>
      </c>
      <c r="AY3181" s="77"/>
      <c r="AZ3181" s="82" t="s">
        <v>15984</v>
      </c>
      <c r="BA3181" s="82" t="s">
        <v>15984</v>
      </c>
      <c r="BB3181" s="82" t="s">
        <v>15984</v>
      </c>
      <c r="BC3181" s="82" t="s">
        <v>14777</v>
      </c>
      <c r="BD3181" s="82" t="s">
        <v>15979</v>
      </c>
      <c r="BE3181" s="77"/>
      <c r="BF3181" s="77"/>
      <c r="BG3181" s="77"/>
      <c r="BH3181" s="77"/>
      <c r="BI3181" s="77"/>
    </row>
    <row r="3182" spans="1:61" x14ac:dyDescent="0.25">
      <c r="A3182" s="62" t="s">
        <v>387</v>
      </c>
      <c r="B3182" s="62" t="s">
        <v>387</v>
      </c>
      <c r="C3182" s="63"/>
      <c r="D3182" s="64"/>
      <c r="E3182" s="65"/>
      <c r="F3182" s="66"/>
      <c r="G3182" s="63"/>
      <c r="H3182" s="67"/>
      <c r="I3182" s="68"/>
      <c r="J3182" s="68"/>
      <c r="K3182" s="32"/>
      <c r="L3182" s="75">
        <v>3182</v>
      </c>
      <c r="M3182" s="75"/>
      <c r="N3182" s="70"/>
      <c r="O3182" s="77" t="s">
        <v>179</v>
      </c>
      <c r="P3182" s="79">
        <v>45195.487025462964</v>
      </c>
      <c r="Q3182" s="77" t="s">
        <v>3854</v>
      </c>
      <c r="R3182" s="77">
        <v>0</v>
      </c>
      <c r="S3182" s="77">
        <v>0</v>
      </c>
      <c r="T3182" s="77">
        <v>0</v>
      </c>
      <c r="U3182" s="77">
        <v>0</v>
      </c>
      <c r="V3182" s="77">
        <v>436</v>
      </c>
      <c r="W3182" s="82" t="s">
        <v>6240</v>
      </c>
      <c r="X3182" s="80" t="str">
        <f>HYPERLINK("https://einvestidor.estadao.com.br/mercado/mercado-hoje-oi-oibr4-eletrobras-elet3-taesa-taee11/?utm_source=twitter&amp;utm_medium=organic&amp;utm_campaign=mercado-hoje&amp;utm_content=materia")</f>
        <v>https://einvestidor.estadao.com.br/mercado/mercado-hoje-oi-oibr4-eletrobras-elet3-taesa-taee11/?utm_source=twitter&amp;utm_medium=organic&amp;utm_campaign=mercado-hoje&amp;utm_content=materia</v>
      </c>
      <c r="Y3182" s="77" t="s">
        <v>6470</v>
      </c>
      <c r="Z3182" s="77"/>
      <c r="AA3182" s="77" t="s">
        <v>7625</v>
      </c>
      <c r="AB3182" s="77" t="s">
        <v>7742</v>
      </c>
      <c r="AC3182" s="82" t="s">
        <v>7750</v>
      </c>
      <c r="AD3182" s="77" t="s">
        <v>7788</v>
      </c>
      <c r="AE3182" s="80" t="str">
        <f>HYPERLINK("https://twitter.com/einvestidor/status/1706635054066126876")</f>
        <v>https://twitter.com/einvestidor/status/1706635054066126876</v>
      </c>
      <c r="AF3182" s="79">
        <v>45195.487025462964</v>
      </c>
      <c r="AG3182" s="85">
        <v>45195</v>
      </c>
      <c r="AH3182" s="82" t="s">
        <v>9966</v>
      </c>
      <c r="AI3182" s="77" t="b">
        <v>0</v>
      </c>
      <c r="AJ3182" s="77"/>
      <c r="AK3182" s="77"/>
      <c r="AL3182" s="77"/>
      <c r="AM3182" s="77"/>
      <c r="AN3182" s="77"/>
      <c r="AO3182" s="77"/>
      <c r="AP3182" s="77"/>
      <c r="AQ3182" s="77" t="s">
        <v>11597</v>
      </c>
      <c r="AR3182" s="77"/>
      <c r="AS3182" s="77"/>
      <c r="AT3182" s="77"/>
      <c r="AU3182" s="77"/>
      <c r="AV3182" s="80" t="str">
        <f>HYPERLINK("https://pbs.twimg.com/media/F68vgiZXwAA7Djn.png")</f>
        <v>https://pbs.twimg.com/media/F68vgiZXwAA7Djn.png</v>
      </c>
      <c r="AW3182" s="82" t="s">
        <v>14778</v>
      </c>
      <c r="AX3182" s="82" t="s">
        <v>14778</v>
      </c>
      <c r="AY3182" s="77"/>
      <c r="AZ3182" s="82" t="s">
        <v>15984</v>
      </c>
      <c r="BA3182" s="82" t="s">
        <v>15984</v>
      </c>
      <c r="BB3182" s="82" t="s">
        <v>15984</v>
      </c>
      <c r="BC3182" s="82" t="s">
        <v>14778</v>
      </c>
      <c r="BD3182" s="82" t="s">
        <v>15979</v>
      </c>
      <c r="BE3182" s="77"/>
      <c r="BF3182" s="77"/>
      <c r="BG3182" s="77"/>
      <c r="BH3182" s="77"/>
      <c r="BI3182" s="77"/>
    </row>
    <row r="3183" spans="1:61" x14ac:dyDescent="0.25">
      <c r="A3183" s="62" t="s">
        <v>387</v>
      </c>
      <c r="B3183" s="62" t="s">
        <v>387</v>
      </c>
      <c r="C3183" s="63"/>
      <c r="D3183" s="64"/>
      <c r="E3183" s="65"/>
      <c r="F3183" s="66"/>
      <c r="G3183" s="63"/>
      <c r="H3183" s="67"/>
      <c r="I3183" s="68"/>
      <c r="J3183" s="68"/>
      <c r="K3183" s="32"/>
      <c r="L3183" s="75">
        <v>3183</v>
      </c>
      <c r="M3183" s="75"/>
      <c r="N3183" s="70"/>
      <c r="O3183" s="77" t="s">
        <v>179</v>
      </c>
      <c r="P3183" s="79">
        <v>45195.477500000001</v>
      </c>
      <c r="Q3183" s="77" t="s">
        <v>3855</v>
      </c>
      <c r="R3183" s="77">
        <v>0</v>
      </c>
      <c r="S3183" s="77">
        <v>0</v>
      </c>
      <c r="T3183" s="77">
        <v>0</v>
      </c>
      <c r="U3183" s="77">
        <v>0</v>
      </c>
      <c r="V3183" s="77">
        <v>417</v>
      </c>
      <c r="W3183" s="82" t="s">
        <v>4839</v>
      </c>
      <c r="X3183" s="80" t="str">
        <f>HYPERLINK("https://einvestidor.estadao.com.br/mercado/mercado-hoje-ata-copom-inflacao-galipolo-movimentam-terca-feira-cautela-exterior/?utm_source=twitter&amp;utm_medium=organic&amp;utm_campaign=mercado-hoje&amp;utm_content=materia")</f>
        <v>https://einvestidor.estadao.com.br/mercado/mercado-hoje-ata-copom-inflacao-galipolo-movimentam-terca-feira-cautela-exterior/?utm_source=twitter&amp;utm_medium=organic&amp;utm_campaign=mercado-hoje&amp;utm_content=materia</v>
      </c>
      <c r="Y3183" s="77" t="s">
        <v>6470</v>
      </c>
      <c r="Z3183" s="77"/>
      <c r="AA3183" s="77"/>
      <c r="AB3183" s="77"/>
      <c r="AC3183" s="82" t="s">
        <v>7750</v>
      </c>
      <c r="AD3183" s="77" t="s">
        <v>7788</v>
      </c>
      <c r="AE3183" s="80" t="str">
        <f>HYPERLINK("https://twitter.com/einvestidor/status/1706631601457709479")</f>
        <v>https://twitter.com/einvestidor/status/1706631601457709479</v>
      </c>
      <c r="AF3183" s="79">
        <v>45195.477500000001</v>
      </c>
      <c r="AG3183" s="85">
        <v>45195</v>
      </c>
      <c r="AH3183" s="82" t="s">
        <v>9967</v>
      </c>
      <c r="AI3183" s="77" t="b">
        <v>0</v>
      </c>
      <c r="AJ3183" s="77"/>
      <c r="AK3183" s="77"/>
      <c r="AL3183" s="77"/>
      <c r="AM3183" s="77"/>
      <c r="AN3183" s="77"/>
      <c r="AO3183" s="77"/>
      <c r="AP3183" s="77"/>
      <c r="AQ3183" s="77"/>
      <c r="AR3183" s="77"/>
      <c r="AS3183" s="77"/>
      <c r="AT3183" s="77"/>
      <c r="AU3183" s="77"/>
      <c r="AV3183" s="80" t="str">
        <f>HYPERLINK("https://pbs.twimg.com/profile_images/1241147984924082183/gZgx_hL-_normal.jpg")</f>
        <v>https://pbs.twimg.com/profile_images/1241147984924082183/gZgx_hL-_normal.jpg</v>
      </c>
      <c r="AW3183" s="82" t="s">
        <v>14779</v>
      </c>
      <c r="AX3183" s="82" t="s">
        <v>14779</v>
      </c>
      <c r="AY3183" s="77"/>
      <c r="AZ3183" s="82" t="s">
        <v>15984</v>
      </c>
      <c r="BA3183" s="82" t="s">
        <v>15984</v>
      </c>
      <c r="BB3183" s="82" t="s">
        <v>15984</v>
      </c>
      <c r="BC3183" s="82" t="s">
        <v>14779</v>
      </c>
      <c r="BD3183" s="82" t="s">
        <v>15979</v>
      </c>
      <c r="BE3183" s="77"/>
      <c r="BF3183" s="77"/>
      <c r="BG3183" s="77"/>
      <c r="BH3183" s="77"/>
      <c r="BI3183" s="77"/>
    </row>
    <row r="3184" spans="1:61" x14ac:dyDescent="0.25">
      <c r="A3184" s="62" t="s">
        <v>387</v>
      </c>
      <c r="B3184" s="62" t="s">
        <v>387</v>
      </c>
      <c r="C3184" s="63"/>
      <c r="D3184" s="64"/>
      <c r="E3184" s="65"/>
      <c r="F3184" s="66"/>
      <c r="G3184" s="63"/>
      <c r="H3184" s="67"/>
      <c r="I3184" s="68"/>
      <c r="J3184" s="68"/>
      <c r="K3184" s="32"/>
      <c r="L3184" s="75">
        <v>3184</v>
      </c>
      <c r="M3184" s="75"/>
      <c r="N3184" s="70"/>
      <c r="O3184" s="77" t="s">
        <v>179</v>
      </c>
      <c r="P3184" s="79">
        <v>45195.469444444447</v>
      </c>
      <c r="Q3184" s="77" t="s">
        <v>3856</v>
      </c>
      <c r="R3184" s="77">
        <v>0</v>
      </c>
      <c r="S3184" s="77">
        <v>3</v>
      </c>
      <c r="T3184" s="77">
        <v>0</v>
      </c>
      <c r="U3184" s="77">
        <v>0</v>
      </c>
      <c r="V3184" s="77">
        <v>480</v>
      </c>
      <c r="W3184" s="82" t="s">
        <v>4839</v>
      </c>
      <c r="X3184" s="80" t="str">
        <f>HYPERLINK("https://einvestidor.estadao.com.br/ultimas/bolsas-da-europa-operam-em-baixa-juros-altos-china/?utm_source=twitter&amp;utm_medium=organic&amp;utm_campaign=europa&amp;utm_content=materia")</f>
        <v>https://einvestidor.estadao.com.br/ultimas/bolsas-da-europa-operam-em-baixa-juros-altos-china/?utm_source=twitter&amp;utm_medium=organic&amp;utm_campaign=europa&amp;utm_content=materia</v>
      </c>
      <c r="Y3184" s="77" t="s">
        <v>6470</v>
      </c>
      <c r="Z3184" s="77"/>
      <c r="AA3184" s="77" t="s">
        <v>7626</v>
      </c>
      <c r="AB3184" s="77" t="s">
        <v>7742</v>
      </c>
      <c r="AC3184" s="82" t="s">
        <v>7750</v>
      </c>
      <c r="AD3184" s="77" t="s">
        <v>7788</v>
      </c>
      <c r="AE3184" s="80" t="str">
        <f>HYPERLINK("https://twitter.com/einvestidor/status/1706628683312558230")</f>
        <v>https://twitter.com/einvestidor/status/1706628683312558230</v>
      </c>
      <c r="AF3184" s="79">
        <v>45195.469444444447</v>
      </c>
      <c r="AG3184" s="85">
        <v>45195</v>
      </c>
      <c r="AH3184" s="82" t="s">
        <v>9968</v>
      </c>
      <c r="AI3184" s="77" t="b">
        <v>0</v>
      </c>
      <c r="AJ3184" s="77"/>
      <c r="AK3184" s="77"/>
      <c r="AL3184" s="77"/>
      <c r="AM3184" s="77"/>
      <c r="AN3184" s="77"/>
      <c r="AO3184" s="77"/>
      <c r="AP3184" s="77"/>
      <c r="AQ3184" s="77" t="s">
        <v>11598</v>
      </c>
      <c r="AR3184" s="77"/>
      <c r="AS3184" s="77"/>
      <c r="AT3184" s="77"/>
      <c r="AU3184" s="77"/>
      <c r="AV3184" s="80" t="str">
        <f>HYPERLINK("https://pbs.twimg.com/media/F68pvJKWkAAq6YJ.png")</f>
        <v>https://pbs.twimg.com/media/F68pvJKWkAAq6YJ.png</v>
      </c>
      <c r="AW3184" s="82" t="s">
        <v>14780</v>
      </c>
      <c r="AX3184" s="82" t="s">
        <v>14780</v>
      </c>
      <c r="AY3184" s="77"/>
      <c r="AZ3184" s="82" t="s">
        <v>15984</v>
      </c>
      <c r="BA3184" s="82" t="s">
        <v>15984</v>
      </c>
      <c r="BB3184" s="82" t="s">
        <v>15984</v>
      </c>
      <c r="BC3184" s="82" t="s">
        <v>14780</v>
      </c>
      <c r="BD3184" s="82" t="s">
        <v>15979</v>
      </c>
      <c r="BE3184" s="77"/>
      <c r="BF3184" s="77"/>
      <c r="BG3184" s="77"/>
      <c r="BH3184" s="77"/>
      <c r="BI3184" s="77"/>
    </row>
    <row r="3185" spans="1:61" x14ac:dyDescent="0.25">
      <c r="A3185" s="62" t="s">
        <v>387</v>
      </c>
      <c r="B3185" s="62" t="s">
        <v>387</v>
      </c>
      <c r="C3185" s="63"/>
      <c r="D3185" s="64"/>
      <c r="E3185" s="65"/>
      <c r="F3185" s="66"/>
      <c r="G3185" s="63"/>
      <c r="H3185" s="67"/>
      <c r="I3185" s="68"/>
      <c r="J3185" s="68"/>
      <c r="K3185" s="32"/>
      <c r="L3185" s="75">
        <v>3185</v>
      </c>
      <c r="M3185" s="75"/>
      <c r="N3185" s="70"/>
      <c r="O3185" s="77" t="s">
        <v>179</v>
      </c>
      <c r="P3185" s="79">
        <v>45194.835173611114</v>
      </c>
      <c r="Q3185" s="77" t="s">
        <v>3857</v>
      </c>
      <c r="R3185" s="77">
        <v>0</v>
      </c>
      <c r="S3185" s="77">
        <v>4</v>
      </c>
      <c r="T3185" s="77">
        <v>0</v>
      </c>
      <c r="U3185" s="77">
        <v>0</v>
      </c>
      <c r="V3185" s="77">
        <v>571</v>
      </c>
      <c r="W3185" s="82" t="s">
        <v>4833</v>
      </c>
      <c r="X3185" s="80" t="str">
        <f>HYPERLINK("https://einvestidor.estadao.com.br/investimentos/aquisicoes-weg-wege3-movimentam-mercado-vale-compra/?utm_source=twitter&amp;utm_medium=organic&amp;utm_campaign=&amp;utm_content=materia")</f>
        <v>https://einvestidor.estadao.com.br/investimentos/aquisicoes-weg-wege3-movimentam-mercado-vale-compra/?utm_source=twitter&amp;utm_medium=organic&amp;utm_campaign=&amp;utm_content=materia</v>
      </c>
      <c r="Y3185" s="77" t="s">
        <v>6470</v>
      </c>
      <c r="Z3185" s="77"/>
      <c r="AA3185" s="77" t="s">
        <v>7627</v>
      </c>
      <c r="AB3185" s="77" t="s">
        <v>7742</v>
      </c>
      <c r="AC3185" s="82" t="s">
        <v>7750</v>
      </c>
      <c r="AD3185" s="77" t="s">
        <v>7788</v>
      </c>
      <c r="AE3185" s="80" t="str">
        <f>HYPERLINK("https://twitter.com/einvestidor/status/1706398833813463160")</f>
        <v>https://twitter.com/einvestidor/status/1706398833813463160</v>
      </c>
      <c r="AF3185" s="79">
        <v>45194.835173611114</v>
      </c>
      <c r="AG3185" s="85">
        <v>45194</v>
      </c>
      <c r="AH3185" s="82" t="s">
        <v>9969</v>
      </c>
      <c r="AI3185" s="77" t="b">
        <v>0</v>
      </c>
      <c r="AJ3185" s="77"/>
      <c r="AK3185" s="77"/>
      <c r="AL3185" s="77"/>
      <c r="AM3185" s="77"/>
      <c r="AN3185" s="77"/>
      <c r="AO3185" s="77"/>
      <c r="AP3185" s="77"/>
      <c r="AQ3185" s="77" t="s">
        <v>11599</v>
      </c>
      <c r="AR3185" s="77"/>
      <c r="AS3185" s="77"/>
      <c r="AT3185" s="77"/>
      <c r="AU3185" s="77"/>
      <c r="AV3185" s="80" t="str">
        <f>HYPERLINK("https://pbs.twimg.com/media/F65YsQwXcAACYZO.jpg")</f>
        <v>https://pbs.twimg.com/media/F65YsQwXcAACYZO.jpg</v>
      </c>
      <c r="AW3185" s="82" t="s">
        <v>14781</v>
      </c>
      <c r="AX3185" s="82" t="s">
        <v>14781</v>
      </c>
      <c r="AY3185" s="77"/>
      <c r="AZ3185" s="82" t="s">
        <v>15984</v>
      </c>
      <c r="BA3185" s="82" t="s">
        <v>15984</v>
      </c>
      <c r="BB3185" s="82" t="s">
        <v>15984</v>
      </c>
      <c r="BC3185" s="82" t="s">
        <v>14781</v>
      </c>
      <c r="BD3185" s="82" t="s">
        <v>15979</v>
      </c>
      <c r="BE3185" s="77"/>
      <c r="BF3185" s="77"/>
      <c r="BG3185" s="77"/>
      <c r="BH3185" s="77"/>
      <c r="BI3185" s="77"/>
    </row>
    <row r="3186" spans="1:61" x14ac:dyDescent="0.25">
      <c r="A3186" s="62" t="s">
        <v>387</v>
      </c>
      <c r="B3186" s="62" t="s">
        <v>387</v>
      </c>
      <c r="C3186" s="63"/>
      <c r="D3186" s="64"/>
      <c r="E3186" s="65"/>
      <c r="F3186" s="66"/>
      <c r="G3186" s="63"/>
      <c r="H3186" s="67"/>
      <c r="I3186" s="68"/>
      <c r="J3186" s="68"/>
      <c r="K3186" s="32"/>
      <c r="L3186" s="75">
        <v>3186</v>
      </c>
      <c r="M3186" s="75"/>
      <c r="N3186" s="70"/>
      <c r="O3186" s="77" t="s">
        <v>179</v>
      </c>
      <c r="P3186" s="79">
        <v>45194.822916666664</v>
      </c>
      <c r="Q3186" s="77" t="s">
        <v>3858</v>
      </c>
      <c r="R3186" s="77">
        <v>0</v>
      </c>
      <c r="S3186" s="77">
        <v>2</v>
      </c>
      <c r="T3186" s="77">
        <v>0</v>
      </c>
      <c r="U3186" s="77">
        <v>0</v>
      </c>
      <c r="V3186" s="77">
        <v>687</v>
      </c>
      <c r="W3186" s="82" t="s">
        <v>6241</v>
      </c>
      <c r="X3186" s="80" t="str">
        <f>HYPERLINK("https://einvestidor.estadao.com.br/ultimas/nubank-emprestimo-ifc-operacoes-colombia/?utm_source=twitter&amp;utm_medium=organic&amp;utm_campaign=&amp;utm_content=materia")</f>
        <v>https://einvestidor.estadao.com.br/ultimas/nubank-emprestimo-ifc-operacoes-colombia/?utm_source=twitter&amp;utm_medium=organic&amp;utm_campaign=&amp;utm_content=materia</v>
      </c>
      <c r="Y3186" s="77" t="s">
        <v>6470</v>
      </c>
      <c r="Z3186" s="77"/>
      <c r="AA3186" s="77"/>
      <c r="AB3186" s="77"/>
      <c r="AC3186" s="82" t="s">
        <v>7750</v>
      </c>
      <c r="AD3186" s="77" t="s">
        <v>7788</v>
      </c>
      <c r="AE3186" s="80" t="str">
        <f>HYPERLINK("https://twitter.com/einvestidor/status/1706394389118099499")</f>
        <v>https://twitter.com/einvestidor/status/1706394389118099499</v>
      </c>
      <c r="AF3186" s="79">
        <v>45194.822916666664</v>
      </c>
      <c r="AG3186" s="85">
        <v>45194</v>
      </c>
      <c r="AH3186" s="82" t="s">
        <v>9579</v>
      </c>
      <c r="AI3186" s="77" t="b">
        <v>0</v>
      </c>
      <c r="AJ3186" s="77"/>
      <c r="AK3186" s="77"/>
      <c r="AL3186" s="77"/>
      <c r="AM3186" s="77"/>
      <c r="AN3186" s="77"/>
      <c r="AO3186" s="77"/>
      <c r="AP3186" s="77"/>
      <c r="AQ3186" s="77"/>
      <c r="AR3186" s="77"/>
      <c r="AS3186" s="77"/>
      <c r="AT3186" s="77"/>
      <c r="AU3186" s="77"/>
      <c r="AV3186" s="80" t="str">
        <f>HYPERLINK("https://pbs.twimg.com/profile_images/1241147984924082183/gZgx_hL-_normal.jpg")</f>
        <v>https://pbs.twimg.com/profile_images/1241147984924082183/gZgx_hL-_normal.jpg</v>
      </c>
      <c r="AW3186" s="82" t="s">
        <v>14782</v>
      </c>
      <c r="AX3186" s="82" t="s">
        <v>14782</v>
      </c>
      <c r="AY3186" s="77"/>
      <c r="AZ3186" s="82" t="s">
        <v>15984</v>
      </c>
      <c r="BA3186" s="82" t="s">
        <v>15984</v>
      </c>
      <c r="BB3186" s="82" t="s">
        <v>15984</v>
      </c>
      <c r="BC3186" s="82" t="s">
        <v>14782</v>
      </c>
      <c r="BD3186" s="82" t="s">
        <v>15979</v>
      </c>
      <c r="BE3186" s="77"/>
      <c r="BF3186" s="77"/>
      <c r="BG3186" s="77"/>
      <c r="BH3186" s="77"/>
      <c r="BI3186" s="77"/>
    </row>
    <row r="3187" spans="1:61" x14ac:dyDescent="0.25">
      <c r="A3187" s="62" t="s">
        <v>387</v>
      </c>
      <c r="B3187" s="62" t="s">
        <v>387</v>
      </c>
      <c r="C3187" s="63"/>
      <c r="D3187" s="64"/>
      <c r="E3187" s="65"/>
      <c r="F3187" s="66"/>
      <c r="G3187" s="63"/>
      <c r="H3187" s="67"/>
      <c r="I3187" s="68"/>
      <c r="J3187" s="68"/>
      <c r="K3187" s="32"/>
      <c r="L3187" s="75">
        <v>3187</v>
      </c>
      <c r="M3187" s="75"/>
      <c r="N3187" s="70"/>
      <c r="O3187" s="77" t="s">
        <v>179</v>
      </c>
      <c r="P3187" s="79">
        <v>45194.8125</v>
      </c>
      <c r="Q3187" s="77" t="s">
        <v>3859</v>
      </c>
      <c r="R3187" s="77">
        <v>0</v>
      </c>
      <c r="S3187" s="77">
        <v>1</v>
      </c>
      <c r="T3187" s="77">
        <v>0</v>
      </c>
      <c r="U3187" s="77">
        <v>0</v>
      </c>
      <c r="V3187" s="77">
        <v>494</v>
      </c>
      <c r="W3187" s="82" t="s">
        <v>6223</v>
      </c>
      <c r="X3187" s="80" t="str">
        <f>HYPERLINK("https://einvestidor.estadao.com.br/ultimas/irb-irbr3-acoes-alta-reestruturacao/?utm_source=twitter&amp;utm_medium=organic&amp;utm_campaign=&amp;utm_content=materia")</f>
        <v>https://einvestidor.estadao.com.br/ultimas/irb-irbr3-acoes-alta-reestruturacao/?utm_source=twitter&amp;utm_medium=organic&amp;utm_campaign=&amp;utm_content=materia</v>
      </c>
      <c r="Y3187" s="77" t="s">
        <v>6470</v>
      </c>
      <c r="Z3187" s="77"/>
      <c r="AA3187" s="77" t="s">
        <v>7628</v>
      </c>
      <c r="AB3187" s="77" t="s">
        <v>7742</v>
      </c>
      <c r="AC3187" s="82" t="s">
        <v>7750</v>
      </c>
      <c r="AD3187" s="77" t="s">
        <v>7788</v>
      </c>
      <c r="AE3187" s="80" t="str">
        <f>HYPERLINK("https://twitter.com/einvestidor/status/1706390615091712259")</f>
        <v>https://twitter.com/einvestidor/status/1706390615091712259</v>
      </c>
      <c r="AF3187" s="79">
        <v>45194.8125</v>
      </c>
      <c r="AG3187" s="85">
        <v>45194</v>
      </c>
      <c r="AH3187" s="82" t="s">
        <v>8281</v>
      </c>
      <c r="AI3187" s="77" t="b">
        <v>0</v>
      </c>
      <c r="AJ3187" s="77"/>
      <c r="AK3187" s="77"/>
      <c r="AL3187" s="77"/>
      <c r="AM3187" s="77"/>
      <c r="AN3187" s="77"/>
      <c r="AO3187" s="77"/>
      <c r="AP3187" s="77"/>
      <c r="AQ3187" s="77" t="s">
        <v>11600</v>
      </c>
      <c r="AR3187" s="77"/>
      <c r="AS3187" s="77"/>
      <c r="AT3187" s="77"/>
      <c r="AU3187" s="77"/>
      <c r="AV3187" s="80" t="str">
        <f>HYPERLINK("https://pbs.twimg.com/media/F65QsWdWoAAAm9x.jpg")</f>
        <v>https://pbs.twimg.com/media/F65QsWdWoAAAm9x.jpg</v>
      </c>
      <c r="AW3187" s="82" t="s">
        <v>14783</v>
      </c>
      <c r="AX3187" s="82" t="s">
        <v>14783</v>
      </c>
      <c r="AY3187" s="77"/>
      <c r="AZ3187" s="82" t="s">
        <v>15984</v>
      </c>
      <c r="BA3187" s="82" t="s">
        <v>15984</v>
      </c>
      <c r="BB3187" s="82" t="s">
        <v>15984</v>
      </c>
      <c r="BC3187" s="82" t="s">
        <v>14783</v>
      </c>
      <c r="BD3187" s="82" t="s">
        <v>15979</v>
      </c>
      <c r="BE3187" s="77"/>
      <c r="BF3187" s="77"/>
      <c r="BG3187" s="77"/>
      <c r="BH3187" s="77"/>
      <c r="BI3187" s="77"/>
    </row>
    <row r="3188" spans="1:61" x14ac:dyDescent="0.25">
      <c r="A3188" s="62" t="s">
        <v>387</v>
      </c>
      <c r="B3188" s="62" t="s">
        <v>387</v>
      </c>
      <c r="C3188" s="63"/>
      <c r="D3188" s="64"/>
      <c r="E3188" s="65"/>
      <c r="F3188" s="66"/>
      <c r="G3188" s="63"/>
      <c r="H3188" s="67"/>
      <c r="I3188" s="68"/>
      <c r="J3188" s="68"/>
      <c r="K3188" s="32"/>
      <c r="L3188" s="75">
        <v>3188</v>
      </c>
      <c r="M3188" s="75"/>
      <c r="N3188" s="70"/>
      <c r="O3188" s="77" t="s">
        <v>179</v>
      </c>
      <c r="P3188" s="79">
        <v>45193.833333333336</v>
      </c>
      <c r="Q3188" s="77" t="s">
        <v>3860</v>
      </c>
      <c r="R3188" s="77">
        <v>1</v>
      </c>
      <c r="S3188" s="77">
        <v>0</v>
      </c>
      <c r="T3188" s="77">
        <v>0</v>
      </c>
      <c r="U3188" s="77">
        <v>0</v>
      </c>
      <c r="V3188" s="77">
        <v>769</v>
      </c>
      <c r="W3188" s="82" t="s">
        <v>6242</v>
      </c>
      <c r="X3188" s="80" t="str">
        <f>HYPERLINK("https://einvestidor.estadao.com.br/educacao-financeira/consorcio-ou-financiamento-qual-escolher/?utm_source=twitter&amp;utm_medium=organic&amp;utm_campaign=&amp;utm_content=materia")</f>
        <v>https://einvestidor.estadao.com.br/educacao-financeira/consorcio-ou-financiamento-qual-escolher/?utm_source=twitter&amp;utm_medium=organic&amp;utm_campaign=&amp;utm_content=materia</v>
      </c>
      <c r="Y3188" s="77" t="s">
        <v>6470</v>
      </c>
      <c r="Z3188" s="77"/>
      <c r="AA3188" s="77"/>
      <c r="AB3188" s="77"/>
      <c r="AC3188" s="82" t="s">
        <v>7750</v>
      </c>
      <c r="AD3188" s="77" t="s">
        <v>7788</v>
      </c>
      <c r="AE3188" s="80" t="str">
        <f>HYPERLINK("https://twitter.com/einvestidor/status/1706035775773745212")</f>
        <v>https://twitter.com/einvestidor/status/1706035775773745212</v>
      </c>
      <c r="AF3188" s="79">
        <v>45193.833333333336</v>
      </c>
      <c r="AG3188" s="85">
        <v>45193</v>
      </c>
      <c r="AH3188" s="82" t="s">
        <v>8381</v>
      </c>
      <c r="AI3188" s="77" t="b">
        <v>0</v>
      </c>
      <c r="AJ3188" s="77"/>
      <c r="AK3188" s="77"/>
      <c r="AL3188" s="77"/>
      <c r="AM3188" s="77"/>
      <c r="AN3188" s="77"/>
      <c r="AO3188" s="77"/>
      <c r="AP3188" s="77"/>
      <c r="AQ3188" s="77"/>
      <c r="AR3188" s="77"/>
      <c r="AS3188" s="77"/>
      <c r="AT3188" s="77"/>
      <c r="AU3188" s="77"/>
      <c r="AV3188" s="80" t="str">
        <f>HYPERLINK("https://pbs.twimg.com/profile_images/1241147984924082183/gZgx_hL-_normal.jpg")</f>
        <v>https://pbs.twimg.com/profile_images/1241147984924082183/gZgx_hL-_normal.jpg</v>
      </c>
      <c r="AW3188" s="82" t="s">
        <v>14784</v>
      </c>
      <c r="AX3188" s="82" t="s">
        <v>14784</v>
      </c>
      <c r="AY3188" s="77"/>
      <c r="AZ3188" s="82" t="s">
        <v>15984</v>
      </c>
      <c r="BA3188" s="82" t="s">
        <v>15984</v>
      </c>
      <c r="BB3188" s="82" t="s">
        <v>15984</v>
      </c>
      <c r="BC3188" s="82" t="s">
        <v>14784</v>
      </c>
      <c r="BD3188" s="82" t="s">
        <v>15979</v>
      </c>
      <c r="BE3188" s="77"/>
      <c r="BF3188" s="77"/>
      <c r="BG3188" s="77"/>
      <c r="BH3188" s="77"/>
      <c r="BI3188" s="77"/>
    </row>
    <row r="3189" spans="1:61" x14ac:dyDescent="0.25">
      <c r="A3189" s="62" t="s">
        <v>387</v>
      </c>
      <c r="B3189" s="62" t="s">
        <v>387</v>
      </c>
      <c r="C3189" s="63"/>
      <c r="D3189" s="64"/>
      <c r="E3189" s="65"/>
      <c r="F3189" s="66"/>
      <c r="G3189" s="63"/>
      <c r="H3189" s="67"/>
      <c r="I3189" s="68"/>
      <c r="J3189" s="68"/>
      <c r="K3189" s="32"/>
      <c r="L3189" s="75">
        <v>3189</v>
      </c>
      <c r="M3189" s="75"/>
      <c r="N3189" s="70"/>
      <c r="O3189" s="77" t="s">
        <v>179</v>
      </c>
      <c r="P3189" s="79">
        <v>45189.052083333336</v>
      </c>
      <c r="Q3189" s="77" t="s">
        <v>3861</v>
      </c>
      <c r="R3189" s="77">
        <v>0</v>
      </c>
      <c r="S3189" s="77">
        <v>1</v>
      </c>
      <c r="T3189" s="77">
        <v>0</v>
      </c>
      <c r="U3189" s="77">
        <v>0</v>
      </c>
      <c r="V3189" s="77">
        <v>598</v>
      </c>
      <c r="W3189" s="82" t="s">
        <v>6022</v>
      </c>
      <c r="X3189" s="80" t="str">
        <f>HYPERLINK("https://einvestidor.estadao.com.br/ultimas/juros-avancam-acompanhando-treasuries//?utm_source=twitter&amp;utm_medium=organic&amp;utm_campaign=&amp;utm_content=materia")</f>
        <v>https://einvestidor.estadao.com.br/ultimas/juros-avancam-acompanhando-treasuries//?utm_source=twitter&amp;utm_medium=organic&amp;utm_campaign=&amp;utm_content=materia</v>
      </c>
      <c r="Y3189" s="77" t="s">
        <v>6470</v>
      </c>
      <c r="Z3189" s="77"/>
      <c r="AA3189" s="77"/>
      <c r="AB3189" s="77"/>
      <c r="AC3189" s="82" t="s">
        <v>7750</v>
      </c>
      <c r="AD3189" s="77" t="s">
        <v>7788</v>
      </c>
      <c r="AE3189" s="80" t="str">
        <f>HYPERLINK("https://twitter.com/einvestidor/status/1704303108741099944")</f>
        <v>https://twitter.com/einvestidor/status/1704303108741099944</v>
      </c>
      <c r="AF3189" s="79">
        <v>45189.052083333336</v>
      </c>
      <c r="AG3189" s="85">
        <v>45189</v>
      </c>
      <c r="AH3189" s="82" t="s">
        <v>9297</v>
      </c>
      <c r="AI3189" s="77" t="b">
        <v>0</v>
      </c>
      <c r="AJ3189" s="77"/>
      <c r="AK3189" s="77"/>
      <c r="AL3189" s="77"/>
      <c r="AM3189" s="77"/>
      <c r="AN3189" s="77"/>
      <c r="AO3189" s="77"/>
      <c r="AP3189" s="77"/>
      <c r="AQ3189" s="77"/>
      <c r="AR3189" s="77"/>
      <c r="AS3189" s="77"/>
      <c r="AT3189" s="77"/>
      <c r="AU3189" s="77"/>
      <c r="AV3189" s="80" t="str">
        <f>HYPERLINK("https://pbs.twimg.com/profile_images/1241147984924082183/gZgx_hL-_normal.jpg")</f>
        <v>https://pbs.twimg.com/profile_images/1241147984924082183/gZgx_hL-_normal.jpg</v>
      </c>
      <c r="AW3189" s="82" t="s">
        <v>14785</v>
      </c>
      <c r="AX3189" s="82" t="s">
        <v>14785</v>
      </c>
      <c r="AY3189" s="77"/>
      <c r="AZ3189" s="82" t="s">
        <v>15984</v>
      </c>
      <c r="BA3189" s="82" t="s">
        <v>15984</v>
      </c>
      <c r="BB3189" s="82" t="s">
        <v>15984</v>
      </c>
      <c r="BC3189" s="82" t="s">
        <v>14785</v>
      </c>
      <c r="BD3189" s="82" t="s">
        <v>15979</v>
      </c>
      <c r="BE3189" s="77"/>
      <c r="BF3189" s="77"/>
      <c r="BG3189" s="77"/>
      <c r="BH3189" s="77"/>
      <c r="BI3189" s="77"/>
    </row>
    <row r="3190" spans="1:61" x14ac:dyDescent="0.25">
      <c r="A3190" s="62" t="s">
        <v>387</v>
      </c>
      <c r="B3190" s="62" t="s">
        <v>387</v>
      </c>
      <c r="C3190" s="63"/>
      <c r="D3190" s="64"/>
      <c r="E3190" s="65"/>
      <c r="F3190" s="66"/>
      <c r="G3190" s="63"/>
      <c r="H3190" s="67"/>
      <c r="I3190" s="68"/>
      <c r="J3190" s="68"/>
      <c r="K3190" s="32"/>
      <c r="L3190" s="75">
        <v>3190</v>
      </c>
      <c r="M3190" s="75"/>
      <c r="N3190" s="70"/>
      <c r="O3190" s="77" t="s">
        <v>179</v>
      </c>
      <c r="P3190" s="79">
        <v>45189.041666666664</v>
      </c>
      <c r="Q3190" s="77" t="s">
        <v>3862</v>
      </c>
      <c r="R3190" s="77">
        <v>0</v>
      </c>
      <c r="S3190" s="77">
        <v>0</v>
      </c>
      <c r="T3190" s="77">
        <v>0</v>
      </c>
      <c r="U3190" s="77">
        <v>0</v>
      </c>
      <c r="V3190" s="77">
        <v>559</v>
      </c>
      <c r="W3190" s="82" t="s">
        <v>5902</v>
      </c>
      <c r="X3190" s="80" t="str">
        <f>HYPERLINK("https://einvestidor.estadao.com.br/ultimas/dolar-hoje-fecha-alta-cautela-vespera-fed/?utm_source=twitter&amp;utm_medium=organic&amp;utm_campaign=&amp;utm_content=materia")</f>
        <v>https://einvestidor.estadao.com.br/ultimas/dolar-hoje-fecha-alta-cautela-vespera-fed/?utm_source=twitter&amp;utm_medium=organic&amp;utm_campaign=&amp;utm_content=materia</v>
      </c>
      <c r="Y3190" s="77" t="s">
        <v>6470</v>
      </c>
      <c r="Z3190" s="77"/>
      <c r="AA3190" s="77"/>
      <c r="AB3190" s="77"/>
      <c r="AC3190" s="82" t="s">
        <v>7750</v>
      </c>
      <c r="AD3190" s="77" t="s">
        <v>7788</v>
      </c>
      <c r="AE3190" s="80" t="str">
        <f>HYPERLINK("https://twitter.com/einvestidor/status/1704299337050673291")</f>
        <v>https://twitter.com/einvestidor/status/1704299337050673291</v>
      </c>
      <c r="AF3190" s="79">
        <v>45189.041666666664</v>
      </c>
      <c r="AG3190" s="85">
        <v>45189</v>
      </c>
      <c r="AH3190" s="82" t="s">
        <v>8283</v>
      </c>
      <c r="AI3190" s="77" t="b">
        <v>0</v>
      </c>
      <c r="AJ3190" s="77"/>
      <c r="AK3190" s="77"/>
      <c r="AL3190" s="77"/>
      <c r="AM3190" s="77"/>
      <c r="AN3190" s="77"/>
      <c r="AO3190" s="77"/>
      <c r="AP3190" s="77"/>
      <c r="AQ3190" s="77"/>
      <c r="AR3190" s="77"/>
      <c r="AS3190" s="77"/>
      <c r="AT3190" s="77"/>
      <c r="AU3190" s="77"/>
      <c r="AV3190" s="80" t="str">
        <f>HYPERLINK("https://pbs.twimg.com/profile_images/1241147984924082183/gZgx_hL-_normal.jpg")</f>
        <v>https://pbs.twimg.com/profile_images/1241147984924082183/gZgx_hL-_normal.jpg</v>
      </c>
      <c r="AW3190" s="82" t="s">
        <v>14786</v>
      </c>
      <c r="AX3190" s="82" t="s">
        <v>14786</v>
      </c>
      <c r="AY3190" s="77"/>
      <c r="AZ3190" s="82" t="s">
        <v>15984</v>
      </c>
      <c r="BA3190" s="82" t="s">
        <v>15984</v>
      </c>
      <c r="BB3190" s="82" t="s">
        <v>15984</v>
      </c>
      <c r="BC3190" s="82" t="s">
        <v>14786</v>
      </c>
      <c r="BD3190" s="82" t="s">
        <v>15979</v>
      </c>
      <c r="BE3190" s="77"/>
      <c r="BF3190" s="77"/>
      <c r="BG3190" s="77"/>
      <c r="BH3190" s="77"/>
      <c r="BI3190" s="77"/>
    </row>
    <row r="3191" spans="1:61" x14ac:dyDescent="0.25">
      <c r="A3191" s="62" t="s">
        <v>387</v>
      </c>
      <c r="B3191" s="62" t="s">
        <v>387</v>
      </c>
      <c r="C3191" s="63"/>
      <c r="D3191" s="64"/>
      <c r="E3191" s="65"/>
      <c r="F3191" s="66"/>
      <c r="G3191" s="63"/>
      <c r="H3191" s="67"/>
      <c r="I3191" s="68"/>
      <c r="J3191" s="68"/>
      <c r="K3191" s="32"/>
      <c r="L3191" s="75">
        <v>3191</v>
      </c>
      <c r="M3191" s="75"/>
      <c r="N3191" s="70"/>
      <c r="O3191" s="77" t="s">
        <v>179</v>
      </c>
      <c r="P3191" s="79">
        <v>45189.03125</v>
      </c>
      <c r="Q3191" s="77" t="s">
        <v>3863</v>
      </c>
      <c r="R3191" s="77">
        <v>0</v>
      </c>
      <c r="S3191" s="77">
        <v>0</v>
      </c>
      <c r="T3191" s="77">
        <v>0</v>
      </c>
      <c r="U3191" s="77">
        <v>0</v>
      </c>
      <c r="V3191" s="77">
        <v>590</v>
      </c>
      <c r="W3191" s="82" t="s">
        <v>6001</v>
      </c>
      <c r="X3191" s="80" t="str">
        <f>HYPERLINK("https://einvestidor.estadao.com.br/ultimas/bolsas-nova-york-fecham-queda-avanco-juros-treasuries//?utm_source=twitter&amp;utm_medium=organic&amp;utm_campaign=&amp;utm_content=materia")</f>
        <v>https://einvestidor.estadao.com.br/ultimas/bolsas-nova-york-fecham-queda-avanco-juros-treasuries//?utm_source=twitter&amp;utm_medium=organic&amp;utm_campaign=&amp;utm_content=materia</v>
      </c>
      <c r="Y3191" s="77" t="s">
        <v>6470</v>
      </c>
      <c r="Z3191" s="77"/>
      <c r="AA3191" s="77"/>
      <c r="AB3191" s="77"/>
      <c r="AC3191" s="82" t="s">
        <v>7750</v>
      </c>
      <c r="AD3191" s="77" t="s">
        <v>7788</v>
      </c>
      <c r="AE3191" s="80" t="str">
        <f>HYPERLINK("https://twitter.com/einvestidor/status/1704295559002296713")</f>
        <v>https://twitter.com/einvestidor/status/1704295559002296713</v>
      </c>
      <c r="AF3191" s="79">
        <v>45189.03125</v>
      </c>
      <c r="AG3191" s="85">
        <v>45189</v>
      </c>
      <c r="AH3191" s="82" t="s">
        <v>9602</v>
      </c>
      <c r="AI3191" s="77" t="b">
        <v>0</v>
      </c>
      <c r="AJ3191" s="77"/>
      <c r="AK3191" s="77"/>
      <c r="AL3191" s="77"/>
      <c r="AM3191" s="77"/>
      <c r="AN3191" s="77"/>
      <c r="AO3191" s="77"/>
      <c r="AP3191" s="77"/>
      <c r="AQ3191" s="77"/>
      <c r="AR3191" s="77"/>
      <c r="AS3191" s="77"/>
      <c r="AT3191" s="77"/>
      <c r="AU3191" s="77"/>
      <c r="AV3191" s="80" t="str">
        <f>HYPERLINK("https://pbs.twimg.com/profile_images/1241147984924082183/gZgx_hL-_normal.jpg")</f>
        <v>https://pbs.twimg.com/profile_images/1241147984924082183/gZgx_hL-_normal.jpg</v>
      </c>
      <c r="AW3191" s="82" t="s">
        <v>14787</v>
      </c>
      <c r="AX3191" s="82" t="s">
        <v>14787</v>
      </c>
      <c r="AY3191" s="77"/>
      <c r="AZ3191" s="82" t="s">
        <v>15984</v>
      </c>
      <c r="BA3191" s="82" t="s">
        <v>15984</v>
      </c>
      <c r="BB3191" s="82" t="s">
        <v>15984</v>
      </c>
      <c r="BC3191" s="82" t="s">
        <v>14787</v>
      </c>
      <c r="BD3191" s="82" t="s">
        <v>15979</v>
      </c>
      <c r="BE3191" s="77"/>
      <c r="BF3191" s="77"/>
      <c r="BG3191" s="77"/>
      <c r="BH3191" s="77"/>
      <c r="BI3191" s="77"/>
    </row>
    <row r="3192" spans="1:61" x14ac:dyDescent="0.25">
      <c r="A3192" s="62" t="s">
        <v>387</v>
      </c>
      <c r="B3192" s="62" t="s">
        <v>387</v>
      </c>
      <c r="C3192" s="63"/>
      <c r="D3192" s="64"/>
      <c r="E3192" s="65"/>
      <c r="F3192" s="66"/>
      <c r="G3192" s="63"/>
      <c r="H3192" s="67"/>
      <c r="I3192" s="68"/>
      <c r="J3192" s="68"/>
      <c r="K3192" s="32"/>
      <c r="L3192" s="75">
        <v>3192</v>
      </c>
      <c r="M3192" s="75"/>
      <c r="N3192" s="70"/>
      <c r="O3192" s="77" t="s">
        <v>179</v>
      </c>
      <c r="P3192" s="79">
        <v>45189.010416666664</v>
      </c>
      <c r="Q3192" s="77" t="s">
        <v>3864</v>
      </c>
      <c r="R3192" s="77">
        <v>0</v>
      </c>
      <c r="S3192" s="77">
        <v>0</v>
      </c>
      <c r="T3192" s="77">
        <v>0</v>
      </c>
      <c r="U3192" s="77">
        <v>0</v>
      </c>
      <c r="V3192" s="77">
        <v>554</v>
      </c>
      <c r="W3192" s="82" t="s">
        <v>6243</v>
      </c>
      <c r="X3192" s="80" t="str">
        <f>HYPERLINK("https://einvestidor.estadao.com.br/ultimas/moedas-globais-dolar-oscila-ante-rivais-espera-fed//?utm_source=twitter&amp;utm_medium=organic&amp;utm_campaign=&amp;utm_content=materia")</f>
        <v>https://einvestidor.estadao.com.br/ultimas/moedas-globais-dolar-oscila-ante-rivais-espera-fed//?utm_source=twitter&amp;utm_medium=organic&amp;utm_campaign=&amp;utm_content=materia</v>
      </c>
      <c r="Y3192" s="77" t="s">
        <v>6470</v>
      </c>
      <c r="Z3192" s="77"/>
      <c r="AA3192" s="77"/>
      <c r="AB3192" s="77"/>
      <c r="AC3192" s="82" t="s">
        <v>7750</v>
      </c>
      <c r="AD3192" s="77" t="s">
        <v>7788</v>
      </c>
      <c r="AE3192" s="80" t="str">
        <f>HYPERLINK("https://twitter.com/einvestidor/status/1704288009275986174")</f>
        <v>https://twitter.com/einvestidor/status/1704288009275986174</v>
      </c>
      <c r="AF3192" s="79">
        <v>45189.010416666664</v>
      </c>
      <c r="AG3192" s="85">
        <v>45189</v>
      </c>
      <c r="AH3192" s="82" t="s">
        <v>8119</v>
      </c>
      <c r="AI3192" s="77" t="b">
        <v>0</v>
      </c>
      <c r="AJ3192" s="77"/>
      <c r="AK3192" s="77"/>
      <c r="AL3192" s="77"/>
      <c r="AM3192" s="77"/>
      <c r="AN3192" s="77"/>
      <c r="AO3192" s="77"/>
      <c r="AP3192" s="77"/>
      <c r="AQ3192" s="77"/>
      <c r="AR3192" s="77"/>
      <c r="AS3192" s="77"/>
      <c r="AT3192" s="77"/>
      <c r="AU3192" s="77"/>
      <c r="AV3192" s="80" t="str">
        <f>HYPERLINK("https://pbs.twimg.com/profile_images/1241147984924082183/gZgx_hL-_normal.jpg")</f>
        <v>https://pbs.twimg.com/profile_images/1241147984924082183/gZgx_hL-_normal.jpg</v>
      </c>
      <c r="AW3192" s="82" t="s">
        <v>14788</v>
      </c>
      <c r="AX3192" s="82" t="s">
        <v>14788</v>
      </c>
      <c r="AY3192" s="77"/>
      <c r="AZ3192" s="82" t="s">
        <v>15984</v>
      </c>
      <c r="BA3192" s="82" t="s">
        <v>15984</v>
      </c>
      <c r="BB3192" s="82" t="s">
        <v>15984</v>
      </c>
      <c r="BC3192" s="82" t="s">
        <v>14788</v>
      </c>
      <c r="BD3192" s="82" t="s">
        <v>15979</v>
      </c>
      <c r="BE3192" s="77"/>
      <c r="BF3192" s="77"/>
      <c r="BG3192" s="77"/>
      <c r="BH3192" s="77"/>
      <c r="BI3192" s="77"/>
    </row>
    <row r="3193" spans="1:61" x14ac:dyDescent="0.25">
      <c r="A3193" s="62" t="s">
        <v>387</v>
      </c>
      <c r="B3193" s="62" t="s">
        <v>387</v>
      </c>
      <c r="C3193" s="63"/>
      <c r="D3193" s="64"/>
      <c r="E3193" s="65"/>
      <c r="F3193" s="66"/>
      <c r="G3193" s="63"/>
      <c r="H3193" s="67"/>
      <c r="I3193" s="68"/>
      <c r="J3193" s="68"/>
      <c r="K3193" s="32"/>
      <c r="L3193" s="75">
        <v>3193</v>
      </c>
      <c r="M3193" s="75"/>
      <c r="N3193" s="70"/>
      <c r="O3193" s="77" t="s">
        <v>179</v>
      </c>
      <c r="P3193" s="79">
        <v>45189.000011574077</v>
      </c>
      <c r="Q3193" s="77" t="s">
        <v>3865</v>
      </c>
      <c r="R3193" s="77">
        <v>0</v>
      </c>
      <c r="S3193" s="77">
        <v>1</v>
      </c>
      <c r="T3193" s="77">
        <v>0</v>
      </c>
      <c r="U3193" s="77">
        <v>0</v>
      </c>
      <c r="V3193" s="77">
        <v>517</v>
      </c>
      <c r="W3193" s="82" t="s">
        <v>4833</v>
      </c>
      <c r="X3193" s="80" t="str">
        <f>HYPERLINK("https://einvestidor.estadao.com.br/ultimas/juros-treasuries-alta-vespera-federal-reserve//?utm_source=twitter&amp;utm_medium=organic&amp;utm_campaign=&amp;utm_content=materia")</f>
        <v>https://einvestidor.estadao.com.br/ultimas/juros-treasuries-alta-vespera-federal-reserve//?utm_source=twitter&amp;utm_medium=organic&amp;utm_campaign=&amp;utm_content=materia</v>
      </c>
      <c r="Y3193" s="77" t="s">
        <v>6470</v>
      </c>
      <c r="Z3193" s="77"/>
      <c r="AA3193" s="77"/>
      <c r="AB3193" s="77"/>
      <c r="AC3193" s="82" t="s">
        <v>7750</v>
      </c>
      <c r="AD3193" s="77" t="s">
        <v>7788</v>
      </c>
      <c r="AE3193" s="80" t="str">
        <f>HYPERLINK("https://twitter.com/einvestidor/status/1704284239196479842")</f>
        <v>https://twitter.com/einvestidor/status/1704284239196479842</v>
      </c>
      <c r="AF3193" s="79">
        <v>45189.000011574077</v>
      </c>
      <c r="AG3193" s="85">
        <v>45189</v>
      </c>
      <c r="AH3193" s="82" t="s">
        <v>7883</v>
      </c>
      <c r="AI3193" s="77" t="b">
        <v>0</v>
      </c>
      <c r="AJ3193" s="77"/>
      <c r="AK3193" s="77"/>
      <c r="AL3193" s="77"/>
      <c r="AM3193" s="77"/>
      <c r="AN3193" s="77"/>
      <c r="AO3193" s="77"/>
      <c r="AP3193" s="77"/>
      <c r="AQ3193" s="77"/>
      <c r="AR3193" s="77"/>
      <c r="AS3193" s="77"/>
      <c r="AT3193" s="77"/>
      <c r="AU3193" s="77"/>
      <c r="AV3193" s="80" t="str">
        <f>HYPERLINK("https://pbs.twimg.com/profile_images/1241147984924082183/gZgx_hL-_normal.jpg")</f>
        <v>https://pbs.twimg.com/profile_images/1241147984924082183/gZgx_hL-_normal.jpg</v>
      </c>
      <c r="AW3193" s="82" t="s">
        <v>14789</v>
      </c>
      <c r="AX3193" s="82" t="s">
        <v>14789</v>
      </c>
      <c r="AY3193" s="77"/>
      <c r="AZ3193" s="82" t="s">
        <v>15984</v>
      </c>
      <c r="BA3193" s="82" t="s">
        <v>15984</v>
      </c>
      <c r="BB3193" s="82" t="s">
        <v>15984</v>
      </c>
      <c r="BC3193" s="82" t="s">
        <v>14789</v>
      </c>
      <c r="BD3193" s="82" t="s">
        <v>15979</v>
      </c>
      <c r="BE3193" s="77"/>
      <c r="BF3193" s="77"/>
      <c r="BG3193" s="77"/>
      <c r="BH3193" s="77"/>
      <c r="BI3193" s="77"/>
    </row>
    <row r="3194" spans="1:61" x14ac:dyDescent="0.25">
      <c r="A3194" s="62" t="s">
        <v>387</v>
      </c>
      <c r="B3194" s="62" t="s">
        <v>387</v>
      </c>
      <c r="C3194" s="63"/>
      <c r="D3194" s="64"/>
      <c r="E3194" s="65"/>
      <c r="F3194" s="66"/>
      <c r="G3194" s="63"/>
      <c r="H3194" s="67"/>
      <c r="I3194" s="68"/>
      <c r="J3194" s="68"/>
      <c r="K3194" s="32"/>
      <c r="L3194" s="75">
        <v>3194</v>
      </c>
      <c r="M3194" s="75"/>
      <c r="N3194" s="70"/>
      <c r="O3194" s="77" t="s">
        <v>179</v>
      </c>
      <c r="P3194" s="79">
        <v>45188.989583333336</v>
      </c>
      <c r="Q3194" s="77" t="s">
        <v>3866</v>
      </c>
      <c r="R3194" s="77">
        <v>0</v>
      </c>
      <c r="S3194" s="77">
        <v>3</v>
      </c>
      <c r="T3194" s="77">
        <v>0</v>
      </c>
      <c r="U3194" s="77">
        <v>0</v>
      </c>
      <c r="V3194" s="77">
        <v>547</v>
      </c>
      <c r="W3194" s="82" t="s">
        <v>6244</v>
      </c>
      <c r="X3194" s="80" t="str">
        <f>HYPERLINK("https://einvestidor.estadao.com.br/ultimas/bb-asset-e-trigono-capital-lancam-primeiros-fundos-em-parceria//?utm_source=twitter&amp;utm_medium=organic&amp;utm_campaign=&amp;utm_content=materia")</f>
        <v>https://einvestidor.estadao.com.br/ultimas/bb-asset-e-trigono-capital-lancam-primeiros-fundos-em-parceria//?utm_source=twitter&amp;utm_medium=organic&amp;utm_campaign=&amp;utm_content=materia</v>
      </c>
      <c r="Y3194" s="77" t="s">
        <v>6470</v>
      </c>
      <c r="Z3194" s="77"/>
      <c r="AA3194" s="77"/>
      <c r="AB3194" s="77"/>
      <c r="AC3194" s="82" t="s">
        <v>7750</v>
      </c>
      <c r="AD3194" s="77" t="s">
        <v>7788</v>
      </c>
      <c r="AE3194" s="80" t="str">
        <f>HYPERLINK("https://twitter.com/einvestidor/status/1704280459696333279")</f>
        <v>https://twitter.com/einvestidor/status/1704280459696333279</v>
      </c>
      <c r="AF3194" s="79">
        <v>45188.989583333336</v>
      </c>
      <c r="AG3194" s="85">
        <v>45188</v>
      </c>
      <c r="AH3194" s="82" t="s">
        <v>9620</v>
      </c>
      <c r="AI3194" s="77" t="b">
        <v>0</v>
      </c>
      <c r="AJ3194" s="77"/>
      <c r="AK3194" s="77"/>
      <c r="AL3194" s="77"/>
      <c r="AM3194" s="77"/>
      <c r="AN3194" s="77"/>
      <c r="AO3194" s="77"/>
      <c r="AP3194" s="77"/>
      <c r="AQ3194" s="77"/>
      <c r="AR3194" s="77"/>
      <c r="AS3194" s="77"/>
      <c r="AT3194" s="77"/>
      <c r="AU3194" s="77"/>
      <c r="AV3194" s="80" t="str">
        <f>HYPERLINK("https://pbs.twimg.com/profile_images/1241147984924082183/gZgx_hL-_normal.jpg")</f>
        <v>https://pbs.twimg.com/profile_images/1241147984924082183/gZgx_hL-_normal.jpg</v>
      </c>
      <c r="AW3194" s="82" t="s">
        <v>14790</v>
      </c>
      <c r="AX3194" s="82" t="s">
        <v>14790</v>
      </c>
      <c r="AY3194" s="77"/>
      <c r="AZ3194" s="82" t="s">
        <v>15984</v>
      </c>
      <c r="BA3194" s="82" t="s">
        <v>15984</v>
      </c>
      <c r="BB3194" s="82" t="s">
        <v>15984</v>
      </c>
      <c r="BC3194" s="82" t="s">
        <v>14790</v>
      </c>
      <c r="BD3194" s="82" t="s">
        <v>15979</v>
      </c>
      <c r="BE3194" s="77"/>
      <c r="BF3194" s="77"/>
      <c r="BG3194" s="77"/>
      <c r="BH3194" s="77"/>
      <c r="BI3194" s="77"/>
    </row>
    <row r="3195" spans="1:61" x14ac:dyDescent="0.25">
      <c r="A3195" s="62" t="s">
        <v>387</v>
      </c>
      <c r="B3195" s="62" t="s">
        <v>387</v>
      </c>
      <c r="C3195" s="63"/>
      <c r="D3195" s="64"/>
      <c r="E3195" s="65"/>
      <c r="F3195" s="66"/>
      <c r="G3195" s="63"/>
      <c r="H3195" s="67"/>
      <c r="I3195" s="68"/>
      <c r="J3195" s="68"/>
      <c r="K3195" s="32"/>
      <c r="L3195" s="75">
        <v>3195</v>
      </c>
      <c r="M3195" s="75"/>
      <c r="N3195" s="70"/>
      <c r="O3195" s="77" t="s">
        <v>179</v>
      </c>
      <c r="P3195" s="79">
        <v>45188.979166666664</v>
      </c>
      <c r="Q3195" s="77" t="s">
        <v>3867</v>
      </c>
      <c r="R3195" s="77">
        <v>0</v>
      </c>
      <c r="S3195" s="77">
        <v>4</v>
      </c>
      <c r="T3195" s="77">
        <v>0</v>
      </c>
      <c r="U3195" s="77">
        <v>0</v>
      </c>
      <c r="V3195" s="77">
        <v>553</v>
      </c>
      <c r="W3195" s="82" t="s">
        <v>6245</v>
      </c>
      <c r="X3195" s="80" t="str">
        <f>HYPERLINK("https://einvestidor.estadao.com.br/ultimas/bndes-aprova-financiamento-randon-exportacoes//?utm_source=twitter&amp;utm_medium=organic&amp;utm_campaign=&amp;utm_content=materia")</f>
        <v>https://einvestidor.estadao.com.br/ultimas/bndes-aprova-financiamento-randon-exportacoes//?utm_source=twitter&amp;utm_medium=organic&amp;utm_campaign=&amp;utm_content=materia</v>
      </c>
      <c r="Y3195" s="77" t="s">
        <v>6470</v>
      </c>
      <c r="Z3195" s="77"/>
      <c r="AA3195" s="77"/>
      <c r="AB3195" s="77"/>
      <c r="AC3195" s="82" t="s">
        <v>7750</v>
      </c>
      <c r="AD3195" s="77" t="s">
        <v>7788</v>
      </c>
      <c r="AE3195" s="80" t="str">
        <f>HYPERLINK("https://twitter.com/einvestidor/status/1704276685007585316")</f>
        <v>https://twitter.com/einvestidor/status/1704276685007585316</v>
      </c>
      <c r="AF3195" s="79">
        <v>45188.979166666664</v>
      </c>
      <c r="AG3195" s="85">
        <v>45188</v>
      </c>
      <c r="AH3195" s="82" t="s">
        <v>7928</v>
      </c>
      <c r="AI3195" s="77" t="b">
        <v>0</v>
      </c>
      <c r="AJ3195" s="77"/>
      <c r="AK3195" s="77"/>
      <c r="AL3195" s="77"/>
      <c r="AM3195" s="77"/>
      <c r="AN3195" s="77"/>
      <c r="AO3195" s="77"/>
      <c r="AP3195" s="77"/>
      <c r="AQ3195" s="77"/>
      <c r="AR3195" s="77"/>
      <c r="AS3195" s="77"/>
      <c r="AT3195" s="77"/>
      <c r="AU3195" s="77"/>
      <c r="AV3195" s="80" t="str">
        <f>HYPERLINK("https://pbs.twimg.com/profile_images/1241147984924082183/gZgx_hL-_normal.jpg")</f>
        <v>https://pbs.twimg.com/profile_images/1241147984924082183/gZgx_hL-_normal.jpg</v>
      </c>
      <c r="AW3195" s="82" t="s">
        <v>14791</v>
      </c>
      <c r="AX3195" s="82" t="s">
        <v>14791</v>
      </c>
      <c r="AY3195" s="77"/>
      <c r="AZ3195" s="82" t="s">
        <v>15984</v>
      </c>
      <c r="BA3195" s="82" t="s">
        <v>15984</v>
      </c>
      <c r="BB3195" s="82" t="s">
        <v>15984</v>
      </c>
      <c r="BC3195" s="82" t="s">
        <v>14791</v>
      </c>
      <c r="BD3195" s="82" t="s">
        <v>15979</v>
      </c>
      <c r="BE3195" s="77"/>
      <c r="BF3195" s="77"/>
      <c r="BG3195" s="77"/>
      <c r="BH3195" s="77"/>
      <c r="BI3195" s="77"/>
    </row>
    <row r="3196" spans="1:61" x14ac:dyDescent="0.25">
      <c r="A3196" s="62" t="s">
        <v>387</v>
      </c>
      <c r="B3196" s="62" t="s">
        <v>387</v>
      </c>
      <c r="C3196" s="63"/>
      <c r="D3196" s="64"/>
      <c r="E3196" s="65"/>
      <c r="F3196" s="66"/>
      <c r="G3196" s="63"/>
      <c r="H3196" s="67"/>
      <c r="I3196" s="68"/>
      <c r="J3196" s="68"/>
      <c r="K3196" s="32"/>
      <c r="L3196" s="75">
        <v>3196</v>
      </c>
      <c r="M3196" s="75"/>
      <c r="N3196" s="70"/>
      <c r="O3196" s="77" t="s">
        <v>179</v>
      </c>
      <c r="P3196" s="79">
        <v>45188.96875</v>
      </c>
      <c r="Q3196" s="77" t="s">
        <v>3868</v>
      </c>
      <c r="R3196" s="77">
        <v>0</v>
      </c>
      <c r="S3196" s="77">
        <v>1</v>
      </c>
      <c r="T3196" s="77">
        <v>0</v>
      </c>
      <c r="U3196" s="77">
        <v>0</v>
      </c>
      <c r="V3196" s="77">
        <v>550</v>
      </c>
      <c r="W3196" s="82" t="s">
        <v>5994</v>
      </c>
      <c r="X3196" s="80" t="str">
        <f>HYPERLINK("https://einvestidor.estadao.com.br/educacao-financeira/sua-declaracao-esta-na-base-de-dados-da-receita-o-que-significa/?utm_source=twitter&amp;utm_medium=organic&amp;utm_campaign=&amp;utm_content=materia")</f>
        <v>https://einvestidor.estadao.com.br/educacao-financeira/sua-declaracao-esta-na-base-de-dados-da-receita-o-que-significa/?utm_source=twitter&amp;utm_medium=organic&amp;utm_campaign=&amp;utm_content=materia</v>
      </c>
      <c r="Y3196" s="77" t="s">
        <v>6470</v>
      </c>
      <c r="Z3196" s="77"/>
      <c r="AA3196" s="77"/>
      <c r="AB3196" s="77"/>
      <c r="AC3196" s="82" t="s">
        <v>7750</v>
      </c>
      <c r="AD3196" s="77" t="s">
        <v>7788</v>
      </c>
      <c r="AE3196" s="80" t="str">
        <f>HYPERLINK("https://twitter.com/einvestidor/status/1704272909840060742")</f>
        <v>https://twitter.com/einvestidor/status/1704272909840060742</v>
      </c>
      <c r="AF3196" s="79">
        <v>45188.96875</v>
      </c>
      <c r="AG3196" s="85">
        <v>45188</v>
      </c>
      <c r="AH3196" s="82" t="s">
        <v>9621</v>
      </c>
      <c r="AI3196" s="77" t="b">
        <v>0</v>
      </c>
      <c r="AJ3196" s="77"/>
      <c r="AK3196" s="77"/>
      <c r="AL3196" s="77"/>
      <c r="AM3196" s="77"/>
      <c r="AN3196" s="77"/>
      <c r="AO3196" s="77"/>
      <c r="AP3196" s="77"/>
      <c r="AQ3196" s="77"/>
      <c r="AR3196" s="77"/>
      <c r="AS3196" s="77"/>
      <c r="AT3196" s="77"/>
      <c r="AU3196" s="77"/>
      <c r="AV3196" s="80" t="str">
        <f>HYPERLINK("https://pbs.twimg.com/profile_images/1241147984924082183/gZgx_hL-_normal.jpg")</f>
        <v>https://pbs.twimg.com/profile_images/1241147984924082183/gZgx_hL-_normal.jpg</v>
      </c>
      <c r="AW3196" s="82" t="s">
        <v>14792</v>
      </c>
      <c r="AX3196" s="82" t="s">
        <v>14792</v>
      </c>
      <c r="AY3196" s="77"/>
      <c r="AZ3196" s="82" t="s">
        <v>15984</v>
      </c>
      <c r="BA3196" s="82" t="s">
        <v>15984</v>
      </c>
      <c r="BB3196" s="82" t="s">
        <v>15984</v>
      </c>
      <c r="BC3196" s="82" t="s">
        <v>14792</v>
      </c>
      <c r="BD3196" s="82" t="s">
        <v>15979</v>
      </c>
      <c r="BE3196" s="77"/>
      <c r="BF3196" s="77"/>
      <c r="BG3196" s="77"/>
      <c r="BH3196" s="77"/>
      <c r="BI3196" s="77"/>
    </row>
    <row r="3197" spans="1:61" x14ac:dyDescent="0.25">
      <c r="A3197" s="62" t="s">
        <v>387</v>
      </c>
      <c r="B3197" s="62" t="s">
        <v>387</v>
      </c>
      <c r="C3197" s="63"/>
      <c r="D3197" s="64"/>
      <c r="E3197" s="65"/>
      <c r="F3197" s="66"/>
      <c r="G3197" s="63"/>
      <c r="H3197" s="67"/>
      <c r="I3197" s="68"/>
      <c r="J3197" s="68"/>
      <c r="K3197" s="32"/>
      <c r="L3197" s="75">
        <v>3197</v>
      </c>
      <c r="M3197" s="75"/>
      <c r="N3197" s="70"/>
      <c r="O3197" s="77" t="s">
        <v>179</v>
      </c>
      <c r="P3197" s="79">
        <v>45188.958344907405</v>
      </c>
      <c r="Q3197" s="77" t="s">
        <v>3869</v>
      </c>
      <c r="R3197" s="77">
        <v>0</v>
      </c>
      <c r="S3197" s="77">
        <v>1</v>
      </c>
      <c r="T3197" s="77">
        <v>0</v>
      </c>
      <c r="U3197" s="77">
        <v>0</v>
      </c>
      <c r="V3197" s="77">
        <v>567</v>
      </c>
      <c r="W3197" s="82" t="s">
        <v>6246</v>
      </c>
      <c r="X3197" s="80" t="str">
        <f>HYPERLINK("https://einvestidor.estadao.com.br/radar-einvestidor/sony-snec34-aprova-pagamento-dividendos/?utm_source=twitter&amp;utm_medium=organic&amp;utm_campaign=&amp;utm_content=materia")</f>
        <v>https://einvestidor.estadao.com.br/radar-einvestidor/sony-snec34-aprova-pagamento-dividendos/?utm_source=twitter&amp;utm_medium=organic&amp;utm_campaign=&amp;utm_content=materia</v>
      </c>
      <c r="Y3197" s="77" t="s">
        <v>6470</v>
      </c>
      <c r="Z3197" s="77"/>
      <c r="AA3197" s="77"/>
      <c r="AB3197" s="77"/>
      <c r="AC3197" s="82" t="s">
        <v>7750</v>
      </c>
      <c r="AD3197" s="77" t="s">
        <v>7788</v>
      </c>
      <c r="AE3197" s="80" t="str">
        <f>HYPERLINK("https://twitter.com/einvestidor/status/1704269140175818998")</f>
        <v>https://twitter.com/einvestidor/status/1704269140175818998</v>
      </c>
      <c r="AF3197" s="79">
        <v>45188.958344907405</v>
      </c>
      <c r="AG3197" s="85">
        <v>45188</v>
      </c>
      <c r="AH3197" s="82" t="s">
        <v>9241</v>
      </c>
      <c r="AI3197" s="77" t="b">
        <v>0</v>
      </c>
      <c r="AJ3197" s="77"/>
      <c r="AK3197" s="77"/>
      <c r="AL3197" s="77"/>
      <c r="AM3197" s="77"/>
      <c r="AN3197" s="77"/>
      <c r="AO3197" s="77"/>
      <c r="AP3197" s="77"/>
      <c r="AQ3197" s="77"/>
      <c r="AR3197" s="77"/>
      <c r="AS3197" s="77"/>
      <c r="AT3197" s="77"/>
      <c r="AU3197" s="77"/>
      <c r="AV3197" s="80" t="str">
        <f>HYPERLINK("https://pbs.twimg.com/profile_images/1241147984924082183/gZgx_hL-_normal.jpg")</f>
        <v>https://pbs.twimg.com/profile_images/1241147984924082183/gZgx_hL-_normal.jpg</v>
      </c>
      <c r="AW3197" s="82" t="s">
        <v>14793</v>
      </c>
      <c r="AX3197" s="82" t="s">
        <v>14793</v>
      </c>
      <c r="AY3197" s="77"/>
      <c r="AZ3197" s="82" t="s">
        <v>15984</v>
      </c>
      <c r="BA3197" s="82" t="s">
        <v>15984</v>
      </c>
      <c r="BB3197" s="82" t="s">
        <v>15984</v>
      </c>
      <c r="BC3197" s="82" t="s">
        <v>14793</v>
      </c>
      <c r="BD3197" s="82" t="s">
        <v>15979</v>
      </c>
      <c r="BE3197" s="77"/>
      <c r="BF3197" s="77"/>
      <c r="BG3197" s="77"/>
      <c r="BH3197" s="77"/>
      <c r="BI3197" s="77"/>
    </row>
    <row r="3198" spans="1:61" x14ac:dyDescent="0.25">
      <c r="A3198" s="62" t="s">
        <v>387</v>
      </c>
      <c r="B3198" s="62" t="s">
        <v>387</v>
      </c>
      <c r="C3198" s="63"/>
      <c r="D3198" s="64"/>
      <c r="E3198" s="65"/>
      <c r="F3198" s="66"/>
      <c r="G3198" s="63"/>
      <c r="H3198" s="67"/>
      <c r="I3198" s="68"/>
      <c r="J3198" s="68"/>
      <c r="K3198" s="32"/>
      <c r="L3198" s="75">
        <v>3198</v>
      </c>
      <c r="M3198" s="75"/>
      <c r="N3198" s="70"/>
      <c r="O3198" s="77" t="s">
        <v>179</v>
      </c>
      <c r="P3198" s="79">
        <v>45188.9375</v>
      </c>
      <c r="Q3198" s="77" t="s">
        <v>3870</v>
      </c>
      <c r="R3198" s="77">
        <v>0</v>
      </c>
      <c r="S3198" s="77">
        <v>0</v>
      </c>
      <c r="T3198" s="77">
        <v>0</v>
      </c>
      <c r="U3198" s="77">
        <v>0</v>
      </c>
      <c r="V3198" s="77">
        <v>498</v>
      </c>
      <c r="W3198" s="82" t="s">
        <v>4833</v>
      </c>
      <c r="X3198" s="80" t="str">
        <f>HYPERLINK("https://einvestidor.estadao.com.br/radar-einvestidor/mega-sena-2634-horario-sorteio-r145-milhoes/?utm_source=twitter&amp;utm_medium=organic&amp;utm_campaign=&amp;utm_content=materia")</f>
        <v>https://einvestidor.estadao.com.br/radar-einvestidor/mega-sena-2634-horario-sorteio-r145-milhoes/?utm_source=twitter&amp;utm_medium=organic&amp;utm_campaign=&amp;utm_content=materia</v>
      </c>
      <c r="Y3198" s="77" t="s">
        <v>6470</v>
      </c>
      <c r="Z3198" s="77"/>
      <c r="AA3198" s="77"/>
      <c r="AB3198" s="77"/>
      <c r="AC3198" s="82" t="s">
        <v>7750</v>
      </c>
      <c r="AD3198" s="77" t="s">
        <v>7788</v>
      </c>
      <c r="AE3198" s="80" t="str">
        <f>HYPERLINK("https://twitter.com/einvestidor/status/1704261587979178079")</f>
        <v>https://twitter.com/einvestidor/status/1704261587979178079</v>
      </c>
      <c r="AF3198" s="79">
        <v>45188.9375</v>
      </c>
      <c r="AG3198" s="85">
        <v>45188</v>
      </c>
      <c r="AH3198" s="82" t="s">
        <v>7926</v>
      </c>
      <c r="AI3198" s="77" t="b">
        <v>0</v>
      </c>
      <c r="AJ3198" s="77"/>
      <c r="AK3198" s="77"/>
      <c r="AL3198" s="77"/>
      <c r="AM3198" s="77"/>
      <c r="AN3198" s="77"/>
      <c r="AO3198" s="77"/>
      <c r="AP3198" s="77"/>
      <c r="AQ3198" s="77"/>
      <c r="AR3198" s="77"/>
      <c r="AS3198" s="77"/>
      <c r="AT3198" s="77"/>
      <c r="AU3198" s="77"/>
      <c r="AV3198" s="80" t="str">
        <f>HYPERLINK("https://pbs.twimg.com/profile_images/1241147984924082183/gZgx_hL-_normal.jpg")</f>
        <v>https://pbs.twimg.com/profile_images/1241147984924082183/gZgx_hL-_normal.jpg</v>
      </c>
      <c r="AW3198" s="82" t="s">
        <v>14794</v>
      </c>
      <c r="AX3198" s="82" t="s">
        <v>14794</v>
      </c>
      <c r="AY3198" s="77"/>
      <c r="AZ3198" s="82" t="s">
        <v>15984</v>
      </c>
      <c r="BA3198" s="82" t="s">
        <v>15984</v>
      </c>
      <c r="BB3198" s="82" t="s">
        <v>15984</v>
      </c>
      <c r="BC3198" s="82" t="s">
        <v>14794</v>
      </c>
      <c r="BD3198" s="82" t="s">
        <v>15979</v>
      </c>
      <c r="BE3198" s="77"/>
      <c r="BF3198" s="77"/>
      <c r="BG3198" s="77"/>
      <c r="BH3198" s="77"/>
      <c r="BI3198" s="77"/>
    </row>
    <row r="3199" spans="1:61" x14ac:dyDescent="0.25">
      <c r="A3199" s="62" t="s">
        <v>387</v>
      </c>
      <c r="B3199" s="62" t="s">
        <v>387</v>
      </c>
      <c r="C3199" s="63"/>
      <c r="D3199" s="64"/>
      <c r="E3199" s="65"/>
      <c r="F3199" s="66"/>
      <c r="G3199" s="63"/>
      <c r="H3199" s="67"/>
      <c r="I3199" s="68"/>
      <c r="J3199" s="68"/>
      <c r="K3199" s="32"/>
      <c r="L3199" s="75">
        <v>3199</v>
      </c>
      <c r="M3199" s="75"/>
      <c r="N3199" s="70"/>
      <c r="O3199" s="77" t="s">
        <v>179</v>
      </c>
      <c r="P3199" s="79">
        <v>45187.536874999998</v>
      </c>
      <c r="Q3199" s="77" t="s">
        <v>3871</v>
      </c>
      <c r="R3199" s="77">
        <v>0</v>
      </c>
      <c r="S3199" s="77">
        <v>1</v>
      </c>
      <c r="T3199" s="77">
        <v>0</v>
      </c>
      <c r="U3199" s="77">
        <v>0</v>
      </c>
      <c r="V3199" s="77">
        <v>504</v>
      </c>
      <c r="W3199" s="82" t="s">
        <v>4839</v>
      </c>
      <c r="X3199" s="80" t="str">
        <f>HYPERLINK("https://einvestidor.estadao.com.br/mercado/abertura-de-mercado-18-09-2023/?utm_source=twitter&amp;utm_medium=organic&amp;utm_campaign=abertura-de-mercado&amp;utm_content=materia")</f>
        <v>https://einvestidor.estadao.com.br/mercado/abertura-de-mercado-18-09-2023/?utm_source=twitter&amp;utm_medium=organic&amp;utm_campaign=abertura-de-mercado&amp;utm_content=materia</v>
      </c>
      <c r="Y3199" s="77" t="s">
        <v>6470</v>
      </c>
      <c r="Z3199" s="77"/>
      <c r="AA3199" s="77"/>
      <c r="AB3199" s="77"/>
      <c r="AC3199" s="82" t="s">
        <v>7750</v>
      </c>
      <c r="AD3199" s="77" t="s">
        <v>7788</v>
      </c>
      <c r="AE3199" s="80" t="str">
        <f>HYPERLINK("https://twitter.com/einvestidor/status/1703754015639503127")</f>
        <v>https://twitter.com/einvestidor/status/1703754015639503127</v>
      </c>
      <c r="AF3199" s="79">
        <v>45187.536874999998</v>
      </c>
      <c r="AG3199" s="85">
        <v>45187</v>
      </c>
      <c r="AH3199" s="82" t="s">
        <v>9970</v>
      </c>
      <c r="AI3199" s="77" t="b">
        <v>0</v>
      </c>
      <c r="AJ3199" s="77"/>
      <c r="AK3199" s="77"/>
      <c r="AL3199" s="77"/>
      <c r="AM3199" s="77"/>
      <c r="AN3199" s="77"/>
      <c r="AO3199" s="77"/>
      <c r="AP3199" s="77"/>
      <c r="AQ3199" s="77"/>
      <c r="AR3199" s="77"/>
      <c r="AS3199" s="77"/>
      <c r="AT3199" s="77"/>
      <c r="AU3199" s="77"/>
      <c r="AV3199" s="80" t="str">
        <f>HYPERLINK("https://pbs.twimg.com/profile_images/1241147984924082183/gZgx_hL-_normal.jpg")</f>
        <v>https://pbs.twimg.com/profile_images/1241147984924082183/gZgx_hL-_normal.jpg</v>
      </c>
      <c r="AW3199" s="82" t="s">
        <v>14795</v>
      </c>
      <c r="AX3199" s="82" t="s">
        <v>14795</v>
      </c>
      <c r="AY3199" s="77"/>
      <c r="AZ3199" s="82" t="s">
        <v>15984</v>
      </c>
      <c r="BA3199" s="82" t="s">
        <v>15984</v>
      </c>
      <c r="BB3199" s="82" t="s">
        <v>15984</v>
      </c>
      <c r="BC3199" s="82" t="s">
        <v>14795</v>
      </c>
      <c r="BD3199" s="82" t="s">
        <v>15979</v>
      </c>
      <c r="BE3199" s="77"/>
      <c r="BF3199" s="77"/>
      <c r="BG3199" s="77"/>
      <c r="BH3199" s="77"/>
      <c r="BI3199" s="77"/>
    </row>
    <row r="3200" spans="1:61" x14ac:dyDescent="0.25">
      <c r="A3200" s="62" t="s">
        <v>387</v>
      </c>
      <c r="B3200" s="62" t="s">
        <v>387</v>
      </c>
      <c r="C3200" s="63"/>
      <c r="D3200" s="64"/>
      <c r="E3200" s="65"/>
      <c r="F3200" s="66"/>
      <c r="G3200" s="63"/>
      <c r="H3200" s="67"/>
      <c r="I3200" s="68"/>
      <c r="J3200" s="68"/>
      <c r="K3200" s="32"/>
      <c r="L3200" s="75">
        <v>3200</v>
      </c>
      <c r="M3200" s="75"/>
      <c r="N3200" s="70"/>
      <c r="O3200" s="77" t="s">
        <v>179</v>
      </c>
      <c r="P3200" s="79">
        <v>45187.482835648145</v>
      </c>
      <c r="Q3200" s="77" t="s">
        <v>3872</v>
      </c>
      <c r="R3200" s="77">
        <v>0</v>
      </c>
      <c r="S3200" s="77">
        <v>5</v>
      </c>
      <c r="T3200" s="77">
        <v>0</v>
      </c>
      <c r="U3200" s="77">
        <v>0</v>
      </c>
      <c r="V3200" s="77">
        <v>662</v>
      </c>
      <c r="W3200" s="82" t="s">
        <v>4839</v>
      </c>
      <c r="X3200" s="80" t="str">
        <f>HYPERLINK("https://einvestidor.estadao.com.br/mercado/mercado-hoje-boletim-focus-dados-inflacao-brasil-semana-politica-monetaria-mundo/?utm_source=twitter&amp;utm_medium=organic&amp;utm_campaign=mercado-hoje&amp;utm_content=materia")</f>
        <v>https://einvestidor.estadao.com.br/mercado/mercado-hoje-boletim-focus-dados-inflacao-brasil-semana-politica-monetaria-mundo/?utm_source=twitter&amp;utm_medium=organic&amp;utm_campaign=mercado-hoje&amp;utm_content=materia</v>
      </c>
      <c r="Y3200" s="77" t="s">
        <v>6470</v>
      </c>
      <c r="Z3200" s="77"/>
      <c r="AA3200" s="77"/>
      <c r="AB3200" s="77"/>
      <c r="AC3200" s="82" t="s">
        <v>7750</v>
      </c>
      <c r="AD3200" s="77" t="s">
        <v>7788</v>
      </c>
      <c r="AE3200" s="80" t="str">
        <f>HYPERLINK("https://twitter.com/einvestidor/status/1703734432706728074")</f>
        <v>https://twitter.com/einvestidor/status/1703734432706728074</v>
      </c>
      <c r="AF3200" s="79">
        <v>45187.482835648145</v>
      </c>
      <c r="AG3200" s="85">
        <v>45187</v>
      </c>
      <c r="AH3200" s="82" t="s">
        <v>9971</v>
      </c>
      <c r="AI3200" s="77" t="b">
        <v>0</v>
      </c>
      <c r="AJ3200" s="77"/>
      <c r="AK3200" s="77"/>
      <c r="AL3200" s="77"/>
      <c r="AM3200" s="77"/>
      <c r="AN3200" s="77"/>
      <c r="AO3200" s="77"/>
      <c r="AP3200" s="77"/>
      <c r="AQ3200" s="77"/>
      <c r="AR3200" s="77"/>
      <c r="AS3200" s="77"/>
      <c r="AT3200" s="77"/>
      <c r="AU3200" s="77"/>
      <c r="AV3200" s="80" t="str">
        <f>HYPERLINK("https://pbs.twimg.com/profile_images/1241147984924082183/gZgx_hL-_normal.jpg")</f>
        <v>https://pbs.twimg.com/profile_images/1241147984924082183/gZgx_hL-_normal.jpg</v>
      </c>
      <c r="AW3200" s="82" t="s">
        <v>14796</v>
      </c>
      <c r="AX3200" s="82" t="s">
        <v>14796</v>
      </c>
      <c r="AY3200" s="77"/>
      <c r="AZ3200" s="82" t="s">
        <v>15984</v>
      </c>
      <c r="BA3200" s="82" t="s">
        <v>15984</v>
      </c>
      <c r="BB3200" s="82" t="s">
        <v>15984</v>
      </c>
      <c r="BC3200" s="82" t="s">
        <v>14796</v>
      </c>
      <c r="BD3200" s="82" t="s">
        <v>15979</v>
      </c>
      <c r="BE3200" s="77"/>
      <c r="BF3200" s="77"/>
      <c r="BG3200" s="77"/>
      <c r="BH3200" s="77"/>
      <c r="BI3200" s="77"/>
    </row>
    <row r="3201" spans="1:61" x14ac:dyDescent="0.25">
      <c r="A3201" s="62" t="s">
        <v>387</v>
      </c>
      <c r="B3201" s="62" t="s">
        <v>387</v>
      </c>
      <c r="C3201" s="63"/>
      <c r="D3201" s="64"/>
      <c r="E3201" s="65"/>
      <c r="F3201" s="66"/>
      <c r="G3201" s="63"/>
      <c r="H3201" s="67"/>
      <c r="I3201" s="68"/>
      <c r="J3201" s="68"/>
      <c r="K3201" s="32"/>
      <c r="L3201" s="75">
        <v>3201</v>
      </c>
      <c r="M3201" s="75"/>
      <c r="N3201" s="70"/>
      <c r="O3201" s="77" t="s">
        <v>179</v>
      </c>
      <c r="P3201" s="79">
        <v>45182.895833333336</v>
      </c>
      <c r="Q3201" s="77" t="s">
        <v>3873</v>
      </c>
      <c r="R3201" s="77">
        <v>0</v>
      </c>
      <c r="S3201" s="77">
        <v>2</v>
      </c>
      <c r="T3201" s="77">
        <v>0</v>
      </c>
      <c r="U3201" s="77">
        <v>0</v>
      </c>
      <c r="V3201" s="77">
        <v>622</v>
      </c>
      <c r="W3201" s="82" t="s">
        <v>6247</v>
      </c>
      <c r="X3201" s="80" t="str">
        <f>HYPERLINK("https://einvestidor.estadao.com.br/radar-einvestidor/copel-cple6-acoes-btg-pactual-atualiza-preco-alvo/?utm_source=twitter&amp;utm_medium=organic&amp;utm_campaign=&amp;utm_content=materia")</f>
        <v>https://einvestidor.estadao.com.br/radar-einvestidor/copel-cple6-acoes-btg-pactual-atualiza-preco-alvo/?utm_source=twitter&amp;utm_medium=organic&amp;utm_campaign=&amp;utm_content=materia</v>
      </c>
      <c r="Y3201" s="77" t="s">
        <v>6470</v>
      </c>
      <c r="Z3201" s="77"/>
      <c r="AA3201" s="77"/>
      <c r="AB3201" s="77"/>
      <c r="AC3201" s="82" t="s">
        <v>7750</v>
      </c>
      <c r="AD3201" s="77" t="s">
        <v>7788</v>
      </c>
      <c r="AE3201" s="80" t="str">
        <f>HYPERLINK("https://twitter.com/einvestidor/status/1702072159978545234")</f>
        <v>https://twitter.com/einvestidor/status/1702072159978545234</v>
      </c>
      <c r="AF3201" s="79">
        <v>45182.895833333336</v>
      </c>
      <c r="AG3201" s="85">
        <v>45182</v>
      </c>
      <c r="AH3201" s="82" t="s">
        <v>8089</v>
      </c>
      <c r="AI3201" s="77" t="b">
        <v>0</v>
      </c>
      <c r="AJ3201" s="77"/>
      <c r="AK3201" s="77"/>
      <c r="AL3201" s="77"/>
      <c r="AM3201" s="77"/>
      <c r="AN3201" s="77"/>
      <c r="AO3201" s="77"/>
      <c r="AP3201" s="77"/>
      <c r="AQ3201" s="77"/>
      <c r="AR3201" s="77"/>
      <c r="AS3201" s="77"/>
      <c r="AT3201" s="77"/>
      <c r="AU3201" s="77"/>
      <c r="AV3201" s="80" t="str">
        <f>HYPERLINK("https://pbs.twimg.com/profile_images/1241147984924082183/gZgx_hL-_normal.jpg")</f>
        <v>https://pbs.twimg.com/profile_images/1241147984924082183/gZgx_hL-_normal.jpg</v>
      </c>
      <c r="AW3201" s="82" t="s">
        <v>14797</v>
      </c>
      <c r="AX3201" s="82" t="s">
        <v>14797</v>
      </c>
      <c r="AY3201" s="77"/>
      <c r="AZ3201" s="82" t="s">
        <v>15984</v>
      </c>
      <c r="BA3201" s="82" t="s">
        <v>15984</v>
      </c>
      <c r="BB3201" s="82" t="s">
        <v>15984</v>
      </c>
      <c r="BC3201" s="82" t="s">
        <v>14797</v>
      </c>
      <c r="BD3201" s="82" t="s">
        <v>15979</v>
      </c>
      <c r="BE3201" s="77"/>
      <c r="BF3201" s="77"/>
      <c r="BG3201" s="77"/>
      <c r="BH3201" s="77"/>
      <c r="BI3201" s="77"/>
    </row>
    <row r="3202" spans="1:61" x14ac:dyDescent="0.25">
      <c r="A3202" s="62" t="s">
        <v>387</v>
      </c>
      <c r="B3202" s="62" t="s">
        <v>387</v>
      </c>
      <c r="C3202" s="63"/>
      <c r="D3202" s="64"/>
      <c r="E3202" s="65"/>
      <c r="F3202" s="66"/>
      <c r="G3202" s="63"/>
      <c r="H3202" s="67"/>
      <c r="I3202" s="68"/>
      <c r="J3202" s="68"/>
      <c r="K3202" s="32"/>
      <c r="L3202" s="75">
        <v>3202</v>
      </c>
      <c r="M3202" s="75"/>
      <c r="N3202" s="70"/>
      <c r="O3202" s="77" t="s">
        <v>179</v>
      </c>
      <c r="P3202" s="79">
        <v>45182.885416666664</v>
      </c>
      <c r="Q3202" s="77" t="s">
        <v>3874</v>
      </c>
      <c r="R3202" s="77">
        <v>0</v>
      </c>
      <c r="S3202" s="77">
        <v>0</v>
      </c>
      <c r="T3202" s="77">
        <v>0</v>
      </c>
      <c r="U3202" s="77">
        <v>0</v>
      </c>
      <c r="V3202" s="77">
        <v>471</v>
      </c>
      <c r="W3202" s="82" t="s">
        <v>4833</v>
      </c>
      <c r="X3202" s="80" t="str">
        <f>HYPERLINK("https://einvestidor.estadao.com.br/radar-einvestidor/mais-milhonaria-sorteia-r72-milhoes-hoje/?utm_source=twitter&amp;utm_medium=organic&amp;utm_campaign=&amp;utm_content=materia")</f>
        <v>https://einvestidor.estadao.com.br/radar-einvestidor/mais-milhonaria-sorteia-r72-milhoes-hoje/?utm_source=twitter&amp;utm_medium=organic&amp;utm_campaign=&amp;utm_content=materia</v>
      </c>
      <c r="Y3202" s="77" t="s">
        <v>6470</v>
      </c>
      <c r="Z3202" s="77"/>
      <c r="AA3202" s="77"/>
      <c r="AB3202" s="77"/>
      <c r="AC3202" s="82" t="s">
        <v>7750</v>
      </c>
      <c r="AD3202" s="77" t="s">
        <v>7788</v>
      </c>
      <c r="AE3202" s="80" t="str">
        <f>HYPERLINK("https://twitter.com/einvestidor/status/1702068384165220852")</f>
        <v>https://twitter.com/einvestidor/status/1702068384165220852</v>
      </c>
      <c r="AF3202" s="79">
        <v>45182.885416666664</v>
      </c>
      <c r="AG3202" s="85">
        <v>45182</v>
      </c>
      <c r="AH3202" s="82" t="s">
        <v>8206</v>
      </c>
      <c r="AI3202" s="77" t="b">
        <v>0</v>
      </c>
      <c r="AJ3202" s="77"/>
      <c r="AK3202" s="77"/>
      <c r="AL3202" s="77"/>
      <c r="AM3202" s="77"/>
      <c r="AN3202" s="77"/>
      <c r="AO3202" s="77"/>
      <c r="AP3202" s="77"/>
      <c r="AQ3202" s="77"/>
      <c r="AR3202" s="77"/>
      <c r="AS3202" s="77"/>
      <c r="AT3202" s="77"/>
      <c r="AU3202" s="77"/>
      <c r="AV3202" s="80" t="str">
        <f>HYPERLINK("https://pbs.twimg.com/profile_images/1241147984924082183/gZgx_hL-_normal.jpg")</f>
        <v>https://pbs.twimg.com/profile_images/1241147984924082183/gZgx_hL-_normal.jpg</v>
      </c>
      <c r="AW3202" s="82" t="s">
        <v>14798</v>
      </c>
      <c r="AX3202" s="82" t="s">
        <v>14798</v>
      </c>
      <c r="AY3202" s="77"/>
      <c r="AZ3202" s="82" t="s">
        <v>15984</v>
      </c>
      <c r="BA3202" s="82" t="s">
        <v>15984</v>
      </c>
      <c r="BB3202" s="82" t="s">
        <v>15984</v>
      </c>
      <c r="BC3202" s="82" t="s">
        <v>14798</v>
      </c>
      <c r="BD3202" s="82" t="s">
        <v>15979</v>
      </c>
      <c r="BE3202" s="77"/>
      <c r="BF3202" s="77"/>
      <c r="BG3202" s="77"/>
      <c r="BH3202" s="77"/>
      <c r="BI3202" s="77"/>
    </row>
    <row r="3203" spans="1:61" x14ac:dyDescent="0.25">
      <c r="A3203" s="62" t="s">
        <v>387</v>
      </c>
      <c r="B3203" s="62" t="s">
        <v>387</v>
      </c>
      <c r="C3203" s="63"/>
      <c r="D3203" s="64"/>
      <c r="E3203" s="65"/>
      <c r="F3203" s="66"/>
      <c r="G3203" s="63"/>
      <c r="H3203" s="67"/>
      <c r="I3203" s="68"/>
      <c r="J3203" s="68"/>
      <c r="K3203" s="32"/>
      <c r="L3203" s="75">
        <v>3203</v>
      </c>
      <c r="M3203" s="75"/>
      <c r="N3203" s="70"/>
      <c r="O3203" s="77" t="s">
        <v>179</v>
      </c>
      <c r="P3203" s="79">
        <v>45182.864583333336</v>
      </c>
      <c r="Q3203" s="77" t="s">
        <v>3875</v>
      </c>
      <c r="R3203" s="77">
        <v>0</v>
      </c>
      <c r="S3203" s="77">
        <v>0</v>
      </c>
      <c r="T3203" s="77">
        <v>0</v>
      </c>
      <c r="U3203" s="77">
        <v>0</v>
      </c>
      <c r="V3203" s="77">
        <v>442</v>
      </c>
      <c r="W3203" s="82" t="s">
        <v>6186</v>
      </c>
      <c r="X3203" s="80" t="str">
        <f>HYPERLINK("https://einvestidor.estadao.com.br/ultimas/cvm-novas-regras-seguranca-investidores/?utm_source=twitter&amp;utm_medium=organic&amp;utm_campaign=&amp;utm_content=materia")</f>
        <v>https://einvestidor.estadao.com.br/ultimas/cvm-novas-regras-seguranca-investidores/?utm_source=twitter&amp;utm_medium=organic&amp;utm_campaign=&amp;utm_content=materia</v>
      </c>
      <c r="Y3203" s="77" t="s">
        <v>6470</v>
      </c>
      <c r="Z3203" s="77"/>
      <c r="AA3203" s="77"/>
      <c r="AB3203" s="77"/>
      <c r="AC3203" s="82" t="s">
        <v>7750</v>
      </c>
      <c r="AD3203" s="77" t="s">
        <v>7788</v>
      </c>
      <c r="AE3203" s="80" t="str">
        <f>HYPERLINK("https://twitter.com/einvestidor/status/1702060834367684735")</f>
        <v>https://twitter.com/einvestidor/status/1702060834367684735</v>
      </c>
      <c r="AF3203" s="79">
        <v>45182.864583333336</v>
      </c>
      <c r="AG3203" s="85">
        <v>45182</v>
      </c>
      <c r="AH3203" s="82" t="s">
        <v>9596</v>
      </c>
      <c r="AI3203" s="77" t="b">
        <v>0</v>
      </c>
      <c r="AJ3203" s="77"/>
      <c r="AK3203" s="77"/>
      <c r="AL3203" s="77"/>
      <c r="AM3203" s="77"/>
      <c r="AN3203" s="77"/>
      <c r="AO3203" s="77"/>
      <c r="AP3203" s="77"/>
      <c r="AQ3203" s="77"/>
      <c r="AR3203" s="77"/>
      <c r="AS3203" s="77"/>
      <c r="AT3203" s="77"/>
      <c r="AU3203" s="77"/>
      <c r="AV3203" s="80" t="str">
        <f>HYPERLINK("https://pbs.twimg.com/profile_images/1241147984924082183/gZgx_hL-_normal.jpg")</f>
        <v>https://pbs.twimg.com/profile_images/1241147984924082183/gZgx_hL-_normal.jpg</v>
      </c>
      <c r="AW3203" s="82" t="s">
        <v>14799</v>
      </c>
      <c r="AX3203" s="82" t="s">
        <v>14799</v>
      </c>
      <c r="AY3203" s="77"/>
      <c r="AZ3203" s="82" t="s">
        <v>15984</v>
      </c>
      <c r="BA3203" s="82" t="s">
        <v>15984</v>
      </c>
      <c r="BB3203" s="82" t="s">
        <v>15984</v>
      </c>
      <c r="BC3203" s="82" t="s">
        <v>14799</v>
      </c>
      <c r="BD3203" s="82" t="s">
        <v>15979</v>
      </c>
      <c r="BE3203" s="77"/>
      <c r="BF3203" s="77"/>
      <c r="BG3203" s="77"/>
      <c r="BH3203" s="77"/>
      <c r="BI3203" s="77"/>
    </row>
    <row r="3204" spans="1:61" x14ac:dyDescent="0.25">
      <c r="A3204" s="62" t="s">
        <v>387</v>
      </c>
      <c r="B3204" s="62" t="s">
        <v>387</v>
      </c>
      <c r="C3204" s="63"/>
      <c r="D3204" s="64"/>
      <c r="E3204" s="65"/>
      <c r="F3204" s="66"/>
      <c r="G3204" s="63"/>
      <c r="H3204" s="67"/>
      <c r="I3204" s="68"/>
      <c r="J3204" s="68"/>
      <c r="K3204" s="32"/>
      <c r="L3204" s="75">
        <v>3204</v>
      </c>
      <c r="M3204" s="75"/>
      <c r="N3204" s="70"/>
      <c r="O3204" s="77" t="s">
        <v>179</v>
      </c>
      <c r="P3204" s="79">
        <v>45182.855324074073</v>
      </c>
      <c r="Q3204" s="77" t="s">
        <v>3876</v>
      </c>
      <c r="R3204" s="77">
        <v>0</v>
      </c>
      <c r="S3204" s="77">
        <v>0</v>
      </c>
      <c r="T3204" s="77">
        <v>0</v>
      </c>
      <c r="U3204" s="77">
        <v>0</v>
      </c>
      <c r="V3204" s="77">
        <v>430</v>
      </c>
      <c r="W3204" s="82" t="s">
        <v>4833</v>
      </c>
      <c r="X3204" s="80" t="str">
        <f>HYPERLINK("https://einvestidor.estadao.com.br/ultimas/alta-juros-fed-impacta-capital-paises-emergentes//?utm_source=twitter&amp;utm_medium=organic&amp;utm_campaign=&amp;utm_content=materia")</f>
        <v>https://einvestidor.estadao.com.br/ultimas/alta-juros-fed-impacta-capital-paises-emergentes//?utm_source=twitter&amp;utm_medium=organic&amp;utm_campaign=&amp;utm_content=materia</v>
      </c>
      <c r="Y3204" s="77" t="s">
        <v>6470</v>
      </c>
      <c r="Z3204" s="77"/>
      <c r="AA3204" s="77"/>
      <c r="AB3204" s="77"/>
      <c r="AC3204" s="82" t="s">
        <v>7750</v>
      </c>
      <c r="AD3204" s="77" t="s">
        <v>7788</v>
      </c>
      <c r="AE3204" s="80" t="str">
        <f>HYPERLINK("https://twitter.com/einvestidor/status/1702057480849707283")</f>
        <v>https://twitter.com/einvestidor/status/1702057480849707283</v>
      </c>
      <c r="AF3204" s="79">
        <v>45182.855324074073</v>
      </c>
      <c r="AG3204" s="85">
        <v>45182</v>
      </c>
      <c r="AH3204" s="82" t="s">
        <v>9972</v>
      </c>
      <c r="AI3204" s="77" t="b">
        <v>0</v>
      </c>
      <c r="AJ3204" s="77"/>
      <c r="AK3204" s="77"/>
      <c r="AL3204" s="77"/>
      <c r="AM3204" s="77"/>
      <c r="AN3204" s="77"/>
      <c r="AO3204" s="77"/>
      <c r="AP3204" s="77"/>
      <c r="AQ3204" s="77"/>
      <c r="AR3204" s="77"/>
      <c r="AS3204" s="77"/>
      <c r="AT3204" s="77"/>
      <c r="AU3204" s="77"/>
      <c r="AV3204" s="80" t="str">
        <f>HYPERLINK("https://pbs.twimg.com/profile_images/1241147984924082183/gZgx_hL-_normal.jpg")</f>
        <v>https://pbs.twimg.com/profile_images/1241147984924082183/gZgx_hL-_normal.jpg</v>
      </c>
      <c r="AW3204" s="82" t="s">
        <v>14800</v>
      </c>
      <c r="AX3204" s="82" t="s">
        <v>14800</v>
      </c>
      <c r="AY3204" s="77"/>
      <c r="AZ3204" s="82" t="s">
        <v>15984</v>
      </c>
      <c r="BA3204" s="82" t="s">
        <v>15984</v>
      </c>
      <c r="BB3204" s="82" t="s">
        <v>15984</v>
      </c>
      <c r="BC3204" s="82" t="s">
        <v>14800</v>
      </c>
      <c r="BD3204" s="82" t="s">
        <v>15979</v>
      </c>
      <c r="BE3204" s="77"/>
      <c r="BF3204" s="77"/>
      <c r="BG3204" s="77"/>
      <c r="BH3204" s="77"/>
      <c r="BI3204" s="77"/>
    </row>
    <row r="3205" spans="1:61" x14ac:dyDescent="0.25">
      <c r="A3205" s="62" t="s">
        <v>387</v>
      </c>
      <c r="B3205" s="62" t="s">
        <v>387</v>
      </c>
      <c r="C3205" s="63"/>
      <c r="D3205" s="64"/>
      <c r="E3205" s="65"/>
      <c r="F3205" s="66"/>
      <c r="G3205" s="63"/>
      <c r="H3205" s="67"/>
      <c r="I3205" s="68"/>
      <c r="J3205" s="68"/>
      <c r="K3205" s="32"/>
      <c r="L3205" s="75">
        <v>3205</v>
      </c>
      <c r="M3205" s="75"/>
      <c r="N3205" s="70"/>
      <c r="O3205" s="77" t="s">
        <v>179</v>
      </c>
      <c r="P3205" s="79">
        <v>45182.847256944442</v>
      </c>
      <c r="Q3205" s="77" t="s">
        <v>3877</v>
      </c>
      <c r="R3205" s="77">
        <v>0</v>
      </c>
      <c r="S3205" s="77">
        <v>0</v>
      </c>
      <c r="T3205" s="77">
        <v>0</v>
      </c>
      <c r="U3205" s="77">
        <v>0</v>
      </c>
      <c r="V3205" s="77">
        <v>463</v>
      </c>
      <c r="W3205" s="82" t="s">
        <v>5999</v>
      </c>
      <c r="X3205" s="80" t="str">
        <f>HYPERLINK("https://einvestidor.estadao.com.br/ultimas/btg-pactual-bpac11-alta-bancos-ibovespa/?utm_source=twitter&amp;utm_medium=organic&amp;utm_campaign=&amp;utm_content=materia")</f>
        <v>https://einvestidor.estadao.com.br/ultimas/btg-pactual-bpac11-alta-bancos-ibovespa/?utm_source=twitter&amp;utm_medium=organic&amp;utm_campaign=&amp;utm_content=materia</v>
      </c>
      <c r="Y3205" s="77" t="s">
        <v>6470</v>
      </c>
      <c r="Z3205" s="77"/>
      <c r="AA3205" s="77"/>
      <c r="AB3205" s="77"/>
      <c r="AC3205" s="82" t="s">
        <v>7750</v>
      </c>
      <c r="AD3205" s="77" t="s">
        <v>7788</v>
      </c>
      <c r="AE3205" s="80" t="str">
        <f>HYPERLINK("https://twitter.com/einvestidor/status/1702054555045748905")</f>
        <v>https://twitter.com/einvestidor/status/1702054555045748905</v>
      </c>
      <c r="AF3205" s="79">
        <v>45182.847256944442</v>
      </c>
      <c r="AG3205" s="85">
        <v>45182</v>
      </c>
      <c r="AH3205" s="82" t="s">
        <v>9973</v>
      </c>
      <c r="AI3205" s="77" t="b">
        <v>0</v>
      </c>
      <c r="AJ3205" s="77"/>
      <c r="AK3205" s="77"/>
      <c r="AL3205" s="77"/>
      <c r="AM3205" s="77"/>
      <c r="AN3205" s="77"/>
      <c r="AO3205" s="77"/>
      <c r="AP3205" s="77"/>
      <c r="AQ3205" s="77"/>
      <c r="AR3205" s="77"/>
      <c r="AS3205" s="77"/>
      <c r="AT3205" s="77"/>
      <c r="AU3205" s="77"/>
      <c r="AV3205" s="80" t="str">
        <f>HYPERLINK("https://pbs.twimg.com/profile_images/1241147984924082183/gZgx_hL-_normal.jpg")</f>
        <v>https://pbs.twimg.com/profile_images/1241147984924082183/gZgx_hL-_normal.jpg</v>
      </c>
      <c r="AW3205" s="82" t="s">
        <v>14801</v>
      </c>
      <c r="AX3205" s="82" t="s">
        <v>14801</v>
      </c>
      <c r="AY3205" s="77"/>
      <c r="AZ3205" s="82" t="s">
        <v>15984</v>
      </c>
      <c r="BA3205" s="82" t="s">
        <v>15984</v>
      </c>
      <c r="BB3205" s="82" t="s">
        <v>15984</v>
      </c>
      <c r="BC3205" s="82" t="s">
        <v>14801</v>
      </c>
      <c r="BD3205" s="82" t="s">
        <v>15979</v>
      </c>
      <c r="BE3205" s="77"/>
      <c r="BF3205" s="77"/>
      <c r="BG3205" s="77"/>
      <c r="BH3205" s="77"/>
      <c r="BI3205" s="77"/>
    </row>
    <row r="3206" spans="1:61" x14ac:dyDescent="0.25">
      <c r="A3206" s="62" t="s">
        <v>387</v>
      </c>
      <c r="B3206" s="62" t="s">
        <v>387</v>
      </c>
      <c r="C3206" s="63"/>
      <c r="D3206" s="64"/>
      <c r="E3206" s="65"/>
      <c r="F3206" s="66"/>
      <c r="G3206" s="63"/>
      <c r="H3206" s="67"/>
      <c r="I3206" s="68"/>
      <c r="J3206" s="68"/>
      <c r="K3206" s="32"/>
      <c r="L3206" s="75">
        <v>3206</v>
      </c>
      <c r="M3206" s="75"/>
      <c r="N3206" s="70"/>
      <c r="O3206" s="77" t="s">
        <v>179</v>
      </c>
      <c r="P3206" s="79">
        <v>45182.827256944445</v>
      </c>
      <c r="Q3206" s="77" t="s">
        <v>3878</v>
      </c>
      <c r="R3206" s="77">
        <v>0</v>
      </c>
      <c r="S3206" s="77">
        <v>1</v>
      </c>
      <c r="T3206" s="77">
        <v>0</v>
      </c>
      <c r="U3206" s="77">
        <v>0</v>
      </c>
      <c r="V3206" s="77">
        <v>438</v>
      </c>
      <c r="W3206" s="82" t="s">
        <v>4833</v>
      </c>
      <c r="X3206" s="80" t="str">
        <f>HYPERLINK("https://einvestidor.estadao.com.br/ultimas/black-friday-2023-tendencia-consumo/?utm_source=twitter&amp;utm_medium=organic&amp;utm_campaign=&amp;utm_content=materia")</f>
        <v>https://einvestidor.estadao.com.br/ultimas/black-friday-2023-tendencia-consumo/?utm_source=twitter&amp;utm_medium=organic&amp;utm_campaign=&amp;utm_content=materia</v>
      </c>
      <c r="Y3206" s="77" t="s">
        <v>6470</v>
      </c>
      <c r="Z3206" s="77"/>
      <c r="AA3206" s="77"/>
      <c r="AB3206" s="77"/>
      <c r="AC3206" s="82" t="s">
        <v>7750</v>
      </c>
      <c r="AD3206" s="77" t="s">
        <v>7788</v>
      </c>
      <c r="AE3206" s="80" t="str">
        <f>HYPERLINK("https://twitter.com/einvestidor/status/1702047308848779769")</f>
        <v>https://twitter.com/einvestidor/status/1702047308848779769</v>
      </c>
      <c r="AF3206" s="79">
        <v>45182.827256944445</v>
      </c>
      <c r="AG3206" s="85">
        <v>45182</v>
      </c>
      <c r="AH3206" s="82" t="s">
        <v>9974</v>
      </c>
      <c r="AI3206" s="77" t="b">
        <v>0</v>
      </c>
      <c r="AJ3206" s="77"/>
      <c r="AK3206" s="77"/>
      <c r="AL3206" s="77"/>
      <c r="AM3206" s="77"/>
      <c r="AN3206" s="77"/>
      <c r="AO3206" s="77"/>
      <c r="AP3206" s="77"/>
      <c r="AQ3206" s="77"/>
      <c r="AR3206" s="77"/>
      <c r="AS3206" s="77"/>
      <c r="AT3206" s="77"/>
      <c r="AU3206" s="77"/>
      <c r="AV3206" s="80" t="str">
        <f>HYPERLINK("https://pbs.twimg.com/profile_images/1241147984924082183/gZgx_hL-_normal.jpg")</f>
        <v>https://pbs.twimg.com/profile_images/1241147984924082183/gZgx_hL-_normal.jpg</v>
      </c>
      <c r="AW3206" s="82" t="s">
        <v>14802</v>
      </c>
      <c r="AX3206" s="82" t="s">
        <v>14802</v>
      </c>
      <c r="AY3206" s="77"/>
      <c r="AZ3206" s="82" t="s">
        <v>15984</v>
      </c>
      <c r="BA3206" s="82" t="s">
        <v>15984</v>
      </c>
      <c r="BB3206" s="82" t="s">
        <v>15984</v>
      </c>
      <c r="BC3206" s="82" t="s">
        <v>14802</v>
      </c>
      <c r="BD3206" s="82" t="s">
        <v>15979</v>
      </c>
      <c r="BE3206" s="77"/>
      <c r="BF3206" s="77"/>
      <c r="BG3206" s="77"/>
      <c r="BH3206" s="77"/>
      <c r="BI3206" s="77"/>
    </row>
    <row r="3207" spans="1:61" x14ac:dyDescent="0.25">
      <c r="A3207" s="62" t="s">
        <v>387</v>
      </c>
      <c r="B3207" s="62" t="s">
        <v>387</v>
      </c>
      <c r="C3207" s="63"/>
      <c r="D3207" s="64"/>
      <c r="E3207" s="65"/>
      <c r="F3207" s="66"/>
      <c r="G3207" s="63"/>
      <c r="H3207" s="67"/>
      <c r="I3207" s="68"/>
      <c r="J3207" s="68"/>
      <c r="K3207" s="32"/>
      <c r="L3207" s="75">
        <v>3207</v>
      </c>
      <c r="M3207" s="75"/>
      <c r="N3207" s="70"/>
      <c r="O3207" s="77" t="s">
        <v>179</v>
      </c>
      <c r="P3207" s="79">
        <v>45182.774178240739</v>
      </c>
      <c r="Q3207" s="77" t="s">
        <v>3879</v>
      </c>
      <c r="R3207" s="77">
        <v>1</v>
      </c>
      <c r="S3207" s="77">
        <v>0</v>
      </c>
      <c r="T3207" s="77">
        <v>0</v>
      </c>
      <c r="U3207" s="77">
        <v>0</v>
      </c>
      <c r="V3207" s="77">
        <v>470</v>
      </c>
      <c r="W3207" s="82" t="s">
        <v>6248</v>
      </c>
      <c r="X3207" s="80" t="str">
        <f>HYPERLINK("https://einvestidor.estadao.com.br/comportamento/reforma-apartamento-alugado-planejamento-financeiro/?utm_source=twitter&amp;utm_medium=organic&amp;utm_campaign=&amp;utm_content=materia")</f>
        <v>https://einvestidor.estadao.com.br/comportamento/reforma-apartamento-alugado-planejamento-financeiro/?utm_source=twitter&amp;utm_medium=organic&amp;utm_campaign=&amp;utm_content=materia</v>
      </c>
      <c r="Y3207" s="77" t="s">
        <v>6470</v>
      </c>
      <c r="Z3207" s="77"/>
      <c r="AA3207" s="77"/>
      <c r="AB3207" s="77"/>
      <c r="AC3207" s="82" t="s">
        <v>7750</v>
      </c>
      <c r="AD3207" s="77" t="s">
        <v>7788</v>
      </c>
      <c r="AE3207" s="80" t="str">
        <f>HYPERLINK("https://twitter.com/einvestidor/status/1702028072474526189")</f>
        <v>https://twitter.com/einvestidor/status/1702028072474526189</v>
      </c>
      <c r="AF3207" s="79">
        <v>45182.774178240739</v>
      </c>
      <c r="AG3207" s="85">
        <v>45182</v>
      </c>
      <c r="AH3207" s="82" t="s">
        <v>9975</v>
      </c>
      <c r="AI3207" s="77" t="b">
        <v>0</v>
      </c>
      <c r="AJ3207" s="77"/>
      <c r="AK3207" s="77"/>
      <c r="AL3207" s="77"/>
      <c r="AM3207" s="77"/>
      <c r="AN3207" s="77"/>
      <c r="AO3207" s="77"/>
      <c r="AP3207" s="77"/>
      <c r="AQ3207" s="77"/>
      <c r="AR3207" s="77"/>
      <c r="AS3207" s="77"/>
      <c r="AT3207" s="77"/>
      <c r="AU3207" s="77"/>
      <c r="AV3207" s="80" t="str">
        <f>HYPERLINK("https://pbs.twimg.com/profile_images/1241147984924082183/gZgx_hL-_normal.jpg")</f>
        <v>https://pbs.twimg.com/profile_images/1241147984924082183/gZgx_hL-_normal.jpg</v>
      </c>
      <c r="AW3207" s="82" t="s">
        <v>14803</v>
      </c>
      <c r="AX3207" s="82" t="s">
        <v>14803</v>
      </c>
      <c r="AY3207" s="77"/>
      <c r="AZ3207" s="82" t="s">
        <v>15984</v>
      </c>
      <c r="BA3207" s="82" t="s">
        <v>15984</v>
      </c>
      <c r="BB3207" s="82" t="s">
        <v>15984</v>
      </c>
      <c r="BC3207" s="82" t="s">
        <v>14803</v>
      </c>
      <c r="BD3207" s="82" t="s">
        <v>15979</v>
      </c>
      <c r="BE3207" s="77"/>
      <c r="BF3207" s="77"/>
      <c r="BG3207" s="77"/>
      <c r="BH3207" s="77"/>
      <c r="BI3207" s="77"/>
    </row>
    <row r="3208" spans="1:61" x14ac:dyDescent="0.25">
      <c r="A3208" s="62" t="s">
        <v>387</v>
      </c>
      <c r="B3208" s="62" t="s">
        <v>387</v>
      </c>
      <c r="C3208" s="63"/>
      <c r="D3208" s="64"/>
      <c r="E3208" s="65"/>
      <c r="F3208" s="66"/>
      <c r="G3208" s="63"/>
      <c r="H3208" s="67"/>
      <c r="I3208" s="68"/>
      <c r="J3208" s="68"/>
      <c r="K3208" s="32"/>
      <c r="L3208" s="75">
        <v>3208</v>
      </c>
      <c r="M3208" s="75"/>
      <c r="N3208" s="70"/>
      <c r="O3208" s="77" t="s">
        <v>179</v>
      </c>
      <c r="P3208" s="79">
        <v>45182.760416666664</v>
      </c>
      <c r="Q3208" s="77" t="s">
        <v>3880</v>
      </c>
      <c r="R3208" s="77">
        <v>0</v>
      </c>
      <c r="S3208" s="77">
        <v>0</v>
      </c>
      <c r="T3208" s="77">
        <v>0</v>
      </c>
      <c r="U3208" s="77">
        <v>0</v>
      </c>
      <c r="V3208" s="77">
        <v>379</v>
      </c>
      <c r="W3208" s="82" t="s">
        <v>4833</v>
      </c>
      <c r="X3208" s="80" t="str">
        <f>HYPERLINK("https://einvestidor.estadao.com.br/ultimas/cade-aprova-acordo-winity-telefonica/?utm_source=twitter&amp;utm_medium=organic&amp;utm_campaign=&amp;utm_content=materia")</f>
        <v>https://einvestidor.estadao.com.br/ultimas/cade-aprova-acordo-winity-telefonica/?utm_source=twitter&amp;utm_medium=organic&amp;utm_campaign=&amp;utm_content=materia</v>
      </c>
      <c r="Y3208" s="77" t="s">
        <v>6470</v>
      </c>
      <c r="Z3208" s="77"/>
      <c r="AA3208" s="77"/>
      <c r="AB3208" s="77"/>
      <c r="AC3208" s="82" t="s">
        <v>7750</v>
      </c>
      <c r="AD3208" s="77" t="s">
        <v>7788</v>
      </c>
      <c r="AE3208" s="80" t="str">
        <f>HYPERLINK("https://twitter.com/einvestidor/status/1702023085065650500")</f>
        <v>https://twitter.com/einvestidor/status/1702023085065650500</v>
      </c>
      <c r="AF3208" s="79">
        <v>45182.760416666664</v>
      </c>
      <c r="AG3208" s="85">
        <v>45182</v>
      </c>
      <c r="AH3208" s="82" t="s">
        <v>9582</v>
      </c>
      <c r="AI3208" s="77" t="b">
        <v>0</v>
      </c>
      <c r="AJ3208" s="77"/>
      <c r="AK3208" s="77"/>
      <c r="AL3208" s="77"/>
      <c r="AM3208" s="77"/>
      <c r="AN3208" s="77"/>
      <c r="AO3208" s="77"/>
      <c r="AP3208" s="77"/>
      <c r="AQ3208" s="77"/>
      <c r="AR3208" s="77"/>
      <c r="AS3208" s="77"/>
      <c r="AT3208" s="77"/>
      <c r="AU3208" s="77"/>
      <c r="AV3208" s="80" t="str">
        <f>HYPERLINK("https://pbs.twimg.com/profile_images/1241147984924082183/gZgx_hL-_normal.jpg")</f>
        <v>https://pbs.twimg.com/profile_images/1241147984924082183/gZgx_hL-_normal.jpg</v>
      </c>
      <c r="AW3208" s="82" t="s">
        <v>14804</v>
      </c>
      <c r="AX3208" s="82" t="s">
        <v>14804</v>
      </c>
      <c r="AY3208" s="77"/>
      <c r="AZ3208" s="82" t="s">
        <v>15984</v>
      </c>
      <c r="BA3208" s="82" t="s">
        <v>15984</v>
      </c>
      <c r="BB3208" s="82" t="s">
        <v>15984</v>
      </c>
      <c r="BC3208" s="82" t="s">
        <v>14804</v>
      </c>
      <c r="BD3208" s="82" t="s">
        <v>15979</v>
      </c>
      <c r="BE3208" s="77"/>
      <c r="BF3208" s="77"/>
      <c r="BG3208" s="77"/>
      <c r="BH3208" s="77"/>
      <c r="BI3208" s="77"/>
    </row>
    <row r="3209" spans="1:61" x14ac:dyDescent="0.25">
      <c r="A3209" s="62" t="s">
        <v>387</v>
      </c>
      <c r="B3209" s="62" t="s">
        <v>387</v>
      </c>
      <c r="C3209" s="63"/>
      <c r="D3209" s="64"/>
      <c r="E3209" s="65"/>
      <c r="F3209" s="66"/>
      <c r="G3209" s="63"/>
      <c r="H3209" s="67"/>
      <c r="I3209" s="68"/>
      <c r="J3209" s="68"/>
      <c r="K3209" s="32"/>
      <c r="L3209" s="75">
        <v>3209</v>
      </c>
      <c r="M3209" s="75"/>
      <c r="N3209" s="70"/>
      <c r="O3209" s="77" t="s">
        <v>179</v>
      </c>
      <c r="P3209" s="79">
        <v>45182.750011574077</v>
      </c>
      <c r="Q3209" s="77" t="s">
        <v>3881</v>
      </c>
      <c r="R3209" s="77">
        <v>0</v>
      </c>
      <c r="S3209" s="77">
        <v>0</v>
      </c>
      <c r="T3209" s="77">
        <v>0</v>
      </c>
      <c r="U3209" s="77">
        <v>0</v>
      </c>
      <c r="V3209" s="77">
        <v>451</v>
      </c>
      <c r="W3209" s="82" t="s">
        <v>6249</v>
      </c>
      <c r="X3209" s="80" t="str">
        <f>HYPERLINK("https://einvestidor.estadao.com.br/ultimas/btg-pactual-avaliacao-picpay/?utm_source=twitter&amp;utm_medium=organic&amp;utm_campaign=&amp;utm_content=materia")</f>
        <v>https://einvestidor.estadao.com.br/ultimas/btg-pactual-avaliacao-picpay/?utm_source=twitter&amp;utm_medium=organic&amp;utm_campaign=&amp;utm_content=materia</v>
      </c>
      <c r="Y3209" s="77" t="s">
        <v>6470</v>
      </c>
      <c r="Z3209" s="77"/>
      <c r="AA3209" s="77"/>
      <c r="AB3209" s="77"/>
      <c r="AC3209" s="82" t="s">
        <v>7750</v>
      </c>
      <c r="AD3209" s="77" t="s">
        <v>7788</v>
      </c>
      <c r="AE3209" s="80" t="str">
        <f>HYPERLINK("https://twitter.com/einvestidor/status/1702019313815756825")</f>
        <v>https://twitter.com/einvestidor/status/1702019313815756825</v>
      </c>
      <c r="AF3209" s="79">
        <v>45182.750011574077</v>
      </c>
      <c r="AG3209" s="85">
        <v>45182</v>
      </c>
      <c r="AH3209" s="82" t="s">
        <v>9625</v>
      </c>
      <c r="AI3209" s="77" t="b">
        <v>0</v>
      </c>
      <c r="AJ3209" s="77"/>
      <c r="AK3209" s="77"/>
      <c r="AL3209" s="77"/>
      <c r="AM3209" s="77"/>
      <c r="AN3209" s="77"/>
      <c r="AO3209" s="77"/>
      <c r="AP3209" s="77"/>
      <c r="AQ3209" s="77"/>
      <c r="AR3209" s="77"/>
      <c r="AS3209" s="77"/>
      <c r="AT3209" s="77"/>
      <c r="AU3209" s="77"/>
      <c r="AV3209" s="80" t="str">
        <f>HYPERLINK("https://pbs.twimg.com/profile_images/1241147984924082183/gZgx_hL-_normal.jpg")</f>
        <v>https://pbs.twimg.com/profile_images/1241147984924082183/gZgx_hL-_normal.jpg</v>
      </c>
      <c r="AW3209" s="82" t="s">
        <v>14805</v>
      </c>
      <c r="AX3209" s="82" t="s">
        <v>14805</v>
      </c>
      <c r="AY3209" s="77"/>
      <c r="AZ3209" s="82" t="s">
        <v>15984</v>
      </c>
      <c r="BA3209" s="82" t="s">
        <v>15984</v>
      </c>
      <c r="BB3209" s="82" t="s">
        <v>15984</v>
      </c>
      <c r="BC3209" s="82" t="s">
        <v>14805</v>
      </c>
      <c r="BD3209" s="82" t="s">
        <v>15979</v>
      </c>
      <c r="BE3209" s="77"/>
      <c r="BF3209" s="77"/>
      <c r="BG3209" s="77"/>
      <c r="BH3209" s="77"/>
      <c r="BI3209" s="77"/>
    </row>
    <row r="3210" spans="1:61" x14ac:dyDescent="0.25">
      <c r="A3210" s="62" t="s">
        <v>387</v>
      </c>
      <c r="B3210" s="62" t="s">
        <v>387</v>
      </c>
      <c r="C3210" s="63"/>
      <c r="D3210" s="64"/>
      <c r="E3210" s="65"/>
      <c r="F3210" s="66"/>
      <c r="G3210" s="63"/>
      <c r="H3210" s="67"/>
      <c r="I3210" s="68"/>
      <c r="J3210" s="68"/>
      <c r="K3210" s="32"/>
      <c r="L3210" s="75">
        <v>3210</v>
      </c>
      <c r="M3210" s="75"/>
      <c r="N3210" s="70"/>
      <c r="O3210" s="77" t="s">
        <v>179</v>
      </c>
      <c r="P3210" s="79">
        <v>45182.739583333336</v>
      </c>
      <c r="Q3210" s="77" t="s">
        <v>3882</v>
      </c>
      <c r="R3210" s="77">
        <v>1</v>
      </c>
      <c r="S3210" s="77">
        <v>0</v>
      </c>
      <c r="T3210" s="77">
        <v>0</v>
      </c>
      <c r="U3210" s="77">
        <v>0</v>
      </c>
      <c r="V3210" s="77">
        <v>436</v>
      </c>
      <c r="W3210" s="82" t="s">
        <v>4833</v>
      </c>
      <c r="X3210" s="80" t="str">
        <f>HYPERLINK("https://einvestidor.estadao.com.br/mercado/b3-novo-horario-pregao-corretoras-comentam/?utm_source=twitter&amp;utm_medium=organic&amp;utm_campaign=&amp;utm_content=materia")</f>
        <v>https://einvestidor.estadao.com.br/mercado/b3-novo-horario-pregao-corretoras-comentam/?utm_source=twitter&amp;utm_medium=organic&amp;utm_campaign=&amp;utm_content=materia</v>
      </c>
      <c r="Y3210" s="77" t="s">
        <v>6470</v>
      </c>
      <c r="Z3210" s="77"/>
      <c r="AA3210" s="77"/>
      <c r="AB3210" s="77"/>
      <c r="AC3210" s="82" t="s">
        <v>7750</v>
      </c>
      <c r="AD3210" s="77" t="s">
        <v>7788</v>
      </c>
      <c r="AE3210" s="80" t="str">
        <f>HYPERLINK("https://twitter.com/einvestidor/status/1702015535339442398")</f>
        <v>https://twitter.com/einvestidor/status/1702015535339442398</v>
      </c>
      <c r="AF3210" s="79">
        <v>45182.739583333336</v>
      </c>
      <c r="AG3210" s="85">
        <v>45182</v>
      </c>
      <c r="AH3210" s="82" t="s">
        <v>9626</v>
      </c>
      <c r="AI3210" s="77" t="b">
        <v>0</v>
      </c>
      <c r="AJ3210" s="77"/>
      <c r="AK3210" s="77"/>
      <c r="AL3210" s="77"/>
      <c r="AM3210" s="77"/>
      <c r="AN3210" s="77"/>
      <c r="AO3210" s="77"/>
      <c r="AP3210" s="77"/>
      <c r="AQ3210" s="77"/>
      <c r="AR3210" s="77"/>
      <c r="AS3210" s="77"/>
      <c r="AT3210" s="77"/>
      <c r="AU3210" s="77"/>
      <c r="AV3210" s="80" t="str">
        <f>HYPERLINK("https://pbs.twimg.com/profile_images/1241147984924082183/gZgx_hL-_normal.jpg")</f>
        <v>https://pbs.twimg.com/profile_images/1241147984924082183/gZgx_hL-_normal.jpg</v>
      </c>
      <c r="AW3210" s="82" t="s">
        <v>14806</v>
      </c>
      <c r="AX3210" s="82" t="s">
        <v>14806</v>
      </c>
      <c r="AY3210" s="77"/>
      <c r="AZ3210" s="82" t="s">
        <v>15984</v>
      </c>
      <c r="BA3210" s="82" t="s">
        <v>15984</v>
      </c>
      <c r="BB3210" s="82" t="s">
        <v>15984</v>
      </c>
      <c r="BC3210" s="82" t="s">
        <v>14806</v>
      </c>
      <c r="BD3210" s="82" t="s">
        <v>15979</v>
      </c>
      <c r="BE3210" s="77"/>
      <c r="BF3210" s="77"/>
      <c r="BG3210" s="77"/>
      <c r="BH3210" s="77"/>
      <c r="BI3210" s="77"/>
    </row>
    <row r="3211" spans="1:61" x14ac:dyDescent="0.25">
      <c r="A3211" s="62" t="s">
        <v>387</v>
      </c>
      <c r="B3211" s="62" t="s">
        <v>387</v>
      </c>
      <c r="C3211" s="63"/>
      <c r="D3211" s="64"/>
      <c r="E3211" s="65"/>
      <c r="F3211" s="66"/>
      <c r="G3211" s="63"/>
      <c r="H3211" s="67"/>
      <c r="I3211" s="68"/>
      <c r="J3211" s="68"/>
      <c r="K3211" s="32"/>
      <c r="L3211" s="75">
        <v>3211</v>
      </c>
      <c r="M3211" s="75"/>
      <c r="N3211" s="70"/>
      <c r="O3211" s="77" t="s">
        <v>179</v>
      </c>
      <c r="P3211" s="79">
        <v>45182.733888888892</v>
      </c>
      <c r="Q3211" s="77" t="s">
        <v>3883</v>
      </c>
      <c r="R3211" s="77">
        <v>1</v>
      </c>
      <c r="S3211" s="77">
        <v>0</v>
      </c>
      <c r="T3211" s="77">
        <v>0</v>
      </c>
      <c r="U3211" s="77">
        <v>0</v>
      </c>
      <c r="V3211" s="77">
        <v>647</v>
      </c>
      <c r="W3211" s="82" t="s">
        <v>4833</v>
      </c>
      <c r="X3211" s="80" t="str">
        <f>HYPERLINK("https://einvestidor.estadao.com.br/mercado/mercado-intraday-13-09-2023/?utm_source=twitter&amp;utm_medium=organic&amp;utm_campaign=&amp;utm_content=materia")</f>
        <v>https://einvestidor.estadao.com.br/mercado/mercado-intraday-13-09-2023/?utm_source=twitter&amp;utm_medium=organic&amp;utm_campaign=&amp;utm_content=materia</v>
      </c>
      <c r="Y3211" s="77" t="s">
        <v>6470</v>
      </c>
      <c r="Z3211" s="77"/>
      <c r="AA3211" s="77"/>
      <c r="AB3211" s="77"/>
      <c r="AC3211" s="82" t="s">
        <v>7750</v>
      </c>
      <c r="AD3211" s="77" t="s">
        <v>7788</v>
      </c>
      <c r="AE3211" s="80" t="str">
        <f>HYPERLINK("https://twitter.com/einvestidor/status/1702013473343852612")</f>
        <v>https://twitter.com/einvestidor/status/1702013473343852612</v>
      </c>
      <c r="AF3211" s="79">
        <v>45182.733888888892</v>
      </c>
      <c r="AG3211" s="85">
        <v>45182</v>
      </c>
      <c r="AH3211" s="82" t="s">
        <v>9976</v>
      </c>
      <c r="AI3211" s="77" t="b">
        <v>0</v>
      </c>
      <c r="AJ3211" s="77"/>
      <c r="AK3211" s="77"/>
      <c r="AL3211" s="77"/>
      <c r="AM3211" s="77"/>
      <c r="AN3211" s="77"/>
      <c r="AO3211" s="77"/>
      <c r="AP3211" s="77"/>
      <c r="AQ3211" s="77"/>
      <c r="AR3211" s="77"/>
      <c r="AS3211" s="77"/>
      <c r="AT3211" s="77"/>
      <c r="AU3211" s="77"/>
      <c r="AV3211" s="80" t="str">
        <f>HYPERLINK("https://pbs.twimg.com/profile_images/1241147984924082183/gZgx_hL-_normal.jpg")</f>
        <v>https://pbs.twimg.com/profile_images/1241147984924082183/gZgx_hL-_normal.jpg</v>
      </c>
      <c r="AW3211" s="82" t="s">
        <v>14807</v>
      </c>
      <c r="AX3211" s="82" t="s">
        <v>14807</v>
      </c>
      <c r="AY3211" s="77"/>
      <c r="AZ3211" s="82" t="s">
        <v>15984</v>
      </c>
      <c r="BA3211" s="82" t="s">
        <v>15984</v>
      </c>
      <c r="BB3211" s="82" t="s">
        <v>15984</v>
      </c>
      <c r="BC3211" s="82" t="s">
        <v>14807</v>
      </c>
      <c r="BD3211" s="82" t="s">
        <v>15979</v>
      </c>
      <c r="BE3211" s="77"/>
      <c r="BF3211" s="77"/>
      <c r="BG3211" s="77"/>
      <c r="BH3211" s="77"/>
      <c r="BI3211" s="77"/>
    </row>
    <row r="3212" spans="1:61" x14ac:dyDescent="0.25">
      <c r="A3212" s="62" t="s">
        <v>387</v>
      </c>
      <c r="B3212" s="62" t="s">
        <v>387</v>
      </c>
      <c r="C3212" s="63"/>
      <c r="D3212" s="64"/>
      <c r="E3212" s="65"/>
      <c r="F3212" s="66"/>
      <c r="G3212" s="63"/>
      <c r="H3212" s="67"/>
      <c r="I3212" s="68"/>
      <c r="J3212" s="68"/>
      <c r="K3212" s="32"/>
      <c r="L3212" s="75">
        <v>3212</v>
      </c>
      <c r="M3212" s="75"/>
      <c r="N3212" s="70"/>
      <c r="O3212" s="77" t="s">
        <v>179</v>
      </c>
      <c r="P3212" s="79">
        <v>45182.480844907404</v>
      </c>
      <c r="Q3212" s="77" t="s">
        <v>3884</v>
      </c>
      <c r="R3212" s="77">
        <v>0</v>
      </c>
      <c r="S3212" s="77">
        <v>1</v>
      </c>
      <c r="T3212" s="77">
        <v>0</v>
      </c>
      <c r="U3212" s="77">
        <v>0</v>
      </c>
      <c r="V3212" s="77">
        <v>523</v>
      </c>
      <c r="W3212" s="82" t="s">
        <v>4839</v>
      </c>
      <c r="X3212" s="80" t="str">
        <f>HYPERLINK("https://einvestidor.estadao.com.br/mercado/mercado-hoje-inflacao-eua-agenda-haddad/?utm_source=twitter&amp;utm_medium=organic&amp;utm_campaign=mercado-hoje&amp;utm_content=materia")</f>
        <v>https://einvestidor.estadao.com.br/mercado/mercado-hoje-inflacao-eua-agenda-haddad/?utm_source=twitter&amp;utm_medium=organic&amp;utm_campaign=mercado-hoje&amp;utm_content=materia</v>
      </c>
      <c r="Y3212" s="77" t="s">
        <v>6470</v>
      </c>
      <c r="Z3212" s="77"/>
      <c r="AA3212" s="77"/>
      <c r="AB3212" s="77"/>
      <c r="AC3212" s="82" t="s">
        <v>7750</v>
      </c>
      <c r="AD3212" s="77" t="s">
        <v>7788</v>
      </c>
      <c r="AE3212" s="80" t="str">
        <f>HYPERLINK("https://twitter.com/einvestidor/status/1701921774122733947")</f>
        <v>https://twitter.com/einvestidor/status/1701921774122733947</v>
      </c>
      <c r="AF3212" s="79">
        <v>45182.480844907404</v>
      </c>
      <c r="AG3212" s="85">
        <v>45182</v>
      </c>
      <c r="AH3212" s="82" t="s">
        <v>9977</v>
      </c>
      <c r="AI3212" s="77" t="b">
        <v>0</v>
      </c>
      <c r="AJ3212" s="77"/>
      <c r="AK3212" s="77"/>
      <c r="AL3212" s="77"/>
      <c r="AM3212" s="77"/>
      <c r="AN3212" s="77"/>
      <c r="AO3212" s="77"/>
      <c r="AP3212" s="77"/>
      <c r="AQ3212" s="77"/>
      <c r="AR3212" s="77"/>
      <c r="AS3212" s="77"/>
      <c r="AT3212" s="77"/>
      <c r="AU3212" s="77"/>
      <c r="AV3212" s="80" t="str">
        <f>HYPERLINK("https://pbs.twimg.com/profile_images/1241147984924082183/gZgx_hL-_normal.jpg")</f>
        <v>https://pbs.twimg.com/profile_images/1241147984924082183/gZgx_hL-_normal.jpg</v>
      </c>
      <c r="AW3212" s="82" t="s">
        <v>14808</v>
      </c>
      <c r="AX3212" s="82" t="s">
        <v>14808</v>
      </c>
      <c r="AY3212" s="77"/>
      <c r="AZ3212" s="82" t="s">
        <v>15984</v>
      </c>
      <c r="BA3212" s="82" t="s">
        <v>15984</v>
      </c>
      <c r="BB3212" s="82" t="s">
        <v>15984</v>
      </c>
      <c r="BC3212" s="82" t="s">
        <v>14808</v>
      </c>
      <c r="BD3212" s="82" t="s">
        <v>15979</v>
      </c>
      <c r="BE3212" s="77"/>
      <c r="BF3212" s="77"/>
      <c r="BG3212" s="77"/>
      <c r="BH3212" s="77"/>
      <c r="BI3212" s="77"/>
    </row>
    <row r="3213" spans="1:61" x14ac:dyDescent="0.25">
      <c r="A3213" s="62" t="s">
        <v>387</v>
      </c>
      <c r="B3213" s="62" t="s">
        <v>387</v>
      </c>
      <c r="C3213" s="63"/>
      <c r="D3213" s="64"/>
      <c r="E3213" s="65"/>
      <c r="F3213" s="66"/>
      <c r="G3213" s="63"/>
      <c r="H3213" s="67"/>
      <c r="I3213" s="68"/>
      <c r="J3213" s="68"/>
      <c r="K3213" s="32"/>
      <c r="L3213" s="75">
        <v>3213</v>
      </c>
      <c r="M3213" s="75"/>
      <c r="N3213" s="70"/>
      <c r="O3213" s="77" t="s">
        <v>179</v>
      </c>
      <c r="P3213" s="79">
        <v>45182.459583333337</v>
      </c>
      <c r="Q3213" s="77" t="s">
        <v>3885</v>
      </c>
      <c r="R3213" s="77">
        <v>0</v>
      </c>
      <c r="S3213" s="77">
        <v>1</v>
      </c>
      <c r="T3213" s="77">
        <v>0</v>
      </c>
      <c r="U3213" s="77">
        <v>0</v>
      </c>
      <c r="V3213" s="77">
        <v>560</v>
      </c>
      <c r="W3213" s="82" t="s">
        <v>4839</v>
      </c>
      <c r="X3213" s="80" t="str">
        <f>HYPERLINK("https://einvestidor.estadao.com.br/ultimas/bolsas-europe-impacto-juros-americanos/?utm_source=twitter&amp;utm_medium=organic&amp;utm_campaign=europa&amp;utm_content=materia")</f>
        <v>https://einvestidor.estadao.com.br/ultimas/bolsas-europe-impacto-juros-americanos/?utm_source=twitter&amp;utm_medium=organic&amp;utm_campaign=europa&amp;utm_content=materia</v>
      </c>
      <c r="Y3213" s="77" t="s">
        <v>6470</v>
      </c>
      <c r="Z3213" s="77"/>
      <c r="AA3213" s="77"/>
      <c r="AB3213" s="77"/>
      <c r="AC3213" s="82" t="s">
        <v>7750</v>
      </c>
      <c r="AD3213" s="77" t="s">
        <v>7788</v>
      </c>
      <c r="AE3213" s="80" t="str">
        <f>HYPERLINK("https://twitter.com/einvestidor/status/1701914066883629106")</f>
        <v>https://twitter.com/einvestidor/status/1701914066883629106</v>
      </c>
      <c r="AF3213" s="79">
        <v>45182.459583333337</v>
      </c>
      <c r="AG3213" s="85">
        <v>45182</v>
      </c>
      <c r="AH3213" s="82" t="s">
        <v>9978</v>
      </c>
      <c r="AI3213" s="77" t="b">
        <v>0</v>
      </c>
      <c r="AJ3213" s="77"/>
      <c r="AK3213" s="77"/>
      <c r="AL3213" s="77"/>
      <c r="AM3213" s="77"/>
      <c r="AN3213" s="77"/>
      <c r="AO3213" s="77"/>
      <c r="AP3213" s="77"/>
      <c r="AQ3213" s="77"/>
      <c r="AR3213" s="77"/>
      <c r="AS3213" s="77"/>
      <c r="AT3213" s="77"/>
      <c r="AU3213" s="77"/>
      <c r="AV3213" s="80" t="str">
        <f>HYPERLINK("https://pbs.twimg.com/profile_images/1241147984924082183/gZgx_hL-_normal.jpg")</f>
        <v>https://pbs.twimg.com/profile_images/1241147984924082183/gZgx_hL-_normal.jpg</v>
      </c>
      <c r="AW3213" s="82" t="s">
        <v>14809</v>
      </c>
      <c r="AX3213" s="82" t="s">
        <v>14809</v>
      </c>
      <c r="AY3213" s="77"/>
      <c r="AZ3213" s="82" t="s">
        <v>15984</v>
      </c>
      <c r="BA3213" s="82" t="s">
        <v>15984</v>
      </c>
      <c r="BB3213" s="82" t="s">
        <v>15984</v>
      </c>
      <c r="BC3213" s="82" t="s">
        <v>14809</v>
      </c>
      <c r="BD3213" s="82" t="s">
        <v>15979</v>
      </c>
      <c r="BE3213" s="77"/>
      <c r="BF3213" s="77"/>
      <c r="BG3213" s="77"/>
      <c r="BH3213" s="77"/>
      <c r="BI3213" s="77"/>
    </row>
    <row r="3214" spans="1:61" x14ac:dyDescent="0.25">
      <c r="A3214" s="62" t="s">
        <v>387</v>
      </c>
      <c r="B3214" s="62" t="s">
        <v>387</v>
      </c>
      <c r="C3214" s="63"/>
      <c r="D3214" s="64"/>
      <c r="E3214" s="65"/>
      <c r="F3214" s="66"/>
      <c r="G3214" s="63"/>
      <c r="H3214" s="67"/>
      <c r="I3214" s="68"/>
      <c r="J3214" s="68"/>
      <c r="K3214" s="32"/>
      <c r="L3214" s="75">
        <v>3214</v>
      </c>
      <c r="M3214" s="75"/>
      <c r="N3214" s="70"/>
      <c r="O3214" s="77" t="s">
        <v>179</v>
      </c>
      <c r="P3214" s="79">
        <v>45182.430046296293</v>
      </c>
      <c r="Q3214" s="77" t="s">
        <v>3886</v>
      </c>
      <c r="R3214" s="77">
        <v>0</v>
      </c>
      <c r="S3214" s="77">
        <v>1</v>
      </c>
      <c r="T3214" s="77">
        <v>0</v>
      </c>
      <c r="U3214" s="77">
        <v>0</v>
      </c>
      <c r="V3214" s="77">
        <v>526</v>
      </c>
      <c r="W3214" s="82" t="s">
        <v>4839</v>
      </c>
      <c r="X3214" s="80" t="str">
        <f>HYPERLINK("https://einvestidor.estadao.com.br/ultimas/bolsas-da-asia-fechamento-ny-dado-importante/?utm_source=twitter&amp;utm_medium=organic&amp;utm_campaign=asia&amp;utm_content=materia")</f>
        <v>https://einvestidor.estadao.com.br/ultimas/bolsas-da-asia-fechamento-ny-dado-importante/?utm_source=twitter&amp;utm_medium=organic&amp;utm_campaign=asia&amp;utm_content=materia</v>
      </c>
      <c r="Y3214" s="77" t="s">
        <v>6470</v>
      </c>
      <c r="Z3214" s="77"/>
      <c r="AA3214" s="77"/>
      <c r="AB3214" s="77"/>
      <c r="AC3214" s="82" t="s">
        <v>7750</v>
      </c>
      <c r="AD3214" s="77" t="s">
        <v>7788</v>
      </c>
      <c r="AE3214" s="80" t="str">
        <f>HYPERLINK("https://twitter.com/einvestidor/status/1701903362495586402")</f>
        <v>https://twitter.com/einvestidor/status/1701903362495586402</v>
      </c>
      <c r="AF3214" s="79">
        <v>45182.430046296293</v>
      </c>
      <c r="AG3214" s="85">
        <v>45182</v>
      </c>
      <c r="AH3214" s="82" t="s">
        <v>9979</v>
      </c>
      <c r="AI3214" s="77" t="b">
        <v>0</v>
      </c>
      <c r="AJ3214" s="77"/>
      <c r="AK3214" s="77"/>
      <c r="AL3214" s="77"/>
      <c r="AM3214" s="77"/>
      <c r="AN3214" s="77"/>
      <c r="AO3214" s="77"/>
      <c r="AP3214" s="77"/>
      <c r="AQ3214" s="77"/>
      <c r="AR3214" s="77"/>
      <c r="AS3214" s="77"/>
      <c r="AT3214" s="77"/>
      <c r="AU3214" s="77"/>
      <c r="AV3214" s="80" t="str">
        <f>HYPERLINK("https://pbs.twimg.com/profile_images/1241147984924082183/gZgx_hL-_normal.jpg")</f>
        <v>https://pbs.twimg.com/profile_images/1241147984924082183/gZgx_hL-_normal.jpg</v>
      </c>
      <c r="AW3214" s="82" t="s">
        <v>14810</v>
      </c>
      <c r="AX3214" s="82" t="s">
        <v>14810</v>
      </c>
      <c r="AY3214" s="77"/>
      <c r="AZ3214" s="82" t="s">
        <v>15984</v>
      </c>
      <c r="BA3214" s="82" t="s">
        <v>15984</v>
      </c>
      <c r="BB3214" s="82" t="s">
        <v>15984</v>
      </c>
      <c r="BC3214" s="82" t="s">
        <v>14810</v>
      </c>
      <c r="BD3214" s="82" t="s">
        <v>15979</v>
      </c>
      <c r="BE3214" s="77"/>
      <c r="BF3214" s="77"/>
      <c r="BG3214" s="77"/>
      <c r="BH3214" s="77"/>
      <c r="BI3214" s="77"/>
    </row>
    <row r="3215" spans="1:61" x14ac:dyDescent="0.25">
      <c r="A3215" s="62" t="s">
        <v>387</v>
      </c>
      <c r="B3215" s="62" t="s">
        <v>387</v>
      </c>
      <c r="C3215" s="63"/>
      <c r="D3215" s="64"/>
      <c r="E3215" s="65"/>
      <c r="F3215" s="66"/>
      <c r="G3215" s="63"/>
      <c r="H3215" s="67"/>
      <c r="I3215" s="68"/>
      <c r="J3215" s="68"/>
      <c r="K3215" s="32"/>
      <c r="L3215" s="75">
        <v>3215</v>
      </c>
      <c r="M3215" s="75"/>
      <c r="N3215" s="70"/>
      <c r="O3215" s="77" t="s">
        <v>179</v>
      </c>
      <c r="P3215" s="79">
        <v>45159.479456018518</v>
      </c>
      <c r="Q3215" s="77" t="s">
        <v>3887</v>
      </c>
      <c r="R3215" s="77">
        <v>0</v>
      </c>
      <c r="S3215" s="77">
        <v>5</v>
      </c>
      <c r="T3215" s="77">
        <v>0</v>
      </c>
      <c r="U3215" s="77">
        <v>1</v>
      </c>
      <c r="V3215" s="77">
        <v>677</v>
      </c>
      <c r="W3215" s="82" t="s">
        <v>4839</v>
      </c>
      <c r="X3215" s="80" t="str">
        <f>HYPERLINK("https://einvestidor.estadao.com.br/mercado/mercado-hoje-corte-juros-arcabouco-fiscal/?utm_source=twitter&amp;utm_medium=organic&amp;utm_campaign=mercado-hoje&amp;utm_content=materia")</f>
        <v>https://einvestidor.estadao.com.br/mercado/mercado-hoje-corte-juros-arcabouco-fiscal/?utm_source=twitter&amp;utm_medium=organic&amp;utm_campaign=mercado-hoje&amp;utm_content=materia</v>
      </c>
      <c r="Y3215" s="77" t="s">
        <v>6470</v>
      </c>
      <c r="Z3215" s="77"/>
      <c r="AA3215" s="77"/>
      <c r="AB3215" s="77"/>
      <c r="AC3215" s="82" t="s">
        <v>7750</v>
      </c>
      <c r="AD3215" s="77" t="s">
        <v>7788</v>
      </c>
      <c r="AE3215" s="80" t="str">
        <f>HYPERLINK("https://twitter.com/einvestidor/status/1693586349201224174")</f>
        <v>https://twitter.com/einvestidor/status/1693586349201224174</v>
      </c>
      <c r="AF3215" s="79">
        <v>45159.479456018518</v>
      </c>
      <c r="AG3215" s="85">
        <v>45159</v>
      </c>
      <c r="AH3215" s="82" t="s">
        <v>9980</v>
      </c>
      <c r="AI3215" s="77" t="b">
        <v>0</v>
      </c>
      <c r="AJ3215" s="77"/>
      <c r="AK3215" s="77"/>
      <c r="AL3215" s="77"/>
      <c r="AM3215" s="77"/>
      <c r="AN3215" s="77"/>
      <c r="AO3215" s="77"/>
      <c r="AP3215" s="77"/>
      <c r="AQ3215" s="77"/>
      <c r="AR3215" s="77"/>
      <c r="AS3215" s="77"/>
      <c r="AT3215" s="77"/>
      <c r="AU3215" s="77"/>
      <c r="AV3215" s="80" t="str">
        <f>HYPERLINK("https://pbs.twimg.com/profile_images/1241147984924082183/gZgx_hL-_normal.jpg")</f>
        <v>https://pbs.twimg.com/profile_images/1241147984924082183/gZgx_hL-_normal.jpg</v>
      </c>
      <c r="AW3215" s="82" t="s">
        <v>14811</v>
      </c>
      <c r="AX3215" s="82" t="s">
        <v>14811</v>
      </c>
      <c r="AY3215" s="77"/>
      <c r="AZ3215" s="82" t="s">
        <v>15984</v>
      </c>
      <c r="BA3215" s="82" t="s">
        <v>15984</v>
      </c>
      <c r="BB3215" s="82" t="s">
        <v>15984</v>
      </c>
      <c r="BC3215" s="82" t="s">
        <v>14811</v>
      </c>
      <c r="BD3215" s="82" t="s">
        <v>15979</v>
      </c>
      <c r="BE3215" s="77"/>
      <c r="BF3215" s="77"/>
      <c r="BG3215" s="77"/>
      <c r="BH3215" s="77"/>
      <c r="BI3215" s="77"/>
    </row>
    <row r="3216" spans="1:61" x14ac:dyDescent="0.25">
      <c r="A3216" s="62" t="s">
        <v>387</v>
      </c>
      <c r="B3216" s="62" t="s">
        <v>387</v>
      </c>
      <c r="C3216" s="63"/>
      <c r="D3216" s="64"/>
      <c r="E3216" s="65"/>
      <c r="F3216" s="66"/>
      <c r="G3216" s="63"/>
      <c r="H3216" s="67"/>
      <c r="I3216" s="68"/>
      <c r="J3216" s="68"/>
      <c r="K3216" s="32"/>
      <c r="L3216" s="75">
        <v>3216</v>
      </c>
      <c r="M3216" s="75"/>
      <c r="N3216" s="70"/>
      <c r="O3216" s="77" t="s">
        <v>179</v>
      </c>
      <c r="P3216" s="79">
        <v>45158.500023148146</v>
      </c>
      <c r="Q3216" s="77" t="s">
        <v>3888</v>
      </c>
      <c r="R3216" s="77">
        <v>0</v>
      </c>
      <c r="S3216" s="77">
        <v>1</v>
      </c>
      <c r="T3216" s="77">
        <v>0</v>
      </c>
      <c r="U3216" s="77">
        <v>0</v>
      </c>
      <c r="V3216" s="77">
        <v>658</v>
      </c>
      <c r="W3216" s="82" t="s">
        <v>4833</v>
      </c>
      <c r="X3216" s="80" t="str">
        <f>HYPERLINK("https://mla.bs/a89d9585")</f>
        <v>https://mla.bs/a89d9585</v>
      </c>
      <c r="Y3216" s="77" t="s">
        <v>6506</v>
      </c>
      <c r="Z3216" s="77"/>
      <c r="AA3216" s="77"/>
      <c r="AB3216" s="77"/>
      <c r="AC3216" s="82" t="s">
        <v>7750</v>
      </c>
      <c r="AD3216" s="77" t="s">
        <v>7788</v>
      </c>
      <c r="AE3216" s="80" t="str">
        <f>HYPERLINK("https://twitter.com/einvestidor/status/1693231413284216847")</f>
        <v>https://twitter.com/einvestidor/status/1693231413284216847</v>
      </c>
      <c r="AF3216" s="79">
        <v>45158.500023148146</v>
      </c>
      <c r="AG3216" s="85">
        <v>45158</v>
      </c>
      <c r="AH3216" s="82" t="s">
        <v>8525</v>
      </c>
      <c r="AI3216" s="77" t="b">
        <v>0</v>
      </c>
      <c r="AJ3216" s="77"/>
      <c r="AK3216" s="77"/>
      <c r="AL3216" s="77"/>
      <c r="AM3216" s="77"/>
      <c r="AN3216" s="77"/>
      <c r="AO3216" s="77"/>
      <c r="AP3216" s="77"/>
      <c r="AQ3216" s="77"/>
      <c r="AR3216" s="77"/>
      <c r="AS3216" s="77"/>
      <c r="AT3216" s="77"/>
      <c r="AU3216" s="77"/>
      <c r="AV3216" s="80" t="str">
        <f>HYPERLINK("https://pbs.twimg.com/profile_images/1241147984924082183/gZgx_hL-_normal.jpg")</f>
        <v>https://pbs.twimg.com/profile_images/1241147984924082183/gZgx_hL-_normal.jpg</v>
      </c>
      <c r="AW3216" s="82" t="s">
        <v>14812</v>
      </c>
      <c r="AX3216" s="82" t="s">
        <v>14812</v>
      </c>
      <c r="AY3216" s="77"/>
      <c r="AZ3216" s="82" t="s">
        <v>15984</v>
      </c>
      <c r="BA3216" s="82" t="s">
        <v>15984</v>
      </c>
      <c r="BB3216" s="82" t="s">
        <v>15984</v>
      </c>
      <c r="BC3216" s="82" t="s">
        <v>14812</v>
      </c>
      <c r="BD3216" s="82" t="s">
        <v>15979</v>
      </c>
      <c r="BE3216" s="77"/>
      <c r="BF3216" s="77"/>
      <c r="BG3216" s="77"/>
      <c r="BH3216" s="77"/>
      <c r="BI3216" s="77"/>
    </row>
    <row r="3217" spans="1:61" x14ac:dyDescent="0.25">
      <c r="A3217" s="62" t="s">
        <v>387</v>
      </c>
      <c r="B3217" s="62" t="s">
        <v>387</v>
      </c>
      <c r="C3217" s="63"/>
      <c r="D3217" s="64"/>
      <c r="E3217" s="65"/>
      <c r="F3217" s="66"/>
      <c r="G3217" s="63"/>
      <c r="H3217" s="67"/>
      <c r="I3217" s="68"/>
      <c r="J3217" s="68"/>
      <c r="K3217" s="32"/>
      <c r="L3217" s="75">
        <v>3217</v>
      </c>
      <c r="M3217" s="75"/>
      <c r="N3217" s="70"/>
      <c r="O3217" s="77" t="s">
        <v>179</v>
      </c>
      <c r="P3217" s="79">
        <v>45141.020833333336</v>
      </c>
      <c r="Q3217" s="77" t="s">
        <v>3889</v>
      </c>
      <c r="R3217" s="77">
        <v>0</v>
      </c>
      <c r="S3217" s="77">
        <v>2</v>
      </c>
      <c r="T3217" s="77">
        <v>0</v>
      </c>
      <c r="U3217" s="77">
        <v>0</v>
      </c>
      <c r="V3217" s="77">
        <v>737</v>
      </c>
      <c r="W3217" s="82" t="s">
        <v>4833</v>
      </c>
      <c r="X3217" s="80" t="str">
        <f>HYPERLINK("https://mla.bs/b1ac7c25")</f>
        <v>https://mla.bs/b1ac7c25</v>
      </c>
      <c r="Y3217" s="77" t="s">
        <v>6506</v>
      </c>
      <c r="Z3217" s="77"/>
      <c r="AA3217" s="77"/>
      <c r="AB3217" s="77"/>
      <c r="AC3217" s="82" t="s">
        <v>7754</v>
      </c>
      <c r="AD3217" s="77" t="s">
        <v>7788</v>
      </c>
      <c r="AE3217" s="80" t="str">
        <f>HYPERLINK("https://twitter.com/einvestidor/status/1686897168333111298")</f>
        <v>https://twitter.com/einvestidor/status/1686897168333111298</v>
      </c>
      <c r="AF3217" s="79">
        <v>45141.020833333336</v>
      </c>
      <c r="AG3217" s="85">
        <v>45141</v>
      </c>
      <c r="AH3217" s="82" t="s">
        <v>8088</v>
      </c>
      <c r="AI3217" s="77" t="b">
        <v>0</v>
      </c>
      <c r="AJ3217" s="77"/>
      <c r="AK3217" s="77"/>
      <c r="AL3217" s="77"/>
      <c r="AM3217" s="77"/>
      <c r="AN3217" s="77"/>
      <c r="AO3217" s="77"/>
      <c r="AP3217" s="77"/>
      <c r="AQ3217" s="77"/>
      <c r="AR3217" s="77"/>
      <c r="AS3217" s="77"/>
      <c r="AT3217" s="77"/>
      <c r="AU3217" s="77"/>
      <c r="AV3217" s="80" t="str">
        <f>HYPERLINK("https://pbs.twimg.com/profile_images/1241147984924082183/gZgx_hL-_normal.jpg")</f>
        <v>https://pbs.twimg.com/profile_images/1241147984924082183/gZgx_hL-_normal.jpg</v>
      </c>
      <c r="AW3217" s="82" t="s">
        <v>14813</v>
      </c>
      <c r="AX3217" s="82" t="s">
        <v>14813</v>
      </c>
      <c r="AY3217" s="77"/>
      <c r="AZ3217" s="82" t="s">
        <v>15984</v>
      </c>
      <c r="BA3217" s="82" t="s">
        <v>15984</v>
      </c>
      <c r="BB3217" s="82" t="s">
        <v>15984</v>
      </c>
      <c r="BC3217" s="82" t="s">
        <v>14813</v>
      </c>
      <c r="BD3217" s="82" t="s">
        <v>15979</v>
      </c>
      <c r="BE3217" s="77"/>
      <c r="BF3217" s="77"/>
      <c r="BG3217" s="77"/>
      <c r="BH3217" s="77"/>
      <c r="BI3217" s="77"/>
    </row>
    <row r="3218" spans="1:61" x14ac:dyDescent="0.25">
      <c r="A3218" s="62" t="s">
        <v>387</v>
      </c>
      <c r="B3218" s="62" t="s">
        <v>387</v>
      </c>
      <c r="C3218" s="63"/>
      <c r="D3218" s="64"/>
      <c r="E3218" s="65"/>
      <c r="F3218" s="66"/>
      <c r="G3218" s="63"/>
      <c r="H3218" s="67"/>
      <c r="I3218" s="68"/>
      <c r="J3218" s="68"/>
      <c r="K3218" s="32"/>
      <c r="L3218" s="75">
        <v>3218</v>
      </c>
      <c r="M3218" s="75"/>
      <c r="N3218" s="70"/>
      <c r="O3218" s="77" t="s">
        <v>179</v>
      </c>
      <c r="P3218" s="79">
        <v>45141.010416666664</v>
      </c>
      <c r="Q3218" s="77" t="s">
        <v>3890</v>
      </c>
      <c r="R3218" s="77">
        <v>1</v>
      </c>
      <c r="S3218" s="77">
        <v>2</v>
      </c>
      <c r="T3218" s="77">
        <v>0</v>
      </c>
      <c r="U3218" s="77">
        <v>0</v>
      </c>
      <c r="V3218" s="77">
        <v>721</v>
      </c>
      <c r="W3218" s="82" t="s">
        <v>4833</v>
      </c>
      <c r="X3218" s="80" t="str">
        <f>HYPERLINK("https://mla.bs/daec5f4f")</f>
        <v>https://mla.bs/daec5f4f</v>
      </c>
      <c r="Y3218" s="77" t="s">
        <v>6506</v>
      </c>
      <c r="Z3218" s="77"/>
      <c r="AA3218" s="77"/>
      <c r="AB3218" s="77"/>
      <c r="AC3218" s="82" t="s">
        <v>7754</v>
      </c>
      <c r="AD3218" s="77" t="s">
        <v>7788</v>
      </c>
      <c r="AE3218" s="80" t="str">
        <f>HYPERLINK("https://twitter.com/einvestidor/status/1686893391554977792")</f>
        <v>https://twitter.com/einvestidor/status/1686893391554977792</v>
      </c>
      <c r="AF3218" s="79">
        <v>45141.010416666664</v>
      </c>
      <c r="AG3218" s="85">
        <v>45141</v>
      </c>
      <c r="AH3218" s="82" t="s">
        <v>8119</v>
      </c>
      <c r="AI3218" s="77" t="b">
        <v>0</v>
      </c>
      <c r="AJ3218" s="77"/>
      <c r="AK3218" s="77"/>
      <c r="AL3218" s="77"/>
      <c r="AM3218" s="77"/>
      <c r="AN3218" s="77"/>
      <c r="AO3218" s="77"/>
      <c r="AP3218" s="77"/>
      <c r="AQ3218" s="77"/>
      <c r="AR3218" s="77"/>
      <c r="AS3218" s="77"/>
      <c r="AT3218" s="77"/>
      <c r="AU3218" s="77"/>
      <c r="AV3218" s="80" t="str">
        <f>HYPERLINK("https://pbs.twimg.com/profile_images/1241147984924082183/gZgx_hL-_normal.jpg")</f>
        <v>https://pbs.twimg.com/profile_images/1241147984924082183/gZgx_hL-_normal.jpg</v>
      </c>
      <c r="AW3218" s="82" t="s">
        <v>14814</v>
      </c>
      <c r="AX3218" s="82" t="s">
        <v>14814</v>
      </c>
      <c r="AY3218" s="77"/>
      <c r="AZ3218" s="82" t="s">
        <v>15984</v>
      </c>
      <c r="BA3218" s="82" t="s">
        <v>15984</v>
      </c>
      <c r="BB3218" s="82" t="s">
        <v>15984</v>
      </c>
      <c r="BC3218" s="82" t="s">
        <v>14814</v>
      </c>
      <c r="BD3218" s="82" t="s">
        <v>15979</v>
      </c>
      <c r="BE3218" s="77"/>
      <c r="BF3218" s="77"/>
      <c r="BG3218" s="77"/>
      <c r="BH3218" s="77"/>
      <c r="BI3218" s="77"/>
    </row>
    <row r="3219" spans="1:61" x14ac:dyDescent="0.25">
      <c r="A3219" s="62" t="s">
        <v>387</v>
      </c>
      <c r="B3219" s="62" t="s">
        <v>387</v>
      </c>
      <c r="C3219" s="63"/>
      <c r="D3219" s="64"/>
      <c r="E3219" s="65"/>
      <c r="F3219" s="66"/>
      <c r="G3219" s="63"/>
      <c r="H3219" s="67"/>
      <c r="I3219" s="68"/>
      <c r="J3219" s="68"/>
      <c r="K3219" s="32"/>
      <c r="L3219" s="75">
        <v>3219</v>
      </c>
      <c r="M3219" s="75"/>
      <c r="N3219" s="70"/>
      <c r="O3219" s="77" t="s">
        <v>179</v>
      </c>
      <c r="P3219" s="79">
        <v>45141</v>
      </c>
      <c r="Q3219" s="77" t="s">
        <v>3891</v>
      </c>
      <c r="R3219" s="77">
        <v>0</v>
      </c>
      <c r="S3219" s="77">
        <v>2</v>
      </c>
      <c r="T3219" s="77">
        <v>0</v>
      </c>
      <c r="U3219" s="77">
        <v>0</v>
      </c>
      <c r="V3219" s="77">
        <v>739</v>
      </c>
      <c r="W3219" s="82" t="s">
        <v>4833</v>
      </c>
      <c r="X3219" s="80" t="str">
        <f>HYPERLINK("https://mla.bs/dedc7f13")</f>
        <v>https://mla.bs/dedc7f13</v>
      </c>
      <c r="Y3219" s="77" t="s">
        <v>6506</v>
      </c>
      <c r="Z3219" s="77"/>
      <c r="AA3219" s="77"/>
      <c r="AB3219" s="77"/>
      <c r="AC3219" s="82" t="s">
        <v>7754</v>
      </c>
      <c r="AD3219" s="77" t="s">
        <v>7788</v>
      </c>
      <c r="AE3219" s="80" t="str">
        <f>HYPERLINK("https://twitter.com/einvestidor/status/1686889618229395460")</f>
        <v>https://twitter.com/einvestidor/status/1686889618229395460</v>
      </c>
      <c r="AF3219" s="79">
        <v>45141</v>
      </c>
      <c r="AG3219" s="85">
        <v>45141</v>
      </c>
      <c r="AH3219" s="82" t="s">
        <v>9300</v>
      </c>
      <c r="AI3219" s="77" t="b">
        <v>0</v>
      </c>
      <c r="AJ3219" s="77"/>
      <c r="AK3219" s="77"/>
      <c r="AL3219" s="77"/>
      <c r="AM3219" s="77"/>
      <c r="AN3219" s="77"/>
      <c r="AO3219" s="77"/>
      <c r="AP3219" s="77"/>
      <c r="AQ3219" s="77"/>
      <c r="AR3219" s="77"/>
      <c r="AS3219" s="77"/>
      <c r="AT3219" s="77"/>
      <c r="AU3219" s="77"/>
      <c r="AV3219" s="80" t="str">
        <f>HYPERLINK("https://pbs.twimg.com/profile_images/1241147984924082183/gZgx_hL-_normal.jpg")</f>
        <v>https://pbs.twimg.com/profile_images/1241147984924082183/gZgx_hL-_normal.jpg</v>
      </c>
      <c r="AW3219" s="82" t="s">
        <v>14815</v>
      </c>
      <c r="AX3219" s="82" t="s">
        <v>14815</v>
      </c>
      <c r="AY3219" s="77"/>
      <c r="AZ3219" s="82" t="s">
        <v>15984</v>
      </c>
      <c r="BA3219" s="82" t="s">
        <v>15984</v>
      </c>
      <c r="BB3219" s="82" t="s">
        <v>15984</v>
      </c>
      <c r="BC3219" s="82" t="s">
        <v>14815</v>
      </c>
      <c r="BD3219" s="82" t="s">
        <v>15979</v>
      </c>
      <c r="BE3219" s="77"/>
      <c r="BF3219" s="77"/>
      <c r="BG3219" s="77"/>
      <c r="BH3219" s="77"/>
      <c r="BI3219" s="77"/>
    </row>
    <row r="3220" spans="1:61" x14ac:dyDescent="0.25">
      <c r="A3220" s="62" t="s">
        <v>387</v>
      </c>
      <c r="B3220" s="62" t="s">
        <v>387</v>
      </c>
      <c r="C3220" s="63"/>
      <c r="D3220" s="64"/>
      <c r="E3220" s="65"/>
      <c r="F3220" s="66"/>
      <c r="G3220" s="63"/>
      <c r="H3220" s="67"/>
      <c r="I3220" s="68"/>
      <c r="J3220" s="68"/>
      <c r="K3220" s="32"/>
      <c r="L3220" s="75">
        <v>3220</v>
      </c>
      <c r="M3220" s="75"/>
      <c r="N3220" s="70"/>
      <c r="O3220" s="77" t="s">
        <v>179</v>
      </c>
      <c r="P3220" s="79">
        <v>45140.989583333336</v>
      </c>
      <c r="Q3220" s="77" t="s">
        <v>3892</v>
      </c>
      <c r="R3220" s="77">
        <v>0</v>
      </c>
      <c r="S3220" s="77">
        <v>6</v>
      </c>
      <c r="T3220" s="77">
        <v>0</v>
      </c>
      <c r="U3220" s="77">
        <v>0</v>
      </c>
      <c r="V3220" s="77">
        <v>945</v>
      </c>
      <c r="W3220" s="82" t="s">
        <v>4833</v>
      </c>
      <c r="X3220" s="80" t="str">
        <f>HYPERLINK("https://mla.bs/8e85c838")</f>
        <v>https://mla.bs/8e85c838</v>
      </c>
      <c r="Y3220" s="77" t="s">
        <v>6506</v>
      </c>
      <c r="Z3220" s="77"/>
      <c r="AA3220" s="77"/>
      <c r="AB3220" s="77"/>
      <c r="AC3220" s="82" t="s">
        <v>7754</v>
      </c>
      <c r="AD3220" s="77" t="s">
        <v>7788</v>
      </c>
      <c r="AE3220" s="80" t="str">
        <f>HYPERLINK("https://twitter.com/einvestidor/status/1686885841820426241")</f>
        <v>https://twitter.com/einvestidor/status/1686885841820426241</v>
      </c>
      <c r="AF3220" s="79">
        <v>45140.989583333336</v>
      </c>
      <c r="AG3220" s="85">
        <v>45140</v>
      </c>
      <c r="AH3220" s="82" t="s">
        <v>9620</v>
      </c>
      <c r="AI3220" s="77" t="b">
        <v>0</v>
      </c>
      <c r="AJ3220" s="77"/>
      <c r="AK3220" s="77"/>
      <c r="AL3220" s="77"/>
      <c r="AM3220" s="77"/>
      <c r="AN3220" s="77"/>
      <c r="AO3220" s="77"/>
      <c r="AP3220" s="77"/>
      <c r="AQ3220" s="77"/>
      <c r="AR3220" s="77"/>
      <c r="AS3220" s="77"/>
      <c r="AT3220" s="77"/>
      <c r="AU3220" s="77"/>
      <c r="AV3220" s="80" t="str">
        <f>HYPERLINK("https://pbs.twimg.com/profile_images/1241147984924082183/gZgx_hL-_normal.jpg")</f>
        <v>https://pbs.twimg.com/profile_images/1241147984924082183/gZgx_hL-_normal.jpg</v>
      </c>
      <c r="AW3220" s="82" t="s">
        <v>14816</v>
      </c>
      <c r="AX3220" s="82" t="s">
        <v>14816</v>
      </c>
      <c r="AY3220" s="77"/>
      <c r="AZ3220" s="82" t="s">
        <v>15984</v>
      </c>
      <c r="BA3220" s="82" t="s">
        <v>15984</v>
      </c>
      <c r="BB3220" s="82" t="s">
        <v>15984</v>
      </c>
      <c r="BC3220" s="82" t="s">
        <v>14816</v>
      </c>
      <c r="BD3220" s="82" t="s">
        <v>15979</v>
      </c>
      <c r="BE3220" s="77"/>
      <c r="BF3220" s="77"/>
      <c r="BG3220" s="77"/>
      <c r="BH3220" s="77"/>
      <c r="BI3220" s="77"/>
    </row>
    <row r="3221" spans="1:61" x14ac:dyDescent="0.25">
      <c r="A3221" s="62" t="s">
        <v>387</v>
      </c>
      <c r="B3221" s="62" t="s">
        <v>387</v>
      </c>
      <c r="C3221" s="63"/>
      <c r="D3221" s="64"/>
      <c r="E3221" s="65"/>
      <c r="F3221" s="66"/>
      <c r="G3221" s="63"/>
      <c r="H3221" s="67"/>
      <c r="I3221" s="68"/>
      <c r="J3221" s="68"/>
      <c r="K3221" s="32"/>
      <c r="L3221" s="75">
        <v>3221</v>
      </c>
      <c r="M3221" s="75"/>
      <c r="N3221" s="70"/>
      <c r="O3221" s="77" t="s">
        <v>179</v>
      </c>
      <c r="P3221" s="79">
        <v>45140.979166666664</v>
      </c>
      <c r="Q3221" s="77" t="s">
        <v>3893</v>
      </c>
      <c r="R3221" s="77">
        <v>0</v>
      </c>
      <c r="S3221" s="77">
        <v>2</v>
      </c>
      <c r="T3221" s="77">
        <v>0</v>
      </c>
      <c r="U3221" s="77">
        <v>0</v>
      </c>
      <c r="V3221" s="77">
        <v>635</v>
      </c>
      <c r="W3221" s="82" t="s">
        <v>4833</v>
      </c>
      <c r="X3221" s="80" t="str">
        <f>HYPERLINK("https://mla.bs/2e198198")</f>
        <v>https://mla.bs/2e198198</v>
      </c>
      <c r="Y3221" s="77" t="s">
        <v>6506</v>
      </c>
      <c r="Z3221" s="77"/>
      <c r="AA3221" s="77"/>
      <c r="AB3221" s="77"/>
      <c r="AC3221" s="82" t="s">
        <v>7754</v>
      </c>
      <c r="AD3221" s="77" t="s">
        <v>7788</v>
      </c>
      <c r="AE3221" s="80" t="str">
        <f>HYPERLINK("https://twitter.com/einvestidor/status/1686882067961778179")</f>
        <v>https://twitter.com/einvestidor/status/1686882067961778179</v>
      </c>
      <c r="AF3221" s="79">
        <v>45140.979166666664</v>
      </c>
      <c r="AG3221" s="85">
        <v>45140</v>
      </c>
      <c r="AH3221" s="82" t="s">
        <v>7928</v>
      </c>
      <c r="AI3221" s="77" t="b">
        <v>0</v>
      </c>
      <c r="AJ3221" s="77"/>
      <c r="AK3221" s="77"/>
      <c r="AL3221" s="77"/>
      <c r="AM3221" s="77"/>
      <c r="AN3221" s="77"/>
      <c r="AO3221" s="77"/>
      <c r="AP3221" s="77"/>
      <c r="AQ3221" s="77"/>
      <c r="AR3221" s="77"/>
      <c r="AS3221" s="77"/>
      <c r="AT3221" s="77"/>
      <c r="AU3221" s="77"/>
      <c r="AV3221" s="80" t="str">
        <f>HYPERLINK("https://pbs.twimg.com/profile_images/1241147984924082183/gZgx_hL-_normal.jpg")</f>
        <v>https://pbs.twimg.com/profile_images/1241147984924082183/gZgx_hL-_normal.jpg</v>
      </c>
      <c r="AW3221" s="82" t="s">
        <v>14817</v>
      </c>
      <c r="AX3221" s="82" t="s">
        <v>14817</v>
      </c>
      <c r="AY3221" s="77"/>
      <c r="AZ3221" s="82" t="s">
        <v>15984</v>
      </c>
      <c r="BA3221" s="82" t="s">
        <v>15984</v>
      </c>
      <c r="BB3221" s="82" t="s">
        <v>15984</v>
      </c>
      <c r="BC3221" s="82" t="s">
        <v>14817</v>
      </c>
      <c r="BD3221" s="82" t="s">
        <v>15979</v>
      </c>
      <c r="BE3221" s="77"/>
      <c r="BF3221" s="77"/>
      <c r="BG3221" s="77"/>
      <c r="BH3221" s="77"/>
      <c r="BI3221" s="77"/>
    </row>
    <row r="3222" spans="1:61" x14ac:dyDescent="0.25">
      <c r="A3222" s="62" t="s">
        <v>387</v>
      </c>
      <c r="B3222" s="62" t="s">
        <v>387</v>
      </c>
      <c r="C3222" s="63"/>
      <c r="D3222" s="64"/>
      <c r="E3222" s="65"/>
      <c r="F3222" s="66"/>
      <c r="G3222" s="63"/>
      <c r="H3222" s="67"/>
      <c r="I3222" s="68"/>
      <c r="J3222" s="68"/>
      <c r="K3222" s="32"/>
      <c r="L3222" s="75">
        <v>3222</v>
      </c>
      <c r="M3222" s="75"/>
      <c r="N3222" s="70"/>
      <c r="O3222" s="77" t="s">
        <v>179</v>
      </c>
      <c r="P3222" s="79">
        <v>45140.96875</v>
      </c>
      <c r="Q3222" s="77" t="s">
        <v>3894</v>
      </c>
      <c r="R3222" s="77">
        <v>0</v>
      </c>
      <c r="S3222" s="77">
        <v>1</v>
      </c>
      <c r="T3222" s="77">
        <v>0</v>
      </c>
      <c r="U3222" s="77">
        <v>0</v>
      </c>
      <c r="V3222" s="77">
        <v>582</v>
      </c>
      <c r="W3222" s="82" t="s">
        <v>5902</v>
      </c>
      <c r="X3222" s="80" t="str">
        <f>HYPERLINK("https://mla.bs/8adebd05")</f>
        <v>https://mla.bs/8adebd05</v>
      </c>
      <c r="Y3222" s="77" t="s">
        <v>6506</v>
      </c>
      <c r="Z3222" s="77"/>
      <c r="AA3222" s="77"/>
      <c r="AB3222" s="77"/>
      <c r="AC3222" s="82" t="s">
        <v>7754</v>
      </c>
      <c r="AD3222" s="77" t="s">
        <v>7788</v>
      </c>
      <c r="AE3222" s="80" t="str">
        <f>HYPERLINK("https://twitter.com/einvestidor/status/1686878292194820097")</f>
        <v>https://twitter.com/einvestidor/status/1686878292194820097</v>
      </c>
      <c r="AF3222" s="79">
        <v>45140.96875</v>
      </c>
      <c r="AG3222" s="85">
        <v>45140</v>
      </c>
      <c r="AH3222" s="82" t="s">
        <v>9621</v>
      </c>
      <c r="AI3222" s="77" t="b">
        <v>0</v>
      </c>
      <c r="AJ3222" s="77"/>
      <c r="AK3222" s="77"/>
      <c r="AL3222" s="77"/>
      <c r="AM3222" s="77"/>
      <c r="AN3222" s="77"/>
      <c r="AO3222" s="77"/>
      <c r="AP3222" s="77"/>
      <c r="AQ3222" s="77"/>
      <c r="AR3222" s="77"/>
      <c r="AS3222" s="77"/>
      <c r="AT3222" s="77"/>
      <c r="AU3222" s="77"/>
      <c r="AV3222" s="80" t="str">
        <f>HYPERLINK("https://pbs.twimg.com/profile_images/1241147984924082183/gZgx_hL-_normal.jpg")</f>
        <v>https://pbs.twimg.com/profile_images/1241147984924082183/gZgx_hL-_normal.jpg</v>
      </c>
      <c r="AW3222" s="82" t="s">
        <v>14818</v>
      </c>
      <c r="AX3222" s="82" t="s">
        <v>14818</v>
      </c>
      <c r="AY3222" s="77"/>
      <c r="AZ3222" s="82" t="s">
        <v>15984</v>
      </c>
      <c r="BA3222" s="82" t="s">
        <v>15984</v>
      </c>
      <c r="BB3222" s="82" t="s">
        <v>15984</v>
      </c>
      <c r="BC3222" s="82" t="s">
        <v>14818</v>
      </c>
      <c r="BD3222" s="82" t="s">
        <v>15979</v>
      </c>
      <c r="BE3222" s="77"/>
      <c r="BF3222" s="77"/>
      <c r="BG3222" s="77"/>
      <c r="BH3222" s="77"/>
      <c r="BI3222" s="77"/>
    </row>
    <row r="3223" spans="1:61" x14ac:dyDescent="0.25">
      <c r="A3223" s="62" t="s">
        <v>387</v>
      </c>
      <c r="B3223" s="62" t="s">
        <v>387</v>
      </c>
      <c r="C3223" s="63"/>
      <c r="D3223" s="64"/>
      <c r="E3223" s="65"/>
      <c r="F3223" s="66"/>
      <c r="G3223" s="63"/>
      <c r="H3223" s="67"/>
      <c r="I3223" s="68"/>
      <c r="J3223" s="68"/>
      <c r="K3223" s="32"/>
      <c r="L3223" s="75">
        <v>3223</v>
      </c>
      <c r="M3223" s="75"/>
      <c r="N3223" s="70"/>
      <c r="O3223" s="77" t="s">
        <v>179</v>
      </c>
      <c r="P3223" s="79">
        <v>45140.958333333336</v>
      </c>
      <c r="Q3223" s="77" t="s">
        <v>3895</v>
      </c>
      <c r="R3223" s="77">
        <v>0</v>
      </c>
      <c r="S3223" s="77">
        <v>0</v>
      </c>
      <c r="T3223" s="77">
        <v>0</v>
      </c>
      <c r="U3223" s="77">
        <v>0</v>
      </c>
      <c r="V3223" s="77">
        <v>544</v>
      </c>
      <c r="W3223" s="82" t="s">
        <v>4833</v>
      </c>
      <c r="X3223" s="80" t="str">
        <f>HYPERLINK("https://mla.bs/b71684fb")</f>
        <v>https://mla.bs/b71684fb</v>
      </c>
      <c r="Y3223" s="77" t="s">
        <v>6506</v>
      </c>
      <c r="Z3223" s="77"/>
      <c r="AA3223" s="77"/>
      <c r="AB3223" s="77"/>
      <c r="AC3223" s="82" t="s">
        <v>7754</v>
      </c>
      <c r="AD3223" s="77" t="s">
        <v>7788</v>
      </c>
      <c r="AE3223" s="80" t="str">
        <f>HYPERLINK("https://twitter.com/einvestidor/status/1686874519913299972")</f>
        <v>https://twitter.com/einvestidor/status/1686874519913299972</v>
      </c>
      <c r="AF3223" s="79">
        <v>45140.958333333336</v>
      </c>
      <c r="AG3223" s="85">
        <v>45140</v>
      </c>
      <c r="AH3223" s="82" t="s">
        <v>8279</v>
      </c>
      <c r="AI3223" s="77" t="b">
        <v>0</v>
      </c>
      <c r="AJ3223" s="77"/>
      <c r="AK3223" s="77"/>
      <c r="AL3223" s="77"/>
      <c r="AM3223" s="77"/>
      <c r="AN3223" s="77"/>
      <c r="AO3223" s="77"/>
      <c r="AP3223" s="77"/>
      <c r="AQ3223" s="77"/>
      <c r="AR3223" s="77"/>
      <c r="AS3223" s="77"/>
      <c r="AT3223" s="77"/>
      <c r="AU3223" s="77"/>
      <c r="AV3223" s="80" t="str">
        <f>HYPERLINK("https://pbs.twimg.com/profile_images/1241147984924082183/gZgx_hL-_normal.jpg")</f>
        <v>https://pbs.twimg.com/profile_images/1241147984924082183/gZgx_hL-_normal.jpg</v>
      </c>
      <c r="AW3223" s="82" t="s">
        <v>14819</v>
      </c>
      <c r="AX3223" s="82" t="s">
        <v>14819</v>
      </c>
      <c r="AY3223" s="77"/>
      <c r="AZ3223" s="82" t="s">
        <v>15984</v>
      </c>
      <c r="BA3223" s="82" t="s">
        <v>15984</v>
      </c>
      <c r="BB3223" s="82" t="s">
        <v>15984</v>
      </c>
      <c r="BC3223" s="82" t="s">
        <v>14819</v>
      </c>
      <c r="BD3223" s="82" t="s">
        <v>15979</v>
      </c>
      <c r="BE3223" s="77"/>
      <c r="BF3223" s="77"/>
      <c r="BG3223" s="77"/>
      <c r="BH3223" s="77"/>
      <c r="BI3223" s="77"/>
    </row>
    <row r="3224" spans="1:61" x14ac:dyDescent="0.25">
      <c r="A3224" s="62" t="s">
        <v>387</v>
      </c>
      <c r="B3224" s="62" t="s">
        <v>387</v>
      </c>
      <c r="C3224" s="63"/>
      <c r="D3224" s="64"/>
      <c r="E3224" s="65"/>
      <c r="F3224" s="66"/>
      <c r="G3224" s="63"/>
      <c r="H3224" s="67"/>
      <c r="I3224" s="68"/>
      <c r="J3224" s="68"/>
      <c r="K3224" s="32"/>
      <c r="L3224" s="75">
        <v>3224</v>
      </c>
      <c r="M3224" s="75"/>
      <c r="N3224" s="70"/>
      <c r="O3224" s="77" t="s">
        <v>179</v>
      </c>
      <c r="P3224" s="79">
        <v>45140.947916666664</v>
      </c>
      <c r="Q3224" s="77" t="s">
        <v>3896</v>
      </c>
      <c r="R3224" s="77">
        <v>0</v>
      </c>
      <c r="S3224" s="77">
        <v>2</v>
      </c>
      <c r="T3224" s="77">
        <v>0</v>
      </c>
      <c r="U3224" s="77">
        <v>0</v>
      </c>
      <c r="V3224" s="77">
        <v>566</v>
      </c>
      <c r="W3224" s="82" t="s">
        <v>4833</v>
      </c>
      <c r="X3224" s="80" t="str">
        <f>HYPERLINK("https://mla.bs/018a29e8")</f>
        <v>https://mla.bs/018a29e8</v>
      </c>
      <c r="Y3224" s="77" t="s">
        <v>6506</v>
      </c>
      <c r="Z3224" s="77"/>
      <c r="AA3224" s="77"/>
      <c r="AB3224" s="77"/>
      <c r="AC3224" s="82" t="s">
        <v>7754</v>
      </c>
      <c r="AD3224" s="77" t="s">
        <v>7788</v>
      </c>
      <c r="AE3224" s="80" t="str">
        <f>HYPERLINK("https://twitter.com/einvestidor/status/1686870742330474500")</f>
        <v>https://twitter.com/einvestidor/status/1686870742330474500</v>
      </c>
      <c r="AF3224" s="79">
        <v>45140.947916666664</v>
      </c>
      <c r="AG3224" s="85">
        <v>45140</v>
      </c>
      <c r="AH3224" s="82" t="s">
        <v>9595</v>
      </c>
      <c r="AI3224" s="77" t="b">
        <v>0</v>
      </c>
      <c r="AJ3224" s="77"/>
      <c r="AK3224" s="77"/>
      <c r="AL3224" s="77"/>
      <c r="AM3224" s="77"/>
      <c r="AN3224" s="77"/>
      <c r="AO3224" s="77"/>
      <c r="AP3224" s="77"/>
      <c r="AQ3224" s="77"/>
      <c r="AR3224" s="77"/>
      <c r="AS3224" s="77"/>
      <c r="AT3224" s="77"/>
      <c r="AU3224" s="77"/>
      <c r="AV3224" s="80" t="str">
        <f>HYPERLINK("https://pbs.twimg.com/profile_images/1241147984924082183/gZgx_hL-_normal.jpg")</f>
        <v>https://pbs.twimg.com/profile_images/1241147984924082183/gZgx_hL-_normal.jpg</v>
      </c>
      <c r="AW3224" s="82" t="s">
        <v>14820</v>
      </c>
      <c r="AX3224" s="82" t="s">
        <v>14820</v>
      </c>
      <c r="AY3224" s="77"/>
      <c r="AZ3224" s="82" t="s">
        <v>15984</v>
      </c>
      <c r="BA3224" s="82" t="s">
        <v>15984</v>
      </c>
      <c r="BB3224" s="82" t="s">
        <v>15984</v>
      </c>
      <c r="BC3224" s="82" t="s">
        <v>14820</v>
      </c>
      <c r="BD3224" s="82" t="s">
        <v>15979</v>
      </c>
      <c r="BE3224" s="77"/>
      <c r="BF3224" s="77"/>
      <c r="BG3224" s="77"/>
      <c r="BH3224" s="77"/>
      <c r="BI3224" s="77"/>
    </row>
    <row r="3225" spans="1:61" x14ac:dyDescent="0.25">
      <c r="A3225" s="62" t="s">
        <v>387</v>
      </c>
      <c r="B3225" s="62" t="s">
        <v>387</v>
      </c>
      <c r="C3225" s="63"/>
      <c r="D3225" s="64"/>
      <c r="E3225" s="65"/>
      <c r="F3225" s="66"/>
      <c r="G3225" s="63"/>
      <c r="H3225" s="67"/>
      <c r="I3225" s="68"/>
      <c r="J3225" s="68"/>
      <c r="K3225" s="32"/>
      <c r="L3225" s="75">
        <v>3225</v>
      </c>
      <c r="M3225" s="75"/>
      <c r="N3225" s="70"/>
      <c r="O3225" s="77" t="s">
        <v>179</v>
      </c>
      <c r="P3225" s="79">
        <v>45140.9375</v>
      </c>
      <c r="Q3225" s="77" t="s">
        <v>3897</v>
      </c>
      <c r="R3225" s="77">
        <v>0</v>
      </c>
      <c r="S3225" s="77">
        <v>1</v>
      </c>
      <c r="T3225" s="77">
        <v>0</v>
      </c>
      <c r="U3225" s="77">
        <v>0</v>
      </c>
      <c r="V3225" s="77">
        <v>647</v>
      </c>
      <c r="W3225" s="82" t="s">
        <v>4833</v>
      </c>
      <c r="X3225" s="77"/>
      <c r="Y3225" s="77"/>
      <c r="Z3225" s="77"/>
      <c r="AA3225" s="77"/>
      <c r="AB3225" s="77"/>
      <c r="AC3225" s="82" t="s">
        <v>7754</v>
      </c>
      <c r="AD3225" s="77" t="s">
        <v>7788</v>
      </c>
      <c r="AE3225" s="80" t="str">
        <f>HYPERLINK("https://twitter.com/einvestidor/status/1686866969059012608")</f>
        <v>https://twitter.com/einvestidor/status/1686866969059012608</v>
      </c>
      <c r="AF3225" s="79">
        <v>45140.9375</v>
      </c>
      <c r="AG3225" s="85">
        <v>45140</v>
      </c>
      <c r="AH3225" s="82" t="s">
        <v>7926</v>
      </c>
      <c r="AI3225" s="77"/>
      <c r="AJ3225" s="77"/>
      <c r="AK3225" s="77"/>
      <c r="AL3225" s="77"/>
      <c r="AM3225" s="77"/>
      <c r="AN3225" s="77"/>
      <c r="AO3225" s="77"/>
      <c r="AP3225" s="77"/>
      <c r="AQ3225" s="77"/>
      <c r="AR3225" s="77"/>
      <c r="AS3225" s="77"/>
      <c r="AT3225" s="77"/>
      <c r="AU3225" s="77"/>
      <c r="AV3225" s="80" t="str">
        <f>HYPERLINK("https://pbs.twimg.com/profile_images/1241147984924082183/gZgx_hL-_normal.jpg")</f>
        <v>https://pbs.twimg.com/profile_images/1241147984924082183/gZgx_hL-_normal.jpg</v>
      </c>
      <c r="AW3225" s="82" t="s">
        <v>14821</v>
      </c>
      <c r="AX3225" s="82" t="s">
        <v>14821</v>
      </c>
      <c r="AY3225" s="77"/>
      <c r="AZ3225" s="82" t="s">
        <v>15984</v>
      </c>
      <c r="BA3225" s="82" t="s">
        <v>15984</v>
      </c>
      <c r="BB3225" s="82" t="s">
        <v>15984</v>
      </c>
      <c r="BC3225" s="82" t="s">
        <v>14821</v>
      </c>
      <c r="BD3225" s="82" t="s">
        <v>15979</v>
      </c>
      <c r="BE3225" s="77"/>
      <c r="BF3225" s="77"/>
      <c r="BG3225" s="77"/>
      <c r="BH3225" s="77"/>
      <c r="BI3225" s="77"/>
    </row>
    <row r="3226" spans="1:61" x14ac:dyDescent="0.25">
      <c r="A3226" s="62" t="s">
        <v>387</v>
      </c>
      <c r="B3226" s="62" t="s">
        <v>387</v>
      </c>
      <c r="C3226" s="63"/>
      <c r="D3226" s="64"/>
      <c r="E3226" s="65"/>
      <c r="F3226" s="66"/>
      <c r="G3226" s="63"/>
      <c r="H3226" s="67"/>
      <c r="I3226" s="68"/>
      <c r="J3226" s="68"/>
      <c r="K3226" s="32"/>
      <c r="L3226" s="75">
        <v>3226</v>
      </c>
      <c r="M3226" s="75"/>
      <c r="N3226" s="70"/>
      <c r="O3226" s="77" t="s">
        <v>898</v>
      </c>
      <c r="P3226" s="79">
        <v>45140.936377314814</v>
      </c>
      <c r="Q3226" s="77" t="s">
        <v>3898</v>
      </c>
      <c r="R3226" s="77">
        <v>0</v>
      </c>
      <c r="S3226" s="77">
        <v>0</v>
      </c>
      <c r="T3226" s="77">
        <v>0</v>
      </c>
      <c r="U3226" s="77">
        <v>0</v>
      </c>
      <c r="V3226" s="77">
        <v>448</v>
      </c>
      <c r="W3226" s="82" t="s">
        <v>4833</v>
      </c>
      <c r="X3226" s="80" t="str">
        <f>HYPERLINK("https://mla.bs/b8bddf1a")</f>
        <v>https://mla.bs/b8bddf1a</v>
      </c>
      <c r="Y3226" s="77" t="s">
        <v>6506</v>
      </c>
      <c r="Z3226" s="77"/>
      <c r="AA3226" s="77"/>
      <c r="AB3226" s="77"/>
      <c r="AC3226" s="82" t="s">
        <v>7750</v>
      </c>
      <c r="AD3226" s="77" t="s">
        <v>7788</v>
      </c>
      <c r="AE3226" s="80" t="str">
        <f>HYPERLINK("https://twitter.com/einvestidor/status/1686866560663564288")</f>
        <v>https://twitter.com/einvestidor/status/1686866560663564288</v>
      </c>
      <c r="AF3226" s="79">
        <v>45140.936377314814</v>
      </c>
      <c r="AG3226" s="85">
        <v>45140</v>
      </c>
      <c r="AH3226" s="82" t="s">
        <v>9981</v>
      </c>
      <c r="AI3226" s="77" t="b">
        <v>0</v>
      </c>
      <c r="AJ3226" s="77"/>
      <c r="AK3226" s="77"/>
      <c r="AL3226" s="77"/>
      <c r="AM3226" s="77"/>
      <c r="AN3226" s="77"/>
      <c r="AO3226" s="77"/>
      <c r="AP3226" s="77"/>
      <c r="AQ3226" s="77"/>
      <c r="AR3226" s="77"/>
      <c r="AS3226" s="77"/>
      <c r="AT3226" s="77"/>
      <c r="AU3226" s="77"/>
      <c r="AV3226" s="80" t="str">
        <f>HYPERLINK("https://pbs.twimg.com/profile_images/1241147984924082183/gZgx_hL-_normal.jpg")</f>
        <v>https://pbs.twimg.com/profile_images/1241147984924082183/gZgx_hL-_normal.jpg</v>
      </c>
      <c r="AW3226" s="82" t="s">
        <v>14822</v>
      </c>
      <c r="AX3226" s="82" t="s">
        <v>14824</v>
      </c>
      <c r="AY3226" s="82" t="s">
        <v>15979</v>
      </c>
      <c r="AZ3226" s="82" t="s">
        <v>14823</v>
      </c>
      <c r="BA3226" s="82" t="s">
        <v>15984</v>
      </c>
      <c r="BB3226" s="82" t="s">
        <v>15984</v>
      </c>
      <c r="BC3226" s="82" t="s">
        <v>14823</v>
      </c>
      <c r="BD3226" s="82" t="s">
        <v>15979</v>
      </c>
      <c r="BE3226" s="77"/>
      <c r="BF3226" s="77"/>
      <c r="BG3226" s="77"/>
      <c r="BH3226" s="77"/>
      <c r="BI3226" s="77"/>
    </row>
    <row r="3227" spans="1:61" x14ac:dyDescent="0.25">
      <c r="A3227" s="62" t="s">
        <v>387</v>
      </c>
      <c r="B3227" s="62" t="s">
        <v>387</v>
      </c>
      <c r="C3227" s="63"/>
      <c r="D3227" s="64"/>
      <c r="E3227" s="65"/>
      <c r="F3227" s="66"/>
      <c r="G3227" s="63"/>
      <c r="H3227" s="67"/>
      <c r="I3227" s="68"/>
      <c r="J3227" s="68"/>
      <c r="K3227" s="32"/>
      <c r="L3227" s="75">
        <v>3227</v>
      </c>
      <c r="M3227" s="75"/>
      <c r="N3227" s="70"/>
      <c r="O3227" s="77" t="s">
        <v>898</v>
      </c>
      <c r="P3227" s="79">
        <v>45140.934733796297</v>
      </c>
      <c r="Q3227" s="77" t="s">
        <v>3899</v>
      </c>
      <c r="R3227" s="77">
        <v>0</v>
      </c>
      <c r="S3227" s="77">
        <v>0</v>
      </c>
      <c r="T3227" s="77">
        <v>1</v>
      </c>
      <c r="U3227" s="77">
        <v>0</v>
      </c>
      <c r="V3227" s="77">
        <v>534</v>
      </c>
      <c r="W3227" s="82" t="s">
        <v>4833</v>
      </c>
      <c r="X3227" s="80" t="str">
        <f>HYPERLINK("https://mla.bs/4cd340d5")</f>
        <v>https://mla.bs/4cd340d5</v>
      </c>
      <c r="Y3227" s="77" t="s">
        <v>6506</v>
      </c>
      <c r="Z3227" s="77"/>
      <c r="AA3227" s="77"/>
      <c r="AB3227" s="77"/>
      <c r="AC3227" s="82" t="s">
        <v>7750</v>
      </c>
      <c r="AD3227" s="77" t="s">
        <v>7788</v>
      </c>
      <c r="AE3227" s="80" t="str">
        <f>HYPERLINK("https://twitter.com/einvestidor/status/1686865965198258176")</f>
        <v>https://twitter.com/einvestidor/status/1686865965198258176</v>
      </c>
      <c r="AF3227" s="79">
        <v>45140.934733796297</v>
      </c>
      <c r="AG3227" s="85">
        <v>45140</v>
      </c>
      <c r="AH3227" s="82" t="s">
        <v>9982</v>
      </c>
      <c r="AI3227" s="77" t="b">
        <v>0</v>
      </c>
      <c r="AJ3227" s="77"/>
      <c r="AK3227" s="77"/>
      <c r="AL3227" s="77"/>
      <c r="AM3227" s="77"/>
      <c r="AN3227" s="77"/>
      <c r="AO3227" s="77"/>
      <c r="AP3227" s="77"/>
      <c r="AQ3227" s="77"/>
      <c r="AR3227" s="77"/>
      <c r="AS3227" s="77"/>
      <c r="AT3227" s="77"/>
      <c r="AU3227" s="77"/>
      <c r="AV3227" s="80" t="str">
        <f>HYPERLINK("https://pbs.twimg.com/profile_images/1241147984924082183/gZgx_hL-_normal.jpg")</f>
        <v>https://pbs.twimg.com/profile_images/1241147984924082183/gZgx_hL-_normal.jpg</v>
      </c>
      <c r="AW3227" s="82" t="s">
        <v>14823</v>
      </c>
      <c r="AX3227" s="82" t="s">
        <v>14824</v>
      </c>
      <c r="AY3227" s="82" t="s">
        <v>15979</v>
      </c>
      <c r="AZ3227" s="82" t="s">
        <v>14824</v>
      </c>
      <c r="BA3227" s="82" t="s">
        <v>15984</v>
      </c>
      <c r="BB3227" s="82" t="s">
        <v>15984</v>
      </c>
      <c r="BC3227" s="82" t="s">
        <v>14824</v>
      </c>
      <c r="BD3227" s="82" t="s">
        <v>15979</v>
      </c>
      <c r="BE3227" s="77"/>
      <c r="BF3227" s="77"/>
      <c r="BG3227" s="77"/>
      <c r="BH3227" s="77"/>
      <c r="BI3227" s="77"/>
    </row>
    <row r="3228" spans="1:61" x14ac:dyDescent="0.25">
      <c r="A3228" s="62" t="s">
        <v>387</v>
      </c>
      <c r="B3228" s="62" t="s">
        <v>387</v>
      </c>
      <c r="C3228" s="63"/>
      <c r="D3228" s="64"/>
      <c r="E3228" s="65"/>
      <c r="F3228" s="66"/>
      <c r="G3228" s="63"/>
      <c r="H3228" s="67"/>
      <c r="I3228" s="68"/>
      <c r="J3228" s="68"/>
      <c r="K3228" s="32"/>
      <c r="L3228" s="75">
        <v>3228</v>
      </c>
      <c r="M3228" s="75"/>
      <c r="N3228" s="70"/>
      <c r="O3228" s="77" t="s">
        <v>179</v>
      </c>
      <c r="P3228" s="79">
        <v>45140.929479166669</v>
      </c>
      <c r="Q3228" s="77" t="s">
        <v>3900</v>
      </c>
      <c r="R3228" s="77">
        <v>0</v>
      </c>
      <c r="S3228" s="77">
        <v>7</v>
      </c>
      <c r="T3228" s="77">
        <v>1</v>
      </c>
      <c r="U3228" s="77">
        <v>0</v>
      </c>
      <c r="V3228" s="77">
        <v>957</v>
      </c>
      <c r="W3228" s="82" t="s">
        <v>6250</v>
      </c>
      <c r="X3228" s="80" t="str">
        <f>HYPERLINK("https://mla.bs/00355dd3")</f>
        <v>https://mla.bs/00355dd3</v>
      </c>
      <c r="Y3228" s="77" t="s">
        <v>6506</v>
      </c>
      <c r="Z3228" s="77"/>
      <c r="AA3228" s="77"/>
      <c r="AB3228" s="77"/>
      <c r="AC3228" s="82" t="s">
        <v>7754</v>
      </c>
      <c r="AD3228" s="77" t="s">
        <v>7788</v>
      </c>
      <c r="AE3228" s="80" t="str">
        <f>HYPERLINK("https://twitter.com/einvestidor/status/1686864063073030144")</f>
        <v>https://twitter.com/einvestidor/status/1686864063073030144</v>
      </c>
      <c r="AF3228" s="79">
        <v>45140.929479166669</v>
      </c>
      <c r="AG3228" s="85">
        <v>45140</v>
      </c>
      <c r="AH3228" s="82" t="s">
        <v>9983</v>
      </c>
      <c r="AI3228" s="77" t="b">
        <v>0</v>
      </c>
      <c r="AJ3228" s="77"/>
      <c r="AK3228" s="77"/>
      <c r="AL3228" s="77"/>
      <c r="AM3228" s="77"/>
      <c r="AN3228" s="77"/>
      <c r="AO3228" s="77"/>
      <c r="AP3228" s="77"/>
      <c r="AQ3228" s="77"/>
      <c r="AR3228" s="77"/>
      <c r="AS3228" s="77"/>
      <c r="AT3228" s="77"/>
      <c r="AU3228" s="77"/>
      <c r="AV3228" s="80" t="str">
        <f>HYPERLINK("https://pbs.twimg.com/profile_images/1241147984924082183/gZgx_hL-_normal.jpg")</f>
        <v>https://pbs.twimg.com/profile_images/1241147984924082183/gZgx_hL-_normal.jpg</v>
      </c>
      <c r="AW3228" s="82" t="s">
        <v>14824</v>
      </c>
      <c r="AX3228" s="82" t="s">
        <v>14824</v>
      </c>
      <c r="AY3228" s="77"/>
      <c r="AZ3228" s="82" t="s">
        <v>15984</v>
      </c>
      <c r="BA3228" s="82" t="s">
        <v>15984</v>
      </c>
      <c r="BB3228" s="82" t="s">
        <v>15984</v>
      </c>
      <c r="BC3228" s="82" t="s">
        <v>14824</v>
      </c>
      <c r="BD3228" s="82" t="s">
        <v>15979</v>
      </c>
      <c r="BE3228" s="77"/>
      <c r="BF3228" s="77"/>
      <c r="BG3228" s="77"/>
      <c r="BH3228" s="77"/>
      <c r="BI3228" s="77"/>
    </row>
    <row r="3229" spans="1:61" x14ac:dyDescent="0.25">
      <c r="A3229" s="62" t="s">
        <v>387</v>
      </c>
      <c r="B3229" s="62" t="s">
        <v>387</v>
      </c>
      <c r="C3229" s="63"/>
      <c r="D3229" s="64"/>
      <c r="E3229" s="65"/>
      <c r="F3229" s="66"/>
      <c r="G3229" s="63"/>
      <c r="H3229" s="67"/>
      <c r="I3229" s="68"/>
      <c r="J3229" s="68"/>
      <c r="K3229" s="32"/>
      <c r="L3229" s="75">
        <v>3229</v>
      </c>
      <c r="M3229" s="75"/>
      <c r="N3229" s="70"/>
      <c r="O3229" s="77" t="s">
        <v>179</v>
      </c>
      <c r="P3229" s="79">
        <v>45140.927083333336</v>
      </c>
      <c r="Q3229" s="77" t="s">
        <v>3901</v>
      </c>
      <c r="R3229" s="77">
        <v>0</v>
      </c>
      <c r="S3229" s="77">
        <v>1</v>
      </c>
      <c r="T3229" s="77">
        <v>0</v>
      </c>
      <c r="U3229" s="77">
        <v>0</v>
      </c>
      <c r="V3229" s="77">
        <v>489</v>
      </c>
      <c r="W3229" s="82" t="s">
        <v>4833</v>
      </c>
      <c r="X3229" s="80" t="str">
        <f>HYPERLINK("https://mla.bs/8af86b73")</f>
        <v>https://mla.bs/8af86b73</v>
      </c>
      <c r="Y3229" s="77" t="s">
        <v>6506</v>
      </c>
      <c r="Z3229" s="77"/>
      <c r="AA3229" s="77"/>
      <c r="AB3229" s="77"/>
      <c r="AC3229" s="82" t="s">
        <v>7754</v>
      </c>
      <c r="AD3229" s="77" t="s">
        <v>7788</v>
      </c>
      <c r="AE3229" s="80" t="str">
        <f>HYPERLINK("https://twitter.com/einvestidor/status/1686863192788480000")</f>
        <v>https://twitter.com/einvestidor/status/1686863192788480000</v>
      </c>
      <c r="AF3229" s="79">
        <v>45140.927083333336</v>
      </c>
      <c r="AG3229" s="85">
        <v>45140</v>
      </c>
      <c r="AH3229" s="82" t="s">
        <v>9576</v>
      </c>
      <c r="AI3229" s="77" t="b">
        <v>0</v>
      </c>
      <c r="AJ3229" s="77"/>
      <c r="AK3229" s="77"/>
      <c r="AL3229" s="77"/>
      <c r="AM3229" s="77"/>
      <c r="AN3229" s="77"/>
      <c r="AO3229" s="77"/>
      <c r="AP3229" s="77"/>
      <c r="AQ3229" s="77"/>
      <c r="AR3229" s="77"/>
      <c r="AS3229" s="77"/>
      <c r="AT3229" s="77"/>
      <c r="AU3229" s="77"/>
      <c r="AV3229" s="80" t="str">
        <f>HYPERLINK("https://pbs.twimg.com/profile_images/1241147984924082183/gZgx_hL-_normal.jpg")</f>
        <v>https://pbs.twimg.com/profile_images/1241147984924082183/gZgx_hL-_normal.jpg</v>
      </c>
      <c r="AW3229" s="82" t="s">
        <v>14825</v>
      </c>
      <c r="AX3229" s="82" t="s">
        <v>14825</v>
      </c>
      <c r="AY3229" s="77"/>
      <c r="AZ3229" s="82" t="s">
        <v>15984</v>
      </c>
      <c r="BA3229" s="82" t="s">
        <v>15984</v>
      </c>
      <c r="BB3229" s="82" t="s">
        <v>15984</v>
      </c>
      <c r="BC3229" s="82" t="s">
        <v>14825</v>
      </c>
      <c r="BD3229" s="82" t="s">
        <v>15979</v>
      </c>
      <c r="BE3229" s="77"/>
      <c r="BF3229" s="77"/>
      <c r="BG3229" s="77"/>
      <c r="BH3229" s="77"/>
      <c r="BI3229" s="77"/>
    </row>
    <row r="3230" spans="1:61" x14ac:dyDescent="0.25">
      <c r="A3230" s="62" t="s">
        <v>387</v>
      </c>
      <c r="B3230" s="62" t="s">
        <v>387</v>
      </c>
      <c r="C3230" s="63"/>
      <c r="D3230" s="64"/>
      <c r="E3230" s="65"/>
      <c r="F3230" s="66"/>
      <c r="G3230" s="63"/>
      <c r="H3230" s="67"/>
      <c r="I3230" s="68"/>
      <c r="J3230" s="68"/>
      <c r="K3230" s="32"/>
      <c r="L3230" s="75">
        <v>3230</v>
      </c>
      <c r="M3230" s="75"/>
      <c r="N3230" s="70"/>
      <c r="O3230" s="77" t="s">
        <v>179</v>
      </c>
      <c r="P3230" s="79">
        <v>45140.916678240741</v>
      </c>
      <c r="Q3230" s="77" t="s">
        <v>3902</v>
      </c>
      <c r="R3230" s="77">
        <v>0</v>
      </c>
      <c r="S3230" s="77">
        <v>1</v>
      </c>
      <c r="T3230" s="77">
        <v>0</v>
      </c>
      <c r="U3230" s="77">
        <v>0</v>
      </c>
      <c r="V3230" s="77">
        <v>516</v>
      </c>
      <c r="W3230" s="82" t="s">
        <v>4833</v>
      </c>
      <c r="X3230" s="80" t="str">
        <f>HYPERLINK("https://mla.bs/ba819c11")</f>
        <v>https://mla.bs/ba819c11</v>
      </c>
      <c r="Y3230" s="77" t="s">
        <v>6506</v>
      </c>
      <c r="Z3230" s="77"/>
      <c r="AA3230" s="77"/>
      <c r="AB3230" s="77"/>
      <c r="AC3230" s="82" t="s">
        <v>7754</v>
      </c>
      <c r="AD3230" s="77" t="s">
        <v>7788</v>
      </c>
      <c r="AE3230" s="80" t="str">
        <f>HYPERLINK("https://twitter.com/einvestidor/status/1686859424466452481")</f>
        <v>https://twitter.com/einvestidor/status/1686859424466452481</v>
      </c>
      <c r="AF3230" s="79">
        <v>45140.916678240741</v>
      </c>
      <c r="AG3230" s="85">
        <v>45140</v>
      </c>
      <c r="AH3230" s="82" t="s">
        <v>8052</v>
      </c>
      <c r="AI3230" s="77" t="b">
        <v>0</v>
      </c>
      <c r="AJ3230" s="77"/>
      <c r="AK3230" s="77"/>
      <c r="AL3230" s="77"/>
      <c r="AM3230" s="77"/>
      <c r="AN3230" s="77"/>
      <c r="AO3230" s="77"/>
      <c r="AP3230" s="77"/>
      <c r="AQ3230" s="77"/>
      <c r="AR3230" s="77"/>
      <c r="AS3230" s="77"/>
      <c r="AT3230" s="77"/>
      <c r="AU3230" s="77"/>
      <c r="AV3230" s="80" t="str">
        <f>HYPERLINK("https://pbs.twimg.com/profile_images/1241147984924082183/gZgx_hL-_normal.jpg")</f>
        <v>https://pbs.twimg.com/profile_images/1241147984924082183/gZgx_hL-_normal.jpg</v>
      </c>
      <c r="AW3230" s="82" t="s">
        <v>14826</v>
      </c>
      <c r="AX3230" s="82" t="s">
        <v>14826</v>
      </c>
      <c r="AY3230" s="77"/>
      <c r="AZ3230" s="82" t="s">
        <v>15984</v>
      </c>
      <c r="BA3230" s="82" t="s">
        <v>15984</v>
      </c>
      <c r="BB3230" s="82" t="s">
        <v>15984</v>
      </c>
      <c r="BC3230" s="82" t="s">
        <v>14826</v>
      </c>
      <c r="BD3230" s="82" t="s">
        <v>15979</v>
      </c>
      <c r="BE3230" s="77"/>
      <c r="BF3230" s="77"/>
      <c r="BG3230" s="77"/>
      <c r="BH3230" s="77"/>
      <c r="BI3230" s="77"/>
    </row>
    <row r="3231" spans="1:61" x14ac:dyDescent="0.25">
      <c r="A3231" s="62" t="s">
        <v>387</v>
      </c>
      <c r="B3231" s="62" t="s">
        <v>387</v>
      </c>
      <c r="C3231" s="63"/>
      <c r="D3231" s="64"/>
      <c r="E3231" s="65"/>
      <c r="F3231" s="66"/>
      <c r="G3231" s="63"/>
      <c r="H3231" s="67"/>
      <c r="I3231" s="68"/>
      <c r="J3231" s="68"/>
      <c r="K3231" s="32"/>
      <c r="L3231" s="75">
        <v>3231</v>
      </c>
      <c r="M3231" s="75"/>
      <c r="N3231" s="70"/>
      <c r="O3231" s="77" t="s">
        <v>179</v>
      </c>
      <c r="P3231" s="79">
        <v>45140.90625</v>
      </c>
      <c r="Q3231" s="77" t="s">
        <v>3903</v>
      </c>
      <c r="R3231" s="77">
        <v>0</v>
      </c>
      <c r="S3231" s="77">
        <v>2</v>
      </c>
      <c r="T3231" s="77">
        <v>0</v>
      </c>
      <c r="U3231" s="77">
        <v>0</v>
      </c>
      <c r="V3231" s="77">
        <v>578</v>
      </c>
      <c r="W3231" s="82" t="s">
        <v>6251</v>
      </c>
      <c r="X3231" s="80" t="str">
        <f>HYPERLINK("https://mla.bs/5c812cd2")</f>
        <v>https://mla.bs/5c812cd2</v>
      </c>
      <c r="Y3231" s="77" t="s">
        <v>6506</v>
      </c>
      <c r="Z3231" s="77"/>
      <c r="AA3231" s="77"/>
      <c r="AB3231" s="77"/>
      <c r="AC3231" s="82" t="s">
        <v>7754</v>
      </c>
      <c r="AD3231" s="77" t="s">
        <v>7788</v>
      </c>
      <c r="AE3231" s="80" t="str">
        <f>HYPERLINK("https://twitter.com/einvestidor/status/1686855643494547456")</f>
        <v>https://twitter.com/einvestidor/status/1686855643494547456</v>
      </c>
      <c r="AF3231" s="79">
        <v>45140.90625</v>
      </c>
      <c r="AG3231" s="85">
        <v>45140</v>
      </c>
      <c r="AH3231" s="82" t="s">
        <v>9578</v>
      </c>
      <c r="AI3231" s="77" t="b">
        <v>0</v>
      </c>
      <c r="AJ3231" s="77"/>
      <c r="AK3231" s="77"/>
      <c r="AL3231" s="77"/>
      <c r="AM3231" s="77"/>
      <c r="AN3231" s="77"/>
      <c r="AO3231" s="77"/>
      <c r="AP3231" s="77"/>
      <c r="AQ3231" s="77"/>
      <c r="AR3231" s="77"/>
      <c r="AS3231" s="77"/>
      <c r="AT3231" s="77"/>
      <c r="AU3231" s="77"/>
      <c r="AV3231" s="80" t="str">
        <f>HYPERLINK("https://pbs.twimg.com/profile_images/1241147984924082183/gZgx_hL-_normal.jpg")</f>
        <v>https://pbs.twimg.com/profile_images/1241147984924082183/gZgx_hL-_normal.jpg</v>
      </c>
      <c r="AW3231" s="82" t="s">
        <v>14827</v>
      </c>
      <c r="AX3231" s="82" t="s">
        <v>14827</v>
      </c>
      <c r="AY3231" s="77"/>
      <c r="AZ3231" s="82" t="s">
        <v>15984</v>
      </c>
      <c r="BA3231" s="82" t="s">
        <v>15984</v>
      </c>
      <c r="BB3231" s="82" t="s">
        <v>15984</v>
      </c>
      <c r="BC3231" s="82" t="s">
        <v>14827</v>
      </c>
      <c r="BD3231" s="82" t="s">
        <v>15979</v>
      </c>
      <c r="BE3231" s="77"/>
      <c r="BF3231" s="77"/>
      <c r="BG3231" s="77"/>
      <c r="BH3231" s="77"/>
      <c r="BI3231" s="77"/>
    </row>
    <row r="3232" spans="1:61" x14ac:dyDescent="0.25">
      <c r="A3232" s="62" t="s">
        <v>387</v>
      </c>
      <c r="B3232" s="62" t="s">
        <v>387</v>
      </c>
      <c r="C3232" s="63"/>
      <c r="D3232" s="64"/>
      <c r="E3232" s="65"/>
      <c r="F3232" s="66"/>
      <c r="G3232" s="63"/>
      <c r="H3232" s="67"/>
      <c r="I3232" s="68"/>
      <c r="J3232" s="68"/>
      <c r="K3232" s="32"/>
      <c r="L3232" s="75">
        <v>3232</v>
      </c>
      <c r="M3232" s="75"/>
      <c r="N3232" s="70"/>
      <c r="O3232" s="77" t="s">
        <v>179</v>
      </c>
      <c r="P3232" s="79">
        <v>45140.895833333336</v>
      </c>
      <c r="Q3232" s="77" t="s">
        <v>3904</v>
      </c>
      <c r="R3232" s="77">
        <v>0</v>
      </c>
      <c r="S3232" s="77">
        <v>2</v>
      </c>
      <c r="T3232" s="77">
        <v>0</v>
      </c>
      <c r="U3232" s="77">
        <v>0</v>
      </c>
      <c r="V3232" s="77">
        <v>639</v>
      </c>
      <c r="W3232" s="82" t="s">
        <v>4833</v>
      </c>
      <c r="X3232" s="80" t="str">
        <f>HYPERLINK("https://mla.bs/2066fbbe")</f>
        <v>https://mla.bs/2066fbbe</v>
      </c>
      <c r="Y3232" s="77" t="s">
        <v>6506</v>
      </c>
      <c r="Z3232" s="77"/>
      <c r="AA3232" s="77"/>
      <c r="AB3232" s="77"/>
      <c r="AC3232" s="82" t="s">
        <v>7754</v>
      </c>
      <c r="AD3232" s="77" t="s">
        <v>7788</v>
      </c>
      <c r="AE3232" s="80" t="str">
        <f>HYPERLINK("https://twitter.com/einvestidor/status/1686851868058845188")</f>
        <v>https://twitter.com/einvestidor/status/1686851868058845188</v>
      </c>
      <c r="AF3232" s="79">
        <v>45140.895833333336</v>
      </c>
      <c r="AG3232" s="85">
        <v>45140</v>
      </c>
      <c r="AH3232" s="82" t="s">
        <v>8089</v>
      </c>
      <c r="AI3232" s="77" t="b">
        <v>0</v>
      </c>
      <c r="AJ3232" s="77"/>
      <c r="AK3232" s="77"/>
      <c r="AL3232" s="77"/>
      <c r="AM3232" s="77"/>
      <c r="AN3232" s="77"/>
      <c r="AO3232" s="77"/>
      <c r="AP3232" s="77"/>
      <c r="AQ3232" s="77"/>
      <c r="AR3232" s="77"/>
      <c r="AS3232" s="77"/>
      <c r="AT3232" s="77"/>
      <c r="AU3232" s="77"/>
      <c r="AV3232" s="80" t="str">
        <f>HYPERLINK("https://pbs.twimg.com/profile_images/1241147984924082183/gZgx_hL-_normal.jpg")</f>
        <v>https://pbs.twimg.com/profile_images/1241147984924082183/gZgx_hL-_normal.jpg</v>
      </c>
      <c r="AW3232" s="82" t="s">
        <v>14828</v>
      </c>
      <c r="AX3232" s="82" t="s">
        <v>14828</v>
      </c>
      <c r="AY3232" s="77"/>
      <c r="AZ3232" s="82" t="s">
        <v>15984</v>
      </c>
      <c r="BA3232" s="82" t="s">
        <v>15984</v>
      </c>
      <c r="BB3232" s="82" t="s">
        <v>15984</v>
      </c>
      <c r="BC3232" s="82" t="s">
        <v>14828</v>
      </c>
      <c r="BD3232" s="82" t="s">
        <v>15979</v>
      </c>
      <c r="BE3232" s="77"/>
      <c r="BF3232" s="77"/>
      <c r="BG3232" s="77"/>
      <c r="BH3232" s="77"/>
      <c r="BI3232" s="77"/>
    </row>
    <row r="3233" spans="1:61" x14ac:dyDescent="0.25">
      <c r="A3233" s="62" t="s">
        <v>387</v>
      </c>
      <c r="B3233" s="62" t="s">
        <v>387</v>
      </c>
      <c r="C3233" s="63"/>
      <c r="D3233" s="64"/>
      <c r="E3233" s="65"/>
      <c r="F3233" s="66"/>
      <c r="G3233" s="63"/>
      <c r="H3233" s="67"/>
      <c r="I3233" s="68"/>
      <c r="J3233" s="68"/>
      <c r="K3233" s="32"/>
      <c r="L3233" s="75">
        <v>3233</v>
      </c>
      <c r="M3233" s="75"/>
      <c r="N3233" s="70"/>
      <c r="O3233" s="77" t="s">
        <v>179</v>
      </c>
      <c r="P3233" s="79">
        <v>45140.893912037034</v>
      </c>
      <c r="Q3233" s="77" t="s">
        <v>3905</v>
      </c>
      <c r="R3233" s="77">
        <v>0</v>
      </c>
      <c r="S3233" s="77">
        <v>2</v>
      </c>
      <c r="T3233" s="77">
        <v>0</v>
      </c>
      <c r="U3233" s="77">
        <v>0</v>
      </c>
      <c r="V3233" s="77">
        <v>479</v>
      </c>
      <c r="W3233" s="82" t="s">
        <v>4833</v>
      </c>
      <c r="X3233" s="80" t="str">
        <f>HYPERLINK("https://mla.bs/6c485b5f")</f>
        <v>https://mla.bs/6c485b5f</v>
      </c>
      <c r="Y3233" s="77" t="s">
        <v>6506</v>
      </c>
      <c r="Z3233" s="77"/>
      <c r="AA3233" s="77"/>
      <c r="AB3233" s="77"/>
      <c r="AC3233" s="82" t="s">
        <v>7754</v>
      </c>
      <c r="AD3233" s="77" t="s">
        <v>7788</v>
      </c>
      <c r="AE3233" s="80" t="str">
        <f>HYPERLINK("https://twitter.com/einvestidor/status/1686851174215897088")</f>
        <v>https://twitter.com/einvestidor/status/1686851174215897088</v>
      </c>
      <c r="AF3233" s="79">
        <v>45140.893912037034</v>
      </c>
      <c r="AG3233" s="85">
        <v>45140</v>
      </c>
      <c r="AH3233" s="82" t="s">
        <v>9984</v>
      </c>
      <c r="AI3233" s="77" t="b">
        <v>0</v>
      </c>
      <c r="AJ3233" s="77"/>
      <c r="AK3233" s="77"/>
      <c r="AL3233" s="77"/>
      <c r="AM3233" s="77"/>
      <c r="AN3233" s="77"/>
      <c r="AO3233" s="77"/>
      <c r="AP3233" s="77"/>
      <c r="AQ3233" s="77"/>
      <c r="AR3233" s="77"/>
      <c r="AS3233" s="77"/>
      <c r="AT3233" s="77"/>
      <c r="AU3233" s="77"/>
      <c r="AV3233" s="80" t="str">
        <f>HYPERLINK("https://pbs.twimg.com/profile_images/1241147984924082183/gZgx_hL-_normal.jpg")</f>
        <v>https://pbs.twimg.com/profile_images/1241147984924082183/gZgx_hL-_normal.jpg</v>
      </c>
      <c r="AW3233" s="82" t="s">
        <v>14829</v>
      </c>
      <c r="AX3233" s="82" t="s">
        <v>14829</v>
      </c>
      <c r="AY3233" s="77"/>
      <c r="AZ3233" s="82" t="s">
        <v>15984</v>
      </c>
      <c r="BA3233" s="82" t="s">
        <v>15984</v>
      </c>
      <c r="BB3233" s="82" t="s">
        <v>15984</v>
      </c>
      <c r="BC3233" s="82" t="s">
        <v>14829</v>
      </c>
      <c r="BD3233" s="82" t="s">
        <v>15979</v>
      </c>
      <c r="BE3233" s="77"/>
      <c r="BF3233" s="77"/>
      <c r="BG3233" s="77"/>
      <c r="BH3233" s="77"/>
      <c r="BI3233" s="77"/>
    </row>
    <row r="3234" spans="1:61" x14ac:dyDescent="0.25">
      <c r="A3234" s="62" t="s">
        <v>387</v>
      </c>
      <c r="B3234" s="62" t="s">
        <v>387</v>
      </c>
      <c r="C3234" s="63"/>
      <c r="D3234" s="64"/>
      <c r="E3234" s="65"/>
      <c r="F3234" s="66"/>
      <c r="G3234" s="63"/>
      <c r="H3234" s="67"/>
      <c r="I3234" s="68"/>
      <c r="J3234" s="68"/>
      <c r="K3234" s="32"/>
      <c r="L3234" s="75">
        <v>3234</v>
      </c>
      <c r="M3234" s="75"/>
      <c r="N3234" s="70"/>
      <c r="O3234" s="77" t="s">
        <v>179</v>
      </c>
      <c r="P3234" s="79">
        <v>45140.884687500002</v>
      </c>
      <c r="Q3234" s="77" t="s">
        <v>3906</v>
      </c>
      <c r="R3234" s="77">
        <v>0</v>
      </c>
      <c r="S3234" s="77">
        <v>4</v>
      </c>
      <c r="T3234" s="77">
        <v>0</v>
      </c>
      <c r="U3234" s="77">
        <v>0</v>
      </c>
      <c r="V3234" s="77">
        <v>770</v>
      </c>
      <c r="W3234" s="82" t="s">
        <v>6252</v>
      </c>
      <c r="X3234" s="80" t="str">
        <f>HYPERLINK("https://mla.bs/da5dd1f8")</f>
        <v>https://mla.bs/da5dd1f8</v>
      </c>
      <c r="Y3234" s="77" t="s">
        <v>6506</v>
      </c>
      <c r="Z3234" s="77"/>
      <c r="AA3234" s="77"/>
      <c r="AB3234" s="77"/>
      <c r="AC3234" s="82" t="s">
        <v>7754</v>
      </c>
      <c r="AD3234" s="77" t="s">
        <v>7788</v>
      </c>
      <c r="AE3234" s="80" t="str">
        <f>HYPERLINK("https://twitter.com/einvestidor/status/1686847829342404608")</f>
        <v>https://twitter.com/einvestidor/status/1686847829342404608</v>
      </c>
      <c r="AF3234" s="79">
        <v>45140.884687500002</v>
      </c>
      <c r="AG3234" s="85">
        <v>45140</v>
      </c>
      <c r="AH3234" s="82" t="s">
        <v>9985</v>
      </c>
      <c r="AI3234" s="77" t="b">
        <v>0</v>
      </c>
      <c r="AJ3234" s="77"/>
      <c r="AK3234" s="77"/>
      <c r="AL3234" s="77"/>
      <c r="AM3234" s="77"/>
      <c r="AN3234" s="77"/>
      <c r="AO3234" s="77"/>
      <c r="AP3234" s="77"/>
      <c r="AQ3234" s="77"/>
      <c r="AR3234" s="77"/>
      <c r="AS3234" s="77"/>
      <c r="AT3234" s="77"/>
      <c r="AU3234" s="77"/>
      <c r="AV3234" s="80" t="str">
        <f>HYPERLINK("https://pbs.twimg.com/profile_images/1241147984924082183/gZgx_hL-_normal.jpg")</f>
        <v>https://pbs.twimg.com/profile_images/1241147984924082183/gZgx_hL-_normal.jpg</v>
      </c>
      <c r="AW3234" s="82" t="s">
        <v>14830</v>
      </c>
      <c r="AX3234" s="82" t="s">
        <v>14830</v>
      </c>
      <c r="AY3234" s="77"/>
      <c r="AZ3234" s="82" t="s">
        <v>15984</v>
      </c>
      <c r="BA3234" s="82" t="s">
        <v>15984</v>
      </c>
      <c r="BB3234" s="82" t="s">
        <v>15984</v>
      </c>
      <c r="BC3234" s="82" t="s">
        <v>14830</v>
      </c>
      <c r="BD3234" s="82" t="s">
        <v>15979</v>
      </c>
      <c r="BE3234" s="77"/>
      <c r="BF3234" s="77"/>
      <c r="BG3234" s="77"/>
      <c r="BH3234" s="77"/>
      <c r="BI3234" s="77"/>
    </row>
    <row r="3235" spans="1:61" x14ac:dyDescent="0.25">
      <c r="A3235" s="62" t="s">
        <v>387</v>
      </c>
      <c r="B3235" s="62" t="s">
        <v>387</v>
      </c>
      <c r="C3235" s="63"/>
      <c r="D3235" s="64"/>
      <c r="E3235" s="65"/>
      <c r="F3235" s="66"/>
      <c r="G3235" s="63"/>
      <c r="H3235" s="67"/>
      <c r="I3235" s="68"/>
      <c r="J3235" s="68"/>
      <c r="K3235" s="32"/>
      <c r="L3235" s="75">
        <v>3235</v>
      </c>
      <c r="M3235" s="75"/>
      <c r="N3235" s="70"/>
      <c r="O3235" s="77" t="s">
        <v>179</v>
      </c>
      <c r="P3235" s="79">
        <v>45140.884166666663</v>
      </c>
      <c r="Q3235" s="77" t="s">
        <v>3907</v>
      </c>
      <c r="R3235" s="77">
        <v>0</v>
      </c>
      <c r="S3235" s="77">
        <v>2</v>
      </c>
      <c r="T3235" s="77">
        <v>0</v>
      </c>
      <c r="U3235" s="77">
        <v>0</v>
      </c>
      <c r="V3235" s="77">
        <v>722</v>
      </c>
      <c r="W3235" s="82" t="s">
        <v>6253</v>
      </c>
      <c r="X3235" s="80" t="str">
        <f>HYPERLINK("https://mla.bs/05195a00")</f>
        <v>https://mla.bs/05195a00</v>
      </c>
      <c r="Y3235" s="77" t="s">
        <v>6506</v>
      </c>
      <c r="Z3235" s="77"/>
      <c r="AA3235" s="77"/>
      <c r="AB3235" s="77"/>
      <c r="AC3235" s="82" t="s">
        <v>7754</v>
      </c>
      <c r="AD3235" s="77" t="s">
        <v>7788</v>
      </c>
      <c r="AE3235" s="80" t="str">
        <f>HYPERLINK("https://twitter.com/einvestidor/status/1686847641974394880")</f>
        <v>https://twitter.com/einvestidor/status/1686847641974394880</v>
      </c>
      <c r="AF3235" s="79">
        <v>45140.884166666663</v>
      </c>
      <c r="AG3235" s="85">
        <v>45140</v>
      </c>
      <c r="AH3235" s="82" t="s">
        <v>9986</v>
      </c>
      <c r="AI3235" s="77" t="b">
        <v>0</v>
      </c>
      <c r="AJ3235" s="77"/>
      <c r="AK3235" s="77"/>
      <c r="AL3235" s="77"/>
      <c r="AM3235" s="77"/>
      <c r="AN3235" s="77"/>
      <c r="AO3235" s="77"/>
      <c r="AP3235" s="77"/>
      <c r="AQ3235" s="77"/>
      <c r="AR3235" s="77"/>
      <c r="AS3235" s="77"/>
      <c r="AT3235" s="77"/>
      <c r="AU3235" s="77"/>
      <c r="AV3235" s="80" t="str">
        <f>HYPERLINK("https://pbs.twimg.com/profile_images/1241147984924082183/gZgx_hL-_normal.jpg")</f>
        <v>https://pbs.twimg.com/profile_images/1241147984924082183/gZgx_hL-_normal.jpg</v>
      </c>
      <c r="AW3235" s="82" t="s">
        <v>14831</v>
      </c>
      <c r="AX3235" s="82" t="s">
        <v>14831</v>
      </c>
      <c r="AY3235" s="77"/>
      <c r="AZ3235" s="82" t="s">
        <v>15984</v>
      </c>
      <c r="BA3235" s="82" t="s">
        <v>15984</v>
      </c>
      <c r="BB3235" s="82" t="s">
        <v>15984</v>
      </c>
      <c r="BC3235" s="82" t="s">
        <v>14831</v>
      </c>
      <c r="BD3235" s="82" t="s">
        <v>15979</v>
      </c>
      <c r="BE3235" s="77"/>
      <c r="BF3235" s="77"/>
      <c r="BG3235" s="77"/>
      <c r="BH3235" s="77"/>
      <c r="BI3235" s="77"/>
    </row>
    <row r="3236" spans="1:61" x14ac:dyDescent="0.25">
      <c r="A3236" s="62" t="s">
        <v>387</v>
      </c>
      <c r="B3236" s="62" t="s">
        <v>387</v>
      </c>
      <c r="C3236" s="63"/>
      <c r="D3236" s="64"/>
      <c r="E3236" s="65"/>
      <c r="F3236" s="66"/>
      <c r="G3236" s="63"/>
      <c r="H3236" s="67"/>
      <c r="I3236" s="68"/>
      <c r="J3236" s="68"/>
      <c r="K3236" s="32"/>
      <c r="L3236" s="75">
        <v>3236</v>
      </c>
      <c r="M3236" s="75"/>
      <c r="N3236" s="70"/>
      <c r="O3236" s="77" t="s">
        <v>179</v>
      </c>
      <c r="P3236" s="79">
        <v>45140.875</v>
      </c>
      <c r="Q3236" s="77" t="s">
        <v>3908</v>
      </c>
      <c r="R3236" s="77">
        <v>0</v>
      </c>
      <c r="S3236" s="77">
        <v>3</v>
      </c>
      <c r="T3236" s="77">
        <v>0</v>
      </c>
      <c r="U3236" s="77">
        <v>0</v>
      </c>
      <c r="V3236" s="77">
        <v>496</v>
      </c>
      <c r="W3236" s="82" t="s">
        <v>4833</v>
      </c>
      <c r="X3236" s="80" t="str">
        <f>HYPERLINK("https://mla.bs/fcf6e5c8")</f>
        <v>https://mla.bs/fcf6e5c8</v>
      </c>
      <c r="Y3236" s="77" t="s">
        <v>6506</v>
      </c>
      <c r="Z3236" s="77"/>
      <c r="AA3236" s="77"/>
      <c r="AB3236" s="77"/>
      <c r="AC3236" s="82" t="s">
        <v>7754</v>
      </c>
      <c r="AD3236" s="77" t="s">
        <v>7788</v>
      </c>
      <c r="AE3236" s="80" t="str">
        <f>HYPERLINK("https://twitter.com/einvestidor/status/1686844321251852289")</f>
        <v>https://twitter.com/einvestidor/status/1686844321251852289</v>
      </c>
      <c r="AF3236" s="79">
        <v>45140.875</v>
      </c>
      <c r="AG3236" s="85">
        <v>45140</v>
      </c>
      <c r="AH3236" s="82" t="s">
        <v>9647</v>
      </c>
      <c r="AI3236" s="77" t="b">
        <v>0</v>
      </c>
      <c r="AJ3236" s="77"/>
      <c r="AK3236" s="77"/>
      <c r="AL3236" s="77"/>
      <c r="AM3236" s="77"/>
      <c r="AN3236" s="77"/>
      <c r="AO3236" s="77"/>
      <c r="AP3236" s="77"/>
      <c r="AQ3236" s="77"/>
      <c r="AR3236" s="77"/>
      <c r="AS3236" s="77"/>
      <c r="AT3236" s="77"/>
      <c r="AU3236" s="77"/>
      <c r="AV3236" s="80" t="str">
        <f>HYPERLINK("https://pbs.twimg.com/profile_images/1241147984924082183/gZgx_hL-_normal.jpg")</f>
        <v>https://pbs.twimg.com/profile_images/1241147984924082183/gZgx_hL-_normal.jpg</v>
      </c>
      <c r="AW3236" s="82" t="s">
        <v>14832</v>
      </c>
      <c r="AX3236" s="82" t="s">
        <v>14832</v>
      </c>
      <c r="AY3236" s="77"/>
      <c r="AZ3236" s="82" t="s">
        <v>15984</v>
      </c>
      <c r="BA3236" s="82" t="s">
        <v>15984</v>
      </c>
      <c r="BB3236" s="82" t="s">
        <v>15984</v>
      </c>
      <c r="BC3236" s="82" t="s">
        <v>14832</v>
      </c>
      <c r="BD3236" s="82" t="s">
        <v>15979</v>
      </c>
      <c r="BE3236" s="77"/>
      <c r="BF3236" s="77"/>
      <c r="BG3236" s="77"/>
      <c r="BH3236" s="77"/>
      <c r="BI3236" s="77"/>
    </row>
    <row r="3237" spans="1:61" x14ac:dyDescent="0.25">
      <c r="A3237" s="62" t="s">
        <v>387</v>
      </c>
      <c r="B3237" s="62" t="s">
        <v>387</v>
      </c>
      <c r="C3237" s="63"/>
      <c r="D3237" s="64"/>
      <c r="E3237" s="65"/>
      <c r="F3237" s="66"/>
      <c r="G3237" s="63"/>
      <c r="H3237" s="67"/>
      <c r="I3237" s="68"/>
      <c r="J3237" s="68"/>
      <c r="K3237" s="32"/>
      <c r="L3237" s="75">
        <v>3237</v>
      </c>
      <c r="M3237" s="75"/>
      <c r="N3237" s="70"/>
      <c r="O3237" s="77" t="s">
        <v>179</v>
      </c>
      <c r="P3237" s="79">
        <v>45121.75540509259</v>
      </c>
      <c r="Q3237" s="77" t="s">
        <v>3909</v>
      </c>
      <c r="R3237" s="77">
        <v>0</v>
      </c>
      <c r="S3237" s="77">
        <v>1</v>
      </c>
      <c r="T3237" s="77">
        <v>0</v>
      </c>
      <c r="U3237" s="77">
        <v>0</v>
      </c>
      <c r="V3237" s="77">
        <v>433</v>
      </c>
      <c r="W3237" s="82" t="s">
        <v>4833</v>
      </c>
      <c r="X3237" s="80" t="str">
        <f>HYPERLINK("https://mla.bs/4357e82e")</f>
        <v>https://mla.bs/4357e82e</v>
      </c>
      <c r="Y3237" s="77" t="s">
        <v>6506</v>
      </c>
      <c r="Z3237" s="77"/>
      <c r="AA3237" s="77"/>
      <c r="AB3237" s="77"/>
      <c r="AC3237" s="82" t="s">
        <v>7757</v>
      </c>
      <c r="AD3237" s="77" t="s">
        <v>7788</v>
      </c>
      <c r="AE3237" s="80" t="str">
        <f>HYPERLINK("https://twitter.com/einvestidor/status/1679915611684769792")</f>
        <v>https://twitter.com/einvestidor/status/1679915611684769792</v>
      </c>
      <c r="AF3237" s="79">
        <v>45121.75540509259</v>
      </c>
      <c r="AG3237" s="85">
        <v>45121</v>
      </c>
      <c r="AH3237" s="82" t="s">
        <v>9987</v>
      </c>
      <c r="AI3237" s="77" t="b">
        <v>0</v>
      </c>
      <c r="AJ3237" s="77"/>
      <c r="AK3237" s="77"/>
      <c r="AL3237" s="77"/>
      <c r="AM3237" s="77"/>
      <c r="AN3237" s="77"/>
      <c r="AO3237" s="77"/>
      <c r="AP3237" s="77"/>
      <c r="AQ3237" s="77"/>
      <c r="AR3237" s="77"/>
      <c r="AS3237" s="77"/>
      <c r="AT3237" s="77"/>
      <c r="AU3237" s="77"/>
      <c r="AV3237" s="80" t="str">
        <f>HYPERLINK("https://pbs.twimg.com/profile_images/1241147984924082183/gZgx_hL-_normal.jpg")</f>
        <v>https://pbs.twimg.com/profile_images/1241147984924082183/gZgx_hL-_normal.jpg</v>
      </c>
      <c r="AW3237" s="82" t="s">
        <v>14833</v>
      </c>
      <c r="AX3237" s="82" t="s">
        <v>14833</v>
      </c>
      <c r="AY3237" s="77"/>
      <c r="AZ3237" s="82" t="s">
        <v>15984</v>
      </c>
      <c r="BA3237" s="82" t="s">
        <v>15984</v>
      </c>
      <c r="BB3237" s="82" t="s">
        <v>15984</v>
      </c>
      <c r="BC3237" s="82" t="s">
        <v>14833</v>
      </c>
      <c r="BD3237" s="82" t="s">
        <v>15979</v>
      </c>
      <c r="BE3237" s="77"/>
      <c r="BF3237" s="77"/>
      <c r="BG3237" s="77"/>
      <c r="BH3237" s="77"/>
      <c r="BI3237" s="77"/>
    </row>
    <row r="3238" spans="1:61" x14ac:dyDescent="0.25">
      <c r="A3238" s="62" t="s">
        <v>387</v>
      </c>
      <c r="B3238" s="62" t="s">
        <v>387</v>
      </c>
      <c r="C3238" s="63"/>
      <c r="D3238" s="64"/>
      <c r="E3238" s="65"/>
      <c r="F3238" s="66"/>
      <c r="G3238" s="63"/>
      <c r="H3238" s="67"/>
      <c r="I3238" s="68"/>
      <c r="J3238" s="68"/>
      <c r="K3238" s="32"/>
      <c r="L3238" s="75">
        <v>3238</v>
      </c>
      <c r="M3238" s="75"/>
      <c r="N3238" s="70"/>
      <c r="O3238" s="77" t="s">
        <v>179</v>
      </c>
      <c r="P3238" s="79">
        <v>45121.750509259262</v>
      </c>
      <c r="Q3238" s="77" t="s">
        <v>3910</v>
      </c>
      <c r="R3238" s="77">
        <v>0</v>
      </c>
      <c r="S3238" s="77">
        <v>3</v>
      </c>
      <c r="T3238" s="77">
        <v>0</v>
      </c>
      <c r="U3238" s="77">
        <v>0</v>
      </c>
      <c r="V3238" s="77">
        <v>518</v>
      </c>
      <c r="W3238" s="82" t="s">
        <v>4833</v>
      </c>
      <c r="X3238" s="80" t="str">
        <f>HYPERLINK("https://mla.bs/c5dc023f")</f>
        <v>https://mla.bs/c5dc023f</v>
      </c>
      <c r="Y3238" s="77" t="s">
        <v>6506</v>
      </c>
      <c r="Z3238" s="77"/>
      <c r="AA3238" s="77"/>
      <c r="AB3238" s="77"/>
      <c r="AC3238" s="82" t="s">
        <v>7757</v>
      </c>
      <c r="AD3238" s="77" t="s">
        <v>7788</v>
      </c>
      <c r="AE3238" s="80" t="str">
        <f>HYPERLINK("https://twitter.com/einvestidor/status/1679913836097474565")</f>
        <v>https://twitter.com/einvestidor/status/1679913836097474565</v>
      </c>
      <c r="AF3238" s="79">
        <v>45121.750509259262</v>
      </c>
      <c r="AG3238" s="85">
        <v>45121</v>
      </c>
      <c r="AH3238" s="82" t="s">
        <v>9988</v>
      </c>
      <c r="AI3238" s="77" t="b">
        <v>0</v>
      </c>
      <c r="AJ3238" s="77"/>
      <c r="AK3238" s="77"/>
      <c r="AL3238" s="77"/>
      <c r="AM3238" s="77"/>
      <c r="AN3238" s="77"/>
      <c r="AO3238" s="77"/>
      <c r="AP3238" s="77"/>
      <c r="AQ3238" s="77"/>
      <c r="AR3238" s="77"/>
      <c r="AS3238" s="77"/>
      <c r="AT3238" s="77"/>
      <c r="AU3238" s="77"/>
      <c r="AV3238" s="80" t="str">
        <f>HYPERLINK("https://pbs.twimg.com/profile_images/1241147984924082183/gZgx_hL-_normal.jpg")</f>
        <v>https://pbs.twimg.com/profile_images/1241147984924082183/gZgx_hL-_normal.jpg</v>
      </c>
      <c r="AW3238" s="82" t="s">
        <v>14834</v>
      </c>
      <c r="AX3238" s="82" t="s">
        <v>14834</v>
      </c>
      <c r="AY3238" s="77"/>
      <c r="AZ3238" s="82" t="s">
        <v>15984</v>
      </c>
      <c r="BA3238" s="82" t="s">
        <v>15984</v>
      </c>
      <c r="BB3238" s="82" t="s">
        <v>15984</v>
      </c>
      <c r="BC3238" s="82" t="s">
        <v>14834</v>
      </c>
      <c r="BD3238" s="82" t="s">
        <v>15979</v>
      </c>
      <c r="BE3238" s="77"/>
      <c r="BF3238" s="77"/>
      <c r="BG3238" s="77"/>
      <c r="BH3238" s="77"/>
      <c r="BI3238" s="77"/>
    </row>
    <row r="3239" spans="1:61" x14ac:dyDescent="0.25">
      <c r="A3239" s="62" t="s">
        <v>387</v>
      </c>
      <c r="B3239" s="62" t="s">
        <v>387</v>
      </c>
      <c r="C3239" s="63"/>
      <c r="D3239" s="64"/>
      <c r="E3239" s="65"/>
      <c r="F3239" s="66"/>
      <c r="G3239" s="63"/>
      <c r="H3239" s="67"/>
      <c r="I3239" s="68"/>
      <c r="J3239" s="68"/>
      <c r="K3239" s="32"/>
      <c r="L3239" s="75">
        <v>3239</v>
      </c>
      <c r="M3239" s="75"/>
      <c r="N3239" s="70"/>
      <c r="O3239" s="77" t="s">
        <v>179</v>
      </c>
      <c r="P3239" s="79">
        <v>45121.680613425924</v>
      </c>
      <c r="Q3239" s="77" t="s">
        <v>3911</v>
      </c>
      <c r="R3239" s="77">
        <v>0</v>
      </c>
      <c r="S3239" s="77">
        <v>0</v>
      </c>
      <c r="T3239" s="77">
        <v>0</v>
      </c>
      <c r="U3239" s="77">
        <v>0</v>
      </c>
      <c r="V3239" s="77">
        <v>474</v>
      </c>
      <c r="W3239" s="82" t="s">
        <v>4833</v>
      </c>
      <c r="X3239" s="80" t="str">
        <f>HYPERLINK("https://mla.bs/8f88facd")</f>
        <v>https://mla.bs/8f88facd</v>
      </c>
      <c r="Y3239" s="77" t="s">
        <v>6506</v>
      </c>
      <c r="Z3239" s="77"/>
      <c r="AA3239" s="77"/>
      <c r="AB3239" s="77"/>
      <c r="AC3239" s="82" t="s">
        <v>7757</v>
      </c>
      <c r="AD3239" s="77" t="s">
        <v>7788</v>
      </c>
      <c r="AE3239" s="80" t="str">
        <f>HYPERLINK("https://twitter.com/einvestidor/status/1679888506758283264")</f>
        <v>https://twitter.com/einvestidor/status/1679888506758283264</v>
      </c>
      <c r="AF3239" s="79">
        <v>45121.680613425924</v>
      </c>
      <c r="AG3239" s="85">
        <v>45121</v>
      </c>
      <c r="AH3239" s="82" t="s">
        <v>9730</v>
      </c>
      <c r="AI3239" s="77" t="b">
        <v>0</v>
      </c>
      <c r="AJ3239" s="77"/>
      <c r="AK3239" s="77"/>
      <c r="AL3239" s="77"/>
      <c r="AM3239" s="77"/>
      <c r="AN3239" s="77"/>
      <c r="AO3239" s="77"/>
      <c r="AP3239" s="77"/>
      <c r="AQ3239" s="77"/>
      <c r="AR3239" s="77"/>
      <c r="AS3239" s="77"/>
      <c r="AT3239" s="77"/>
      <c r="AU3239" s="77"/>
      <c r="AV3239" s="80" t="str">
        <f>HYPERLINK("https://pbs.twimg.com/profile_images/1241147984924082183/gZgx_hL-_normal.jpg")</f>
        <v>https://pbs.twimg.com/profile_images/1241147984924082183/gZgx_hL-_normal.jpg</v>
      </c>
      <c r="AW3239" s="82" t="s">
        <v>14835</v>
      </c>
      <c r="AX3239" s="82" t="s">
        <v>14835</v>
      </c>
      <c r="AY3239" s="77"/>
      <c r="AZ3239" s="82" t="s">
        <v>15984</v>
      </c>
      <c r="BA3239" s="82" t="s">
        <v>15984</v>
      </c>
      <c r="BB3239" s="82" t="s">
        <v>15984</v>
      </c>
      <c r="BC3239" s="82" t="s">
        <v>14835</v>
      </c>
      <c r="BD3239" s="82" t="s">
        <v>15979</v>
      </c>
      <c r="BE3239" s="77"/>
      <c r="BF3239" s="77"/>
      <c r="BG3239" s="77"/>
      <c r="BH3239" s="77"/>
      <c r="BI3239" s="77"/>
    </row>
    <row r="3240" spans="1:61" x14ac:dyDescent="0.25">
      <c r="A3240" s="62" t="s">
        <v>387</v>
      </c>
      <c r="B3240" s="62" t="s">
        <v>387</v>
      </c>
      <c r="C3240" s="63"/>
      <c r="D3240" s="64"/>
      <c r="E3240" s="65"/>
      <c r="F3240" s="66"/>
      <c r="G3240" s="63"/>
      <c r="H3240" s="67"/>
      <c r="I3240" s="68"/>
      <c r="J3240" s="68"/>
      <c r="K3240" s="32"/>
      <c r="L3240" s="75">
        <v>3240</v>
      </c>
      <c r="M3240" s="75"/>
      <c r="N3240" s="70"/>
      <c r="O3240" s="77" t="s">
        <v>179</v>
      </c>
      <c r="P3240" s="79">
        <v>45121.663715277777</v>
      </c>
      <c r="Q3240" s="77" t="s">
        <v>3912</v>
      </c>
      <c r="R3240" s="77">
        <v>0</v>
      </c>
      <c r="S3240" s="77">
        <v>1</v>
      </c>
      <c r="T3240" s="77">
        <v>0</v>
      </c>
      <c r="U3240" s="77">
        <v>0</v>
      </c>
      <c r="V3240" s="77">
        <v>521</v>
      </c>
      <c r="W3240" s="82" t="s">
        <v>4833</v>
      </c>
      <c r="X3240" s="80" t="str">
        <f>HYPERLINK("https://mla.bs/ac116b4e")</f>
        <v>https://mla.bs/ac116b4e</v>
      </c>
      <c r="Y3240" s="77" t="s">
        <v>6506</v>
      </c>
      <c r="Z3240" s="77"/>
      <c r="AA3240" s="77"/>
      <c r="AB3240" s="77"/>
      <c r="AC3240" s="82" t="s">
        <v>7757</v>
      </c>
      <c r="AD3240" s="77" t="s">
        <v>7788</v>
      </c>
      <c r="AE3240" s="80" t="str">
        <f>HYPERLINK("https://twitter.com/einvestidor/status/1679882383401558016")</f>
        <v>https://twitter.com/einvestidor/status/1679882383401558016</v>
      </c>
      <c r="AF3240" s="79">
        <v>45121.663715277777</v>
      </c>
      <c r="AG3240" s="85">
        <v>45121</v>
      </c>
      <c r="AH3240" s="82" t="s">
        <v>9989</v>
      </c>
      <c r="AI3240" s="77" t="b">
        <v>0</v>
      </c>
      <c r="AJ3240" s="77"/>
      <c r="AK3240" s="77"/>
      <c r="AL3240" s="77"/>
      <c r="AM3240" s="77"/>
      <c r="AN3240" s="77"/>
      <c r="AO3240" s="77"/>
      <c r="AP3240" s="77"/>
      <c r="AQ3240" s="77"/>
      <c r="AR3240" s="77"/>
      <c r="AS3240" s="77"/>
      <c r="AT3240" s="77"/>
      <c r="AU3240" s="77"/>
      <c r="AV3240" s="80" t="str">
        <f>HYPERLINK("https://pbs.twimg.com/profile_images/1241147984924082183/gZgx_hL-_normal.jpg")</f>
        <v>https://pbs.twimg.com/profile_images/1241147984924082183/gZgx_hL-_normal.jpg</v>
      </c>
      <c r="AW3240" s="82" t="s">
        <v>14836</v>
      </c>
      <c r="AX3240" s="82" t="s">
        <v>14836</v>
      </c>
      <c r="AY3240" s="77"/>
      <c r="AZ3240" s="82" t="s">
        <v>15984</v>
      </c>
      <c r="BA3240" s="82" t="s">
        <v>15984</v>
      </c>
      <c r="BB3240" s="82" t="s">
        <v>15984</v>
      </c>
      <c r="BC3240" s="82" t="s">
        <v>14836</v>
      </c>
      <c r="BD3240" s="82" t="s">
        <v>15979</v>
      </c>
      <c r="BE3240" s="77"/>
      <c r="BF3240" s="77"/>
      <c r="BG3240" s="77"/>
      <c r="BH3240" s="77"/>
      <c r="BI3240" s="77"/>
    </row>
    <row r="3241" spans="1:61" x14ac:dyDescent="0.25">
      <c r="A3241" s="62" t="s">
        <v>387</v>
      </c>
      <c r="B3241" s="62" t="s">
        <v>387</v>
      </c>
      <c r="C3241" s="63"/>
      <c r="D3241" s="64"/>
      <c r="E3241" s="65"/>
      <c r="F3241" s="66"/>
      <c r="G3241" s="63"/>
      <c r="H3241" s="67"/>
      <c r="I3241" s="68"/>
      <c r="J3241" s="68"/>
      <c r="K3241" s="32"/>
      <c r="L3241" s="75">
        <v>3241</v>
      </c>
      <c r="M3241" s="75"/>
      <c r="N3241" s="70"/>
      <c r="O3241" s="77" t="s">
        <v>179</v>
      </c>
      <c r="P3241" s="79">
        <v>45121.656909722224</v>
      </c>
      <c r="Q3241" s="77" t="s">
        <v>3913</v>
      </c>
      <c r="R3241" s="77">
        <v>1</v>
      </c>
      <c r="S3241" s="77">
        <v>1</v>
      </c>
      <c r="T3241" s="77">
        <v>0</v>
      </c>
      <c r="U3241" s="77">
        <v>0</v>
      </c>
      <c r="V3241" s="77">
        <v>512</v>
      </c>
      <c r="W3241" s="82" t="s">
        <v>4833</v>
      </c>
      <c r="X3241" s="80" t="str">
        <f>HYPERLINK("https://mla.bs/d90fdd8b")</f>
        <v>https://mla.bs/d90fdd8b</v>
      </c>
      <c r="Y3241" s="77" t="s">
        <v>6506</v>
      </c>
      <c r="Z3241" s="77"/>
      <c r="AA3241" s="77"/>
      <c r="AB3241" s="77"/>
      <c r="AC3241" s="82" t="s">
        <v>7757</v>
      </c>
      <c r="AD3241" s="77" t="s">
        <v>7788</v>
      </c>
      <c r="AE3241" s="80" t="str">
        <f>HYPERLINK("https://twitter.com/einvestidor/status/1679879918941872128")</f>
        <v>https://twitter.com/einvestidor/status/1679879918941872128</v>
      </c>
      <c r="AF3241" s="79">
        <v>45121.656909722224</v>
      </c>
      <c r="AG3241" s="85">
        <v>45121</v>
      </c>
      <c r="AH3241" s="82" t="s">
        <v>9990</v>
      </c>
      <c r="AI3241" s="77" t="b">
        <v>0</v>
      </c>
      <c r="AJ3241" s="77"/>
      <c r="AK3241" s="77"/>
      <c r="AL3241" s="77"/>
      <c r="AM3241" s="77"/>
      <c r="AN3241" s="77"/>
      <c r="AO3241" s="77"/>
      <c r="AP3241" s="77"/>
      <c r="AQ3241" s="77"/>
      <c r="AR3241" s="77"/>
      <c r="AS3241" s="77"/>
      <c r="AT3241" s="77"/>
      <c r="AU3241" s="77"/>
      <c r="AV3241" s="80" t="str">
        <f>HYPERLINK("https://pbs.twimg.com/profile_images/1241147984924082183/gZgx_hL-_normal.jpg")</f>
        <v>https://pbs.twimg.com/profile_images/1241147984924082183/gZgx_hL-_normal.jpg</v>
      </c>
      <c r="AW3241" s="82" t="s">
        <v>14837</v>
      </c>
      <c r="AX3241" s="82" t="s">
        <v>14837</v>
      </c>
      <c r="AY3241" s="77"/>
      <c r="AZ3241" s="82" t="s">
        <v>15984</v>
      </c>
      <c r="BA3241" s="82" t="s">
        <v>15984</v>
      </c>
      <c r="BB3241" s="82" t="s">
        <v>15984</v>
      </c>
      <c r="BC3241" s="82" t="s">
        <v>14837</v>
      </c>
      <c r="BD3241" s="82" t="s">
        <v>15979</v>
      </c>
      <c r="BE3241" s="77"/>
      <c r="BF3241" s="77"/>
      <c r="BG3241" s="77"/>
      <c r="BH3241" s="77"/>
      <c r="BI3241" s="77"/>
    </row>
    <row r="3242" spans="1:61" x14ac:dyDescent="0.25">
      <c r="A3242" s="62" t="s">
        <v>387</v>
      </c>
      <c r="B3242" s="62" t="s">
        <v>387</v>
      </c>
      <c r="C3242" s="63"/>
      <c r="D3242" s="64"/>
      <c r="E3242" s="65"/>
      <c r="F3242" s="66"/>
      <c r="G3242" s="63"/>
      <c r="H3242" s="67"/>
      <c r="I3242" s="68"/>
      <c r="J3242" s="68"/>
      <c r="K3242" s="32"/>
      <c r="L3242" s="75">
        <v>3242</v>
      </c>
      <c r="M3242" s="75"/>
      <c r="N3242" s="70"/>
      <c r="O3242" s="77" t="s">
        <v>179</v>
      </c>
      <c r="P3242" s="79">
        <v>45121.634652777779</v>
      </c>
      <c r="Q3242" s="77" t="s">
        <v>3914</v>
      </c>
      <c r="R3242" s="77">
        <v>0</v>
      </c>
      <c r="S3242" s="77">
        <v>0</v>
      </c>
      <c r="T3242" s="77">
        <v>0</v>
      </c>
      <c r="U3242" s="77">
        <v>0</v>
      </c>
      <c r="V3242" s="77">
        <v>506</v>
      </c>
      <c r="W3242" s="82" t="s">
        <v>4833</v>
      </c>
      <c r="X3242" s="80" t="str">
        <f>HYPERLINK("https://mla.bs/62fc8801")</f>
        <v>https://mla.bs/62fc8801</v>
      </c>
      <c r="Y3242" s="77" t="s">
        <v>6506</v>
      </c>
      <c r="Z3242" s="77"/>
      <c r="AA3242" s="77"/>
      <c r="AB3242" s="77"/>
      <c r="AC3242" s="82" t="s">
        <v>7757</v>
      </c>
      <c r="AD3242" s="77" t="s">
        <v>7788</v>
      </c>
      <c r="AE3242" s="80" t="str">
        <f>HYPERLINK("https://twitter.com/einvestidor/status/1679871852334678017")</f>
        <v>https://twitter.com/einvestidor/status/1679871852334678017</v>
      </c>
      <c r="AF3242" s="79">
        <v>45121.634652777779</v>
      </c>
      <c r="AG3242" s="85">
        <v>45121</v>
      </c>
      <c r="AH3242" s="82" t="s">
        <v>9991</v>
      </c>
      <c r="AI3242" s="77" t="b">
        <v>0</v>
      </c>
      <c r="AJ3242" s="77"/>
      <c r="AK3242" s="77"/>
      <c r="AL3242" s="77"/>
      <c r="AM3242" s="77"/>
      <c r="AN3242" s="77"/>
      <c r="AO3242" s="77"/>
      <c r="AP3242" s="77"/>
      <c r="AQ3242" s="77"/>
      <c r="AR3242" s="77"/>
      <c r="AS3242" s="77"/>
      <c r="AT3242" s="77"/>
      <c r="AU3242" s="77"/>
      <c r="AV3242" s="80" t="str">
        <f>HYPERLINK("https://pbs.twimg.com/profile_images/1241147984924082183/gZgx_hL-_normal.jpg")</f>
        <v>https://pbs.twimg.com/profile_images/1241147984924082183/gZgx_hL-_normal.jpg</v>
      </c>
      <c r="AW3242" s="82" t="s">
        <v>14838</v>
      </c>
      <c r="AX3242" s="82" t="s">
        <v>14838</v>
      </c>
      <c r="AY3242" s="77"/>
      <c r="AZ3242" s="82" t="s">
        <v>15984</v>
      </c>
      <c r="BA3242" s="82" t="s">
        <v>15984</v>
      </c>
      <c r="BB3242" s="82" t="s">
        <v>15984</v>
      </c>
      <c r="BC3242" s="82" t="s">
        <v>14838</v>
      </c>
      <c r="BD3242" s="82" t="s">
        <v>15979</v>
      </c>
      <c r="BE3242" s="77"/>
      <c r="BF3242" s="77"/>
      <c r="BG3242" s="77"/>
      <c r="BH3242" s="77"/>
      <c r="BI3242" s="77"/>
    </row>
    <row r="3243" spans="1:61" x14ac:dyDescent="0.25">
      <c r="A3243" s="62" t="s">
        <v>387</v>
      </c>
      <c r="B3243" s="62" t="s">
        <v>387</v>
      </c>
      <c r="C3243" s="63"/>
      <c r="D3243" s="64"/>
      <c r="E3243" s="65"/>
      <c r="F3243" s="66"/>
      <c r="G3243" s="63"/>
      <c r="H3243" s="67"/>
      <c r="I3243" s="68"/>
      <c r="J3243" s="68"/>
      <c r="K3243" s="32"/>
      <c r="L3243" s="75">
        <v>3243</v>
      </c>
      <c r="M3243" s="75"/>
      <c r="N3243" s="70"/>
      <c r="O3243" s="77" t="s">
        <v>179</v>
      </c>
      <c r="P3243" s="79">
        <v>45121.152777777781</v>
      </c>
      <c r="Q3243" s="77" t="s">
        <v>3915</v>
      </c>
      <c r="R3243" s="77">
        <v>1</v>
      </c>
      <c r="S3243" s="77">
        <v>1</v>
      </c>
      <c r="T3243" s="77">
        <v>0</v>
      </c>
      <c r="U3243" s="77">
        <v>0</v>
      </c>
      <c r="V3243" s="77">
        <v>698</v>
      </c>
      <c r="W3243" s="82" t="s">
        <v>6254</v>
      </c>
      <c r="X3243" s="80" t="str">
        <f>HYPERLINK("https://mla.bs/03884468")</f>
        <v>https://mla.bs/03884468</v>
      </c>
      <c r="Y3243" s="77" t="s">
        <v>6506</v>
      </c>
      <c r="Z3243" s="77"/>
      <c r="AA3243" s="77"/>
      <c r="AB3243" s="77"/>
      <c r="AC3243" s="82" t="s">
        <v>7757</v>
      </c>
      <c r="AD3243" s="77" t="s">
        <v>7788</v>
      </c>
      <c r="AE3243" s="80" t="str">
        <f>HYPERLINK("https://twitter.com/einvestidor/status/1679697225356640256")</f>
        <v>https://twitter.com/einvestidor/status/1679697225356640256</v>
      </c>
      <c r="AF3243" s="79">
        <v>45121.152777777781</v>
      </c>
      <c r="AG3243" s="85">
        <v>45121</v>
      </c>
      <c r="AH3243" s="82" t="s">
        <v>9992</v>
      </c>
      <c r="AI3243" s="77" t="b">
        <v>0</v>
      </c>
      <c r="AJ3243" s="77"/>
      <c r="AK3243" s="77"/>
      <c r="AL3243" s="77"/>
      <c r="AM3243" s="77"/>
      <c r="AN3243" s="77"/>
      <c r="AO3243" s="77"/>
      <c r="AP3243" s="77"/>
      <c r="AQ3243" s="77"/>
      <c r="AR3243" s="77"/>
      <c r="AS3243" s="77"/>
      <c r="AT3243" s="77"/>
      <c r="AU3243" s="77"/>
      <c r="AV3243" s="80" t="str">
        <f>HYPERLINK("https://pbs.twimg.com/profile_images/1241147984924082183/gZgx_hL-_normal.jpg")</f>
        <v>https://pbs.twimg.com/profile_images/1241147984924082183/gZgx_hL-_normal.jpg</v>
      </c>
      <c r="AW3243" s="82" t="s">
        <v>14839</v>
      </c>
      <c r="AX3243" s="82" t="s">
        <v>14839</v>
      </c>
      <c r="AY3243" s="77"/>
      <c r="AZ3243" s="82" t="s">
        <v>15984</v>
      </c>
      <c r="BA3243" s="82" t="s">
        <v>15984</v>
      </c>
      <c r="BB3243" s="82" t="s">
        <v>15984</v>
      </c>
      <c r="BC3243" s="82" t="s">
        <v>14839</v>
      </c>
      <c r="BD3243" s="82" t="s">
        <v>15979</v>
      </c>
      <c r="BE3243" s="77"/>
      <c r="BF3243" s="77"/>
      <c r="BG3243" s="77"/>
      <c r="BH3243" s="77"/>
      <c r="BI3243" s="77"/>
    </row>
    <row r="3244" spans="1:61" x14ac:dyDescent="0.25">
      <c r="A3244" s="62" t="s">
        <v>387</v>
      </c>
      <c r="B3244" s="62" t="s">
        <v>387</v>
      </c>
      <c r="C3244" s="63"/>
      <c r="D3244" s="64"/>
      <c r="E3244" s="65"/>
      <c r="F3244" s="66"/>
      <c r="G3244" s="63"/>
      <c r="H3244" s="67"/>
      <c r="I3244" s="68"/>
      <c r="J3244" s="68"/>
      <c r="K3244" s="32"/>
      <c r="L3244" s="75">
        <v>3244</v>
      </c>
      <c r="M3244" s="75"/>
      <c r="N3244" s="70"/>
      <c r="O3244" s="77" t="s">
        <v>179</v>
      </c>
      <c r="P3244" s="79">
        <v>45121.138912037037</v>
      </c>
      <c r="Q3244" s="77" t="s">
        <v>3916</v>
      </c>
      <c r="R3244" s="77">
        <v>0</v>
      </c>
      <c r="S3244" s="77">
        <v>0</v>
      </c>
      <c r="T3244" s="77">
        <v>0</v>
      </c>
      <c r="U3244" s="77">
        <v>0</v>
      </c>
      <c r="V3244" s="77">
        <v>678</v>
      </c>
      <c r="W3244" s="82" t="s">
        <v>4833</v>
      </c>
      <c r="X3244" s="80" t="str">
        <f>HYPERLINK("https://mla.bs/6b437577")</f>
        <v>https://mla.bs/6b437577</v>
      </c>
      <c r="Y3244" s="77" t="s">
        <v>6506</v>
      </c>
      <c r="Z3244" s="77"/>
      <c r="AA3244" s="77"/>
      <c r="AB3244" s="77"/>
      <c r="AC3244" s="82" t="s">
        <v>7757</v>
      </c>
      <c r="AD3244" s="77" t="s">
        <v>7788</v>
      </c>
      <c r="AE3244" s="80" t="str">
        <f>HYPERLINK("https://twitter.com/einvestidor/status/1679692200760819715")</f>
        <v>https://twitter.com/einvestidor/status/1679692200760819715</v>
      </c>
      <c r="AF3244" s="79">
        <v>45121.138912037037</v>
      </c>
      <c r="AG3244" s="85">
        <v>45121</v>
      </c>
      <c r="AH3244" s="82" t="s">
        <v>9993</v>
      </c>
      <c r="AI3244" s="77" t="b">
        <v>0</v>
      </c>
      <c r="AJ3244" s="77"/>
      <c r="AK3244" s="77"/>
      <c r="AL3244" s="77"/>
      <c r="AM3244" s="77"/>
      <c r="AN3244" s="77"/>
      <c r="AO3244" s="77"/>
      <c r="AP3244" s="77"/>
      <c r="AQ3244" s="77"/>
      <c r="AR3244" s="77"/>
      <c r="AS3244" s="77"/>
      <c r="AT3244" s="77"/>
      <c r="AU3244" s="77"/>
      <c r="AV3244" s="80" t="str">
        <f>HYPERLINK("https://pbs.twimg.com/profile_images/1241147984924082183/gZgx_hL-_normal.jpg")</f>
        <v>https://pbs.twimg.com/profile_images/1241147984924082183/gZgx_hL-_normal.jpg</v>
      </c>
      <c r="AW3244" s="82" t="s">
        <v>14840</v>
      </c>
      <c r="AX3244" s="82" t="s">
        <v>14840</v>
      </c>
      <c r="AY3244" s="77"/>
      <c r="AZ3244" s="82" t="s">
        <v>15984</v>
      </c>
      <c r="BA3244" s="82" t="s">
        <v>15984</v>
      </c>
      <c r="BB3244" s="82" t="s">
        <v>15984</v>
      </c>
      <c r="BC3244" s="82" t="s">
        <v>14840</v>
      </c>
      <c r="BD3244" s="82" t="s">
        <v>15979</v>
      </c>
      <c r="BE3244" s="77"/>
      <c r="BF3244" s="77"/>
      <c r="BG3244" s="77"/>
      <c r="BH3244" s="77"/>
      <c r="BI3244" s="77"/>
    </row>
    <row r="3245" spans="1:61" x14ac:dyDescent="0.25">
      <c r="A3245" s="62" t="s">
        <v>387</v>
      </c>
      <c r="B3245" s="62" t="s">
        <v>387</v>
      </c>
      <c r="C3245" s="63"/>
      <c r="D3245" s="64"/>
      <c r="E3245" s="65"/>
      <c r="F3245" s="66"/>
      <c r="G3245" s="63"/>
      <c r="H3245" s="67"/>
      <c r="I3245" s="68"/>
      <c r="J3245" s="68"/>
      <c r="K3245" s="32"/>
      <c r="L3245" s="75">
        <v>3245</v>
      </c>
      <c r="M3245" s="75"/>
      <c r="N3245" s="70"/>
      <c r="O3245" s="77" t="s">
        <v>179</v>
      </c>
      <c r="P3245" s="79">
        <v>45121.125196759262</v>
      </c>
      <c r="Q3245" s="77" t="s">
        <v>3917</v>
      </c>
      <c r="R3245" s="77">
        <v>1</v>
      </c>
      <c r="S3245" s="77">
        <v>1</v>
      </c>
      <c r="T3245" s="77">
        <v>0</v>
      </c>
      <c r="U3245" s="77">
        <v>0</v>
      </c>
      <c r="V3245" s="77">
        <v>614</v>
      </c>
      <c r="W3245" s="82" t="s">
        <v>6255</v>
      </c>
      <c r="X3245" s="80" t="str">
        <f>HYPERLINK("https://mla.bs/c70e6a88")</f>
        <v>https://mla.bs/c70e6a88</v>
      </c>
      <c r="Y3245" s="77" t="s">
        <v>6506</v>
      </c>
      <c r="Z3245" s="77"/>
      <c r="AA3245" s="77"/>
      <c r="AB3245" s="77"/>
      <c r="AC3245" s="82" t="s">
        <v>7757</v>
      </c>
      <c r="AD3245" s="77" t="s">
        <v>7788</v>
      </c>
      <c r="AE3245" s="80" t="str">
        <f>HYPERLINK("https://twitter.com/einvestidor/status/1679687229067632641")</f>
        <v>https://twitter.com/einvestidor/status/1679687229067632641</v>
      </c>
      <c r="AF3245" s="79">
        <v>45121.125196759262</v>
      </c>
      <c r="AG3245" s="85">
        <v>45121</v>
      </c>
      <c r="AH3245" s="82" t="s">
        <v>9994</v>
      </c>
      <c r="AI3245" s="77" t="b">
        <v>0</v>
      </c>
      <c r="AJ3245" s="77"/>
      <c r="AK3245" s="77"/>
      <c r="AL3245" s="77"/>
      <c r="AM3245" s="77"/>
      <c r="AN3245" s="77"/>
      <c r="AO3245" s="77"/>
      <c r="AP3245" s="77"/>
      <c r="AQ3245" s="77"/>
      <c r="AR3245" s="77"/>
      <c r="AS3245" s="77"/>
      <c r="AT3245" s="77"/>
      <c r="AU3245" s="77"/>
      <c r="AV3245" s="80" t="str">
        <f>HYPERLINK("https://pbs.twimg.com/profile_images/1241147984924082183/gZgx_hL-_normal.jpg")</f>
        <v>https://pbs.twimg.com/profile_images/1241147984924082183/gZgx_hL-_normal.jpg</v>
      </c>
      <c r="AW3245" s="82" t="s">
        <v>14841</v>
      </c>
      <c r="AX3245" s="82" t="s">
        <v>14841</v>
      </c>
      <c r="AY3245" s="77"/>
      <c r="AZ3245" s="82" t="s">
        <v>15984</v>
      </c>
      <c r="BA3245" s="82" t="s">
        <v>15984</v>
      </c>
      <c r="BB3245" s="82" t="s">
        <v>15984</v>
      </c>
      <c r="BC3245" s="82" t="s">
        <v>14841</v>
      </c>
      <c r="BD3245" s="82" t="s">
        <v>15979</v>
      </c>
      <c r="BE3245" s="77"/>
      <c r="BF3245" s="77"/>
      <c r="BG3245" s="77"/>
      <c r="BH3245" s="77"/>
      <c r="BI3245" s="77"/>
    </row>
    <row r="3246" spans="1:61" x14ac:dyDescent="0.25">
      <c r="A3246" s="62" t="s">
        <v>387</v>
      </c>
      <c r="B3246" s="62" t="s">
        <v>387</v>
      </c>
      <c r="C3246" s="63"/>
      <c r="D3246" s="64"/>
      <c r="E3246" s="65"/>
      <c r="F3246" s="66"/>
      <c r="G3246" s="63"/>
      <c r="H3246" s="67"/>
      <c r="I3246" s="68"/>
      <c r="J3246" s="68"/>
      <c r="K3246" s="32"/>
      <c r="L3246" s="75">
        <v>3246</v>
      </c>
      <c r="M3246" s="75"/>
      <c r="N3246" s="70"/>
      <c r="O3246" s="77" t="s">
        <v>179</v>
      </c>
      <c r="P3246" s="79">
        <v>45121.111111111109</v>
      </c>
      <c r="Q3246" s="77" t="s">
        <v>3918</v>
      </c>
      <c r="R3246" s="77">
        <v>0</v>
      </c>
      <c r="S3246" s="77">
        <v>5</v>
      </c>
      <c r="T3246" s="77">
        <v>0</v>
      </c>
      <c r="U3246" s="77">
        <v>0</v>
      </c>
      <c r="V3246" s="77">
        <v>726</v>
      </c>
      <c r="W3246" s="82" t="s">
        <v>4833</v>
      </c>
      <c r="X3246" s="80" t="str">
        <f>HYPERLINK("https://mla.bs/eb0f7851")</f>
        <v>https://mla.bs/eb0f7851</v>
      </c>
      <c r="Y3246" s="77" t="s">
        <v>6506</v>
      </c>
      <c r="Z3246" s="77"/>
      <c r="AA3246" s="77"/>
      <c r="AB3246" s="77"/>
      <c r="AC3246" s="82" t="s">
        <v>7757</v>
      </c>
      <c r="AD3246" s="77" t="s">
        <v>7788</v>
      </c>
      <c r="AE3246" s="80" t="str">
        <f>HYPERLINK("https://twitter.com/einvestidor/status/1679682127904874496")</f>
        <v>https://twitter.com/einvestidor/status/1679682127904874496</v>
      </c>
      <c r="AF3246" s="79">
        <v>45121.111111111109</v>
      </c>
      <c r="AG3246" s="85">
        <v>45121</v>
      </c>
      <c r="AH3246" s="82" t="s">
        <v>9665</v>
      </c>
      <c r="AI3246" s="77" t="b">
        <v>0</v>
      </c>
      <c r="AJ3246" s="77"/>
      <c r="AK3246" s="77"/>
      <c r="AL3246" s="77"/>
      <c r="AM3246" s="77"/>
      <c r="AN3246" s="77"/>
      <c r="AO3246" s="77"/>
      <c r="AP3246" s="77"/>
      <c r="AQ3246" s="77"/>
      <c r="AR3246" s="77"/>
      <c r="AS3246" s="77"/>
      <c r="AT3246" s="77"/>
      <c r="AU3246" s="77"/>
      <c r="AV3246" s="80" t="str">
        <f>HYPERLINK("https://pbs.twimg.com/profile_images/1241147984924082183/gZgx_hL-_normal.jpg")</f>
        <v>https://pbs.twimg.com/profile_images/1241147984924082183/gZgx_hL-_normal.jpg</v>
      </c>
      <c r="AW3246" s="82" t="s">
        <v>14842</v>
      </c>
      <c r="AX3246" s="82" t="s">
        <v>14842</v>
      </c>
      <c r="AY3246" s="77"/>
      <c r="AZ3246" s="82" t="s">
        <v>15984</v>
      </c>
      <c r="BA3246" s="82" t="s">
        <v>15984</v>
      </c>
      <c r="BB3246" s="82" t="s">
        <v>15984</v>
      </c>
      <c r="BC3246" s="82" t="s">
        <v>14842</v>
      </c>
      <c r="BD3246" s="82" t="s">
        <v>15979</v>
      </c>
      <c r="BE3246" s="77"/>
      <c r="BF3246" s="77"/>
      <c r="BG3246" s="77"/>
      <c r="BH3246" s="77"/>
      <c r="BI3246" s="77"/>
    </row>
    <row r="3247" spans="1:61" x14ac:dyDescent="0.25">
      <c r="A3247" s="62" t="s">
        <v>387</v>
      </c>
      <c r="B3247" s="62" t="s">
        <v>387</v>
      </c>
      <c r="C3247" s="63"/>
      <c r="D3247" s="64"/>
      <c r="E3247" s="65"/>
      <c r="F3247" s="66"/>
      <c r="G3247" s="63"/>
      <c r="H3247" s="67"/>
      <c r="I3247" s="68"/>
      <c r="J3247" s="68"/>
      <c r="K3247" s="32"/>
      <c r="L3247" s="75">
        <v>3247</v>
      </c>
      <c r="M3247" s="75"/>
      <c r="N3247" s="70"/>
      <c r="O3247" s="77" t="s">
        <v>179</v>
      </c>
      <c r="P3247" s="79">
        <v>45121.097222222219</v>
      </c>
      <c r="Q3247" s="77" t="s">
        <v>3919</v>
      </c>
      <c r="R3247" s="77">
        <v>0</v>
      </c>
      <c r="S3247" s="77">
        <v>0</v>
      </c>
      <c r="T3247" s="77">
        <v>0</v>
      </c>
      <c r="U3247" s="77">
        <v>0</v>
      </c>
      <c r="V3247" s="77">
        <v>701</v>
      </c>
      <c r="W3247" s="82" t="s">
        <v>6184</v>
      </c>
      <c r="X3247" s="80" t="str">
        <f>HYPERLINK("https://mla.bs/1748f943")</f>
        <v>https://mla.bs/1748f943</v>
      </c>
      <c r="Y3247" s="77" t="s">
        <v>6506</v>
      </c>
      <c r="Z3247" s="77"/>
      <c r="AA3247" s="77"/>
      <c r="AB3247" s="77"/>
      <c r="AC3247" s="82" t="s">
        <v>7757</v>
      </c>
      <c r="AD3247" s="77" t="s">
        <v>7788</v>
      </c>
      <c r="AE3247" s="80" t="str">
        <f>HYPERLINK("https://twitter.com/einvestidor/status/1679677094043820032")</f>
        <v>https://twitter.com/einvestidor/status/1679677094043820032</v>
      </c>
      <c r="AF3247" s="79">
        <v>45121.097222222219</v>
      </c>
      <c r="AG3247" s="85">
        <v>45121</v>
      </c>
      <c r="AH3247" s="82" t="s">
        <v>9666</v>
      </c>
      <c r="AI3247" s="77" t="b">
        <v>0</v>
      </c>
      <c r="AJ3247" s="77"/>
      <c r="AK3247" s="77"/>
      <c r="AL3247" s="77"/>
      <c r="AM3247" s="77"/>
      <c r="AN3247" s="77"/>
      <c r="AO3247" s="77"/>
      <c r="AP3247" s="77"/>
      <c r="AQ3247" s="77"/>
      <c r="AR3247" s="77"/>
      <c r="AS3247" s="77"/>
      <c r="AT3247" s="77"/>
      <c r="AU3247" s="77"/>
      <c r="AV3247" s="80" t="str">
        <f>HYPERLINK("https://pbs.twimg.com/profile_images/1241147984924082183/gZgx_hL-_normal.jpg")</f>
        <v>https://pbs.twimg.com/profile_images/1241147984924082183/gZgx_hL-_normal.jpg</v>
      </c>
      <c r="AW3247" s="82" t="s">
        <v>14843</v>
      </c>
      <c r="AX3247" s="82" t="s">
        <v>14843</v>
      </c>
      <c r="AY3247" s="77"/>
      <c r="AZ3247" s="82" t="s">
        <v>15984</v>
      </c>
      <c r="BA3247" s="82" t="s">
        <v>15984</v>
      </c>
      <c r="BB3247" s="82" t="s">
        <v>15984</v>
      </c>
      <c r="BC3247" s="82" t="s">
        <v>14843</v>
      </c>
      <c r="BD3247" s="82" t="s">
        <v>15979</v>
      </c>
      <c r="BE3247" s="77"/>
      <c r="BF3247" s="77"/>
      <c r="BG3247" s="77"/>
      <c r="BH3247" s="77"/>
      <c r="BI3247" s="77"/>
    </row>
    <row r="3248" spans="1:61" x14ac:dyDescent="0.25">
      <c r="A3248" s="62" t="s">
        <v>387</v>
      </c>
      <c r="B3248" s="62" t="s">
        <v>387</v>
      </c>
      <c r="C3248" s="63"/>
      <c r="D3248" s="64"/>
      <c r="E3248" s="65"/>
      <c r="F3248" s="66"/>
      <c r="G3248" s="63"/>
      <c r="H3248" s="67"/>
      <c r="I3248" s="68"/>
      <c r="J3248" s="68"/>
      <c r="K3248" s="32"/>
      <c r="L3248" s="75">
        <v>3248</v>
      </c>
      <c r="M3248" s="75"/>
      <c r="N3248" s="70"/>
      <c r="O3248" s="77" t="s">
        <v>179</v>
      </c>
      <c r="P3248" s="79">
        <v>45121.083460648151</v>
      </c>
      <c r="Q3248" s="77" t="s">
        <v>3920</v>
      </c>
      <c r="R3248" s="77">
        <v>1</v>
      </c>
      <c r="S3248" s="77">
        <v>1</v>
      </c>
      <c r="T3248" s="77">
        <v>0</v>
      </c>
      <c r="U3248" s="77">
        <v>0</v>
      </c>
      <c r="V3248" s="77">
        <v>781</v>
      </c>
      <c r="W3248" s="82" t="s">
        <v>6256</v>
      </c>
      <c r="X3248" s="80" t="str">
        <f>HYPERLINK("https://mla.bs/8e08d361")</f>
        <v>https://mla.bs/8e08d361</v>
      </c>
      <c r="Y3248" s="77" t="s">
        <v>6506</v>
      </c>
      <c r="Z3248" s="77"/>
      <c r="AA3248" s="77"/>
      <c r="AB3248" s="77"/>
      <c r="AC3248" s="82" t="s">
        <v>7757</v>
      </c>
      <c r="AD3248" s="77" t="s">
        <v>7788</v>
      </c>
      <c r="AE3248" s="80" t="str">
        <f>HYPERLINK("https://twitter.com/einvestidor/status/1679672106097819648")</f>
        <v>https://twitter.com/einvestidor/status/1679672106097819648</v>
      </c>
      <c r="AF3248" s="79">
        <v>45121.083460648151</v>
      </c>
      <c r="AG3248" s="85">
        <v>45121</v>
      </c>
      <c r="AH3248" s="82" t="s">
        <v>9995</v>
      </c>
      <c r="AI3248" s="77" t="b">
        <v>0</v>
      </c>
      <c r="AJ3248" s="77"/>
      <c r="AK3248" s="77"/>
      <c r="AL3248" s="77"/>
      <c r="AM3248" s="77"/>
      <c r="AN3248" s="77"/>
      <c r="AO3248" s="77"/>
      <c r="AP3248" s="77"/>
      <c r="AQ3248" s="77"/>
      <c r="AR3248" s="77"/>
      <c r="AS3248" s="77"/>
      <c r="AT3248" s="77"/>
      <c r="AU3248" s="77"/>
      <c r="AV3248" s="80" t="str">
        <f>HYPERLINK("https://pbs.twimg.com/profile_images/1241147984924082183/gZgx_hL-_normal.jpg")</f>
        <v>https://pbs.twimg.com/profile_images/1241147984924082183/gZgx_hL-_normal.jpg</v>
      </c>
      <c r="AW3248" s="82" t="s">
        <v>14844</v>
      </c>
      <c r="AX3248" s="82" t="s">
        <v>14844</v>
      </c>
      <c r="AY3248" s="77"/>
      <c r="AZ3248" s="82" t="s">
        <v>15984</v>
      </c>
      <c r="BA3248" s="82" t="s">
        <v>15984</v>
      </c>
      <c r="BB3248" s="82" t="s">
        <v>15984</v>
      </c>
      <c r="BC3248" s="82" t="s">
        <v>14844</v>
      </c>
      <c r="BD3248" s="82" t="s">
        <v>15979</v>
      </c>
      <c r="BE3248" s="77"/>
      <c r="BF3248" s="77"/>
      <c r="BG3248" s="77"/>
      <c r="BH3248" s="77"/>
      <c r="BI3248" s="77"/>
    </row>
    <row r="3249" spans="1:61" x14ac:dyDescent="0.25">
      <c r="A3249" s="62" t="s">
        <v>387</v>
      </c>
      <c r="B3249" s="62" t="s">
        <v>387</v>
      </c>
      <c r="C3249" s="63"/>
      <c r="D3249" s="64"/>
      <c r="E3249" s="65"/>
      <c r="F3249" s="66"/>
      <c r="G3249" s="63"/>
      <c r="H3249" s="67"/>
      <c r="I3249" s="68"/>
      <c r="J3249" s="68"/>
      <c r="K3249" s="32"/>
      <c r="L3249" s="75">
        <v>3249</v>
      </c>
      <c r="M3249" s="75"/>
      <c r="N3249" s="70"/>
      <c r="O3249" s="77" t="s">
        <v>179</v>
      </c>
      <c r="P3249" s="79">
        <v>45121.069444444445</v>
      </c>
      <c r="Q3249" s="77" t="s">
        <v>3921</v>
      </c>
      <c r="R3249" s="77">
        <v>0</v>
      </c>
      <c r="S3249" s="77">
        <v>1</v>
      </c>
      <c r="T3249" s="77">
        <v>0</v>
      </c>
      <c r="U3249" s="77">
        <v>0</v>
      </c>
      <c r="V3249" s="77">
        <v>799</v>
      </c>
      <c r="W3249" s="82" t="s">
        <v>6257</v>
      </c>
      <c r="X3249" s="80" t="str">
        <f>HYPERLINK("https://mla.bs/f848c4da")</f>
        <v>https://mla.bs/f848c4da</v>
      </c>
      <c r="Y3249" s="77" t="s">
        <v>6506</v>
      </c>
      <c r="Z3249" s="77"/>
      <c r="AA3249" s="77"/>
      <c r="AB3249" s="77"/>
      <c r="AC3249" s="82" t="s">
        <v>7757</v>
      </c>
      <c r="AD3249" s="77" t="s">
        <v>7788</v>
      </c>
      <c r="AE3249" s="80" t="str">
        <f>HYPERLINK("https://twitter.com/einvestidor/status/1679667028288757760")</f>
        <v>https://twitter.com/einvestidor/status/1679667028288757760</v>
      </c>
      <c r="AF3249" s="79">
        <v>45121.069444444445</v>
      </c>
      <c r="AG3249" s="85">
        <v>45121</v>
      </c>
      <c r="AH3249" s="82" t="s">
        <v>9915</v>
      </c>
      <c r="AI3249" s="77" t="b">
        <v>0</v>
      </c>
      <c r="AJ3249" s="77"/>
      <c r="AK3249" s="77"/>
      <c r="AL3249" s="77"/>
      <c r="AM3249" s="77"/>
      <c r="AN3249" s="77"/>
      <c r="AO3249" s="77"/>
      <c r="AP3249" s="77"/>
      <c r="AQ3249" s="77"/>
      <c r="AR3249" s="77"/>
      <c r="AS3249" s="77"/>
      <c r="AT3249" s="77"/>
      <c r="AU3249" s="77"/>
      <c r="AV3249" s="80" t="str">
        <f>HYPERLINK("https://pbs.twimg.com/profile_images/1241147984924082183/gZgx_hL-_normal.jpg")</f>
        <v>https://pbs.twimg.com/profile_images/1241147984924082183/gZgx_hL-_normal.jpg</v>
      </c>
      <c r="AW3249" s="82" t="s">
        <v>14845</v>
      </c>
      <c r="AX3249" s="82" t="s">
        <v>14845</v>
      </c>
      <c r="AY3249" s="77"/>
      <c r="AZ3249" s="82" t="s">
        <v>15984</v>
      </c>
      <c r="BA3249" s="82" t="s">
        <v>15984</v>
      </c>
      <c r="BB3249" s="82" t="s">
        <v>15984</v>
      </c>
      <c r="BC3249" s="82" t="s">
        <v>14845</v>
      </c>
      <c r="BD3249" s="82" t="s">
        <v>15979</v>
      </c>
      <c r="BE3249" s="77"/>
      <c r="BF3249" s="77"/>
      <c r="BG3249" s="77"/>
      <c r="BH3249" s="77"/>
      <c r="BI3249" s="77"/>
    </row>
    <row r="3250" spans="1:61" x14ac:dyDescent="0.25">
      <c r="A3250" s="62" t="s">
        <v>387</v>
      </c>
      <c r="B3250" s="62" t="s">
        <v>387</v>
      </c>
      <c r="C3250" s="63"/>
      <c r="D3250" s="64"/>
      <c r="E3250" s="65"/>
      <c r="F3250" s="66"/>
      <c r="G3250" s="63"/>
      <c r="H3250" s="67"/>
      <c r="I3250" s="68"/>
      <c r="J3250" s="68"/>
      <c r="K3250" s="32"/>
      <c r="L3250" s="75">
        <v>3250</v>
      </c>
      <c r="M3250" s="75"/>
      <c r="N3250" s="70"/>
      <c r="O3250" s="77" t="s">
        <v>179</v>
      </c>
      <c r="P3250" s="79">
        <v>45121.055555555555</v>
      </c>
      <c r="Q3250" s="77" t="s">
        <v>3922</v>
      </c>
      <c r="R3250" s="77">
        <v>0</v>
      </c>
      <c r="S3250" s="77">
        <v>0</v>
      </c>
      <c r="T3250" s="77">
        <v>0</v>
      </c>
      <c r="U3250" s="77">
        <v>0</v>
      </c>
      <c r="V3250" s="77">
        <v>701</v>
      </c>
      <c r="W3250" s="82" t="s">
        <v>6258</v>
      </c>
      <c r="X3250" s="80" t="str">
        <f>HYPERLINK("https://mla.bs/e351da29")</f>
        <v>https://mla.bs/e351da29</v>
      </c>
      <c r="Y3250" s="77" t="s">
        <v>6506</v>
      </c>
      <c r="Z3250" s="77"/>
      <c r="AA3250" s="77"/>
      <c r="AB3250" s="77"/>
      <c r="AC3250" s="82" t="s">
        <v>7757</v>
      </c>
      <c r="AD3250" s="77" t="s">
        <v>7788</v>
      </c>
      <c r="AE3250" s="80" t="str">
        <f>HYPERLINK("https://twitter.com/einvestidor/status/1679661994108940288")</f>
        <v>https://twitter.com/einvestidor/status/1679661994108940288</v>
      </c>
      <c r="AF3250" s="79">
        <v>45121.055555555555</v>
      </c>
      <c r="AG3250" s="85">
        <v>45121</v>
      </c>
      <c r="AH3250" s="82" t="s">
        <v>8970</v>
      </c>
      <c r="AI3250" s="77" t="b">
        <v>0</v>
      </c>
      <c r="AJ3250" s="77"/>
      <c r="AK3250" s="77"/>
      <c r="AL3250" s="77"/>
      <c r="AM3250" s="77"/>
      <c r="AN3250" s="77"/>
      <c r="AO3250" s="77"/>
      <c r="AP3250" s="77"/>
      <c r="AQ3250" s="77"/>
      <c r="AR3250" s="77"/>
      <c r="AS3250" s="77"/>
      <c r="AT3250" s="77"/>
      <c r="AU3250" s="77"/>
      <c r="AV3250" s="80" t="str">
        <f>HYPERLINK("https://pbs.twimg.com/profile_images/1241147984924082183/gZgx_hL-_normal.jpg")</f>
        <v>https://pbs.twimg.com/profile_images/1241147984924082183/gZgx_hL-_normal.jpg</v>
      </c>
      <c r="AW3250" s="82" t="s">
        <v>14846</v>
      </c>
      <c r="AX3250" s="82" t="s">
        <v>14846</v>
      </c>
      <c r="AY3250" s="77"/>
      <c r="AZ3250" s="82" t="s">
        <v>15984</v>
      </c>
      <c r="BA3250" s="82" t="s">
        <v>15984</v>
      </c>
      <c r="BB3250" s="82" t="s">
        <v>15984</v>
      </c>
      <c r="BC3250" s="82" t="s">
        <v>14846</v>
      </c>
      <c r="BD3250" s="82" t="s">
        <v>15979</v>
      </c>
      <c r="BE3250" s="77"/>
      <c r="BF3250" s="77"/>
      <c r="BG3250" s="77"/>
      <c r="BH3250" s="77"/>
      <c r="BI3250" s="77"/>
    </row>
    <row r="3251" spans="1:61" x14ac:dyDescent="0.25">
      <c r="A3251" s="62" t="s">
        <v>387</v>
      </c>
      <c r="B3251" s="62" t="s">
        <v>387</v>
      </c>
      <c r="C3251" s="63"/>
      <c r="D3251" s="64"/>
      <c r="E3251" s="65"/>
      <c r="F3251" s="66"/>
      <c r="G3251" s="63"/>
      <c r="H3251" s="67"/>
      <c r="I3251" s="68"/>
      <c r="J3251" s="68"/>
      <c r="K3251" s="32"/>
      <c r="L3251" s="75">
        <v>3251</v>
      </c>
      <c r="M3251" s="75"/>
      <c r="N3251" s="70"/>
      <c r="O3251" s="77" t="s">
        <v>179</v>
      </c>
      <c r="P3251" s="79">
        <v>45121.04210648148</v>
      </c>
      <c r="Q3251" s="77" t="s">
        <v>3923</v>
      </c>
      <c r="R3251" s="77">
        <v>1</v>
      </c>
      <c r="S3251" s="77">
        <v>4</v>
      </c>
      <c r="T3251" s="77">
        <v>0</v>
      </c>
      <c r="U3251" s="77">
        <v>1</v>
      </c>
      <c r="V3251" s="77">
        <v>767</v>
      </c>
      <c r="W3251" s="82" t="s">
        <v>6259</v>
      </c>
      <c r="X3251" s="80" t="str">
        <f>HYPERLINK("https://mla.bs/a219ec67")</f>
        <v>https://mla.bs/a219ec67</v>
      </c>
      <c r="Y3251" s="77" t="s">
        <v>6506</v>
      </c>
      <c r="Z3251" s="77"/>
      <c r="AA3251" s="77"/>
      <c r="AB3251" s="77"/>
      <c r="AC3251" s="82" t="s">
        <v>7757</v>
      </c>
      <c r="AD3251" s="77" t="s">
        <v>7788</v>
      </c>
      <c r="AE3251" s="80" t="str">
        <f>HYPERLINK("https://twitter.com/einvestidor/status/1679657119119753218")</f>
        <v>https://twitter.com/einvestidor/status/1679657119119753218</v>
      </c>
      <c r="AF3251" s="79">
        <v>45121.04210648148</v>
      </c>
      <c r="AG3251" s="85">
        <v>45121</v>
      </c>
      <c r="AH3251" s="82" t="s">
        <v>9996</v>
      </c>
      <c r="AI3251" s="77" t="b">
        <v>0</v>
      </c>
      <c r="AJ3251" s="77"/>
      <c r="AK3251" s="77"/>
      <c r="AL3251" s="77"/>
      <c r="AM3251" s="77"/>
      <c r="AN3251" s="77"/>
      <c r="AO3251" s="77"/>
      <c r="AP3251" s="77"/>
      <c r="AQ3251" s="77"/>
      <c r="AR3251" s="77"/>
      <c r="AS3251" s="77"/>
      <c r="AT3251" s="77"/>
      <c r="AU3251" s="77"/>
      <c r="AV3251" s="80" t="str">
        <f>HYPERLINK("https://pbs.twimg.com/profile_images/1241147984924082183/gZgx_hL-_normal.jpg")</f>
        <v>https://pbs.twimg.com/profile_images/1241147984924082183/gZgx_hL-_normal.jpg</v>
      </c>
      <c r="AW3251" s="82" t="s">
        <v>14847</v>
      </c>
      <c r="AX3251" s="82" t="s">
        <v>14847</v>
      </c>
      <c r="AY3251" s="77"/>
      <c r="AZ3251" s="82" t="s">
        <v>15984</v>
      </c>
      <c r="BA3251" s="82" t="s">
        <v>15984</v>
      </c>
      <c r="BB3251" s="82" t="s">
        <v>15984</v>
      </c>
      <c r="BC3251" s="82" t="s">
        <v>14847</v>
      </c>
      <c r="BD3251" s="82" t="s">
        <v>15979</v>
      </c>
      <c r="BE3251" s="77"/>
      <c r="BF3251" s="77"/>
      <c r="BG3251" s="77"/>
      <c r="BH3251" s="77"/>
      <c r="BI3251" s="77"/>
    </row>
    <row r="3252" spans="1:61" x14ac:dyDescent="0.25">
      <c r="A3252" s="62" t="s">
        <v>387</v>
      </c>
      <c r="B3252" s="62" t="s">
        <v>387</v>
      </c>
      <c r="C3252" s="63"/>
      <c r="D3252" s="64"/>
      <c r="E3252" s="65"/>
      <c r="F3252" s="66"/>
      <c r="G3252" s="63"/>
      <c r="H3252" s="67"/>
      <c r="I3252" s="68"/>
      <c r="J3252" s="68"/>
      <c r="K3252" s="32"/>
      <c r="L3252" s="75">
        <v>3252</v>
      </c>
      <c r="M3252" s="75"/>
      <c r="N3252" s="70"/>
      <c r="O3252" s="77" t="s">
        <v>179</v>
      </c>
      <c r="P3252" s="79">
        <v>45121.027789351851</v>
      </c>
      <c r="Q3252" s="77" t="s">
        <v>3924</v>
      </c>
      <c r="R3252" s="77">
        <v>1</v>
      </c>
      <c r="S3252" s="77">
        <v>3</v>
      </c>
      <c r="T3252" s="77">
        <v>0</v>
      </c>
      <c r="U3252" s="77">
        <v>0</v>
      </c>
      <c r="V3252" s="77">
        <v>740</v>
      </c>
      <c r="W3252" s="82" t="s">
        <v>5959</v>
      </c>
      <c r="X3252" s="80" t="str">
        <f>HYPERLINK("https://mla.bs/8b36ad5d")</f>
        <v>https://mla.bs/8b36ad5d</v>
      </c>
      <c r="Y3252" s="77" t="s">
        <v>6506</v>
      </c>
      <c r="Z3252" s="77"/>
      <c r="AA3252" s="77"/>
      <c r="AB3252" s="77"/>
      <c r="AC3252" s="82" t="s">
        <v>7757</v>
      </c>
      <c r="AD3252" s="77" t="s">
        <v>7788</v>
      </c>
      <c r="AE3252" s="80" t="str">
        <f>HYPERLINK("https://twitter.com/einvestidor/status/1679651929419313154")</f>
        <v>https://twitter.com/einvestidor/status/1679651929419313154</v>
      </c>
      <c r="AF3252" s="79">
        <v>45121.027789351851</v>
      </c>
      <c r="AG3252" s="85">
        <v>45121</v>
      </c>
      <c r="AH3252" s="82" t="s">
        <v>9997</v>
      </c>
      <c r="AI3252" s="77" t="b">
        <v>0</v>
      </c>
      <c r="AJ3252" s="77"/>
      <c r="AK3252" s="77"/>
      <c r="AL3252" s="77"/>
      <c r="AM3252" s="77"/>
      <c r="AN3252" s="77"/>
      <c r="AO3252" s="77"/>
      <c r="AP3252" s="77"/>
      <c r="AQ3252" s="77"/>
      <c r="AR3252" s="77"/>
      <c r="AS3252" s="77"/>
      <c r="AT3252" s="77"/>
      <c r="AU3252" s="77"/>
      <c r="AV3252" s="80" t="str">
        <f>HYPERLINK("https://pbs.twimg.com/profile_images/1241147984924082183/gZgx_hL-_normal.jpg")</f>
        <v>https://pbs.twimg.com/profile_images/1241147984924082183/gZgx_hL-_normal.jpg</v>
      </c>
      <c r="AW3252" s="82" t="s">
        <v>14848</v>
      </c>
      <c r="AX3252" s="82" t="s">
        <v>14848</v>
      </c>
      <c r="AY3252" s="77"/>
      <c r="AZ3252" s="82" t="s">
        <v>15984</v>
      </c>
      <c r="BA3252" s="82" t="s">
        <v>15984</v>
      </c>
      <c r="BB3252" s="82" t="s">
        <v>15984</v>
      </c>
      <c r="BC3252" s="82" t="s">
        <v>14848</v>
      </c>
      <c r="BD3252" s="82" t="s">
        <v>15979</v>
      </c>
      <c r="BE3252" s="77"/>
      <c r="BF3252" s="77"/>
      <c r="BG3252" s="77"/>
      <c r="BH3252" s="77"/>
      <c r="BI3252" s="77"/>
    </row>
    <row r="3253" spans="1:61" x14ac:dyDescent="0.25">
      <c r="A3253" s="62" t="s">
        <v>387</v>
      </c>
      <c r="B3253" s="62" t="s">
        <v>387</v>
      </c>
      <c r="C3253" s="63"/>
      <c r="D3253" s="64"/>
      <c r="E3253" s="65"/>
      <c r="F3253" s="66"/>
      <c r="G3253" s="63"/>
      <c r="H3253" s="67"/>
      <c r="I3253" s="68"/>
      <c r="J3253" s="68"/>
      <c r="K3253" s="32"/>
      <c r="L3253" s="75">
        <v>3253</v>
      </c>
      <c r="M3253" s="75"/>
      <c r="N3253" s="70"/>
      <c r="O3253" s="77" t="s">
        <v>179</v>
      </c>
      <c r="P3253" s="79">
        <v>45121.01390046296</v>
      </c>
      <c r="Q3253" s="77" t="s">
        <v>3925</v>
      </c>
      <c r="R3253" s="77">
        <v>0</v>
      </c>
      <c r="S3253" s="77">
        <v>0</v>
      </c>
      <c r="T3253" s="77">
        <v>0</v>
      </c>
      <c r="U3253" s="77">
        <v>0</v>
      </c>
      <c r="V3253" s="77">
        <v>774</v>
      </c>
      <c r="W3253" s="82" t="s">
        <v>5907</v>
      </c>
      <c r="X3253" s="80" t="str">
        <f>HYPERLINK("https://mla.bs/55851d6f")</f>
        <v>https://mla.bs/55851d6f</v>
      </c>
      <c r="Y3253" s="77" t="s">
        <v>6506</v>
      </c>
      <c r="Z3253" s="77"/>
      <c r="AA3253" s="77"/>
      <c r="AB3253" s="77"/>
      <c r="AC3253" s="82" t="s">
        <v>7757</v>
      </c>
      <c r="AD3253" s="77" t="s">
        <v>7788</v>
      </c>
      <c r="AE3253" s="80" t="str">
        <f>HYPERLINK("https://twitter.com/einvestidor/status/1679646896074235905")</f>
        <v>https://twitter.com/einvestidor/status/1679646896074235905</v>
      </c>
      <c r="AF3253" s="79">
        <v>45121.01390046296</v>
      </c>
      <c r="AG3253" s="85">
        <v>45121</v>
      </c>
      <c r="AH3253" s="82" t="s">
        <v>9687</v>
      </c>
      <c r="AI3253" s="77" t="b">
        <v>0</v>
      </c>
      <c r="AJ3253" s="77"/>
      <c r="AK3253" s="77"/>
      <c r="AL3253" s="77"/>
      <c r="AM3253" s="77"/>
      <c r="AN3253" s="77"/>
      <c r="AO3253" s="77"/>
      <c r="AP3253" s="77"/>
      <c r="AQ3253" s="77"/>
      <c r="AR3253" s="77"/>
      <c r="AS3253" s="77"/>
      <c r="AT3253" s="77"/>
      <c r="AU3253" s="77"/>
      <c r="AV3253" s="80" t="str">
        <f>HYPERLINK("https://pbs.twimg.com/profile_images/1241147984924082183/gZgx_hL-_normal.jpg")</f>
        <v>https://pbs.twimg.com/profile_images/1241147984924082183/gZgx_hL-_normal.jpg</v>
      </c>
      <c r="AW3253" s="82" t="s">
        <v>14849</v>
      </c>
      <c r="AX3253" s="82" t="s">
        <v>14849</v>
      </c>
      <c r="AY3253" s="77"/>
      <c r="AZ3253" s="82" t="s">
        <v>15984</v>
      </c>
      <c r="BA3253" s="82" t="s">
        <v>15984</v>
      </c>
      <c r="BB3253" s="82" t="s">
        <v>15984</v>
      </c>
      <c r="BC3253" s="82" t="s">
        <v>14849</v>
      </c>
      <c r="BD3253" s="82" t="s">
        <v>15979</v>
      </c>
      <c r="BE3253" s="77"/>
      <c r="BF3253" s="77"/>
      <c r="BG3253" s="77"/>
      <c r="BH3253" s="77"/>
      <c r="BI3253" s="77"/>
    </row>
    <row r="3254" spans="1:61" x14ac:dyDescent="0.25">
      <c r="A3254" s="62" t="s">
        <v>387</v>
      </c>
      <c r="B3254" s="62" t="s">
        <v>387</v>
      </c>
      <c r="C3254" s="63"/>
      <c r="D3254" s="64"/>
      <c r="E3254" s="65"/>
      <c r="F3254" s="66"/>
      <c r="G3254" s="63"/>
      <c r="H3254" s="67"/>
      <c r="I3254" s="68"/>
      <c r="J3254" s="68"/>
      <c r="K3254" s="32"/>
      <c r="L3254" s="75">
        <v>3254</v>
      </c>
      <c r="M3254" s="75"/>
      <c r="N3254" s="70"/>
      <c r="O3254" s="77" t="s">
        <v>179</v>
      </c>
      <c r="P3254" s="79">
        <v>45121.000428240739</v>
      </c>
      <c r="Q3254" s="77" t="s">
        <v>3926</v>
      </c>
      <c r="R3254" s="77">
        <v>0</v>
      </c>
      <c r="S3254" s="77">
        <v>5</v>
      </c>
      <c r="T3254" s="77">
        <v>0</v>
      </c>
      <c r="U3254" s="77">
        <v>0</v>
      </c>
      <c r="V3254" s="77">
        <v>858</v>
      </c>
      <c r="W3254" s="82" t="s">
        <v>6260</v>
      </c>
      <c r="X3254" s="80" t="str">
        <f>HYPERLINK("https://mla.bs/e640ed50")</f>
        <v>https://mla.bs/e640ed50</v>
      </c>
      <c r="Y3254" s="77" t="s">
        <v>6506</v>
      </c>
      <c r="Z3254" s="77"/>
      <c r="AA3254" s="77"/>
      <c r="AB3254" s="77"/>
      <c r="AC3254" s="82" t="s">
        <v>7757</v>
      </c>
      <c r="AD3254" s="77" t="s">
        <v>7788</v>
      </c>
      <c r="AE3254" s="80" t="str">
        <f>HYPERLINK("https://twitter.com/einvestidor/status/1679642017750474752")</f>
        <v>https://twitter.com/einvestidor/status/1679642017750474752</v>
      </c>
      <c r="AF3254" s="79">
        <v>45121.000428240739</v>
      </c>
      <c r="AG3254" s="85">
        <v>45121</v>
      </c>
      <c r="AH3254" s="82" t="s">
        <v>9998</v>
      </c>
      <c r="AI3254" s="77" t="b">
        <v>0</v>
      </c>
      <c r="AJ3254" s="77"/>
      <c r="AK3254" s="77"/>
      <c r="AL3254" s="77"/>
      <c r="AM3254" s="77"/>
      <c r="AN3254" s="77"/>
      <c r="AO3254" s="77"/>
      <c r="AP3254" s="77"/>
      <c r="AQ3254" s="77"/>
      <c r="AR3254" s="77"/>
      <c r="AS3254" s="77"/>
      <c r="AT3254" s="77"/>
      <c r="AU3254" s="77"/>
      <c r="AV3254" s="80" t="str">
        <f>HYPERLINK("https://pbs.twimg.com/profile_images/1241147984924082183/gZgx_hL-_normal.jpg")</f>
        <v>https://pbs.twimg.com/profile_images/1241147984924082183/gZgx_hL-_normal.jpg</v>
      </c>
      <c r="AW3254" s="82" t="s">
        <v>14850</v>
      </c>
      <c r="AX3254" s="82" t="s">
        <v>14850</v>
      </c>
      <c r="AY3254" s="77"/>
      <c r="AZ3254" s="82" t="s">
        <v>15984</v>
      </c>
      <c r="BA3254" s="82" t="s">
        <v>15984</v>
      </c>
      <c r="BB3254" s="82" t="s">
        <v>15984</v>
      </c>
      <c r="BC3254" s="82" t="s">
        <v>14850</v>
      </c>
      <c r="BD3254" s="82" t="s">
        <v>15979</v>
      </c>
      <c r="BE3254" s="77"/>
      <c r="BF3254" s="77"/>
      <c r="BG3254" s="77"/>
      <c r="BH3254" s="77"/>
      <c r="BI3254" s="77"/>
    </row>
    <row r="3255" spans="1:61" x14ac:dyDescent="0.25">
      <c r="A3255" s="62" t="s">
        <v>387</v>
      </c>
      <c r="B3255" s="62" t="s">
        <v>387</v>
      </c>
      <c r="C3255" s="63"/>
      <c r="D3255" s="64"/>
      <c r="E3255" s="65"/>
      <c r="F3255" s="66"/>
      <c r="G3255" s="63"/>
      <c r="H3255" s="67"/>
      <c r="I3255" s="68"/>
      <c r="J3255" s="68"/>
      <c r="K3255" s="32"/>
      <c r="L3255" s="75">
        <v>3255</v>
      </c>
      <c r="M3255" s="75"/>
      <c r="N3255" s="70"/>
      <c r="O3255" s="77" t="s">
        <v>179</v>
      </c>
      <c r="P3255" s="79">
        <v>45120.986157407409</v>
      </c>
      <c r="Q3255" s="77" t="s">
        <v>3927</v>
      </c>
      <c r="R3255" s="77">
        <v>1</v>
      </c>
      <c r="S3255" s="77">
        <v>4</v>
      </c>
      <c r="T3255" s="77">
        <v>0</v>
      </c>
      <c r="U3255" s="77">
        <v>0</v>
      </c>
      <c r="V3255" s="77">
        <v>734</v>
      </c>
      <c r="W3255" s="82" t="s">
        <v>5941</v>
      </c>
      <c r="X3255" s="80" t="str">
        <f>HYPERLINK("https://mla.bs/950f5a23")</f>
        <v>https://mla.bs/950f5a23</v>
      </c>
      <c r="Y3255" s="77" t="s">
        <v>6506</v>
      </c>
      <c r="Z3255" s="77"/>
      <c r="AA3255" s="77"/>
      <c r="AB3255" s="77"/>
      <c r="AC3255" s="82" t="s">
        <v>7757</v>
      </c>
      <c r="AD3255" s="77" t="s">
        <v>7788</v>
      </c>
      <c r="AE3255" s="80" t="str">
        <f>HYPERLINK("https://twitter.com/einvestidor/status/1679636843212546048")</f>
        <v>https://twitter.com/einvestidor/status/1679636843212546048</v>
      </c>
      <c r="AF3255" s="79">
        <v>45120.986157407409</v>
      </c>
      <c r="AG3255" s="85">
        <v>45120</v>
      </c>
      <c r="AH3255" s="82" t="s">
        <v>9889</v>
      </c>
      <c r="AI3255" s="77" t="b">
        <v>0</v>
      </c>
      <c r="AJ3255" s="77"/>
      <c r="AK3255" s="77"/>
      <c r="AL3255" s="77"/>
      <c r="AM3255" s="77"/>
      <c r="AN3255" s="77"/>
      <c r="AO3255" s="77"/>
      <c r="AP3255" s="77"/>
      <c r="AQ3255" s="77"/>
      <c r="AR3255" s="77"/>
      <c r="AS3255" s="77"/>
      <c r="AT3255" s="77"/>
      <c r="AU3255" s="77"/>
      <c r="AV3255" s="80" t="str">
        <f>HYPERLINK("https://pbs.twimg.com/profile_images/1241147984924082183/gZgx_hL-_normal.jpg")</f>
        <v>https://pbs.twimg.com/profile_images/1241147984924082183/gZgx_hL-_normal.jpg</v>
      </c>
      <c r="AW3255" s="82" t="s">
        <v>14851</v>
      </c>
      <c r="AX3255" s="82" t="s">
        <v>14851</v>
      </c>
      <c r="AY3255" s="77"/>
      <c r="AZ3255" s="82" t="s">
        <v>15984</v>
      </c>
      <c r="BA3255" s="82" t="s">
        <v>15984</v>
      </c>
      <c r="BB3255" s="82" t="s">
        <v>15984</v>
      </c>
      <c r="BC3255" s="82" t="s">
        <v>14851</v>
      </c>
      <c r="BD3255" s="82" t="s">
        <v>15979</v>
      </c>
      <c r="BE3255" s="77"/>
      <c r="BF3255" s="77"/>
      <c r="BG3255" s="77"/>
      <c r="BH3255" s="77"/>
      <c r="BI3255" s="77"/>
    </row>
    <row r="3256" spans="1:61" x14ac:dyDescent="0.25">
      <c r="A3256" s="62" t="s">
        <v>387</v>
      </c>
      <c r="B3256" s="62" t="s">
        <v>387</v>
      </c>
      <c r="C3256" s="63"/>
      <c r="D3256" s="64"/>
      <c r="E3256" s="65"/>
      <c r="F3256" s="66"/>
      <c r="G3256" s="63"/>
      <c r="H3256" s="67"/>
      <c r="I3256" s="68"/>
      <c r="J3256" s="68"/>
      <c r="K3256" s="32"/>
      <c r="L3256" s="75">
        <v>3256</v>
      </c>
      <c r="M3256" s="75"/>
      <c r="N3256" s="70"/>
      <c r="O3256" s="77" t="s">
        <v>179</v>
      </c>
      <c r="P3256" s="79">
        <v>45120.972291666665</v>
      </c>
      <c r="Q3256" s="77" t="s">
        <v>3928</v>
      </c>
      <c r="R3256" s="77">
        <v>0</v>
      </c>
      <c r="S3256" s="77">
        <v>0</v>
      </c>
      <c r="T3256" s="77">
        <v>0</v>
      </c>
      <c r="U3256" s="77">
        <v>0</v>
      </c>
      <c r="V3256" s="77">
        <v>632</v>
      </c>
      <c r="W3256" s="82" t="s">
        <v>5942</v>
      </c>
      <c r="X3256" s="80" t="str">
        <f>HYPERLINK("https://mla.bs/e53ed0f8")</f>
        <v>https://mla.bs/e53ed0f8</v>
      </c>
      <c r="Y3256" s="77" t="s">
        <v>6506</v>
      </c>
      <c r="Z3256" s="77"/>
      <c r="AA3256" s="77"/>
      <c r="AB3256" s="77"/>
      <c r="AC3256" s="82" t="s">
        <v>7757</v>
      </c>
      <c r="AD3256" s="77" t="s">
        <v>7788</v>
      </c>
      <c r="AE3256" s="80" t="str">
        <f>HYPERLINK("https://twitter.com/einvestidor/status/1679631820302827520")</f>
        <v>https://twitter.com/einvestidor/status/1679631820302827520</v>
      </c>
      <c r="AF3256" s="79">
        <v>45120.972291666665</v>
      </c>
      <c r="AG3256" s="85">
        <v>45120</v>
      </c>
      <c r="AH3256" s="82" t="s">
        <v>9999</v>
      </c>
      <c r="AI3256" s="77" t="b">
        <v>0</v>
      </c>
      <c r="AJ3256" s="77"/>
      <c r="AK3256" s="77"/>
      <c r="AL3256" s="77"/>
      <c r="AM3256" s="77"/>
      <c r="AN3256" s="77"/>
      <c r="AO3256" s="77"/>
      <c r="AP3256" s="77"/>
      <c r="AQ3256" s="77"/>
      <c r="AR3256" s="77"/>
      <c r="AS3256" s="77"/>
      <c r="AT3256" s="77"/>
      <c r="AU3256" s="77"/>
      <c r="AV3256" s="80" t="str">
        <f>HYPERLINK("https://pbs.twimg.com/profile_images/1241147984924082183/gZgx_hL-_normal.jpg")</f>
        <v>https://pbs.twimg.com/profile_images/1241147984924082183/gZgx_hL-_normal.jpg</v>
      </c>
      <c r="AW3256" s="82" t="s">
        <v>14852</v>
      </c>
      <c r="AX3256" s="82" t="s">
        <v>14852</v>
      </c>
      <c r="AY3256" s="77"/>
      <c r="AZ3256" s="82" t="s">
        <v>15984</v>
      </c>
      <c r="BA3256" s="82" t="s">
        <v>15984</v>
      </c>
      <c r="BB3256" s="82" t="s">
        <v>15984</v>
      </c>
      <c r="BC3256" s="82" t="s">
        <v>14852</v>
      </c>
      <c r="BD3256" s="82" t="s">
        <v>15979</v>
      </c>
      <c r="BE3256" s="77"/>
      <c r="BF3256" s="77"/>
      <c r="BG3256" s="77"/>
      <c r="BH3256" s="77"/>
      <c r="BI3256" s="77"/>
    </row>
    <row r="3257" spans="1:61" x14ac:dyDescent="0.25">
      <c r="A3257" s="62" t="s">
        <v>387</v>
      </c>
      <c r="B3257" s="62" t="s">
        <v>387</v>
      </c>
      <c r="C3257" s="63"/>
      <c r="D3257" s="64"/>
      <c r="E3257" s="65"/>
      <c r="F3257" s="66"/>
      <c r="G3257" s="63"/>
      <c r="H3257" s="67"/>
      <c r="I3257" s="68"/>
      <c r="J3257" s="68"/>
      <c r="K3257" s="32"/>
      <c r="L3257" s="75">
        <v>3257</v>
      </c>
      <c r="M3257" s="75"/>
      <c r="N3257" s="70"/>
      <c r="O3257" s="77" t="s">
        <v>179</v>
      </c>
      <c r="P3257" s="79">
        <v>45120.958831018521</v>
      </c>
      <c r="Q3257" s="77" t="s">
        <v>3929</v>
      </c>
      <c r="R3257" s="77">
        <v>0</v>
      </c>
      <c r="S3257" s="77">
        <v>1</v>
      </c>
      <c r="T3257" s="77">
        <v>1</v>
      </c>
      <c r="U3257" s="77">
        <v>0</v>
      </c>
      <c r="V3257" s="77">
        <v>570</v>
      </c>
      <c r="W3257" s="82" t="s">
        <v>6261</v>
      </c>
      <c r="X3257" s="80" t="str">
        <f>HYPERLINK("https://mla.bs/07355866")</f>
        <v>https://mla.bs/07355866</v>
      </c>
      <c r="Y3257" s="77" t="s">
        <v>6506</v>
      </c>
      <c r="Z3257" s="77"/>
      <c r="AA3257" s="77"/>
      <c r="AB3257" s="77"/>
      <c r="AC3257" s="82" t="s">
        <v>7757</v>
      </c>
      <c r="AD3257" s="77" t="s">
        <v>7788</v>
      </c>
      <c r="AE3257" s="80" t="str">
        <f>HYPERLINK("https://twitter.com/einvestidor/status/1679626942113370114")</f>
        <v>https://twitter.com/einvestidor/status/1679626942113370114</v>
      </c>
      <c r="AF3257" s="79">
        <v>45120.958831018521</v>
      </c>
      <c r="AG3257" s="85">
        <v>45120</v>
      </c>
      <c r="AH3257" s="82" t="s">
        <v>10000</v>
      </c>
      <c r="AI3257" s="77" t="b">
        <v>0</v>
      </c>
      <c r="AJ3257" s="77"/>
      <c r="AK3257" s="77"/>
      <c r="AL3257" s="77"/>
      <c r="AM3257" s="77"/>
      <c r="AN3257" s="77"/>
      <c r="AO3257" s="77"/>
      <c r="AP3257" s="77"/>
      <c r="AQ3257" s="77"/>
      <c r="AR3257" s="77"/>
      <c r="AS3257" s="77"/>
      <c r="AT3257" s="77"/>
      <c r="AU3257" s="77"/>
      <c r="AV3257" s="80" t="str">
        <f>HYPERLINK("https://pbs.twimg.com/profile_images/1241147984924082183/gZgx_hL-_normal.jpg")</f>
        <v>https://pbs.twimg.com/profile_images/1241147984924082183/gZgx_hL-_normal.jpg</v>
      </c>
      <c r="AW3257" s="82" t="s">
        <v>14853</v>
      </c>
      <c r="AX3257" s="82" t="s">
        <v>14853</v>
      </c>
      <c r="AY3257" s="77"/>
      <c r="AZ3257" s="82" t="s">
        <v>15984</v>
      </c>
      <c r="BA3257" s="82" t="s">
        <v>15984</v>
      </c>
      <c r="BB3257" s="82" t="s">
        <v>15984</v>
      </c>
      <c r="BC3257" s="82" t="s">
        <v>14853</v>
      </c>
      <c r="BD3257" s="82" t="s">
        <v>15979</v>
      </c>
      <c r="BE3257" s="77"/>
      <c r="BF3257" s="77"/>
      <c r="BG3257" s="77"/>
      <c r="BH3257" s="77"/>
      <c r="BI3257" s="77"/>
    </row>
    <row r="3258" spans="1:61" x14ac:dyDescent="0.25">
      <c r="A3258" s="62" t="s">
        <v>387</v>
      </c>
      <c r="B3258" s="62" t="s">
        <v>387</v>
      </c>
      <c r="C3258" s="63"/>
      <c r="D3258" s="64"/>
      <c r="E3258" s="65"/>
      <c r="F3258" s="66"/>
      <c r="G3258" s="63"/>
      <c r="H3258" s="67"/>
      <c r="I3258" s="68"/>
      <c r="J3258" s="68"/>
      <c r="K3258" s="32"/>
      <c r="L3258" s="75">
        <v>3258</v>
      </c>
      <c r="M3258" s="75"/>
      <c r="N3258" s="70"/>
      <c r="O3258" s="77" t="s">
        <v>179</v>
      </c>
      <c r="P3258" s="79">
        <v>45120.944490740738</v>
      </c>
      <c r="Q3258" s="77" t="s">
        <v>3930</v>
      </c>
      <c r="R3258" s="77">
        <v>1</v>
      </c>
      <c r="S3258" s="77">
        <v>4</v>
      </c>
      <c r="T3258" s="77">
        <v>0</v>
      </c>
      <c r="U3258" s="77">
        <v>0</v>
      </c>
      <c r="V3258" s="77">
        <v>617</v>
      </c>
      <c r="W3258" s="82" t="s">
        <v>6013</v>
      </c>
      <c r="X3258" s="80" t="str">
        <f>HYPERLINK("https://mla.bs/86812d8d")</f>
        <v>https://mla.bs/86812d8d</v>
      </c>
      <c r="Y3258" s="77" t="s">
        <v>6506</v>
      </c>
      <c r="Z3258" s="77"/>
      <c r="AA3258" s="77"/>
      <c r="AB3258" s="77"/>
      <c r="AC3258" s="82" t="s">
        <v>7757</v>
      </c>
      <c r="AD3258" s="77" t="s">
        <v>7788</v>
      </c>
      <c r="AE3258" s="80" t="str">
        <f>HYPERLINK("https://twitter.com/einvestidor/status/1679621742862508032")</f>
        <v>https://twitter.com/einvestidor/status/1679621742862508032</v>
      </c>
      <c r="AF3258" s="79">
        <v>45120.944490740738</v>
      </c>
      <c r="AG3258" s="85">
        <v>45120</v>
      </c>
      <c r="AH3258" s="82" t="s">
        <v>10001</v>
      </c>
      <c r="AI3258" s="77" t="b">
        <v>0</v>
      </c>
      <c r="AJ3258" s="77"/>
      <c r="AK3258" s="77"/>
      <c r="AL3258" s="77"/>
      <c r="AM3258" s="77"/>
      <c r="AN3258" s="77"/>
      <c r="AO3258" s="77"/>
      <c r="AP3258" s="77"/>
      <c r="AQ3258" s="77"/>
      <c r="AR3258" s="77"/>
      <c r="AS3258" s="77"/>
      <c r="AT3258" s="77"/>
      <c r="AU3258" s="77"/>
      <c r="AV3258" s="80" t="str">
        <f>HYPERLINK("https://pbs.twimg.com/profile_images/1241147984924082183/gZgx_hL-_normal.jpg")</f>
        <v>https://pbs.twimg.com/profile_images/1241147984924082183/gZgx_hL-_normal.jpg</v>
      </c>
      <c r="AW3258" s="82" t="s">
        <v>14854</v>
      </c>
      <c r="AX3258" s="82" t="s">
        <v>14854</v>
      </c>
      <c r="AY3258" s="77"/>
      <c r="AZ3258" s="82" t="s">
        <v>15984</v>
      </c>
      <c r="BA3258" s="82" t="s">
        <v>15984</v>
      </c>
      <c r="BB3258" s="82" t="s">
        <v>15984</v>
      </c>
      <c r="BC3258" s="82" t="s">
        <v>14854</v>
      </c>
      <c r="BD3258" s="82" t="s">
        <v>15979</v>
      </c>
      <c r="BE3258" s="77"/>
      <c r="BF3258" s="77"/>
      <c r="BG3258" s="77"/>
      <c r="BH3258" s="77"/>
      <c r="BI3258" s="77"/>
    </row>
    <row r="3259" spans="1:61" x14ac:dyDescent="0.25">
      <c r="A3259" s="62" t="s">
        <v>387</v>
      </c>
      <c r="B3259" s="62" t="s">
        <v>387</v>
      </c>
      <c r="C3259" s="63"/>
      <c r="D3259" s="64"/>
      <c r="E3259" s="65"/>
      <c r="F3259" s="66"/>
      <c r="G3259" s="63"/>
      <c r="H3259" s="67"/>
      <c r="I3259" s="68"/>
      <c r="J3259" s="68"/>
      <c r="K3259" s="32"/>
      <c r="L3259" s="75">
        <v>3259</v>
      </c>
      <c r="M3259" s="75"/>
      <c r="N3259" s="70"/>
      <c r="O3259" s="77" t="s">
        <v>179</v>
      </c>
      <c r="P3259" s="79">
        <v>45120.930671296293</v>
      </c>
      <c r="Q3259" s="77" t="s">
        <v>3931</v>
      </c>
      <c r="R3259" s="77">
        <v>0</v>
      </c>
      <c r="S3259" s="77">
        <v>1</v>
      </c>
      <c r="T3259" s="77">
        <v>0</v>
      </c>
      <c r="U3259" s="77">
        <v>0</v>
      </c>
      <c r="V3259" s="77">
        <v>645</v>
      </c>
      <c r="W3259" s="82" t="s">
        <v>4833</v>
      </c>
      <c r="X3259" s="80" t="str">
        <f>HYPERLINK("https://mla.bs/df2c765a")</f>
        <v>https://mla.bs/df2c765a</v>
      </c>
      <c r="Y3259" s="77" t="s">
        <v>6506</v>
      </c>
      <c r="Z3259" s="77"/>
      <c r="AA3259" s="77"/>
      <c r="AB3259" s="77"/>
      <c r="AC3259" s="82" t="s">
        <v>7757</v>
      </c>
      <c r="AD3259" s="77" t="s">
        <v>7788</v>
      </c>
      <c r="AE3259" s="80" t="str">
        <f>HYPERLINK("https://twitter.com/einvestidor/status/1679616736708927491")</f>
        <v>https://twitter.com/einvestidor/status/1679616736708927491</v>
      </c>
      <c r="AF3259" s="79">
        <v>45120.930671296293</v>
      </c>
      <c r="AG3259" s="85">
        <v>45120</v>
      </c>
      <c r="AH3259" s="82" t="s">
        <v>10002</v>
      </c>
      <c r="AI3259" s="77" t="b">
        <v>0</v>
      </c>
      <c r="AJ3259" s="77"/>
      <c r="AK3259" s="77"/>
      <c r="AL3259" s="77"/>
      <c r="AM3259" s="77"/>
      <c r="AN3259" s="77"/>
      <c r="AO3259" s="77"/>
      <c r="AP3259" s="77"/>
      <c r="AQ3259" s="77"/>
      <c r="AR3259" s="77"/>
      <c r="AS3259" s="77"/>
      <c r="AT3259" s="77"/>
      <c r="AU3259" s="77"/>
      <c r="AV3259" s="80" t="str">
        <f>HYPERLINK("https://pbs.twimg.com/profile_images/1241147984924082183/gZgx_hL-_normal.jpg")</f>
        <v>https://pbs.twimg.com/profile_images/1241147984924082183/gZgx_hL-_normal.jpg</v>
      </c>
      <c r="AW3259" s="82" t="s">
        <v>14855</v>
      </c>
      <c r="AX3259" s="82" t="s">
        <v>14855</v>
      </c>
      <c r="AY3259" s="77"/>
      <c r="AZ3259" s="82" t="s">
        <v>15984</v>
      </c>
      <c r="BA3259" s="82" t="s">
        <v>15984</v>
      </c>
      <c r="BB3259" s="82" t="s">
        <v>15984</v>
      </c>
      <c r="BC3259" s="82" t="s">
        <v>14855</v>
      </c>
      <c r="BD3259" s="82" t="s">
        <v>15979</v>
      </c>
      <c r="BE3259" s="77"/>
      <c r="BF3259" s="77"/>
      <c r="BG3259" s="77"/>
      <c r="BH3259" s="77"/>
      <c r="BI3259" s="77"/>
    </row>
    <row r="3260" spans="1:61" x14ac:dyDescent="0.25">
      <c r="A3260" s="62" t="s">
        <v>387</v>
      </c>
      <c r="B3260" s="62" t="s">
        <v>387</v>
      </c>
      <c r="C3260" s="63"/>
      <c r="D3260" s="64"/>
      <c r="E3260" s="65"/>
      <c r="F3260" s="66"/>
      <c r="G3260" s="63"/>
      <c r="H3260" s="67"/>
      <c r="I3260" s="68"/>
      <c r="J3260" s="68"/>
      <c r="K3260" s="32"/>
      <c r="L3260" s="75">
        <v>3260</v>
      </c>
      <c r="M3260" s="75"/>
      <c r="N3260" s="70"/>
      <c r="O3260" s="77" t="s">
        <v>179</v>
      </c>
      <c r="P3260" s="79">
        <v>45120.917210648149</v>
      </c>
      <c r="Q3260" s="77" t="s">
        <v>3932</v>
      </c>
      <c r="R3260" s="77">
        <v>0</v>
      </c>
      <c r="S3260" s="77">
        <v>1</v>
      </c>
      <c r="T3260" s="77">
        <v>0</v>
      </c>
      <c r="U3260" s="77">
        <v>0</v>
      </c>
      <c r="V3260" s="77">
        <v>660</v>
      </c>
      <c r="W3260" s="82" t="s">
        <v>6262</v>
      </c>
      <c r="X3260" s="80" t="str">
        <f>HYPERLINK("https://mla.bs/a32a2c70")</f>
        <v>https://mla.bs/a32a2c70</v>
      </c>
      <c r="Y3260" s="77" t="s">
        <v>6506</v>
      </c>
      <c r="Z3260" s="77"/>
      <c r="AA3260" s="77"/>
      <c r="AB3260" s="77"/>
      <c r="AC3260" s="82" t="s">
        <v>7757</v>
      </c>
      <c r="AD3260" s="77" t="s">
        <v>7788</v>
      </c>
      <c r="AE3260" s="80" t="str">
        <f>HYPERLINK("https://twitter.com/einvestidor/status/1679611857932361728")</f>
        <v>https://twitter.com/einvestidor/status/1679611857932361728</v>
      </c>
      <c r="AF3260" s="79">
        <v>45120.917210648149</v>
      </c>
      <c r="AG3260" s="85">
        <v>45120</v>
      </c>
      <c r="AH3260" s="82" t="s">
        <v>10003</v>
      </c>
      <c r="AI3260" s="77" t="b">
        <v>0</v>
      </c>
      <c r="AJ3260" s="77"/>
      <c r="AK3260" s="77"/>
      <c r="AL3260" s="77"/>
      <c r="AM3260" s="77"/>
      <c r="AN3260" s="77"/>
      <c r="AO3260" s="77"/>
      <c r="AP3260" s="77"/>
      <c r="AQ3260" s="77"/>
      <c r="AR3260" s="77"/>
      <c r="AS3260" s="77"/>
      <c r="AT3260" s="77"/>
      <c r="AU3260" s="77"/>
      <c r="AV3260" s="80" t="str">
        <f>HYPERLINK("https://pbs.twimg.com/profile_images/1241147984924082183/gZgx_hL-_normal.jpg")</f>
        <v>https://pbs.twimg.com/profile_images/1241147984924082183/gZgx_hL-_normal.jpg</v>
      </c>
      <c r="AW3260" s="82" t="s">
        <v>14856</v>
      </c>
      <c r="AX3260" s="82" t="s">
        <v>14856</v>
      </c>
      <c r="AY3260" s="77"/>
      <c r="AZ3260" s="82" t="s">
        <v>15984</v>
      </c>
      <c r="BA3260" s="82" t="s">
        <v>15984</v>
      </c>
      <c r="BB3260" s="82" t="s">
        <v>15984</v>
      </c>
      <c r="BC3260" s="82" t="s">
        <v>14856</v>
      </c>
      <c r="BD3260" s="82" t="s">
        <v>15979</v>
      </c>
      <c r="BE3260" s="77"/>
      <c r="BF3260" s="77"/>
      <c r="BG3260" s="77"/>
      <c r="BH3260" s="77"/>
      <c r="BI3260" s="77"/>
    </row>
    <row r="3261" spans="1:61" x14ac:dyDescent="0.25">
      <c r="A3261" s="62" t="s">
        <v>387</v>
      </c>
      <c r="B3261" s="62" t="s">
        <v>387</v>
      </c>
      <c r="C3261" s="63"/>
      <c r="D3261" s="64"/>
      <c r="E3261" s="65"/>
      <c r="F3261" s="66"/>
      <c r="G3261" s="63"/>
      <c r="H3261" s="67"/>
      <c r="I3261" s="68"/>
      <c r="J3261" s="68"/>
      <c r="K3261" s="32"/>
      <c r="L3261" s="75">
        <v>3261</v>
      </c>
      <c r="M3261" s="75"/>
      <c r="N3261" s="70"/>
      <c r="O3261" s="77" t="s">
        <v>179</v>
      </c>
      <c r="P3261" s="79">
        <v>45120.902870370373</v>
      </c>
      <c r="Q3261" s="77" t="s">
        <v>3933</v>
      </c>
      <c r="R3261" s="77">
        <v>0</v>
      </c>
      <c r="S3261" s="77">
        <v>0</v>
      </c>
      <c r="T3261" s="77">
        <v>0</v>
      </c>
      <c r="U3261" s="77">
        <v>0</v>
      </c>
      <c r="V3261" s="77">
        <v>683</v>
      </c>
      <c r="W3261" s="82" t="s">
        <v>5907</v>
      </c>
      <c r="X3261" s="80" t="str">
        <f>HYPERLINK("https://mla.bs/096f793f")</f>
        <v>https://mla.bs/096f793f</v>
      </c>
      <c r="Y3261" s="77" t="s">
        <v>6506</v>
      </c>
      <c r="Z3261" s="77"/>
      <c r="AA3261" s="77"/>
      <c r="AB3261" s="77"/>
      <c r="AC3261" s="82" t="s">
        <v>7757</v>
      </c>
      <c r="AD3261" s="77" t="s">
        <v>7788</v>
      </c>
      <c r="AE3261" s="80" t="str">
        <f>HYPERLINK("https://twitter.com/einvestidor/status/1679606663496585217")</f>
        <v>https://twitter.com/einvestidor/status/1679606663496585217</v>
      </c>
      <c r="AF3261" s="79">
        <v>45120.902870370373</v>
      </c>
      <c r="AG3261" s="85">
        <v>45120</v>
      </c>
      <c r="AH3261" s="82" t="s">
        <v>10004</v>
      </c>
      <c r="AI3261" s="77" t="b">
        <v>0</v>
      </c>
      <c r="AJ3261" s="77"/>
      <c r="AK3261" s="77"/>
      <c r="AL3261" s="77"/>
      <c r="AM3261" s="77"/>
      <c r="AN3261" s="77"/>
      <c r="AO3261" s="77"/>
      <c r="AP3261" s="77"/>
      <c r="AQ3261" s="77"/>
      <c r="AR3261" s="77"/>
      <c r="AS3261" s="77"/>
      <c r="AT3261" s="77"/>
      <c r="AU3261" s="77"/>
      <c r="AV3261" s="80" t="str">
        <f>HYPERLINK("https://pbs.twimg.com/profile_images/1241147984924082183/gZgx_hL-_normal.jpg")</f>
        <v>https://pbs.twimg.com/profile_images/1241147984924082183/gZgx_hL-_normal.jpg</v>
      </c>
      <c r="AW3261" s="82" t="s">
        <v>14857</v>
      </c>
      <c r="AX3261" s="82" t="s">
        <v>14857</v>
      </c>
      <c r="AY3261" s="77"/>
      <c r="AZ3261" s="82" t="s">
        <v>15984</v>
      </c>
      <c r="BA3261" s="82" t="s">
        <v>15984</v>
      </c>
      <c r="BB3261" s="82" t="s">
        <v>15984</v>
      </c>
      <c r="BC3261" s="82" t="s">
        <v>14857</v>
      </c>
      <c r="BD3261" s="82" t="s">
        <v>15979</v>
      </c>
      <c r="BE3261" s="77"/>
      <c r="BF3261" s="77"/>
      <c r="BG3261" s="77"/>
      <c r="BH3261" s="77"/>
      <c r="BI3261" s="77"/>
    </row>
    <row r="3262" spans="1:61" x14ac:dyDescent="0.25">
      <c r="A3262" s="62" t="s">
        <v>387</v>
      </c>
      <c r="B3262" s="62" t="s">
        <v>387</v>
      </c>
      <c r="C3262" s="63"/>
      <c r="D3262" s="64"/>
      <c r="E3262" s="65"/>
      <c r="F3262" s="66"/>
      <c r="G3262" s="63"/>
      <c r="H3262" s="67"/>
      <c r="I3262" s="68"/>
      <c r="J3262" s="68"/>
      <c r="K3262" s="32"/>
      <c r="L3262" s="75">
        <v>3262</v>
      </c>
      <c r="M3262" s="75"/>
      <c r="N3262" s="70"/>
      <c r="O3262" s="77" t="s">
        <v>179</v>
      </c>
      <c r="P3262" s="79">
        <v>45120.889074074075</v>
      </c>
      <c r="Q3262" s="77" t="s">
        <v>3934</v>
      </c>
      <c r="R3262" s="77">
        <v>2</v>
      </c>
      <c r="S3262" s="77">
        <v>1</v>
      </c>
      <c r="T3262" s="77">
        <v>0</v>
      </c>
      <c r="U3262" s="77">
        <v>0</v>
      </c>
      <c r="V3262" s="77">
        <v>653</v>
      </c>
      <c r="W3262" s="82" t="s">
        <v>6263</v>
      </c>
      <c r="X3262" s="80" t="str">
        <f>HYPERLINK("https://mla.bs/cde0b1d1")</f>
        <v>https://mla.bs/cde0b1d1</v>
      </c>
      <c r="Y3262" s="77" t="s">
        <v>6506</v>
      </c>
      <c r="Z3262" s="77"/>
      <c r="AA3262" s="77"/>
      <c r="AB3262" s="77"/>
      <c r="AC3262" s="82" t="s">
        <v>7757</v>
      </c>
      <c r="AD3262" s="77" t="s">
        <v>7788</v>
      </c>
      <c r="AE3262" s="80" t="str">
        <f>HYPERLINK("https://twitter.com/einvestidor/status/1679601662741151744")</f>
        <v>https://twitter.com/einvestidor/status/1679601662741151744</v>
      </c>
      <c r="AF3262" s="79">
        <v>45120.889074074075</v>
      </c>
      <c r="AG3262" s="85">
        <v>45120</v>
      </c>
      <c r="AH3262" s="82" t="s">
        <v>10005</v>
      </c>
      <c r="AI3262" s="77" t="b">
        <v>0</v>
      </c>
      <c r="AJ3262" s="77"/>
      <c r="AK3262" s="77"/>
      <c r="AL3262" s="77"/>
      <c r="AM3262" s="77"/>
      <c r="AN3262" s="77"/>
      <c r="AO3262" s="77"/>
      <c r="AP3262" s="77"/>
      <c r="AQ3262" s="77"/>
      <c r="AR3262" s="77"/>
      <c r="AS3262" s="77"/>
      <c r="AT3262" s="77"/>
      <c r="AU3262" s="77"/>
      <c r="AV3262" s="80" t="str">
        <f>HYPERLINK("https://pbs.twimg.com/profile_images/1241147984924082183/gZgx_hL-_normal.jpg")</f>
        <v>https://pbs.twimg.com/profile_images/1241147984924082183/gZgx_hL-_normal.jpg</v>
      </c>
      <c r="AW3262" s="82" t="s">
        <v>14858</v>
      </c>
      <c r="AX3262" s="82" t="s">
        <v>14858</v>
      </c>
      <c r="AY3262" s="77"/>
      <c r="AZ3262" s="82" t="s">
        <v>15984</v>
      </c>
      <c r="BA3262" s="82" t="s">
        <v>15984</v>
      </c>
      <c r="BB3262" s="82" t="s">
        <v>15984</v>
      </c>
      <c r="BC3262" s="82" t="s">
        <v>14858</v>
      </c>
      <c r="BD3262" s="82" t="s">
        <v>15979</v>
      </c>
      <c r="BE3262" s="77"/>
      <c r="BF3262" s="77"/>
      <c r="BG3262" s="77"/>
      <c r="BH3262" s="77"/>
      <c r="BI3262" s="77"/>
    </row>
    <row r="3263" spans="1:61" x14ac:dyDescent="0.25">
      <c r="A3263" s="62" t="s">
        <v>387</v>
      </c>
      <c r="B3263" s="62" t="s">
        <v>387</v>
      </c>
      <c r="C3263" s="63"/>
      <c r="D3263" s="64"/>
      <c r="E3263" s="65"/>
      <c r="F3263" s="66"/>
      <c r="G3263" s="63"/>
      <c r="H3263" s="67"/>
      <c r="I3263" s="68"/>
      <c r="J3263" s="68"/>
      <c r="K3263" s="32"/>
      <c r="L3263" s="75">
        <v>3263</v>
      </c>
      <c r="M3263" s="75"/>
      <c r="N3263" s="70"/>
      <c r="O3263" s="77" t="s">
        <v>179</v>
      </c>
      <c r="P3263" s="79">
        <v>45120.881863425922</v>
      </c>
      <c r="Q3263" s="77" t="s">
        <v>3935</v>
      </c>
      <c r="R3263" s="77">
        <v>0</v>
      </c>
      <c r="S3263" s="77">
        <v>1</v>
      </c>
      <c r="T3263" s="77">
        <v>0</v>
      </c>
      <c r="U3263" s="77">
        <v>0</v>
      </c>
      <c r="V3263" s="77">
        <v>527</v>
      </c>
      <c r="W3263" s="82" t="s">
        <v>4833</v>
      </c>
      <c r="X3263" s="80" t="str">
        <f>HYPERLINK("https://mla.bs/e0aad58b")</f>
        <v>https://mla.bs/e0aad58b</v>
      </c>
      <c r="Y3263" s="77" t="s">
        <v>6506</v>
      </c>
      <c r="Z3263" s="77"/>
      <c r="AA3263" s="77"/>
      <c r="AB3263" s="77"/>
      <c r="AC3263" s="82" t="s">
        <v>7757</v>
      </c>
      <c r="AD3263" s="77" t="s">
        <v>7788</v>
      </c>
      <c r="AE3263" s="80" t="str">
        <f>HYPERLINK("https://twitter.com/einvestidor/status/1679599051493261312")</f>
        <v>https://twitter.com/einvestidor/status/1679599051493261312</v>
      </c>
      <c r="AF3263" s="79">
        <v>45120.881863425922</v>
      </c>
      <c r="AG3263" s="85">
        <v>45120</v>
      </c>
      <c r="AH3263" s="82" t="s">
        <v>10006</v>
      </c>
      <c r="AI3263" s="77" t="b">
        <v>0</v>
      </c>
      <c r="AJ3263" s="77"/>
      <c r="AK3263" s="77"/>
      <c r="AL3263" s="77"/>
      <c r="AM3263" s="77"/>
      <c r="AN3263" s="77"/>
      <c r="AO3263" s="77"/>
      <c r="AP3263" s="77"/>
      <c r="AQ3263" s="77"/>
      <c r="AR3263" s="77"/>
      <c r="AS3263" s="77"/>
      <c r="AT3263" s="77"/>
      <c r="AU3263" s="77"/>
      <c r="AV3263" s="80" t="str">
        <f>HYPERLINK("https://pbs.twimg.com/profile_images/1241147984924082183/gZgx_hL-_normal.jpg")</f>
        <v>https://pbs.twimg.com/profile_images/1241147984924082183/gZgx_hL-_normal.jpg</v>
      </c>
      <c r="AW3263" s="82" t="s">
        <v>14859</v>
      </c>
      <c r="AX3263" s="82" t="s">
        <v>14859</v>
      </c>
      <c r="AY3263" s="77"/>
      <c r="AZ3263" s="82" t="s">
        <v>15984</v>
      </c>
      <c r="BA3263" s="82" t="s">
        <v>15984</v>
      </c>
      <c r="BB3263" s="82" t="s">
        <v>15984</v>
      </c>
      <c r="BC3263" s="82" t="s">
        <v>14859</v>
      </c>
      <c r="BD3263" s="82" t="s">
        <v>15979</v>
      </c>
      <c r="BE3263" s="77"/>
      <c r="BF3263" s="77"/>
      <c r="BG3263" s="77"/>
      <c r="BH3263" s="77"/>
      <c r="BI3263" s="77"/>
    </row>
    <row r="3264" spans="1:61" x14ac:dyDescent="0.25">
      <c r="A3264" s="62" t="s">
        <v>387</v>
      </c>
      <c r="B3264" s="62" t="s">
        <v>387</v>
      </c>
      <c r="C3264" s="63"/>
      <c r="D3264" s="64"/>
      <c r="E3264" s="65"/>
      <c r="F3264" s="66"/>
      <c r="G3264" s="63"/>
      <c r="H3264" s="67"/>
      <c r="I3264" s="68"/>
      <c r="J3264" s="68"/>
      <c r="K3264" s="32"/>
      <c r="L3264" s="75">
        <v>3264</v>
      </c>
      <c r="M3264" s="75"/>
      <c r="N3264" s="70"/>
      <c r="O3264" s="77" t="s">
        <v>179</v>
      </c>
      <c r="P3264" s="79">
        <v>45196.927083333336</v>
      </c>
      <c r="Q3264" s="77" t="s">
        <v>3936</v>
      </c>
      <c r="R3264" s="77">
        <v>0</v>
      </c>
      <c r="S3264" s="77">
        <v>1</v>
      </c>
      <c r="T3264" s="77">
        <v>0</v>
      </c>
      <c r="U3264" s="77">
        <v>0</v>
      </c>
      <c r="V3264" s="77">
        <v>551</v>
      </c>
      <c r="W3264" s="82" t="s">
        <v>6064</v>
      </c>
      <c r="X3264" s="80" t="str">
        <f>HYPERLINK("https://einvestidor.estadao.com.br/ultimas/petr4-petrobras-acoes-fecham-alta-destacam-ibovespa//?utm_source=twitter&amp;utm_medium=organic&amp;utm_campaign=&amp;utm_content=materia")</f>
        <v>https://einvestidor.estadao.com.br/ultimas/petr4-petrobras-acoes-fecham-alta-destacam-ibovespa//?utm_source=twitter&amp;utm_medium=organic&amp;utm_campaign=&amp;utm_content=materia</v>
      </c>
      <c r="Y3264" s="77" t="s">
        <v>6470</v>
      </c>
      <c r="Z3264" s="77"/>
      <c r="AA3264" s="77" t="s">
        <v>7629</v>
      </c>
      <c r="AB3264" s="77" t="s">
        <v>7742</v>
      </c>
      <c r="AC3264" s="82" t="s">
        <v>7750</v>
      </c>
      <c r="AD3264" s="77" t="s">
        <v>7788</v>
      </c>
      <c r="AE3264" s="80" t="str">
        <f>HYPERLINK("https://twitter.com/einvestidor/status/1707156913480515987")</f>
        <v>https://twitter.com/einvestidor/status/1707156913480515987</v>
      </c>
      <c r="AF3264" s="79">
        <v>45196.927083333336</v>
      </c>
      <c r="AG3264" s="85">
        <v>45196</v>
      </c>
      <c r="AH3264" s="82" t="s">
        <v>9576</v>
      </c>
      <c r="AI3264" s="77" t="b">
        <v>0</v>
      </c>
      <c r="AJ3264" s="77"/>
      <c r="AK3264" s="77"/>
      <c r="AL3264" s="77"/>
      <c r="AM3264" s="77"/>
      <c r="AN3264" s="77"/>
      <c r="AO3264" s="77"/>
      <c r="AP3264" s="77"/>
      <c r="AQ3264" s="77" t="s">
        <v>11601</v>
      </c>
      <c r="AR3264" s="77"/>
      <c r="AS3264" s="77"/>
      <c r="AT3264" s="77"/>
      <c r="AU3264" s="77"/>
      <c r="AV3264" s="80" t="str">
        <f>HYPERLINK("https://pbs.twimg.com/media/F7EDQWNXoAA4uH_.jpg")</f>
        <v>https://pbs.twimg.com/media/F7EDQWNXoAA4uH_.jpg</v>
      </c>
      <c r="AW3264" s="82" t="s">
        <v>14860</v>
      </c>
      <c r="AX3264" s="82" t="s">
        <v>14860</v>
      </c>
      <c r="AY3264" s="77"/>
      <c r="AZ3264" s="82" t="s">
        <v>15984</v>
      </c>
      <c r="BA3264" s="82" t="s">
        <v>15984</v>
      </c>
      <c r="BB3264" s="82" t="s">
        <v>15984</v>
      </c>
      <c r="BC3264" s="82" t="s">
        <v>14860</v>
      </c>
      <c r="BD3264" s="82" t="s">
        <v>15979</v>
      </c>
      <c r="BE3264" s="77"/>
      <c r="BF3264" s="77"/>
      <c r="BG3264" s="77"/>
      <c r="BH3264" s="77"/>
      <c r="BI3264" s="77"/>
    </row>
    <row r="3265" spans="1:61" x14ac:dyDescent="0.25">
      <c r="A3265" s="62" t="s">
        <v>387</v>
      </c>
      <c r="B3265" s="62" t="s">
        <v>387</v>
      </c>
      <c r="C3265" s="63"/>
      <c r="D3265" s="64"/>
      <c r="E3265" s="65"/>
      <c r="F3265" s="66"/>
      <c r="G3265" s="63"/>
      <c r="H3265" s="67"/>
      <c r="I3265" s="68"/>
      <c r="J3265" s="68"/>
      <c r="K3265" s="32"/>
      <c r="L3265" s="75">
        <v>3265</v>
      </c>
      <c r="M3265" s="75"/>
      <c r="N3265" s="70"/>
      <c r="O3265" s="77" t="s">
        <v>179</v>
      </c>
      <c r="P3265" s="79">
        <v>45196.916678240741</v>
      </c>
      <c r="Q3265" s="77" t="s">
        <v>3937</v>
      </c>
      <c r="R3265" s="77">
        <v>0</v>
      </c>
      <c r="S3265" s="77">
        <v>0</v>
      </c>
      <c r="T3265" s="77">
        <v>0</v>
      </c>
      <c r="U3265" s="77">
        <v>0</v>
      </c>
      <c r="V3265" s="77">
        <v>410</v>
      </c>
      <c r="W3265" s="82" t="s">
        <v>4833</v>
      </c>
      <c r="X3265" s="80" t="str">
        <f>HYPERLINK("https://einvestidor.estadao.com.br/ultimas/real-digital-drex-operacoes-teste-bc//?utm_source=twitter&amp;utm_medium=organic&amp;utm_campaign=&amp;utm_content=materia")</f>
        <v>https://einvestidor.estadao.com.br/ultimas/real-digital-drex-operacoes-teste-bc//?utm_source=twitter&amp;utm_medium=organic&amp;utm_campaign=&amp;utm_content=materia</v>
      </c>
      <c r="Y3265" s="77" t="s">
        <v>6470</v>
      </c>
      <c r="Z3265" s="77"/>
      <c r="AA3265" s="77" t="s">
        <v>7630</v>
      </c>
      <c r="AB3265" s="77" t="s">
        <v>7742</v>
      </c>
      <c r="AC3265" s="82" t="s">
        <v>7750</v>
      </c>
      <c r="AD3265" s="77" t="s">
        <v>7788</v>
      </c>
      <c r="AE3265" s="80" t="str">
        <f>HYPERLINK("https://twitter.com/einvestidor/status/1707153143107043698")</f>
        <v>https://twitter.com/einvestidor/status/1707153143107043698</v>
      </c>
      <c r="AF3265" s="79">
        <v>45196.916678240741</v>
      </c>
      <c r="AG3265" s="85">
        <v>45196</v>
      </c>
      <c r="AH3265" s="82" t="s">
        <v>8052</v>
      </c>
      <c r="AI3265" s="77" t="b">
        <v>0</v>
      </c>
      <c r="AJ3265" s="77"/>
      <c r="AK3265" s="77"/>
      <c r="AL3265" s="77"/>
      <c r="AM3265" s="77"/>
      <c r="AN3265" s="77"/>
      <c r="AO3265" s="77"/>
      <c r="AP3265" s="77"/>
      <c r="AQ3265" s="77" t="s">
        <v>11602</v>
      </c>
      <c r="AR3265" s="77"/>
      <c r="AS3265" s="77"/>
      <c r="AT3265" s="77"/>
      <c r="AU3265" s="77"/>
      <c r="AV3265" s="80" t="str">
        <f>HYPERLINK("https://pbs.twimg.com/media/F7ECWVFXIAAvE72.jpg")</f>
        <v>https://pbs.twimg.com/media/F7ECWVFXIAAvE72.jpg</v>
      </c>
      <c r="AW3265" s="82" t="s">
        <v>14861</v>
      </c>
      <c r="AX3265" s="82" t="s">
        <v>14861</v>
      </c>
      <c r="AY3265" s="77"/>
      <c r="AZ3265" s="82" t="s">
        <v>15984</v>
      </c>
      <c r="BA3265" s="82" t="s">
        <v>15984</v>
      </c>
      <c r="BB3265" s="82" t="s">
        <v>15984</v>
      </c>
      <c r="BC3265" s="82" t="s">
        <v>14861</v>
      </c>
      <c r="BD3265" s="82" t="s">
        <v>15979</v>
      </c>
      <c r="BE3265" s="77"/>
      <c r="BF3265" s="77"/>
      <c r="BG3265" s="77"/>
      <c r="BH3265" s="77"/>
      <c r="BI3265" s="77"/>
    </row>
    <row r="3266" spans="1:61" x14ac:dyDescent="0.25">
      <c r="A3266" s="62" t="s">
        <v>387</v>
      </c>
      <c r="B3266" s="62" t="s">
        <v>387</v>
      </c>
      <c r="C3266" s="63"/>
      <c r="D3266" s="64"/>
      <c r="E3266" s="65"/>
      <c r="F3266" s="66"/>
      <c r="G3266" s="63"/>
      <c r="H3266" s="67"/>
      <c r="I3266" s="68"/>
      <c r="J3266" s="68"/>
      <c r="K3266" s="32"/>
      <c r="L3266" s="75">
        <v>3266</v>
      </c>
      <c r="M3266" s="75"/>
      <c r="N3266" s="70"/>
      <c r="O3266" s="77" t="s">
        <v>179</v>
      </c>
      <c r="P3266" s="79">
        <v>45196.897210648145</v>
      </c>
      <c r="Q3266" s="77" t="s">
        <v>3938</v>
      </c>
      <c r="R3266" s="77">
        <v>0</v>
      </c>
      <c r="S3266" s="77">
        <v>0</v>
      </c>
      <c r="T3266" s="77">
        <v>0</v>
      </c>
      <c r="U3266" s="77">
        <v>0</v>
      </c>
      <c r="V3266" s="77">
        <v>566</v>
      </c>
      <c r="W3266" s="82" t="s">
        <v>6264</v>
      </c>
      <c r="X3266" s="80" t="str">
        <f>HYPERLINK("https://einvestidor.estadao.com.br/mercado/bhia3-pcar3-cple6-piores-acoes-ibovespa-27-09-2023/?utm_source=twitter&amp;utm_medium=organic&amp;utm_campaign=&amp;utm_content=materia")</f>
        <v>https://einvestidor.estadao.com.br/mercado/bhia3-pcar3-cple6-piores-acoes-ibovespa-27-09-2023/?utm_source=twitter&amp;utm_medium=organic&amp;utm_campaign=&amp;utm_content=materia</v>
      </c>
      <c r="Y3266" s="77" t="s">
        <v>6470</v>
      </c>
      <c r="Z3266" s="77"/>
      <c r="AA3266" s="77"/>
      <c r="AB3266" s="77"/>
      <c r="AC3266" s="82" t="s">
        <v>7750</v>
      </c>
      <c r="AD3266" s="77" t="s">
        <v>7788</v>
      </c>
      <c r="AE3266" s="80" t="str">
        <f>HYPERLINK("https://twitter.com/einvestidor/status/1707146087159492961")</f>
        <v>https://twitter.com/einvestidor/status/1707146087159492961</v>
      </c>
      <c r="AF3266" s="79">
        <v>45196.897210648145</v>
      </c>
      <c r="AG3266" s="85">
        <v>45196</v>
      </c>
      <c r="AH3266" s="82" t="s">
        <v>10007</v>
      </c>
      <c r="AI3266" s="77" t="b">
        <v>0</v>
      </c>
      <c r="AJ3266" s="77"/>
      <c r="AK3266" s="77"/>
      <c r="AL3266" s="77"/>
      <c r="AM3266" s="77"/>
      <c r="AN3266" s="77"/>
      <c r="AO3266" s="77"/>
      <c r="AP3266" s="77"/>
      <c r="AQ3266" s="77"/>
      <c r="AR3266" s="77"/>
      <c r="AS3266" s="77"/>
      <c r="AT3266" s="77"/>
      <c r="AU3266" s="77"/>
      <c r="AV3266" s="80" t="str">
        <f>HYPERLINK("https://pbs.twimg.com/profile_images/1241147984924082183/gZgx_hL-_normal.jpg")</f>
        <v>https://pbs.twimg.com/profile_images/1241147984924082183/gZgx_hL-_normal.jpg</v>
      </c>
      <c r="AW3266" s="82" t="s">
        <v>14862</v>
      </c>
      <c r="AX3266" s="82" t="s">
        <v>14862</v>
      </c>
      <c r="AY3266" s="77"/>
      <c r="AZ3266" s="82" t="s">
        <v>15984</v>
      </c>
      <c r="BA3266" s="82" t="s">
        <v>15984</v>
      </c>
      <c r="BB3266" s="82" t="s">
        <v>15984</v>
      </c>
      <c r="BC3266" s="82" t="s">
        <v>14862</v>
      </c>
      <c r="BD3266" s="82" t="s">
        <v>15979</v>
      </c>
      <c r="BE3266" s="77"/>
      <c r="BF3266" s="77"/>
      <c r="BG3266" s="77"/>
      <c r="BH3266" s="77"/>
      <c r="BI3266" s="77"/>
    </row>
    <row r="3267" spans="1:61" x14ac:dyDescent="0.25">
      <c r="A3267" s="62" t="s">
        <v>387</v>
      </c>
      <c r="B3267" s="62" t="s">
        <v>387</v>
      </c>
      <c r="C3267" s="63"/>
      <c r="D3267" s="64"/>
      <c r="E3267" s="65"/>
      <c r="F3267" s="66"/>
      <c r="G3267" s="63"/>
      <c r="H3267" s="67"/>
      <c r="I3267" s="68"/>
      <c r="J3267" s="68"/>
      <c r="K3267" s="32"/>
      <c r="L3267" s="75">
        <v>3267</v>
      </c>
      <c r="M3267" s="75"/>
      <c r="N3267" s="70"/>
      <c r="O3267" s="77" t="s">
        <v>179</v>
      </c>
      <c r="P3267" s="79">
        <v>45196.896226851852</v>
      </c>
      <c r="Q3267" s="77" t="s">
        <v>3939</v>
      </c>
      <c r="R3267" s="77">
        <v>0</v>
      </c>
      <c r="S3267" s="77">
        <v>1</v>
      </c>
      <c r="T3267" s="77">
        <v>0</v>
      </c>
      <c r="U3267" s="77">
        <v>0</v>
      </c>
      <c r="V3267" s="77">
        <v>454</v>
      </c>
      <c r="W3267" s="82" t="s">
        <v>6265</v>
      </c>
      <c r="X3267" s="80" t="str">
        <f>HYPERLINK("https://einvestidor.estadao.com.br/mercado/melhores-acoes-ibovespa-27-09-2023/?utm_source=twitter&amp;utm_medium=organic&amp;utm_campaign=&amp;utm_content=materia")</f>
        <v>https://einvestidor.estadao.com.br/mercado/melhores-acoes-ibovespa-27-09-2023/?utm_source=twitter&amp;utm_medium=organic&amp;utm_campaign=&amp;utm_content=materia</v>
      </c>
      <c r="Y3267" s="77" t="s">
        <v>6470</v>
      </c>
      <c r="Z3267" s="77"/>
      <c r="AA3267" s="77"/>
      <c r="AB3267" s="77"/>
      <c r="AC3267" s="82" t="s">
        <v>7750</v>
      </c>
      <c r="AD3267" s="77" t="s">
        <v>7788</v>
      </c>
      <c r="AE3267" s="80" t="str">
        <f>HYPERLINK("https://twitter.com/einvestidor/status/1707145731432206474")</f>
        <v>https://twitter.com/einvestidor/status/1707145731432206474</v>
      </c>
      <c r="AF3267" s="79">
        <v>45196.896226851852</v>
      </c>
      <c r="AG3267" s="85">
        <v>45196</v>
      </c>
      <c r="AH3267" s="82" t="s">
        <v>10008</v>
      </c>
      <c r="AI3267" s="77" t="b">
        <v>0</v>
      </c>
      <c r="AJ3267" s="77"/>
      <c r="AK3267" s="77"/>
      <c r="AL3267" s="77"/>
      <c r="AM3267" s="77"/>
      <c r="AN3267" s="77"/>
      <c r="AO3267" s="77"/>
      <c r="AP3267" s="77"/>
      <c r="AQ3267" s="77"/>
      <c r="AR3267" s="77"/>
      <c r="AS3267" s="77"/>
      <c r="AT3267" s="77"/>
      <c r="AU3267" s="77"/>
      <c r="AV3267" s="80" t="str">
        <f>HYPERLINK("https://pbs.twimg.com/profile_images/1241147984924082183/gZgx_hL-_normal.jpg")</f>
        <v>https://pbs.twimg.com/profile_images/1241147984924082183/gZgx_hL-_normal.jpg</v>
      </c>
      <c r="AW3267" s="82" t="s">
        <v>14863</v>
      </c>
      <c r="AX3267" s="82" t="s">
        <v>14863</v>
      </c>
      <c r="AY3267" s="77"/>
      <c r="AZ3267" s="82" t="s">
        <v>15984</v>
      </c>
      <c r="BA3267" s="82" t="s">
        <v>15984</v>
      </c>
      <c r="BB3267" s="82" t="s">
        <v>15984</v>
      </c>
      <c r="BC3267" s="82" t="s">
        <v>14863</v>
      </c>
      <c r="BD3267" s="82" t="s">
        <v>15979</v>
      </c>
      <c r="BE3267" s="77"/>
      <c r="BF3267" s="77"/>
      <c r="BG3267" s="77"/>
      <c r="BH3267" s="77"/>
      <c r="BI3267" s="77"/>
    </row>
    <row r="3268" spans="1:61" x14ac:dyDescent="0.25">
      <c r="A3268" s="62" t="s">
        <v>387</v>
      </c>
      <c r="B3268" s="62" t="s">
        <v>387</v>
      </c>
      <c r="C3268" s="63"/>
      <c r="D3268" s="64"/>
      <c r="E3268" s="65"/>
      <c r="F3268" s="66"/>
      <c r="G3268" s="63"/>
      <c r="H3268" s="67"/>
      <c r="I3268" s="68"/>
      <c r="J3268" s="68"/>
      <c r="K3268" s="32"/>
      <c r="L3268" s="75">
        <v>3268</v>
      </c>
      <c r="M3268" s="75"/>
      <c r="N3268" s="70"/>
      <c r="O3268" s="77" t="s">
        <v>179</v>
      </c>
      <c r="P3268" s="79">
        <v>45196.875011574077</v>
      </c>
      <c r="Q3268" s="77" t="s">
        <v>3940</v>
      </c>
      <c r="R3268" s="77">
        <v>0</v>
      </c>
      <c r="S3268" s="77">
        <v>0</v>
      </c>
      <c r="T3268" s="77">
        <v>0</v>
      </c>
      <c r="U3268" s="77">
        <v>0</v>
      </c>
      <c r="V3268" s="77">
        <v>358</v>
      </c>
      <c r="W3268" s="82" t="s">
        <v>6266</v>
      </c>
      <c r="X3268" s="80" t="str">
        <f>HYPERLINK("https://einvestidor.estadao.com.br/negocios/google-25-anos-quando-abriu-capital/?utm_source=twitter&amp;utm_medium=organic&amp;utm_campaign=&amp;utm_content=materia")</f>
        <v>https://einvestidor.estadao.com.br/negocios/google-25-anos-quando-abriu-capital/?utm_source=twitter&amp;utm_medium=organic&amp;utm_campaign=&amp;utm_content=materia</v>
      </c>
      <c r="Y3268" s="77" t="s">
        <v>6470</v>
      </c>
      <c r="Z3268" s="77"/>
      <c r="AA3268" s="77"/>
      <c r="AB3268" s="77"/>
      <c r="AC3268" s="82" t="s">
        <v>7750</v>
      </c>
      <c r="AD3268" s="77" t="s">
        <v>7788</v>
      </c>
      <c r="AE3268" s="80" t="str">
        <f>HYPERLINK("https://twitter.com/einvestidor/status/1707138044417966213")</f>
        <v>https://twitter.com/einvestidor/status/1707138044417966213</v>
      </c>
      <c r="AF3268" s="79">
        <v>45196.875011574077</v>
      </c>
      <c r="AG3268" s="85">
        <v>45196</v>
      </c>
      <c r="AH3268" s="82" t="s">
        <v>7871</v>
      </c>
      <c r="AI3268" s="77" t="b">
        <v>0</v>
      </c>
      <c r="AJ3268" s="77"/>
      <c r="AK3268" s="77"/>
      <c r="AL3268" s="77"/>
      <c r="AM3268" s="77"/>
      <c r="AN3268" s="77"/>
      <c r="AO3268" s="77"/>
      <c r="AP3268" s="77"/>
      <c r="AQ3268" s="77"/>
      <c r="AR3268" s="77"/>
      <c r="AS3268" s="77"/>
      <c r="AT3268" s="77"/>
      <c r="AU3268" s="77"/>
      <c r="AV3268" s="80" t="str">
        <f>HYPERLINK("https://pbs.twimg.com/profile_images/1241147984924082183/gZgx_hL-_normal.jpg")</f>
        <v>https://pbs.twimg.com/profile_images/1241147984924082183/gZgx_hL-_normal.jpg</v>
      </c>
      <c r="AW3268" s="82" t="s">
        <v>14864</v>
      </c>
      <c r="AX3268" s="82" t="s">
        <v>14864</v>
      </c>
      <c r="AY3268" s="77"/>
      <c r="AZ3268" s="82" t="s">
        <v>15984</v>
      </c>
      <c r="BA3268" s="82" t="s">
        <v>15984</v>
      </c>
      <c r="BB3268" s="82" t="s">
        <v>15984</v>
      </c>
      <c r="BC3268" s="82" t="s">
        <v>14864</v>
      </c>
      <c r="BD3268" s="82" t="s">
        <v>15979</v>
      </c>
      <c r="BE3268" s="77"/>
      <c r="BF3268" s="77"/>
      <c r="BG3268" s="77"/>
      <c r="BH3268" s="77"/>
      <c r="BI3268" s="77"/>
    </row>
    <row r="3269" spans="1:61" x14ac:dyDescent="0.25">
      <c r="A3269" s="62" t="s">
        <v>387</v>
      </c>
      <c r="B3269" s="62" t="s">
        <v>387</v>
      </c>
      <c r="C3269" s="63"/>
      <c r="D3269" s="64"/>
      <c r="E3269" s="65"/>
      <c r="F3269" s="66"/>
      <c r="G3269" s="63"/>
      <c r="H3269" s="67"/>
      <c r="I3269" s="68"/>
      <c r="J3269" s="68"/>
      <c r="K3269" s="32"/>
      <c r="L3269" s="75">
        <v>3269</v>
      </c>
      <c r="M3269" s="75"/>
      <c r="N3269" s="70"/>
      <c r="O3269" s="77" t="s">
        <v>179</v>
      </c>
      <c r="P3269" s="79">
        <v>45196.864583333336</v>
      </c>
      <c r="Q3269" s="77" t="s">
        <v>3941</v>
      </c>
      <c r="R3269" s="77">
        <v>1</v>
      </c>
      <c r="S3269" s="77">
        <v>1</v>
      </c>
      <c r="T3269" s="77">
        <v>0</v>
      </c>
      <c r="U3269" s="77">
        <v>0</v>
      </c>
      <c r="V3269" s="77">
        <v>545</v>
      </c>
      <c r="W3269" s="82" t="s">
        <v>6267</v>
      </c>
      <c r="X3269" s="80" t="str">
        <f>HYPERLINK("https://einvestidor.estadao.com.br/ultimas/amer3-americanas-queda-fim-cpi-sem-culpados/?utm_source=twitter&amp;utm_medium=organic&amp;utm_campaign=&amp;utm_content=materia")</f>
        <v>https://einvestidor.estadao.com.br/ultimas/amer3-americanas-queda-fim-cpi-sem-culpados/?utm_source=twitter&amp;utm_medium=organic&amp;utm_campaign=&amp;utm_content=materia</v>
      </c>
      <c r="Y3269" s="77" t="s">
        <v>6470</v>
      </c>
      <c r="Z3269" s="77"/>
      <c r="AA3269" s="77"/>
      <c r="AB3269" s="77"/>
      <c r="AC3269" s="82" t="s">
        <v>7750</v>
      </c>
      <c r="AD3269" s="77" t="s">
        <v>7788</v>
      </c>
      <c r="AE3269" s="80" t="str">
        <f>HYPERLINK("https://twitter.com/einvestidor/status/1707134264108822741")</f>
        <v>https://twitter.com/einvestidor/status/1707134264108822741</v>
      </c>
      <c r="AF3269" s="79">
        <v>45196.864583333336</v>
      </c>
      <c r="AG3269" s="85">
        <v>45196</v>
      </c>
      <c r="AH3269" s="82" t="s">
        <v>9596</v>
      </c>
      <c r="AI3269" s="77" t="b">
        <v>0</v>
      </c>
      <c r="AJ3269" s="77"/>
      <c r="AK3269" s="77"/>
      <c r="AL3269" s="77"/>
      <c r="AM3269" s="77"/>
      <c r="AN3269" s="77"/>
      <c r="AO3269" s="77"/>
      <c r="AP3269" s="77"/>
      <c r="AQ3269" s="77"/>
      <c r="AR3269" s="77"/>
      <c r="AS3269" s="77"/>
      <c r="AT3269" s="77"/>
      <c r="AU3269" s="77"/>
      <c r="AV3269" s="80" t="str">
        <f>HYPERLINK("https://pbs.twimg.com/profile_images/1241147984924082183/gZgx_hL-_normal.jpg")</f>
        <v>https://pbs.twimg.com/profile_images/1241147984924082183/gZgx_hL-_normal.jpg</v>
      </c>
      <c r="AW3269" s="82" t="s">
        <v>14865</v>
      </c>
      <c r="AX3269" s="82" t="s">
        <v>14865</v>
      </c>
      <c r="AY3269" s="77"/>
      <c r="AZ3269" s="82" t="s">
        <v>15984</v>
      </c>
      <c r="BA3269" s="82" t="s">
        <v>15984</v>
      </c>
      <c r="BB3269" s="82" t="s">
        <v>15984</v>
      </c>
      <c r="BC3269" s="82" t="s">
        <v>14865</v>
      </c>
      <c r="BD3269" s="82" t="s">
        <v>15979</v>
      </c>
      <c r="BE3269" s="77"/>
      <c r="BF3269" s="77"/>
      <c r="BG3269" s="77"/>
      <c r="BH3269" s="77"/>
      <c r="BI3269" s="77"/>
    </row>
    <row r="3270" spans="1:61" x14ac:dyDescent="0.25">
      <c r="A3270" s="62" t="s">
        <v>387</v>
      </c>
      <c r="B3270" s="62" t="s">
        <v>387</v>
      </c>
      <c r="C3270" s="63"/>
      <c r="D3270" s="64"/>
      <c r="E3270" s="65"/>
      <c r="F3270" s="66"/>
      <c r="G3270" s="63"/>
      <c r="H3270" s="67"/>
      <c r="I3270" s="68"/>
      <c r="J3270" s="68"/>
      <c r="K3270" s="32"/>
      <c r="L3270" s="75">
        <v>3270</v>
      </c>
      <c r="M3270" s="75"/>
      <c r="N3270" s="70"/>
      <c r="O3270" s="77" t="s">
        <v>179</v>
      </c>
      <c r="P3270" s="79">
        <v>45196.770833333336</v>
      </c>
      <c r="Q3270" s="77" t="s">
        <v>3942</v>
      </c>
      <c r="R3270" s="77">
        <v>0</v>
      </c>
      <c r="S3270" s="77">
        <v>0</v>
      </c>
      <c r="T3270" s="77">
        <v>0</v>
      </c>
      <c r="U3270" s="77">
        <v>0</v>
      </c>
      <c r="V3270" s="77">
        <v>382</v>
      </c>
      <c r="W3270" s="82" t="s">
        <v>6268</v>
      </c>
      <c r="X3270" s="80" t="str">
        <f>HYPERLINK("https://einvestidor.estadao.com.br/ultimas/bb-asset-lanca-fundo-foco-renda-fixa/?utm_source=twitter&amp;utm_medium=organic&amp;utm_campaign=&amp;utm_content=materia")</f>
        <v>https://einvestidor.estadao.com.br/ultimas/bb-asset-lanca-fundo-foco-renda-fixa/?utm_source=twitter&amp;utm_medium=organic&amp;utm_campaign=&amp;utm_content=materia</v>
      </c>
      <c r="Y3270" s="77" t="s">
        <v>6470</v>
      </c>
      <c r="Z3270" s="77"/>
      <c r="AA3270" s="77"/>
      <c r="AB3270" s="77"/>
      <c r="AC3270" s="82" t="s">
        <v>7750</v>
      </c>
      <c r="AD3270" s="77" t="s">
        <v>7788</v>
      </c>
      <c r="AE3270" s="80" t="str">
        <f>HYPERLINK("https://twitter.com/einvestidor/status/1707100290594275769")</f>
        <v>https://twitter.com/einvestidor/status/1707100290594275769</v>
      </c>
      <c r="AF3270" s="79">
        <v>45196.770833333336</v>
      </c>
      <c r="AG3270" s="85">
        <v>45196</v>
      </c>
      <c r="AH3270" s="82" t="s">
        <v>7930</v>
      </c>
      <c r="AI3270" s="77" t="b">
        <v>0</v>
      </c>
      <c r="AJ3270" s="77"/>
      <c r="AK3270" s="77"/>
      <c r="AL3270" s="77"/>
      <c r="AM3270" s="77"/>
      <c r="AN3270" s="77"/>
      <c r="AO3270" s="77"/>
      <c r="AP3270" s="77"/>
      <c r="AQ3270" s="77"/>
      <c r="AR3270" s="77"/>
      <c r="AS3270" s="77"/>
      <c r="AT3270" s="77"/>
      <c r="AU3270" s="77"/>
      <c r="AV3270" s="80" t="str">
        <f>HYPERLINK("https://pbs.twimg.com/profile_images/1241147984924082183/gZgx_hL-_normal.jpg")</f>
        <v>https://pbs.twimg.com/profile_images/1241147984924082183/gZgx_hL-_normal.jpg</v>
      </c>
      <c r="AW3270" s="82" t="s">
        <v>14866</v>
      </c>
      <c r="AX3270" s="82" t="s">
        <v>14866</v>
      </c>
      <c r="AY3270" s="77"/>
      <c r="AZ3270" s="82" t="s">
        <v>15984</v>
      </c>
      <c r="BA3270" s="82" t="s">
        <v>15984</v>
      </c>
      <c r="BB3270" s="82" t="s">
        <v>15984</v>
      </c>
      <c r="BC3270" s="82" t="s">
        <v>14866</v>
      </c>
      <c r="BD3270" s="82" t="s">
        <v>15979</v>
      </c>
      <c r="BE3270" s="77"/>
      <c r="BF3270" s="77"/>
      <c r="BG3270" s="77"/>
      <c r="BH3270" s="77"/>
      <c r="BI3270" s="77"/>
    </row>
    <row r="3271" spans="1:61" x14ac:dyDescent="0.25">
      <c r="A3271" s="62" t="s">
        <v>387</v>
      </c>
      <c r="B3271" s="62" t="s">
        <v>387</v>
      </c>
      <c r="C3271" s="63"/>
      <c r="D3271" s="64"/>
      <c r="E3271" s="65"/>
      <c r="F3271" s="66"/>
      <c r="G3271" s="63"/>
      <c r="H3271" s="67"/>
      <c r="I3271" s="68"/>
      <c r="J3271" s="68"/>
      <c r="K3271" s="32"/>
      <c r="L3271" s="75">
        <v>3271</v>
      </c>
      <c r="M3271" s="75"/>
      <c r="N3271" s="70"/>
      <c r="O3271" s="77" t="s">
        <v>179</v>
      </c>
      <c r="P3271" s="79">
        <v>45196.74428240741</v>
      </c>
      <c r="Q3271" s="77" t="s">
        <v>3943</v>
      </c>
      <c r="R3271" s="77">
        <v>0</v>
      </c>
      <c r="S3271" s="77">
        <v>1</v>
      </c>
      <c r="T3271" s="77">
        <v>0</v>
      </c>
      <c r="U3271" s="77">
        <v>0</v>
      </c>
      <c r="V3271" s="77">
        <v>420</v>
      </c>
      <c r="W3271" s="82" t="s">
        <v>4833</v>
      </c>
      <c r="X3271" s="80" t="str">
        <f>HYPERLINK("https://einvestidor.estadao.com.br/mercado/mercado-intraday-27-09-2023/?utm_source=twitter&amp;utm_medium=organic&amp;utm_campaign=&amp;utm_content=materia")</f>
        <v>https://einvestidor.estadao.com.br/mercado/mercado-intraday-27-09-2023/?utm_source=twitter&amp;utm_medium=organic&amp;utm_campaign=&amp;utm_content=materia</v>
      </c>
      <c r="Y3271" s="77" t="s">
        <v>6470</v>
      </c>
      <c r="Z3271" s="77"/>
      <c r="AA3271" s="77"/>
      <c r="AB3271" s="77"/>
      <c r="AC3271" s="82" t="s">
        <v>7750</v>
      </c>
      <c r="AD3271" s="77" t="s">
        <v>7788</v>
      </c>
      <c r="AE3271" s="80" t="str">
        <f>HYPERLINK("https://twitter.com/einvestidor/status/1707090670245036465")</f>
        <v>https://twitter.com/einvestidor/status/1707090670245036465</v>
      </c>
      <c r="AF3271" s="79">
        <v>45196.74428240741</v>
      </c>
      <c r="AG3271" s="85">
        <v>45196</v>
      </c>
      <c r="AH3271" s="82" t="s">
        <v>10009</v>
      </c>
      <c r="AI3271" s="77" t="b">
        <v>0</v>
      </c>
      <c r="AJ3271" s="77"/>
      <c r="AK3271" s="77"/>
      <c r="AL3271" s="77"/>
      <c r="AM3271" s="77"/>
      <c r="AN3271" s="77"/>
      <c r="AO3271" s="77"/>
      <c r="AP3271" s="77"/>
      <c r="AQ3271" s="77"/>
      <c r="AR3271" s="77"/>
      <c r="AS3271" s="77"/>
      <c r="AT3271" s="77"/>
      <c r="AU3271" s="77"/>
      <c r="AV3271" s="80" t="str">
        <f>HYPERLINK("https://pbs.twimg.com/profile_images/1241147984924082183/gZgx_hL-_normal.jpg")</f>
        <v>https://pbs.twimg.com/profile_images/1241147984924082183/gZgx_hL-_normal.jpg</v>
      </c>
      <c r="AW3271" s="82" t="s">
        <v>14867</v>
      </c>
      <c r="AX3271" s="82" t="s">
        <v>14867</v>
      </c>
      <c r="AY3271" s="77"/>
      <c r="AZ3271" s="82" t="s">
        <v>15984</v>
      </c>
      <c r="BA3271" s="82" t="s">
        <v>15984</v>
      </c>
      <c r="BB3271" s="82" t="s">
        <v>15984</v>
      </c>
      <c r="BC3271" s="82" t="s">
        <v>14867</v>
      </c>
      <c r="BD3271" s="82" t="s">
        <v>15979</v>
      </c>
      <c r="BE3271" s="77"/>
      <c r="BF3271" s="77"/>
      <c r="BG3271" s="77"/>
      <c r="BH3271" s="77"/>
      <c r="BI3271" s="77"/>
    </row>
    <row r="3272" spans="1:61" x14ac:dyDescent="0.25">
      <c r="A3272" s="62" t="s">
        <v>387</v>
      </c>
      <c r="B3272" s="62" t="s">
        <v>387</v>
      </c>
      <c r="C3272" s="63"/>
      <c r="D3272" s="64"/>
      <c r="E3272" s="65"/>
      <c r="F3272" s="66"/>
      <c r="G3272" s="63"/>
      <c r="H3272" s="67"/>
      <c r="I3272" s="68"/>
      <c r="J3272" s="68"/>
      <c r="K3272" s="32"/>
      <c r="L3272" s="75">
        <v>3272</v>
      </c>
      <c r="M3272" s="75"/>
      <c r="N3272" s="70"/>
      <c r="O3272" s="77" t="s">
        <v>179</v>
      </c>
      <c r="P3272" s="79">
        <v>45195.96875</v>
      </c>
      <c r="Q3272" s="77" t="s">
        <v>3944</v>
      </c>
      <c r="R3272" s="77">
        <v>0</v>
      </c>
      <c r="S3272" s="77">
        <v>1</v>
      </c>
      <c r="T3272" s="77">
        <v>0</v>
      </c>
      <c r="U3272" s="77">
        <v>0</v>
      </c>
      <c r="V3272" s="77">
        <v>609</v>
      </c>
      <c r="W3272" s="82" t="s">
        <v>4833</v>
      </c>
      <c r="X3272" s="80" t="str">
        <f>HYPERLINK("https://einvestidor.estadao.com.br/ultimas/juros-treasuries-sobem-falas-dirigentes-federal-reserve//?utm_source=twitter&amp;utm_medium=organic&amp;utm_campaign=&amp;utm_content=materia")</f>
        <v>https://einvestidor.estadao.com.br/ultimas/juros-treasuries-sobem-falas-dirigentes-federal-reserve//?utm_source=twitter&amp;utm_medium=organic&amp;utm_campaign=&amp;utm_content=materia</v>
      </c>
      <c r="Y3272" s="77" t="s">
        <v>6470</v>
      </c>
      <c r="Z3272" s="77"/>
      <c r="AA3272" s="77"/>
      <c r="AB3272" s="77"/>
      <c r="AC3272" s="82" t="s">
        <v>7750</v>
      </c>
      <c r="AD3272" s="77" t="s">
        <v>7788</v>
      </c>
      <c r="AE3272" s="80" t="str">
        <f>HYPERLINK("https://twitter.com/einvestidor/status/1706809624928948249")</f>
        <v>https://twitter.com/einvestidor/status/1706809624928948249</v>
      </c>
      <c r="AF3272" s="79">
        <v>45195.96875</v>
      </c>
      <c r="AG3272" s="85">
        <v>45195</v>
      </c>
      <c r="AH3272" s="82" t="s">
        <v>9621</v>
      </c>
      <c r="AI3272" s="77" t="b">
        <v>0</v>
      </c>
      <c r="AJ3272" s="77"/>
      <c r="AK3272" s="77"/>
      <c r="AL3272" s="77"/>
      <c r="AM3272" s="77"/>
      <c r="AN3272" s="77"/>
      <c r="AO3272" s="77"/>
      <c r="AP3272" s="77"/>
      <c r="AQ3272" s="77"/>
      <c r="AR3272" s="77"/>
      <c r="AS3272" s="77"/>
      <c r="AT3272" s="77"/>
      <c r="AU3272" s="77"/>
      <c r="AV3272" s="80" t="str">
        <f>HYPERLINK("https://pbs.twimg.com/profile_images/1241147984924082183/gZgx_hL-_normal.jpg")</f>
        <v>https://pbs.twimg.com/profile_images/1241147984924082183/gZgx_hL-_normal.jpg</v>
      </c>
      <c r="AW3272" s="82" t="s">
        <v>14868</v>
      </c>
      <c r="AX3272" s="82" t="s">
        <v>14868</v>
      </c>
      <c r="AY3272" s="77"/>
      <c r="AZ3272" s="82" t="s">
        <v>15984</v>
      </c>
      <c r="BA3272" s="82" t="s">
        <v>15984</v>
      </c>
      <c r="BB3272" s="82" t="s">
        <v>15984</v>
      </c>
      <c r="BC3272" s="82" t="s">
        <v>14868</v>
      </c>
      <c r="BD3272" s="82" t="s">
        <v>15979</v>
      </c>
      <c r="BE3272" s="77"/>
      <c r="BF3272" s="77"/>
      <c r="BG3272" s="77"/>
      <c r="BH3272" s="77"/>
      <c r="BI3272" s="77"/>
    </row>
    <row r="3273" spans="1:61" x14ac:dyDescent="0.25">
      <c r="A3273" s="62" t="s">
        <v>387</v>
      </c>
      <c r="B3273" s="62" t="s">
        <v>387</v>
      </c>
      <c r="C3273" s="63"/>
      <c r="D3273" s="64"/>
      <c r="E3273" s="65"/>
      <c r="F3273" s="66"/>
      <c r="G3273" s="63"/>
      <c r="H3273" s="67"/>
      <c r="I3273" s="68"/>
      <c r="J3273" s="68"/>
      <c r="K3273" s="32"/>
      <c r="L3273" s="75">
        <v>3273</v>
      </c>
      <c r="M3273" s="75"/>
      <c r="N3273" s="70"/>
      <c r="O3273" s="77" t="s">
        <v>179</v>
      </c>
      <c r="P3273" s="79">
        <v>45195.958356481482</v>
      </c>
      <c r="Q3273" s="77" t="s">
        <v>3945</v>
      </c>
      <c r="R3273" s="77">
        <v>0</v>
      </c>
      <c r="S3273" s="77">
        <v>3</v>
      </c>
      <c r="T3273" s="77">
        <v>0</v>
      </c>
      <c r="U3273" s="77">
        <v>0</v>
      </c>
      <c r="V3273" s="77">
        <v>579</v>
      </c>
      <c r="W3273" s="82" t="s">
        <v>6269</v>
      </c>
      <c r="X3273" s="80" t="str">
        <f>HYPERLINK("https://einvestidor.estadao.com.br/ultimas/bolsas-nova-york-fecham-queda-dow-jones-maior-perda-diaria-desde-marco//?utm_source=twitter&amp;utm_medium=organic&amp;utm_campaign=&amp;utm_content=materia")</f>
        <v>https://einvestidor.estadao.com.br/ultimas/bolsas-nova-york-fecham-queda-dow-jones-maior-perda-diaria-desde-marco//?utm_source=twitter&amp;utm_medium=organic&amp;utm_campaign=&amp;utm_content=materia</v>
      </c>
      <c r="Y3273" s="77" t="s">
        <v>6470</v>
      </c>
      <c r="Z3273" s="77"/>
      <c r="AA3273" s="77" t="s">
        <v>7631</v>
      </c>
      <c r="AB3273" s="77" t="s">
        <v>7742</v>
      </c>
      <c r="AC3273" s="82" t="s">
        <v>7750</v>
      </c>
      <c r="AD3273" s="77" t="s">
        <v>7788</v>
      </c>
      <c r="AE3273" s="80" t="str">
        <f>HYPERLINK("https://twitter.com/einvestidor/status/1706805857974120604")</f>
        <v>https://twitter.com/einvestidor/status/1706805857974120604</v>
      </c>
      <c r="AF3273" s="79">
        <v>45195.958356481482</v>
      </c>
      <c r="AG3273" s="85">
        <v>45195</v>
      </c>
      <c r="AH3273" s="82" t="s">
        <v>9725</v>
      </c>
      <c r="AI3273" s="77" t="b">
        <v>0</v>
      </c>
      <c r="AJ3273" s="77"/>
      <c r="AK3273" s="77"/>
      <c r="AL3273" s="77"/>
      <c r="AM3273" s="77"/>
      <c r="AN3273" s="77"/>
      <c r="AO3273" s="77"/>
      <c r="AP3273" s="77"/>
      <c r="AQ3273" s="77" t="s">
        <v>11603</v>
      </c>
      <c r="AR3273" s="77"/>
      <c r="AS3273" s="77"/>
      <c r="AT3273" s="77"/>
      <c r="AU3273" s="77"/>
      <c r="AV3273" s="80" t="str">
        <f>HYPERLINK("https://pbs.twimg.com/media/F6_AmOKWMAAJYcU.jpg")</f>
        <v>https://pbs.twimg.com/media/F6_AmOKWMAAJYcU.jpg</v>
      </c>
      <c r="AW3273" s="82" t="s">
        <v>14869</v>
      </c>
      <c r="AX3273" s="82" t="s">
        <v>14869</v>
      </c>
      <c r="AY3273" s="77"/>
      <c r="AZ3273" s="82" t="s">
        <v>15984</v>
      </c>
      <c r="BA3273" s="82" t="s">
        <v>15984</v>
      </c>
      <c r="BB3273" s="82" t="s">
        <v>15984</v>
      </c>
      <c r="BC3273" s="82" t="s">
        <v>14869</v>
      </c>
      <c r="BD3273" s="82" t="s">
        <v>15979</v>
      </c>
      <c r="BE3273" s="77"/>
      <c r="BF3273" s="77"/>
      <c r="BG3273" s="77"/>
      <c r="BH3273" s="77"/>
      <c r="BI3273" s="77"/>
    </row>
    <row r="3274" spans="1:61" x14ac:dyDescent="0.25">
      <c r="A3274" s="62" t="s">
        <v>387</v>
      </c>
      <c r="B3274" s="62" t="s">
        <v>387</v>
      </c>
      <c r="C3274" s="63"/>
      <c r="D3274" s="64"/>
      <c r="E3274" s="65"/>
      <c r="F3274" s="66"/>
      <c r="G3274" s="63"/>
      <c r="H3274" s="67"/>
      <c r="I3274" s="68"/>
      <c r="J3274" s="68"/>
      <c r="K3274" s="32"/>
      <c r="L3274" s="75">
        <v>3274</v>
      </c>
      <c r="M3274" s="75"/>
      <c r="N3274" s="70"/>
      <c r="O3274" s="77" t="s">
        <v>179</v>
      </c>
      <c r="P3274" s="79">
        <v>45195.752847222226</v>
      </c>
      <c r="Q3274" s="77" t="s">
        <v>3946</v>
      </c>
      <c r="R3274" s="77">
        <v>0</v>
      </c>
      <c r="S3274" s="77">
        <v>1</v>
      </c>
      <c r="T3274" s="77">
        <v>0</v>
      </c>
      <c r="U3274" s="77">
        <v>0</v>
      </c>
      <c r="V3274" s="77">
        <v>401</v>
      </c>
      <c r="W3274" s="82" t="s">
        <v>4833</v>
      </c>
      <c r="X3274" s="80" t="str">
        <f>HYPERLINK("https://einvestidor.estadao.com.br/criptomoedas/brasil-recorde-transacoes-cripto/?utm_source=twitter&amp;utm_medium=organic&amp;utm_campaign=&amp;utm_content=materia")</f>
        <v>https://einvestidor.estadao.com.br/criptomoedas/brasil-recorde-transacoes-cripto/?utm_source=twitter&amp;utm_medium=organic&amp;utm_campaign=&amp;utm_content=materia</v>
      </c>
      <c r="Y3274" s="77" t="s">
        <v>6470</v>
      </c>
      <c r="Z3274" s="77"/>
      <c r="AA3274" s="77"/>
      <c r="AB3274" s="77"/>
      <c r="AC3274" s="82" t="s">
        <v>7750</v>
      </c>
      <c r="AD3274" s="77" t="s">
        <v>7788</v>
      </c>
      <c r="AE3274" s="80" t="str">
        <f>HYPERLINK("https://twitter.com/einvestidor/status/1706731384897720659")</f>
        <v>https://twitter.com/einvestidor/status/1706731384897720659</v>
      </c>
      <c r="AF3274" s="79">
        <v>45195.752847222226</v>
      </c>
      <c r="AG3274" s="85">
        <v>45195</v>
      </c>
      <c r="AH3274" s="82" t="s">
        <v>10010</v>
      </c>
      <c r="AI3274" s="77" t="b">
        <v>0</v>
      </c>
      <c r="AJ3274" s="77"/>
      <c r="AK3274" s="77"/>
      <c r="AL3274" s="77"/>
      <c r="AM3274" s="77"/>
      <c r="AN3274" s="77"/>
      <c r="AO3274" s="77"/>
      <c r="AP3274" s="77"/>
      <c r="AQ3274" s="77"/>
      <c r="AR3274" s="77"/>
      <c r="AS3274" s="77"/>
      <c r="AT3274" s="77"/>
      <c r="AU3274" s="77"/>
      <c r="AV3274" s="80" t="str">
        <f>HYPERLINK("https://pbs.twimg.com/profile_images/1241147984924082183/gZgx_hL-_normal.jpg")</f>
        <v>https://pbs.twimg.com/profile_images/1241147984924082183/gZgx_hL-_normal.jpg</v>
      </c>
      <c r="AW3274" s="82" t="s">
        <v>14870</v>
      </c>
      <c r="AX3274" s="82" t="s">
        <v>14870</v>
      </c>
      <c r="AY3274" s="77"/>
      <c r="AZ3274" s="82" t="s">
        <v>15984</v>
      </c>
      <c r="BA3274" s="82" t="s">
        <v>15984</v>
      </c>
      <c r="BB3274" s="82" t="s">
        <v>15984</v>
      </c>
      <c r="BC3274" s="82" t="s">
        <v>14870</v>
      </c>
      <c r="BD3274" s="82" t="s">
        <v>15979</v>
      </c>
      <c r="BE3274" s="77"/>
      <c r="BF3274" s="77"/>
      <c r="BG3274" s="77"/>
      <c r="BH3274" s="77"/>
      <c r="BI3274" s="77"/>
    </row>
    <row r="3275" spans="1:61" x14ac:dyDescent="0.25">
      <c r="A3275" s="62" t="s">
        <v>387</v>
      </c>
      <c r="B3275" s="62" t="s">
        <v>387</v>
      </c>
      <c r="C3275" s="63"/>
      <c r="D3275" s="64"/>
      <c r="E3275" s="65"/>
      <c r="F3275" s="66"/>
      <c r="G3275" s="63"/>
      <c r="H3275" s="67"/>
      <c r="I3275" s="68"/>
      <c r="J3275" s="68"/>
      <c r="K3275" s="32"/>
      <c r="L3275" s="75">
        <v>3275</v>
      </c>
      <c r="M3275" s="75"/>
      <c r="N3275" s="70"/>
      <c r="O3275" s="77" t="s">
        <v>179</v>
      </c>
      <c r="P3275" s="79">
        <v>45194.949293981481</v>
      </c>
      <c r="Q3275" s="77" t="s">
        <v>3947</v>
      </c>
      <c r="R3275" s="77">
        <v>0</v>
      </c>
      <c r="S3275" s="77">
        <v>0</v>
      </c>
      <c r="T3275" s="77">
        <v>0</v>
      </c>
      <c r="U3275" s="77">
        <v>0</v>
      </c>
      <c r="V3275" s="77">
        <v>480</v>
      </c>
      <c r="W3275" s="82" t="s">
        <v>4833</v>
      </c>
      <c r="X3275" s="80" t="str">
        <f>HYPERLINK("https://einvestidor.estadao.com.br/ultimas/bolsas-nova-york-fecham-alta-amazon-destaque//?utm_source=twitter&amp;utm_medium=organic&amp;utm_campaign=&amp;utm_content=materia")</f>
        <v>https://einvestidor.estadao.com.br/ultimas/bolsas-nova-york-fecham-alta-amazon-destaque//?utm_source=twitter&amp;utm_medium=organic&amp;utm_campaign=&amp;utm_content=materia</v>
      </c>
      <c r="Y3275" s="77" t="s">
        <v>6470</v>
      </c>
      <c r="Z3275" s="77"/>
      <c r="AA3275" s="77" t="s">
        <v>7632</v>
      </c>
      <c r="AB3275" s="77" t="s">
        <v>7742</v>
      </c>
      <c r="AC3275" s="82" t="s">
        <v>7750</v>
      </c>
      <c r="AD3275" s="77" t="s">
        <v>7788</v>
      </c>
      <c r="AE3275" s="80" t="str">
        <f>HYPERLINK("https://twitter.com/einvestidor/status/1706440188635877668")</f>
        <v>https://twitter.com/einvestidor/status/1706440188635877668</v>
      </c>
      <c r="AF3275" s="79">
        <v>45194.949293981481</v>
      </c>
      <c r="AG3275" s="85">
        <v>45194</v>
      </c>
      <c r="AH3275" s="82" t="s">
        <v>10011</v>
      </c>
      <c r="AI3275" s="77" t="b">
        <v>0</v>
      </c>
      <c r="AJ3275" s="77"/>
      <c r="AK3275" s="77"/>
      <c r="AL3275" s="77"/>
      <c r="AM3275" s="77"/>
      <c r="AN3275" s="77"/>
      <c r="AO3275" s="77"/>
      <c r="AP3275" s="77"/>
      <c r="AQ3275" s="77" t="s">
        <v>11604</v>
      </c>
      <c r="AR3275" s="77"/>
      <c r="AS3275" s="77"/>
      <c r="AT3275" s="77"/>
      <c r="AU3275" s="77"/>
      <c r="AV3275" s="80" t="str">
        <f>HYPERLINK("https://pbs.twimg.com/media/F65-TfnXcAAxebD.jpg")</f>
        <v>https://pbs.twimg.com/media/F65-TfnXcAAxebD.jpg</v>
      </c>
      <c r="AW3275" s="82" t="s">
        <v>14871</v>
      </c>
      <c r="AX3275" s="82" t="s">
        <v>14871</v>
      </c>
      <c r="AY3275" s="77"/>
      <c r="AZ3275" s="82" t="s">
        <v>15984</v>
      </c>
      <c r="BA3275" s="82" t="s">
        <v>15984</v>
      </c>
      <c r="BB3275" s="82" t="s">
        <v>15984</v>
      </c>
      <c r="BC3275" s="82" t="s">
        <v>14871</v>
      </c>
      <c r="BD3275" s="82" t="s">
        <v>15979</v>
      </c>
      <c r="BE3275" s="77"/>
      <c r="BF3275" s="77"/>
      <c r="BG3275" s="77"/>
      <c r="BH3275" s="77"/>
      <c r="BI3275" s="77"/>
    </row>
    <row r="3276" spans="1:61" x14ac:dyDescent="0.25">
      <c r="A3276" s="62" t="s">
        <v>387</v>
      </c>
      <c r="B3276" s="62" t="s">
        <v>387</v>
      </c>
      <c r="C3276" s="63"/>
      <c r="D3276" s="64"/>
      <c r="E3276" s="65"/>
      <c r="F3276" s="66"/>
      <c r="G3276" s="63"/>
      <c r="H3276" s="67"/>
      <c r="I3276" s="68"/>
      <c r="J3276" s="68"/>
      <c r="K3276" s="32"/>
      <c r="L3276" s="75">
        <v>3276</v>
      </c>
      <c r="M3276" s="75"/>
      <c r="N3276" s="70"/>
      <c r="O3276" s="77" t="s">
        <v>179</v>
      </c>
      <c r="P3276" s="79">
        <v>45194.928657407407</v>
      </c>
      <c r="Q3276" s="77" t="s">
        <v>3948</v>
      </c>
      <c r="R3276" s="77">
        <v>0</v>
      </c>
      <c r="S3276" s="77">
        <v>0</v>
      </c>
      <c r="T3276" s="77">
        <v>0</v>
      </c>
      <c r="U3276" s="77">
        <v>0</v>
      </c>
      <c r="V3276" s="77">
        <v>564</v>
      </c>
      <c r="W3276" s="82" t="s">
        <v>6270</v>
      </c>
      <c r="X3276" s="80" t="str">
        <f>HYPERLINK("https://einvestidor.estadao.com.br/colunas/erich-decat/avaliaca-mercado-agenda-fernando-haddad/?utm_source=twitter&amp;utm_medium=organic&amp;utm_campaign=&amp;utm_content=materia")</f>
        <v>https://einvestidor.estadao.com.br/colunas/erich-decat/avaliaca-mercado-agenda-fernando-haddad/?utm_source=twitter&amp;utm_medium=organic&amp;utm_campaign=&amp;utm_content=materia</v>
      </c>
      <c r="Y3276" s="77" t="s">
        <v>6470</v>
      </c>
      <c r="Z3276" s="77"/>
      <c r="AA3276" s="77"/>
      <c r="AB3276" s="77"/>
      <c r="AC3276" s="82" t="s">
        <v>7750</v>
      </c>
      <c r="AD3276" s="77" t="s">
        <v>7788</v>
      </c>
      <c r="AE3276" s="80" t="str">
        <f>HYPERLINK("https://twitter.com/einvestidor/status/1706432707540984175")</f>
        <v>https://twitter.com/einvestidor/status/1706432707540984175</v>
      </c>
      <c r="AF3276" s="79">
        <v>45194.928657407407</v>
      </c>
      <c r="AG3276" s="85">
        <v>45194</v>
      </c>
      <c r="AH3276" s="82" t="s">
        <v>10012</v>
      </c>
      <c r="AI3276" s="77" t="b">
        <v>0</v>
      </c>
      <c r="AJ3276" s="77"/>
      <c r="AK3276" s="77"/>
      <c r="AL3276" s="77"/>
      <c r="AM3276" s="77"/>
      <c r="AN3276" s="77"/>
      <c r="AO3276" s="77"/>
      <c r="AP3276" s="77"/>
      <c r="AQ3276" s="77"/>
      <c r="AR3276" s="77"/>
      <c r="AS3276" s="77"/>
      <c r="AT3276" s="77"/>
      <c r="AU3276" s="77"/>
      <c r="AV3276" s="80" t="str">
        <f>HYPERLINK("https://pbs.twimg.com/profile_images/1241147984924082183/gZgx_hL-_normal.jpg")</f>
        <v>https://pbs.twimg.com/profile_images/1241147984924082183/gZgx_hL-_normal.jpg</v>
      </c>
      <c r="AW3276" s="82" t="s">
        <v>14872</v>
      </c>
      <c r="AX3276" s="82" t="s">
        <v>14872</v>
      </c>
      <c r="AY3276" s="77"/>
      <c r="AZ3276" s="82" t="s">
        <v>15984</v>
      </c>
      <c r="BA3276" s="82" t="s">
        <v>15984</v>
      </c>
      <c r="BB3276" s="82" t="s">
        <v>15984</v>
      </c>
      <c r="BC3276" s="82" t="s">
        <v>14872</v>
      </c>
      <c r="BD3276" s="82" t="s">
        <v>15979</v>
      </c>
      <c r="BE3276" s="77"/>
      <c r="BF3276" s="77"/>
      <c r="BG3276" s="77"/>
      <c r="BH3276" s="77"/>
      <c r="BI3276" s="77"/>
    </row>
    <row r="3277" spans="1:61" x14ac:dyDescent="0.25">
      <c r="A3277" s="62" t="s">
        <v>387</v>
      </c>
      <c r="B3277" s="62" t="s">
        <v>387</v>
      </c>
      <c r="C3277" s="63"/>
      <c r="D3277" s="64"/>
      <c r="E3277" s="65"/>
      <c r="F3277" s="66"/>
      <c r="G3277" s="63"/>
      <c r="H3277" s="67"/>
      <c r="I3277" s="68"/>
      <c r="J3277" s="68"/>
      <c r="K3277" s="32"/>
      <c r="L3277" s="75">
        <v>3277</v>
      </c>
      <c r="M3277" s="75"/>
      <c r="N3277" s="70"/>
      <c r="O3277" s="77" t="s">
        <v>179</v>
      </c>
      <c r="P3277" s="79">
        <v>45194.916678240741</v>
      </c>
      <c r="Q3277" s="77" t="s">
        <v>3949</v>
      </c>
      <c r="R3277" s="77">
        <v>0</v>
      </c>
      <c r="S3277" s="77">
        <v>0</v>
      </c>
      <c r="T3277" s="77">
        <v>0</v>
      </c>
      <c r="U3277" s="77">
        <v>0</v>
      </c>
      <c r="V3277" s="77">
        <v>438</v>
      </c>
      <c r="W3277" s="82" t="s">
        <v>6271</v>
      </c>
      <c r="X3277" s="80" t="str">
        <f>HYPERLINK("https://einvestidor.estadao.com.br/radar-einvestidor/celesc-clsc3-pagamento-jcp-aviso-acionistas/?utm_source=twitter&amp;utm_medium=organic&amp;utm_campaign=&amp;utm_content=materia")</f>
        <v>https://einvestidor.estadao.com.br/radar-einvestidor/celesc-clsc3-pagamento-jcp-aviso-acionistas/?utm_source=twitter&amp;utm_medium=organic&amp;utm_campaign=&amp;utm_content=materia</v>
      </c>
      <c r="Y3277" s="77" t="s">
        <v>6470</v>
      </c>
      <c r="Z3277" s="77"/>
      <c r="AA3277" s="77" t="s">
        <v>7633</v>
      </c>
      <c r="AB3277" s="77" t="s">
        <v>7742</v>
      </c>
      <c r="AC3277" s="82" t="s">
        <v>7750</v>
      </c>
      <c r="AD3277" s="77" t="s">
        <v>7788</v>
      </c>
      <c r="AE3277" s="80" t="str">
        <f>HYPERLINK("https://twitter.com/einvestidor/status/1706428367464222812")</f>
        <v>https://twitter.com/einvestidor/status/1706428367464222812</v>
      </c>
      <c r="AF3277" s="79">
        <v>45194.916678240741</v>
      </c>
      <c r="AG3277" s="85">
        <v>45194</v>
      </c>
      <c r="AH3277" s="82" t="s">
        <v>8052</v>
      </c>
      <c r="AI3277" s="77" t="b">
        <v>0</v>
      </c>
      <c r="AJ3277" s="77"/>
      <c r="AK3277" s="77"/>
      <c r="AL3277" s="77"/>
      <c r="AM3277" s="77"/>
      <c r="AN3277" s="77"/>
      <c r="AO3277" s="77"/>
      <c r="AP3277" s="77"/>
      <c r="AQ3277" s="77" t="s">
        <v>11605</v>
      </c>
      <c r="AR3277" s="77"/>
      <c r="AS3277" s="77"/>
      <c r="AT3277" s="77"/>
      <c r="AU3277" s="77"/>
      <c r="AV3277" s="80" t="str">
        <f>HYPERLINK("https://pbs.twimg.com/media/F65s8sEXIAA3e_3.jpg")</f>
        <v>https://pbs.twimg.com/media/F65s8sEXIAA3e_3.jpg</v>
      </c>
      <c r="AW3277" s="82" t="s">
        <v>14873</v>
      </c>
      <c r="AX3277" s="82" t="s">
        <v>14873</v>
      </c>
      <c r="AY3277" s="77"/>
      <c r="AZ3277" s="82" t="s">
        <v>15984</v>
      </c>
      <c r="BA3277" s="82" t="s">
        <v>15984</v>
      </c>
      <c r="BB3277" s="82" t="s">
        <v>15984</v>
      </c>
      <c r="BC3277" s="82" t="s">
        <v>14873</v>
      </c>
      <c r="BD3277" s="82" t="s">
        <v>15979</v>
      </c>
      <c r="BE3277" s="77"/>
      <c r="BF3277" s="77"/>
      <c r="BG3277" s="77"/>
      <c r="BH3277" s="77"/>
      <c r="BI3277" s="77"/>
    </row>
    <row r="3278" spans="1:61" x14ac:dyDescent="0.25">
      <c r="A3278" s="62" t="s">
        <v>387</v>
      </c>
      <c r="B3278" s="62" t="s">
        <v>387</v>
      </c>
      <c r="C3278" s="63"/>
      <c r="D3278" s="64"/>
      <c r="E3278" s="65"/>
      <c r="F3278" s="66"/>
      <c r="G3278" s="63"/>
      <c r="H3278" s="67"/>
      <c r="I3278" s="68"/>
      <c r="J3278" s="68"/>
      <c r="K3278" s="32"/>
      <c r="L3278" s="75">
        <v>3278</v>
      </c>
      <c r="M3278" s="75"/>
      <c r="N3278" s="70"/>
      <c r="O3278" s="77" t="s">
        <v>179</v>
      </c>
      <c r="P3278" s="79">
        <v>45194.90625</v>
      </c>
      <c r="Q3278" s="77" t="s">
        <v>3950</v>
      </c>
      <c r="R3278" s="77">
        <v>0</v>
      </c>
      <c r="S3278" s="77">
        <v>1</v>
      </c>
      <c r="T3278" s="77">
        <v>0</v>
      </c>
      <c r="U3278" s="77">
        <v>0</v>
      </c>
      <c r="V3278" s="77">
        <v>445</v>
      </c>
      <c r="W3278" s="82" t="s">
        <v>4833</v>
      </c>
      <c r="X3278" s="80" t="str">
        <f>HYPERLINK("https://einvestidor.estadao.com.br/radar-einvestidor/allianca-aarl3-celebra-novidade-r200-mi-acoes-caem/?utm_source=twitter&amp;utm_medium=organic&amp;utm_campaign=&amp;utm_content=materia")</f>
        <v>https://einvestidor.estadao.com.br/radar-einvestidor/allianca-aarl3-celebra-novidade-r200-mi-acoes-caem/?utm_source=twitter&amp;utm_medium=organic&amp;utm_campaign=&amp;utm_content=materia</v>
      </c>
      <c r="Y3278" s="77" t="s">
        <v>6470</v>
      </c>
      <c r="Z3278" s="77"/>
      <c r="AA3278" s="77"/>
      <c r="AB3278" s="77"/>
      <c r="AC3278" s="82" t="s">
        <v>7750</v>
      </c>
      <c r="AD3278" s="77" t="s">
        <v>7788</v>
      </c>
      <c r="AE3278" s="80" t="str">
        <f>HYPERLINK("https://twitter.com/einvestidor/status/1706424587922375138")</f>
        <v>https://twitter.com/einvestidor/status/1706424587922375138</v>
      </c>
      <c r="AF3278" s="79">
        <v>45194.90625</v>
      </c>
      <c r="AG3278" s="85">
        <v>45194</v>
      </c>
      <c r="AH3278" s="82" t="s">
        <v>9578</v>
      </c>
      <c r="AI3278" s="77" t="b">
        <v>0</v>
      </c>
      <c r="AJ3278" s="77"/>
      <c r="AK3278" s="77"/>
      <c r="AL3278" s="77"/>
      <c r="AM3278" s="77"/>
      <c r="AN3278" s="77"/>
      <c r="AO3278" s="77"/>
      <c r="AP3278" s="77"/>
      <c r="AQ3278" s="77"/>
      <c r="AR3278" s="77"/>
      <c r="AS3278" s="77"/>
      <c r="AT3278" s="77"/>
      <c r="AU3278" s="77"/>
      <c r="AV3278" s="80" t="str">
        <f>HYPERLINK("https://pbs.twimg.com/profile_images/1241147984924082183/gZgx_hL-_normal.jpg")</f>
        <v>https://pbs.twimg.com/profile_images/1241147984924082183/gZgx_hL-_normal.jpg</v>
      </c>
      <c r="AW3278" s="82" t="s">
        <v>14874</v>
      </c>
      <c r="AX3278" s="82" t="s">
        <v>14874</v>
      </c>
      <c r="AY3278" s="77"/>
      <c r="AZ3278" s="82" t="s">
        <v>15984</v>
      </c>
      <c r="BA3278" s="82" t="s">
        <v>15984</v>
      </c>
      <c r="BB3278" s="82" t="s">
        <v>15984</v>
      </c>
      <c r="BC3278" s="82" t="s">
        <v>14874</v>
      </c>
      <c r="BD3278" s="82" t="s">
        <v>15979</v>
      </c>
      <c r="BE3278" s="77"/>
      <c r="BF3278" s="77"/>
      <c r="BG3278" s="77"/>
      <c r="BH3278" s="77"/>
      <c r="BI3278" s="77"/>
    </row>
    <row r="3279" spans="1:61" x14ac:dyDescent="0.25">
      <c r="A3279" s="62" t="s">
        <v>387</v>
      </c>
      <c r="B3279" s="62" t="s">
        <v>387</v>
      </c>
      <c r="C3279" s="63"/>
      <c r="D3279" s="64"/>
      <c r="E3279" s="65"/>
      <c r="F3279" s="66"/>
      <c r="G3279" s="63"/>
      <c r="H3279" s="67"/>
      <c r="I3279" s="68"/>
      <c r="J3279" s="68"/>
      <c r="K3279" s="32"/>
      <c r="L3279" s="75">
        <v>3279</v>
      </c>
      <c r="M3279" s="75"/>
      <c r="N3279" s="70"/>
      <c r="O3279" s="77" t="s">
        <v>179</v>
      </c>
      <c r="P3279" s="79">
        <v>45191.770833333336</v>
      </c>
      <c r="Q3279" s="77" t="s">
        <v>3951</v>
      </c>
      <c r="R3279" s="77">
        <v>1</v>
      </c>
      <c r="S3279" s="77">
        <v>0</v>
      </c>
      <c r="T3279" s="77">
        <v>0</v>
      </c>
      <c r="U3279" s="77">
        <v>0</v>
      </c>
      <c r="V3279" s="77">
        <v>479</v>
      </c>
      <c r="W3279" s="82" t="s">
        <v>6272</v>
      </c>
      <c r="X3279" s="80" t="str">
        <f>HYPERLINK("https://einvestidor.estadao.com.br/colunas/quanto-custa/quanto-custa-instalar-ar-condicionado/?utm_source=twitter&amp;utm_medium=organic&amp;utm_campaign=&amp;utm_content=materia")</f>
        <v>https://einvestidor.estadao.com.br/colunas/quanto-custa/quanto-custa-instalar-ar-condicionado/?utm_source=twitter&amp;utm_medium=organic&amp;utm_campaign=&amp;utm_content=materia</v>
      </c>
      <c r="Y3279" s="77" t="s">
        <v>6470</v>
      </c>
      <c r="Z3279" s="77"/>
      <c r="AA3279" s="77"/>
      <c r="AB3279" s="77"/>
      <c r="AC3279" s="82" t="s">
        <v>7750</v>
      </c>
      <c r="AD3279" s="77" t="s">
        <v>7788</v>
      </c>
      <c r="AE3279" s="80" t="str">
        <f>HYPERLINK("https://twitter.com/einvestidor/status/1705288350750355780")</f>
        <v>https://twitter.com/einvestidor/status/1705288350750355780</v>
      </c>
      <c r="AF3279" s="79">
        <v>45191.770833333336</v>
      </c>
      <c r="AG3279" s="85">
        <v>45191</v>
      </c>
      <c r="AH3279" s="82" t="s">
        <v>7930</v>
      </c>
      <c r="AI3279" s="77" t="b">
        <v>0</v>
      </c>
      <c r="AJ3279" s="77"/>
      <c r="AK3279" s="77"/>
      <c r="AL3279" s="77"/>
      <c r="AM3279" s="77"/>
      <c r="AN3279" s="77"/>
      <c r="AO3279" s="77"/>
      <c r="AP3279" s="77"/>
      <c r="AQ3279" s="77"/>
      <c r="AR3279" s="77"/>
      <c r="AS3279" s="77"/>
      <c r="AT3279" s="77"/>
      <c r="AU3279" s="77"/>
      <c r="AV3279" s="80" t="str">
        <f>HYPERLINK("https://pbs.twimg.com/profile_images/1241147984924082183/gZgx_hL-_normal.jpg")</f>
        <v>https://pbs.twimg.com/profile_images/1241147984924082183/gZgx_hL-_normal.jpg</v>
      </c>
      <c r="AW3279" s="82" t="s">
        <v>14875</v>
      </c>
      <c r="AX3279" s="82" t="s">
        <v>14875</v>
      </c>
      <c r="AY3279" s="77"/>
      <c r="AZ3279" s="82" t="s">
        <v>15984</v>
      </c>
      <c r="BA3279" s="82" t="s">
        <v>15984</v>
      </c>
      <c r="BB3279" s="82" t="s">
        <v>15984</v>
      </c>
      <c r="BC3279" s="82" t="s">
        <v>14875</v>
      </c>
      <c r="BD3279" s="82" t="s">
        <v>15979</v>
      </c>
      <c r="BE3279" s="77"/>
      <c r="BF3279" s="77"/>
      <c r="BG3279" s="77"/>
      <c r="BH3279" s="77"/>
      <c r="BI3279" s="77"/>
    </row>
    <row r="3280" spans="1:61" x14ac:dyDescent="0.25">
      <c r="A3280" s="62" t="s">
        <v>387</v>
      </c>
      <c r="B3280" s="62" t="s">
        <v>387</v>
      </c>
      <c r="C3280" s="63"/>
      <c r="D3280" s="64"/>
      <c r="E3280" s="65"/>
      <c r="F3280" s="66"/>
      <c r="G3280" s="63"/>
      <c r="H3280" s="67"/>
      <c r="I3280" s="68"/>
      <c r="J3280" s="68"/>
      <c r="K3280" s="32"/>
      <c r="L3280" s="75">
        <v>3280</v>
      </c>
      <c r="M3280" s="75"/>
      <c r="N3280" s="70"/>
      <c r="O3280" s="77" t="s">
        <v>179</v>
      </c>
      <c r="P3280" s="79">
        <v>45191.65625</v>
      </c>
      <c r="Q3280" s="77" t="s">
        <v>3952</v>
      </c>
      <c r="R3280" s="77">
        <v>0</v>
      </c>
      <c r="S3280" s="77">
        <v>1</v>
      </c>
      <c r="T3280" s="77">
        <v>0</v>
      </c>
      <c r="U3280" s="77">
        <v>0</v>
      </c>
      <c r="V3280" s="77">
        <v>466</v>
      </c>
      <c r="W3280" s="82" t="s">
        <v>4839</v>
      </c>
      <c r="X3280" s="80" t="str">
        <f>HYPERLINK("https://einvestidor.estadao.com.br/ultimas/legend-capital-anuncia-novos-socios/?utm_source=twitter&amp;utm_medium=organic&amp;utm_campaign=legend-capital&amp;utm_content=materia")</f>
        <v>https://einvestidor.estadao.com.br/ultimas/legend-capital-anuncia-novos-socios/?utm_source=twitter&amp;utm_medium=organic&amp;utm_campaign=legend-capital&amp;utm_content=materia</v>
      </c>
      <c r="Y3280" s="77" t="s">
        <v>6470</v>
      </c>
      <c r="Z3280" s="77"/>
      <c r="AA3280" s="77"/>
      <c r="AB3280" s="77"/>
      <c r="AC3280" s="82" t="s">
        <v>7750</v>
      </c>
      <c r="AD3280" s="77" t="s">
        <v>7788</v>
      </c>
      <c r="AE3280" s="80" t="str">
        <f>HYPERLINK("https://twitter.com/einvestidor/status/1705246827543736638")</f>
        <v>https://twitter.com/einvestidor/status/1705246827543736638</v>
      </c>
      <c r="AF3280" s="79">
        <v>45191.65625</v>
      </c>
      <c r="AG3280" s="85">
        <v>45191</v>
      </c>
      <c r="AH3280" s="82" t="s">
        <v>9603</v>
      </c>
      <c r="AI3280" s="77" t="b">
        <v>0</v>
      </c>
      <c r="AJ3280" s="77"/>
      <c r="AK3280" s="77"/>
      <c r="AL3280" s="77"/>
      <c r="AM3280" s="77"/>
      <c r="AN3280" s="77"/>
      <c r="AO3280" s="77"/>
      <c r="AP3280" s="77"/>
      <c r="AQ3280" s="77"/>
      <c r="AR3280" s="77"/>
      <c r="AS3280" s="77"/>
      <c r="AT3280" s="77"/>
      <c r="AU3280" s="77"/>
      <c r="AV3280" s="80" t="str">
        <f>HYPERLINK("https://pbs.twimg.com/profile_images/1241147984924082183/gZgx_hL-_normal.jpg")</f>
        <v>https://pbs.twimg.com/profile_images/1241147984924082183/gZgx_hL-_normal.jpg</v>
      </c>
      <c r="AW3280" s="82" t="s">
        <v>14876</v>
      </c>
      <c r="AX3280" s="82" t="s">
        <v>14876</v>
      </c>
      <c r="AY3280" s="77"/>
      <c r="AZ3280" s="82" t="s">
        <v>15984</v>
      </c>
      <c r="BA3280" s="82" t="s">
        <v>15984</v>
      </c>
      <c r="BB3280" s="82" t="s">
        <v>15984</v>
      </c>
      <c r="BC3280" s="82" t="s">
        <v>14876</v>
      </c>
      <c r="BD3280" s="82" t="s">
        <v>15979</v>
      </c>
      <c r="BE3280" s="77"/>
      <c r="BF3280" s="77"/>
      <c r="BG3280" s="77"/>
      <c r="BH3280" s="77"/>
      <c r="BI3280" s="77"/>
    </row>
    <row r="3281" spans="1:61" x14ac:dyDescent="0.25">
      <c r="A3281" s="62" t="s">
        <v>387</v>
      </c>
      <c r="B3281" s="62" t="s">
        <v>387</v>
      </c>
      <c r="C3281" s="63"/>
      <c r="D3281" s="64"/>
      <c r="E3281" s="65"/>
      <c r="F3281" s="66"/>
      <c r="G3281" s="63"/>
      <c r="H3281" s="67"/>
      <c r="I3281" s="68"/>
      <c r="J3281" s="68"/>
      <c r="K3281" s="32"/>
      <c r="L3281" s="75">
        <v>3281</v>
      </c>
      <c r="M3281" s="75"/>
      <c r="N3281" s="70"/>
      <c r="O3281" s="77" t="s">
        <v>179</v>
      </c>
      <c r="P3281" s="79">
        <v>45188.791678240741</v>
      </c>
      <c r="Q3281" s="77" t="s">
        <v>3953</v>
      </c>
      <c r="R3281" s="77">
        <v>0</v>
      </c>
      <c r="S3281" s="77">
        <v>0</v>
      </c>
      <c r="T3281" s="77">
        <v>0</v>
      </c>
      <c r="U3281" s="77">
        <v>0</v>
      </c>
      <c r="V3281" s="77">
        <v>388</v>
      </c>
      <c r="W3281" s="82" t="s">
        <v>6273</v>
      </c>
      <c r="X3281" s="80" t="str">
        <f>HYPERLINK("https://einvestidor.estadao.com.br/colunas/artigos-especialistas/drex-inovacao-mercado-financeiro-brasil/?utm_source=twitter&amp;utm_medium=organic&amp;utm_campaign=&amp;utm_content=materia")</f>
        <v>https://einvestidor.estadao.com.br/colunas/artigos-especialistas/drex-inovacao-mercado-financeiro-brasil/?utm_source=twitter&amp;utm_medium=organic&amp;utm_campaign=&amp;utm_content=materia</v>
      </c>
      <c r="Y3281" s="77" t="s">
        <v>6470</v>
      </c>
      <c r="Z3281" s="77"/>
      <c r="AA3281" s="77"/>
      <c r="AB3281" s="77"/>
      <c r="AC3281" s="82" t="s">
        <v>7750</v>
      </c>
      <c r="AD3281" s="77" t="s">
        <v>7788</v>
      </c>
      <c r="AE3281" s="80" t="str">
        <f>HYPERLINK("https://twitter.com/einvestidor/status/1704208743498387532")</f>
        <v>https://twitter.com/einvestidor/status/1704208743498387532</v>
      </c>
      <c r="AF3281" s="79">
        <v>45188.791678240741</v>
      </c>
      <c r="AG3281" s="85">
        <v>45188</v>
      </c>
      <c r="AH3281" s="82" t="s">
        <v>7933</v>
      </c>
      <c r="AI3281" s="77" t="b">
        <v>0</v>
      </c>
      <c r="AJ3281" s="77"/>
      <c r="AK3281" s="77"/>
      <c r="AL3281" s="77"/>
      <c r="AM3281" s="77"/>
      <c r="AN3281" s="77"/>
      <c r="AO3281" s="77"/>
      <c r="AP3281" s="77"/>
      <c r="AQ3281" s="77"/>
      <c r="AR3281" s="77"/>
      <c r="AS3281" s="77"/>
      <c r="AT3281" s="77"/>
      <c r="AU3281" s="77"/>
      <c r="AV3281" s="80" t="str">
        <f>HYPERLINK("https://pbs.twimg.com/profile_images/1241147984924082183/gZgx_hL-_normal.jpg")</f>
        <v>https://pbs.twimg.com/profile_images/1241147984924082183/gZgx_hL-_normal.jpg</v>
      </c>
      <c r="AW3281" s="82" t="s">
        <v>14877</v>
      </c>
      <c r="AX3281" s="82" t="s">
        <v>14877</v>
      </c>
      <c r="AY3281" s="77"/>
      <c r="AZ3281" s="82" t="s">
        <v>15984</v>
      </c>
      <c r="BA3281" s="82" t="s">
        <v>15984</v>
      </c>
      <c r="BB3281" s="82" t="s">
        <v>15984</v>
      </c>
      <c r="BC3281" s="82" t="s">
        <v>14877</v>
      </c>
      <c r="BD3281" s="82" t="s">
        <v>15979</v>
      </c>
      <c r="BE3281" s="77"/>
      <c r="BF3281" s="77"/>
      <c r="BG3281" s="77"/>
      <c r="BH3281" s="77"/>
      <c r="BI3281" s="77"/>
    </row>
    <row r="3282" spans="1:61" x14ac:dyDescent="0.25">
      <c r="A3282" s="62" t="s">
        <v>387</v>
      </c>
      <c r="B3282" s="62" t="s">
        <v>387</v>
      </c>
      <c r="C3282" s="63"/>
      <c r="D3282" s="64"/>
      <c r="E3282" s="65"/>
      <c r="F3282" s="66"/>
      <c r="G3282" s="63"/>
      <c r="H3282" s="67"/>
      <c r="I3282" s="68"/>
      <c r="J3282" s="68"/>
      <c r="K3282" s="32"/>
      <c r="L3282" s="75">
        <v>3282</v>
      </c>
      <c r="M3282" s="75"/>
      <c r="N3282" s="70"/>
      <c r="O3282" s="77" t="s">
        <v>179</v>
      </c>
      <c r="P3282" s="79">
        <v>45188.78125</v>
      </c>
      <c r="Q3282" s="77" t="s">
        <v>3954</v>
      </c>
      <c r="R3282" s="77">
        <v>0</v>
      </c>
      <c r="S3282" s="77">
        <v>3</v>
      </c>
      <c r="T3282" s="77">
        <v>0</v>
      </c>
      <c r="U3282" s="77">
        <v>0</v>
      </c>
      <c r="V3282" s="77">
        <v>540</v>
      </c>
      <c r="W3282" s="82" t="s">
        <v>6064</v>
      </c>
      <c r="X3282" s="80" t="str">
        <f>HYPERLINK("https://einvestidor.estadao.com.br/mercado/petr4-petrobras-segundo-melhor-desempenho-seculo/?utm_source=twitter&amp;utm_medium=organic&amp;utm_campaign=&amp;utm_content=materia")</f>
        <v>https://einvestidor.estadao.com.br/mercado/petr4-petrobras-segundo-melhor-desempenho-seculo/?utm_source=twitter&amp;utm_medium=organic&amp;utm_campaign=&amp;utm_content=materia</v>
      </c>
      <c r="Y3282" s="77" t="s">
        <v>6470</v>
      </c>
      <c r="Z3282" s="77"/>
      <c r="AA3282" s="77"/>
      <c r="AB3282" s="77"/>
      <c r="AC3282" s="82" t="s">
        <v>7750</v>
      </c>
      <c r="AD3282" s="77" t="s">
        <v>7788</v>
      </c>
      <c r="AE3282" s="80" t="str">
        <f>HYPERLINK("https://twitter.com/einvestidor/status/1704204962077811022")</f>
        <v>https://twitter.com/einvestidor/status/1704204962077811022</v>
      </c>
      <c r="AF3282" s="79">
        <v>45188.78125</v>
      </c>
      <c r="AG3282" s="85">
        <v>45188</v>
      </c>
      <c r="AH3282" s="82" t="s">
        <v>9581</v>
      </c>
      <c r="AI3282" s="77" t="b">
        <v>0</v>
      </c>
      <c r="AJ3282" s="77"/>
      <c r="AK3282" s="77"/>
      <c r="AL3282" s="77"/>
      <c r="AM3282" s="77"/>
      <c r="AN3282" s="77"/>
      <c r="AO3282" s="77"/>
      <c r="AP3282" s="77"/>
      <c r="AQ3282" s="77"/>
      <c r="AR3282" s="77"/>
      <c r="AS3282" s="77"/>
      <c r="AT3282" s="77"/>
      <c r="AU3282" s="77"/>
      <c r="AV3282" s="80" t="str">
        <f>HYPERLINK("https://pbs.twimg.com/profile_images/1241147984924082183/gZgx_hL-_normal.jpg")</f>
        <v>https://pbs.twimg.com/profile_images/1241147984924082183/gZgx_hL-_normal.jpg</v>
      </c>
      <c r="AW3282" s="82" t="s">
        <v>14878</v>
      </c>
      <c r="AX3282" s="82" t="s">
        <v>14878</v>
      </c>
      <c r="AY3282" s="77"/>
      <c r="AZ3282" s="82" t="s">
        <v>15984</v>
      </c>
      <c r="BA3282" s="82" t="s">
        <v>15984</v>
      </c>
      <c r="BB3282" s="82" t="s">
        <v>15984</v>
      </c>
      <c r="BC3282" s="82" t="s">
        <v>14878</v>
      </c>
      <c r="BD3282" s="82" t="s">
        <v>15979</v>
      </c>
      <c r="BE3282" s="77"/>
      <c r="BF3282" s="77"/>
      <c r="BG3282" s="77"/>
      <c r="BH3282" s="77"/>
      <c r="BI3282" s="77"/>
    </row>
    <row r="3283" spans="1:61" x14ac:dyDescent="0.25">
      <c r="A3283" s="62" t="s">
        <v>387</v>
      </c>
      <c r="B3283" s="62" t="s">
        <v>387</v>
      </c>
      <c r="C3283" s="63"/>
      <c r="D3283" s="64"/>
      <c r="E3283" s="65"/>
      <c r="F3283" s="66"/>
      <c r="G3283" s="63"/>
      <c r="H3283" s="67"/>
      <c r="I3283" s="68"/>
      <c r="J3283" s="68"/>
      <c r="K3283" s="32"/>
      <c r="L3283" s="75">
        <v>3283</v>
      </c>
      <c r="M3283" s="75"/>
      <c r="N3283" s="70"/>
      <c r="O3283" s="77" t="s">
        <v>179</v>
      </c>
      <c r="P3283" s="79">
        <v>45188.770833333336</v>
      </c>
      <c r="Q3283" s="77" t="s">
        <v>3955</v>
      </c>
      <c r="R3283" s="77">
        <v>0</v>
      </c>
      <c r="S3283" s="77">
        <v>1</v>
      </c>
      <c r="T3283" s="77">
        <v>0</v>
      </c>
      <c r="U3283" s="77">
        <v>0</v>
      </c>
      <c r="V3283" s="77">
        <v>433</v>
      </c>
      <c r="W3283" s="82" t="s">
        <v>6063</v>
      </c>
      <c r="X3283" s="80" t="str">
        <f>HYPERLINK("https://einvestidor.estadao.com.br/ultimas/gestor-diz-bc-conservador-sugestao-selic/?utm_source=twitter&amp;utm_medium=organic&amp;utm_campaign=&amp;utm_content=materia")</f>
        <v>https://einvestidor.estadao.com.br/ultimas/gestor-diz-bc-conservador-sugestao-selic/?utm_source=twitter&amp;utm_medium=organic&amp;utm_campaign=&amp;utm_content=materia</v>
      </c>
      <c r="Y3283" s="77" t="s">
        <v>6470</v>
      </c>
      <c r="Z3283" s="77"/>
      <c r="AA3283" s="77"/>
      <c r="AB3283" s="77"/>
      <c r="AC3283" s="82" t="s">
        <v>7750</v>
      </c>
      <c r="AD3283" s="77" t="s">
        <v>7788</v>
      </c>
      <c r="AE3283" s="80" t="str">
        <f>HYPERLINK("https://twitter.com/einvestidor/status/1704201187556295042")</f>
        <v>https://twitter.com/einvestidor/status/1704201187556295042</v>
      </c>
      <c r="AF3283" s="79">
        <v>45188.770833333336</v>
      </c>
      <c r="AG3283" s="85">
        <v>45188</v>
      </c>
      <c r="AH3283" s="82" t="s">
        <v>7930</v>
      </c>
      <c r="AI3283" s="77" t="b">
        <v>0</v>
      </c>
      <c r="AJ3283" s="77"/>
      <c r="AK3283" s="77"/>
      <c r="AL3283" s="77"/>
      <c r="AM3283" s="77"/>
      <c r="AN3283" s="77"/>
      <c r="AO3283" s="77"/>
      <c r="AP3283" s="77"/>
      <c r="AQ3283" s="77"/>
      <c r="AR3283" s="77"/>
      <c r="AS3283" s="77"/>
      <c r="AT3283" s="77"/>
      <c r="AU3283" s="77"/>
      <c r="AV3283" s="80" t="str">
        <f>HYPERLINK("https://pbs.twimg.com/profile_images/1241147984924082183/gZgx_hL-_normal.jpg")</f>
        <v>https://pbs.twimg.com/profile_images/1241147984924082183/gZgx_hL-_normal.jpg</v>
      </c>
      <c r="AW3283" s="82" t="s">
        <v>14879</v>
      </c>
      <c r="AX3283" s="82" t="s">
        <v>14879</v>
      </c>
      <c r="AY3283" s="77"/>
      <c r="AZ3283" s="82" t="s">
        <v>15984</v>
      </c>
      <c r="BA3283" s="82" t="s">
        <v>15984</v>
      </c>
      <c r="BB3283" s="82" t="s">
        <v>15984</v>
      </c>
      <c r="BC3283" s="82" t="s">
        <v>14879</v>
      </c>
      <c r="BD3283" s="82" t="s">
        <v>15979</v>
      </c>
      <c r="BE3283" s="77"/>
      <c r="BF3283" s="77"/>
      <c r="BG3283" s="77"/>
      <c r="BH3283" s="77"/>
      <c r="BI3283" s="77"/>
    </row>
    <row r="3284" spans="1:61" x14ac:dyDescent="0.25">
      <c r="A3284" s="62" t="s">
        <v>387</v>
      </c>
      <c r="B3284" s="62" t="s">
        <v>387</v>
      </c>
      <c r="C3284" s="63"/>
      <c r="D3284" s="64"/>
      <c r="E3284" s="65"/>
      <c r="F3284" s="66"/>
      <c r="G3284" s="63"/>
      <c r="H3284" s="67"/>
      <c r="I3284" s="68"/>
      <c r="J3284" s="68"/>
      <c r="K3284" s="32"/>
      <c r="L3284" s="75">
        <v>3284</v>
      </c>
      <c r="M3284" s="75"/>
      <c r="N3284" s="70"/>
      <c r="O3284" s="77" t="s">
        <v>179</v>
      </c>
      <c r="P3284" s="79">
        <v>45188.750011574077</v>
      </c>
      <c r="Q3284" s="77" t="s">
        <v>3956</v>
      </c>
      <c r="R3284" s="77">
        <v>0</v>
      </c>
      <c r="S3284" s="77">
        <v>2</v>
      </c>
      <c r="T3284" s="77">
        <v>0</v>
      </c>
      <c r="U3284" s="77">
        <v>0</v>
      </c>
      <c r="V3284" s="77">
        <v>434</v>
      </c>
      <c r="W3284" s="82" t="s">
        <v>5921</v>
      </c>
      <c r="X3284" s="80" t="str">
        <f>HYPERLINK("https://einvestidor.estadao.com.br/ultimas/petr4-petrobras-acoes-sobem-em-sessao-anterior-dividendos/?utm_source=twitter&amp;utm_medium=organic&amp;utm_campaign=&amp;utm_content=materia")</f>
        <v>https://einvestidor.estadao.com.br/ultimas/petr4-petrobras-acoes-sobem-em-sessao-anterior-dividendos/?utm_source=twitter&amp;utm_medium=organic&amp;utm_campaign=&amp;utm_content=materia</v>
      </c>
      <c r="Y3284" s="77" t="s">
        <v>6470</v>
      </c>
      <c r="Z3284" s="77"/>
      <c r="AA3284" s="77"/>
      <c r="AB3284" s="77"/>
      <c r="AC3284" s="82" t="s">
        <v>7750</v>
      </c>
      <c r="AD3284" s="77" t="s">
        <v>7788</v>
      </c>
      <c r="AE3284" s="80" t="str">
        <f>HYPERLINK("https://twitter.com/einvestidor/status/1704193642749980686")</f>
        <v>https://twitter.com/einvestidor/status/1704193642749980686</v>
      </c>
      <c r="AF3284" s="79">
        <v>45188.750011574077</v>
      </c>
      <c r="AG3284" s="85">
        <v>45188</v>
      </c>
      <c r="AH3284" s="82" t="s">
        <v>9625</v>
      </c>
      <c r="AI3284" s="77" t="b">
        <v>0</v>
      </c>
      <c r="AJ3284" s="77"/>
      <c r="AK3284" s="77"/>
      <c r="AL3284" s="77"/>
      <c r="AM3284" s="77"/>
      <c r="AN3284" s="77"/>
      <c r="AO3284" s="77"/>
      <c r="AP3284" s="77"/>
      <c r="AQ3284" s="77"/>
      <c r="AR3284" s="77"/>
      <c r="AS3284" s="77"/>
      <c r="AT3284" s="77"/>
      <c r="AU3284" s="77"/>
      <c r="AV3284" s="80" t="str">
        <f>HYPERLINK("https://pbs.twimg.com/profile_images/1241147984924082183/gZgx_hL-_normal.jpg")</f>
        <v>https://pbs.twimg.com/profile_images/1241147984924082183/gZgx_hL-_normal.jpg</v>
      </c>
      <c r="AW3284" s="82" t="s">
        <v>14880</v>
      </c>
      <c r="AX3284" s="82" t="s">
        <v>14880</v>
      </c>
      <c r="AY3284" s="77"/>
      <c r="AZ3284" s="82" t="s">
        <v>15984</v>
      </c>
      <c r="BA3284" s="82" t="s">
        <v>15984</v>
      </c>
      <c r="BB3284" s="82" t="s">
        <v>15984</v>
      </c>
      <c r="BC3284" s="82" t="s">
        <v>14880</v>
      </c>
      <c r="BD3284" s="82" t="s">
        <v>15979</v>
      </c>
      <c r="BE3284" s="77"/>
      <c r="BF3284" s="77"/>
      <c r="BG3284" s="77"/>
      <c r="BH3284" s="77"/>
      <c r="BI3284" s="77"/>
    </row>
    <row r="3285" spans="1:61" x14ac:dyDescent="0.25">
      <c r="A3285" s="62" t="s">
        <v>387</v>
      </c>
      <c r="B3285" s="62" t="s">
        <v>387</v>
      </c>
      <c r="C3285" s="63"/>
      <c r="D3285" s="64"/>
      <c r="E3285" s="65"/>
      <c r="F3285" s="66"/>
      <c r="G3285" s="63"/>
      <c r="H3285" s="67"/>
      <c r="I3285" s="68"/>
      <c r="J3285" s="68"/>
      <c r="K3285" s="32"/>
      <c r="L3285" s="75">
        <v>3285</v>
      </c>
      <c r="M3285" s="75"/>
      <c r="N3285" s="70"/>
      <c r="O3285" s="77" t="s">
        <v>179</v>
      </c>
      <c r="P3285" s="79">
        <v>45188.739583333336</v>
      </c>
      <c r="Q3285" s="77" t="s">
        <v>3957</v>
      </c>
      <c r="R3285" s="77">
        <v>0</v>
      </c>
      <c r="S3285" s="77">
        <v>0</v>
      </c>
      <c r="T3285" s="77">
        <v>0</v>
      </c>
      <c r="U3285" s="77">
        <v>0</v>
      </c>
      <c r="V3285" s="77">
        <v>401</v>
      </c>
      <c r="W3285" s="82" t="s">
        <v>5189</v>
      </c>
      <c r="X3285" s="80" t="str">
        <f>HYPERLINK("https://einvestidor.estadao.com.br/colunas/vitor-miziara/estrategia-mercado-queda-juros-2023/?utm_source=twitter&amp;utm_medium=organic&amp;utm_campaign=&amp;utm_content=materia")</f>
        <v>https://einvestidor.estadao.com.br/colunas/vitor-miziara/estrategia-mercado-queda-juros-2023/?utm_source=twitter&amp;utm_medium=organic&amp;utm_campaign=&amp;utm_content=materia</v>
      </c>
      <c r="Y3285" s="77" t="s">
        <v>6470</v>
      </c>
      <c r="Z3285" s="77"/>
      <c r="AA3285" s="77"/>
      <c r="AB3285" s="77"/>
      <c r="AC3285" s="82" t="s">
        <v>7750</v>
      </c>
      <c r="AD3285" s="77" t="s">
        <v>7788</v>
      </c>
      <c r="AE3285" s="80" t="str">
        <f>HYPERLINK("https://twitter.com/einvestidor/status/1704189862461723065")</f>
        <v>https://twitter.com/einvestidor/status/1704189862461723065</v>
      </c>
      <c r="AF3285" s="79">
        <v>45188.739583333336</v>
      </c>
      <c r="AG3285" s="85">
        <v>45188</v>
      </c>
      <c r="AH3285" s="82" t="s">
        <v>9626</v>
      </c>
      <c r="AI3285" s="77" t="b">
        <v>0</v>
      </c>
      <c r="AJ3285" s="77"/>
      <c r="AK3285" s="77"/>
      <c r="AL3285" s="77"/>
      <c r="AM3285" s="77"/>
      <c r="AN3285" s="77"/>
      <c r="AO3285" s="77"/>
      <c r="AP3285" s="77"/>
      <c r="AQ3285" s="77"/>
      <c r="AR3285" s="77"/>
      <c r="AS3285" s="77"/>
      <c r="AT3285" s="77"/>
      <c r="AU3285" s="77"/>
      <c r="AV3285" s="80" t="str">
        <f>HYPERLINK("https://pbs.twimg.com/profile_images/1241147984924082183/gZgx_hL-_normal.jpg")</f>
        <v>https://pbs.twimg.com/profile_images/1241147984924082183/gZgx_hL-_normal.jpg</v>
      </c>
      <c r="AW3285" s="82" t="s">
        <v>14881</v>
      </c>
      <c r="AX3285" s="82" t="s">
        <v>14881</v>
      </c>
      <c r="AY3285" s="77"/>
      <c r="AZ3285" s="82" t="s">
        <v>15984</v>
      </c>
      <c r="BA3285" s="82" t="s">
        <v>15984</v>
      </c>
      <c r="BB3285" s="82" t="s">
        <v>15984</v>
      </c>
      <c r="BC3285" s="82" t="s">
        <v>14881</v>
      </c>
      <c r="BD3285" s="82" t="s">
        <v>15979</v>
      </c>
      <c r="BE3285" s="77"/>
      <c r="BF3285" s="77"/>
      <c r="BG3285" s="77"/>
      <c r="BH3285" s="77"/>
      <c r="BI3285" s="77"/>
    </row>
    <row r="3286" spans="1:61" x14ac:dyDescent="0.25">
      <c r="A3286" s="62" t="s">
        <v>387</v>
      </c>
      <c r="B3286" s="62" t="s">
        <v>387</v>
      </c>
      <c r="C3286" s="63"/>
      <c r="D3286" s="64"/>
      <c r="E3286" s="65"/>
      <c r="F3286" s="66"/>
      <c r="G3286" s="63"/>
      <c r="H3286" s="67"/>
      <c r="I3286" s="68"/>
      <c r="J3286" s="68"/>
      <c r="K3286" s="32"/>
      <c r="L3286" s="75">
        <v>3286</v>
      </c>
      <c r="M3286" s="75"/>
      <c r="N3286" s="70"/>
      <c r="O3286" s="77" t="s">
        <v>179</v>
      </c>
      <c r="P3286" s="79">
        <v>45188.720578703702</v>
      </c>
      <c r="Q3286" s="77" t="s">
        <v>3958</v>
      </c>
      <c r="R3286" s="77">
        <v>1</v>
      </c>
      <c r="S3286" s="77">
        <v>1</v>
      </c>
      <c r="T3286" s="77">
        <v>0</v>
      </c>
      <c r="U3286" s="77">
        <v>0</v>
      </c>
      <c r="V3286" s="77">
        <v>606</v>
      </c>
      <c r="W3286" s="82" t="s">
        <v>4833</v>
      </c>
      <c r="X3286" s="80" t="str">
        <f>HYPERLINK("https://einvestidor.estadao.com.br/mercado/mercado-intraday-19-09-2023/?utm_source=twitter&amp;utm_medium=organic&amp;utm_campaign=&amp;utm_content=materia")</f>
        <v>https://einvestidor.estadao.com.br/mercado/mercado-intraday-19-09-2023/?utm_source=twitter&amp;utm_medium=organic&amp;utm_campaign=&amp;utm_content=materia</v>
      </c>
      <c r="Y3286" s="77" t="s">
        <v>6470</v>
      </c>
      <c r="Z3286" s="77"/>
      <c r="AA3286" s="77"/>
      <c r="AB3286" s="77"/>
      <c r="AC3286" s="82" t="s">
        <v>7750</v>
      </c>
      <c r="AD3286" s="77" t="s">
        <v>7788</v>
      </c>
      <c r="AE3286" s="80" t="str">
        <f>HYPERLINK("https://twitter.com/einvestidor/status/1704182975393403151")</f>
        <v>https://twitter.com/einvestidor/status/1704182975393403151</v>
      </c>
      <c r="AF3286" s="79">
        <v>45188.720578703702</v>
      </c>
      <c r="AG3286" s="85">
        <v>45188</v>
      </c>
      <c r="AH3286" s="82" t="s">
        <v>10013</v>
      </c>
      <c r="AI3286" s="77" t="b">
        <v>0</v>
      </c>
      <c r="AJ3286" s="77"/>
      <c r="AK3286" s="77"/>
      <c r="AL3286" s="77"/>
      <c r="AM3286" s="77"/>
      <c r="AN3286" s="77"/>
      <c r="AO3286" s="77"/>
      <c r="AP3286" s="77"/>
      <c r="AQ3286" s="77"/>
      <c r="AR3286" s="77"/>
      <c r="AS3286" s="77"/>
      <c r="AT3286" s="77"/>
      <c r="AU3286" s="77"/>
      <c r="AV3286" s="80" t="str">
        <f>HYPERLINK("https://pbs.twimg.com/profile_images/1241147984924082183/gZgx_hL-_normal.jpg")</f>
        <v>https://pbs.twimg.com/profile_images/1241147984924082183/gZgx_hL-_normal.jpg</v>
      </c>
      <c r="AW3286" s="82" t="s">
        <v>14882</v>
      </c>
      <c r="AX3286" s="82" t="s">
        <v>14882</v>
      </c>
      <c r="AY3286" s="77"/>
      <c r="AZ3286" s="82" t="s">
        <v>15984</v>
      </c>
      <c r="BA3286" s="82" t="s">
        <v>15984</v>
      </c>
      <c r="BB3286" s="82" t="s">
        <v>15984</v>
      </c>
      <c r="BC3286" s="82" t="s">
        <v>14882</v>
      </c>
      <c r="BD3286" s="82" t="s">
        <v>15979</v>
      </c>
      <c r="BE3286" s="77"/>
      <c r="BF3286" s="77"/>
      <c r="BG3286" s="77"/>
      <c r="BH3286" s="77"/>
      <c r="BI3286" s="77"/>
    </row>
    <row r="3287" spans="1:61" x14ac:dyDescent="0.25">
      <c r="A3287" s="62" t="s">
        <v>387</v>
      </c>
      <c r="B3287" s="62" t="s">
        <v>387</v>
      </c>
      <c r="C3287" s="63"/>
      <c r="D3287" s="64"/>
      <c r="E3287" s="65"/>
      <c r="F3287" s="66"/>
      <c r="G3287" s="63"/>
      <c r="H3287" s="67"/>
      <c r="I3287" s="68"/>
      <c r="J3287" s="68"/>
      <c r="K3287" s="32"/>
      <c r="L3287" s="75">
        <v>3287</v>
      </c>
      <c r="M3287" s="75"/>
      <c r="N3287" s="70"/>
      <c r="O3287" s="77" t="s">
        <v>179</v>
      </c>
      <c r="P3287" s="79">
        <v>45185.833344907405</v>
      </c>
      <c r="Q3287" s="77" t="s">
        <v>3959</v>
      </c>
      <c r="R3287" s="77">
        <v>1</v>
      </c>
      <c r="S3287" s="77">
        <v>3</v>
      </c>
      <c r="T3287" s="77">
        <v>0</v>
      </c>
      <c r="U3287" s="77">
        <v>0</v>
      </c>
      <c r="V3287" s="77">
        <v>841</v>
      </c>
      <c r="W3287" s="82" t="s">
        <v>4833</v>
      </c>
      <c r="X3287" s="80" t="str">
        <f>HYPERLINK("https://einvestidor.estadao.com.br/colunas/quanto-custa/preco-passagem-aerea-japao/?utm_source=twitter&amp;utm_medium=organic&amp;utm_campaign=passagem-toquio&amp;utm_content=materia")</f>
        <v>https://einvestidor.estadao.com.br/colunas/quanto-custa/preco-passagem-aerea-japao/?utm_source=twitter&amp;utm_medium=organic&amp;utm_campaign=passagem-toquio&amp;utm_content=materia</v>
      </c>
      <c r="Y3287" s="77" t="s">
        <v>6470</v>
      </c>
      <c r="Z3287" s="77"/>
      <c r="AA3287" s="77"/>
      <c r="AB3287" s="77"/>
      <c r="AC3287" s="82" t="s">
        <v>7750</v>
      </c>
      <c r="AD3287" s="77" t="s">
        <v>7788</v>
      </c>
      <c r="AE3287" s="80" t="str">
        <f>HYPERLINK("https://twitter.com/einvestidor/status/1703136678347706860")</f>
        <v>https://twitter.com/einvestidor/status/1703136678347706860</v>
      </c>
      <c r="AF3287" s="79">
        <v>45185.833344907405</v>
      </c>
      <c r="AG3287" s="85">
        <v>45185</v>
      </c>
      <c r="AH3287" s="82" t="s">
        <v>8284</v>
      </c>
      <c r="AI3287" s="77" t="b">
        <v>0</v>
      </c>
      <c r="AJ3287" s="77"/>
      <c r="AK3287" s="77"/>
      <c r="AL3287" s="77"/>
      <c r="AM3287" s="77"/>
      <c r="AN3287" s="77"/>
      <c r="AO3287" s="77"/>
      <c r="AP3287" s="77"/>
      <c r="AQ3287" s="77"/>
      <c r="AR3287" s="77"/>
      <c r="AS3287" s="77"/>
      <c r="AT3287" s="77"/>
      <c r="AU3287" s="77"/>
      <c r="AV3287" s="80" t="str">
        <f>HYPERLINK("https://pbs.twimg.com/profile_images/1241147984924082183/gZgx_hL-_normal.jpg")</f>
        <v>https://pbs.twimg.com/profile_images/1241147984924082183/gZgx_hL-_normal.jpg</v>
      </c>
      <c r="AW3287" s="82" t="s">
        <v>14883</v>
      </c>
      <c r="AX3287" s="82" t="s">
        <v>14883</v>
      </c>
      <c r="AY3287" s="77"/>
      <c r="AZ3287" s="82" t="s">
        <v>15984</v>
      </c>
      <c r="BA3287" s="82" t="s">
        <v>15984</v>
      </c>
      <c r="BB3287" s="82" t="s">
        <v>15984</v>
      </c>
      <c r="BC3287" s="82" t="s">
        <v>14883</v>
      </c>
      <c r="BD3287" s="82" t="s">
        <v>15979</v>
      </c>
      <c r="BE3287" s="77"/>
      <c r="BF3287" s="77"/>
      <c r="BG3287" s="77"/>
      <c r="BH3287" s="77"/>
      <c r="BI3287" s="77"/>
    </row>
    <row r="3288" spans="1:61" x14ac:dyDescent="0.25">
      <c r="A3288" s="62" t="s">
        <v>387</v>
      </c>
      <c r="B3288" s="62" t="s">
        <v>387</v>
      </c>
      <c r="C3288" s="63"/>
      <c r="D3288" s="64"/>
      <c r="E3288" s="65"/>
      <c r="F3288" s="66"/>
      <c r="G3288" s="63"/>
      <c r="H3288" s="67"/>
      <c r="I3288" s="68"/>
      <c r="J3288" s="68"/>
      <c r="K3288" s="32"/>
      <c r="L3288" s="75">
        <v>3288</v>
      </c>
      <c r="M3288" s="75"/>
      <c r="N3288" s="70"/>
      <c r="O3288" s="77" t="s">
        <v>179</v>
      </c>
      <c r="P3288" s="79">
        <v>45185.666666666664</v>
      </c>
      <c r="Q3288" s="77" t="s">
        <v>3960</v>
      </c>
      <c r="R3288" s="77">
        <v>0</v>
      </c>
      <c r="S3288" s="77">
        <v>0</v>
      </c>
      <c r="T3288" s="77">
        <v>1</v>
      </c>
      <c r="U3288" s="77">
        <v>0</v>
      </c>
      <c r="V3288" s="77">
        <v>582</v>
      </c>
      <c r="W3288" s="82" t="s">
        <v>4833</v>
      </c>
      <c r="X3288" s="80" t="str">
        <f>HYPERLINK("https://einvestidor.estadao.com.br/colunas/evandro-mello/5-dicas-para-conversar-com-pessoa-endividada/?utm_source=twitter&amp;utm_medium=organic&amp;utm_campaign=&amp;utm_content=materia")</f>
        <v>https://einvestidor.estadao.com.br/colunas/evandro-mello/5-dicas-para-conversar-com-pessoa-endividada/?utm_source=twitter&amp;utm_medium=organic&amp;utm_campaign=&amp;utm_content=materia</v>
      </c>
      <c r="Y3288" s="77" t="s">
        <v>6470</v>
      </c>
      <c r="Z3288" s="77"/>
      <c r="AA3288" s="77"/>
      <c r="AB3288" s="77"/>
      <c r="AC3288" s="82" t="s">
        <v>7750</v>
      </c>
      <c r="AD3288" s="77" t="s">
        <v>7788</v>
      </c>
      <c r="AE3288" s="80" t="str">
        <f>HYPERLINK("https://twitter.com/einvestidor/status/1703076277094171012")</f>
        <v>https://twitter.com/einvestidor/status/1703076277094171012</v>
      </c>
      <c r="AF3288" s="79">
        <v>45185.666666666664</v>
      </c>
      <c r="AG3288" s="85">
        <v>45185</v>
      </c>
      <c r="AH3288" s="82" t="s">
        <v>8120</v>
      </c>
      <c r="AI3288" s="77" t="b">
        <v>0</v>
      </c>
      <c r="AJ3288" s="77"/>
      <c r="AK3288" s="77"/>
      <c r="AL3288" s="77"/>
      <c r="AM3288" s="77"/>
      <c r="AN3288" s="77"/>
      <c r="AO3288" s="77"/>
      <c r="AP3288" s="77"/>
      <c r="AQ3288" s="77"/>
      <c r="AR3288" s="77"/>
      <c r="AS3288" s="77"/>
      <c r="AT3288" s="77"/>
      <c r="AU3288" s="77"/>
      <c r="AV3288" s="80" t="str">
        <f>HYPERLINK("https://pbs.twimg.com/profile_images/1241147984924082183/gZgx_hL-_normal.jpg")</f>
        <v>https://pbs.twimg.com/profile_images/1241147984924082183/gZgx_hL-_normal.jpg</v>
      </c>
      <c r="AW3288" s="82" t="s">
        <v>14884</v>
      </c>
      <c r="AX3288" s="82" t="s">
        <v>14884</v>
      </c>
      <c r="AY3288" s="77"/>
      <c r="AZ3288" s="82" t="s">
        <v>15984</v>
      </c>
      <c r="BA3288" s="82" t="s">
        <v>15984</v>
      </c>
      <c r="BB3288" s="82" t="s">
        <v>15984</v>
      </c>
      <c r="BC3288" s="82" t="s">
        <v>14884</v>
      </c>
      <c r="BD3288" s="82" t="s">
        <v>15979</v>
      </c>
      <c r="BE3288" s="77"/>
      <c r="BF3288" s="77"/>
      <c r="BG3288" s="77"/>
      <c r="BH3288" s="77"/>
      <c r="BI3288" s="77"/>
    </row>
    <row r="3289" spans="1:61" x14ac:dyDescent="0.25">
      <c r="A3289" s="62" t="s">
        <v>387</v>
      </c>
      <c r="B3289" s="62" t="s">
        <v>387</v>
      </c>
      <c r="C3289" s="63"/>
      <c r="D3289" s="64"/>
      <c r="E3289" s="65"/>
      <c r="F3289" s="66"/>
      <c r="G3289" s="63"/>
      <c r="H3289" s="67"/>
      <c r="I3289" s="68"/>
      <c r="J3289" s="68"/>
      <c r="K3289" s="32"/>
      <c r="L3289" s="75">
        <v>3289</v>
      </c>
      <c r="M3289" s="75"/>
      <c r="N3289" s="70"/>
      <c r="O3289" s="77" t="s">
        <v>179</v>
      </c>
      <c r="P3289" s="79">
        <v>45180.483530092592</v>
      </c>
      <c r="Q3289" s="77" t="s">
        <v>3961</v>
      </c>
      <c r="R3289" s="77">
        <v>0</v>
      </c>
      <c r="S3289" s="77">
        <v>3</v>
      </c>
      <c r="T3289" s="77">
        <v>0</v>
      </c>
      <c r="U3289" s="77">
        <v>0</v>
      </c>
      <c r="V3289" s="77">
        <v>555</v>
      </c>
      <c r="W3289" s="82" t="s">
        <v>4839</v>
      </c>
      <c r="X3289" s="80" t="str">
        <f>HYPERLINK("https://einvestidor.estadao.com.br/mercado/mercado-hoje-china-inflacao-brasil-eua-juros-europa/?utm_source=&amp;utm_medium=organic&amp;utm_campaign=&amp;utm_content=materia")</f>
        <v>https://einvestidor.estadao.com.br/mercado/mercado-hoje-china-inflacao-brasil-eua-juros-europa/?utm_source=&amp;utm_medium=organic&amp;utm_campaign=&amp;utm_content=materia</v>
      </c>
      <c r="Y3289" s="77" t="s">
        <v>6470</v>
      </c>
      <c r="Z3289" s="77"/>
      <c r="AA3289" s="77"/>
      <c r="AB3289" s="77"/>
      <c r="AC3289" s="82" t="s">
        <v>7750</v>
      </c>
      <c r="AD3289" s="77" t="s">
        <v>7788</v>
      </c>
      <c r="AE3289" s="80" t="str">
        <f>HYPERLINK("https://twitter.com/einvestidor/status/1701197968429175190")</f>
        <v>https://twitter.com/einvestidor/status/1701197968429175190</v>
      </c>
      <c r="AF3289" s="79">
        <v>45180.483530092592</v>
      </c>
      <c r="AG3289" s="85">
        <v>45180</v>
      </c>
      <c r="AH3289" s="82" t="s">
        <v>10014</v>
      </c>
      <c r="AI3289" s="77" t="b">
        <v>0</v>
      </c>
      <c r="AJ3289" s="77"/>
      <c r="AK3289" s="77"/>
      <c r="AL3289" s="77"/>
      <c r="AM3289" s="77"/>
      <c r="AN3289" s="77"/>
      <c r="AO3289" s="77"/>
      <c r="AP3289" s="77"/>
      <c r="AQ3289" s="77"/>
      <c r="AR3289" s="77"/>
      <c r="AS3289" s="77"/>
      <c r="AT3289" s="77"/>
      <c r="AU3289" s="77"/>
      <c r="AV3289" s="80" t="str">
        <f>HYPERLINK("https://pbs.twimg.com/profile_images/1241147984924082183/gZgx_hL-_normal.jpg")</f>
        <v>https://pbs.twimg.com/profile_images/1241147984924082183/gZgx_hL-_normal.jpg</v>
      </c>
      <c r="AW3289" s="82" t="s">
        <v>14885</v>
      </c>
      <c r="AX3289" s="82" t="s">
        <v>14885</v>
      </c>
      <c r="AY3289" s="77"/>
      <c r="AZ3289" s="82" t="s">
        <v>15984</v>
      </c>
      <c r="BA3289" s="82" t="s">
        <v>15984</v>
      </c>
      <c r="BB3289" s="82" t="s">
        <v>15984</v>
      </c>
      <c r="BC3289" s="82" t="s">
        <v>14885</v>
      </c>
      <c r="BD3289" s="82" t="s">
        <v>15979</v>
      </c>
      <c r="BE3289" s="77"/>
      <c r="BF3289" s="77"/>
      <c r="BG3289" s="77"/>
      <c r="BH3289" s="77"/>
      <c r="BI3289" s="77"/>
    </row>
    <row r="3290" spans="1:61" x14ac:dyDescent="0.25">
      <c r="A3290" s="62" t="s">
        <v>387</v>
      </c>
      <c r="B3290" s="62" t="s">
        <v>387</v>
      </c>
      <c r="C3290" s="63"/>
      <c r="D3290" s="64"/>
      <c r="E3290" s="65"/>
      <c r="F3290" s="66"/>
      <c r="G3290" s="63"/>
      <c r="H3290" s="67"/>
      <c r="I3290" s="68"/>
      <c r="J3290" s="68"/>
      <c r="K3290" s="32"/>
      <c r="L3290" s="75">
        <v>3290</v>
      </c>
      <c r="M3290" s="75"/>
      <c r="N3290" s="70"/>
      <c r="O3290" s="77" t="s">
        <v>179</v>
      </c>
      <c r="P3290" s="79">
        <v>45180.439502314817</v>
      </c>
      <c r="Q3290" s="77" t="s">
        <v>3962</v>
      </c>
      <c r="R3290" s="77">
        <v>0</v>
      </c>
      <c r="S3290" s="77">
        <v>2</v>
      </c>
      <c r="T3290" s="77">
        <v>0</v>
      </c>
      <c r="U3290" s="77">
        <v>0</v>
      </c>
      <c r="V3290" s="77">
        <v>557</v>
      </c>
      <c r="W3290" s="82" t="s">
        <v>4839</v>
      </c>
      <c r="X3290" s="80" t="str">
        <f>HYPERLINK("https://einvestidor.estadao.com.br/ultimas/bolsas-da-asia-fechamento-japao-china-2/?utm_source=twitter&amp;utm_medium=organic&amp;utm_campaign=asia&amp;utm_content=materia")</f>
        <v>https://einvestidor.estadao.com.br/ultimas/bolsas-da-asia-fechamento-japao-china-2/?utm_source=twitter&amp;utm_medium=organic&amp;utm_campaign=asia&amp;utm_content=materia</v>
      </c>
      <c r="Y3290" s="77" t="s">
        <v>6470</v>
      </c>
      <c r="Z3290" s="77"/>
      <c r="AA3290" s="77"/>
      <c r="AB3290" s="77"/>
      <c r="AC3290" s="82" t="s">
        <v>7750</v>
      </c>
      <c r="AD3290" s="77" t="s">
        <v>7788</v>
      </c>
      <c r="AE3290" s="80" t="str">
        <f>HYPERLINK("https://twitter.com/einvestidor/status/1701182016702566464")</f>
        <v>https://twitter.com/einvestidor/status/1701182016702566464</v>
      </c>
      <c r="AF3290" s="79">
        <v>45180.439502314817</v>
      </c>
      <c r="AG3290" s="85">
        <v>45180</v>
      </c>
      <c r="AH3290" s="82" t="s">
        <v>10015</v>
      </c>
      <c r="AI3290" s="77" t="b">
        <v>0</v>
      </c>
      <c r="AJ3290" s="77"/>
      <c r="AK3290" s="77"/>
      <c r="AL3290" s="77"/>
      <c r="AM3290" s="77"/>
      <c r="AN3290" s="77"/>
      <c r="AO3290" s="77"/>
      <c r="AP3290" s="77"/>
      <c r="AQ3290" s="77"/>
      <c r="AR3290" s="77"/>
      <c r="AS3290" s="77"/>
      <c r="AT3290" s="77"/>
      <c r="AU3290" s="77"/>
      <c r="AV3290" s="80" t="str">
        <f>HYPERLINK("https://pbs.twimg.com/profile_images/1241147984924082183/gZgx_hL-_normal.jpg")</f>
        <v>https://pbs.twimg.com/profile_images/1241147984924082183/gZgx_hL-_normal.jpg</v>
      </c>
      <c r="AW3290" s="82" t="s">
        <v>14886</v>
      </c>
      <c r="AX3290" s="82" t="s">
        <v>14886</v>
      </c>
      <c r="AY3290" s="77"/>
      <c r="AZ3290" s="82" t="s">
        <v>15984</v>
      </c>
      <c r="BA3290" s="82" t="s">
        <v>15984</v>
      </c>
      <c r="BB3290" s="82" t="s">
        <v>15984</v>
      </c>
      <c r="BC3290" s="82" t="s">
        <v>14886</v>
      </c>
      <c r="BD3290" s="82" t="s">
        <v>15979</v>
      </c>
      <c r="BE3290" s="77"/>
      <c r="BF3290" s="77"/>
      <c r="BG3290" s="77"/>
      <c r="BH3290" s="77"/>
      <c r="BI3290" s="77"/>
    </row>
    <row r="3291" spans="1:61" x14ac:dyDescent="0.25">
      <c r="A3291" s="62" t="s">
        <v>387</v>
      </c>
      <c r="B3291" s="62" t="s">
        <v>387</v>
      </c>
      <c r="C3291" s="63"/>
      <c r="D3291" s="64"/>
      <c r="E3291" s="65"/>
      <c r="F3291" s="66"/>
      <c r="G3291" s="63"/>
      <c r="H3291" s="67"/>
      <c r="I3291" s="68"/>
      <c r="J3291" s="68"/>
      <c r="K3291" s="32"/>
      <c r="L3291" s="75">
        <v>3291</v>
      </c>
      <c r="M3291" s="75"/>
      <c r="N3291" s="70"/>
      <c r="O3291" s="77" t="s">
        <v>179</v>
      </c>
      <c r="P3291" s="79">
        <v>45180.125</v>
      </c>
      <c r="Q3291" s="77" t="s">
        <v>3963</v>
      </c>
      <c r="R3291" s="77">
        <v>1</v>
      </c>
      <c r="S3291" s="77">
        <v>2</v>
      </c>
      <c r="T3291" s="77">
        <v>0</v>
      </c>
      <c r="U3291" s="77">
        <v>0</v>
      </c>
      <c r="V3291" s="77">
        <v>645</v>
      </c>
      <c r="W3291" s="82" t="s">
        <v>5076</v>
      </c>
      <c r="X3291" s="80" t="str">
        <f>HYPERLINK("https://einvestidor.estadao.com.br/ultimas/influencers-digitais-investimentos-regras-bolsa/?utm_source=twitter&amp;utm_medium=organic&amp;utm_campaign=influencers&amp;utm_content=materia")</f>
        <v>https://einvestidor.estadao.com.br/ultimas/influencers-digitais-investimentos-regras-bolsa/?utm_source=twitter&amp;utm_medium=organic&amp;utm_campaign=influencers&amp;utm_content=materia</v>
      </c>
      <c r="Y3291" s="77" t="s">
        <v>6470</v>
      </c>
      <c r="Z3291" s="77"/>
      <c r="AA3291" s="77"/>
      <c r="AB3291" s="77"/>
      <c r="AC3291" s="82" t="s">
        <v>7750</v>
      </c>
      <c r="AD3291" s="77" t="s">
        <v>7788</v>
      </c>
      <c r="AE3291" s="80" t="str">
        <f>HYPERLINK("https://twitter.com/einvestidor/status/1701068042166223336")</f>
        <v>https://twitter.com/einvestidor/status/1701068042166223336</v>
      </c>
      <c r="AF3291" s="79">
        <v>45180.125</v>
      </c>
      <c r="AG3291" s="85">
        <v>45180</v>
      </c>
      <c r="AH3291" s="82" t="s">
        <v>10016</v>
      </c>
      <c r="AI3291" s="77" t="b">
        <v>0</v>
      </c>
      <c r="AJ3291" s="77"/>
      <c r="AK3291" s="77"/>
      <c r="AL3291" s="77"/>
      <c r="AM3291" s="77"/>
      <c r="AN3291" s="77"/>
      <c r="AO3291" s="77"/>
      <c r="AP3291" s="77"/>
      <c r="AQ3291" s="77"/>
      <c r="AR3291" s="77"/>
      <c r="AS3291" s="77"/>
      <c r="AT3291" s="77"/>
      <c r="AU3291" s="77"/>
      <c r="AV3291" s="80" t="str">
        <f>HYPERLINK("https://pbs.twimg.com/profile_images/1241147984924082183/gZgx_hL-_normal.jpg")</f>
        <v>https://pbs.twimg.com/profile_images/1241147984924082183/gZgx_hL-_normal.jpg</v>
      </c>
      <c r="AW3291" s="82" t="s">
        <v>14887</v>
      </c>
      <c r="AX3291" s="82" t="s">
        <v>14887</v>
      </c>
      <c r="AY3291" s="77"/>
      <c r="AZ3291" s="82" t="s">
        <v>15984</v>
      </c>
      <c r="BA3291" s="82" t="s">
        <v>15984</v>
      </c>
      <c r="BB3291" s="82" t="s">
        <v>15984</v>
      </c>
      <c r="BC3291" s="82" t="s">
        <v>14887</v>
      </c>
      <c r="BD3291" s="82" t="s">
        <v>15979</v>
      </c>
      <c r="BE3291" s="77"/>
      <c r="BF3291" s="77"/>
      <c r="BG3291" s="77"/>
      <c r="BH3291" s="77"/>
      <c r="BI3291" s="77"/>
    </row>
    <row r="3292" spans="1:61" x14ac:dyDescent="0.25">
      <c r="A3292" s="62" t="s">
        <v>387</v>
      </c>
      <c r="B3292" s="62" t="s">
        <v>387</v>
      </c>
      <c r="C3292" s="63"/>
      <c r="D3292" s="64"/>
      <c r="E3292" s="65"/>
      <c r="F3292" s="66"/>
      <c r="G3292" s="63"/>
      <c r="H3292" s="67"/>
      <c r="I3292" s="68"/>
      <c r="J3292" s="68"/>
      <c r="K3292" s="32"/>
      <c r="L3292" s="75">
        <v>3292</v>
      </c>
      <c r="M3292" s="75"/>
      <c r="N3292" s="70"/>
      <c r="O3292" s="77" t="s">
        <v>179</v>
      </c>
      <c r="P3292" s="79">
        <v>45179.958344907405</v>
      </c>
      <c r="Q3292" s="77" t="s">
        <v>3964</v>
      </c>
      <c r="R3292" s="77">
        <v>0</v>
      </c>
      <c r="S3292" s="77">
        <v>1</v>
      </c>
      <c r="T3292" s="77">
        <v>0</v>
      </c>
      <c r="U3292" s="77">
        <v>0</v>
      </c>
      <c r="V3292" s="77">
        <v>892</v>
      </c>
      <c r="W3292" s="82" t="s">
        <v>4833</v>
      </c>
      <c r="X3292" s="80" t="str">
        <f>HYPERLINK("https://einvestidor.estadao.com.br/ultimas/prejuizo-c6-bank-2023/?utm_source=twitter&amp;utm_medium=organic&amp;utm_campaign=&amp;utm_content=materia")</f>
        <v>https://einvestidor.estadao.com.br/ultimas/prejuizo-c6-bank-2023/?utm_source=twitter&amp;utm_medium=organic&amp;utm_campaign=&amp;utm_content=materia</v>
      </c>
      <c r="Y3292" s="77" t="s">
        <v>6470</v>
      </c>
      <c r="Z3292" s="77"/>
      <c r="AA3292" s="77"/>
      <c r="AB3292" s="77"/>
      <c r="AC3292" s="82" t="s">
        <v>7750</v>
      </c>
      <c r="AD3292" s="77" t="s">
        <v>7788</v>
      </c>
      <c r="AE3292" s="80" t="str">
        <f>HYPERLINK("https://twitter.com/einvestidor/status/1701007647808389310")</f>
        <v>https://twitter.com/einvestidor/status/1701007647808389310</v>
      </c>
      <c r="AF3292" s="79">
        <v>45179.958344907405</v>
      </c>
      <c r="AG3292" s="85">
        <v>45179</v>
      </c>
      <c r="AH3292" s="82" t="s">
        <v>9241</v>
      </c>
      <c r="AI3292" s="77" t="b">
        <v>0</v>
      </c>
      <c r="AJ3292" s="77"/>
      <c r="AK3292" s="77"/>
      <c r="AL3292" s="77"/>
      <c r="AM3292" s="77"/>
      <c r="AN3292" s="77"/>
      <c r="AO3292" s="77"/>
      <c r="AP3292" s="77"/>
      <c r="AQ3292" s="77"/>
      <c r="AR3292" s="77"/>
      <c r="AS3292" s="77"/>
      <c r="AT3292" s="77"/>
      <c r="AU3292" s="77"/>
      <c r="AV3292" s="80" t="str">
        <f>HYPERLINK("https://pbs.twimg.com/profile_images/1241147984924082183/gZgx_hL-_normal.jpg")</f>
        <v>https://pbs.twimg.com/profile_images/1241147984924082183/gZgx_hL-_normal.jpg</v>
      </c>
      <c r="AW3292" s="82" t="s">
        <v>14888</v>
      </c>
      <c r="AX3292" s="82" t="s">
        <v>14888</v>
      </c>
      <c r="AY3292" s="77"/>
      <c r="AZ3292" s="82" t="s">
        <v>15984</v>
      </c>
      <c r="BA3292" s="82" t="s">
        <v>15984</v>
      </c>
      <c r="BB3292" s="82" t="s">
        <v>15984</v>
      </c>
      <c r="BC3292" s="82" t="s">
        <v>14888</v>
      </c>
      <c r="BD3292" s="82" t="s">
        <v>15979</v>
      </c>
      <c r="BE3292" s="77"/>
      <c r="BF3292" s="77"/>
      <c r="BG3292" s="77"/>
      <c r="BH3292" s="77"/>
      <c r="BI3292" s="77"/>
    </row>
    <row r="3293" spans="1:61" x14ac:dyDescent="0.25">
      <c r="A3293" s="62" t="s">
        <v>387</v>
      </c>
      <c r="B3293" s="62" t="s">
        <v>387</v>
      </c>
      <c r="C3293" s="63"/>
      <c r="D3293" s="64"/>
      <c r="E3293" s="65"/>
      <c r="F3293" s="66"/>
      <c r="G3293" s="63"/>
      <c r="H3293" s="67"/>
      <c r="I3293" s="68"/>
      <c r="J3293" s="68"/>
      <c r="K3293" s="32"/>
      <c r="L3293" s="75">
        <v>3293</v>
      </c>
      <c r="M3293" s="75"/>
      <c r="N3293" s="70"/>
      <c r="O3293" s="77" t="s">
        <v>179</v>
      </c>
      <c r="P3293" s="79">
        <v>45179.916666666664</v>
      </c>
      <c r="Q3293" s="77" t="s">
        <v>3965</v>
      </c>
      <c r="R3293" s="77">
        <v>0</v>
      </c>
      <c r="S3293" s="77">
        <v>1</v>
      </c>
      <c r="T3293" s="77">
        <v>0</v>
      </c>
      <c r="U3293" s="77">
        <v>0</v>
      </c>
      <c r="V3293" s="77">
        <v>729</v>
      </c>
      <c r="W3293" s="82" t="s">
        <v>6274</v>
      </c>
      <c r="X3293" s="80" t="str">
        <f>HYPERLINK("https://einvestidor.estadao.com.br/videos/como-se-planejar-para-ter-um-pet/?utm_source=twitter&amp;utm_medium=organic&amp;utm_campaign=&amp;utm_content=materia")</f>
        <v>https://einvestidor.estadao.com.br/videos/como-se-planejar-para-ter-um-pet/?utm_source=twitter&amp;utm_medium=organic&amp;utm_campaign=&amp;utm_content=materia</v>
      </c>
      <c r="Y3293" s="77" t="s">
        <v>6470</v>
      </c>
      <c r="Z3293" s="77"/>
      <c r="AA3293" s="77"/>
      <c r="AB3293" s="77"/>
      <c r="AC3293" s="82" t="s">
        <v>7750</v>
      </c>
      <c r="AD3293" s="77" t="s">
        <v>7788</v>
      </c>
      <c r="AE3293" s="80" t="str">
        <f>HYPERLINK("https://twitter.com/einvestidor/status/1700992546175136199")</f>
        <v>https://twitter.com/einvestidor/status/1700992546175136199</v>
      </c>
      <c r="AF3293" s="79">
        <v>45179.916666666664</v>
      </c>
      <c r="AG3293" s="85">
        <v>45179</v>
      </c>
      <c r="AH3293" s="82" t="s">
        <v>9577</v>
      </c>
      <c r="AI3293" s="77" t="b">
        <v>0</v>
      </c>
      <c r="AJ3293" s="77"/>
      <c r="AK3293" s="77"/>
      <c r="AL3293" s="77"/>
      <c r="AM3293" s="77"/>
      <c r="AN3293" s="77"/>
      <c r="AO3293" s="77"/>
      <c r="AP3293" s="77"/>
      <c r="AQ3293" s="77"/>
      <c r="AR3293" s="77"/>
      <c r="AS3293" s="77"/>
      <c r="AT3293" s="77"/>
      <c r="AU3293" s="77"/>
      <c r="AV3293" s="80" t="str">
        <f>HYPERLINK("https://pbs.twimg.com/profile_images/1241147984924082183/gZgx_hL-_normal.jpg")</f>
        <v>https://pbs.twimg.com/profile_images/1241147984924082183/gZgx_hL-_normal.jpg</v>
      </c>
      <c r="AW3293" s="82" t="s">
        <v>14889</v>
      </c>
      <c r="AX3293" s="82" t="s">
        <v>14889</v>
      </c>
      <c r="AY3293" s="77"/>
      <c r="AZ3293" s="82" t="s">
        <v>15984</v>
      </c>
      <c r="BA3293" s="82" t="s">
        <v>15984</v>
      </c>
      <c r="BB3293" s="82" t="s">
        <v>15984</v>
      </c>
      <c r="BC3293" s="82" t="s">
        <v>14889</v>
      </c>
      <c r="BD3293" s="82" t="s">
        <v>15979</v>
      </c>
      <c r="BE3293" s="77"/>
      <c r="BF3293" s="77"/>
      <c r="BG3293" s="77"/>
      <c r="BH3293" s="77"/>
      <c r="BI3293" s="77"/>
    </row>
    <row r="3294" spans="1:61" x14ac:dyDescent="0.25">
      <c r="A3294" s="62" t="s">
        <v>387</v>
      </c>
      <c r="B3294" s="62" t="s">
        <v>387</v>
      </c>
      <c r="C3294" s="63"/>
      <c r="D3294" s="64"/>
      <c r="E3294" s="65"/>
      <c r="F3294" s="66"/>
      <c r="G3294" s="63"/>
      <c r="H3294" s="67"/>
      <c r="I3294" s="68"/>
      <c r="J3294" s="68"/>
      <c r="K3294" s="32"/>
      <c r="L3294" s="75">
        <v>3294</v>
      </c>
      <c r="M3294" s="75"/>
      <c r="N3294" s="70"/>
      <c r="O3294" s="77" t="s">
        <v>179</v>
      </c>
      <c r="P3294" s="79">
        <v>45179.875</v>
      </c>
      <c r="Q3294" s="77" t="s">
        <v>3537</v>
      </c>
      <c r="R3294" s="77">
        <v>0</v>
      </c>
      <c r="S3294" s="77">
        <v>0</v>
      </c>
      <c r="T3294" s="77">
        <v>0</v>
      </c>
      <c r="U3294" s="77">
        <v>0</v>
      </c>
      <c r="V3294" s="77">
        <v>751</v>
      </c>
      <c r="W3294" s="82" t="s">
        <v>4833</v>
      </c>
      <c r="X3294" s="80" t="str">
        <f>HYPERLINK("https://einvestidor.estadao.com.br/comportamento/wall-street-problema-home-office-presencial/?utm_source=twitter&amp;utm_medium=organic&amp;utm_campaign=&amp;utm_content=materia")</f>
        <v>https://einvestidor.estadao.com.br/comportamento/wall-street-problema-home-office-presencial/?utm_source=twitter&amp;utm_medium=organic&amp;utm_campaign=&amp;utm_content=materia</v>
      </c>
      <c r="Y3294" s="77" t="s">
        <v>6470</v>
      </c>
      <c r="Z3294" s="77"/>
      <c r="AA3294" s="77"/>
      <c r="AB3294" s="77"/>
      <c r="AC3294" s="82" t="s">
        <v>7750</v>
      </c>
      <c r="AD3294" s="77" t="s">
        <v>7788</v>
      </c>
      <c r="AE3294" s="80" t="str">
        <f>HYPERLINK("https://twitter.com/einvestidor/status/1700977448144294021")</f>
        <v>https://twitter.com/einvestidor/status/1700977448144294021</v>
      </c>
      <c r="AF3294" s="79">
        <v>45179.875</v>
      </c>
      <c r="AG3294" s="85">
        <v>45179</v>
      </c>
      <c r="AH3294" s="82" t="s">
        <v>9647</v>
      </c>
      <c r="AI3294" s="77" t="b">
        <v>0</v>
      </c>
      <c r="AJ3294" s="77"/>
      <c r="AK3294" s="77"/>
      <c r="AL3294" s="77"/>
      <c r="AM3294" s="77"/>
      <c r="AN3294" s="77"/>
      <c r="AO3294" s="77"/>
      <c r="AP3294" s="77"/>
      <c r="AQ3294" s="77"/>
      <c r="AR3294" s="77"/>
      <c r="AS3294" s="77"/>
      <c r="AT3294" s="77"/>
      <c r="AU3294" s="77"/>
      <c r="AV3294" s="80" t="str">
        <f>HYPERLINK("https://pbs.twimg.com/profile_images/1241147984924082183/gZgx_hL-_normal.jpg")</f>
        <v>https://pbs.twimg.com/profile_images/1241147984924082183/gZgx_hL-_normal.jpg</v>
      </c>
      <c r="AW3294" s="82" t="s">
        <v>14890</v>
      </c>
      <c r="AX3294" s="82" t="s">
        <v>14890</v>
      </c>
      <c r="AY3294" s="77"/>
      <c r="AZ3294" s="82" t="s">
        <v>15984</v>
      </c>
      <c r="BA3294" s="82" t="s">
        <v>15984</v>
      </c>
      <c r="BB3294" s="82" t="s">
        <v>15984</v>
      </c>
      <c r="BC3294" s="82" t="s">
        <v>14890</v>
      </c>
      <c r="BD3294" s="82" t="s">
        <v>15979</v>
      </c>
      <c r="BE3294" s="77"/>
      <c r="BF3294" s="77"/>
      <c r="BG3294" s="77"/>
      <c r="BH3294" s="77"/>
      <c r="BI3294" s="77"/>
    </row>
    <row r="3295" spans="1:61" x14ac:dyDescent="0.25">
      <c r="A3295" s="62" t="s">
        <v>387</v>
      </c>
      <c r="B3295" s="62" t="s">
        <v>387</v>
      </c>
      <c r="C3295" s="63"/>
      <c r="D3295" s="64"/>
      <c r="E3295" s="65"/>
      <c r="F3295" s="66"/>
      <c r="G3295" s="63"/>
      <c r="H3295" s="67"/>
      <c r="I3295" s="68"/>
      <c r="J3295" s="68"/>
      <c r="K3295" s="32"/>
      <c r="L3295" s="75">
        <v>3295</v>
      </c>
      <c r="M3295" s="75"/>
      <c r="N3295" s="70"/>
      <c r="O3295" s="77" t="s">
        <v>179</v>
      </c>
      <c r="P3295" s="79">
        <v>45179.833333333336</v>
      </c>
      <c r="Q3295" s="77" t="s">
        <v>3966</v>
      </c>
      <c r="R3295" s="77">
        <v>0</v>
      </c>
      <c r="S3295" s="77">
        <v>0</v>
      </c>
      <c r="T3295" s="77">
        <v>0</v>
      </c>
      <c r="U3295" s="77">
        <v>0</v>
      </c>
      <c r="V3295" s="77">
        <v>677</v>
      </c>
      <c r="W3295" s="82" t="s">
        <v>5189</v>
      </c>
      <c r="X3295" s="80" t="str">
        <f>HYPERLINK("https://einvestidor.estadao.com.br/mercado/como-conquistar-1-milhao-tesouro-direto/?utm_source=twitter&amp;utm_medium=organic&amp;utm_campaign=&amp;utm_content=materia")</f>
        <v>https://einvestidor.estadao.com.br/mercado/como-conquistar-1-milhao-tesouro-direto/?utm_source=twitter&amp;utm_medium=organic&amp;utm_campaign=&amp;utm_content=materia</v>
      </c>
      <c r="Y3295" s="77" t="s">
        <v>6470</v>
      </c>
      <c r="Z3295" s="77"/>
      <c r="AA3295" s="77"/>
      <c r="AB3295" s="77"/>
      <c r="AC3295" s="82" t="s">
        <v>7750</v>
      </c>
      <c r="AD3295" s="77" t="s">
        <v>7788</v>
      </c>
      <c r="AE3295" s="80" t="str">
        <f>HYPERLINK("https://twitter.com/einvestidor/status/1700962346552701118")</f>
        <v>https://twitter.com/einvestidor/status/1700962346552701118</v>
      </c>
      <c r="AF3295" s="79">
        <v>45179.833333333336</v>
      </c>
      <c r="AG3295" s="85">
        <v>45179</v>
      </c>
      <c r="AH3295" s="82" t="s">
        <v>8381</v>
      </c>
      <c r="AI3295" s="77" t="b">
        <v>0</v>
      </c>
      <c r="AJ3295" s="77"/>
      <c r="AK3295" s="77"/>
      <c r="AL3295" s="77"/>
      <c r="AM3295" s="77"/>
      <c r="AN3295" s="77"/>
      <c r="AO3295" s="77"/>
      <c r="AP3295" s="77"/>
      <c r="AQ3295" s="77"/>
      <c r="AR3295" s="77"/>
      <c r="AS3295" s="77"/>
      <c r="AT3295" s="77"/>
      <c r="AU3295" s="77"/>
      <c r="AV3295" s="80" t="str">
        <f>HYPERLINK("https://pbs.twimg.com/profile_images/1241147984924082183/gZgx_hL-_normal.jpg")</f>
        <v>https://pbs.twimg.com/profile_images/1241147984924082183/gZgx_hL-_normal.jpg</v>
      </c>
      <c r="AW3295" s="82" t="s">
        <v>14891</v>
      </c>
      <c r="AX3295" s="82" t="s">
        <v>14891</v>
      </c>
      <c r="AY3295" s="77"/>
      <c r="AZ3295" s="82" t="s">
        <v>15984</v>
      </c>
      <c r="BA3295" s="82" t="s">
        <v>15984</v>
      </c>
      <c r="BB3295" s="82" t="s">
        <v>15984</v>
      </c>
      <c r="BC3295" s="82" t="s">
        <v>14891</v>
      </c>
      <c r="BD3295" s="82" t="s">
        <v>15979</v>
      </c>
      <c r="BE3295" s="77"/>
      <c r="BF3295" s="77"/>
      <c r="BG3295" s="77"/>
      <c r="BH3295" s="77"/>
      <c r="BI3295" s="77"/>
    </row>
    <row r="3296" spans="1:61" x14ac:dyDescent="0.25">
      <c r="A3296" s="62" t="s">
        <v>387</v>
      </c>
      <c r="B3296" s="62" t="s">
        <v>387</v>
      </c>
      <c r="C3296" s="63"/>
      <c r="D3296" s="64"/>
      <c r="E3296" s="65"/>
      <c r="F3296" s="66"/>
      <c r="G3296" s="63"/>
      <c r="H3296" s="67"/>
      <c r="I3296" s="68"/>
      <c r="J3296" s="68"/>
      <c r="K3296" s="32"/>
      <c r="L3296" s="75">
        <v>3296</v>
      </c>
      <c r="M3296" s="75"/>
      <c r="N3296" s="70"/>
      <c r="O3296" s="77" t="s">
        <v>179</v>
      </c>
      <c r="P3296" s="79">
        <v>45179.750011574077</v>
      </c>
      <c r="Q3296" s="77" t="s">
        <v>3967</v>
      </c>
      <c r="R3296" s="77">
        <v>0</v>
      </c>
      <c r="S3296" s="77">
        <v>0</v>
      </c>
      <c r="T3296" s="77">
        <v>0</v>
      </c>
      <c r="U3296" s="77">
        <v>0</v>
      </c>
      <c r="V3296" s="77">
        <v>789</v>
      </c>
      <c r="W3296" s="82" t="s">
        <v>5973</v>
      </c>
      <c r="X3296" s="80" t="str">
        <f>HYPERLINK("https://einvestidor.estadao.com.br/ultimas/apple-nvidia-google-ipo-arm/?utm_source=twitter&amp;utm_medium=organic&amp;utm_campaign=&amp;utm_content=materia")</f>
        <v>https://einvestidor.estadao.com.br/ultimas/apple-nvidia-google-ipo-arm/?utm_source=twitter&amp;utm_medium=organic&amp;utm_campaign=&amp;utm_content=materia</v>
      </c>
      <c r="Y3296" s="77" t="s">
        <v>6470</v>
      </c>
      <c r="Z3296" s="77"/>
      <c r="AA3296" s="77"/>
      <c r="AB3296" s="77"/>
      <c r="AC3296" s="82" t="s">
        <v>7750</v>
      </c>
      <c r="AD3296" s="77" t="s">
        <v>7788</v>
      </c>
      <c r="AE3296" s="80" t="str">
        <f>HYPERLINK("https://twitter.com/einvestidor/status/1700932150252450018")</f>
        <v>https://twitter.com/einvestidor/status/1700932150252450018</v>
      </c>
      <c r="AF3296" s="79">
        <v>45179.750011574077</v>
      </c>
      <c r="AG3296" s="85">
        <v>45179</v>
      </c>
      <c r="AH3296" s="82" t="s">
        <v>9625</v>
      </c>
      <c r="AI3296" s="77" t="b">
        <v>0</v>
      </c>
      <c r="AJ3296" s="77"/>
      <c r="AK3296" s="77"/>
      <c r="AL3296" s="77"/>
      <c r="AM3296" s="77"/>
      <c r="AN3296" s="77"/>
      <c r="AO3296" s="77"/>
      <c r="AP3296" s="77"/>
      <c r="AQ3296" s="77"/>
      <c r="AR3296" s="77"/>
      <c r="AS3296" s="77"/>
      <c r="AT3296" s="77"/>
      <c r="AU3296" s="77"/>
      <c r="AV3296" s="80" t="str">
        <f>HYPERLINK("https://pbs.twimg.com/profile_images/1241147984924082183/gZgx_hL-_normal.jpg")</f>
        <v>https://pbs.twimg.com/profile_images/1241147984924082183/gZgx_hL-_normal.jpg</v>
      </c>
      <c r="AW3296" s="82" t="s">
        <v>14892</v>
      </c>
      <c r="AX3296" s="82" t="s">
        <v>14892</v>
      </c>
      <c r="AY3296" s="77"/>
      <c r="AZ3296" s="82" t="s">
        <v>15984</v>
      </c>
      <c r="BA3296" s="82" t="s">
        <v>15984</v>
      </c>
      <c r="BB3296" s="82" t="s">
        <v>15984</v>
      </c>
      <c r="BC3296" s="82" t="s">
        <v>14892</v>
      </c>
      <c r="BD3296" s="82" t="s">
        <v>15979</v>
      </c>
      <c r="BE3296" s="77"/>
      <c r="BF3296" s="77"/>
      <c r="BG3296" s="77"/>
      <c r="BH3296" s="77"/>
      <c r="BI3296" s="77"/>
    </row>
    <row r="3297" spans="1:61" x14ac:dyDescent="0.25">
      <c r="A3297" s="62" t="s">
        <v>387</v>
      </c>
      <c r="B3297" s="62" t="s">
        <v>387</v>
      </c>
      <c r="C3297" s="63"/>
      <c r="D3297" s="64"/>
      <c r="E3297" s="65"/>
      <c r="F3297" s="66"/>
      <c r="G3297" s="63"/>
      <c r="H3297" s="67"/>
      <c r="I3297" s="68"/>
      <c r="J3297" s="68"/>
      <c r="K3297" s="32"/>
      <c r="L3297" s="75">
        <v>3297</v>
      </c>
      <c r="M3297" s="75"/>
      <c r="N3297" s="70"/>
      <c r="O3297" s="77" t="s">
        <v>179</v>
      </c>
      <c r="P3297" s="79">
        <v>45179.708333333336</v>
      </c>
      <c r="Q3297" s="77" t="s">
        <v>3968</v>
      </c>
      <c r="R3297" s="77">
        <v>1</v>
      </c>
      <c r="S3297" s="77">
        <v>6</v>
      </c>
      <c r="T3297" s="77">
        <v>1</v>
      </c>
      <c r="U3297" s="77">
        <v>0</v>
      </c>
      <c r="V3297" s="77">
        <v>926</v>
      </c>
      <c r="W3297" s="82" t="s">
        <v>4833</v>
      </c>
      <c r="X3297" s="80" t="str">
        <f>HYPERLINK("https://einvestidor.estadao.com.br/ultimas/tarcisio-abre-semana-feriado-com-reunioes-sobre-sabesp/?utm_source=twitter&amp;utm_medium=organic&amp;utm_campaign=&amp;utm_content=materia")</f>
        <v>https://einvestidor.estadao.com.br/ultimas/tarcisio-abre-semana-feriado-com-reunioes-sobre-sabesp/?utm_source=twitter&amp;utm_medium=organic&amp;utm_campaign=&amp;utm_content=materia</v>
      </c>
      <c r="Y3297" s="77" t="s">
        <v>6470</v>
      </c>
      <c r="Z3297" s="77"/>
      <c r="AA3297" s="77"/>
      <c r="AB3297" s="77"/>
      <c r="AC3297" s="82" t="s">
        <v>7750</v>
      </c>
      <c r="AD3297" s="77" t="s">
        <v>7788</v>
      </c>
      <c r="AE3297" s="80" t="str">
        <f>HYPERLINK("https://twitter.com/einvestidor/status/1700917048908427628")</f>
        <v>https://twitter.com/einvestidor/status/1700917048908427628</v>
      </c>
      <c r="AF3297" s="79">
        <v>45179.708333333336</v>
      </c>
      <c r="AG3297" s="85">
        <v>45179</v>
      </c>
      <c r="AH3297" s="82" t="s">
        <v>9697</v>
      </c>
      <c r="AI3297" s="77" t="b">
        <v>0</v>
      </c>
      <c r="AJ3297" s="77"/>
      <c r="AK3297" s="77"/>
      <c r="AL3297" s="77"/>
      <c r="AM3297" s="77"/>
      <c r="AN3297" s="77"/>
      <c r="AO3297" s="77"/>
      <c r="AP3297" s="77"/>
      <c r="AQ3297" s="77"/>
      <c r="AR3297" s="77"/>
      <c r="AS3297" s="77"/>
      <c r="AT3297" s="77"/>
      <c r="AU3297" s="77"/>
      <c r="AV3297" s="80" t="str">
        <f>HYPERLINK("https://pbs.twimg.com/profile_images/1241147984924082183/gZgx_hL-_normal.jpg")</f>
        <v>https://pbs.twimg.com/profile_images/1241147984924082183/gZgx_hL-_normal.jpg</v>
      </c>
      <c r="AW3297" s="82" t="s">
        <v>14893</v>
      </c>
      <c r="AX3297" s="82" t="s">
        <v>14893</v>
      </c>
      <c r="AY3297" s="77"/>
      <c r="AZ3297" s="82" t="s">
        <v>15984</v>
      </c>
      <c r="BA3297" s="82" t="s">
        <v>15984</v>
      </c>
      <c r="BB3297" s="82" t="s">
        <v>15984</v>
      </c>
      <c r="BC3297" s="82" t="s">
        <v>14893</v>
      </c>
      <c r="BD3297" s="82" t="s">
        <v>15979</v>
      </c>
      <c r="BE3297" s="77"/>
      <c r="BF3297" s="77"/>
      <c r="BG3297" s="77"/>
      <c r="BH3297" s="77"/>
      <c r="BI3297" s="77"/>
    </row>
    <row r="3298" spans="1:61" x14ac:dyDescent="0.25">
      <c r="A3298" s="62" t="s">
        <v>387</v>
      </c>
      <c r="B3298" s="62" t="s">
        <v>387</v>
      </c>
      <c r="C3298" s="63"/>
      <c r="D3298" s="64"/>
      <c r="E3298" s="65"/>
      <c r="F3298" s="66"/>
      <c r="G3298" s="63"/>
      <c r="H3298" s="67"/>
      <c r="I3298" s="68"/>
      <c r="J3298" s="68"/>
      <c r="K3298" s="32"/>
      <c r="L3298" s="75">
        <v>3298</v>
      </c>
      <c r="M3298" s="75"/>
      <c r="N3298" s="70"/>
      <c r="O3298" s="77" t="s">
        <v>179</v>
      </c>
      <c r="P3298" s="79">
        <v>45179.666666666664</v>
      </c>
      <c r="Q3298" s="77" t="s">
        <v>3969</v>
      </c>
      <c r="R3298" s="77">
        <v>1</v>
      </c>
      <c r="S3298" s="77">
        <v>2</v>
      </c>
      <c r="T3298" s="77">
        <v>0</v>
      </c>
      <c r="U3298" s="77">
        <v>0</v>
      </c>
      <c r="V3298" s="77">
        <v>641</v>
      </c>
      <c r="W3298" s="82" t="s">
        <v>5189</v>
      </c>
      <c r="X3298" s="80" t="str">
        <f>HYPERLINK("https://einvestidor.estadao.com.br/mercado/5-dicas-para-evitar-o-sincericidio/?utm_source=twitter&amp;utm_medium=organic&amp;utm_campaign=&amp;utm_content=materia")</f>
        <v>https://einvestidor.estadao.com.br/mercado/5-dicas-para-evitar-o-sincericidio/?utm_source=twitter&amp;utm_medium=organic&amp;utm_campaign=&amp;utm_content=materia</v>
      </c>
      <c r="Y3298" s="77" t="s">
        <v>6470</v>
      </c>
      <c r="Z3298" s="77"/>
      <c r="AA3298" s="77"/>
      <c r="AB3298" s="77"/>
      <c r="AC3298" s="82" t="s">
        <v>7750</v>
      </c>
      <c r="AD3298" s="77" t="s">
        <v>7788</v>
      </c>
      <c r="AE3298" s="80" t="str">
        <f>HYPERLINK("https://twitter.com/einvestidor/status/1700901950580228248")</f>
        <v>https://twitter.com/einvestidor/status/1700901950580228248</v>
      </c>
      <c r="AF3298" s="79">
        <v>45179.666666666664</v>
      </c>
      <c r="AG3298" s="85">
        <v>45179</v>
      </c>
      <c r="AH3298" s="82" t="s">
        <v>8120</v>
      </c>
      <c r="AI3298" s="77" t="b">
        <v>0</v>
      </c>
      <c r="AJ3298" s="77"/>
      <c r="AK3298" s="77"/>
      <c r="AL3298" s="77"/>
      <c r="AM3298" s="77"/>
      <c r="AN3298" s="77"/>
      <c r="AO3298" s="77"/>
      <c r="AP3298" s="77"/>
      <c r="AQ3298" s="77"/>
      <c r="AR3298" s="77"/>
      <c r="AS3298" s="77"/>
      <c r="AT3298" s="77"/>
      <c r="AU3298" s="77"/>
      <c r="AV3298" s="80" t="str">
        <f>HYPERLINK("https://pbs.twimg.com/profile_images/1241147984924082183/gZgx_hL-_normal.jpg")</f>
        <v>https://pbs.twimg.com/profile_images/1241147984924082183/gZgx_hL-_normal.jpg</v>
      </c>
      <c r="AW3298" s="82" t="s">
        <v>14894</v>
      </c>
      <c r="AX3298" s="82" t="s">
        <v>14894</v>
      </c>
      <c r="AY3298" s="77"/>
      <c r="AZ3298" s="82" t="s">
        <v>15984</v>
      </c>
      <c r="BA3298" s="82" t="s">
        <v>15984</v>
      </c>
      <c r="BB3298" s="82" t="s">
        <v>15984</v>
      </c>
      <c r="BC3298" s="82" t="s">
        <v>14894</v>
      </c>
      <c r="BD3298" s="82" t="s">
        <v>15979</v>
      </c>
      <c r="BE3298" s="77"/>
      <c r="BF3298" s="77"/>
      <c r="BG3298" s="77"/>
      <c r="BH3298" s="77"/>
      <c r="BI3298" s="77"/>
    </row>
    <row r="3299" spans="1:61" x14ac:dyDescent="0.25">
      <c r="A3299" s="62" t="s">
        <v>387</v>
      </c>
      <c r="B3299" s="62" t="s">
        <v>387</v>
      </c>
      <c r="C3299" s="63"/>
      <c r="D3299" s="64"/>
      <c r="E3299" s="65"/>
      <c r="F3299" s="66"/>
      <c r="G3299" s="63"/>
      <c r="H3299" s="67"/>
      <c r="I3299" s="68"/>
      <c r="J3299" s="68"/>
      <c r="K3299" s="32"/>
      <c r="L3299" s="75">
        <v>3299</v>
      </c>
      <c r="M3299" s="75"/>
      <c r="N3299" s="70"/>
      <c r="O3299" s="77" t="s">
        <v>179</v>
      </c>
      <c r="P3299" s="79">
        <v>45179.625</v>
      </c>
      <c r="Q3299" s="77" t="s">
        <v>3536</v>
      </c>
      <c r="R3299" s="77">
        <v>0</v>
      </c>
      <c r="S3299" s="77">
        <v>1</v>
      </c>
      <c r="T3299" s="77">
        <v>0</v>
      </c>
      <c r="U3299" s="77">
        <v>0</v>
      </c>
      <c r="V3299" s="77">
        <v>534</v>
      </c>
      <c r="W3299" s="82" t="s">
        <v>6136</v>
      </c>
      <c r="X3299" s="80" t="str">
        <f>HYPERLINK("https://einvestidor.estadao.com.br/ultimas/bradesco-projecoes-pib-brasil-2023-2024//?utm_source=twitter&amp;utm_medium=organic&amp;utm_campaign=&amp;utm_content=materia")</f>
        <v>https://einvestidor.estadao.com.br/ultimas/bradesco-projecoes-pib-brasil-2023-2024//?utm_source=twitter&amp;utm_medium=organic&amp;utm_campaign=&amp;utm_content=materia</v>
      </c>
      <c r="Y3299" s="77" t="s">
        <v>6470</v>
      </c>
      <c r="Z3299" s="77"/>
      <c r="AA3299" s="77"/>
      <c r="AB3299" s="77"/>
      <c r="AC3299" s="82" t="s">
        <v>7750</v>
      </c>
      <c r="AD3299" s="77" t="s">
        <v>7788</v>
      </c>
      <c r="AE3299" s="80" t="str">
        <f>HYPERLINK("https://twitter.com/einvestidor/status/1700886849063936398")</f>
        <v>https://twitter.com/einvestidor/status/1700886849063936398</v>
      </c>
      <c r="AF3299" s="79">
        <v>45179.625</v>
      </c>
      <c r="AG3299" s="85">
        <v>45179</v>
      </c>
      <c r="AH3299" s="82" t="s">
        <v>7862</v>
      </c>
      <c r="AI3299" s="77" t="b">
        <v>0</v>
      </c>
      <c r="AJ3299" s="77"/>
      <c r="AK3299" s="77"/>
      <c r="AL3299" s="77"/>
      <c r="AM3299" s="77"/>
      <c r="AN3299" s="77"/>
      <c r="AO3299" s="77"/>
      <c r="AP3299" s="77"/>
      <c r="AQ3299" s="77"/>
      <c r="AR3299" s="77"/>
      <c r="AS3299" s="77"/>
      <c r="AT3299" s="77"/>
      <c r="AU3299" s="77"/>
      <c r="AV3299" s="80" t="str">
        <f>HYPERLINK("https://pbs.twimg.com/profile_images/1241147984924082183/gZgx_hL-_normal.jpg")</f>
        <v>https://pbs.twimg.com/profile_images/1241147984924082183/gZgx_hL-_normal.jpg</v>
      </c>
      <c r="AW3299" s="82" t="s">
        <v>14895</v>
      </c>
      <c r="AX3299" s="82" t="s">
        <v>14895</v>
      </c>
      <c r="AY3299" s="77"/>
      <c r="AZ3299" s="82" t="s">
        <v>15984</v>
      </c>
      <c r="BA3299" s="82" t="s">
        <v>15984</v>
      </c>
      <c r="BB3299" s="82" t="s">
        <v>15984</v>
      </c>
      <c r="BC3299" s="82" t="s">
        <v>14895</v>
      </c>
      <c r="BD3299" s="82" t="s">
        <v>15979</v>
      </c>
      <c r="BE3299" s="77"/>
      <c r="BF3299" s="77"/>
      <c r="BG3299" s="77"/>
      <c r="BH3299" s="77"/>
      <c r="BI3299" s="77"/>
    </row>
    <row r="3300" spans="1:61" x14ac:dyDescent="0.25">
      <c r="A3300" s="62" t="s">
        <v>387</v>
      </c>
      <c r="B3300" s="62" t="s">
        <v>387</v>
      </c>
      <c r="C3300" s="63"/>
      <c r="D3300" s="64"/>
      <c r="E3300" s="65"/>
      <c r="F3300" s="66"/>
      <c r="G3300" s="63"/>
      <c r="H3300" s="67"/>
      <c r="I3300" s="68"/>
      <c r="J3300" s="68"/>
      <c r="K3300" s="32"/>
      <c r="L3300" s="75">
        <v>3300</v>
      </c>
      <c r="M3300" s="75"/>
      <c r="N3300" s="70"/>
      <c r="O3300" s="77" t="s">
        <v>179</v>
      </c>
      <c r="P3300" s="79">
        <v>45179.541689814818</v>
      </c>
      <c r="Q3300" s="77" t="s">
        <v>3970</v>
      </c>
      <c r="R3300" s="77">
        <v>0</v>
      </c>
      <c r="S3300" s="77">
        <v>1</v>
      </c>
      <c r="T3300" s="77">
        <v>0</v>
      </c>
      <c r="U3300" s="77">
        <v>0</v>
      </c>
      <c r="V3300" s="77">
        <v>651</v>
      </c>
      <c r="W3300" s="82" t="s">
        <v>6275</v>
      </c>
      <c r="X3300" s="80" t="str">
        <f>HYPERLINK("https://einvestidor.estadao.com.br/investimentos/fundo-verde-luis-stuhlberger-aproveita-piora-da-bolsa/?utm_source=twitter&amp;utm_medium=organic&amp;utm_campaign=&amp;utm_content=materia")</f>
        <v>https://einvestidor.estadao.com.br/investimentos/fundo-verde-luis-stuhlberger-aproveita-piora-da-bolsa/?utm_source=twitter&amp;utm_medium=organic&amp;utm_campaign=&amp;utm_content=materia</v>
      </c>
      <c r="Y3300" s="77" t="s">
        <v>6470</v>
      </c>
      <c r="Z3300" s="77"/>
      <c r="AA3300" s="77"/>
      <c r="AB3300" s="77"/>
      <c r="AC3300" s="82" t="s">
        <v>7750</v>
      </c>
      <c r="AD3300" s="77" t="s">
        <v>7788</v>
      </c>
      <c r="AE3300" s="80" t="str">
        <f>HYPERLINK("https://twitter.com/einvestidor/status/1700856656823726164")</f>
        <v>https://twitter.com/einvestidor/status/1700856656823726164</v>
      </c>
      <c r="AF3300" s="79">
        <v>45179.541689814818</v>
      </c>
      <c r="AG3300" s="85">
        <v>45179</v>
      </c>
      <c r="AH3300" s="82" t="s">
        <v>8312</v>
      </c>
      <c r="AI3300" s="77" t="b">
        <v>0</v>
      </c>
      <c r="AJ3300" s="77"/>
      <c r="AK3300" s="77"/>
      <c r="AL3300" s="77"/>
      <c r="AM3300" s="77"/>
      <c r="AN3300" s="77"/>
      <c r="AO3300" s="77"/>
      <c r="AP3300" s="77"/>
      <c r="AQ3300" s="77"/>
      <c r="AR3300" s="77"/>
      <c r="AS3300" s="77"/>
      <c r="AT3300" s="77"/>
      <c r="AU3300" s="77"/>
      <c r="AV3300" s="80" t="str">
        <f>HYPERLINK("https://pbs.twimg.com/profile_images/1241147984924082183/gZgx_hL-_normal.jpg")</f>
        <v>https://pbs.twimg.com/profile_images/1241147984924082183/gZgx_hL-_normal.jpg</v>
      </c>
      <c r="AW3300" s="82" t="s">
        <v>14896</v>
      </c>
      <c r="AX3300" s="82" t="s">
        <v>14896</v>
      </c>
      <c r="AY3300" s="77"/>
      <c r="AZ3300" s="82" t="s">
        <v>15984</v>
      </c>
      <c r="BA3300" s="82" t="s">
        <v>15984</v>
      </c>
      <c r="BB3300" s="82" t="s">
        <v>15984</v>
      </c>
      <c r="BC3300" s="82" t="s">
        <v>14896</v>
      </c>
      <c r="BD3300" s="82" t="s">
        <v>15979</v>
      </c>
      <c r="BE3300" s="77"/>
      <c r="BF3300" s="77"/>
      <c r="BG3300" s="77"/>
      <c r="BH3300" s="77"/>
      <c r="BI3300" s="77"/>
    </row>
    <row r="3301" spans="1:61" x14ac:dyDescent="0.25">
      <c r="A3301" s="62" t="s">
        <v>387</v>
      </c>
      <c r="B3301" s="62" t="s">
        <v>387</v>
      </c>
      <c r="C3301" s="63"/>
      <c r="D3301" s="64"/>
      <c r="E3301" s="65"/>
      <c r="F3301" s="66"/>
      <c r="G3301" s="63"/>
      <c r="H3301" s="67"/>
      <c r="I3301" s="68"/>
      <c r="J3301" s="68"/>
      <c r="K3301" s="32"/>
      <c r="L3301" s="75">
        <v>3301</v>
      </c>
      <c r="M3301" s="75"/>
      <c r="N3301" s="70"/>
      <c r="O3301" s="77" t="s">
        <v>179</v>
      </c>
      <c r="P3301" s="79">
        <v>45159.9375</v>
      </c>
      <c r="Q3301" s="77" t="s">
        <v>3971</v>
      </c>
      <c r="R3301" s="77">
        <v>0</v>
      </c>
      <c r="S3301" s="77">
        <v>0</v>
      </c>
      <c r="T3301" s="77">
        <v>0</v>
      </c>
      <c r="U3301" s="77">
        <v>0</v>
      </c>
      <c r="V3301" s="77">
        <v>633</v>
      </c>
      <c r="W3301" s="82" t="s">
        <v>4833</v>
      </c>
      <c r="X3301" s="80" t="str">
        <f>HYPERLINK("https://mla.bs/14846b7d")</f>
        <v>https://mla.bs/14846b7d</v>
      </c>
      <c r="Y3301" s="77" t="s">
        <v>6506</v>
      </c>
      <c r="Z3301" s="77"/>
      <c r="AA3301" s="77"/>
      <c r="AB3301" s="77"/>
      <c r="AC3301" s="82" t="s">
        <v>7750</v>
      </c>
      <c r="AD3301" s="77" t="s">
        <v>7788</v>
      </c>
      <c r="AE3301" s="80" t="str">
        <f>HYPERLINK("https://twitter.com/einvestidor/status/1693752337716871640")</f>
        <v>https://twitter.com/einvestidor/status/1693752337716871640</v>
      </c>
      <c r="AF3301" s="79">
        <v>45159.9375</v>
      </c>
      <c r="AG3301" s="85">
        <v>45159</v>
      </c>
      <c r="AH3301" s="82" t="s">
        <v>7926</v>
      </c>
      <c r="AI3301" s="77" t="b">
        <v>0</v>
      </c>
      <c r="AJ3301" s="77"/>
      <c r="AK3301" s="77"/>
      <c r="AL3301" s="77"/>
      <c r="AM3301" s="77"/>
      <c r="AN3301" s="77"/>
      <c r="AO3301" s="77"/>
      <c r="AP3301" s="77"/>
      <c r="AQ3301" s="77"/>
      <c r="AR3301" s="77"/>
      <c r="AS3301" s="77"/>
      <c r="AT3301" s="77"/>
      <c r="AU3301" s="77"/>
      <c r="AV3301" s="80" t="str">
        <f>HYPERLINK("https://pbs.twimg.com/profile_images/1241147984924082183/gZgx_hL-_normal.jpg")</f>
        <v>https://pbs.twimg.com/profile_images/1241147984924082183/gZgx_hL-_normal.jpg</v>
      </c>
      <c r="AW3301" s="82" t="s">
        <v>14897</v>
      </c>
      <c r="AX3301" s="82" t="s">
        <v>14897</v>
      </c>
      <c r="AY3301" s="77"/>
      <c r="AZ3301" s="82" t="s">
        <v>15984</v>
      </c>
      <c r="BA3301" s="82" t="s">
        <v>15984</v>
      </c>
      <c r="BB3301" s="82" t="s">
        <v>15984</v>
      </c>
      <c r="BC3301" s="82" t="s">
        <v>14897</v>
      </c>
      <c r="BD3301" s="82" t="s">
        <v>15979</v>
      </c>
      <c r="BE3301" s="77"/>
      <c r="BF3301" s="77"/>
      <c r="BG3301" s="77"/>
      <c r="BH3301" s="77"/>
      <c r="BI3301" s="77"/>
    </row>
    <row r="3302" spans="1:61" x14ac:dyDescent="0.25">
      <c r="A3302" s="62" t="s">
        <v>387</v>
      </c>
      <c r="B3302" s="62" t="s">
        <v>387</v>
      </c>
      <c r="C3302" s="63"/>
      <c r="D3302" s="64"/>
      <c r="E3302" s="65"/>
      <c r="F3302" s="66"/>
      <c r="G3302" s="63"/>
      <c r="H3302" s="67"/>
      <c r="I3302" s="68"/>
      <c r="J3302" s="68"/>
      <c r="K3302" s="32"/>
      <c r="L3302" s="75">
        <v>3302</v>
      </c>
      <c r="M3302" s="75"/>
      <c r="N3302" s="70"/>
      <c r="O3302" s="77" t="s">
        <v>179</v>
      </c>
      <c r="P3302" s="79">
        <v>45159.927083333336</v>
      </c>
      <c r="Q3302" s="77" t="s">
        <v>3972</v>
      </c>
      <c r="R3302" s="77">
        <v>0</v>
      </c>
      <c r="S3302" s="77">
        <v>3</v>
      </c>
      <c r="T3302" s="77">
        <v>0</v>
      </c>
      <c r="U3302" s="77">
        <v>0</v>
      </c>
      <c r="V3302" s="77">
        <v>768</v>
      </c>
      <c r="W3302" s="82" t="s">
        <v>4833</v>
      </c>
      <c r="X3302" s="80" t="str">
        <f>HYPERLINK("https://mla.bs/86495160")</f>
        <v>https://mla.bs/86495160</v>
      </c>
      <c r="Y3302" s="77" t="s">
        <v>6506</v>
      </c>
      <c r="Z3302" s="77"/>
      <c r="AA3302" s="77"/>
      <c r="AB3302" s="77"/>
      <c r="AC3302" s="82" t="s">
        <v>7750</v>
      </c>
      <c r="AD3302" s="77" t="s">
        <v>7788</v>
      </c>
      <c r="AE3302" s="80" t="str">
        <f>HYPERLINK("https://twitter.com/einvestidor/status/1693748562444595211")</f>
        <v>https://twitter.com/einvestidor/status/1693748562444595211</v>
      </c>
      <c r="AF3302" s="79">
        <v>45159.927083333336</v>
      </c>
      <c r="AG3302" s="85">
        <v>45159</v>
      </c>
      <c r="AH3302" s="82" t="s">
        <v>9576</v>
      </c>
      <c r="AI3302" s="77" t="b">
        <v>0</v>
      </c>
      <c r="AJ3302" s="77"/>
      <c r="AK3302" s="77"/>
      <c r="AL3302" s="77"/>
      <c r="AM3302" s="77"/>
      <c r="AN3302" s="77"/>
      <c r="AO3302" s="77"/>
      <c r="AP3302" s="77"/>
      <c r="AQ3302" s="77"/>
      <c r="AR3302" s="77"/>
      <c r="AS3302" s="77"/>
      <c r="AT3302" s="77"/>
      <c r="AU3302" s="77"/>
      <c r="AV3302" s="80" t="str">
        <f>HYPERLINK("https://pbs.twimg.com/profile_images/1241147984924082183/gZgx_hL-_normal.jpg")</f>
        <v>https://pbs.twimg.com/profile_images/1241147984924082183/gZgx_hL-_normal.jpg</v>
      </c>
      <c r="AW3302" s="82" t="s">
        <v>14898</v>
      </c>
      <c r="AX3302" s="82" t="s">
        <v>14898</v>
      </c>
      <c r="AY3302" s="77"/>
      <c r="AZ3302" s="82" t="s">
        <v>15984</v>
      </c>
      <c r="BA3302" s="82" t="s">
        <v>15984</v>
      </c>
      <c r="BB3302" s="82" t="s">
        <v>15984</v>
      </c>
      <c r="BC3302" s="82" t="s">
        <v>14898</v>
      </c>
      <c r="BD3302" s="82" t="s">
        <v>15979</v>
      </c>
      <c r="BE3302" s="77"/>
      <c r="BF3302" s="77"/>
      <c r="BG3302" s="77"/>
      <c r="BH3302" s="77"/>
      <c r="BI3302" s="77"/>
    </row>
    <row r="3303" spans="1:61" x14ac:dyDescent="0.25">
      <c r="A3303" s="62" t="s">
        <v>387</v>
      </c>
      <c r="B3303" s="62" t="s">
        <v>387</v>
      </c>
      <c r="C3303" s="63"/>
      <c r="D3303" s="64"/>
      <c r="E3303" s="65"/>
      <c r="F3303" s="66"/>
      <c r="G3303" s="63"/>
      <c r="H3303" s="67"/>
      <c r="I3303" s="68"/>
      <c r="J3303" s="68"/>
      <c r="K3303" s="32"/>
      <c r="L3303" s="75">
        <v>3303</v>
      </c>
      <c r="M3303" s="75"/>
      <c r="N3303" s="70"/>
      <c r="O3303" s="77" t="s">
        <v>179</v>
      </c>
      <c r="P3303" s="79">
        <v>45159.916678240741</v>
      </c>
      <c r="Q3303" s="77" t="s">
        <v>3973</v>
      </c>
      <c r="R3303" s="77">
        <v>0</v>
      </c>
      <c r="S3303" s="77">
        <v>1</v>
      </c>
      <c r="T3303" s="77">
        <v>0</v>
      </c>
      <c r="U3303" s="77">
        <v>0</v>
      </c>
      <c r="V3303" s="77">
        <v>624</v>
      </c>
      <c r="W3303" s="82" t="s">
        <v>5902</v>
      </c>
      <c r="X3303" s="80" t="str">
        <f>HYPERLINK("https://mla.bs/7f1b7e6b")</f>
        <v>https://mla.bs/7f1b7e6b</v>
      </c>
      <c r="Y3303" s="77" t="s">
        <v>6506</v>
      </c>
      <c r="Z3303" s="77"/>
      <c r="AA3303" s="77"/>
      <c r="AB3303" s="77"/>
      <c r="AC3303" s="82" t="s">
        <v>7750</v>
      </c>
      <c r="AD3303" s="77" t="s">
        <v>7788</v>
      </c>
      <c r="AE3303" s="80" t="str">
        <f>HYPERLINK("https://twitter.com/einvestidor/status/1693744790805021100")</f>
        <v>https://twitter.com/einvestidor/status/1693744790805021100</v>
      </c>
      <c r="AF3303" s="79">
        <v>45159.916678240741</v>
      </c>
      <c r="AG3303" s="85">
        <v>45159</v>
      </c>
      <c r="AH3303" s="82" t="s">
        <v>8052</v>
      </c>
      <c r="AI3303" s="77" t="b">
        <v>0</v>
      </c>
      <c r="AJ3303" s="77"/>
      <c r="AK3303" s="77"/>
      <c r="AL3303" s="77"/>
      <c r="AM3303" s="77"/>
      <c r="AN3303" s="77"/>
      <c r="AO3303" s="77"/>
      <c r="AP3303" s="77"/>
      <c r="AQ3303" s="77"/>
      <c r="AR3303" s="77"/>
      <c r="AS3303" s="77"/>
      <c r="AT3303" s="77"/>
      <c r="AU3303" s="77"/>
      <c r="AV3303" s="80" t="str">
        <f>HYPERLINK("https://pbs.twimg.com/profile_images/1241147984924082183/gZgx_hL-_normal.jpg")</f>
        <v>https://pbs.twimg.com/profile_images/1241147984924082183/gZgx_hL-_normal.jpg</v>
      </c>
      <c r="AW3303" s="82" t="s">
        <v>14899</v>
      </c>
      <c r="AX3303" s="82" t="s">
        <v>14899</v>
      </c>
      <c r="AY3303" s="77"/>
      <c r="AZ3303" s="82" t="s">
        <v>15984</v>
      </c>
      <c r="BA3303" s="82" t="s">
        <v>15984</v>
      </c>
      <c r="BB3303" s="82" t="s">
        <v>15984</v>
      </c>
      <c r="BC3303" s="82" t="s">
        <v>14899</v>
      </c>
      <c r="BD3303" s="82" t="s">
        <v>15979</v>
      </c>
      <c r="BE3303" s="77"/>
      <c r="BF3303" s="77"/>
      <c r="BG3303" s="77"/>
      <c r="BH3303" s="77"/>
      <c r="BI3303" s="77"/>
    </row>
    <row r="3304" spans="1:61" x14ac:dyDescent="0.25">
      <c r="A3304" s="62" t="s">
        <v>387</v>
      </c>
      <c r="B3304" s="62" t="s">
        <v>387</v>
      </c>
      <c r="C3304" s="63"/>
      <c r="D3304" s="64"/>
      <c r="E3304" s="65"/>
      <c r="F3304" s="66"/>
      <c r="G3304" s="63"/>
      <c r="H3304" s="67"/>
      <c r="I3304" s="68"/>
      <c r="J3304" s="68"/>
      <c r="K3304" s="32"/>
      <c r="L3304" s="75">
        <v>3304</v>
      </c>
      <c r="M3304" s="75"/>
      <c r="N3304" s="70"/>
      <c r="O3304" s="77" t="s">
        <v>179</v>
      </c>
      <c r="P3304" s="79">
        <v>45159.90625</v>
      </c>
      <c r="Q3304" s="77" t="s">
        <v>3974</v>
      </c>
      <c r="R3304" s="77">
        <v>0</v>
      </c>
      <c r="S3304" s="77">
        <v>0</v>
      </c>
      <c r="T3304" s="77">
        <v>0</v>
      </c>
      <c r="U3304" s="77">
        <v>0</v>
      </c>
      <c r="V3304" s="77">
        <v>743</v>
      </c>
      <c r="W3304" s="82" t="s">
        <v>6000</v>
      </c>
      <c r="X3304" s="80" t="str">
        <f>HYPERLINK("https://mla.bs/2cf4a901")</f>
        <v>https://mla.bs/2cf4a901</v>
      </c>
      <c r="Y3304" s="77" t="s">
        <v>6506</v>
      </c>
      <c r="Z3304" s="77"/>
      <c r="AA3304" s="77"/>
      <c r="AB3304" s="77"/>
      <c r="AC3304" s="82" t="s">
        <v>7750</v>
      </c>
      <c r="AD3304" s="77" t="s">
        <v>7788</v>
      </c>
      <c r="AE3304" s="80" t="str">
        <f>HYPERLINK("https://twitter.com/einvestidor/status/1693741012781310341")</f>
        <v>https://twitter.com/einvestidor/status/1693741012781310341</v>
      </c>
      <c r="AF3304" s="79">
        <v>45159.90625</v>
      </c>
      <c r="AG3304" s="85">
        <v>45159</v>
      </c>
      <c r="AH3304" s="82" t="s">
        <v>9578</v>
      </c>
      <c r="AI3304" s="77" t="b">
        <v>0</v>
      </c>
      <c r="AJ3304" s="77"/>
      <c r="AK3304" s="77"/>
      <c r="AL3304" s="77"/>
      <c r="AM3304" s="77"/>
      <c r="AN3304" s="77"/>
      <c r="AO3304" s="77"/>
      <c r="AP3304" s="77"/>
      <c r="AQ3304" s="77"/>
      <c r="AR3304" s="77"/>
      <c r="AS3304" s="77"/>
      <c r="AT3304" s="77"/>
      <c r="AU3304" s="77"/>
      <c r="AV3304" s="80" t="str">
        <f>HYPERLINK("https://pbs.twimg.com/profile_images/1241147984924082183/gZgx_hL-_normal.jpg")</f>
        <v>https://pbs.twimg.com/profile_images/1241147984924082183/gZgx_hL-_normal.jpg</v>
      </c>
      <c r="AW3304" s="82" t="s">
        <v>14900</v>
      </c>
      <c r="AX3304" s="82" t="s">
        <v>14900</v>
      </c>
      <c r="AY3304" s="77"/>
      <c r="AZ3304" s="82" t="s">
        <v>15984</v>
      </c>
      <c r="BA3304" s="82" t="s">
        <v>15984</v>
      </c>
      <c r="BB3304" s="82" t="s">
        <v>15984</v>
      </c>
      <c r="BC3304" s="82" t="s">
        <v>14900</v>
      </c>
      <c r="BD3304" s="82" t="s">
        <v>15979</v>
      </c>
      <c r="BE3304" s="77"/>
      <c r="BF3304" s="77"/>
      <c r="BG3304" s="77"/>
      <c r="BH3304" s="77"/>
      <c r="BI3304" s="77"/>
    </row>
    <row r="3305" spans="1:61" x14ac:dyDescent="0.25">
      <c r="A3305" s="62" t="s">
        <v>387</v>
      </c>
      <c r="B3305" s="62" t="s">
        <v>387</v>
      </c>
      <c r="C3305" s="63"/>
      <c r="D3305" s="64"/>
      <c r="E3305" s="65"/>
      <c r="F3305" s="66"/>
      <c r="G3305" s="63"/>
      <c r="H3305" s="67"/>
      <c r="I3305" s="68"/>
      <c r="J3305" s="68"/>
      <c r="K3305" s="32"/>
      <c r="L3305" s="75">
        <v>3305</v>
      </c>
      <c r="M3305" s="75"/>
      <c r="N3305" s="70"/>
      <c r="O3305" s="77" t="s">
        <v>179</v>
      </c>
      <c r="P3305" s="79">
        <v>45159.897986111115</v>
      </c>
      <c r="Q3305" s="77" t="s">
        <v>3975</v>
      </c>
      <c r="R3305" s="77">
        <v>0</v>
      </c>
      <c r="S3305" s="77">
        <v>0</v>
      </c>
      <c r="T3305" s="77">
        <v>0</v>
      </c>
      <c r="U3305" s="77">
        <v>1</v>
      </c>
      <c r="V3305" s="77">
        <v>631</v>
      </c>
      <c r="W3305" s="82" t="s">
        <v>4833</v>
      </c>
      <c r="X3305" s="80" t="str">
        <f>HYPERLINK("https://mla.bs/eee27bba")</f>
        <v>https://mla.bs/eee27bba</v>
      </c>
      <c r="Y3305" s="77" t="s">
        <v>6506</v>
      </c>
      <c r="Z3305" s="77"/>
      <c r="AA3305" s="77"/>
      <c r="AB3305" s="77"/>
      <c r="AC3305" s="82" t="s">
        <v>7750</v>
      </c>
      <c r="AD3305" s="77" t="s">
        <v>7788</v>
      </c>
      <c r="AE3305" s="80" t="str">
        <f>HYPERLINK("https://twitter.com/einvestidor/status/1693738016882274451")</f>
        <v>https://twitter.com/einvestidor/status/1693738016882274451</v>
      </c>
      <c r="AF3305" s="79">
        <v>45159.897986111115</v>
      </c>
      <c r="AG3305" s="85">
        <v>45159</v>
      </c>
      <c r="AH3305" s="82" t="s">
        <v>10017</v>
      </c>
      <c r="AI3305" s="77" t="b">
        <v>0</v>
      </c>
      <c r="AJ3305" s="77"/>
      <c r="AK3305" s="77"/>
      <c r="AL3305" s="77"/>
      <c r="AM3305" s="77"/>
      <c r="AN3305" s="77"/>
      <c r="AO3305" s="77"/>
      <c r="AP3305" s="77"/>
      <c r="AQ3305" s="77"/>
      <c r="AR3305" s="77"/>
      <c r="AS3305" s="77"/>
      <c r="AT3305" s="77"/>
      <c r="AU3305" s="77"/>
      <c r="AV3305" s="80" t="str">
        <f>HYPERLINK("https://pbs.twimg.com/profile_images/1241147984924082183/gZgx_hL-_normal.jpg")</f>
        <v>https://pbs.twimg.com/profile_images/1241147984924082183/gZgx_hL-_normal.jpg</v>
      </c>
      <c r="AW3305" s="82" t="s">
        <v>14901</v>
      </c>
      <c r="AX3305" s="82" t="s">
        <v>14901</v>
      </c>
      <c r="AY3305" s="77"/>
      <c r="AZ3305" s="82" t="s">
        <v>15984</v>
      </c>
      <c r="BA3305" s="82" t="s">
        <v>15984</v>
      </c>
      <c r="BB3305" s="82" t="s">
        <v>15984</v>
      </c>
      <c r="BC3305" s="82" t="s">
        <v>14901</v>
      </c>
      <c r="BD3305" s="82" t="s">
        <v>15979</v>
      </c>
      <c r="BE3305" s="77"/>
      <c r="BF3305" s="77"/>
      <c r="BG3305" s="77"/>
      <c r="BH3305" s="77"/>
      <c r="BI3305" s="77"/>
    </row>
    <row r="3306" spans="1:61" x14ac:dyDescent="0.25">
      <c r="A3306" s="62" t="s">
        <v>387</v>
      </c>
      <c r="B3306" s="62" t="s">
        <v>387</v>
      </c>
      <c r="C3306" s="63"/>
      <c r="D3306" s="64"/>
      <c r="E3306" s="65"/>
      <c r="F3306" s="66"/>
      <c r="G3306" s="63"/>
      <c r="H3306" s="67"/>
      <c r="I3306" s="68"/>
      <c r="J3306" s="68"/>
      <c r="K3306" s="32"/>
      <c r="L3306" s="75">
        <v>3306</v>
      </c>
      <c r="M3306" s="75"/>
      <c r="N3306" s="70"/>
      <c r="O3306" s="77" t="s">
        <v>179</v>
      </c>
      <c r="P3306" s="79">
        <v>45159.895833333336</v>
      </c>
      <c r="Q3306" s="77" t="s">
        <v>3976</v>
      </c>
      <c r="R3306" s="77">
        <v>0</v>
      </c>
      <c r="S3306" s="77">
        <v>1</v>
      </c>
      <c r="T3306" s="77">
        <v>0</v>
      </c>
      <c r="U3306" s="77">
        <v>0</v>
      </c>
      <c r="V3306" s="77">
        <v>627</v>
      </c>
      <c r="W3306" s="82" t="s">
        <v>6276</v>
      </c>
      <c r="X3306" s="80" t="str">
        <f>HYPERLINK("https://mla.bs/907c6ca7")</f>
        <v>https://mla.bs/907c6ca7</v>
      </c>
      <c r="Y3306" s="77" t="s">
        <v>6506</v>
      </c>
      <c r="Z3306" s="77"/>
      <c r="AA3306" s="77"/>
      <c r="AB3306" s="77"/>
      <c r="AC3306" s="82" t="s">
        <v>7750</v>
      </c>
      <c r="AD3306" s="77" t="s">
        <v>7788</v>
      </c>
      <c r="AE3306" s="80" t="str">
        <f>HYPERLINK("https://twitter.com/einvestidor/status/1693737238650392826")</f>
        <v>https://twitter.com/einvestidor/status/1693737238650392826</v>
      </c>
      <c r="AF3306" s="79">
        <v>45159.895833333336</v>
      </c>
      <c r="AG3306" s="85">
        <v>45159</v>
      </c>
      <c r="AH3306" s="82" t="s">
        <v>8089</v>
      </c>
      <c r="AI3306" s="77" t="b">
        <v>0</v>
      </c>
      <c r="AJ3306" s="77"/>
      <c r="AK3306" s="77"/>
      <c r="AL3306" s="77"/>
      <c r="AM3306" s="77"/>
      <c r="AN3306" s="77"/>
      <c r="AO3306" s="77"/>
      <c r="AP3306" s="77"/>
      <c r="AQ3306" s="77"/>
      <c r="AR3306" s="77"/>
      <c r="AS3306" s="77"/>
      <c r="AT3306" s="77"/>
      <c r="AU3306" s="77"/>
      <c r="AV3306" s="80" t="str">
        <f>HYPERLINK("https://pbs.twimg.com/profile_images/1241147984924082183/gZgx_hL-_normal.jpg")</f>
        <v>https://pbs.twimg.com/profile_images/1241147984924082183/gZgx_hL-_normal.jpg</v>
      </c>
      <c r="AW3306" s="82" t="s">
        <v>14902</v>
      </c>
      <c r="AX3306" s="82" t="s">
        <v>14902</v>
      </c>
      <c r="AY3306" s="77"/>
      <c r="AZ3306" s="82" t="s">
        <v>15984</v>
      </c>
      <c r="BA3306" s="82" t="s">
        <v>15984</v>
      </c>
      <c r="BB3306" s="82" t="s">
        <v>15984</v>
      </c>
      <c r="BC3306" s="82" t="s">
        <v>14902</v>
      </c>
      <c r="BD3306" s="82" t="s">
        <v>15979</v>
      </c>
      <c r="BE3306" s="77"/>
      <c r="BF3306" s="77"/>
      <c r="BG3306" s="77"/>
      <c r="BH3306" s="77"/>
      <c r="BI3306" s="77"/>
    </row>
    <row r="3307" spans="1:61" x14ac:dyDescent="0.25">
      <c r="A3307" s="62" t="s">
        <v>387</v>
      </c>
      <c r="B3307" s="62" t="s">
        <v>387</v>
      </c>
      <c r="C3307" s="63"/>
      <c r="D3307" s="64"/>
      <c r="E3307" s="65"/>
      <c r="F3307" s="66"/>
      <c r="G3307" s="63"/>
      <c r="H3307" s="67"/>
      <c r="I3307" s="68"/>
      <c r="J3307" s="68"/>
      <c r="K3307" s="32"/>
      <c r="L3307" s="75">
        <v>3307</v>
      </c>
      <c r="M3307" s="75"/>
      <c r="N3307" s="70"/>
      <c r="O3307" s="77" t="s">
        <v>179</v>
      </c>
      <c r="P3307" s="79">
        <v>45159.885416666664</v>
      </c>
      <c r="Q3307" s="77" t="s">
        <v>3977</v>
      </c>
      <c r="R3307" s="77">
        <v>0</v>
      </c>
      <c r="S3307" s="77">
        <v>0</v>
      </c>
      <c r="T3307" s="77">
        <v>0</v>
      </c>
      <c r="U3307" s="77">
        <v>0</v>
      </c>
      <c r="V3307" s="77">
        <v>568</v>
      </c>
      <c r="W3307" s="82" t="s">
        <v>4833</v>
      </c>
      <c r="X3307" s="80" t="str">
        <f>HYPERLINK("https://mla.bs/a2ec896b")</f>
        <v>https://mla.bs/a2ec896b</v>
      </c>
      <c r="Y3307" s="77" t="s">
        <v>6506</v>
      </c>
      <c r="Z3307" s="77"/>
      <c r="AA3307" s="77"/>
      <c r="AB3307" s="77"/>
      <c r="AC3307" s="82" t="s">
        <v>7750</v>
      </c>
      <c r="AD3307" s="77" t="s">
        <v>7788</v>
      </c>
      <c r="AE3307" s="80" t="str">
        <f>HYPERLINK("https://twitter.com/einvestidor/status/1693733462996586763")</f>
        <v>https://twitter.com/einvestidor/status/1693733462996586763</v>
      </c>
      <c r="AF3307" s="79">
        <v>45159.885416666664</v>
      </c>
      <c r="AG3307" s="85">
        <v>45159</v>
      </c>
      <c r="AH3307" s="82" t="s">
        <v>8206</v>
      </c>
      <c r="AI3307" s="77" t="b">
        <v>0</v>
      </c>
      <c r="AJ3307" s="77"/>
      <c r="AK3307" s="77"/>
      <c r="AL3307" s="77"/>
      <c r="AM3307" s="77"/>
      <c r="AN3307" s="77"/>
      <c r="AO3307" s="77"/>
      <c r="AP3307" s="77"/>
      <c r="AQ3307" s="77"/>
      <c r="AR3307" s="77"/>
      <c r="AS3307" s="77"/>
      <c r="AT3307" s="77"/>
      <c r="AU3307" s="77"/>
      <c r="AV3307" s="80" t="str">
        <f>HYPERLINK("https://pbs.twimg.com/profile_images/1241147984924082183/gZgx_hL-_normal.jpg")</f>
        <v>https://pbs.twimg.com/profile_images/1241147984924082183/gZgx_hL-_normal.jpg</v>
      </c>
      <c r="AW3307" s="82" t="s">
        <v>14903</v>
      </c>
      <c r="AX3307" s="82" t="s">
        <v>14903</v>
      </c>
      <c r="AY3307" s="77"/>
      <c r="AZ3307" s="82" t="s">
        <v>15984</v>
      </c>
      <c r="BA3307" s="82" t="s">
        <v>15984</v>
      </c>
      <c r="BB3307" s="82" t="s">
        <v>15984</v>
      </c>
      <c r="BC3307" s="82" t="s">
        <v>14903</v>
      </c>
      <c r="BD3307" s="82" t="s">
        <v>15979</v>
      </c>
      <c r="BE3307" s="77"/>
      <c r="BF3307" s="77"/>
      <c r="BG3307" s="77"/>
      <c r="BH3307" s="77"/>
      <c r="BI3307" s="77"/>
    </row>
    <row r="3308" spans="1:61" x14ac:dyDescent="0.25">
      <c r="A3308" s="62" t="s">
        <v>387</v>
      </c>
      <c r="B3308" s="62" t="s">
        <v>387</v>
      </c>
      <c r="C3308" s="63"/>
      <c r="D3308" s="64"/>
      <c r="E3308" s="65"/>
      <c r="F3308" s="66"/>
      <c r="G3308" s="63"/>
      <c r="H3308" s="67"/>
      <c r="I3308" s="68"/>
      <c r="J3308" s="68"/>
      <c r="K3308" s="32"/>
      <c r="L3308" s="75">
        <v>3308</v>
      </c>
      <c r="M3308" s="75"/>
      <c r="N3308" s="70"/>
      <c r="O3308" s="77" t="s">
        <v>179</v>
      </c>
      <c r="P3308" s="79">
        <v>45159.880983796298</v>
      </c>
      <c r="Q3308" s="77" t="s">
        <v>3978</v>
      </c>
      <c r="R3308" s="77">
        <v>0</v>
      </c>
      <c r="S3308" s="77">
        <v>1</v>
      </c>
      <c r="T3308" s="77">
        <v>0</v>
      </c>
      <c r="U3308" s="77">
        <v>0</v>
      </c>
      <c r="V3308" s="77">
        <v>690</v>
      </c>
      <c r="W3308" s="82" t="s">
        <v>6277</v>
      </c>
      <c r="X3308" s="80" t="str">
        <f>HYPERLINK("https://mla.bs/92c6d07b")</f>
        <v>https://mla.bs/92c6d07b</v>
      </c>
      <c r="Y3308" s="77" t="s">
        <v>6506</v>
      </c>
      <c r="Z3308" s="77"/>
      <c r="AA3308" s="77"/>
      <c r="AB3308" s="77"/>
      <c r="AC3308" s="82" t="s">
        <v>7750</v>
      </c>
      <c r="AD3308" s="77" t="s">
        <v>7788</v>
      </c>
      <c r="AE3308" s="80" t="str">
        <f>HYPERLINK("https://twitter.com/einvestidor/status/1693731855890034927")</f>
        <v>https://twitter.com/einvestidor/status/1693731855890034927</v>
      </c>
      <c r="AF3308" s="79">
        <v>45159.880983796298</v>
      </c>
      <c r="AG3308" s="85">
        <v>45159</v>
      </c>
      <c r="AH3308" s="82" t="s">
        <v>10018</v>
      </c>
      <c r="AI3308" s="77" t="b">
        <v>0</v>
      </c>
      <c r="AJ3308" s="77"/>
      <c r="AK3308" s="77"/>
      <c r="AL3308" s="77"/>
      <c r="AM3308" s="77"/>
      <c r="AN3308" s="77"/>
      <c r="AO3308" s="77"/>
      <c r="AP3308" s="77"/>
      <c r="AQ3308" s="77"/>
      <c r="AR3308" s="77"/>
      <c r="AS3308" s="77"/>
      <c r="AT3308" s="77"/>
      <c r="AU3308" s="77"/>
      <c r="AV3308" s="80" t="str">
        <f>HYPERLINK("https://pbs.twimg.com/profile_images/1241147984924082183/gZgx_hL-_normal.jpg")</f>
        <v>https://pbs.twimg.com/profile_images/1241147984924082183/gZgx_hL-_normal.jpg</v>
      </c>
      <c r="AW3308" s="82" t="s">
        <v>14904</v>
      </c>
      <c r="AX3308" s="82" t="s">
        <v>14904</v>
      </c>
      <c r="AY3308" s="77"/>
      <c r="AZ3308" s="82" t="s">
        <v>15984</v>
      </c>
      <c r="BA3308" s="82" t="s">
        <v>15984</v>
      </c>
      <c r="BB3308" s="82" t="s">
        <v>15984</v>
      </c>
      <c r="BC3308" s="82" t="s">
        <v>14904</v>
      </c>
      <c r="BD3308" s="82" t="s">
        <v>15979</v>
      </c>
      <c r="BE3308" s="77"/>
      <c r="BF3308" s="77"/>
      <c r="BG3308" s="77"/>
      <c r="BH3308" s="77"/>
      <c r="BI3308" s="77"/>
    </row>
    <row r="3309" spans="1:61" x14ac:dyDescent="0.25">
      <c r="A3309" s="62" t="s">
        <v>387</v>
      </c>
      <c r="B3309" s="62" t="s">
        <v>387</v>
      </c>
      <c r="C3309" s="63"/>
      <c r="D3309" s="64"/>
      <c r="E3309" s="65"/>
      <c r="F3309" s="66"/>
      <c r="G3309" s="63"/>
      <c r="H3309" s="67"/>
      <c r="I3309" s="68"/>
      <c r="J3309" s="68"/>
      <c r="K3309" s="32"/>
      <c r="L3309" s="75">
        <v>3309</v>
      </c>
      <c r="M3309" s="75"/>
      <c r="N3309" s="70"/>
      <c r="O3309" s="77" t="s">
        <v>179</v>
      </c>
      <c r="P3309" s="79">
        <v>45159.88009259259</v>
      </c>
      <c r="Q3309" s="77" t="s">
        <v>3979</v>
      </c>
      <c r="R3309" s="77">
        <v>1</v>
      </c>
      <c r="S3309" s="77">
        <v>2</v>
      </c>
      <c r="T3309" s="77">
        <v>0</v>
      </c>
      <c r="U3309" s="77">
        <v>0</v>
      </c>
      <c r="V3309" s="77">
        <v>645</v>
      </c>
      <c r="W3309" s="82" t="s">
        <v>6278</v>
      </c>
      <c r="X3309" s="80" t="str">
        <f>HYPERLINK("https://mla.bs/5dfed55f")</f>
        <v>https://mla.bs/5dfed55f</v>
      </c>
      <c r="Y3309" s="77" t="s">
        <v>6506</v>
      </c>
      <c r="Z3309" s="77"/>
      <c r="AA3309" s="77"/>
      <c r="AB3309" s="77"/>
      <c r="AC3309" s="82" t="s">
        <v>7750</v>
      </c>
      <c r="AD3309" s="77" t="s">
        <v>7788</v>
      </c>
      <c r="AE3309" s="80" t="str">
        <f>HYPERLINK("https://twitter.com/einvestidor/status/1693731532848939511")</f>
        <v>https://twitter.com/einvestidor/status/1693731532848939511</v>
      </c>
      <c r="AF3309" s="79">
        <v>45159.88009259259</v>
      </c>
      <c r="AG3309" s="85">
        <v>45159</v>
      </c>
      <c r="AH3309" s="82" t="s">
        <v>10019</v>
      </c>
      <c r="AI3309" s="77" t="b">
        <v>0</v>
      </c>
      <c r="AJ3309" s="77"/>
      <c r="AK3309" s="77"/>
      <c r="AL3309" s="77"/>
      <c r="AM3309" s="77"/>
      <c r="AN3309" s="77"/>
      <c r="AO3309" s="77"/>
      <c r="AP3309" s="77"/>
      <c r="AQ3309" s="77"/>
      <c r="AR3309" s="77"/>
      <c r="AS3309" s="77"/>
      <c r="AT3309" s="77"/>
      <c r="AU3309" s="77"/>
      <c r="AV3309" s="80" t="str">
        <f>HYPERLINK("https://pbs.twimg.com/profile_images/1241147984924082183/gZgx_hL-_normal.jpg")</f>
        <v>https://pbs.twimg.com/profile_images/1241147984924082183/gZgx_hL-_normal.jpg</v>
      </c>
      <c r="AW3309" s="82" t="s">
        <v>14905</v>
      </c>
      <c r="AX3309" s="82" t="s">
        <v>14905</v>
      </c>
      <c r="AY3309" s="77"/>
      <c r="AZ3309" s="82" t="s">
        <v>15984</v>
      </c>
      <c r="BA3309" s="82" t="s">
        <v>15984</v>
      </c>
      <c r="BB3309" s="82" t="s">
        <v>15984</v>
      </c>
      <c r="BC3309" s="82" t="s">
        <v>14905</v>
      </c>
      <c r="BD3309" s="82" t="s">
        <v>15979</v>
      </c>
      <c r="BE3309" s="77"/>
      <c r="BF3309" s="77"/>
      <c r="BG3309" s="77"/>
      <c r="BH3309" s="77"/>
      <c r="BI3309" s="77"/>
    </row>
    <row r="3310" spans="1:61" x14ac:dyDescent="0.25">
      <c r="A3310" s="62" t="s">
        <v>387</v>
      </c>
      <c r="B3310" s="62" t="s">
        <v>387</v>
      </c>
      <c r="C3310" s="63"/>
      <c r="D3310" s="64"/>
      <c r="E3310" s="65"/>
      <c r="F3310" s="66"/>
      <c r="G3310" s="63"/>
      <c r="H3310" s="67"/>
      <c r="I3310" s="68"/>
      <c r="J3310" s="68"/>
      <c r="K3310" s="32"/>
      <c r="L3310" s="75">
        <v>3310</v>
      </c>
      <c r="M3310" s="75"/>
      <c r="N3310" s="70"/>
      <c r="O3310" s="77" t="s">
        <v>179</v>
      </c>
      <c r="P3310" s="79">
        <v>45159.864583333336</v>
      </c>
      <c r="Q3310" s="77" t="s">
        <v>3980</v>
      </c>
      <c r="R3310" s="77">
        <v>0</v>
      </c>
      <c r="S3310" s="77">
        <v>1</v>
      </c>
      <c r="T3310" s="77">
        <v>0</v>
      </c>
      <c r="U3310" s="77">
        <v>0</v>
      </c>
      <c r="V3310" s="77">
        <v>596</v>
      </c>
      <c r="W3310" s="82" t="s">
        <v>4833</v>
      </c>
      <c r="X3310" s="80" t="str">
        <f>HYPERLINK("https://mla.bs/615e3376")</f>
        <v>https://mla.bs/615e3376</v>
      </c>
      <c r="Y3310" s="77" t="s">
        <v>6506</v>
      </c>
      <c r="Z3310" s="77"/>
      <c r="AA3310" s="77"/>
      <c r="AB3310" s="77"/>
      <c r="AC3310" s="82" t="s">
        <v>7750</v>
      </c>
      <c r="AD3310" s="77" t="s">
        <v>7788</v>
      </c>
      <c r="AE3310" s="80" t="str">
        <f>HYPERLINK("https://twitter.com/einvestidor/status/1693725913438195938")</f>
        <v>https://twitter.com/einvestidor/status/1693725913438195938</v>
      </c>
      <c r="AF3310" s="79">
        <v>45159.864583333336</v>
      </c>
      <c r="AG3310" s="85">
        <v>45159</v>
      </c>
      <c r="AH3310" s="82" t="s">
        <v>9596</v>
      </c>
      <c r="AI3310" s="77" t="b">
        <v>0</v>
      </c>
      <c r="AJ3310" s="77"/>
      <c r="AK3310" s="77"/>
      <c r="AL3310" s="77"/>
      <c r="AM3310" s="77"/>
      <c r="AN3310" s="77"/>
      <c r="AO3310" s="77"/>
      <c r="AP3310" s="77"/>
      <c r="AQ3310" s="77"/>
      <c r="AR3310" s="77"/>
      <c r="AS3310" s="77"/>
      <c r="AT3310" s="77"/>
      <c r="AU3310" s="77"/>
      <c r="AV3310" s="80" t="str">
        <f>HYPERLINK("https://pbs.twimg.com/profile_images/1241147984924082183/gZgx_hL-_normal.jpg")</f>
        <v>https://pbs.twimg.com/profile_images/1241147984924082183/gZgx_hL-_normal.jpg</v>
      </c>
      <c r="AW3310" s="82" t="s">
        <v>14906</v>
      </c>
      <c r="AX3310" s="82" t="s">
        <v>14906</v>
      </c>
      <c r="AY3310" s="77"/>
      <c r="AZ3310" s="82" t="s">
        <v>15984</v>
      </c>
      <c r="BA3310" s="82" t="s">
        <v>15984</v>
      </c>
      <c r="BB3310" s="82" t="s">
        <v>15984</v>
      </c>
      <c r="BC3310" s="82" t="s">
        <v>14906</v>
      </c>
      <c r="BD3310" s="82" t="s">
        <v>15979</v>
      </c>
      <c r="BE3310" s="77"/>
      <c r="BF3310" s="77"/>
      <c r="BG3310" s="77"/>
      <c r="BH3310" s="77"/>
      <c r="BI3310" s="77"/>
    </row>
    <row r="3311" spans="1:61" x14ac:dyDescent="0.25">
      <c r="A3311" s="62" t="s">
        <v>387</v>
      </c>
      <c r="B3311" s="62" t="s">
        <v>387</v>
      </c>
      <c r="C3311" s="63"/>
      <c r="D3311" s="64"/>
      <c r="E3311" s="65"/>
      <c r="F3311" s="66"/>
      <c r="G3311" s="63"/>
      <c r="H3311" s="67"/>
      <c r="I3311" s="68"/>
      <c r="J3311" s="68"/>
      <c r="K3311" s="32"/>
      <c r="L3311" s="75">
        <v>3311</v>
      </c>
      <c r="M3311" s="75"/>
      <c r="N3311" s="70"/>
      <c r="O3311" s="77" t="s">
        <v>179</v>
      </c>
      <c r="P3311" s="79">
        <v>45159.854166666664</v>
      </c>
      <c r="Q3311" s="77" t="s">
        <v>3981</v>
      </c>
      <c r="R3311" s="77">
        <v>0</v>
      </c>
      <c r="S3311" s="77">
        <v>3</v>
      </c>
      <c r="T3311" s="77">
        <v>0</v>
      </c>
      <c r="U3311" s="77">
        <v>0</v>
      </c>
      <c r="V3311" s="77">
        <v>557</v>
      </c>
      <c r="W3311" s="82" t="s">
        <v>5995</v>
      </c>
      <c r="X3311" s="80" t="str">
        <f>HYPERLINK("https://mla.bs/01cc948a")</f>
        <v>https://mla.bs/01cc948a</v>
      </c>
      <c r="Y3311" s="77" t="s">
        <v>6506</v>
      </c>
      <c r="Z3311" s="77"/>
      <c r="AA3311" s="77"/>
      <c r="AB3311" s="77"/>
      <c r="AC3311" s="82" t="s">
        <v>7750</v>
      </c>
      <c r="AD3311" s="77" t="s">
        <v>7788</v>
      </c>
      <c r="AE3311" s="80" t="str">
        <f>HYPERLINK("https://twitter.com/einvestidor/status/1693722137994170480")</f>
        <v>https://twitter.com/einvestidor/status/1693722137994170480</v>
      </c>
      <c r="AF3311" s="79">
        <v>45159.854166666664</v>
      </c>
      <c r="AG3311" s="85">
        <v>45159</v>
      </c>
      <c r="AH3311" s="82" t="s">
        <v>8090</v>
      </c>
      <c r="AI3311" s="77" t="b">
        <v>0</v>
      </c>
      <c r="AJ3311" s="77"/>
      <c r="AK3311" s="77"/>
      <c r="AL3311" s="77"/>
      <c r="AM3311" s="77"/>
      <c r="AN3311" s="77"/>
      <c r="AO3311" s="77"/>
      <c r="AP3311" s="77"/>
      <c r="AQ3311" s="77"/>
      <c r="AR3311" s="77"/>
      <c r="AS3311" s="77"/>
      <c r="AT3311" s="77"/>
      <c r="AU3311" s="77"/>
      <c r="AV3311" s="80" t="str">
        <f>HYPERLINK("https://pbs.twimg.com/profile_images/1241147984924082183/gZgx_hL-_normal.jpg")</f>
        <v>https://pbs.twimg.com/profile_images/1241147984924082183/gZgx_hL-_normal.jpg</v>
      </c>
      <c r="AW3311" s="82" t="s">
        <v>14907</v>
      </c>
      <c r="AX3311" s="82" t="s">
        <v>14907</v>
      </c>
      <c r="AY3311" s="77"/>
      <c r="AZ3311" s="82" t="s">
        <v>15984</v>
      </c>
      <c r="BA3311" s="82" t="s">
        <v>15984</v>
      </c>
      <c r="BB3311" s="82" t="s">
        <v>15984</v>
      </c>
      <c r="BC3311" s="82" t="s">
        <v>14907</v>
      </c>
      <c r="BD3311" s="82" t="s">
        <v>15979</v>
      </c>
      <c r="BE3311" s="77"/>
      <c r="BF3311" s="77"/>
      <c r="BG3311" s="77"/>
      <c r="BH3311" s="77"/>
      <c r="BI3311" s="77"/>
    </row>
    <row r="3312" spans="1:61" x14ac:dyDescent="0.25">
      <c r="A3312" s="62" t="s">
        <v>387</v>
      </c>
      <c r="B3312" s="62" t="s">
        <v>387</v>
      </c>
      <c r="C3312" s="63"/>
      <c r="D3312" s="64"/>
      <c r="E3312" s="65"/>
      <c r="F3312" s="66"/>
      <c r="G3312" s="63"/>
      <c r="H3312" s="67"/>
      <c r="I3312" s="68"/>
      <c r="J3312" s="68"/>
      <c r="K3312" s="32"/>
      <c r="L3312" s="75">
        <v>3312</v>
      </c>
      <c r="M3312" s="75"/>
      <c r="N3312" s="70"/>
      <c r="O3312" s="77" t="s">
        <v>179</v>
      </c>
      <c r="P3312" s="79">
        <v>45159.84375</v>
      </c>
      <c r="Q3312" s="77" t="s">
        <v>3982</v>
      </c>
      <c r="R3312" s="77">
        <v>0</v>
      </c>
      <c r="S3312" s="77">
        <v>0</v>
      </c>
      <c r="T3312" s="77">
        <v>0</v>
      </c>
      <c r="U3312" s="77">
        <v>0</v>
      </c>
      <c r="V3312" s="77">
        <v>494</v>
      </c>
      <c r="W3312" s="82" t="s">
        <v>5917</v>
      </c>
      <c r="X3312" s="80" t="str">
        <f>HYPERLINK("https://mla.bs/5cd2ba88")</f>
        <v>https://mla.bs/5cd2ba88</v>
      </c>
      <c r="Y3312" s="77" t="s">
        <v>6506</v>
      </c>
      <c r="Z3312" s="77"/>
      <c r="AA3312" s="77"/>
      <c r="AB3312" s="77"/>
      <c r="AC3312" s="82" t="s">
        <v>7750</v>
      </c>
      <c r="AD3312" s="77" t="s">
        <v>7788</v>
      </c>
      <c r="AE3312" s="80" t="str">
        <f>HYPERLINK("https://twitter.com/einvestidor/status/1693718363208294598")</f>
        <v>https://twitter.com/einvestidor/status/1693718363208294598</v>
      </c>
      <c r="AF3312" s="79">
        <v>45159.84375</v>
      </c>
      <c r="AG3312" s="85">
        <v>45159</v>
      </c>
      <c r="AH3312" s="82" t="s">
        <v>9296</v>
      </c>
      <c r="AI3312" s="77" t="b">
        <v>0</v>
      </c>
      <c r="AJ3312" s="77"/>
      <c r="AK3312" s="77"/>
      <c r="AL3312" s="77"/>
      <c r="AM3312" s="77"/>
      <c r="AN3312" s="77"/>
      <c r="AO3312" s="77"/>
      <c r="AP3312" s="77"/>
      <c r="AQ3312" s="77"/>
      <c r="AR3312" s="77"/>
      <c r="AS3312" s="77"/>
      <c r="AT3312" s="77"/>
      <c r="AU3312" s="77"/>
      <c r="AV3312" s="80" t="str">
        <f>HYPERLINK("https://pbs.twimg.com/profile_images/1241147984924082183/gZgx_hL-_normal.jpg")</f>
        <v>https://pbs.twimg.com/profile_images/1241147984924082183/gZgx_hL-_normal.jpg</v>
      </c>
      <c r="AW3312" s="82" t="s">
        <v>14908</v>
      </c>
      <c r="AX3312" s="82" t="s">
        <v>14908</v>
      </c>
      <c r="AY3312" s="77"/>
      <c r="AZ3312" s="82" t="s">
        <v>15984</v>
      </c>
      <c r="BA3312" s="82" t="s">
        <v>15984</v>
      </c>
      <c r="BB3312" s="82" t="s">
        <v>15984</v>
      </c>
      <c r="BC3312" s="82" t="s">
        <v>14908</v>
      </c>
      <c r="BD3312" s="82" t="s">
        <v>15979</v>
      </c>
      <c r="BE3312" s="77"/>
      <c r="BF3312" s="77"/>
      <c r="BG3312" s="77"/>
      <c r="BH3312" s="77"/>
      <c r="BI3312" s="77"/>
    </row>
    <row r="3313" spans="1:61" x14ac:dyDescent="0.25">
      <c r="A3313" s="62" t="s">
        <v>387</v>
      </c>
      <c r="B3313" s="62" t="s">
        <v>387</v>
      </c>
      <c r="C3313" s="63"/>
      <c r="D3313" s="64"/>
      <c r="E3313" s="65"/>
      <c r="F3313" s="66"/>
      <c r="G3313" s="63"/>
      <c r="H3313" s="67"/>
      <c r="I3313" s="68"/>
      <c r="J3313" s="68"/>
      <c r="K3313" s="32"/>
      <c r="L3313" s="75">
        <v>3313</v>
      </c>
      <c r="M3313" s="75"/>
      <c r="N3313" s="70"/>
      <c r="O3313" s="77" t="s">
        <v>179</v>
      </c>
      <c r="P3313" s="79">
        <v>45159.8125</v>
      </c>
      <c r="Q3313" s="77" t="s">
        <v>3983</v>
      </c>
      <c r="R3313" s="77">
        <v>0</v>
      </c>
      <c r="S3313" s="77">
        <v>1</v>
      </c>
      <c r="T3313" s="77">
        <v>0</v>
      </c>
      <c r="U3313" s="77">
        <v>0</v>
      </c>
      <c r="V3313" s="77">
        <v>542</v>
      </c>
      <c r="W3313" s="82" t="s">
        <v>5994</v>
      </c>
      <c r="X3313" s="80" t="str">
        <f>HYPERLINK("https://mla.bs/f4b43593")</f>
        <v>https://mla.bs/f4b43593</v>
      </c>
      <c r="Y3313" s="77" t="s">
        <v>6506</v>
      </c>
      <c r="Z3313" s="77"/>
      <c r="AA3313" s="77"/>
      <c r="AB3313" s="77"/>
      <c r="AC3313" s="82" t="s">
        <v>7750</v>
      </c>
      <c r="AD3313" s="77" t="s">
        <v>7788</v>
      </c>
      <c r="AE3313" s="80" t="str">
        <f>HYPERLINK("https://twitter.com/einvestidor/status/1693707039271256085")</f>
        <v>https://twitter.com/einvestidor/status/1693707039271256085</v>
      </c>
      <c r="AF3313" s="79">
        <v>45159.8125</v>
      </c>
      <c r="AG3313" s="85">
        <v>45159</v>
      </c>
      <c r="AH3313" s="82" t="s">
        <v>8281</v>
      </c>
      <c r="AI3313" s="77" t="b">
        <v>0</v>
      </c>
      <c r="AJ3313" s="77"/>
      <c r="AK3313" s="77"/>
      <c r="AL3313" s="77"/>
      <c r="AM3313" s="77"/>
      <c r="AN3313" s="77"/>
      <c r="AO3313" s="77"/>
      <c r="AP3313" s="77"/>
      <c r="AQ3313" s="77"/>
      <c r="AR3313" s="77"/>
      <c r="AS3313" s="77"/>
      <c r="AT3313" s="77"/>
      <c r="AU3313" s="77"/>
      <c r="AV3313" s="80" t="str">
        <f>HYPERLINK("https://pbs.twimg.com/profile_images/1241147984924082183/gZgx_hL-_normal.jpg")</f>
        <v>https://pbs.twimg.com/profile_images/1241147984924082183/gZgx_hL-_normal.jpg</v>
      </c>
      <c r="AW3313" s="82" t="s">
        <v>14909</v>
      </c>
      <c r="AX3313" s="82" t="s">
        <v>14909</v>
      </c>
      <c r="AY3313" s="77"/>
      <c r="AZ3313" s="82" t="s">
        <v>15984</v>
      </c>
      <c r="BA3313" s="82" t="s">
        <v>15984</v>
      </c>
      <c r="BB3313" s="82" t="s">
        <v>15984</v>
      </c>
      <c r="BC3313" s="82" t="s">
        <v>14909</v>
      </c>
      <c r="BD3313" s="82" t="s">
        <v>15979</v>
      </c>
      <c r="BE3313" s="77"/>
      <c r="BF3313" s="77"/>
      <c r="BG3313" s="77"/>
      <c r="BH3313" s="77"/>
      <c r="BI3313" s="77"/>
    </row>
    <row r="3314" spans="1:61" x14ac:dyDescent="0.25">
      <c r="A3314" s="62" t="s">
        <v>387</v>
      </c>
      <c r="B3314" s="62" t="s">
        <v>387</v>
      </c>
      <c r="C3314" s="63"/>
      <c r="D3314" s="64"/>
      <c r="E3314" s="65"/>
      <c r="F3314" s="66"/>
      <c r="G3314" s="63"/>
      <c r="H3314" s="67"/>
      <c r="I3314" s="68"/>
      <c r="J3314" s="68"/>
      <c r="K3314" s="32"/>
      <c r="L3314" s="75">
        <v>3314</v>
      </c>
      <c r="M3314" s="75"/>
      <c r="N3314" s="70"/>
      <c r="O3314" s="77" t="s">
        <v>179</v>
      </c>
      <c r="P3314" s="79">
        <v>45159.802083333336</v>
      </c>
      <c r="Q3314" s="77" t="s">
        <v>3984</v>
      </c>
      <c r="R3314" s="77">
        <v>0</v>
      </c>
      <c r="S3314" s="77">
        <v>1</v>
      </c>
      <c r="T3314" s="77">
        <v>0</v>
      </c>
      <c r="U3314" s="77">
        <v>0</v>
      </c>
      <c r="V3314" s="77">
        <v>530</v>
      </c>
      <c r="W3314" s="82" t="s">
        <v>5961</v>
      </c>
      <c r="X3314" s="80" t="str">
        <f>HYPERLINK("https://mla.bs/c6bb3f53")</f>
        <v>https://mla.bs/c6bb3f53</v>
      </c>
      <c r="Y3314" s="77" t="s">
        <v>6506</v>
      </c>
      <c r="Z3314" s="77"/>
      <c r="AA3314" s="77"/>
      <c r="AB3314" s="77"/>
      <c r="AC3314" s="82" t="s">
        <v>7750</v>
      </c>
      <c r="AD3314" s="77" t="s">
        <v>7788</v>
      </c>
      <c r="AE3314" s="80" t="str">
        <f>HYPERLINK("https://twitter.com/einvestidor/status/1693703263869394998")</f>
        <v>https://twitter.com/einvestidor/status/1693703263869394998</v>
      </c>
      <c r="AF3314" s="79">
        <v>45159.802083333336</v>
      </c>
      <c r="AG3314" s="85">
        <v>45159</v>
      </c>
      <c r="AH3314" s="82" t="s">
        <v>7868</v>
      </c>
      <c r="AI3314" s="77" t="b">
        <v>0</v>
      </c>
      <c r="AJ3314" s="77"/>
      <c r="AK3314" s="77"/>
      <c r="AL3314" s="77"/>
      <c r="AM3314" s="77"/>
      <c r="AN3314" s="77"/>
      <c r="AO3314" s="77"/>
      <c r="AP3314" s="77"/>
      <c r="AQ3314" s="77"/>
      <c r="AR3314" s="77"/>
      <c r="AS3314" s="77"/>
      <c r="AT3314" s="77"/>
      <c r="AU3314" s="77"/>
      <c r="AV3314" s="80" t="str">
        <f>HYPERLINK("https://pbs.twimg.com/profile_images/1241147984924082183/gZgx_hL-_normal.jpg")</f>
        <v>https://pbs.twimg.com/profile_images/1241147984924082183/gZgx_hL-_normal.jpg</v>
      </c>
      <c r="AW3314" s="82" t="s">
        <v>14910</v>
      </c>
      <c r="AX3314" s="82" t="s">
        <v>14910</v>
      </c>
      <c r="AY3314" s="77"/>
      <c r="AZ3314" s="82" t="s">
        <v>15984</v>
      </c>
      <c r="BA3314" s="82" t="s">
        <v>15984</v>
      </c>
      <c r="BB3314" s="82" t="s">
        <v>15984</v>
      </c>
      <c r="BC3314" s="82" t="s">
        <v>14910</v>
      </c>
      <c r="BD3314" s="82" t="s">
        <v>15979</v>
      </c>
      <c r="BE3314" s="77"/>
      <c r="BF3314" s="77"/>
      <c r="BG3314" s="77"/>
      <c r="BH3314" s="77"/>
      <c r="BI3314" s="77"/>
    </row>
    <row r="3315" spans="1:61" x14ac:dyDescent="0.25">
      <c r="A3315" s="62" t="s">
        <v>387</v>
      </c>
      <c r="B3315" s="62" t="s">
        <v>387</v>
      </c>
      <c r="C3315" s="63"/>
      <c r="D3315" s="64"/>
      <c r="E3315" s="65"/>
      <c r="F3315" s="66"/>
      <c r="G3315" s="63"/>
      <c r="H3315" s="67"/>
      <c r="I3315" s="68"/>
      <c r="J3315" s="68"/>
      <c r="K3315" s="32"/>
      <c r="L3315" s="75">
        <v>3315</v>
      </c>
      <c r="M3315" s="75"/>
      <c r="N3315" s="70"/>
      <c r="O3315" s="77" t="s">
        <v>179</v>
      </c>
      <c r="P3315" s="79">
        <v>45159.791666666664</v>
      </c>
      <c r="Q3315" s="77" t="s">
        <v>3985</v>
      </c>
      <c r="R3315" s="77">
        <v>0</v>
      </c>
      <c r="S3315" s="77">
        <v>1</v>
      </c>
      <c r="T3315" s="77">
        <v>0</v>
      </c>
      <c r="U3315" s="77">
        <v>0</v>
      </c>
      <c r="V3315" s="77">
        <v>511</v>
      </c>
      <c r="W3315" s="82" t="s">
        <v>4833</v>
      </c>
      <c r="X3315" s="80" t="str">
        <f>HYPERLINK("https://mla.bs/32d1565f")</f>
        <v>https://mla.bs/32d1565f</v>
      </c>
      <c r="Y3315" s="77" t="s">
        <v>6506</v>
      </c>
      <c r="Z3315" s="77"/>
      <c r="AA3315" s="77"/>
      <c r="AB3315" s="77"/>
      <c r="AC3315" s="82" t="s">
        <v>7750</v>
      </c>
      <c r="AD3315" s="77" t="s">
        <v>7788</v>
      </c>
      <c r="AE3315" s="80" t="str">
        <f>HYPERLINK("https://twitter.com/einvestidor/status/1693699490153177334")</f>
        <v>https://twitter.com/einvestidor/status/1693699490153177334</v>
      </c>
      <c r="AF3315" s="79">
        <v>45159.791666666664</v>
      </c>
      <c r="AG3315" s="85">
        <v>45159</v>
      </c>
      <c r="AH3315" s="82" t="s">
        <v>9299</v>
      </c>
      <c r="AI3315" s="77" t="b">
        <v>0</v>
      </c>
      <c r="AJ3315" s="77"/>
      <c r="AK3315" s="77"/>
      <c r="AL3315" s="77"/>
      <c r="AM3315" s="77"/>
      <c r="AN3315" s="77"/>
      <c r="AO3315" s="77"/>
      <c r="AP3315" s="77"/>
      <c r="AQ3315" s="77"/>
      <c r="AR3315" s="77"/>
      <c r="AS3315" s="77"/>
      <c r="AT3315" s="77"/>
      <c r="AU3315" s="77"/>
      <c r="AV3315" s="80" t="str">
        <f>HYPERLINK("https://pbs.twimg.com/profile_images/1241147984924082183/gZgx_hL-_normal.jpg")</f>
        <v>https://pbs.twimg.com/profile_images/1241147984924082183/gZgx_hL-_normal.jpg</v>
      </c>
      <c r="AW3315" s="82" t="s">
        <v>14911</v>
      </c>
      <c r="AX3315" s="82" t="s">
        <v>14911</v>
      </c>
      <c r="AY3315" s="77"/>
      <c r="AZ3315" s="82" t="s">
        <v>15984</v>
      </c>
      <c r="BA3315" s="82" t="s">
        <v>15984</v>
      </c>
      <c r="BB3315" s="82" t="s">
        <v>15984</v>
      </c>
      <c r="BC3315" s="82" t="s">
        <v>14911</v>
      </c>
      <c r="BD3315" s="82" t="s">
        <v>15979</v>
      </c>
      <c r="BE3315" s="77"/>
      <c r="BF3315" s="77"/>
      <c r="BG3315" s="77"/>
      <c r="BH3315" s="77"/>
      <c r="BI3315" s="77"/>
    </row>
    <row r="3316" spans="1:61" x14ac:dyDescent="0.25">
      <c r="A3316" s="62" t="s">
        <v>387</v>
      </c>
      <c r="B3316" s="62" t="s">
        <v>387</v>
      </c>
      <c r="C3316" s="63"/>
      <c r="D3316" s="64"/>
      <c r="E3316" s="65"/>
      <c r="F3316" s="66"/>
      <c r="G3316" s="63"/>
      <c r="H3316" s="67"/>
      <c r="I3316" s="68"/>
      <c r="J3316" s="68"/>
      <c r="K3316" s="32"/>
      <c r="L3316" s="75">
        <v>3316</v>
      </c>
      <c r="M3316" s="75"/>
      <c r="N3316" s="70"/>
      <c r="O3316" s="77" t="s">
        <v>179</v>
      </c>
      <c r="P3316" s="79">
        <v>45159.78125</v>
      </c>
      <c r="Q3316" s="77" t="s">
        <v>3986</v>
      </c>
      <c r="R3316" s="77">
        <v>0</v>
      </c>
      <c r="S3316" s="77">
        <v>1</v>
      </c>
      <c r="T3316" s="77">
        <v>0</v>
      </c>
      <c r="U3316" s="77">
        <v>0</v>
      </c>
      <c r="V3316" s="77">
        <v>531</v>
      </c>
      <c r="W3316" s="82" t="s">
        <v>4833</v>
      </c>
      <c r="X3316" s="80" t="str">
        <f>HYPERLINK("https://mla.bs/9ff17390")</f>
        <v>https://mla.bs/9ff17390</v>
      </c>
      <c r="Y3316" s="77" t="s">
        <v>6506</v>
      </c>
      <c r="Z3316" s="77"/>
      <c r="AA3316" s="77"/>
      <c r="AB3316" s="77"/>
      <c r="AC3316" s="82" t="s">
        <v>7750</v>
      </c>
      <c r="AD3316" s="77" t="s">
        <v>7788</v>
      </c>
      <c r="AE3316" s="80" t="str">
        <f>HYPERLINK("https://twitter.com/einvestidor/status/1693695714046640622")</f>
        <v>https://twitter.com/einvestidor/status/1693695714046640622</v>
      </c>
      <c r="AF3316" s="79">
        <v>45159.78125</v>
      </c>
      <c r="AG3316" s="85">
        <v>45159</v>
      </c>
      <c r="AH3316" s="82" t="s">
        <v>9581</v>
      </c>
      <c r="AI3316" s="77" t="b">
        <v>0</v>
      </c>
      <c r="AJ3316" s="77"/>
      <c r="AK3316" s="77"/>
      <c r="AL3316" s="77"/>
      <c r="AM3316" s="77"/>
      <c r="AN3316" s="77"/>
      <c r="AO3316" s="77"/>
      <c r="AP3316" s="77"/>
      <c r="AQ3316" s="77"/>
      <c r="AR3316" s="77"/>
      <c r="AS3316" s="77"/>
      <c r="AT3316" s="77"/>
      <c r="AU3316" s="77"/>
      <c r="AV3316" s="80" t="str">
        <f>HYPERLINK("https://pbs.twimg.com/profile_images/1241147984924082183/gZgx_hL-_normal.jpg")</f>
        <v>https://pbs.twimg.com/profile_images/1241147984924082183/gZgx_hL-_normal.jpg</v>
      </c>
      <c r="AW3316" s="82" t="s">
        <v>14912</v>
      </c>
      <c r="AX3316" s="82" t="s">
        <v>14912</v>
      </c>
      <c r="AY3316" s="77"/>
      <c r="AZ3316" s="82" t="s">
        <v>15984</v>
      </c>
      <c r="BA3316" s="82" t="s">
        <v>15984</v>
      </c>
      <c r="BB3316" s="82" t="s">
        <v>15984</v>
      </c>
      <c r="BC3316" s="82" t="s">
        <v>14912</v>
      </c>
      <c r="BD3316" s="82" t="s">
        <v>15979</v>
      </c>
      <c r="BE3316" s="77"/>
      <c r="BF3316" s="77"/>
      <c r="BG3316" s="77"/>
      <c r="BH3316" s="77"/>
      <c r="BI3316" s="77"/>
    </row>
    <row r="3317" spans="1:61" x14ac:dyDescent="0.25">
      <c r="A3317" s="62" t="s">
        <v>387</v>
      </c>
      <c r="B3317" s="62" t="s">
        <v>387</v>
      </c>
      <c r="C3317" s="63"/>
      <c r="D3317" s="64"/>
      <c r="E3317" s="65"/>
      <c r="F3317" s="66"/>
      <c r="G3317" s="63"/>
      <c r="H3317" s="67"/>
      <c r="I3317" s="68"/>
      <c r="J3317" s="68"/>
      <c r="K3317" s="32"/>
      <c r="L3317" s="75">
        <v>3317</v>
      </c>
      <c r="M3317" s="75"/>
      <c r="N3317" s="70"/>
      <c r="O3317" s="77" t="s">
        <v>179</v>
      </c>
      <c r="P3317" s="79">
        <v>45159.770833333336</v>
      </c>
      <c r="Q3317" s="77" t="s">
        <v>3987</v>
      </c>
      <c r="R3317" s="77">
        <v>0</v>
      </c>
      <c r="S3317" s="77">
        <v>1</v>
      </c>
      <c r="T3317" s="77">
        <v>1</v>
      </c>
      <c r="U3317" s="77">
        <v>0</v>
      </c>
      <c r="V3317" s="77">
        <v>497</v>
      </c>
      <c r="W3317" s="82" t="s">
        <v>5959</v>
      </c>
      <c r="X3317" s="80" t="str">
        <f>HYPERLINK("https://mla.bs/753e99e4")</f>
        <v>https://mla.bs/753e99e4</v>
      </c>
      <c r="Y3317" s="77" t="s">
        <v>6506</v>
      </c>
      <c r="Z3317" s="77"/>
      <c r="AA3317" s="77"/>
      <c r="AB3317" s="77"/>
      <c r="AC3317" s="82" t="s">
        <v>7750</v>
      </c>
      <c r="AD3317" s="77" t="s">
        <v>7788</v>
      </c>
      <c r="AE3317" s="80" t="str">
        <f>HYPERLINK("https://twitter.com/einvestidor/status/1693691938988585139")</f>
        <v>https://twitter.com/einvestidor/status/1693691938988585139</v>
      </c>
      <c r="AF3317" s="79">
        <v>45159.770833333336</v>
      </c>
      <c r="AG3317" s="85">
        <v>45159</v>
      </c>
      <c r="AH3317" s="82" t="s">
        <v>7930</v>
      </c>
      <c r="AI3317" s="77" t="b">
        <v>0</v>
      </c>
      <c r="AJ3317" s="77"/>
      <c r="AK3317" s="77"/>
      <c r="AL3317" s="77"/>
      <c r="AM3317" s="77"/>
      <c r="AN3317" s="77"/>
      <c r="AO3317" s="77"/>
      <c r="AP3317" s="77"/>
      <c r="AQ3317" s="77"/>
      <c r="AR3317" s="77"/>
      <c r="AS3317" s="77"/>
      <c r="AT3317" s="77"/>
      <c r="AU3317" s="77"/>
      <c r="AV3317" s="80" t="str">
        <f>HYPERLINK("https://pbs.twimg.com/profile_images/1241147984924082183/gZgx_hL-_normal.jpg")</f>
        <v>https://pbs.twimg.com/profile_images/1241147984924082183/gZgx_hL-_normal.jpg</v>
      </c>
      <c r="AW3317" s="82" t="s">
        <v>14913</v>
      </c>
      <c r="AX3317" s="82" t="s">
        <v>14913</v>
      </c>
      <c r="AY3317" s="77"/>
      <c r="AZ3317" s="82" t="s">
        <v>15984</v>
      </c>
      <c r="BA3317" s="82" t="s">
        <v>15984</v>
      </c>
      <c r="BB3317" s="82" t="s">
        <v>15984</v>
      </c>
      <c r="BC3317" s="82" t="s">
        <v>14913</v>
      </c>
      <c r="BD3317" s="82" t="s">
        <v>15979</v>
      </c>
      <c r="BE3317" s="77"/>
      <c r="BF3317" s="77"/>
      <c r="BG3317" s="77"/>
      <c r="BH3317" s="77"/>
      <c r="BI3317" s="77"/>
    </row>
    <row r="3318" spans="1:61" x14ac:dyDescent="0.25">
      <c r="A3318" s="62" t="s">
        <v>387</v>
      </c>
      <c r="B3318" s="62" t="s">
        <v>387</v>
      </c>
      <c r="C3318" s="63"/>
      <c r="D3318" s="64"/>
      <c r="E3318" s="65"/>
      <c r="F3318" s="66"/>
      <c r="G3318" s="63"/>
      <c r="H3318" s="67"/>
      <c r="I3318" s="68"/>
      <c r="J3318" s="68"/>
      <c r="K3318" s="32"/>
      <c r="L3318" s="75">
        <v>3318</v>
      </c>
      <c r="M3318" s="75"/>
      <c r="N3318" s="70"/>
      <c r="O3318" s="77" t="s">
        <v>179</v>
      </c>
      <c r="P3318" s="79">
        <v>45159.75</v>
      </c>
      <c r="Q3318" s="77" t="s">
        <v>3988</v>
      </c>
      <c r="R3318" s="77">
        <v>0</v>
      </c>
      <c r="S3318" s="77">
        <v>0</v>
      </c>
      <c r="T3318" s="77">
        <v>0</v>
      </c>
      <c r="U3318" s="77">
        <v>0</v>
      </c>
      <c r="V3318" s="77">
        <v>446</v>
      </c>
      <c r="W3318" s="82" t="s">
        <v>6279</v>
      </c>
      <c r="X3318" s="80" t="str">
        <f>HYPERLINK("https://mla.bs/4c741a4b")</f>
        <v>https://mla.bs/4c741a4b</v>
      </c>
      <c r="Y3318" s="77" t="s">
        <v>6506</v>
      </c>
      <c r="Z3318" s="77"/>
      <c r="AA3318" s="77"/>
      <c r="AB3318" s="77"/>
      <c r="AC3318" s="82" t="s">
        <v>7750</v>
      </c>
      <c r="AD3318" s="77" t="s">
        <v>7788</v>
      </c>
      <c r="AE3318" s="80" t="str">
        <f>HYPERLINK("https://twitter.com/einvestidor/status/1693684391959277927")</f>
        <v>https://twitter.com/einvestidor/status/1693684391959277927</v>
      </c>
      <c r="AF3318" s="79">
        <v>45159.75</v>
      </c>
      <c r="AG3318" s="85">
        <v>45159</v>
      </c>
      <c r="AH3318" s="82" t="s">
        <v>7934</v>
      </c>
      <c r="AI3318" s="77" t="b">
        <v>0</v>
      </c>
      <c r="AJ3318" s="77"/>
      <c r="AK3318" s="77"/>
      <c r="AL3318" s="77"/>
      <c r="AM3318" s="77"/>
      <c r="AN3318" s="77"/>
      <c r="AO3318" s="77"/>
      <c r="AP3318" s="77"/>
      <c r="AQ3318" s="77"/>
      <c r="AR3318" s="77"/>
      <c r="AS3318" s="77"/>
      <c r="AT3318" s="77"/>
      <c r="AU3318" s="77"/>
      <c r="AV3318" s="80" t="str">
        <f>HYPERLINK("https://pbs.twimg.com/profile_images/1241147984924082183/gZgx_hL-_normal.jpg")</f>
        <v>https://pbs.twimg.com/profile_images/1241147984924082183/gZgx_hL-_normal.jpg</v>
      </c>
      <c r="AW3318" s="82" t="s">
        <v>14914</v>
      </c>
      <c r="AX3318" s="82" t="s">
        <v>14914</v>
      </c>
      <c r="AY3318" s="77"/>
      <c r="AZ3318" s="82" t="s">
        <v>15984</v>
      </c>
      <c r="BA3318" s="82" t="s">
        <v>15984</v>
      </c>
      <c r="BB3318" s="82" t="s">
        <v>15984</v>
      </c>
      <c r="BC3318" s="82" t="s">
        <v>14914</v>
      </c>
      <c r="BD3318" s="82" t="s">
        <v>15979</v>
      </c>
      <c r="BE3318" s="77"/>
      <c r="BF3318" s="77"/>
      <c r="BG3318" s="77"/>
      <c r="BH3318" s="77"/>
      <c r="BI3318" s="77"/>
    </row>
    <row r="3319" spans="1:61" x14ac:dyDescent="0.25">
      <c r="A3319" s="62" t="s">
        <v>387</v>
      </c>
      <c r="B3319" s="62" t="s">
        <v>387</v>
      </c>
      <c r="C3319" s="63"/>
      <c r="D3319" s="64"/>
      <c r="E3319" s="65"/>
      <c r="F3319" s="66"/>
      <c r="G3319" s="63"/>
      <c r="H3319" s="67"/>
      <c r="I3319" s="68"/>
      <c r="J3319" s="68"/>
      <c r="K3319" s="32"/>
      <c r="L3319" s="75">
        <v>3319</v>
      </c>
      <c r="M3319" s="75"/>
      <c r="N3319" s="70"/>
      <c r="O3319" s="77" t="s">
        <v>179</v>
      </c>
      <c r="P3319" s="79">
        <v>45159.746944444443</v>
      </c>
      <c r="Q3319" s="77" t="s">
        <v>3989</v>
      </c>
      <c r="R3319" s="77">
        <v>0</v>
      </c>
      <c r="S3319" s="77">
        <v>1</v>
      </c>
      <c r="T3319" s="77">
        <v>0</v>
      </c>
      <c r="U3319" s="77">
        <v>0</v>
      </c>
      <c r="V3319" s="77">
        <v>550</v>
      </c>
      <c r="W3319" s="82" t="s">
        <v>4833</v>
      </c>
      <c r="X3319" s="80" t="str">
        <f>HYPERLINK("https://mla.bs/756d15d8")</f>
        <v>https://mla.bs/756d15d8</v>
      </c>
      <c r="Y3319" s="77" t="s">
        <v>6506</v>
      </c>
      <c r="Z3319" s="77"/>
      <c r="AA3319" s="77"/>
      <c r="AB3319" s="77"/>
      <c r="AC3319" s="82" t="s">
        <v>7750</v>
      </c>
      <c r="AD3319" s="77" t="s">
        <v>7788</v>
      </c>
      <c r="AE3319" s="80" t="str">
        <f>HYPERLINK("https://twitter.com/einvestidor/status/1693683285270900919")</f>
        <v>https://twitter.com/einvestidor/status/1693683285270900919</v>
      </c>
      <c r="AF3319" s="79">
        <v>45159.746944444443</v>
      </c>
      <c r="AG3319" s="85">
        <v>45159</v>
      </c>
      <c r="AH3319" s="82" t="s">
        <v>10020</v>
      </c>
      <c r="AI3319" s="77" t="b">
        <v>0</v>
      </c>
      <c r="AJ3319" s="77"/>
      <c r="AK3319" s="77"/>
      <c r="AL3319" s="77"/>
      <c r="AM3319" s="77"/>
      <c r="AN3319" s="77"/>
      <c r="AO3319" s="77"/>
      <c r="AP3319" s="77"/>
      <c r="AQ3319" s="77"/>
      <c r="AR3319" s="77"/>
      <c r="AS3319" s="77"/>
      <c r="AT3319" s="77"/>
      <c r="AU3319" s="77"/>
      <c r="AV3319" s="80" t="str">
        <f>HYPERLINK("https://pbs.twimg.com/profile_images/1241147984924082183/gZgx_hL-_normal.jpg")</f>
        <v>https://pbs.twimg.com/profile_images/1241147984924082183/gZgx_hL-_normal.jpg</v>
      </c>
      <c r="AW3319" s="82" t="s">
        <v>14915</v>
      </c>
      <c r="AX3319" s="82" t="s">
        <v>14915</v>
      </c>
      <c r="AY3319" s="77"/>
      <c r="AZ3319" s="82" t="s">
        <v>15984</v>
      </c>
      <c r="BA3319" s="82" t="s">
        <v>15984</v>
      </c>
      <c r="BB3319" s="82" t="s">
        <v>15984</v>
      </c>
      <c r="BC3319" s="82" t="s">
        <v>14915</v>
      </c>
      <c r="BD3319" s="82" t="s">
        <v>15979</v>
      </c>
      <c r="BE3319" s="77"/>
      <c r="BF3319" s="77"/>
      <c r="BG3319" s="77"/>
      <c r="BH3319" s="77"/>
      <c r="BI3319" s="77"/>
    </row>
    <row r="3320" spans="1:61" x14ac:dyDescent="0.25">
      <c r="A3320" s="62" t="s">
        <v>387</v>
      </c>
      <c r="B3320" s="62" t="s">
        <v>387</v>
      </c>
      <c r="C3320" s="63"/>
      <c r="D3320" s="64"/>
      <c r="E3320" s="65"/>
      <c r="F3320" s="66"/>
      <c r="G3320" s="63"/>
      <c r="H3320" s="67"/>
      <c r="I3320" s="68"/>
      <c r="J3320" s="68"/>
      <c r="K3320" s="32"/>
      <c r="L3320" s="75">
        <v>3320</v>
      </c>
      <c r="M3320" s="75"/>
      <c r="N3320" s="70"/>
      <c r="O3320" s="77" t="s">
        <v>179</v>
      </c>
      <c r="P3320" s="79">
        <v>45159.739583333336</v>
      </c>
      <c r="Q3320" s="77" t="s">
        <v>3990</v>
      </c>
      <c r="R3320" s="77">
        <v>0</v>
      </c>
      <c r="S3320" s="77">
        <v>0</v>
      </c>
      <c r="T3320" s="77">
        <v>0</v>
      </c>
      <c r="U3320" s="77">
        <v>0</v>
      </c>
      <c r="V3320" s="77">
        <v>495</v>
      </c>
      <c r="W3320" s="82" t="s">
        <v>6280</v>
      </c>
      <c r="X3320" s="80" t="str">
        <f>HYPERLINK("https://mla.bs/b472ccde")</f>
        <v>https://mla.bs/b472ccde</v>
      </c>
      <c r="Y3320" s="77" t="s">
        <v>6506</v>
      </c>
      <c r="Z3320" s="77"/>
      <c r="AA3320" s="77"/>
      <c r="AB3320" s="77"/>
      <c r="AC3320" s="82" t="s">
        <v>7750</v>
      </c>
      <c r="AD3320" s="77" t="s">
        <v>7788</v>
      </c>
      <c r="AE3320" s="80" t="str">
        <f>HYPERLINK("https://twitter.com/einvestidor/status/1693680614631731444")</f>
        <v>https://twitter.com/einvestidor/status/1693680614631731444</v>
      </c>
      <c r="AF3320" s="79">
        <v>45159.739583333336</v>
      </c>
      <c r="AG3320" s="85">
        <v>45159</v>
      </c>
      <c r="AH3320" s="82" t="s">
        <v>9626</v>
      </c>
      <c r="AI3320" s="77" t="b">
        <v>0</v>
      </c>
      <c r="AJ3320" s="77"/>
      <c r="AK3320" s="77"/>
      <c r="AL3320" s="77"/>
      <c r="AM3320" s="77"/>
      <c r="AN3320" s="77"/>
      <c r="AO3320" s="77"/>
      <c r="AP3320" s="77"/>
      <c r="AQ3320" s="77"/>
      <c r="AR3320" s="77"/>
      <c r="AS3320" s="77"/>
      <c r="AT3320" s="77"/>
      <c r="AU3320" s="77"/>
      <c r="AV3320" s="80" t="str">
        <f>HYPERLINK("https://pbs.twimg.com/profile_images/1241147984924082183/gZgx_hL-_normal.jpg")</f>
        <v>https://pbs.twimg.com/profile_images/1241147984924082183/gZgx_hL-_normal.jpg</v>
      </c>
      <c r="AW3320" s="82" t="s">
        <v>14916</v>
      </c>
      <c r="AX3320" s="82" t="s">
        <v>14916</v>
      </c>
      <c r="AY3320" s="77"/>
      <c r="AZ3320" s="82" t="s">
        <v>15984</v>
      </c>
      <c r="BA3320" s="82" t="s">
        <v>15984</v>
      </c>
      <c r="BB3320" s="82" t="s">
        <v>15984</v>
      </c>
      <c r="BC3320" s="82" t="s">
        <v>14916</v>
      </c>
      <c r="BD3320" s="82" t="s">
        <v>15979</v>
      </c>
      <c r="BE3320" s="77"/>
      <c r="BF3320" s="77"/>
      <c r="BG3320" s="77"/>
      <c r="BH3320" s="77"/>
      <c r="BI3320" s="77"/>
    </row>
    <row r="3321" spans="1:61" x14ac:dyDescent="0.25">
      <c r="A3321" s="62" t="s">
        <v>387</v>
      </c>
      <c r="B3321" s="62" t="s">
        <v>387</v>
      </c>
      <c r="C3321" s="63"/>
      <c r="D3321" s="64"/>
      <c r="E3321" s="65"/>
      <c r="F3321" s="66"/>
      <c r="G3321" s="63"/>
      <c r="H3321" s="67"/>
      <c r="I3321" s="68"/>
      <c r="J3321" s="68"/>
      <c r="K3321" s="32"/>
      <c r="L3321" s="75">
        <v>3321</v>
      </c>
      <c r="M3321" s="75"/>
      <c r="N3321" s="70"/>
      <c r="O3321" s="77" t="s">
        <v>179</v>
      </c>
      <c r="P3321" s="79">
        <v>45140.864583333336</v>
      </c>
      <c r="Q3321" s="77" t="s">
        <v>3991</v>
      </c>
      <c r="R3321" s="77">
        <v>0</v>
      </c>
      <c r="S3321" s="77">
        <v>2</v>
      </c>
      <c r="T3321" s="77">
        <v>0</v>
      </c>
      <c r="U3321" s="77">
        <v>0</v>
      </c>
      <c r="V3321" s="77">
        <v>450</v>
      </c>
      <c r="W3321" s="82" t="s">
        <v>4833</v>
      </c>
      <c r="X3321" s="80" t="str">
        <f>HYPERLINK("https://mla.bs/db9f82a6")</f>
        <v>https://mla.bs/db9f82a6</v>
      </c>
      <c r="Y3321" s="77" t="s">
        <v>6506</v>
      </c>
      <c r="Z3321" s="77"/>
      <c r="AA3321" s="77"/>
      <c r="AB3321" s="77"/>
      <c r="AC3321" s="82" t="s">
        <v>7754</v>
      </c>
      <c r="AD3321" s="77" t="s">
        <v>7788</v>
      </c>
      <c r="AE3321" s="80" t="str">
        <f>HYPERLINK("https://twitter.com/einvestidor/status/1686840543786287104")</f>
        <v>https://twitter.com/einvestidor/status/1686840543786287104</v>
      </c>
      <c r="AF3321" s="79">
        <v>45140.864583333336</v>
      </c>
      <c r="AG3321" s="85">
        <v>45140</v>
      </c>
      <c r="AH3321" s="82" t="s">
        <v>9596</v>
      </c>
      <c r="AI3321" s="77" t="b">
        <v>0</v>
      </c>
      <c r="AJ3321" s="77"/>
      <c r="AK3321" s="77"/>
      <c r="AL3321" s="77"/>
      <c r="AM3321" s="77"/>
      <c r="AN3321" s="77"/>
      <c r="AO3321" s="77"/>
      <c r="AP3321" s="77"/>
      <c r="AQ3321" s="77"/>
      <c r="AR3321" s="77"/>
      <c r="AS3321" s="77"/>
      <c r="AT3321" s="77"/>
      <c r="AU3321" s="77"/>
      <c r="AV3321" s="80" t="str">
        <f>HYPERLINK("https://pbs.twimg.com/profile_images/1241147984924082183/gZgx_hL-_normal.jpg")</f>
        <v>https://pbs.twimg.com/profile_images/1241147984924082183/gZgx_hL-_normal.jpg</v>
      </c>
      <c r="AW3321" s="82" t="s">
        <v>14917</v>
      </c>
      <c r="AX3321" s="82" t="s">
        <v>14917</v>
      </c>
      <c r="AY3321" s="77"/>
      <c r="AZ3321" s="82" t="s">
        <v>15984</v>
      </c>
      <c r="BA3321" s="82" t="s">
        <v>15984</v>
      </c>
      <c r="BB3321" s="82" t="s">
        <v>15984</v>
      </c>
      <c r="BC3321" s="82" t="s">
        <v>14917</v>
      </c>
      <c r="BD3321" s="82" t="s">
        <v>15979</v>
      </c>
      <c r="BE3321" s="77"/>
      <c r="BF3321" s="77"/>
      <c r="BG3321" s="77"/>
      <c r="BH3321" s="77"/>
      <c r="BI3321" s="77"/>
    </row>
    <row r="3322" spans="1:61" x14ac:dyDescent="0.25">
      <c r="A3322" s="62" t="s">
        <v>387</v>
      </c>
      <c r="B3322" s="62" t="s">
        <v>387</v>
      </c>
      <c r="C3322" s="63"/>
      <c r="D3322" s="64"/>
      <c r="E3322" s="65"/>
      <c r="F3322" s="66"/>
      <c r="G3322" s="63"/>
      <c r="H3322" s="67"/>
      <c r="I3322" s="68"/>
      <c r="J3322" s="68"/>
      <c r="K3322" s="32"/>
      <c r="L3322" s="75">
        <v>3322</v>
      </c>
      <c r="M3322" s="75"/>
      <c r="N3322" s="70"/>
      <c r="O3322" s="77" t="s">
        <v>179</v>
      </c>
      <c r="P3322" s="79">
        <v>45140.854166666664</v>
      </c>
      <c r="Q3322" s="77" t="s">
        <v>3992</v>
      </c>
      <c r="R3322" s="77">
        <v>1</v>
      </c>
      <c r="S3322" s="77">
        <v>2</v>
      </c>
      <c r="T3322" s="77">
        <v>0</v>
      </c>
      <c r="U3322" s="77">
        <v>0</v>
      </c>
      <c r="V3322" s="77">
        <v>527</v>
      </c>
      <c r="W3322" s="82" t="s">
        <v>4833</v>
      </c>
      <c r="X3322" s="80" t="str">
        <f>HYPERLINK("https://mla.bs/850a709d")</f>
        <v>https://mla.bs/850a709d</v>
      </c>
      <c r="Y3322" s="77" t="s">
        <v>6506</v>
      </c>
      <c r="Z3322" s="77"/>
      <c r="AA3322" s="77"/>
      <c r="AB3322" s="77"/>
      <c r="AC3322" s="82" t="s">
        <v>7754</v>
      </c>
      <c r="AD3322" s="77" t="s">
        <v>7788</v>
      </c>
      <c r="AE3322" s="80" t="str">
        <f>HYPERLINK("https://twitter.com/einvestidor/status/1686836770220933120")</f>
        <v>https://twitter.com/einvestidor/status/1686836770220933120</v>
      </c>
      <c r="AF3322" s="79">
        <v>45140.854166666664</v>
      </c>
      <c r="AG3322" s="85">
        <v>45140</v>
      </c>
      <c r="AH3322" s="82" t="s">
        <v>8090</v>
      </c>
      <c r="AI3322" s="77" t="b">
        <v>0</v>
      </c>
      <c r="AJ3322" s="77"/>
      <c r="AK3322" s="77"/>
      <c r="AL3322" s="77"/>
      <c r="AM3322" s="77"/>
      <c r="AN3322" s="77"/>
      <c r="AO3322" s="77"/>
      <c r="AP3322" s="77"/>
      <c r="AQ3322" s="77"/>
      <c r="AR3322" s="77"/>
      <c r="AS3322" s="77"/>
      <c r="AT3322" s="77"/>
      <c r="AU3322" s="77"/>
      <c r="AV3322" s="80" t="str">
        <f>HYPERLINK("https://pbs.twimg.com/profile_images/1241147984924082183/gZgx_hL-_normal.jpg")</f>
        <v>https://pbs.twimg.com/profile_images/1241147984924082183/gZgx_hL-_normal.jpg</v>
      </c>
      <c r="AW3322" s="82" t="s">
        <v>14918</v>
      </c>
      <c r="AX3322" s="82" t="s">
        <v>14918</v>
      </c>
      <c r="AY3322" s="77"/>
      <c r="AZ3322" s="82" t="s">
        <v>15984</v>
      </c>
      <c r="BA3322" s="82" t="s">
        <v>15984</v>
      </c>
      <c r="BB3322" s="82" t="s">
        <v>15984</v>
      </c>
      <c r="BC3322" s="82" t="s">
        <v>14918</v>
      </c>
      <c r="BD3322" s="82" t="s">
        <v>15979</v>
      </c>
      <c r="BE3322" s="77"/>
      <c r="BF3322" s="77"/>
      <c r="BG3322" s="77"/>
      <c r="BH3322" s="77"/>
      <c r="BI3322" s="77"/>
    </row>
    <row r="3323" spans="1:61" x14ac:dyDescent="0.25">
      <c r="A3323" s="62" t="s">
        <v>387</v>
      </c>
      <c r="B3323" s="62" t="s">
        <v>387</v>
      </c>
      <c r="C3323" s="63"/>
      <c r="D3323" s="64"/>
      <c r="E3323" s="65"/>
      <c r="F3323" s="66"/>
      <c r="G3323" s="63"/>
      <c r="H3323" s="67"/>
      <c r="I3323" s="68"/>
      <c r="J3323" s="68"/>
      <c r="K3323" s="32"/>
      <c r="L3323" s="75">
        <v>3323</v>
      </c>
      <c r="M3323" s="75"/>
      <c r="N3323" s="70"/>
      <c r="O3323" s="77" t="s">
        <v>179</v>
      </c>
      <c r="P3323" s="79">
        <v>45140.822916666664</v>
      </c>
      <c r="Q3323" s="77" t="s">
        <v>3993</v>
      </c>
      <c r="R3323" s="77">
        <v>1</v>
      </c>
      <c r="S3323" s="77">
        <v>1</v>
      </c>
      <c r="T3323" s="77">
        <v>0</v>
      </c>
      <c r="U3323" s="77">
        <v>0</v>
      </c>
      <c r="V3323" s="77">
        <v>499</v>
      </c>
      <c r="W3323" s="82" t="s">
        <v>4833</v>
      </c>
      <c r="X3323" s="80" t="str">
        <f>HYPERLINK("https://mla.bs/17b59a80")</f>
        <v>https://mla.bs/17b59a80</v>
      </c>
      <c r="Y3323" s="77" t="s">
        <v>6506</v>
      </c>
      <c r="Z3323" s="77"/>
      <c r="AA3323" s="77"/>
      <c r="AB3323" s="77"/>
      <c r="AC3323" s="82" t="s">
        <v>7754</v>
      </c>
      <c r="AD3323" s="77" t="s">
        <v>7788</v>
      </c>
      <c r="AE3323" s="80" t="str">
        <f>HYPERLINK("https://twitter.com/einvestidor/status/1686825444186914818")</f>
        <v>https://twitter.com/einvestidor/status/1686825444186914818</v>
      </c>
      <c r="AF3323" s="79">
        <v>45140.822916666664</v>
      </c>
      <c r="AG3323" s="85">
        <v>45140</v>
      </c>
      <c r="AH3323" s="82" t="s">
        <v>9579</v>
      </c>
      <c r="AI3323" s="77" t="b">
        <v>0</v>
      </c>
      <c r="AJ3323" s="77"/>
      <c r="AK3323" s="77"/>
      <c r="AL3323" s="77"/>
      <c r="AM3323" s="77"/>
      <c r="AN3323" s="77"/>
      <c r="AO3323" s="77"/>
      <c r="AP3323" s="77"/>
      <c r="AQ3323" s="77"/>
      <c r="AR3323" s="77"/>
      <c r="AS3323" s="77"/>
      <c r="AT3323" s="77"/>
      <c r="AU3323" s="77"/>
      <c r="AV3323" s="80" t="str">
        <f>HYPERLINK("https://pbs.twimg.com/profile_images/1241147984924082183/gZgx_hL-_normal.jpg")</f>
        <v>https://pbs.twimg.com/profile_images/1241147984924082183/gZgx_hL-_normal.jpg</v>
      </c>
      <c r="AW3323" s="82" t="s">
        <v>14919</v>
      </c>
      <c r="AX3323" s="82" t="s">
        <v>14919</v>
      </c>
      <c r="AY3323" s="77"/>
      <c r="AZ3323" s="82" t="s">
        <v>15984</v>
      </c>
      <c r="BA3323" s="82" t="s">
        <v>15984</v>
      </c>
      <c r="BB3323" s="82" t="s">
        <v>15984</v>
      </c>
      <c r="BC3323" s="82" t="s">
        <v>14919</v>
      </c>
      <c r="BD3323" s="82" t="s">
        <v>15979</v>
      </c>
      <c r="BE3323" s="77"/>
      <c r="BF3323" s="77"/>
      <c r="BG3323" s="77"/>
      <c r="BH3323" s="77"/>
      <c r="BI3323" s="77"/>
    </row>
    <row r="3324" spans="1:61" x14ac:dyDescent="0.25">
      <c r="A3324" s="62" t="s">
        <v>387</v>
      </c>
      <c r="B3324" s="62" t="s">
        <v>387</v>
      </c>
      <c r="C3324" s="63"/>
      <c r="D3324" s="64"/>
      <c r="E3324" s="65"/>
      <c r="F3324" s="66"/>
      <c r="G3324" s="63"/>
      <c r="H3324" s="67"/>
      <c r="I3324" s="68"/>
      <c r="J3324" s="68"/>
      <c r="K3324" s="32"/>
      <c r="L3324" s="75">
        <v>3324</v>
      </c>
      <c r="M3324" s="75"/>
      <c r="N3324" s="70"/>
      <c r="O3324" s="77" t="s">
        <v>179</v>
      </c>
      <c r="P3324" s="79">
        <v>45140.8125</v>
      </c>
      <c r="Q3324" s="77" t="s">
        <v>3994</v>
      </c>
      <c r="R3324" s="77">
        <v>0</v>
      </c>
      <c r="S3324" s="77">
        <v>4</v>
      </c>
      <c r="T3324" s="77">
        <v>0</v>
      </c>
      <c r="U3324" s="77">
        <v>0</v>
      </c>
      <c r="V3324" s="77">
        <v>637</v>
      </c>
      <c r="W3324" s="82" t="s">
        <v>4833</v>
      </c>
      <c r="X3324" s="80" t="str">
        <f>HYPERLINK("https://mla.bs/e1063915")</f>
        <v>https://mla.bs/e1063915</v>
      </c>
      <c r="Y3324" s="77" t="s">
        <v>6506</v>
      </c>
      <c r="Z3324" s="77"/>
      <c r="AA3324" s="77"/>
      <c r="AB3324" s="77"/>
      <c r="AC3324" s="82" t="s">
        <v>7754</v>
      </c>
      <c r="AD3324" s="77" t="s">
        <v>7788</v>
      </c>
      <c r="AE3324" s="80" t="str">
        <f>HYPERLINK("https://twitter.com/einvestidor/status/1686821670231621649")</f>
        <v>https://twitter.com/einvestidor/status/1686821670231621649</v>
      </c>
      <c r="AF3324" s="79">
        <v>45140.8125</v>
      </c>
      <c r="AG3324" s="85">
        <v>45140</v>
      </c>
      <c r="AH3324" s="82" t="s">
        <v>8281</v>
      </c>
      <c r="AI3324" s="77" t="b">
        <v>0</v>
      </c>
      <c r="AJ3324" s="77"/>
      <c r="AK3324" s="77"/>
      <c r="AL3324" s="77"/>
      <c r="AM3324" s="77"/>
      <c r="AN3324" s="77"/>
      <c r="AO3324" s="77"/>
      <c r="AP3324" s="77"/>
      <c r="AQ3324" s="77"/>
      <c r="AR3324" s="77"/>
      <c r="AS3324" s="77"/>
      <c r="AT3324" s="77"/>
      <c r="AU3324" s="77"/>
      <c r="AV3324" s="80" t="str">
        <f>HYPERLINK("https://pbs.twimg.com/profile_images/1241147984924082183/gZgx_hL-_normal.jpg")</f>
        <v>https://pbs.twimg.com/profile_images/1241147984924082183/gZgx_hL-_normal.jpg</v>
      </c>
      <c r="AW3324" s="82" t="s">
        <v>14920</v>
      </c>
      <c r="AX3324" s="82" t="s">
        <v>14920</v>
      </c>
      <c r="AY3324" s="77"/>
      <c r="AZ3324" s="82" t="s">
        <v>15984</v>
      </c>
      <c r="BA3324" s="82" t="s">
        <v>15984</v>
      </c>
      <c r="BB3324" s="82" t="s">
        <v>15984</v>
      </c>
      <c r="BC3324" s="82" t="s">
        <v>14920</v>
      </c>
      <c r="BD3324" s="82" t="s">
        <v>15979</v>
      </c>
      <c r="BE3324" s="77"/>
      <c r="BF3324" s="77"/>
      <c r="BG3324" s="77"/>
      <c r="BH3324" s="77"/>
      <c r="BI3324" s="77"/>
    </row>
    <row r="3325" spans="1:61" x14ac:dyDescent="0.25">
      <c r="A3325" s="62" t="s">
        <v>387</v>
      </c>
      <c r="B3325" s="62" t="s">
        <v>387</v>
      </c>
      <c r="C3325" s="63"/>
      <c r="D3325" s="64"/>
      <c r="E3325" s="65"/>
      <c r="F3325" s="66"/>
      <c r="G3325" s="63"/>
      <c r="H3325" s="67"/>
      <c r="I3325" s="68"/>
      <c r="J3325" s="68"/>
      <c r="K3325" s="32"/>
      <c r="L3325" s="75">
        <v>3325</v>
      </c>
      <c r="M3325" s="75"/>
      <c r="N3325" s="70"/>
      <c r="O3325" s="77" t="s">
        <v>179</v>
      </c>
      <c r="P3325" s="79">
        <v>45140.802083333336</v>
      </c>
      <c r="Q3325" s="77" t="s">
        <v>3995</v>
      </c>
      <c r="R3325" s="77">
        <v>0</v>
      </c>
      <c r="S3325" s="77">
        <v>2</v>
      </c>
      <c r="T3325" s="77">
        <v>0</v>
      </c>
      <c r="U3325" s="77">
        <v>0</v>
      </c>
      <c r="V3325" s="77">
        <v>481</v>
      </c>
      <c r="W3325" s="82" t="s">
        <v>4833</v>
      </c>
      <c r="X3325" s="80" t="str">
        <f>HYPERLINK("https://mla.bs/37f263df")</f>
        <v>https://mla.bs/37f263df</v>
      </c>
      <c r="Y3325" s="77" t="s">
        <v>6506</v>
      </c>
      <c r="Z3325" s="77"/>
      <c r="AA3325" s="77"/>
      <c r="AB3325" s="77"/>
      <c r="AC3325" s="82" t="s">
        <v>7754</v>
      </c>
      <c r="AD3325" s="77" t="s">
        <v>7788</v>
      </c>
      <c r="AE3325" s="80" t="str">
        <f>HYPERLINK("https://twitter.com/einvestidor/status/1686817894271696919")</f>
        <v>https://twitter.com/einvestidor/status/1686817894271696919</v>
      </c>
      <c r="AF3325" s="79">
        <v>45140.802083333336</v>
      </c>
      <c r="AG3325" s="85">
        <v>45140</v>
      </c>
      <c r="AH3325" s="82" t="s">
        <v>7868</v>
      </c>
      <c r="AI3325" s="77" t="b">
        <v>0</v>
      </c>
      <c r="AJ3325" s="77"/>
      <c r="AK3325" s="77"/>
      <c r="AL3325" s="77"/>
      <c r="AM3325" s="77"/>
      <c r="AN3325" s="77"/>
      <c r="AO3325" s="77"/>
      <c r="AP3325" s="77"/>
      <c r="AQ3325" s="77"/>
      <c r="AR3325" s="77"/>
      <c r="AS3325" s="77"/>
      <c r="AT3325" s="77"/>
      <c r="AU3325" s="77"/>
      <c r="AV3325" s="80" t="str">
        <f>HYPERLINK("https://pbs.twimg.com/profile_images/1241147984924082183/gZgx_hL-_normal.jpg")</f>
        <v>https://pbs.twimg.com/profile_images/1241147984924082183/gZgx_hL-_normal.jpg</v>
      </c>
      <c r="AW3325" s="82" t="s">
        <v>14921</v>
      </c>
      <c r="AX3325" s="82" t="s">
        <v>14921</v>
      </c>
      <c r="AY3325" s="77"/>
      <c r="AZ3325" s="82" t="s">
        <v>15984</v>
      </c>
      <c r="BA3325" s="82" t="s">
        <v>15984</v>
      </c>
      <c r="BB3325" s="82" t="s">
        <v>15984</v>
      </c>
      <c r="BC3325" s="82" t="s">
        <v>14921</v>
      </c>
      <c r="BD3325" s="82" t="s">
        <v>15979</v>
      </c>
      <c r="BE3325" s="77"/>
      <c r="BF3325" s="77"/>
      <c r="BG3325" s="77"/>
      <c r="BH3325" s="77"/>
      <c r="BI3325" s="77"/>
    </row>
    <row r="3326" spans="1:61" x14ac:dyDescent="0.25">
      <c r="A3326" s="62" t="s">
        <v>387</v>
      </c>
      <c r="B3326" s="62" t="s">
        <v>387</v>
      </c>
      <c r="C3326" s="63"/>
      <c r="D3326" s="64"/>
      <c r="E3326" s="65"/>
      <c r="F3326" s="66"/>
      <c r="G3326" s="63"/>
      <c r="H3326" s="67"/>
      <c r="I3326" s="68"/>
      <c r="J3326" s="68"/>
      <c r="K3326" s="32"/>
      <c r="L3326" s="75">
        <v>3326</v>
      </c>
      <c r="M3326" s="75"/>
      <c r="N3326" s="70"/>
      <c r="O3326" s="77" t="s">
        <v>179</v>
      </c>
      <c r="P3326" s="79">
        <v>45140.791666666664</v>
      </c>
      <c r="Q3326" s="77" t="s">
        <v>3996</v>
      </c>
      <c r="R3326" s="77">
        <v>0</v>
      </c>
      <c r="S3326" s="77">
        <v>1</v>
      </c>
      <c r="T3326" s="77">
        <v>0</v>
      </c>
      <c r="U3326" s="77">
        <v>0</v>
      </c>
      <c r="V3326" s="77">
        <v>389</v>
      </c>
      <c r="W3326" s="82" t="s">
        <v>4833</v>
      </c>
      <c r="X3326" s="80" t="str">
        <f>HYPERLINK("https://mla.bs/008419dc")</f>
        <v>https://mla.bs/008419dc</v>
      </c>
      <c r="Y3326" s="77" t="s">
        <v>6506</v>
      </c>
      <c r="Z3326" s="77"/>
      <c r="AA3326" s="77"/>
      <c r="AB3326" s="77"/>
      <c r="AC3326" s="82" t="s">
        <v>7754</v>
      </c>
      <c r="AD3326" s="77" t="s">
        <v>7788</v>
      </c>
      <c r="AE3326" s="80" t="str">
        <f>HYPERLINK("https://twitter.com/einvestidor/status/1686814120291483657")</f>
        <v>https://twitter.com/einvestidor/status/1686814120291483657</v>
      </c>
      <c r="AF3326" s="79">
        <v>45140.791666666664</v>
      </c>
      <c r="AG3326" s="85">
        <v>45140</v>
      </c>
      <c r="AH3326" s="82" t="s">
        <v>9299</v>
      </c>
      <c r="AI3326" s="77" t="b">
        <v>0</v>
      </c>
      <c r="AJ3326" s="77"/>
      <c r="AK3326" s="77"/>
      <c r="AL3326" s="77"/>
      <c r="AM3326" s="77"/>
      <c r="AN3326" s="77"/>
      <c r="AO3326" s="77"/>
      <c r="AP3326" s="77"/>
      <c r="AQ3326" s="77"/>
      <c r="AR3326" s="77"/>
      <c r="AS3326" s="77"/>
      <c r="AT3326" s="77"/>
      <c r="AU3326" s="77"/>
      <c r="AV3326" s="80" t="str">
        <f>HYPERLINK("https://pbs.twimg.com/profile_images/1241147984924082183/gZgx_hL-_normal.jpg")</f>
        <v>https://pbs.twimg.com/profile_images/1241147984924082183/gZgx_hL-_normal.jpg</v>
      </c>
      <c r="AW3326" s="82" t="s">
        <v>14922</v>
      </c>
      <c r="AX3326" s="82" t="s">
        <v>14922</v>
      </c>
      <c r="AY3326" s="77"/>
      <c r="AZ3326" s="82" t="s">
        <v>15984</v>
      </c>
      <c r="BA3326" s="82" t="s">
        <v>15984</v>
      </c>
      <c r="BB3326" s="82" t="s">
        <v>15984</v>
      </c>
      <c r="BC3326" s="82" t="s">
        <v>14922</v>
      </c>
      <c r="BD3326" s="82" t="s">
        <v>15979</v>
      </c>
      <c r="BE3326" s="77"/>
      <c r="BF3326" s="77"/>
      <c r="BG3326" s="77"/>
      <c r="BH3326" s="77"/>
      <c r="BI3326" s="77"/>
    </row>
    <row r="3327" spans="1:61" x14ac:dyDescent="0.25">
      <c r="A3327" s="62" t="s">
        <v>387</v>
      </c>
      <c r="B3327" s="62" t="s">
        <v>387</v>
      </c>
      <c r="C3327" s="63"/>
      <c r="D3327" s="64"/>
      <c r="E3327" s="65"/>
      <c r="F3327" s="66"/>
      <c r="G3327" s="63"/>
      <c r="H3327" s="67"/>
      <c r="I3327" s="68"/>
      <c r="J3327" s="68"/>
      <c r="K3327" s="32"/>
      <c r="L3327" s="75">
        <v>3327</v>
      </c>
      <c r="M3327" s="75"/>
      <c r="N3327" s="70"/>
      <c r="O3327" s="77" t="s">
        <v>179</v>
      </c>
      <c r="P3327" s="79">
        <v>45140.78125</v>
      </c>
      <c r="Q3327" s="77" t="s">
        <v>3997</v>
      </c>
      <c r="R3327" s="77">
        <v>0</v>
      </c>
      <c r="S3327" s="77">
        <v>1</v>
      </c>
      <c r="T3327" s="77">
        <v>0</v>
      </c>
      <c r="U3327" s="77">
        <v>0</v>
      </c>
      <c r="V3327" s="77">
        <v>429</v>
      </c>
      <c r="W3327" s="82" t="s">
        <v>4833</v>
      </c>
      <c r="X3327" s="80" t="str">
        <f>HYPERLINK("https://mla.bs/9d3ffe47")</f>
        <v>https://mla.bs/9d3ffe47</v>
      </c>
      <c r="Y3327" s="77" t="s">
        <v>6506</v>
      </c>
      <c r="Z3327" s="77"/>
      <c r="AA3327" s="77"/>
      <c r="AB3327" s="77"/>
      <c r="AC3327" s="82" t="s">
        <v>7754</v>
      </c>
      <c r="AD3327" s="77" t="s">
        <v>7788</v>
      </c>
      <c r="AE3327" s="80" t="str">
        <f>HYPERLINK("https://twitter.com/einvestidor/status/1686810344503848960")</f>
        <v>https://twitter.com/einvestidor/status/1686810344503848960</v>
      </c>
      <c r="AF3327" s="79">
        <v>45140.78125</v>
      </c>
      <c r="AG3327" s="85">
        <v>45140</v>
      </c>
      <c r="AH3327" s="82" t="s">
        <v>9581</v>
      </c>
      <c r="AI3327" s="77" t="b">
        <v>0</v>
      </c>
      <c r="AJ3327" s="77"/>
      <c r="AK3327" s="77"/>
      <c r="AL3327" s="77"/>
      <c r="AM3327" s="77"/>
      <c r="AN3327" s="77"/>
      <c r="AO3327" s="77"/>
      <c r="AP3327" s="77"/>
      <c r="AQ3327" s="77"/>
      <c r="AR3327" s="77"/>
      <c r="AS3327" s="77"/>
      <c r="AT3327" s="77"/>
      <c r="AU3327" s="77"/>
      <c r="AV3327" s="80" t="str">
        <f>HYPERLINK("https://pbs.twimg.com/profile_images/1241147984924082183/gZgx_hL-_normal.jpg")</f>
        <v>https://pbs.twimg.com/profile_images/1241147984924082183/gZgx_hL-_normal.jpg</v>
      </c>
      <c r="AW3327" s="82" t="s">
        <v>14923</v>
      </c>
      <c r="AX3327" s="82" t="s">
        <v>14923</v>
      </c>
      <c r="AY3327" s="77"/>
      <c r="AZ3327" s="82" t="s">
        <v>15984</v>
      </c>
      <c r="BA3327" s="82" t="s">
        <v>15984</v>
      </c>
      <c r="BB3327" s="82" t="s">
        <v>15984</v>
      </c>
      <c r="BC3327" s="82" t="s">
        <v>14923</v>
      </c>
      <c r="BD3327" s="82" t="s">
        <v>15979</v>
      </c>
      <c r="BE3327" s="77"/>
      <c r="BF3327" s="77"/>
      <c r="BG3327" s="77"/>
      <c r="BH3327" s="77"/>
      <c r="BI3327" s="77"/>
    </row>
    <row r="3328" spans="1:61" x14ac:dyDescent="0.25">
      <c r="A3328" s="62" t="s">
        <v>387</v>
      </c>
      <c r="B3328" s="62" t="s">
        <v>387</v>
      </c>
      <c r="C3328" s="63"/>
      <c r="D3328" s="64"/>
      <c r="E3328" s="65"/>
      <c r="F3328" s="66"/>
      <c r="G3328" s="63"/>
      <c r="H3328" s="67"/>
      <c r="I3328" s="68"/>
      <c r="J3328" s="68"/>
      <c r="K3328" s="32"/>
      <c r="L3328" s="75">
        <v>3328</v>
      </c>
      <c r="M3328" s="75"/>
      <c r="N3328" s="70"/>
      <c r="O3328" s="77" t="s">
        <v>179</v>
      </c>
      <c r="P3328" s="79">
        <v>45140.770833333336</v>
      </c>
      <c r="Q3328" s="77" t="s">
        <v>3998</v>
      </c>
      <c r="R3328" s="77">
        <v>0</v>
      </c>
      <c r="S3328" s="77">
        <v>1</v>
      </c>
      <c r="T3328" s="77">
        <v>0</v>
      </c>
      <c r="U3328" s="77">
        <v>0</v>
      </c>
      <c r="V3328" s="77">
        <v>460</v>
      </c>
      <c r="W3328" s="82" t="s">
        <v>4833</v>
      </c>
      <c r="X3328" s="80" t="str">
        <f>HYPERLINK("https://mla.bs/d67a048b")</f>
        <v>https://mla.bs/d67a048b</v>
      </c>
      <c r="Y3328" s="77" t="s">
        <v>6506</v>
      </c>
      <c r="Z3328" s="77"/>
      <c r="AA3328" s="77"/>
      <c r="AB3328" s="77"/>
      <c r="AC3328" s="82" t="s">
        <v>7754</v>
      </c>
      <c r="AD3328" s="77" t="s">
        <v>7788</v>
      </c>
      <c r="AE3328" s="80" t="str">
        <f>HYPERLINK("https://twitter.com/einvestidor/status/1686806571743854603")</f>
        <v>https://twitter.com/einvestidor/status/1686806571743854603</v>
      </c>
      <c r="AF3328" s="79">
        <v>45140.770833333336</v>
      </c>
      <c r="AG3328" s="85">
        <v>45140</v>
      </c>
      <c r="AH3328" s="82" t="s">
        <v>7930</v>
      </c>
      <c r="AI3328" s="77" t="b">
        <v>0</v>
      </c>
      <c r="AJ3328" s="77"/>
      <c r="AK3328" s="77"/>
      <c r="AL3328" s="77"/>
      <c r="AM3328" s="77"/>
      <c r="AN3328" s="77"/>
      <c r="AO3328" s="77"/>
      <c r="AP3328" s="77"/>
      <c r="AQ3328" s="77"/>
      <c r="AR3328" s="77"/>
      <c r="AS3328" s="77"/>
      <c r="AT3328" s="77"/>
      <c r="AU3328" s="77"/>
      <c r="AV3328" s="80" t="str">
        <f>HYPERLINK("https://pbs.twimg.com/profile_images/1241147984924082183/gZgx_hL-_normal.jpg")</f>
        <v>https://pbs.twimg.com/profile_images/1241147984924082183/gZgx_hL-_normal.jpg</v>
      </c>
      <c r="AW3328" s="82" t="s">
        <v>14924</v>
      </c>
      <c r="AX3328" s="82" t="s">
        <v>14924</v>
      </c>
      <c r="AY3328" s="77"/>
      <c r="AZ3328" s="82" t="s">
        <v>15984</v>
      </c>
      <c r="BA3328" s="82" t="s">
        <v>15984</v>
      </c>
      <c r="BB3328" s="82" t="s">
        <v>15984</v>
      </c>
      <c r="BC3328" s="82" t="s">
        <v>14924</v>
      </c>
      <c r="BD3328" s="82" t="s">
        <v>15979</v>
      </c>
      <c r="BE3328" s="77"/>
      <c r="BF3328" s="77"/>
      <c r="BG3328" s="77"/>
      <c r="BH3328" s="77"/>
      <c r="BI3328" s="77"/>
    </row>
    <row r="3329" spans="1:61" x14ac:dyDescent="0.25">
      <c r="A3329" s="62" t="s">
        <v>387</v>
      </c>
      <c r="B3329" s="62" t="s">
        <v>387</v>
      </c>
      <c r="C3329" s="63"/>
      <c r="D3329" s="64"/>
      <c r="E3329" s="65"/>
      <c r="F3329" s="66"/>
      <c r="G3329" s="63"/>
      <c r="H3329" s="67"/>
      <c r="I3329" s="68"/>
      <c r="J3329" s="68"/>
      <c r="K3329" s="32"/>
      <c r="L3329" s="75">
        <v>3329</v>
      </c>
      <c r="M3329" s="75"/>
      <c r="N3329" s="70"/>
      <c r="O3329" s="77" t="s">
        <v>179</v>
      </c>
      <c r="P3329" s="79">
        <v>45140.739583333336</v>
      </c>
      <c r="Q3329" s="77" t="s">
        <v>3999</v>
      </c>
      <c r="R3329" s="77">
        <v>0</v>
      </c>
      <c r="S3329" s="77">
        <v>1</v>
      </c>
      <c r="T3329" s="77">
        <v>0</v>
      </c>
      <c r="U3329" s="77">
        <v>0</v>
      </c>
      <c r="V3329" s="77">
        <v>459</v>
      </c>
      <c r="W3329" s="82" t="s">
        <v>4833</v>
      </c>
      <c r="X3329" s="80" t="str">
        <f>HYPERLINK("https://mla.bs/596468b8")</f>
        <v>https://mla.bs/596468b8</v>
      </c>
      <c r="Y3329" s="77" t="s">
        <v>6506</v>
      </c>
      <c r="Z3329" s="77"/>
      <c r="AA3329" s="77"/>
      <c r="AB3329" s="77"/>
      <c r="AC3329" s="82" t="s">
        <v>7754</v>
      </c>
      <c r="AD3329" s="77" t="s">
        <v>7788</v>
      </c>
      <c r="AE3329" s="80" t="str">
        <f>HYPERLINK("https://twitter.com/einvestidor/status/1686795245160419328")</f>
        <v>https://twitter.com/einvestidor/status/1686795245160419328</v>
      </c>
      <c r="AF3329" s="79">
        <v>45140.739583333336</v>
      </c>
      <c r="AG3329" s="85">
        <v>45140</v>
      </c>
      <c r="AH3329" s="82" t="s">
        <v>9626</v>
      </c>
      <c r="AI3329" s="77" t="b">
        <v>0</v>
      </c>
      <c r="AJ3329" s="77"/>
      <c r="AK3329" s="77"/>
      <c r="AL3329" s="77"/>
      <c r="AM3329" s="77"/>
      <c r="AN3329" s="77"/>
      <c r="AO3329" s="77"/>
      <c r="AP3329" s="77"/>
      <c r="AQ3329" s="77"/>
      <c r="AR3329" s="77"/>
      <c r="AS3329" s="77"/>
      <c r="AT3329" s="77"/>
      <c r="AU3329" s="77"/>
      <c r="AV3329" s="80" t="str">
        <f>HYPERLINK("https://pbs.twimg.com/profile_images/1241147984924082183/gZgx_hL-_normal.jpg")</f>
        <v>https://pbs.twimg.com/profile_images/1241147984924082183/gZgx_hL-_normal.jpg</v>
      </c>
      <c r="AW3329" s="82" t="s">
        <v>14925</v>
      </c>
      <c r="AX3329" s="82" t="s">
        <v>14925</v>
      </c>
      <c r="AY3329" s="77"/>
      <c r="AZ3329" s="82" t="s">
        <v>15984</v>
      </c>
      <c r="BA3329" s="82" t="s">
        <v>15984</v>
      </c>
      <c r="BB3329" s="82" t="s">
        <v>15984</v>
      </c>
      <c r="BC3329" s="82" t="s">
        <v>14925</v>
      </c>
      <c r="BD3329" s="82" t="s">
        <v>15979</v>
      </c>
      <c r="BE3329" s="77"/>
      <c r="BF3329" s="77"/>
      <c r="BG3329" s="77"/>
      <c r="BH3329" s="77"/>
      <c r="BI3329" s="77"/>
    </row>
    <row r="3330" spans="1:61" x14ac:dyDescent="0.25">
      <c r="A3330" s="62" t="s">
        <v>387</v>
      </c>
      <c r="B3330" s="62" t="s">
        <v>387</v>
      </c>
      <c r="C3330" s="63"/>
      <c r="D3330" s="64"/>
      <c r="E3330" s="65"/>
      <c r="F3330" s="66"/>
      <c r="G3330" s="63"/>
      <c r="H3330" s="67"/>
      <c r="I3330" s="68"/>
      <c r="J3330" s="68"/>
      <c r="K3330" s="32"/>
      <c r="L3330" s="75">
        <v>3330</v>
      </c>
      <c r="M3330" s="75"/>
      <c r="N3330" s="70"/>
      <c r="O3330" s="77" t="s">
        <v>179</v>
      </c>
      <c r="P3330" s="79">
        <v>45140.72215277778</v>
      </c>
      <c r="Q3330" s="77" t="s">
        <v>4000</v>
      </c>
      <c r="R3330" s="77">
        <v>0</v>
      </c>
      <c r="S3330" s="77">
        <v>1</v>
      </c>
      <c r="T3330" s="77">
        <v>0</v>
      </c>
      <c r="U3330" s="77">
        <v>0</v>
      </c>
      <c r="V3330" s="77">
        <v>444</v>
      </c>
      <c r="W3330" s="82" t="s">
        <v>4833</v>
      </c>
      <c r="X3330" s="80" t="str">
        <f>HYPERLINK("https://mla.bs/f88d09a2")</f>
        <v>https://mla.bs/f88d09a2</v>
      </c>
      <c r="Y3330" s="77" t="s">
        <v>6506</v>
      </c>
      <c r="Z3330" s="77"/>
      <c r="AA3330" s="77"/>
      <c r="AB3330" s="77"/>
      <c r="AC3330" s="82" t="s">
        <v>7754</v>
      </c>
      <c r="AD3330" s="77" t="s">
        <v>7788</v>
      </c>
      <c r="AE3330" s="80" t="str">
        <f>HYPERLINK("https://twitter.com/einvestidor/status/1686788929217851405")</f>
        <v>https://twitter.com/einvestidor/status/1686788929217851405</v>
      </c>
      <c r="AF3330" s="79">
        <v>45140.72215277778</v>
      </c>
      <c r="AG3330" s="85">
        <v>45140</v>
      </c>
      <c r="AH3330" s="82" t="s">
        <v>10021</v>
      </c>
      <c r="AI3330" s="77" t="b">
        <v>0</v>
      </c>
      <c r="AJ3330" s="77"/>
      <c r="AK3330" s="77"/>
      <c r="AL3330" s="77"/>
      <c r="AM3330" s="77"/>
      <c r="AN3330" s="77"/>
      <c r="AO3330" s="77"/>
      <c r="AP3330" s="77"/>
      <c r="AQ3330" s="77"/>
      <c r="AR3330" s="77"/>
      <c r="AS3330" s="77"/>
      <c r="AT3330" s="77"/>
      <c r="AU3330" s="77"/>
      <c r="AV3330" s="80" t="str">
        <f>HYPERLINK("https://pbs.twimg.com/profile_images/1241147984924082183/gZgx_hL-_normal.jpg")</f>
        <v>https://pbs.twimg.com/profile_images/1241147984924082183/gZgx_hL-_normal.jpg</v>
      </c>
      <c r="AW3330" s="82" t="s">
        <v>14926</v>
      </c>
      <c r="AX3330" s="82" t="s">
        <v>14926</v>
      </c>
      <c r="AY3330" s="77"/>
      <c r="AZ3330" s="82" t="s">
        <v>15984</v>
      </c>
      <c r="BA3330" s="82" t="s">
        <v>15984</v>
      </c>
      <c r="BB3330" s="82" t="s">
        <v>15984</v>
      </c>
      <c r="BC3330" s="82" t="s">
        <v>14926</v>
      </c>
      <c r="BD3330" s="82" t="s">
        <v>15979</v>
      </c>
      <c r="BE3330" s="77"/>
      <c r="BF3330" s="77"/>
      <c r="BG3330" s="77"/>
      <c r="BH3330" s="77"/>
      <c r="BI3330" s="77"/>
    </row>
    <row r="3331" spans="1:61" x14ac:dyDescent="0.25">
      <c r="A3331" s="62" t="s">
        <v>387</v>
      </c>
      <c r="B3331" s="62" t="s">
        <v>387</v>
      </c>
      <c r="C3331" s="63"/>
      <c r="D3331" s="64"/>
      <c r="E3331" s="65"/>
      <c r="F3331" s="66"/>
      <c r="G3331" s="63"/>
      <c r="H3331" s="67"/>
      <c r="I3331" s="68"/>
      <c r="J3331" s="68"/>
      <c r="K3331" s="32"/>
      <c r="L3331" s="75">
        <v>3331</v>
      </c>
      <c r="M3331" s="75"/>
      <c r="N3331" s="70"/>
      <c r="O3331" s="77" t="s">
        <v>179</v>
      </c>
      <c r="P3331" s="79">
        <v>45140.71875</v>
      </c>
      <c r="Q3331" s="77" t="s">
        <v>4001</v>
      </c>
      <c r="R3331" s="77">
        <v>0</v>
      </c>
      <c r="S3331" s="77">
        <v>3</v>
      </c>
      <c r="T3331" s="77">
        <v>0</v>
      </c>
      <c r="U3331" s="77">
        <v>0</v>
      </c>
      <c r="V3331" s="77">
        <v>676</v>
      </c>
      <c r="W3331" s="82" t="s">
        <v>4833</v>
      </c>
      <c r="X3331" s="80" t="str">
        <f>HYPERLINK("https://einvestidor.estadao.com.br/ultimas/itau-bba-relatorio-expectativas-vale-2024/?utm_source=twitter&amp;utm_medium=organic&amp;utm_campaign=itau&amp;utm_content=materia")</f>
        <v>https://einvestidor.estadao.com.br/ultimas/itau-bba-relatorio-expectativas-vale-2024/?utm_source=twitter&amp;utm_medium=organic&amp;utm_campaign=itau&amp;utm_content=materia</v>
      </c>
      <c r="Y3331" s="77" t="s">
        <v>6470</v>
      </c>
      <c r="Z3331" s="77"/>
      <c r="AA3331" s="77"/>
      <c r="AB3331" s="77"/>
      <c r="AC3331" s="82" t="s">
        <v>7754</v>
      </c>
      <c r="AD3331" s="77" t="s">
        <v>7788</v>
      </c>
      <c r="AE3331" s="80" t="str">
        <f>HYPERLINK("https://twitter.com/einvestidor/status/1686787695597568024")</f>
        <v>https://twitter.com/einvestidor/status/1686787695597568024</v>
      </c>
      <c r="AF3331" s="79">
        <v>45140.71875</v>
      </c>
      <c r="AG3331" s="85">
        <v>45140</v>
      </c>
      <c r="AH3331" s="82" t="s">
        <v>10022</v>
      </c>
      <c r="AI3331" s="77" t="b">
        <v>0</v>
      </c>
      <c r="AJ3331" s="77"/>
      <c r="AK3331" s="77"/>
      <c r="AL3331" s="77"/>
      <c r="AM3331" s="77"/>
      <c r="AN3331" s="77"/>
      <c r="AO3331" s="77"/>
      <c r="AP3331" s="77"/>
      <c r="AQ3331" s="77"/>
      <c r="AR3331" s="77"/>
      <c r="AS3331" s="77"/>
      <c r="AT3331" s="77"/>
      <c r="AU3331" s="77"/>
      <c r="AV3331" s="80" t="str">
        <f>HYPERLINK("https://pbs.twimg.com/profile_images/1241147984924082183/gZgx_hL-_normal.jpg")</f>
        <v>https://pbs.twimg.com/profile_images/1241147984924082183/gZgx_hL-_normal.jpg</v>
      </c>
      <c r="AW3331" s="82" t="s">
        <v>14927</v>
      </c>
      <c r="AX3331" s="82" t="s">
        <v>14927</v>
      </c>
      <c r="AY3331" s="77"/>
      <c r="AZ3331" s="82" t="s">
        <v>15984</v>
      </c>
      <c r="BA3331" s="82" t="s">
        <v>15984</v>
      </c>
      <c r="BB3331" s="82" t="s">
        <v>15984</v>
      </c>
      <c r="BC3331" s="82" t="s">
        <v>14927</v>
      </c>
      <c r="BD3331" s="82" t="s">
        <v>15979</v>
      </c>
      <c r="BE3331" s="77"/>
      <c r="BF3331" s="77"/>
      <c r="BG3331" s="77"/>
      <c r="BH3331" s="77"/>
      <c r="BI3331" s="77"/>
    </row>
    <row r="3332" spans="1:61" x14ac:dyDescent="0.25">
      <c r="A3332" s="62" t="s">
        <v>387</v>
      </c>
      <c r="B3332" s="62" t="s">
        <v>387</v>
      </c>
      <c r="C3332" s="63"/>
      <c r="D3332" s="64"/>
      <c r="E3332" s="65"/>
      <c r="F3332" s="66"/>
      <c r="G3332" s="63"/>
      <c r="H3332" s="67"/>
      <c r="I3332" s="68"/>
      <c r="J3332" s="68"/>
      <c r="K3332" s="32"/>
      <c r="L3332" s="75">
        <v>3332</v>
      </c>
      <c r="M3332" s="75"/>
      <c r="N3332" s="70"/>
      <c r="O3332" s="77" t="s">
        <v>179</v>
      </c>
      <c r="P3332" s="79">
        <v>45140.697916666664</v>
      </c>
      <c r="Q3332" s="77" t="s">
        <v>4002</v>
      </c>
      <c r="R3332" s="77">
        <v>0</v>
      </c>
      <c r="S3332" s="77">
        <v>0</v>
      </c>
      <c r="T3332" s="77">
        <v>0</v>
      </c>
      <c r="U3332" s="77">
        <v>0</v>
      </c>
      <c r="V3332" s="77">
        <v>557</v>
      </c>
      <c r="W3332" s="82" t="s">
        <v>4833</v>
      </c>
      <c r="X3332" s="80" t="str">
        <f>HYPERLINK("https://einvestidor.estadao.com.br/ultimas/brf-brf3-acordo-arabia-saudita/?utm_source=twitter&amp;utm_medium=organic&amp;utm_campaign=brf&amp;utm_content=materia")</f>
        <v>https://einvestidor.estadao.com.br/ultimas/brf-brf3-acordo-arabia-saudita/?utm_source=twitter&amp;utm_medium=organic&amp;utm_campaign=brf&amp;utm_content=materia</v>
      </c>
      <c r="Y3332" s="77" t="s">
        <v>6470</v>
      </c>
      <c r="Z3332" s="77"/>
      <c r="AA3332" s="77"/>
      <c r="AB3332" s="77"/>
      <c r="AC3332" s="82" t="s">
        <v>7754</v>
      </c>
      <c r="AD3332" s="77" t="s">
        <v>7788</v>
      </c>
      <c r="AE3332" s="80" t="str">
        <f>HYPERLINK("https://twitter.com/einvestidor/status/1686780145577930752")</f>
        <v>https://twitter.com/einvestidor/status/1686780145577930752</v>
      </c>
      <c r="AF3332" s="79">
        <v>45140.697916666664</v>
      </c>
      <c r="AG3332" s="85">
        <v>45140</v>
      </c>
      <c r="AH3332" s="82" t="s">
        <v>9659</v>
      </c>
      <c r="AI3332" s="77" t="b">
        <v>0</v>
      </c>
      <c r="AJ3332" s="77"/>
      <c r="AK3332" s="77"/>
      <c r="AL3332" s="77"/>
      <c r="AM3332" s="77"/>
      <c r="AN3332" s="77"/>
      <c r="AO3332" s="77"/>
      <c r="AP3332" s="77"/>
      <c r="AQ3332" s="77"/>
      <c r="AR3332" s="77"/>
      <c r="AS3332" s="77"/>
      <c r="AT3332" s="77"/>
      <c r="AU3332" s="77"/>
      <c r="AV3332" s="80" t="str">
        <f>HYPERLINK("https://pbs.twimg.com/profile_images/1241147984924082183/gZgx_hL-_normal.jpg")</f>
        <v>https://pbs.twimg.com/profile_images/1241147984924082183/gZgx_hL-_normal.jpg</v>
      </c>
      <c r="AW3332" s="82" t="s">
        <v>14928</v>
      </c>
      <c r="AX3332" s="82" t="s">
        <v>14928</v>
      </c>
      <c r="AY3332" s="77"/>
      <c r="AZ3332" s="82" t="s">
        <v>15984</v>
      </c>
      <c r="BA3332" s="82" t="s">
        <v>15984</v>
      </c>
      <c r="BB3332" s="82" t="s">
        <v>15984</v>
      </c>
      <c r="BC3332" s="82" t="s">
        <v>14928</v>
      </c>
      <c r="BD3332" s="82" t="s">
        <v>15979</v>
      </c>
      <c r="BE3332" s="77"/>
      <c r="BF3332" s="77"/>
      <c r="BG3332" s="77"/>
      <c r="BH3332" s="77"/>
      <c r="BI3332" s="77"/>
    </row>
    <row r="3333" spans="1:61" x14ac:dyDescent="0.25">
      <c r="A3333" s="62" t="s">
        <v>387</v>
      </c>
      <c r="B3333" s="62" t="s">
        <v>387</v>
      </c>
      <c r="C3333" s="63"/>
      <c r="D3333" s="64"/>
      <c r="E3333" s="65"/>
      <c r="F3333" s="66"/>
      <c r="G3333" s="63"/>
      <c r="H3333" s="67"/>
      <c r="I3333" s="68"/>
      <c r="J3333" s="68"/>
      <c r="K3333" s="32"/>
      <c r="L3333" s="75">
        <v>3333</v>
      </c>
      <c r="M3333" s="75"/>
      <c r="N3333" s="70"/>
      <c r="O3333" s="77" t="s">
        <v>179</v>
      </c>
      <c r="P3333" s="79">
        <v>45140.625034722223</v>
      </c>
      <c r="Q3333" s="77" t="s">
        <v>4003</v>
      </c>
      <c r="R3333" s="77">
        <v>0</v>
      </c>
      <c r="S3333" s="77">
        <v>2</v>
      </c>
      <c r="T3333" s="77">
        <v>0</v>
      </c>
      <c r="U3333" s="77">
        <v>0</v>
      </c>
      <c r="V3333" s="77">
        <v>522</v>
      </c>
      <c r="W3333" s="82" t="s">
        <v>4833</v>
      </c>
      <c r="X3333" s="80" t="str">
        <f>HYPERLINK("https://einvestidor.estadao.com.br/ultimas/xp-avaliacao-resultados-iguatemi-igti11/?utm_source=twitter&amp;utm_medium=organic&amp;utm_campaign=iguatemi&amp;utm_content=materia")</f>
        <v>https://einvestidor.estadao.com.br/ultimas/xp-avaliacao-resultados-iguatemi-igti11/?utm_source=twitter&amp;utm_medium=organic&amp;utm_campaign=iguatemi&amp;utm_content=materia</v>
      </c>
      <c r="Y3333" s="77" t="s">
        <v>6470</v>
      </c>
      <c r="Z3333" s="77"/>
      <c r="AA3333" s="77"/>
      <c r="AB3333" s="77"/>
      <c r="AC3333" s="82" t="s">
        <v>7754</v>
      </c>
      <c r="AD3333" s="77" t="s">
        <v>7788</v>
      </c>
      <c r="AE3333" s="80" t="str">
        <f>HYPERLINK("https://twitter.com/einvestidor/status/1686753734502543360")</f>
        <v>https://twitter.com/einvestidor/status/1686753734502543360</v>
      </c>
      <c r="AF3333" s="79">
        <v>45140.625034722223</v>
      </c>
      <c r="AG3333" s="85">
        <v>45140</v>
      </c>
      <c r="AH3333" s="82" t="s">
        <v>7854</v>
      </c>
      <c r="AI3333" s="77" t="b">
        <v>0</v>
      </c>
      <c r="AJ3333" s="77"/>
      <c r="AK3333" s="77"/>
      <c r="AL3333" s="77"/>
      <c r="AM3333" s="77"/>
      <c r="AN3333" s="77"/>
      <c r="AO3333" s="77"/>
      <c r="AP3333" s="77"/>
      <c r="AQ3333" s="77"/>
      <c r="AR3333" s="77"/>
      <c r="AS3333" s="77"/>
      <c r="AT3333" s="77"/>
      <c r="AU3333" s="77"/>
      <c r="AV3333" s="80" t="str">
        <f>HYPERLINK("https://pbs.twimg.com/profile_images/1241147984924082183/gZgx_hL-_normal.jpg")</f>
        <v>https://pbs.twimg.com/profile_images/1241147984924082183/gZgx_hL-_normal.jpg</v>
      </c>
      <c r="AW3333" s="82" t="s">
        <v>14929</v>
      </c>
      <c r="AX3333" s="82" t="s">
        <v>14929</v>
      </c>
      <c r="AY3333" s="77"/>
      <c r="AZ3333" s="82" t="s">
        <v>15984</v>
      </c>
      <c r="BA3333" s="82" t="s">
        <v>15984</v>
      </c>
      <c r="BB3333" s="82" t="s">
        <v>15984</v>
      </c>
      <c r="BC3333" s="82" t="s">
        <v>14929</v>
      </c>
      <c r="BD3333" s="82" t="s">
        <v>15979</v>
      </c>
      <c r="BE3333" s="77"/>
      <c r="BF3333" s="77"/>
      <c r="BG3333" s="77"/>
      <c r="BH3333" s="77"/>
      <c r="BI3333" s="77"/>
    </row>
    <row r="3334" spans="1:61" x14ac:dyDescent="0.25">
      <c r="A3334" s="62" t="s">
        <v>387</v>
      </c>
      <c r="B3334" s="62" t="s">
        <v>387</v>
      </c>
      <c r="C3334" s="63"/>
      <c r="D3334" s="64"/>
      <c r="E3334" s="65"/>
      <c r="F3334" s="66"/>
      <c r="G3334" s="63"/>
      <c r="H3334" s="67"/>
      <c r="I3334" s="68"/>
      <c r="J3334" s="68"/>
      <c r="K3334" s="32"/>
      <c r="L3334" s="75">
        <v>3334</v>
      </c>
      <c r="M3334" s="75"/>
      <c r="N3334" s="70"/>
      <c r="O3334" s="77" t="s">
        <v>179</v>
      </c>
      <c r="P3334" s="79">
        <v>45140.607418981483</v>
      </c>
      <c r="Q3334" s="77" t="s">
        <v>4004</v>
      </c>
      <c r="R3334" s="77">
        <v>0</v>
      </c>
      <c r="S3334" s="77">
        <v>2</v>
      </c>
      <c r="T3334" s="77">
        <v>0</v>
      </c>
      <c r="U3334" s="77">
        <v>0</v>
      </c>
      <c r="V3334" s="77">
        <v>520</v>
      </c>
      <c r="W3334" s="82" t="s">
        <v>4833</v>
      </c>
      <c r="X3334" s="80" t="str">
        <f>HYPERLINK("https://einvestidor.estadao.com.br/ultimas/enauta-enat3-venda-plataforma-atlanta-valor/?utm_source=twitter&amp;utm_medium=organic&amp;utm_campaign=enauta&amp;utm_content=materia")</f>
        <v>https://einvestidor.estadao.com.br/ultimas/enauta-enat3-venda-plataforma-atlanta-valor/?utm_source=twitter&amp;utm_medium=organic&amp;utm_campaign=enauta&amp;utm_content=materia</v>
      </c>
      <c r="Y3334" s="77" t="s">
        <v>6470</v>
      </c>
      <c r="Z3334" s="77"/>
      <c r="AA3334" s="77"/>
      <c r="AB3334" s="77"/>
      <c r="AC3334" s="82" t="s">
        <v>7754</v>
      </c>
      <c r="AD3334" s="77" t="s">
        <v>7788</v>
      </c>
      <c r="AE3334" s="80" t="str">
        <f>HYPERLINK("https://twitter.com/einvestidor/status/1686747350713167873")</f>
        <v>https://twitter.com/einvestidor/status/1686747350713167873</v>
      </c>
      <c r="AF3334" s="79">
        <v>45140.607418981483</v>
      </c>
      <c r="AG3334" s="85">
        <v>45140</v>
      </c>
      <c r="AH3334" s="82" t="s">
        <v>10023</v>
      </c>
      <c r="AI3334" s="77" t="b">
        <v>0</v>
      </c>
      <c r="AJ3334" s="77"/>
      <c r="AK3334" s="77"/>
      <c r="AL3334" s="77"/>
      <c r="AM3334" s="77"/>
      <c r="AN3334" s="77"/>
      <c r="AO3334" s="77"/>
      <c r="AP3334" s="77"/>
      <c r="AQ3334" s="77"/>
      <c r="AR3334" s="77"/>
      <c r="AS3334" s="77"/>
      <c r="AT3334" s="77"/>
      <c r="AU3334" s="77"/>
      <c r="AV3334" s="80" t="str">
        <f>HYPERLINK("https://pbs.twimg.com/profile_images/1241147984924082183/gZgx_hL-_normal.jpg")</f>
        <v>https://pbs.twimg.com/profile_images/1241147984924082183/gZgx_hL-_normal.jpg</v>
      </c>
      <c r="AW3334" s="82" t="s">
        <v>14930</v>
      </c>
      <c r="AX3334" s="82" t="s">
        <v>14930</v>
      </c>
      <c r="AY3334" s="77"/>
      <c r="AZ3334" s="82" t="s">
        <v>15984</v>
      </c>
      <c r="BA3334" s="82" t="s">
        <v>15984</v>
      </c>
      <c r="BB3334" s="82" t="s">
        <v>15984</v>
      </c>
      <c r="BC3334" s="82" t="s">
        <v>14930</v>
      </c>
      <c r="BD3334" s="82" t="s">
        <v>15979</v>
      </c>
      <c r="BE3334" s="77"/>
      <c r="BF3334" s="77"/>
      <c r="BG3334" s="77"/>
      <c r="BH3334" s="77"/>
      <c r="BI3334" s="77"/>
    </row>
    <row r="3335" spans="1:61" x14ac:dyDescent="0.25">
      <c r="A3335" s="62" t="s">
        <v>387</v>
      </c>
      <c r="B3335" s="62" t="s">
        <v>387</v>
      </c>
      <c r="C3335" s="63"/>
      <c r="D3335" s="64"/>
      <c r="E3335" s="65"/>
      <c r="F3335" s="66"/>
      <c r="G3335" s="63"/>
      <c r="H3335" s="67"/>
      <c r="I3335" s="68"/>
      <c r="J3335" s="68"/>
      <c r="K3335" s="32"/>
      <c r="L3335" s="75">
        <v>3335</v>
      </c>
      <c r="M3335" s="75"/>
      <c r="N3335" s="70"/>
      <c r="O3335" s="77" t="s">
        <v>179</v>
      </c>
      <c r="P3335" s="79">
        <v>45140.5625</v>
      </c>
      <c r="Q3335" s="77" t="s">
        <v>4005</v>
      </c>
      <c r="R3335" s="77">
        <v>0</v>
      </c>
      <c r="S3335" s="77">
        <v>1</v>
      </c>
      <c r="T3335" s="77">
        <v>0</v>
      </c>
      <c r="U3335" s="77">
        <v>0</v>
      </c>
      <c r="V3335" s="77">
        <v>522</v>
      </c>
      <c r="W3335" s="82" t="s">
        <v>4833</v>
      </c>
      <c r="X3335" s="80" t="str">
        <f>HYPERLINK("https://einvestidor.estadao.com.br/ultimas/movida-movi3-recompra-titulos-divida/?utm_source=twitter&amp;utm_medium=organic&amp;utm_campaign=movida&amp;utm_content=materia")</f>
        <v>https://einvestidor.estadao.com.br/ultimas/movida-movi3-recompra-titulos-divida/?utm_source=twitter&amp;utm_medium=organic&amp;utm_campaign=movida&amp;utm_content=materia</v>
      </c>
      <c r="Y3335" s="77" t="s">
        <v>6470</v>
      </c>
      <c r="Z3335" s="77"/>
      <c r="AA3335" s="77"/>
      <c r="AB3335" s="77"/>
      <c r="AC3335" s="82" t="s">
        <v>7754</v>
      </c>
      <c r="AD3335" s="77" t="s">
        <v>7788</v>
      </c>
      <c r="AE3335" s="80" t="str">
        <f>HYPERLINK("https://twitter.com/einvestidor/status/1686731072657358848")</f>
        <v>https://twitter.com/einvestidor/status/1686731072657358848</v>
      </c>
      <c r="AF3335" s="79">
        <v>45140.5625</v>
      </c>
      <c r="AG3335" s="85">
        <v>45140</v>
      </c>
      <c r="AH3335" s="82" t="s">
        <v>7922</v>
      </c>
      <c r="AI3335" s="77" t="b">
        <v>0</v>
      </c>
      <c r="AJ3335" s="77"/>
      <c r="AK3335" s="77"/>
      <c r="AL3335" s="77"/>
      <c r="AM3335" s="77"/>
      <c r="AN3335" s="77"/>
      <c r="AO3335" s="77"/>
      <c r="AP3335" s="77"/>
      <c r="AQ3335" s="77"/>
      <c r="AR3335" s="77"/>
      <c r="AS3335" s="77"/>
      <c r="AT3335" s="77"/>
      <c r="AU3335" s="77"/>
      <c r="AV3335" s="80" t="str">
        <f>HYPERLINK("https://pbs.twimg.com/profile_images/1241147984924082183/gZgx_hL-_normal.jpg")</f>
        <v>https://pbs.twimg.com/profile_images/1241147984924082183/gZgx_hL-_normal.jpg</v>
      </c>
      <c r="AW3335" s="82" t="s">
        <v>14931</v>
      </c>
      <c r="AX3335" s="82" t="s">
        <v>14931</v>
      </c>
      <c r="AY3335" s="77"/>
      <c r="AZ3335" s="82" t="s">
        <v>15984</v>
      </c>
      <c r="BA3335" s="82" t="s">
        <v>15984</v>
      </c>
      <c r="BB3335" s="82" t="s">
        <v>15984</v>
      </c>
      <c r="BC3335" s="82" t="s">
        <v>14931</v>
      </c>
      <c r="BD3335" s="82" t="s">
        <v>15979</v>
      </c>
      <c r="BE3335" s="77"/>
      <c r="BF3335" s="77"/>
      <c r="BG3335" s="77"/>
      <c r="BH3335" s="77"/>
      <c r="BI3335" s="77"/>
    </row>
    <row r="3336" spans="1:61" x14ac:dyDescent="0.25">
      <c r="A3336" s="62" t="s">
        <v>387</v>
      </c>
      <c r="B3336" s="62" t="s">
        <v>387</v>
      </c>
      <c r="C3336" s="63"/>
      <c r="D3336" s="64"/>
      <c r="E3336" s="65"/>
      <c r="F3336" s="66"/>
      <c r="G3336" s="63"/>
      <c r="H3336" s="67"/>
      <c r="I3336" s="68"/>
      <c r="J3336" s="68"/>
      <c r="K3336" s="32"/>
      <c r="L3336" s="75">
        <v>3336</v>
      </c>
      <c r="M3336" s="75"/>
      <c r="N3336" s="70"/>
      <c r="O3336" s="77" t="s">
        <v>179</v>
      </c>
      <c r="P3336" s="79">
        <v>45196.96875</v>
      </c>
      <c r="Q3336" s="77" t="s">
        <v>4006</v>
      </c>
      <c r="R3336" s="77">
        <v>0</v>
      </c>
      <c r="S3336" s="77">
        <v>3</v>
      </c>
      <c r="T3336" s="77">
        <v>0</v>
      </c>
      <c r="U3336" s="77">
        <v>0</v>
      </c>
      <c r="V3336" s="77">
        <v>557</v>
      </c>
      <c r="W3336" s="82" t="s">
        <v>6281</v>
      </c>
      <c r="X3336" s="80" t="str">
        <f>HYPERLINK("https://einvestidor.estadao.com.br/ultimas/juros-voltam-disparar-treasuries-dolar-petroleo//?utm_source=twitter&amp;utm_medium=organic&amp;utm_campaign=&amp;utm_content=materia")</f>
        <v>https://einvestidor.estadao.com.br/ultimas/juros-voltam-disparar-treasuries-dolar-petroleo//?utm_source=twitter&amp;utm_medium=organic&amp;utm_campaign=&amp;utm_content=materia</v>
      </c>
      <c r="Y3336" s="77" t="s">
        <v>6470</v>
      </c>
      <c r="Z3336" s="77"/>
      <c r="AA3336" s="77" t="s">
        <v>7634</v>
      </c>
      <c r="AB3336" s="77" t="s">
        <v>7742</v>
      </c>
      <c r="AC3336" s="82" t="s">
        <v>7750</v>
      </c>
      <c r="AD3336" s="77" t="s">
        <v>7788</v>
      </c>
      <c r="AE3336" s="80" t="str">
        <f>HYPERLINK("https://twitter.com/einvestidor/status/1707172012702015572")</f>
        <v>https://twitter.com/einvestidor/status/1707172012702015572</v>
      </c>
      <c r="AF3336" s="79">
        <v>45196.96875</v>
      </c>
      <c r="AG3336" s="85">
        <v>45196</v>
      </c>
      <c r="AH3336" s="82" t="s">
        <v>9621</v>
      </c>
      <c r="AI3336" s="77" t="b">
        <v>0</v>
      </c>
      <c r="AJ3336" s="77"/>
      <c r="AK3336" s="77"/>
      <c r="AL3336" s="77"/>
      <c r="AM3336" s="77"/>
      <c r="AN3336" s="77"/>
      <c r="AO3336" s="77"/>
      <c r="AP3336" s="77"/>
      <c r="AQ3336" s="77" t="s">
        <v>11606</v>
      </c>
      <c r="AR3336" s="77"/>
      <c r="AS3336" s="77"/>
      <c r="AT3336" s="77"/>
      <c r="AU3336" s="77"/>
      <c r="AV3336" s="80" t="str">
        <f>HYPERLINK("https://pbs.twimg.com/media/F7EMT65XIAAnGlH.jpg")</f>
        <v>https://pbs.twimg.com/media/F7EMT65XIAAnGlH.jpg</v>
      </c>
      <c r="AW3336" s="82" t="s">
        <v>14932</v>
      </c>
      <c r="AX3336" s="82" t="s">
        <v>14932</v>
      </c>
      <c r="AY3336" s="77"/>
      <c r="AZ3336" s="82" t="s">
        <v>15984</v>
      </c>
      <c r="BA3336" s="82" t="s">
        <v>15984</v>
      </c>
      <c r="BB3336" s="82" t="s">
        <v>15984</v>
      </c>
      <c r="BC3336" s="82" t="s">
        <v>14932</v>
      </c>
      <c r="BD3336" s="82" t="s">
        <v>15979</v>
      </c>
      <c r="BE3336" s="77"/>
      <c r="BF3336" s="77"/>
      <c r="BG3336" s="77"/>
      <c r="BH3336" s="77"/>
      <c r="BI3336" s="77"/>
    </row>
    <row r="3337" spans="1:61" x14ac:dyDescent="0.25">
      <c r="A3337" s="62" t="s">
        <v>387</v>
      </c>
      <c r="B3337" s="62" t="s">
        <v>387</v>
      </c>
      <c r="C3337" s="63"/>
      <c r="D3337" s="64"/>
      <c r="E3337" s="65"/>
      <c r="F3337" s="66"/>
      <c r="G3337" s="63"/>
      <c r="H3337" s="67"/>
      <c r="I3337" s="68"/>
      <c r="J3337" s="68"/>
      <c r="K3337" s="32"/>
      <c r="L3337" s="75">
        <v>3337</v>
      </c>
      <c r="M3337" s="75"/>
      <c r="N3337" s="70"/>
      <c r="O3337" s="77" t="s">
        <v>179</v>
      </c>
      <c r="P3337" s="79">
        <v>45196.802083333336</v>
      </c>
      <c r="Q3337" s="77" t="s">
        <v>4007</v>
      </c>
      <c r="R3337" s="77">
        <v>1</v>
      </c>
      <c r="S3337" s="77">
        <v>1</v>
      </c>
      <c r="T3337" s="77">
        <v>0</v>
      </c>
      <c r="U3337" s="77">
        <v>0</v>
      </c>
      <c r="V3337" s="77">
        <v>427</v>
      </c>
      <c r="W3337" s="82" t="s">
        <v>6282</v>
      </c>
      <c r="X3337" s="80" t="str">
        <f>HYPERLINK("https://einvestidor.estadao.com.br/comportamento/pix-iguala-cartao-credito-favorito-pagamento/?utm_source=twitter&amp;utm_medium=organic&amp;utm_campaign=&amp;utm_content=materia")</f>
        <v>https://einvestidor.estadao.com.br/comportamento/pix-iguala-cartao-credito-favorito-pagamento/?utm_source=twitter&amp;utm_medium=organic&amp;utm_campaign=&amp;utm_content=materia</v>
      </c>
      <c r="Y3337" s="77" t="s">
        <v>6470</v>
      </c>
      <c r="Z3337" s="77"/>
      <c r="AA3337" s="77"/>
      <c r="AB3337" s="77"/>
      <c r="AC3337" s="82" t="s">
        <v>7750</v>
      </c>
      <c r="AD3337" s="77" t="s">
        <v>7788</v>
      </c>
      <c r="AE3337" s="80" t="str">
        <f>HYPERLINK("https://twitter.com/einvestidor/status/1707111614820897262")</f>
        <v>https://twitter.com/einvestidor/status/1707111614820897262</v>
      </c>
      <c r="AF3337" s="79">
        <v>45196.802083333336</v>
      </c>
      <c r="AG3337" s="85">
        <v>45196</v>
      </c>
      <c r="AH3337" s="82" t="s">
        <v>7868</v>
      </c>
      <c r="AI3337" s="77" t="b">
        <v>0</v>
      </c>
      <c r="AJ3337" s="77"/>
      <c r="AK3337" s="77"/>
      <c r="AL3337" s="77"/>
      <c r="AM3337" s="77"/>
      <c r="AN3337" s="77"/>
      <c r="AO3337" s="77"/>
      <c r="AP3337" s="77"/>
      <c r="AQ3337" s="77"/>
      <c r="AR3337" s="77"/>
      <c r="AS3337" s="77"/>
      <c r="AT3337" s="77"/>
      <c r="AU3337" s="77"/>
      <c r="AV3337" s="80" t="str">
        <f>HYPERLINK("https://pbs.twimg.com/profile_images/1241147984924082183/gZgx_hL-_normal.jpg")</f>
        <v>https://pbs.twimg.com/profile_images/1241147984924082183/gZgx_hL-_normal.jpg</v>
      </c>
      <c r="AW3337" s="82" t="s">
        <v>14933</v>
      </c>
      <c r="AX3337" s="82" t="s">
        <v>14933</v>
      </c>
      <c r="AY3337" s="77"/>
      <c r="AZ3337" s="82" t="s">
        <v>15984</v>
      </c>
      <c r="BA3337" s="82" t="s">
        <v>15984</v>
      </c>
      <c r="BB3337" s="82" t="s">
        <v>15984</v>
      </c>
      <c r="BC3337" s="82" t="s">
        <v>14933</v>
      </c>
      <c r="BD3337" s="82" t="s">
        <v>15979</v>
      </c>
      <c r="BE3337" s="77"/>
      <c r="BF3337" s="77"/>
      <c r="BG3337" s="77"/>
      <c r="BH3337" s="77"/>
      <c r="BI3337" s="77"/>
    </row>
    <row r="3338" spans="1:61" x14ac:dyDescent="0.25">
      <c r="A3338" s="62" t="s">
        <v>387</v>
      </c>
      <c r="B3338" s="62" t="s">
        <v>387</v>
      </c>
      <c r="C3338" s="63"/>
      <c r="D3338" s="64"/>
      <c r="E3338" s="65"/>
      <c r="F3338" s="66"/>
      <c r="G3338" s="63"/>
      <c r="H3338" s="67"/>
      <c r="I3338" s="68"/>
      <c r="J3338" s="68"/>
      <c r="K3338" s="32"/>
      <c r="L3338" s="75">
        <v>3338</v>
      </c>
      <c r="M3338" s="75"/>
      <c r="N3338" s="70"/>
      <c r="O3338" s="77" t="s">
        <v>179</v>
      </c>
      <c r="P3338" s="79">
        <v>45195.791666666664</v>
      </c>
      <c r="Q3338" s="77" t="s">
        <v>4008</v>
      </c>
      <c r="R3338" s="77">
        <v>0</v>
      </c>
      <c r="S3338" s="77">
        <v>0</v>
      </c>
      <c r="T3338" s="77">
        <v>0</v>
      </c>
      <c r="U3338" s="77">
        <v>0</v>
      </c>
      <c r="V3338" s="77">
        <v>439</v>
      </c>
      <c r="W3338" s="82" t="s">
        <v>6064</v>
      </c>
      <c r="X3338" s="80" t="str">
        <f>HYPERLINK("https://einvestidor.estadao.com.br/ultimas/petr4-petrobras-acoes-operam-baixa//?utm_source=twitter&amp;utm_medium=organic&amp;utm_campaign=&amp;utm_content=materia")</f>
        <v>https://einvestidor.estadao.com.br/ultimas/petr4-petrobras-acoes-operam-baixa//?utm_source=twitter&amp;utm_medium=organic&amp;utm_campaign=&amp;utm_content=materia</v>
      </c>
      <c r="Y3338" s="77" t="s">
        <v>6470</v>
      </c>
      <c r="Z3338" s="77"/>
      <c r="AA3338" s="77" t="s">
        <v>7635</v>
      </c>
      <c r="AB3338" s="77" t="s">
        <v>7742</v>
      </c>
      <c r="AC3338" s="82" t="s">
        <v>7750</v>
      </c>
      <c r="AD3338" s="77" t="s">
        <v>7788</v>
      </c>
      <c r="AE3338" s="80" t="str">
        <f>HYPERLINK("https://twitter.com/einvestidor/status/1706745451976982730")</f>
        <v>https://twitter.com/einvestidor/status/1706745451976982730</v>
      </c>
      <c r="AF3338" s="79">
        <v>45195.791666666664</v>
      </c>
      <c r="AG3338" s="85">
        <v>45195</v>
      </c>
      <c r="AH3338" s="82" t="s">
        <v>9299</v>
      </c>
      <c r="AI3338" s="77" t="b">
        <v>0</v>
      </c>
      <c r="AJ3338" s="77"/>
      <c r="AK3338" s="77"/>
      <c r="AL3338" s="77"/>
      <c r="AM3338" s="77"/>
      <c r="AN3338" s="77"/>
      <c r="AO3338" s="77"/>
      <c r="AP3338" s="77"/>
      <c r="AQ3338" s="77" t="s">
        <v>11607</v>
      </c>
      <c r="AR3338" s="77"/>
      <c r="AS3338" s="77"/>
      <c r="AT3338" s="77"/>
      <c r="AU3338" s="77"/>
      <c r="AV3338" s="80" t="str">
        <f>HYPERLINK("https://pbs.twimg.com/media/F6-MvMbWIAAMQ6D.jpg")</f>
        <v>https://pbs.twimg.com/media/F6-MvMbWIAAMQ6D.jpg</v>
      </c>
      <c r="AW3338" s="82" t="s">
        <v>14934</v>
      </c>
      <c r="AX3338" s="82" t="s">
        <v>14934</v>
      </c>
      <c r="AY3338" s="77"/>
      <c r="AZ3338" s="82" t="s">
        <v>15984</v>
      </c>
      <c r="BA3338" s="82" t="s">
        <v>15984</v>
      </c>
      <c r="BB3338" s="82" t="s">
        <v>15984</v>
      </c>
      <c r="BC3338" s="82" t="s">
        <v>14934</v>
      </c>
      <c r="BD3338" s="82" t="s">
        <v>15979</v>
      </c>
      <c r="BE3338" s="77"/>
      <c r="BF3338" s="77"/>
      <c r="BG3338" s="77"/>
      <c r="BH3338" s="77"/>
      <c r="BI3338" s="77"/>
    </row>
    <row r="3339" spans="1:61" x14ac:dyDescent="0.25">
      <c r="A3339" s="62" t="s">
        <v>387</v>
      </c>
      <c r="B3339" s="62" t="s">
        <v>387</v>
      </c>
      <c r="C3339" s="63"/>
      <c r="D3339" s="64"/>
      <c r="E3339" s="65"/>
      <c r="F3339" s="66"/>
      <c r="G3339" s="63"/>
      <c r="H3339" s="67"/>
      <c r="I3339" s="68"/>
      <c r="J3339" s="68"/>
      <c r="K3339" s="32"/>
      <c r="L3339" s="75">
        <v>3339</v>
      </c>
      <c r="M3339" s="75"/>
      <c r="N3339" s="70"/>
      <c r="O3339" s="77" t="s">
        <v>179</v>
      </c>
      <c r="P3339" s="79">
        <v>45195.78125</v>
      </c>
      <c r="Q3339" s="77" t="s">
        <v>4009</v>
      </c>
      <c r="R3339" s="77">
        <v>0</v>
      </c>
      <c r="S3339" s="77">
        <v>2</v>
      </c>
      <c r="T3339" s="77">
        <v>0</v>
      </c>
      <c r="U3339" s="77">
        <v>0</v>
      </c>
      <c r="V3339" s="77">
        <v>481</v>
      </c>
      <c r="W3339" s="82" t="s">
        <v>6221</v>
      </c>
      <c r="X3339" s="80" t="str">
        <f>HYPERLINK("https://einvestidor.estadao.com.br/ultimas/bb-investimentos-eleva-natura-ntco3/?utm_source=twitter&amp;utm_medium=organic&amp;utm_campaign=&amp;utm_content=materia")</f>
        <v>https://einvestidor.estadao.com.br/ultimas/bb-investimentos-eleva-natura-ntco3/?utm_source=twitter&amp;utm_medium=organic&amp;utm_campaign=&amp;utm_content=materia</v>
      </c>
      <c r="Y3339" s="77" t="s">
        <v>6470</v>
      </c>
      <c r="Z3339" s="77"/>
      <c r="AA3339" s="77"/>
      <c r="AB3339" s="77"/>
      <c r="AC3339" s="82" t="s">
        <v>7750</v>
      </c>
      <c r="AD3339" s="77" t="s">
        <v>7788</v>
      </c>
      <c r="AE3339" s="80" t="str">
        <f>HYPERLINK("https://twitter.com/einvestidor/status/1706741677766197624")</f>
        <v>https://twitter.com/einvestidor/status/1706741677766197624</v>
      </c>
      <c r="AF3339" s="79">
        <v>45195.78125</v>
      </c>
      <c r="AG3339" s="85">
        <v>45195</v>
      </c>
      <c r="AH3339" s="82" t="s">
        <v>9581</v>
      </c>
      <c r="AI3339" s="77" t="b">
        <v>0</v>
      </c>
      <c r="AJ3339" s="77"/>
      <c r="AK3339" s="77"/>
      <c r="AL3339" s="77"/>
      <c r="AM3339" s="77"/>
      <c r="AN3339" s="77"/>
      <c r="AO3339" s="77"/>
      <c r="AP3339" s="77"/>
      <c r="AQ3339" s="77"/>
      <c r="AR3339" s="77"/>
      <c r="AS3339" s="77"/>
      <c r="AT3339" s="77"/>
      <c r="AU3339" s="77"/>
      <c r="AV3339" s="80" t="str">
        <f>HYPERLINK("https://pbs.twimg.com/profile_images/1241147984924082183/gZgx_hL-_normal.jpg")</f>
        <v>https://pbs.twimg.com/profile_images/1241147984924082183/gZgx_hL-_normal.jpg</v>
      </c>
      <c r="AW3339" s="82" t="s">
        <v>14935</v>
      </c>
      <c r="AX3339" s="82" t="s">
        <v>14935</v>
      </c>
      <c r="AY3339" s="77"/>
      <c r="AZ3339" s="82" t="s">
        <v>15984</v>
      </c>
      <c r="BA3339" s="82" t="s">
        <v>15984</v>
      </c>
      <c r="BB3339" s="82" t="s">
        <v>15984</v>
      </c>
      <c r="BC3339" s="82" t="s">
        <v>14935</v>
      </c>
      <c r="BD3339" s="82" t="s">
        <v>15979</v>
      </c>
      <c r="BE3339" s="77"/>
      <c r="BF3339" s="77"/>
      <c r="BG3339" s="77"/>
      <c r="BH3339" s="77"/>
      <c r="BI3339" s="77"/>
    </row>
    <row r="3340" spans="1:61" x14ac:dyDescent="0.25">
      <c r="A3340" s="62" t="s">
        <v>387</v>
      </c>
      <c r="B3340" s="62" t="s">
        <v>387</v>
      </c>
      <c r="C3340" s="63"/>
      <c r="D3340" s="64"/>
      <c r="E3340" s="65"/>
      <c r="F3340" s="66"/>
      <c r="G3340" s="63"/>
      <c r="H3340" s="67"/>
      <c r="I3340" s="68"/>
      <c r="J3340" s="68"/>
      <c r="K3340" s="32"/>
      <c r="L3340" s="75">
        <v>3340</v>
      </c>
      <c r="M3340" s="75"/>
      <c r="N3340" s="70"/>
      <c r="O3340" s="77" t="s">
        <v>179</v>
      </c>
      <c r="P3340" s="79">
        <v>45195.76222222222</v>
      </c>
      <c r="Q3340" s="77" t="s">
        <v>4010</v>
      </c>
      <c r="R3340" s="77">
        <v>0</v>
      </c>
      <c r="S3340" s="77">
        <v>1</v>
      </c>
      <c r="T3340" s="77">
        <v>0</v>
      </c>
      <c r="U3340" s="77">
        <v>0</v>
      </c>
      <c r="V3340" s="77">
        <v>467</v>
      </c>
      <c r="W3340" s="82" t="s">
        <v>5907</v>
      </c>
      <c r="X3340" s="80" t="str">
        <f>HYPERLINK("https://einvestidor.estadao.com.br/ultimas/vale3-vale-investidores-cautela//?utm_source=twitter&amp;utm_medium=organic&amp;utm_campaign=&amp;utm_content=materia")</f>
        <v>https://einvestidor.estadao.com.br/ultimas/vale3-vale-investidores-cautela//?utm_source=twitter&amp;utm_medium=organic&amp;utm_campaign=&amp;utm_content=materia</v>
      </c>
      <c r="Y3340" s="77" t="s">
        <v>6470</v>
      </c>
      <c r="Z3340" s="77"/>
      <c r="AA3340" s="77" t="s">
        <v>7636</v>
      </c>
      <c r="AB3340" s="77" t="s">
        <v>7742</v>
      </c>
      <c r="AC3340" s="82" t="s">
        <v>7750</v>
      </c>
      <c r="AD3340" s="77" t="s">
        <v>7788</v>
      </c>
      <c r="AE3340" s="80" t="str">
        <f>HYPERLINK("https://twitter.com/einvestidor/status/1706734784632836252")</f>
        <v>https://twitter.com/einvestidor/status/1706734784632836252</v>
      </c>
      <c r="AF3340" s="79">
        <v>45195.76222222222</v>
      </c>
      <c r="AG3340" s="85">
        <v>45195</v>
      </c>
      <c r="AH3340" s="82" t="s">
        <v>10024</v>
      </c>
      <c r="AI3340" s="77" t="b">
        <v>0</v>
      </c>
      <c r="AJ3340" s="77"/>
      <c r="AK3340" s="77"/>
      <c r="AL3340" s="77"/>
      <c r="AM3340" s="77"/>
      <c r="AN3340" s="77"/>
      <c r="AO3340" s="77"/>
      <c r="AP3340" s="77"/>
      <c r="AQ3340" s="77" t="s">
        <v>11608</v>
      </c>
      <c r="AR3340" s="77"/>
      <c r="AS3340" s="77"/>
      <c r="AT3340" s="77"/>
      <c r="AU3340" s="77"/>
      <c r="AV3340" s="80" t="str">
        <f>HYPERLINK("https://pbs.twimg.com/media/F6-KPGGXMAAZXKu.jpg")</f>
        <v>https://pbs.twimg.com/media/F6-KPGGXMAAZXKu.jpg</v>
      </c>
      <c r="AW3340" s="82" t="s">
        <v>14936</v>
      </c>
      <c r="AX3340" s="82" t="s">
        <v>14936</v>
      </c>
      <c r="AY3340" s="77"/>
      <c r="AZ3340" s="82" t="s">
        <v>15984</v>
      </c>
      <c r="BA3340" s="82" t="s">
        <v>15984</v>
      </c>
      <c r="BB3340" s="82" t="s">
        <v>15984</v>
      </c>
      <c r="BC3340" s="82" t="s">
        <v>14936</v>
      </c>
      <c r="BD3340" s="82" t="s">
        <v>15979</v>
      </c>
      <c r="BE3340" s="77"/>
      <c r="BF3340" s="77"/>
      <c r="BG3340" s="77"/>
      <c r="BH3340" s="77"/>
      <c r="BI3340" s="77"/>
    </row>
    <row r="3341" spans="1:61" x14ac:dyDescent="0.25">
      <c r="A3341" s="62" t="s">
        <v>387</v>
      </c>
      <c r="B3341" s="62" t="s">
        <v>387</v>
      </c>
      <c r="C3341" s="63"/>
      <c r="D3341" s="64"/>
      <c r="E3341" s="65"/>
      <c r="F3341" s="66"/>
      <c r="G3341" s="63"/>
      <c r="H3341" s="67"/>
      <c r="I3341" s="68"/>
      <c r="J3341" s="68"/>
      <c r="K3341" s="32"/>
      <c r="L3341" s="75">
        <v>3341</v>
      </c>
      <c r="M3341" s="75"/>
      <c r="N3341" s="70"/>
      <c r="O3341" s="77" t="s">
        <v>179</v>
      </c>
      <c r="P3341" s="79">
        <v>45195.010416666664</v>
      </c>
      <c r="Q3341" s="77" t="s">
        <v>4011</v>
      </c>
      <c r="R3341" s="77">
        <v>1</v>
      </c>
      <c r="S3341" s="77">
        <v>5</v>
      </c>
      <c r="T3341" s="77">
        <v>0</v>
      </c>
      <c r="U3341" s="77">
        <v>0</v>
      </c>
      <c r="V3341" s="77">
        <v>894</v>
      </c>
      <c r="W3341" s="82" t="s">
        <v>6064</v>
      </c>
      <c r="X3341" s="80" t="str">
        <f>HYPERLINK("https://einvestidor.estadao.com.br/ultimas/petr4-petrobras-cautela-afeta-acoes-fechamento//?utm_source=twitter&amp;utm_medium=organic&amp;utm_campaign=&amp;utm_content=materia")</f>
        <v>https://einvestidor.estadao.com.br/ultimas/petr4-petrobras-cautela-afeta-acoes-fechamento//?utm_source=twitter&amp;utm_medium=organic&amp;utm_campaign=&amp;utm_content=materia</v>
      </c>
      <c r="Y3341" s="77" t="s">
        <v>6470</v>
      </c>
      <c r="Z3341" s="77"/>
      <c r="AA3341" s="77"/>
      <c r="AB3341" s="77"/>
      <c r="AC3341" s="82" t="s">
        <v>7750</v>
      </c>
      <c r="AD3341" s="77" t="s">
        <v>7788</v>
      </c>
      <c r="AE3341" s="80" t="str">
        <f>HYPERLINK("https://twitter.com/einvestidor/status/1706462336679362863")</f>
        <v>https://twitter.com/einvestidor/status/1706462336679362863</v>
      </c>
      <c r="AF3341" s="79">
        <v>45195.010416666664</v>
      </c>
      <c r="AG3341" s="85">
        <v>45195</v>
      </c>
      <c r="AH3341" s="82" t="s">
        <v>8119</v>
      </c>
      <c r="AI3341" s="77" t="b">
        <v>0</v>
      </c>
      <c r="AJ3341" s="77"/>
      <c r="AK3341" s="77"/>
      <c r="AL3341" s="77"/>
      <c r="AM3341" s="77"/>
      <c r="AN3341" s="77"/>
      <c r="AO3341" s="77"/>
      <c r="AP3341" s="77"/>
      <c r="AQ3341" s="77"/>
      <c r="AR3341" s="77"/>
      <c r="AS3341" s="77"/>
      <c r="AT3341" s="77"/>
      <c r="AU3341" s="77"/>
      <c r="AV3341" s="80" t="str">
        <f>HYPERLINK("https://pbs.twimg.com/profile_images/1241147984924082183/gZgx_hL-_normal.jpg")</f>
        <v>https://pbs.twimg.com/profile_images/1241147984924082183/gZgx_hL-_normal.jpg</v>
      </c>
      <c r="AW3341" s="82" t="s">
        <v>14937</v>
      </c>
      <c r="AX3341" s="82" t="s">
        <v>14937</v>
      </c>
      <c r="AY3341" s="77"/>
      <c r="AZ3341" s="82" t="s">
        <v>15984</v>
      </c>
      <c r="BA3341" s="82" t="s">
        <v>15984</v>
      </c>
      <c r="BB3341" s="82" t="s">
        <v>15984</v>
      </c>
      <c r="BC3341" s="82" t="s">
        <v>14937</v>
      </c>
      <c r="BD3341" s="82" t="s">
        <v>15979</v>
      </c>
      <c r="BE3341" s="77"/>
      <c r="BF3341" s="77"/>
      <c r="BG3341" s="77"/>
      <c r="BH3341" s="77"/>
      <c r="BI3341" s="77"/>
    </row>
    <row r="3342" spans="1:61" x14ac:dyDescent="0.25">
      <c r="A3342" s="62" t="s">
        <v>387</v>
      </c>
      <c r="B3342" s="62" t="s">
        <v>387</v>
      </c>
      <c r="C3342" s="63"/>
      <c r="D3342" s="64"/>
      <c r="E3342" s="65"/>
      <c r="F3342" s="66"/>
      <c r="G3342" s="63"/>
      <c r="H3342" s="67"/>
      <c r="I3342" s="68"/>
      <c r="J3342" s="68"/>
      <c r="K3342" s="32"/>
      <c r="L3342" s="75">
        <v>3342</v>
      </c>
      <c r="M3342" s="75"/>
      <c r="N3342" s="70"/>
      <c r="O3342" s="77" t="s">
        <v>179</v>
      </c>
      <c r="P3342" s="79">
        <v>45195</v>
      </c>
      <c r="Q3342" s="77" t="s">
        <v>4012</v>
      </c>
      <c r="R3342" s="77">
        <v>0</v>
      </c>
      <c r="S3342" s="77">
        <v>2</v>
      </c>
      <c r="T3342" s="77">
        <v>1</v>
      </c>
      <c r="U3342" s="77">
        <v>0</v>
      </c>
      <c r="V3342" s="77">
        <v>937</v>
      </c>
      <c r="W3342" s="82" t="s">
        <v>5908</v>
      </c>
      <c r="X3342" s="80" t="str">
        <f>HYPERLINK("https://einvestidor.estadao.com.br/ultimas/mglu3-magazine-luiza-acoes-fecham-baixa//?utm_source=twitter&amp;utm_medium=organic&amp;utm_campaign=&amp;utm_content=materia")</f>
        <v>https://einvestidor.estadao.com.br/ultimas/mglu3-magazine-luiza-acoes-fecham-baixa//?utm_source=twitter&amp;utm_medium=organic&amp;utm_campaign=&amp;utm_content=materia</v>
      </c>
      <c r="Y3342" s="77" t="s">
        <v>6470</v>
      </c>
      <c r="Z3342" s="77"/>
      <c r="AA3342" s="77"/>
      <c r="AB3342" s="77"/>
      <c r="AC3342" s="82" t="s">
        <v>7750</v>
      </c>
      <c r="AD3342" s="77" t="s">
        <v>7788</v>
      </c>
      <c r="AE3342" s="80" t="str">
        <f>HYPERLINK("https://twitter.com/einvestidor/status/1706458563969949794")</f>
        <v>https://twitter.com/einvestidor/status/1706458563969949794</v>
      </c>
      <c r="AF3342" s="79">
        <v>45195</v>
      </c>
      <c r="AG3342" s="85">
        <v>45195</v>
      </c>
      <c r="AH3342" s="82" t="s">
        <v>9300</v>
      </c>
      <c r="AI3342" s="77" t="b">
        <v>0</v>
      </c>
      <c r="AJ3342" s="77"/>
      <c r="AK3342" s="77"/>
      <c r="AL3342" s="77"/>
      <c r="AM3342" s="77"/>
      <c r="AN3342" s="77"/>
      <c r="AO3342" s="77"/>
      <c r="AP3342" s="77"/>
      <c r="AQ3342" s="77"/>
      <c r="AR3342" s="77"/>
      <c r="AS3342" s="77"/>
      <c r="AT3342" s="77"/>
      <c r="AU3342" s="77"/>
      <c r="AV3342" s="80" t="str">
        <f>HYPERLINK("https://pbs.twimg.com/profile_images/1241147984924082183/gZgx_hL-_normal.jpg")</f>
        <v>https://pbs.twimg.com/profile_images/1241147984924082183/gZgx_hL-_normal.jpg</v>
      </c>
      <c r="AW3342" s="82" t="s">
        <v>14938</v>
      </c>
      <c r="AX3342" s="82" t="s">
        <v>14938</v>
      </c>
      <c r="AY3342" s="77"/>
      <c r="AZ3342" s="82" t="s">
        <v>15984</v>
      </c>
      <c r="BA3342" s="82" t="s">
        <v>15984</v>
      </c>
      <c r="BB3342" s="82" t="s">
        <v>15984</v>
      </c>
      <c r="BC3342" s="82" t="s">
        <v>14938</v>
      </c>
      <c r="BD3342" s="82" t="s">
        <v>15979</v>
      </c>
      <c r="BE3342" s="77"/>
      <c r="BF3342" s="77"/>
      <c r="BG3342" s="77"/>
      <c r="BH3342" s="77"/>
      <c r="BI3342" s="77"/>
    </row>
    <row r="3343" spans="1:61" x14ac:dyDescent="0.25">
      <c r="A3343" s="62" t="s">
        <v>387</v>
      </c>
      <c r="B3343" s="62" t="s">
        <v>387</v>
      </c>
      <c r="C3343" s="63"/>
      <c r="D3343" s="64"/>
      <c r="E3343" s="65"/>
      <c r="F3343" s="66"/>
      <c r="G3343" s="63"/>
      <c r="H3343" s="67"/>
      <c r="I3343" s="68"/>
      <c r="J3343" s="68"/>
      <c r="K3343" s="32"/>
      <c r="L3343" s="75">
        <v>3343</v>
      </c>
      <c r="M3343" s="75"/>
      <c r="N3343" s="70"/>
      <c r="O3343" s="77" t="s">
        <v>179</v>
      </c>
      <c r="P3343" s="79">
        <v>45194.760416666664</v>
      </c>
      <c r="Q3343" s="77" t="s">
        <v>4013</v>
      </c>
      <c r="R3343" s="77">
        <v>0</v>
      </c>
      <c r="S3343" s="77">
        <v>1</v>
      </c>
      <c r="T3343" s="77">
        <v>0</v>
      </c>
      <c r="U3343" s="77">
        <v>0</v>
      </c>
      <c r="V3343" s="77">
        <v>486</v>
      </c>
      <c r="W3343" s="82" t="s">
        <v>6283</v>
      </c>
      <c r="X3343" s="80" t="str">
        <f>HYPERLINK("https://einvestidor.estadao.com.br/ultimas/china-impulso-mercado-acoes/?utm_source=twitter&amp;utm_medium=organic&amp;utm_campaign=&amp;utm_content=materia")</f>
        <v>https://einvestidor.estadao.com.br/ultimas/china-impulso-mercado-acoes/?utm_source=twitter&amp;utm_medium=organic&amp;utm_campaign=&amp;utm_content=materia</v>
      </c>
      <c r="Y3343" s="77" t="s">
        <v>6470</v>
      </c>
      <c r="Z3343" s="77"/>
      <c r="AA3343" s="77"/>
      <c r="AB3343" s="77"/>
      <c r="AC3343" s="82" t="s">
        <v>7750</v>
      </c>
      <c r="AD3343" s="77" t="s">
        <v>7788</v>
      </c>
      <c r="AE3343" s="80" t="str">
        <f>HYPERLINK("https://twitter.com/einvestidor/status/1706371739486503142")</f>
        <v>https://twitter.com/einvestidor/status/1706371739486503142</v>
      </c>
      <c r="AF3343" s="79">
        <v>45194.760416666664</v>
      </c>
      <c r="AG3343" s="85">
        <v>45194</v>
      </c>
      <c r="AH3343" s="82" t="s">
        <v>9582</v>
      </c>
      <c r="AI3343" s="77" t="b">
        <v>0</v>
      </c>
      <c r="AJ3343" s="77"/>
      <c r="AK3343" s="77"/>
      <c r="AL3343" s="77"/>
      <c r="AM3343" s="77"/>
      <c r="AN3343" s="77"/>
      <c r="AO3343" s="77"/>
      <c r="AP3343" s="77"/>
      <c r="AQ3343" s="77"/>
      <c r="AR3343" s="77"/>
      <c r="AS3343" s="77"/>
      <c r="AT3343" s="77"/>
      <c r="AU3343" s="77"/>
      <c r="AV3343" s="80" t="str">
        <f>HYPERLINK("https://pbs.twimg.com/profile_images/1241147984924082183/gZgx_hL-_normal.jpg")</f>
        <v>https://pbs.twimg.com/profile_images/1241147984924082183/gZgx_hL-_normal.jpg</v>
      </c>
      <c r="AW3343" s="82" t="s">
        <v>14939</v>
      </c>
      <c r="AX3343" s="82" t="s">
        <v>14939</v>
      </c>
      <c r="AY3343" s="77"/>
      <c r="AZ3343" s="82" t="s">
        <v>15984</v>
      </c>
      <c r="BA3343" s="82" t="s">
        <v>15984</v>
      </c>
      <c r="BB3343" s="82" t="s">
        <v>15984</v>
      </c>
      <c r="BC3343" s="82" t="s">
        <v>14939</v>
      </c>
      <c r="BD3343" s="82" t="s">
        <v>15979</v>
      </c>
      <c r="BE3343" s="77"/>
      <c r="BF3343" s="77"/>
      <c r="BG3343" s="77"/>
      <c r="BH3343" s="77"/>
      <c r="BI3343" s="77"/>
    </row>
    <row r="3344" spans="1:61" x14ac:dyDescent="0.25">
      <c r="A3344" s="62" t="s">
        <v>387</v>
      </c>
      <c r="B3344" s="62" t="s">
        <v>387</v>
      </c>
      <c r="C3344" s="63"/>
      <c r="D3344" s="64"/>
      <c r="E3344" s="65"/>
      <c r="F3344" s="66"/>
      <c r="G3344" s="63"/>
      <c r="H3344" s="67"/>
      <c r="I3344" s="68"/>
      <c r="J3344" s="68"/>
      <c r="K3344" s="32"/>
      <c r="L3344" s="75">
        <v>3344</v>
      </c>
      <c r="M3344" s="75"/>
      <c r="N3344" s="70"/>
      <c r="O3344" s="77" t="s">
        <v>179</v>
      </c>
      <c r="P3344" s="79">
        <v>45194.75</v>
      </c>
      <c r="Q3344" s="77" t="s">
        <v>4014</v>
      </c>
      <c r="R3344" s="77">
        <v>0</v>
      </c>
      <c r="S3344" s="77">
        <v>0</v>
      </c>
      <c r="T3344" s="77">
        <v>0</v>
      </c>
      <c r="U3344" s="77">
        <v>0</v>
      </c>
      <c r="V3344" s="77">
        <v>459</v>
      </c>
      <c r="W3344" s="82" t="s">
        <v>6064</v>
      </c>
      <c r="X3344" s="80" t="str">
        <f>HYPERLINK("https://einvestidor.estadao.com.br/ultimas/petr4-petrobras-acoes-queda-ibovespa/?utm_source=twitter&amp;utm_medium=organic&amp;utm_campaign=acoes-petrobras")</f>
        <v>https://einvestidor.estadao.com.br/ultimas/petr4-petrobras-acoes-queda-ibovespa/?utm_source=twitter&amp;utm_medium=organic&amp;utm_campaign=acoes-petrobras</v>
      </c>
      <c r="Y3344" s="77" t="s">
        <v>6470</v>
      </c>
      <c r="Z3344" s="77"/>
      <c r="AA3344" s="77" t="s">
        <v>7637</v>
      </c>
      <c r="AB3344" s="77" t="s">
        <v>7742</v>
      </c>
      <c r="AC3344" s="82" t="s">
        <v>7750</v>
      </c>
      <c r="AD3344" s="77" t="s">
        <v>7788</v>
      </c>
      <c r="AE3344" s="80" t="str">
        <f>HYPERLINK("https://twitter.com/einvestidor/status/1706367967351435348")</f>
        <v>https://twitter.com/einvestidor/status/1706367967351435348</v>
      </c>
      <c r="AF3344" s="79">
        <v>45194.75</v>
      </c>
      <c r="AG3344" s="85">
        <v>45194</v>
      </c>
      <c r="AH3344" s="82" t="s">
        <v>7934</v>
      </c>
      <c r="AI3344" s="77" t="b">
        <v>0</v>
      </c>
      <c r="AJ3344" s="77"/>
      <c r="AK3344" s="77"/>
      <c r="AL3344" s="77"/>
      <c r="AM3344" s="77"/>
      <c r="AN3344" s="77"/>
      <c r="AO3344" s="77"/>
      <c r="AP3344" s="77"/>
      <c r="AQ3344" s="77" t="s">
        <v>11609</v>
      </c>
      <c r="AR3344" s="77"/>
      <c r="AS3344" s="77"/>
      <c r="AT3344" s="77"/>
      <c r="AU3344" s="77"/>
      <c r="AV3344" s="80" t="str">
        <f>HYPERLINK("https://pbs.twimg.com/media/F643pk9WQAAFbX1.jpg")</f>
        <v>https://pbs.twimg.com/media/F643pk9WQAAFbX1.jpg</v>
      </c>
      <c r="AW3344" s="82" t="s">
        <v>14940</v>
      </c>
      <c r="AX3344" s="82" t="s">
        <v>14940</v>
      </c>
      <c r="AY3344" s="77"/>
      <c r="AZ3344" s="82" t="s">
        <v>15984</v>
      </c>
      <c r="BA3344" s="82" t="s">
        <v>15984</v>
      </c>
      <c r="BB3344" s="82" t="s">
        <v>15984</v>
      </c>
      <c r="BC3344" s="82" t="s">
        <v>14940</v>
      </c>
      <c r="BD3344" s="82" t="s">
        <v>15979</v>
      </c>
      <c r="BE3344" s="77"/>
      <c r="BF3344" s="77"/>
      <c r="BG3344" s="77"/>
      <c r="BH3344" s="77"/>
      <c r="BI3344" s="77"/>
    </row>
    <row r="3345" spans="1:61" x14ac:dyDescent="0.25">
      <c r="A3345" s="62" t="s">
        <v>387</v>
      </c>
      <c r="B3345" s="62" t="s">
        <v>387</v>
      </c>
      <c r="C3345" s="63"/>
      <c r="D3345" s="64"/>
      <c r="E3345" s="65"/>
      <c r="F3345" s="66"/>
      <c r="G3345" s="63"/>
      <c r="H3345" s="67"/>
      <c r="I3345" s="68"/>
      <c r="J3345" s="68"/>
      <c r="K3345" s="32"/>
      <c r="L3345" s="75">
        <v>3345</v>
      </c>
      <c r="M3345" s="75"/>
      <c r="N3345" s="70"/>
      <c r="O3345" s="77" t="s">
        <v>179</v>
      </c>
      <c r="P3345" s="79">
        <v>45194.739583333336</v>
      </c>
      <c r="Q3345" s="77" t="s">
        <v>4015</v>
      </c>
      <c r="R3345" s="77">
        <v>0</v>
      </c>
      <c r="S3345" s="77">
        <v>2</v>
      </c>
      <c r="T3345" s="77">
        <v>0</v>
      </c>
      <c r="U3345" s="77">
        <v>0</v>
      </c>
      <c r="V3345" s="77">
        <v>445</v>
      </c>
      <c r="W3345" s="82" t="s">
        <v>5907</v>
      </c>
      <c r="X3345" s="80" t="str">
        <f>HYPERLINK("https://einvestidor.estadao.com.br/ultimas/vale3-vale-acoes-caem-minerio-china/?utm_source=twitter&amp;utm_medium=organic&amp;utm_campaign=&amp;utm_content=materia")</f>
        <v>https://einvestidor.estadao.com.br/ultimas/vale3-vale-acoes-caem-minerio-china/?utm_source=twitter&amp;utm_medium=organic&amp;utm_campaign=&amp;utm_content=materia</v>
      </c>
      <c r="Y3345" s="77" t="s">
        <v>6470</v>
      </c>
      <c r="Z3345" s="77"/>
      <c r="AA3345" s="77" t="s">
        <v>7638</v>
      </c>
      <c r="AB3345" s="77" t="s">
        <v>7742</v>
      </c>
      <c r="AC3345" s="82" t="s">
        <v>7750</v>
      </c>
      <c r="AD3345" s="77" t="s">
        <v>7788</v>
      </c>
      <c r="AE3345" s="80" t="str">
        <f>HYPERLINK("https://twitter.com/einvestidor/status/1706364190129262674")</f>
        <v>https://twitter.com/einvestidor/status/1706364190129262674</v>
      </c>
      <c r="AF3345" s="79">
        <v>45194.739583333336</v>
      </c>
      <c r="AG3345" s="85">
        <v>45194</v>
      </c>
      <c r="AH3345" s="82" t="s">
        <v>9626</v>
      </c>
      <c r="AI3345" s="77" t="b">
        <v>0</v>
      </c>
      <c r="AJ3345" s="77"/>
      <c r="AK3345" s="77"/>
      <c r="AL3345" s="77"/>
      <c r="AM3345" s="77"/>
      <c r="AN3345" s="77"/>
      <c r="AO3345" s="77"/>
      <c r="AP3345" s="77"/>
      <c r="AQ3345" s="77" t="s">
        <v>11610</v>
      </c>
      <c r="AR3345" s="77"/>
      <c r="AS3345" s="77"/>
      <c r="AT3345" s="77"/>
      <c r="AU3345" s="77"/>
      <c r="AV3345" s="80" t="str">
        <f>HYPERLINK("https://pbs.twimg.com/media/F641BpXX0AARlvK.jpg")</f>
        <v>https://pbs.twimg.com/media/F641BpXX0AARlvK.jpg</v>
      </c>
      <c r="AW3345" s="82" t="s">
        <v>14941</v>
      </c>
      <c r="AX3345" s="82" t="s">
        <v>14941</v>
      </c>
      <c r="AY3345" s="77"/>
      <c r="AZ3345" s="82" t="s">
        <v>15984</v>
      </c>
      <c r="BA3345" s="82" t="s">
        <v>15984</v>
      </c>
      <c r="BB3345" s="82" t="s">
        <v>15984</v>
      </c>
      <c r="BC3345" s="82" t="s">
        <v>14941</v>
      </c>
      <c r="BD3345" s="82" t="s">
        <v>15979</v>
      </c>
      <c r="BE3345" s="77"/>
      <c r="BF3345" s="77"/>
      <c r="BG3345" s="77"/>
      <c r="BH3345" s="77"/>
      <c r="BI3345" s="77"/>
    </row>
    <row r="3346" spans="1:61" x14ac:dyDescent="0.25">
      <c r="A3346" s="62" t="s">
        <v>387</v>
      </c>
      <c r="B3346" s="62" t="s">
        <v>387</v>
      </c>
      <c r="C3346" s="63"/>
      <c r="D3346" s="64"/>
      <c r="E3346" s="65"/>
      <c r="F3346" s="66"/>
      <c r="G3346" s="63"/>
      <c r="H3346" s="67"/>
      <c r="I3346" s="68"/>
      <c r="J3346" s="68"/>
      <c r="K3346" s="32"/>
      <c r="L3346" s="75">
        <v>3346</v>
      </c>
      <c r="M3346" s="75"/>
      <c r="N3346" s="70"/>
      <c r="O3346" s="77" t="s">
        <v>179</v>
      </c>
      <c r="P3346" s="79">
        <v>45194.666666666664</v>
      </c>
      <c r="Q3346" s="77" t="s">
        <v>4016</v>
      </c>
      <c r="R3346" s="77">
        <v>0</v>
      </c>
      <c r="S3346" s="77">
        <v>2</v>
      </c>
      <c r="T3346" s="77">
        <v>0</v>
      </c>
      <c r="U3346" s="77">
        <v>0</v>
      </c>
      <c r="V3346" s="77">
        <v>592</v>
      </c>
      <c r="W3346" s="82" t="s">
        <v>6284</v>
      </c>
      <c r="X3346" s="80" t="str">
        <f>HYPERLINK("https://einvestidor.estadao.com.br/ultimas/goldman-sachs-amplia-capital-social-3r-petroleum-rrrp-3/?utm_source=twitter&amp;utm_medium=organic&amp;utm_campaign=rrrp3&amp;utm_content=materia")</f>
        <v>https://einvestidor.estadao.com.br/ultimas/goldman-sachs-amplia-capital-social-3r-petroleum-rrrp-3/?utm_source=twitter&amp;utm_medium=organic&amp;utm_campaign=rrrp3&amp;utm_content=materia</v>
      </c>
      <c r="Y3346" s="77" t="s">
        <v>6470</v>
      </c>
      <c r="Z3346" s="77"/>
      <c r="AA3346" s="77"/>
      <c r="AB3346" s="77"/>
      <c r="AC3346" s="82" t="s">
        <v>7750</v>
      </c>
      <c r="AD3346" s="77" t="s">
        <v>7788</v>
      </c>
      <c r="AE3346" s="80" t="str">
        <f>HYPERLINK("https://twitter.com/einvestidor/status/1706337767440187733")</f>
        <v>https://twitter.com/einvestidor/status/1706337767440187733</v>
      </c>
      <c r="AF3346" s="79">
        <v>45194.666666666664</v>
      </c>
      <c r="AG3346" s="85">
        <v>45194</v>
      </c>
      <c r="AH3346" s="82" t="s">
        <v>8120</v>
      </c>
      <c r="AI3346" s="77" t="b">
        <v>0</v>
      </c>
      <c r="AJ3346" s="77"/>
      <c r="AK3346" s="77"/>
      <c r="AL3346" s="77"/>
      <c r="AM3346" s="77"/>
      <c r="AN3346" s="77"/>
      <c r="AO3346" s="77"/>
      <c r="AP3346" s="77"/>
      <c r="AQ3346" s="77"/>
      <c r="AR3346" s="77"/>
      <c r="AS3346" s="77"/>
      <c r="AT3346" s="77"/>
      <c r="AU3346" s="77"/>
      <c r="AV3346" s="80" t="str">
        <f>HYPERLINK("https://pbs.twimg.com/profile_images/1241147984924082183/gZgx_hL-_normal.jpg")</f>
        <v>https://pbs.twimg.com/profile_images/1241147984924082183/gZgx_hL-_normal.jpg</v>
      </c>
      <c r="AW3346" s="82" t="s">
        <v>14942</v>
      </c>
      <c r="AX3346" s="82" t="s">
        <v>14942</v>
      </c>
      <c r="AY3346" s="77"/>
      <c r="AZ3346" s="82" t="s">
        <v>15984</v>
      </c>
      <c r="BA3346" s="82" t="s">
        <v>15984</v>
      </c>
      <c r="BB3346" s="82" t="s">
        <v>15984</v>
      </c>
      <c r="BC3346" s="82" t="s">
        <v>14942</v>
      </c>
      <c r="BD3346" s="82" t="s">
        <v>15979</v>
      </c>
      <c r="BE3346" s="77"/>
      <c r="BF3346" s="77"/>
      <c r="BG3346" s="77"/>
      <c r="BH3346" s="77"/>
      <c r="BI3346" s="77"/>
    </row>
    <row r="3347" spans="1:61" x14ac:dyDescent="0.25">
      <c r="A3347" s="62" t="s">
        <v>387</v>
      </c>
      <c r="B3347" s="62" t="s">
        <v>387</v>
      </c>
      <c r="C3347" s="63"/>
      <c r="D3347" s="64"/>
      <c r="E3347" s="65"/>
      <c r="F3347" s="66"/>
      <c r="G3347" s="63"/>
      <c r="H3347" s="67"/>
      <c r="I3347" s="68"/>
      <c r="J3347" s="68"/>
      <c r="K3347" s="32"/>
      <c r="L3347" s="75">
        <v>3347</v>
      </c>
      <c r="M3347" s="75"/>
      <c r="N3347" s="70"/>
      <c r="O3347" s="77" t="s">
        <v>179</v>
      </c>
      <c r="P3347" s="79">
        <v>45193.500023148146</v>
      </c>
      <c r="Q3347" s="77" t="s">
        <v>4017</v>
      </c>
      <c r="R3347" s="77">
        <v>0</v>
      </c>
      <c r="S3347" s="77">
        <v>2</v>
      </c>
      <c r="T3347" s="77">
        <v>0</v>
      </c>
      <c r="U3347" s="77">
        <v>0</v>
      </c>
      <c r="V3347" s="77">
        <v>901</v>
      </c>
      <c r="W3347" s="82" t="s">
        <v>6285</v>
      </c>
      <c r="X3347" s="80" t="str">
        <f>HYPERLINK("https://einvestidor.estadao.com.br/comportamento/investimento-iphone-mais-barato/?utm_source=twitter&amp;utm_medium=organic&amp;utm_campaign=&amp;utm_content=materia")</f>
        <v>https://einvestidor.estadao.com.br/comportamento/investimento-iphone-mais-barato/?utm_source=twitter&amp;utm_medium=organic&amp;utm_campaign=&amp;utm_content=materia</v>
      </c>
      <c r="Y3347" s="77" t="s">
        <v>6470</v>
      </c>
      <c r="Z3347" s="77"/>
      <c r="AA3347" s="77"/>
      <c r="AB3347" s="77"/>
      <c r="AC3347" s="82" t="s">
        <v>7750</v>
      </c>
      <c r="AD3347" s="77" t="s">
        <v>7788</v>
      </c>
      <c r="AE3347" s="80" t="str">
        <f>HYPERLINK("https://twitter.com/einvestidor/status/1705914988777676988")</f>
        <v>https://twitter.com/einvestidor/status/1705914988777676988</v>
      </c>
      <c r="AF3347" s="79">
        <v>45193.500023148146</v>
      </c>
      <c r="AG3347" s="85">
        <v>45193</v>
      </c>
      <c r="AH3347" s="82" t="s">
        <v>8525</v>
      </c>
      <c r="AI3347" s="77" t="b">
        <v>0</v>
      </c>
      <c r="AJ3347" s="77"/>
      <c r="AK3347" s="77"/>
      <c r="AL3347" s="77"/>
      <c r="AM3347" s="77"/>
      <c r="AN3347" s="77"/>
      <c r="AO3347" s="77"/>
      <c r="AP3347" s="77"/>
      <c r="AQ3347" s="77"/>
      <c r="AR3347" s="77"/>
      <c r="AS3347" s="77"/>
      <c r="AT3347" s="77"/>
      <c r="AU3347" s="77"/>
      <c r="AV3347" s="80" t="str">
        <f>HYPERLINK("https://pbs.twimg.com/profile_images/1241147984924082183/gZgx_hL-_normal.jpg")</f>
        <v>https://pbs.twimg.com/profile_images/1241147984924082183/gZgx_hL-_normal.jpg</v>
      </c>
      <c r="AW3347" s="82" t="s">
        <v>14943</v>
      </c>
      <c r="AX3347" s="82" t="s">
        <v>14943</v>
      </c>
      <c r="AY3347" s="77"/>
      <c r="AZ3347" s="82" t="s">
        <v>15984</v>
      </c>
      <c r="BA3347" s="82" t="s">
        <v>15984</v>
      </c>
      <c r="BB3347" s="82" t="s">
        <v>15984</v>
      </c>
      <c r="BC3347" s="82" t="s">
        <v>14943</v>
      </c>
      <c r="BD3347" s="82" t="s">
        <v>15979</v>
      </c>
      <c r="BE3347" s="77"/>
      <c r="BF3347" s="77"/>
      <c r="BG3347" s="77"/>
      <c r="BH3347" s="77"/>
      <c r="BI3347" s="77"/>
    </row>
    <row r="3348" spans="1:61" x14ac:dyDescent="0.25">
      <c r="A3348" s="62" t="s">
        <v>387</v>
      </c>
      <c r="B3348" s="62" t="s">
        <v>387</v>
      </c>
      <c r="C3348" s="63"/>
      <c r="D3348" s="64"/>
      <c r="E3348" s="65"/>
      <c r="F3348" s="66"/>
      <c r="G3348" s="63"/>
      <c r="H3348" s="67"/>
      <c r="I3348" s="68"/>
      <c r="J3348" s="68"/>
      <c r="K3348" s="32"/>
      <c r="L3348" s="75">
        <v>3348</v>
      </c>
      <c r="M3348" s="75"/>
      <c r="N3348" s="70"/>
      <c r="O3348" s="77" t="s">
        <v>179</v>
      </c>
      <c r="P3348" s="79">
        <v>45191.875011574077</v>
      </c>
      <c r="Q3348" s="77" t="s">
        <v>4018</v>
      </c>
      <c r="R3348" s="77">
        <v>0</v>
      </c>
      <c r="S3348" s="77">
        <v>0</v>
      </c>
      <c r="T3348" s="77">
        <v>0</v>
      </c>
      <c r="U3348" s="77">
        <v>0</v>
      </c>
      <c r="V3348" s="77">
        <v>559</v>
      </c>
      <c r="W3348" s="82" t="s">
        <v>6267</v>
      </c>
      <c r="X3348" s="80" t="str">
        <f>HYPERLINK("https://einvestidor.estadao.com.br/investimentos/problemas-americanas-amer3-casas-bahia-riscos-aos-fiis/?utm_source=twitter&amp;utm_medium=organic&amp;utm_campaign=&amp;utm_content=materia")</f>
        <v>https://einvestidor.estadao.com.br/investimentos/problemas-americanas-amer3-casas-bahia-riscos-aos-fiis/?utm_source=twitter&amp;utm_medium=organic&amp;utm_campaign=&amp;utm_content=materia</v>
      </c>
      <c r="Y3348" s="77" t="s">
        <v>6470</v>
      </c>
      <c r="Z3348" s="77"/>
      <c r="AA3348" s="77"/>
      <c r="AB3348" s="77"/>
      <c r="AC3348" s="82" t="s">
        <v>7750</v>
      </c>
      <c r="AD3348" s="77" t="s">
        <v>7788</v>
      </c>
      <c r="AE3348" s="80" t="str">
        <f>HYPERLINK("https://twitter.com/einvestidor/status/1705326106247868557")</f>
        <v>https://twitter.com/einvestidor/status/1705326106247868557</v>
      </c>
      <c r="AF3348" s="79">
        <v>45191.875011574077</v>
      </c>
      <c r="AG3348" s="85">
        <v>45191</v>
      </c>
      <c r="AH3348" s="82" t="s">
        <v>7871</v>
      </c>
      <c r="AI3348" s="77" t="b">
        <v>0</v>
      </c>
      <c r="AJ3348" s="77"/>
      <c r="AK3348" s="77"/>
      <c r="AL3348" s="77"/>
      <c r="AM3348" s="77"/>
      <c r="AN3348" s="77"/>
      <c r="AO3348" s="77"/>
      <c r="AP3348" s="77"/>
      <c r="AQ3348" s="77"/>
      <c r="AR3348" s="77"/>
      <c r="AS3348" s="77"/>
      <c r="AT3348" s="77"/>
      <c r="AU3348" s="77"/>
      <c r="AV3348" s="80" t="str">
        <f>HYPERLINK("https://pbs.twimg.com/profile_images/1241147984924082183/gZgx_hL-_normal.jpg")</f>
        <v>https://pbs.twimg.com/profile_images/1241147984924082183/gZgx_hL-_normal.jpg</v>
      </c>
      <c r="AW3348" s="82" t="s">
        <v>14944</v>
      </c>
      <c r="AX3348" s="82" t="s">
        <v>14944</v>
      </c>
      <c r="AY3348" s="77"/>
      <c r="AZ3348" s="82" t="s">
        <v>15984</v>
      </c>
      <c r="BA3348" s="82" t="s">
        <v>15984</v>
      </c>
      <c r="BB3348" s="82" t="s">
        <v>15984</v>
      </c>
      <c r="BC3348" s="82" t="s">
        <v>14944</v>
      </c>
      <c r="BD3348" s="82" t="s">
        <v>15979</v>
      </c>
      <c r="BE3348" s="77"/>
      <c r="BF3348" s="77"/>
      <c r="BG3348" s="77"/>
      <c r="BH3348" s="77"/>
      <c r="BI3348" s="77"/>
    </row>
    <row r="3349" spans="1:61" x14ac:dyDescent="0.25">
      <c r="A3349" s="62" t="s">
        <v>387</v>
      </c>
      <c r="B3349" s="62" t="s">
        <v>387</v>
      </c>
      <c r="C3349" s="63"/>
      <c r="D3349" s="64"/>
      <c r="E3349" s="65"/>
      <c r="F3349" s="66"/>
      <c r="G3349" s="63"/>
      <c r="H3349" s="67"/>
      <c r="I3349" s="68"/>
      <c r="J3349" s="68"/>
      <c r="K3349" s="32"/>
      <c r="L3349" s="75">
        <v>3349</v>
      </c>
      <c r="M3349" s="75"/>
      <c r="N3349" s="70"/>
      <c r="O3349" s="77" t="s">
        <v>179</v>
      </c>
      <c r="P3349" s="79">
        <v>45191.864583333336</v>
      </c>
      <c r="Q3349" s="77" t="s">
        <v>4019</v>
      </c>
      <c r="R3349" s="77">
        <v>0</v>
      </c>
      <c r="S3349" s="77">
        <v>0</v>
      </c>
      <c r="T3349" s="77">
        <v>0</v>
      </c>
      <c r="U3349" s="77">
        <v>0</v>
      </c>
      <c r="V3349" s="77">
        <v>438</v>
      </c>
      <c r="W3349" s="82" t="s">
        <v>6286</v>
      </c>
      <c r="X3349" s="80" t="str">
        <f>HYPERLINK("https://einvestidor.estadao.com.br/ultimas/eua-proibe-usuarios-subsidios-semicondutores-china/?utm_source=twitter&amp;utm_medium=organic&amp;utm_campaign=&amp;utm_content=materia")</f>
        <v>https://einvestidor.estadao.com.br/ultimas/eua-proibe-usuarios-subsidios-semicondutores-china/?utm_source=twitter&amp;utm_medium=organic&amp;utm_campaign=&amp;utm_content=materia</v>
      </c>
      <c r="Y3349" s="77" t="s">
        <v>6470</v>
      </c>
      <c r="Z3349" s="77"/>
      <c r="AA3349" s="77" t="s">
        <v>7639</v>
      </c>
      <c r="AB3349" s="77" t="s">
        <v>7742</v>
      </c>
      <c r="AC3349" s="82" t="s">
        <v>7750</v>
      </c>
      <c r="AD3349" s="77" t="s">
        <v>7788</v>
      </c>
      <c r="AE3349" s="80" t="str">
        <f>HYPERLINK("https://twitter.com/einvestidor/status/1705322324726075558")</f>
        <v>https://twitter.com/einvestidor/status/1705322324726075558</v>
      </c>
      <c r="AF3349" s="79">
        <v>45191.864583333336</v>
      </c>
      <c r="AG3349" s="85">
        <v>45191</v>
      </c>
      <c r="AH3349" s="82" t="s">
        <v>9596</v>
      </c>
      <c r="AI3349" s="77" t="b">
        <v>0</v>
      </c>
      <c r="AJ3349" s="77"/>
      <c r="AK3349" s="77"/>
      <c r="AL3349" s="77"/>
      <c r="AM3349" s="77"/>
      <c r="AN3349" s="77"/>
      <c r="AO3349" s="77"/>
      <c r="AP3349" s="77"/>
      <c r="AQ3349" s="77" t="s">
        <v>11611</v>
      </c>
      <c r="AR3349" s="77"/>
      <c r="AS3349" s="77"/>
      <c r="AT3349" s="77"/>
      <c r="AU3349" s="77"/>
      <c r="AV3349" s="80" t="str">
        <f>HYPERLINK("https://pbs.twimg.com/media/F6pvXHYXQAA-LIp.jpg")</f>
        <v>https://pbs.twimg.com/media/F6pvXHYXQAA-LIp.jpg</v>
      </c>
      <c r="AW3349" s="82" t="s">
        <v>14945</v>
      </c>
      <c r="AX3349" s="82" t="s">
        <v>14945</v>
      </c>
      <c r="AY3349" s="77"/>
      <c r="AZ3349" s="82" t="s">
        <v>15984</v>
      </c>
      <c r="BA3349" s="82" t="s">
        <v>15984</v>
      </c>
      <c r="BB3349" s="82" t="s">
        <v>15984</v>
      </c>
      <c r="BC3349" s="82" t="s">
        <v>14945</v>
      </c>
      <c r="BD3349" s="82" t="s">
        <v>15979</v>
      </c>
      <c r="BE3349" s="77"/>
      <c r="BF3349" s="77"/>
      <c r="BG3349" s="77"/>
      <c r="BH3349" s="77"/>
      <c r="BI3349" s="77"/>
    </row>
    <row r="3350" spans="1:61" x14ac:dyDescent="0.25">
      <c r="A3350" s="62" t="s">
        <v>387</v>
      </c>
      <c r="B3350" s="62" t="s">
        <v>387</v>
      </c>
      <c r="C3350" s="63"/>
      <c r="D3350" s="64"/>
      <c r="E3350" s="65"/>
      <c r="F3350" s="66"/>
      <c r="G3350" s="63"/>
      <c r="H3350" s="67"/>
      <c r="I3350" s="68"/>
      <c r="J3350" s="68"/>
      <c r="K3350" s="32"/>
      <c r="L3350" s="75">
        <v>3350</v>
      </c>
      <c r="M3350" s="75"/>
      <c r="N3350" s="70"/>
      <c r="O3350" s="77" t="s">
        <v>179</v>
      </c>
      <c r="P3350" s="79">
        <v>45191.8125</v>
      </c>
      <c r="Q3350" s="77" t="s">
        <v>4020</v>
      </c>
      <c r="R3350" s="77">
        <v>1</v>
      </c>
      <c r="S3350" s="77">
        <v>0</v>
      </c>
      <c r="T3350" s="77">
        <v>0</v>
      </c>
      <c r="U3350" s="77">
        <v>0</v>
      </c>
      <c r="V3350" s="77">
        <v>608</v>
      </c>
      <c r="W3350" s="82" t="s">
        <v>6287</v>
      </c>
      <c r="X3350" s="80" t="str">
        <f>HYPERLINK("https://einvestidor.estadao.com.br/ultimas/acoes-renner-terceiras-mais-negociadas-pregao/?utm_source=twitter&amp;utm_medium=organic&amp;utm_campaign=&amp;utm_content=materia")</f>
        <v>https://einvestidor.estadao.com.br/ultimas/acoes-renner-terceiras-mais-negociadas-pregao/?utm_source=twitter&amp;utm_medium=organic&amp;utm_campaign=&amp;utm_content=materia</v>
      </c>
      <c r="Y3350" s="77" t="s">
        <v>6470</v>
      </c>
      <c r="Z3350" s="77"/>
      <c r="AA3350" s="77"/>
      <c r="AB3350" s="77"/>
      <c r="AC3350" s="82" t="s">
        <v>7750</v>
      </c>
      <c r="AD3350" s="77" t="s">
        <v>7788</v>
      </c>
      <c r="AE3350" s="80" t="str">
        <f>HYPERLINK("https://twitter.com/einvestidor/status/1705303450861338890")</f>
        <v>https://twitter.com/einvestidor/status/1705303450861338890</v>
      </c>
      <c r="AF3350" s="79">
        <v>45191.8125</v>
      </c>
      <c r="AG3350" s="85">
        <v>45191</v>
      </c>
      <c r="AH3350" s="82" t="s">
        <v>8281</v>
      </c>
      <c r="AI3350" s="77" t="b">
        <v>0</v>
      </c>
      <c r="AJ3350" s="77"/>
      <c r="AK3350" s="77"/>
      <c r="AL3350" s="77"/>
      <c r="AM3350" s="77"/>
      <c r="AN3350" s="77"/>
      <c r="AO3350" s="77"/>
      <c r="AP3350" s="77"/>
      <c r="AQ3350" s="77"/>
      <c r="AR3350" s="77"/>
      <c r="AS3350" s="77"/>
      <c r="AT3350" s="77"/>
      <c r="AU3350" s="77"/>
      <c r="AV3350" s="80" t="str">
        <f>HYPERLINK("https://pbs.twimg.com/profile_images/1241147984924082183/gZgx_hL-_normal.jpg")</f>
        <v>https://pbs.twimg.com/profile_images/1241147984924082183/gZgx_hL-_normal.jpg</v>
      </c>
      <c r="AW3350" s="82" t="s">
        <v>14946</v>
      </c>
      <c r="AX3350" s="82" t="s">
        <v>14946</v>
      </c>
      <c r="AY3350" s="77"/>
      <c r="AZ3350" s="82" t="s">
        <v>15984</v>
      </c>
      <c r="BA3350" s="82" t="s">
        <v>15984</v>
      </c>
      <c r="BB3350" s="82" t="s">
        <v>15984</v>
      </c>
      <c r="BC3350" s="82" t="s">
        <v>14946</v>
      </c>
      <c r="BD3350" s="82" t="s">
        <v>15979</v>
      </c>
      <c r="BE3350" s="77"/>
      <c r="BF3350" s="77"/>
      <c r="BG3350" s="77"/>
      <c r="BH3350" s="77"/>
      <c r="BI3350" s="77"/>
    </row>
    <row r="3351" spans="1:61" x14ac:dyDescent="0.25">
      <c r="A3351" s="62" t="s">
        <v>387</v>
      </c>
      <c r="B3351" s="62" t="s">
        <v>387</v>
      </c>
      <c r="C3351" s="63"/>
      <c r="D3351" s="64"/>
      <c r="E3351" s="65"/>
      <c r="F3351" s="66"/>
      <c r="G3351" s="63"/>
      <c r="H3351" s="67"/>
      <c r="I3351" s="68"/>
      <c r="J3351" s="68"/>
      <c r="K3351" s="32"/>
      <c r="L3351" s="75">
        <v>3351</v>
      </c>
      <c r="M3351" s="75"/>
      <c r="N3351" s="70"/>
      <c r="O3351" s="77" t="s">
        <v>179</v>
      </c>
      <c r="P3351" s="79">
        <v>45191.854166666664</v>
      </c>
      <c r="Q3351" s="77" t="s">
        <v>4021</v>
      </c>
      <c r="R3351" s="77">
        <v>0</v>
      </c>
      <c r="S3351" s="77">
        <v>1</v>
      </c>
      <c r="T3351" s="77">
        <v>0</v>
      </c>
      <c r="U3351" s="77">
        <v>0</v>
      </c>
      <c r="V3351" s="77">
        <v>472</v>
      </c>
      <c r="W3351" s="82" t="s">
        <v>5942</v>
      </c>
      <c r="X3351" s="80" t="str">
        <f>HYPERLINK("https://einvestidor.estadao.com.br/ultimas/metais-ouro-fechamento-22-09-2023/?utm_source=twitter&amp;utm_medium=organic&amp;utm_campaign=&amp;utm_content=materia")</f>
        <v>https://einvestidor.estadao.com.br/ultimas/metais-ouro-fechamento-22-09-2023/?utm_source=twitter&amp;utm_medium=organic&amp;utm_campaign=&amp;utm_content=materia</v>
      </c>
      <c r="Y3351" s="77" t="s">
        <v>6470</v>
      </c>
      <c r="Z3351" s="77"/>
      <c r="AA3351" s="77"/>
      <c r="AB3351" s="77"/>
      <c r="AC3351" s="82" t="s">
        <v>7750</v>
      </c>
      <c r="AD3351" s="77" t="s">
        <v>7788</v>
      </c>
      <c r="AE3351" s="80" t="str">
        <f>HYPERLINK("https://twitter.com/einvestidor/status/1705318551857647624")</f>
        <v>https://twitter.com/einvestidor/status/1705318551857647624</v>
      </c>
      <c r="AF3351" s="79">
        <v>45191.854166666664</v>
      </c>
      <c r="AG3351" s="85">
        <v>45191</v>
      </c>
      <c r="AH3351" s="82" t="s">
        <v>8090</v>
      </c>
      <c r="AI3351" s="77" t="b">
        <v>0</v>
      </c>
      <c r="AJ3351" s="77"/>
      <c r="AK3351" s="77"/>
      <c r="AL3351" s="77"/>
      <c r="AM3351" s="77"/>
      <c r="AN3351" s="77"/>
      <c r="AO3351" s="77"/>
      <c r="AP3351" s="77"/>
      <c r="AQ3351" s="77"/>
      <c r="AR3351" s="77"/>
      <c r="AS3351" s="77"/>
      <c r="AT3351" s="77"/>
      <c r="AU3351" s="77"/>
      <c r="AV3351" s="80" t="str">
        <f>HYPERLINK("https://pbs.twimg.com/profile_images/1241147984924082183/gZgx_hL-_normal.jpg")</f>
        <v>https://pbs.twimg.com/profile_images/1241147984924082183/gZgx_hL-_normal.jpg</v>
      </c>
      <c r="AW3351" s="82" t="s">
        <v>14947</v>
      </c>
      <c r="AX3351" s="82" t="s">
        <v>14947</v>
      </c>
      <c r="AY3351" s="77"/>
      <c r="AZ3351" s="82" t="s">
        <v>15984</v>
      </c>
      <c r="BA3351" s="82" t="s">
        <v>15984</v>
      </c>
      <c r="BB3351" s="82" t="s">
        <v>15984</v>
      </c>
      <c r="BC3351" s="82" t="s">
        <v>14947</v>
      </c>
      <c r="BD3351" s="82" t="s">
        <v>15979</v>
      </c>
      <c r="BE3351" s="77"/>
      <c r="BF3351" s="77"/>
      <c r="BG3351" s="77"/>
      <c r="BH3351" s="77"/>
      <c r="BI3351" s="77"/>
    </row>
    <row r="3352" spans="1:61" x14ac:dyDescent="0.25">
      <c r="A3352" s="62" t="s">
        <v>387</v>
      </c>
      <c r="B3352" s="62" t="s">
        <v>387</v>
      </c>
      <c r="C3352" s="63"/>
      <c r="D3352" s="64"/>
      <c r="E3352" s="65"/>
      <c r="F3352" s="66"/>
      <c r="G3352" s="63"/>
      <c r="H3352" s="67"/>
      <c r="I3352" s="68"/>
      <c r="J3352" s="68"/>
      <c r="K3352" s="32"/>
      <c r="L3352" s="75">
        <v>3352</v>
      </c>
      <c r="M3352" s="75"/>
      <c r="N3352" s="70"/>
      <c r="O3352" s="77" t="s">
        <v>179</v>
      </c>
      <c r="P3352" s="79">
        <v>45191.84375</v>
      </c>
      <c r="Q3352" s="77" t="s">
        <v>4022</v>
      </c>
      <c r="R3352" s="77">
        <v>0</v>
      </c>
      <c r="S3352" s="77">
        <v>1</v>
      </c>
      <c r="T3352" s="77">
        <v>0</v>
      </c>
      <c r="U3352" s="77">
        <v>0</v>
      </c>
      <c r="V3352" s="77">
        <v>426</v>
      </c>
      <c r="W3352" s="82" t="s">
        <v>4833</v>
      </c>
      <c r="X3352" s="80" t="str">
        <f>HYPERLINK("https://einvestidor.estadao.com.br/ultimas/metais-cobre-fechamento-22-09-2023/?utm_source=twitter&amp;utm_medium=organic&amp;utm_campaign=&amp;utm_content=materia")</f>
        <v>https://einvestidor.estadao.com.br/ultimas/metais-cobre-fechamento-22-09-2023/?utm_source=twitter&amp;utm_medium=organic&amp;utm_campaign=&amp;utm_content=materia</v>
      </c>
      <c r="Y3352" s="77" t="s">
        <v>6470</v>
      </c>
      <c r="Z3352" s="77"/>
      <c r="AA3352" s="77" t="s">
        <v>7640</v>
      </c>
      <c r="AB3352" s="77" t="s">
        <v>7742</v>
      </c>
      <c r="AC3352" s="82" t="s">
        <v>7750</v>
      </c>
      <c r="AD3352" s="77" t="s">
        <v>7788</v>
      </c>
      <c r="AE3352" s="80" t="str">
        <f>HYPERLINK("https://twitter.com/einvestidor/status/1705314775381749893")</f>
        <v>https://twitter.com/einvestidor/status/1705314775381749893</v>
      </c>
      <c r="AF3352" s="79">
        <v>45191.84375</v>
      </c>
      <c r="AG3352" s="85">
        <v>45191</v>
      </c>
      <c r="AH3352" s="82" t="s">
        <v>9296</v>
      </c>
      <c r="AI3352" s="77" t="b">
        <v>0</v>
      </c>
      <c r="AJ3352" s="77"/>
      <c r="AK3352" s="77"/>
      <c r="AL3352" s="77"/>
      <c r="AM3352" s="77"/>
      <c r="AN3352" s="77"/>
      <c r="AO3352" s="77"/>
      <c r="AP3352" s="77"/>
      <c r="AQ3352" s="77" t="s">
        <v>11612</v>
      </c>
      <c r="AR3352" s="77"/>
      <c r="AS3352" s="77"/>
      <c r="AT3352" s="77"/>
      <c r="AU3352" s="77"/>
      <c r="AV3352" s="80" t="str">
        <f>HYPERLINK("https://pbs.twimg.com/media/F6pt0AuXYAA7BC2.jpg")</f>
        <v>https://pbs.twimg.com/media/F6pt0AuXYAA7BC2.jpg</v>
      </c>
      <c r="AW3352" s="82" t="s">
        <v>14948</v>
      </c>
      <c r="AX3352" s="82" t="s">
        <v>14948</v>
      </c>
      <c r="AY3352" s="77"/>
      <c r="AZ3352" s="82" t="s">
        <v>15984</v>
      </c>
      <c r="BA3352" s="82" t="s">
        <v>15984</v>
      </c>
      <c r="BB3352" s="82" t="s">
        <v>15984</v>
      </c>
      <c r="BC3352" s="82" t="s">
        <v>14948</v>
      </c>
      <c r="BD3352" s="82" t="s">
        <v>15979</v>
      </c>
      <c r="BE3352" s="77"/>
      <c r="BF3352" s="77"/>
      <c r="BG3352" s="77"/>
      <c r="BH3352" s="77"/>
      <c r="BI3352" s="77"/>
    </row>
    <row r="3353" spans="1:61" x14ac:dyDescent="0.25">
      <c r="A3353" s="62" t="s">
        <v>387</v>
      </c>
      <c r="B3353" s="62" t="s">
        <v>387</v>
      </c>
      <c r="C3353" s="63"/>
      <c r="D3353" s="64"/>
      <c r="E3353" s="65"/>
      <c r="F3353" s="66"/>
      <c r="G3353" s="63"/>
      <c r="H3353" s="67"/>
      <c r="I3353" s="68"/>
      <c r="J3353" s="68"/>
      <c r="K3353" s="32"/>
      <c r="L3353" s="75">
        <v>3353</v>
      </c>
      <c r="M3353" s="75"/>
      <c r="N3353" s="70"/>
      <c r="O3353" s="77" t="s">
        <v>179</v>
      </c>
      <c r="P3353" s="79">
        <v>45191.833333333336</v>
      </c>
      <c r="Q3353" s="77" t="s">
        <v>4023</v>
      </c>
      <c r="R3353" s="77">
        <v>0</v>
      </c>
      <c r="S3353" s="77">
        <v>1</v>
      </c>
      <c r="T3353" s="77">
        <v>2</v>
      </c>
      <c r="U3353" s="77">
        <v>0</v>
      </c>
      <c r="V3353" s="77">
        <v>599</v>
      </c>
      <c r="W3353" s="82" t="s">
        <v>6209</v>
      </c>
      <c r="X3353" s="80" t="str">
        <f>HYPERLINK("https://einvestidor.estadao.com.br/ultimas/mglu3-magazine-luiza-acoes-caem/?utm_source=twitter&amp;utm_medium=organic&amp;utm_campaign=&amp;utm_content=materia")</f>
        <v>https://einvestidor.estadao.com.br/ultimas/mglu3-magazine-luiza-acoes-caem/?utm_source=twitter&amp;utm_medium=organic&amp;utm_campaign=&amp;utm_content=materia</v>
      </c>
      <c r="Y3353" s="77" t="s">
        <v>6470</v>
      </c>
      <c r="Z3353" s="77"/>
      <c r="AA3353" s="77" t="s">
        <v>7641</v>
      </c>
      <c r="AB3353" s="77" t="s">
        <v>7742</v>
      </c>
      <c r="AC3353" s="82" t="s">
        <v>7750</v>
      </c>
      <c r="AD3353" s="77" t="s">
        <v>7788</v>
      </c>
      <c r="AE3353" s="80" t="str">
        <f>HYPERLINK("https://twitter.com/einvestidor/status/1705311000377860139")</f>
        <v>https://twitter.com/einvestidor/status/1705311000377860139</v>
      </c>
      <c r="AF3353" s="79">
        <v>45191.833333333336</v>
      </c>
      <c r="AG3353" s="85">
        <v>45191</v>
      </c>
      <c r="AH3353" s="82" t="s">
        <v>8381</v>
      </c>
      <c r="AI3353" s="77" t="b">
        <v>0</v>
      </c>
      <c r="AJ3353" s="77"/>
      <c r="AK3353" s="77"/>
      <c r="AL3353" s="77"/>
      <c r="AM3353" s="77"/>
      <c r="AN3353" s="77"/>
      <c r="AO3353" s="77"/>
      <c r="AP3353" s="77"/>
      <c r="AQ3353" s="77" t="s">
        <v>11613</v>
      </c>
      <c r="AR3353" s="77"/>
      <c r="AS3353" s="77"/>
      <c r="AT3353" s="77"/>
      <c r="AU3353" s="77"/>
      <c r="AV3353" s="80" t="str">
        <f>HYPERLINK("https://pbs.twimg.com/media/F6pr6XmX0AAfpCy.jpg")</f>
        <v>https://pbs.twimg.com/media/F6pr6XmX0AAfpCy.jpg</v>
      </c>
      <c r="AW3353" s="82" t="s">
        <v>14949</v>
      </c>
      <c r="AX3353" s="82" t="s">
        <v>14949</v>
      </c>
      <c r="AY3353" s="77"/>
      <c r="AZ3353" s="82" t="s">
        <v>15984</v>
      </c>
      <c r="BA3353" s="82" t="s">
        <v>15984</v>
      </c>
      <c r="BB3353" s="82" t="s">
        <v>15984</v>
      </c>
      <c r="BC3353" s="82" t="s">
        <v>14949</v>
      </c>
      <c r="BD3353" s="82" t="s">
        <v>15979</v>
      </c>
      <c r="BE3353" s="77"/>
      <c r="BF3353" s="77"/>
      <c r="BG3353" s="77"/>
      <c r="BH3353" s="77"/>
      <c r="BI3353" s="77"/>
    </row>
    <row r="3354" spans="1:61" x14ac:dyDescent="0.25">
      <c r="A3354" s="62" t="s">
        <v>387</v>
      </c>
      <c r="B3354" s="62" t="s">
        <v>387</v>
      </c>
      <c r="C3354" s="63"/>
      <c r="D3354" s="64"/>
      <c r="E3354" s="65"/>
      <c r="F3354" s="66"/>
      <c r="G3354" s="63"/>
      <c r="H3354" s="67"/>
      <c r="I3354" s="68"/>
      <c r="J3354" s="68"/>
      <c r="K3354" s="32"/>
      <c r="L3354" s="75">
        <v>3354</v>
      </c>
      <c r="M3354" s="75"/>
      <c r="N3354" s="70"/>
      <c r="O3354" s="77" t="s">
        <v>179</v>
      </c>
      <c r="P3354" s="79">
        <v>45191.822916666664</v>
      </c>
      <c r="Q3354" s="77" t="s">
        <v>4024</v>
      </c>
      <c r="R3354" s="77">
        <v>0</v>
      </c>
      <c r="S3354" s="77">
        <v>0</v>
      </c>
      <c r="T3354" s="77">
        <v>0</v>
      </c>
      <c r="U3354" s="77">
        <v>0</v>
      </c>
      <c r="V3354" s="77">
        <v>482</v>
      </c>
      <c r="W3354" s="82" t="s">
        <v>4833</v>
      </c>
      <c r="X3354" s="80" t="str">
        <f>HYPERLINK("https://einvestidor.estadao.com.br/ultimas/evergrande-reavalia-acordo-divida/?utm_source=twitter&amp;utm_medium=organic&amp;utm_campaign=&amp;utm_content=materia")</f>
        <v>https://einvestidor.estadao.com.br/ultimas/evergrande-reavalia-acordo-divida/?utm_source=twitter&amp;utm_medium=organic&amp;utm_campaign=&amp;utm_content=materia</v>
      </c>
      <c r="Y3354" s="77" t="s">
        <v>6470</v>
      </c>
      <c r="Z3354" s="77"/>
      <c r="AA3354" s="77" t="s">
        <v>7642</v>
      </c>
      <c r="AB3354" s="77" t="s">
        <v>7742</v>
      </c>
      <c r="AC3354" s="82" t="s">
        <v>7750</v>
      </c>
      <c r="AD3354" s="77" t="s">
        <v>7788</v>
      </c>
      <c r="AE3354" s="80" t="str">
        <f>HYPERLINK("https://twitter.com/einvestidor/status/1705307225206448376")</f>
        <v>https://twitter.com/einvestidor/status/1705307225206448376</v>
      </c>
      <c r="AF3354" s="79">
        <v>45191.822916666664</v>
      </c>
      <c r="AG3354" s="85">
        <v>45191</v>
      </c>
      <c r="AH3354" s="82" t="s">
        <v>9579</v>
      </c>
      <c r="AI3354" s="77" t="b">
        <v>0</v>
      </c>
      <c r="AJ3354" s="77"/>
      <c r="AK3354" s="77"/>
      <c r="AL3354" s="77"/>
      <c r="AM3354" s="77"/>
      <c r="AN3354" s="77"/>
      <c r="AO3354" s="77"/>
      <c r="AP3354" s="77"/>
      <c r="AQ3354" s="77" t="s">
        <v>11614</v>
      </c>
      <c r="AR3354" s="77"/>
      <c r="AS3354" s="77"/>
      <c r="AT3354" s="77"/>
      <c r="AU3354" s="77"/>
      <c r="AV3354" s="80" t="str">
        <f>HYPERLINK("https://pbs.twimg.com/media/F6poE2sXUAAR3RD.jpg")</f>
        <v>https://pbs.twimg.com/media/F6poE2sXUAAR3RD.jpg</v>
      </c>
      <c r="AW3354" s="82" t="s">
        <v>14950</v>
      </c>
      <c r="AX3354" s="82" t="s">
        <v>14950</v>
      </c>
      <c r="AY3354" s="77"/>
      <c r="AZ3354" s="82" t="s">
        <v>15984</v>
      </c>
      <c r="BA3354" s="82" t="s">
        <v>15984</v>
      </c>
      <c r="BB3354" s="82" t="s">
        <v>15984</v>
      </c>
      <c r="BC3354" s="82" t="s">
        <v>14950</v>
      </c>
      <c r="BD3354" s="82" t="s">
        <v>15979</v>
      </c>
      <c r="BE3354" s="77"/>
      <c r="BF3354" s="77"/>
      <c r="BG3354" s="77"/>
      <c r="BH3354" s="77"/>
      <c r="BI3354" s="77"/>
    </row>
    <row r="3355" spans="1:61" x14ac:dyDescent="0.25">
      <c r="A3355" s="62" t="s">
        <v>387</v>
      </c>
      <c r="B3355" s="62" t="s">
        <v>387</v>
      </c>
      <c r="C3355" s="63"/>
      <c r="D3355" s="64"/>
      <c r="E3355" s="65"/>
      <c r="F3355" s="66"/>
      <c r="G3355" s="63"/>
      <c r="H3355" s="67"/>
      <c r="I3355" s="68"/>
      <c r="J3355" s="68"/>
      <c r="K3355" s="32"/>
      <c r="L3355" s="75">
        <v>3355</v>
      </c>
      <c r="M3355" s="75"/>
      <c r="N3355" s="70"/>
      <c r="O3355" s="77" t="s">
        <v>179</v>
      </c>
      <c r="P3355" s="79">
        <v>45191.802083333336</v>
      </c>
      <c r="Q3355" s="77" t="s">
        <v>4025</v>
      </c>
      <c r="R3355" s="77">
        <v>0</v>
      </c>
      <c r="S3355" s="77">
        <v>0</v>
      </c>
      <c r="T3355" s="77">
        <v>0</v>
      </c>
      <c r="U3355" s="77">
        <v>0</v>
      </c>
      <c r="V3355" s="77">
        <v>486</v>
      </c>
      <c r="W3355" s="82" t="s">
        <v>5907</v>
      </c>
      <c r="X3355" s="80" t="str">
        <f>HYPERLINK("https://einvestidor.estadao.com.br/ultimas/vale3-vale-acoes-disparam-setor-mineracao/?utm_source=twitter&amp;utm_medium=organic&amp;utm_campaign=&amp;utm_content=materia")</f>
        <v>https://einvestidor.estadao.com.br/ultimas/vale3-vale-acoes-disparam-setor-mineracao/?utm_source=twitter&amp;utm_medium=organic&amp;utm_campaign=&amp;utm_content=materia</v>
      </c>
      <c r="Y3355" s="77" t="s">
        <v>6470</v>
      </c>
      <c r="Z3355" s="77"/>
      <c r="AA3355" s="77"/>
      <c r="AB3355" s="77"/>
      <c r="AC3355" s="82" t="s">
        <v>7750</v>
      </c>
      <c r="AD3355" s="77" t="s">
        <v>7788</v>
      </c>
      <c r="AE3355" s="80" t="str">
        <f>HYPERLINK("https://twitter.com/einvestidor/status/1705299675681894568")</f>
        <v>https://twitter.com/einvestidor/status/1705299675681894568</v>
      </c>
      <c r="AF3355" s="79">
        <v>45191.802083333336</v>
      </c>
      <c r="AG3355" s="85">
        <v>45191</v>
      </c>
      <c r="AH3355" s="82" t="s">
        <v>7868</v>
      </c>
      <c r="AI3355" s="77" t="b">
        <v>0</v>
      </c>
      <c r="AJ3355" s="77"/>
      <c r="AK3355" s="77"/>
      <c r="AL3355" s="77"/>
      <c r="AM3355" s="77"/>
      <c r="AN3355" s="77"/>
      <c r="AO3355" s="77"/>
      <c r="AP3355" s="77"/>
      <c r="AQ3355" s="77"/>
      <c r="AR3355" s="77"/>
      <c r="AS3355" s="77"/>
      <c r="AT3355" s="77"/>
      <c r="AU3355" s="77"/>
      <c r="AV3355" s="80" t="str">
        <f>HYPERLINK("https://pbs.twimg.com/profile_images/1241147984924082183/gZgx_hL-_normal.jpg")</f>
        <v>https://pbs.twimg.com/profile_images/1241147984924082183/gZgx_hL-_normal.jpg</v>
      </c>
      <c r="AW3355" s="82" t="s">
        <v>14951</v>
      </c>
      <c r="AX3355" s="82" t="s">
        <v>14951</v>
      </c>
      <c r="AY3355" s="77"/>
      <c r="AZ3355" s="82" t="s">
        <v>15984</v>
      </c>
      <c r="BA3355" s="82" t="s">
        <v>15984</v>
      </c>
      <c r="BB3355" s="82" t="s">
        <v>15984</v>
      </c>
      <c r="BC3355" s="82" t="s">
        <v>14951</v>
      </c>
      <c r="BD3355" s="82" t="s">
        <v>15979</v>
      </c>
      <c r="BE3355" s="77"/>
      <c r="BF3355" s="77"/>
      <c r="BG3355" s="77"/>
      <c r="BH3355" s="77"/>
      <c r="BI3355" s="77"/>
    </row>
    <row r="3356" spans="1:61" x14ac:dyDescent="0.25">
      <c r="A3356" s="62" t="s">
        <v>387</v>
      </c>
      <c r="B3356" s="62" t="s">
        <v>387</v>
      </c>
      <c r="C3356" s="63"/>
      <c r="D3356" s="64"/>
      <c r="E3356" s="65"/>
      <c r="F3356" s="66"/>
      <c r="G3356" s="63"/>
      <c r="H3356" s="67"/>
      <c r="I3356" s="68"/>
      <c r="J3356" s="68"/>
      <c r="K3356" s="32"/>
      <c r="L3356" s="75">
        <v>3356</v>
      </c>
      <c r="M3356" s="75"/>
      <c r="N3356" s="70"/>
      <c r="O3356" s="77" t="s">
        <v>179</v>
      </c>
      <c r="P3356" s="79">
        <v>45191.791678240741</v>
      </c>
      <c r="Q3356" s="77" t="s">
        <v>4026</v>
      </c>
      <c r="R3356" s="77">
        <v>0</v>
      </c>
      <c r="S3356" s="77">
        <v>1</v>
      </c>
      <c r="T3356" s="77">
        <v>0</v>
      </c>
      <c r="U3356" s="77">
        <v>0</v>
      </c>
      <c r="V3356" s="77">
        <v>384</v>
      </c>
      <c r="W3356" s="82" t="s">
        <v>6288</v>
      </c>
      <c r="X3356" s="80" t="str">
        <f>HYPERLINK("https://einvestidor.estadao.com.br/investimentos/fundos-multimercados-corte-selic/?utm_source=twitter&amp;utm_medium=organic&amp;utm_campaign=&amp;utm_content=materia")</f>
        <v>https://einvestidor.estadao.com.br/investimentos/fundos-multimercados-corte-selic/?utm_source=twitter&amp;utm_medium=organic&amp;utm_campaign=&amp;utm_content=materia</v>
      </c>
      <c r="Y3356" s="77" t="s">
        <v>6470</v>
      </c>
      <c r="Z3356" s="77"/>
      <c r="AA3356" s="77" t="s">
        <v>7643</v>
      </c>
      <c r="AB3356" s="77" t="s">
        <v>7742</v>
      </c>
      <c r="AC3356" s="82" t="s">
        <v>7750</v>
      </c>
      <c r="AD3356" s="77" t="s">
        <v>7788</v>
      </c>
      <c r="AE3356" s="80" t="str">
        <f>HYPERLINK("https://twitter.com/einvestidor/status/1705295904998080825")</f>
        <v>https://twitter.com/einvestidor/status/1705295904998080825</v>
      </c>
      <c r="AF3356" s="79">
        <v>45191.791678240741</v>
      </c>
      <c r="AG3356" s="85">
        <v>45191</v>
      </c>
      <c r="AH3356" s="82" t="s">
        <v>7933</v>
      </c>
      <c r="AI3356" s="77" t="b">
        <v>0</v>
      </c>
      <c r="AJ3356" s="77"/>
      <c r="AK3356" s="77"/>
      <c r="AL3356" s="77"/>
      <c r="AM3356" s="77"/>
      <c r="AN3356" s="77"/>
      <c r="AO3356" s="77"/>
      <c r="AP3356" s="77"/>
      <c r="AQ3356" s="77" t="s">
        <v>11615</v>
      </c>
      <c r="AR3356" s="77"/>
      <c r="AS3356" s="77"/>
      <c r="AT3356" s="77"/>
      <c r="AU3356" s="77"/>
      <c r="AV3356" s="80" t="str">
        <f>HYPERLINK("https://pbs.twimg.com/media/F6pboMeW8AAkG7k.jpg")</f>
        <v>https://pbs.twimg.com/media/F6pboMeW8AAkG7k.jpg</v>
      </c>
      <c r="AW3356" s="82" t="s">
        <v>14952</v>
      </c>
      <c r="AX3356" s="82" t="s">
        <v>14952</v>
      </c>
      <c r="AY3356" s="77"/>
      <c r="AZ3356" s="82" t="s">
        <v>15984</v>
      </c>
      <c r="BA3356" s="82" t="s">
        <v>15984</v>
      </c>
      <c r="BB3356" s="82" t="s">
        <v>15984</v>
      </c>
      <c r="BC3356" s="82" t="s">
        <v>14952</v>
      </c>
      <c r="BD3356" s="82" t="s">
        <v>15979</v>
      </c>
      <c r="BE3356" s="77"/>
      <c r="BF3356" s="77"/>
      <c r="BG3356" s="77"/>
      <c r="BH3356" s="77"/>
      <c r="BI3356" s="77"/>
    </row>
    <row r="3357" spans="1:61" x14ac:dyDescent="0.25">
      <c r="A3357" s="62" t="s">
        <v>387</v>
      </c>
      <c r="B3357" s="62" t="s">
        <v>387</v>
      </c>
      <c r="C3357" s="63"/>
      <c r="D3357" s="64"/>
      <c r="E3357" s="65"/>
      <c r="F3357" s="66"/>
      <c r="G3357" s="63"/>
      <c r="H3357" s="67"/>
      <c r="I3357" s="68"/>
      <c r="J3357" s="68"/>
      <c r="K3357" s="32"/>
      <c r="L3357" s="75">
        <v>3357</v>
      </c>
      <c r="M3357" s="75"/>
      <c r="N3357" s="70"/>
      <c r="O3357" s="77" t="s">
        <v>179</v>
      </c>
      <c r="P3357" s="79">
        <v>45191.78125</v>
      </c>
      <c r="Q3357" s="77" t="s">
        <v>4027</v>
      </c>
      <c r="R3357" s="77">
        <v>0</v>
      </c>
      <c r="S3357" s="77">
        <v>0</v>
      </c>
      <c r="T3357" s="77">
        <v>0</v>
      </c>
      <c r="U3357" s="77">
        <v>0</v>
      </c>
      <c r="V3357" s="77">
        <v>423</v>
      </c>
      <c r="W3357" s="82" t="s">
        <v>5994</v>
      </c>
      <c r="X3357" s="80" t="str">
        <f>HYPERLINK("https://einvestidor.estadao.com.br/educacao-financeira/por-que-declaracoes-ir-cairam-malha-fina/?utm_source=twitter&amp;utm_medium=organic&amp;utm_campaign=&amp;utm_content=materia")</f>
        <v>https://einvestidor.estadao.com.br/educacao-financeira/por-que-declaracoes-ir-cairam-malha-fina/?utm_source=twitter&amp;utm_medium=organic&amp;utm_campaign=&amp;utm_content=materia</v>
      </c>
      <c r="Y3357" s="77" t="s">
        <v>6470</v>
      </c>
      <c r="Z3357" s="77"/>
      <c r="AA3357" s="77" t="s">
        <v>7644</v>
      </c>
      <c r="AB3357" s="77" t="s">
        <v>7742</v>
      </c>
      <c r="AC3357" s="82" t="s">
        <v>7750</v>
      </c>
      <c r="AD3357" s="77" t="s">
        <v>7788</v>
      </c>
      <c r="AE3357" s="80" t="str">
        <f>HYPERLINK("https://twitter.com/einvestidor/status/1705292125942726901")</f>
        <v>https://twitter.com/einvestidor/status/1705292125942726901</v>
      </c>
      <c r="AF3357" s="79">
        <v>45191.78125</v>
      </c>
      <c r="AG3357" s="85">
        <v>45191</v>
      </c>
      <c r="AH3357" s="82" t="s">
        <v>9581</v>
      </c>
      <c r="AI3357" s="77" t="b">
        <v>0</v>
      </c>
      <c r="AJ3357" s="77"/>
      <c r="AK3357" s="77"/>
      <c r="AL3357" s="77"/>
      <c r="AM3357" s="77"/>
      <c r="AN3357" s="77"/>
      <c r="AO3357" s="77"/>
      <c r="AP3357" s="77"/>
      <c r="AQ3357" s="77" t="s">
        <v>11616</v>
      </c>
      <c r="AR3357" s="77"/>
      <c r="AS3357" s="77"/>
      <c r="AT3357" s="77"/>
      <c r="AU3357" s="77"/>
      <c r="AV3357" s="80" t="str">
        <f>HYPERLINK("https://pbs.twimg.com/media/F6pWfEgXMAE1qwh.jpg")</f>
        <v>https://pbs.twimg.com/media/F6pWfEgXMAE1qwh.jpg</v>
      </c>
      <c r="AW3357" s="82" t="s">
        <v>14953</v>
      </c>
      <c r="AX3357" s="82" t="s">
        <v>14953</v>
      </c>
      <c r="AY3357" s="77"/>
      <c r="AZ3357" s="82" t="s">
        <v>15984</v>
      </c>
      <c r="BA3357" s="82" t="s">
        <v>15984</v>
      </c>
      <c r="BB3357" s="82" t="s">
        <v>15984</v>
      </c>
      <c r="BC3357" s="82" t="s">
        <v>14953</v>
      </c>
      <c r="BD3357" s="82" t="s">
        <v>15979</v>
      </c>
      <c r="BE3357" s="77"/>
      <c r="BF3357" s="77"/>
      <c r="BG3357" s="77"/>
      <c r="BH3357" s="77"/>
      <c r="BI3357" s="77"/>
    </row>
    <row r="3358" spans="1:61" x14ac:dyDescent="0.25">
      <c r="A3358" s="62" t="s">
        <v>387</v>
      </c>
      <c r="B3358" s="62" t="s">
        <v>387</v>
      </c>
      <c r="C3358" s="63"/>
      <c r="D3358" s="64"/>
      <c r="E3358" s="65"/>
      <c r="F3358" s="66"/>
      <c r="G3358" s="63"/>
      <c r="H3358" s="67"/>
      <c r="I3358" s="68"/>
      <c r="J3358" s="68"/>
      <c r="K3358" s="32"/>
      <c r="L3358" s="75">
        <v>3358</v>
      </c>
      <c r="M3358" s="75"/>
      <c r="N3358" s="70"/>
      <c r="O3358" s="77" t="s">
        <v>179</v>
      </c>
      <c r="P3358" s="79">
        <v>45191.719629629632</v>
      </c>
      <c r="Q3358" s="77" t="s">
        <v>4028</v>
      </c>
      <c r="R3358" s="77">
        <v>1</v>
      </c>
      <c r="S3358" s="77">
        <v>2</v>
      </c>
      <c r="T3358" s="77">
        <v>0</v>
      </c>
      <c r="U3358" s="77">
        <v>0</v>
      </c>
      <c r="V3358" s="77">
        <v>576</v>
      </c>
      <c r="W3358" s="82" t="s">
        <v>4833</v>
      </c>
      <c r="X3358" s="80" t="str">
        <f>HYPERLINK("https://einvestidor.estadao.com.br/mercado/mercado-intraday-22-09-2023/?utm_source=twitter&amp;utm_medium=organic&amp;utm_campaign=&amp;utm_content=materia")</f>
        <v>https://einvestidor.estadao.com.br/mercado/mercado-intraday-22-09-2023/?utm_source=twitter&amp;utm_medium=organic&amp;utm_campaign=&amp;utm_content=materia</v>
      </c>
      <c r="Y3358" s="77" t="s">
        <v>6470</v>
      </c>
      <c r="Z3358" s="77"/>
      <c r="AA3358" s="77"/>
      <c r="AB3358" s="77"/>
      <c r="AC3358" s="82" t="s">
        <v>7750</v>
      </c>
      <c r="AD3358" s="77" t="s">
        <v>7788</v>
      </c>
      <c r="AE3358" s="80" t="str">
        <f>HYPERLINK("https://twitter.com/einvestidor/status/1705269797775114343")</f>
        <v>https://twitter.com/einvestidor/status/1705269797775114343</v>
      </c>
      <c r="AF3358" s="79">
        <v>45191.719629629632</v>
      </c>
      <c r="AG3358" s="85">
        <v>45191</v>
      </c>
      <c r="AH3358" s="82" t="s">
        <v>10025</v>
      </c>
      <c r="AI3358" s="77" t="b">
        <v>0</v>
      </c>
      <c r="AJ3358" s="77"/>
      <c r="AK3358" s="77"/>
      <c r="AL3358" s="77"/>
      <c r="AM3358" s="77"/>
      <c r="AN3358" s="77"/>
      <c r="AO3358" s="77"/>
      <c r="AP3358" s="77"/>
      <c r="AQ3358" s="77"/>
      <c r="AR3358" s="77"/>
      <c r="AS3358" s="77"/>
      <c r="AT3358" s="77"/>
      <c r="AU3358" s="77"/>
      <c r="AV3358" s="80" t="str">
        <f>HYPERLINK("https://pbs.twimg.com/profile_images/1241147984924082183/gZgx_hL-_normal.jpg")</f>
        <v>https://pbs.twimg.com/profile_images/1241147984924082183/gZgx_hL-_normal.jpg</v>
      </c>
      <c r="AW3358" s="82" t="s">
        <v>14954</v>
      </c>
      <c r="AX3358" s="82" t="s">
        <v>14954</v>
      </c>
      <c r="AY3358" s="77"/>
      <c r="AZ3358" s="82" t="s">
        <v>15984</v>
      </c>
      <c r="BA3358" s="82" t="s">
        <v>15984</v>
      </c>
      <c r="BB3358" s="82" t="s">
        <v>15984</v>
      </c>
      <c r="BC3358" s="82" t="s">
        <v>14954</v>
      </c>
      <c r="BD3358" s="82" t="s">
        <v>15979</v>
      </c>
      <c r="BE3358" s="77"/>
      <c r="BF3358" s="77"/>
      <c r="BG3358" s="77"/>
      <c r="BH3358" s="77"/>
      <c r="BI3358" s="77"/>
    </row>
    <row r="3359" spans="1:61" x14ac:dyDescent="0.25">
      <c r="A3359" s="62" t="s">
        <v>387</v>
      </c>
      <c r="B3359" s="62" t="s">
        <v>387</v>
      </c>
      <c r="C3359" s="63"/>
      <c r="D3359" s="64"/>
      <c r="E3359" s="65"/>
      <c r="F3359" s="66"/>
      <c r="G3359" s="63"/>
      <c r="H3359" s="67"/>
      <c r="I3359" s="68"/>
      <c r="J3359" s="68"/>
      <c r="K3359" s="32"/>
      <c r="L3359" s="75">
        <v>3359</v>
      </c>
      <c r="M3359" s="75"/>
      <c r="N3359" s="70"/>
      <c r="O3359" s="77" t="s">
        <v>179</v>
      </c>
      <c r="P3359" s="79">
        <v>45188.927083333336</v>
      </c>
      <c r="Q3359" s="77" t="s">
        <v>4029</v>
      </c>
      <c r="R3359" s="77">
        <v>0</v>
      </c>
      <c r="S3359" s="77">
        <v>0</v>
      </c>
      <c r="T3359" s="77">
        <v>0</v>
      </c>
      <c r="U3359" s="77">
        <v>0</v>
      </c>
      <c r="V3359" s="77">
        <v>532</v>
      </c>
      <c r="W3359" s="82" t="s">
        <v>6289</v>
      </c>
      <c r="X3359" s="80" t="str">
        <f>HYPERLINK("https://einvestidor.estadao.com.br/radar-einvestidor/acoes-alpargatas-alpa4-queda-decisao-dynamo/?utm_source=twitter&amp;utm_medium=organic&amp;utm_campaign=&amp;utm_content=materia")</f>
        <v>https://einvestidor.estadao.com.br/radar-einvestidor/acoes-alpargatas-alpa4-queda-decisao-dynamo/?utm_source=twitter&amp;utm_medium=organic&amp;utm_campaign=&amp;utm_content=materia</v>
      </c>
      <c r="Y3359" s="77" t="s">
        <v>6470</v>
      </c>
      <c r="Z3359" s="77"/>
      <c r="AA3359" s="77"/>
      <c r="AB3359" s="77"/>
      <c r="AC3359" s="82" t="s">
        <v>7750</v>
      </c>
      <c r="AD3359" s="77" t="s">
        <v>7788</v>
      </c>
      <c r="AE3359" s="80" t="str">
        <f>HYPERLINK("https://twitter.com/einvestidor/status/1704257810895421554")</f>
        <v>https://twitter.com/einvestidor/status/1704257810895421554</v>
      </c>
      <c r="AF3359" s="79">
        <v>45188.927083333336</v>
      </c>
      <c r="AG3359" s="85">
        <v>45188</v>
      </c>
      <c r="AH3359" s="82" t="s">
        <v>9576</v>
      </c>
      <c r="AI3359" s="77" t="b">
        <v>0</v>
      </c>
      <c r="AJ3359" s="77"/>
      <c r="AK3359" s="77"/>
      <c r="AL3359" s="77"/>
      <c r="AM3359" s="77"/>
      <c r="AN3359" s="77"/>
      <c r="AO3359" s="77"/>
      <c r="AP3359" s="77"/>
      <c r="AQ3359" s="77"/>
      <c r="AR3359" s="77"/>
      <c r="AS3359" s="77"/>
      <c r="AT3359" s="77"/>
      <c r="AU3359" s="77"/>
      <c r="AV3359" s="80" t="str">
        <f>HYPERLINK("https://pbs.twimg.com/profile_images/1241147984924082183/gZgx_hL-_normal.jpg")</f>
        <v>https://pbs.twimg.com/profile_images/1241147984924082183/gZgx_hL-_normal.jpg</v>
      </c>
      <c r="AW3359" s="82" t="s">
        <v>14955</v>
      </c>
      <c r="AX3359" s="82" t="s">
        <v>14955</v>
      </c>
      <c r="AY3359" s="77"/>
      <c r="AZ3359" s="82" t="s">
        <v>15984</v>
      </c>
      <c r="BA3359" s="82" t="s">
        <v>15984</v>
      </c>
      <c r="BB3359" s="82" t="s">
        <v>15984</v>
      </c>
      <c r="BC3359" s="82" t="s">
        <v>14955</v>
      </c>
      <c r="BD3359" s="82" t="s">
        <v>15979</v>
      </c>
      <c r="BE3359" s="77"/>
      <c r="BF3359" s="77"/>
      <c r="BG3359" s="77"/>
      <c r="BH3359" s="77"/>
      <c r="BI3359" s="77"/>
    </row>
    <row r="3360" spans="1:61" x14ac:dyDescent="0.25">
      <c r="A3360" s="62" t="s">
        <v>387</v>
      </c>
      <c r="B3360" s="62" t="s">
        <v>387</v>
      </c>
      <c r="C3360" s="63"/>
      <c r="D3360" s="64"/>
      <c r="E3360" s="65"/>
      <c r="F3360" s="66"/>
      <c r="G3360" s="63"/>
      <c r="H3360" s="67"/>
      <c r="I3360" s="68"/>
      <c r="J3360" s="68"/>
      <c r="K3360" s="32"/>
      <c r="L3360" s="75">
        <v>3360</v>
      </c>
      <c r="M3360" s="75"/>
      <c r="N3360" s="70"/>
      <c r="O3360" s="77" t="s">
        <v>179</v>
      </c>
      <c r="P3360" s="79">
        <v>45188.916481481479</v>
      </c>
      <c r="Q3360" s="77" t="s">
        <v>4030</v>
      </c>
      <c r="R3360" s="77">
        <v>0</v>
      </c>
      <c r="S3360" s="77">
        <v>2</v>
      </c>
      <c r="T3360" s="77">
        <v>0</v>
      </c>
      <c r="U3360" s="77">
        <v>0</v>
      </c>
      <c r="V3360" s="77">
        <v>467</v>
      </c>
      <c r="W3360" s="82" t="s">
        <v>4833</v>
      </c>
      <c r="X3360" s="80" t="str">
        <f>HYPERLINK("https://einvestidor.estadao.com.br/mercado/fechamento-de-mercado-19-09-2023/?utm_source=twitter&amp;utm_medium=organic&amp;utm_campaign=&amp;utm_content=materia")</f>
        <v>https://einvestidor.estadao.com.br/mercado/fechamento-de-mercado-19-09-2023/?utm_source=twitter&amp;utm_medium=organic&amp;utm_campaign=&amp;utm_content=materia</v>
      </c>
      <c r="Y3360" s="77" t="s">
        <v>6470</v>
      </c>
      <c r="Z3360" s="77"/>
      <c r="AA3360" s="77"/>
      <c r="AB3360" s="77"/>
      <c r="AC3360" s="82" t="s">
        <v>7750</v>
      </c>
      <c r="AD3360" s="77" t="s">
        <v>7788</v>
      </c>
      <c r="AE3360" s="80" t="str">
        <f>HYPERLINK("https://twitter.com/einvestidor/status/1704253971349598674")</f>
        <v>https://twitter.com/einvestidor/status/1704253971349598674</v>
      </c>
      <c r="AF3360" s="79">
        <v>45188.916481481479</v>
      </c>
      <c r="AG3360" s="85">
        <v>45188</v>
      </c>
      <c r="AH3360" s="82" t="s">
        <v>10026</v>
      </c>
      <c r="AI3360" s="77" t="b">
        <v>0</v>
      </c>
      <c r="AJ3360" s="77"/>
      <c r="AK3360" s="77"/>
      <c r="AL3360" s="77"/>
      <c r="AM3360" s="77"/>
      <c r="AN3360" s="77"/>
      <c r="AO3360" s="77"/>
      <c r="AP3360" s="77"/>
      <c r="AQ3360" s="77"/>
      <c r="AR3360" s="77"/>
      <c r="AS3360" s="77"/>
      <c r="AT3360" s="77"/>
      <c r="AU3360" s="77"/>
      <c r="AV3360" s="80" t="str">
        <f>HYPERLINK("https://pbs.twimg.com/profile_images/1241147984924082183/gZgx_hL-_normal.jpg")</f>
        <v>https://pbs.twimg.com/profile_images/1241147984924082183/gZgx_hL-_normal.jpg</v>
      </c>
      <c r="AW3360" s="82" t="s">
        <v>14956</v>
      </c>
      <c r="AX3360" s="82" t="s">
        <v>14956</v>
      </c>
      <c r="AY3360" s="77"/>
      <c r="AZ3360" s="82" t="s">
        <v>15984</v>
      </c>
      <c r="BA3360" s="82" t="s">
        <v>15984</v>
      </c>
      <c r="BB3360" s="82" t="s">
        <v>15984</v>
      </c>
      <c r="BC3360" s="82" t="s">
        <v>14956</v>
      </c>
      <c r="BD3360" s="82" t="s">
        <v>15979</v>
      </c>
      <c r="BE3360" s="77"/>
      <c r="BF3360" s="77"/>
      <c r="BG3360" s="77"/>
      <c r="BH3360" s="77"/>
      <c r="BI3360" s="77"/>
    </row>
    <row r="3361" spans="1:61" x14ac:dyDescent="0.25">
      <c r="A3361" s="62" t="s">
        <v>387</v>
      </c>
      <c r="B3361" s="62" t="s">
        <v>387</v>
      </c>
      <c r="C3361" s="63"/>
      <c r="D3361" s="64"/>
      <c r="E3361" s="65"/>
      <c r="F3361" s="66"/>
      <c r="G3361" s="63"/>
      <c r="H3361" s="67"/>
      <c r="I3361" s="68"/>
      <c r="J3361" s="68"/>
      <c r="K3361" s="32"/>
      <c r="L3361" s="75">
        <v>3361</v>
      </c>
      <c r="M3361" s="75"/>
      <c r="N3361" s="70"/>
      <c r="O3361" s="77" t="s">
        <v>179</v>
      </c>
      <c r="P3361" s="79">
        <v>45188.915763888886</v>
      </c>
      <c r="Q3361" s="77" t="s">
        <v>4031</v>
      </c>
      <c r="R3361" s="77">
        <v>0</v>
      </c>
      <c r="S3361" s="77">
        <v>0</v>
      </c>
      <c r="T3361" s="77">
        <v>0</v>
      </c>
      <c r="U3361" s="77">
        <v>0</v>
      </c>
      <c r="V3361" s="77">
        <v>612</v>
      </c>
      <c r="W3361" s="82" t="s">
        <v>6290</v>
      </c>
      <c r="X3361" s="80" t="str">
        <f>HYPERLINK("https://einvestidor.estadao.com.br/mercado/piores-acoes-ibovespa-19-09-2023/?utm_source=twitter&amp;utm_medium=organic&amp;utm_campaign=&amp;utm_content=materia")</f>
        <v>https://einvestidor.estadao.com.br/mercado/piores-acoes-ibovespa-19-09-2023/?utm_source=twitter&amp;utm_medium=organic&amp;utm_campaign=&amp;utm_content=materia</v>
      </c>
      <c r="Y3361" s="77" t="s">
        <v>6470</v>
      </c>
      <c r="Z3361" s="77"/>
      <c r="AA3361" s="77"/>
      <c r="AB3361" s="77"/>
      <c r="AC3361" s="82" t="s">
        <v>7750</v>
      </c>
      <c r="AD3361" s="77" t="s">
        <v>7788</v>
      </c>
      <c r="AE3361" s="80" t="str">
        <f>HYPERLINK("https://twitter.com/einvestidor/status/1704253708358254950")</f>
        <v>https://twitter.com/einvestidor/status/1704253708358254950</v>
      </c>
      <c r="AF3361" s="79">
        <v>45188.915763888886</v>
      </c>
      <c r="AG3361" s="85">
        <v>45188</v>
      </c>
      <c r="AH3361" s="82" t="s">
        <v>10027</v>
      </c>
      <c r="AI3361" s="77" t="b">
        <v>0</v>
      </c>
      <c r="AJ3361" s="77"/>
      <c r="AK3361" s="77"/>
      <c r="AL3361" s="77"/>
      <c r="AM3361" s="77"/>
      <c r="AN3361" s="77"/>
      <c r="AO3361" s="77"/>
      <c r="AP3361" s="77"/>
      <c r="AQ3361" s="77"/>
      <c r="AR3361" s="77"/>
      <c r="AS3361" s="77"/>
      <c r="AT3361" s="77"/>
      <c r="AU3361" s="77"/>
      <c r="AV3361" s="80" t="str">
        <f>HYPERLINK("https://pbs.twimg.com/profile_images/1241147984924082183/gZgx_hL-_normal.jpg")</f>
        <v>https://pbs.twimg.com/profile_images/1241147984924082183/gZgx_hL-_normal.jpg</v>
      </c>
      <c r="AW3361" s="82" t="s">
        <v>14957</v>
      </c>
      <c r="AX3361" s="82" t="s">
        <v>14957</v>
      </c>
      <c r="AY3361" s="77"/>
      <c r="AZ3361" s="82" t="s">
        <v>15984</v>
      </c>
      <c r="BA3361" s="82" t="s">
        <v>15984</v>
      </c>
      <c r="BB3361" s="82" t="s">
        <v>15984</v>
      </c>
      <c r="BC3361" s="82" t="s">
        <v>14957</v>
      </c>
      <c r="BD3361" s="82" t="s">
        <v>15979</v>
      </c>
      <c r="BE3361" s="77"/>
      <c r="BF3361" s="77"/>
      <c r="BG3361" s="77"/>
      <c r="BH3361" s="77"/>
      <c r="BI3361" s="77"/>
    </row>
    <row r="3362" spans="1:61" x14ac:dyDescent="0.25">
      <c r="A3362" s="62" t="s">
        <v>387</v>
      </c>
      <c r="B3362" s="62" t="s">
        <v>387</v>
      </c>
      <c r="C3362" s="63"/>
      <c r="D3362" s="64"/>
      <c r="E3362" s="65"/>
      <c r="F3362" s="66"/>
      <c r="G3362" s="63"/>
      <c r="H3362" s="67"/>
      <c r="I3362" s="68"/>
      <c r="J3362" s="68"/>
      <c r="K3362" s="32"/>
      <c r="L3362" s="75">
        <v>3362</v>
      </c>
      <c r="M3362" s="75"/>
      <c r="N3362" s="70"/>
      <c r="O3362" s="77" t="s">
        <v>179</v>
      </c>
      <c r="P3362" s="79">
        <v>45188.915069444447</v>
      </c>
      <c r="Q3362" s="77" t="s">
        <v>4032</v>
      </c>
      <c r="R3362" s="77">
        <v>0</v>
      </c>
      <c r="S3362" s="77">
        <v>3</v>
      </c>
      <c r="T3362" s="77">
        <v>0</v>
      </c>
      <c r="U3362" s="77">
        <v>0</v>
      </c>
      <c r="V3362" s="77">
        <v>630</v>
      </c>
      <c r="W3362" s="82" t="s">
        <v>6291</v>
      </c>
      <c r="X3362" s="80" t="str">
        <f>HYPERLINK("https://einvestidor.estadao.com.br/mercado/ibovespa-hoje-acoes-alta-marfrig-mrfg3-via-viia3-hapvida-hapv3/?utm_source=twitter&amp;utm_medium=organic&amp;utm_campaign=&amp;utm_content=materia")</f>
        <v>https://einvestidor.estadao.com.br/mercado/ibovespa-hoje-acoes-alta-marfrig-mrfg3-via-viia3-hapvida-hapv3/?utm_source=twitter&amp;utm_medium=organic&amp;utm_campaign=&amp;utm_content=materia</v>
      </c>
      <c r="Y3362" s="77" t="s">
        <v>6470</v>
      </c>
      <c r="Z3362" s="77"/>
      <c r="AA3362" s="77"/>
      <c r="AB3362" s="77"/>
      <c r="AC3362" s="82" t="s">
        <v>7750</v>
      </c>
      <c r="AD3362" s="77" t="s">
        <v>7788</v>
      </c>
      <c r="AE3362" s="80" t="str">
        <f>HYPERLINK("https://twitter.com/einvestidor/status/1704253457740259830")</f>
        <v>https://twitter.com/einvestidor/status/1704253457740259830</v>
      </c>
      <c r="AF3362" s="79">
        <v>45188.915069444447</v>
      </c>
      <c r="AG3362" s="85">
        <v>45188</v>
      </c>
      <c r="AH3362" s="82" t="s">
        <v>10028</v>
      </c>
      <c r="AI3362" s="77" t="b">
        <v>0</v>
      </c>
      <c r="AJ3362" s="77"/>
      <c r="AK3362" s="77"/>
      <c r="AL3362" s="77"/>
      <c r="AM3362" s="77"/>
      <c r="AN3362" s="77"/>
      <c r="AO3362" s="77"/>
      <c r="AP3362" s="77"/>
      <c r="AQ3362" s="77"/>
      <c r="AR3362" s="77"/>
      <c r="AS3362" s="77"/>
      <c r="AT3362" s="77"/>
      <c r="AU3362" s="77"/>
      <c r="AV3362" s="80" t="str">
        <f>HYPERLINK("https://pbs.twimg.com/profile_images/1241147984924082183/gZgx_hL-_normal.jpg")</f>
        <v>https://pbs.twimg.com/profile_images/1241147984924082183/gZgx_hL-_normal.jpg</v>
      </c>
      <c r="AW3362" s="82" t="s">
        <v>14958</v>
      </c>
      <c r="AX3362" s="82" t="s">
        <v>14958</v>
      </c>
      <c r="AY3362" s="77"/>
      <c r="AZ3362" s="82" t="s">
        <v>15984</v>
      </c>
      <c r="BA3362" s="82" t="s">
        <v>15984</v>
      </c>
      <c r="BB3362" s="82" t="s">
        <v>15984</v>
      </c>
      <c r="BC3362" s="82" t="s">
        <v>14958</v>
      </c>
      <c r="BD3362" s="82" t="s">
        <v>15979</v>
      </c>
      <c r="BE3362" s="77"/>
      <c r="BF3362" s="77"/>
      <c r="BG3362" s="77"/>
      <c r="BH3362" s="77"/>
      <c r="BI3362" s="77"/>
    </row>
    <row r="3363" spans="1:61" x14ac:dyDescent="0.25">
      <c r="A3363" s="62" t="s">
        <v>387</v>
      </c>
      <c r="B3363" s="62" t="s">
        <v>387</v>
      </c>
      <c r="C3363" s="63"/>
      <c r="D3363" s="64"/>
      <c r="E3363" s="65"/>
      <c r="F3363" s="66"/>
      <c r="G3363" s="63"/>
      <c r="H3363" s="67"/>
      <c r="I3363" s="68"/>
      <c r="J3363" s="68"/>
      <c r="K3363" s="32"/>
      <c r="L3363" s="75">
        <v>3363</v>
      </c>
      <c r="M3363" s="75"/>
      <c r="N3363" s="70"/>
      <c r="O3363" s="77" t="s">
        <v>179</v>
      </c>
      <c r="P3363" s="79">
        <v>45188.90625</v>
      </c>
      <c r="Q3363" s="77" t="s">
        <v>4033</v>
      </c>
      <c r="R3363" s="77">
        <v>0</v>
      </c>
      <c r="S3363" s="77">
        <v>0</v>
      </c>
      <c r="T3363" s="77">
        <v>0</v>
      </c>
      <c r="U3363" s="77">
        <v>0</v>
      </c>
      <c r="V3363" s="77">
        <v>442</v>
      </c>
      <c r="W3363" s="82" t="s">
        <v>6282</v>
      </c>
      <c r="X3363" s="80" t="str">
        <f>HYPERLINK("https://einvestidor.estadao.com.br/comportamento/crescem-pagamentos-via-pix/?utm_source=twitter&amp;utm_medium=organic&amp;utm_campaign=&amp;utm_content=materia")</f>
        <v>https://einvestidor.estadao.com.br/comportamento/crescem-pagamentos-via-pix/?utm_source=twitter&amp;utm_medium=organic&amp;utm_campaign=&amp;utm_content=materia</v>
      </c>
      <c r="Y3363" s="77" t="s">
        <v>6470</v>
      </c>
      <c r="Z3363" s="77"/>
      <c r="AA3363" s="77"/>
      <c r="AB3363" s="77"/>
      <c r="AC3363" s="82" t="s">
        <v>7750</v>
      </c>
      <c r="AD3363" s="77" t="s">
        <v>7788</v>
      </c>
      <c r="AE3363" s="80" t="str">
        <f>HYPERLINK("https://twitter.com/einvestidor/status/1704250260762329559")</f>
        <v>https://twitter.com/einvestidor/status/1704250260762329559</v>
      </c>
      <c r="AF3363" s="79">
        <v>45188.90625</v>
      </c>
      <c r="AG3363" s="85">
        <v>45188</v>
      </c>
      <c r="AH3363" s="82" t="s">
        <v>9578</v>
      </c>
      <c r="AI3363" s="77" t="b">
        <v>0</v>
      </c>
      <c r="AJ3363" s="77"/>
      <c r="AK3363" s="77"/>
      <c r="AL3363" s="77"/>
      <c r="AM3363" s="77"/>
      <c r="AN3363" s="77"/>
      <c r="AO3363" s="77"/>
      <c r="AP3363" s="77"/>
      <c r="AQ3363" s="77"/>
      <c r="AR3363" s="77"/>
      <c r="AS3363" s="77"/>
      <c r="AT3363" s="77"/>
      <c r="AU3363" s="77"/>
      <c r="AV3363" s="80" t="str">
        <f>HYPERLINK("https://pbs.twimg.com/profile_images/1241147984924082183/gZgx_hL-_normal.jpg")</f>
        <v>https://pbs.twimg.com/profile_images/1241147984924082183/gZgx_hL-_normal.jpg</v>
      </c>
      <c r="AW3363" s="82" t="s">
        <v>14959</v>
      </c>
      <c r="AX3363" s="82" t="s">
        <v>14959</v>
      </c>
      <c r="AY3363" s="77"/>
      <c r="AZ3363" s="82" t="s">
        <v>15984</v>
      </c>
      <c r="BA3363" s="82" t="s">
        <v>15984</v>
      </c>
      <c r="BB3363" s="82" t="s">
        <v>15984</v>
      </c>
      <c r="BC3363" s="82" t="s">
        <v>14959</v>
      </c>
      <c r="BD3363" s="82" t="s">
        <v>15979</v>
      </c>
      <c r="BE3363" s="77"/>
      <c r="BF3363" s="77"/>
      <c r="BG3363" s="77"/>
      <c r="BH3363" s="77"/>
      <c r="BI3363" s="77"/>
    </row>
    <row r="3364" spans="1:61" x14ac:dyDescent="0.25">
      <c r="A3364" s="62" t="s">
        <v>387</v>
      </c>
      <c r="B3364" s="62" t="s">
        <v>387</v>
      </c>
      <c r="C3364" s="63"/>
      <c r="D3364" s="64"/>
      <c r="E3364" s="65"/>
      <c r="F3364" s="66"/>
      <c r="G3364" s="63"/>
      <c r="H3364" s="67"/>
      <c r="I3364" s="68"/>
      <c r="J3364" s="68"/>
      <c r="K3364" s="32"/>
      <c r="L3364" s="75">
        <v>3364</v>
      </c>
      <c r="M3364" s="75"/>
      <c r="N3364" s="70"/>
      <c r="O3364" s="77" t="s">
        <v>179</v>
      </c>
      <c r="P3364" s="79">
        <v>45188.895833333336</v>
      </c>
      <c r="Q3364" s="77" t="s">
        <v>4034</v>
      </c>
      <c r="R3364" s="77">
        <v>0</v>
      </c>
      <c r="S3364" s="77">
        <v>3</v>
      </c>
      <c r="T3364" s="77">
        <v>0</v>
      </c>
      <c r="U3364" s="77">
        <v>0</v>
      </c>
      <c r="V3364" s="77">
        <v>469</v>
      </c>
      <c r="W3364" s="82" t="s">
        <v>5907</v>
      </c>
      <c r="X3364" s="80" t="str">
        <f>HYPERLINK("https://einvestidor.estadao.com.br/ultimas/vale3-vale-acoes-apresentam-maior-alta-setor-adrs-se-destacam/?utm_source=twitter&amp;utm_medium=organic&amp;utm_campaign=&amp;utm_content=materia")</f>
        <v>https://einvestidor.estadao.com.br/ultimas/vale3-vale-acoes-apresentam-maior-alta-setor-adrs-se-destacam/?utm_source=twitter&amp;utm_medium=organic&amp;utm_campaign=&amp;utm_content=materia</v>
      </c>
      <c r="Y3364" s="77" t="s">
        <v>6470</v>
      </c>
      <c r="Z3364" s="77"/>
      <c r="AA3364" s="77"/>
      <c r="AB3364" s="77"/>
      <c r="AC3364" s="82" t="s">
        <v>7750</v>
      </c>
      <c r="AD3364" s="77" t="s">
        <v>7788</v>
      </c>
      <c r="AE3364" s="80" t="str">
        <f>HYPERLINK("https://twitter.com/einvestidor/status/1704246487314489483")</f>
        <v>https://twitter.com/einvestidor/status/1704246487314489483</v>
      </c>
      <c r="AF3364" s="79">
        <v>45188.895833333336</v>
      </c>
      <c r="AG3364" s="85">
        <v>45188</v>
      </c>
      <c r="AH3364" s="82" t="s">
        <v>8089</v>
      </c>
      <c r="AI3364" s="77" t="b">
        <v>0</v>
      </c>
      <c r="AJ3364" s="77"/>
      <c r="AK3364" s="77"/>
      <c r="AL3364" s="77"/>
      <c r="AM3364" s="77"/>
      <c r="AN3364" s="77"/>
      <c r="AO3364" s="77"/>
      <c r="AP3364" s="77"/>
      <c r="AQ3364" s="77"/>
      <c r="AR3364" s="77"/>
      <c r="AS3364" s="77"/>
      <c r="AT3364" s="77"/>
      <c r="AU3364" s="77"/>
      <c r="AV3364" s="80" t="str">
        <f>HYPERLINK("https://pbs.twimg.com/profile_images/1241147984924082183/gZgx_hL-_normal.jpg")</f>
        <v>https://pbs.twimg.com/profile_images/1241147984924082183/gZgx_hL-_normal.jpg</v>
      </c>
      <c r="AW3364" s="82" t="s">
        <v>14960</v>
      </c>
      <c r="AX3364" s="82" t="s">
        <v>14960</v>
      </c>
      <c r="AY3364" s="77"/>
      <c r="AZ3364" s="82" t="s">
        <v>15984</v>
      </c>
      <c r="BA3364" s="82" t="s">
        <v>15984</v>
      </c>
      <c r="BB3364" s="82" t="s">
        <v>15984</v>
      </c>
      <c r="BC3364" s="82" t="s">
        <v>14960</v>
      </c>
      <c r="BD3364" s="82" t="s">
        <v>15979</v>
      </c>
      <c r="BE3364" s="77"/>
      <c r="BF3364" s="77"/>
      <c r="BG3364" s="77"/>
      <c r="BH3364" s="77"/>
      <c r="BI3364" s="77"/>
    </row>
    <row r="3365" spans="1:61" x14ac:dyDescent="0.25">
      <c r="A3365" s="62" t="s">
        <v>387</v>
      </c>
      <c r="B3365" s="62" t="s">
        <v>387</v>
      </c>
      <c r="C3365" s="63"/>
      <c r="D3365" s="64"/>
      <c r="E3365" s="65"/>
      <c r="F3365" s="66"/>
      <c r="G3365" s="63"/>
      <c r="H3365" s="67"/>
      <c r="I3365" s="68"/>
      <c r="J3365" s="68"/>
      <c r="K3365" s="32"/>
      <c r="L3365" s="75">
        <v>3365</v>
      </c>
      <c r="M3365" s="75"/>
      <c r="N3365" s="70"/>
      <c r="O3365" s="77" t="s">
        <v>179</v>
      </c>
      <c r="P3365" s="79">
        <v>45188.875</v>
      </c>
      <c r="Q3365" s="77" t="s">
        <v>4035</v>
      </c>
      <c r="R3365" s="77">
        <v>0</v>
      </c>
      <c r="S3365" s="77">
        <v>2</v>
      </c>
      <c r="T3365" s="77">
        <v>0</v>
      </c>
      <c r="U3365" s="77">
        <v>0</v>
      </c>
      <c r="V3365" s="77">
        <v>375</v>
      </c>
      <c r="W3365" s="82" t="s">
        <v>5975</v>
      </c>
      <c r="X3365" s="80" t="str">
        <f>HYPERLINK("https://einvestidor.estadao.com.br/ultimas/bbas3-bb-mensagem-investidores-eua/?utm_source=twitter&amp;utm_medium=organic&amp;utm_campaign=&amp;utm_content=materia")</f>
        <v>https://einvestidor.estadao.com.br/ultimas/bbas3-bb-mensagem-investidores-eua/?utm_source=twitter&amp;utm_medium=organic&amp;utm_campaign=&amp;utm_content=materia</v>
      </c>
      <c r="Y3365" s="77" t="s">
        <v>6470</v>
      </c>
      <c r="Z3365" s="77"/>
      <c r="AA3365" s="77"/>
      <c r="AB3365" s="77"/>
      <c r="AC3365" s="82" t="s">
        <v>7750</v>
      </c>
      <c r="AD3365" s="77" t="s">
        <v>7788</v>
      </c>
      <c r="AE3365" s="80" t="str">
        <f>HYPERLINK("https://twitter.com/einvestidor/status/1704238937630265713")</f>
        <v>https://twitter.com/einvestidor/status/1704238937630265713</v>
      </c>
      <c r="AF3365" s="79">
        <v>45188.875</v>
      </c>
      <c r="AG3365" s="85">
        <v>45188</v>
      </c>
      <c r="AH3365" s="82" t="s">
        <v>9647</v>
      </c>
      <c r="AI3365" s="77" t="b">
        <v>0</v>
      </c>
      <c r="AJ3365" s="77"/>
      <c r="AK3365" s="77"/>
      <c r="AL3365" s="77"/>
      <c r="AM3365" s="77"/>
      <c r="AN3365" s="77"/>
      <c r="AO3365" s="77"/>
      <c r="AP3365" s="77"/>
      <c r="AQ3365" s="77"/>
      <c r="AR3365" s="77"/>
      <c r="AS3365" s="77"/>
      <c r="AT3365" s="77"/>
      <c r="AU3365" s="77"/>
      <c r="AV3365" s="80" t="str">
        <f>HYPERLINK("https://pbs.twimg.com/profile_images/1241147984924082183/gZgx_hL-_normal.jpg")</f>
        <v>https://pbs.twimg.com/profile_images/1241147984924082183/gZgx_hL-_normal.jpg</v>
      </c>
      <c r="AW3365" s="82" t="s">
        <v>14961</v>
      </c>
      <c r="AX3365" s="82" t="s">
        <v>14961</v>
      </c>
      <c r="AY3365" s="77"/>
      <c r="AZ3365" s="82" t="s">
        <v>15984</v>
      </c>
      <c r="BA3365" s="82" t="s">
        <v>15984</v>
      </c>
      <c r="BB3365" s="82" t="s">
        <v>15984</v>
      </c>
      <c r="BC3365" s="82" t="s">
        <v>14961</v>
      </c>
      <c r="BD3365" s="82" t="s">
        <v>15979</v>
      </c>
      <c r="BE3365" s="77"/>
      <c r="BF3365" s="77"/>
      <c r="BG3365" s="77"/>
      <c r="BH3365" s="77"/>
      <c r="BI3365" s="77"/>
    </row>
    <row r="3366" spans="1:61" x14ac:dyDescent="0.25">
      <c r="A3366" s="62" t="s">
        <v>387</v>
      </c>
      <c r="B3366" s="62" t="s">
        <v>387</v>
      </c>
      <c r="C3366" s="63"/>
      <c r="D3366" s="64"/>
      <c r="E3366" s="65"/>
      <c r="F3366" s="66"/>
      <c r="G3366" s="63"/>
      <c r="H3366" s="67"/>
      <c r="I3366" s="68"/>
      <c r="J3366" s="68"/>
      <c r="K3366" s="32"/>
      <c r="L3366" s="75">
        <v>3366</v>
      </c>
      <c r="M3366" s="75"/>
      <c r="N3366" s="70"/>
      <c r="O3366" s="77" t="s">
        <v>179</v>
      </c>
      <c r="P3366" s="79">
        <v>45188.864583333336</v>
      </c>
      <c r="Q3366" s="77" t="s">
        <v>4036</v>
      </c>
      <c r="R3366" s="77">
        <v>0</v>
      </c>
      <c r="S3366" s="77">
        <v>1</v>
      </c>
      <c r="T3366" s="77">
        <v>0</v>
      </c>
      <c r="U3366" s="77">
        <v>0</v>
      </c>
      <c r="V3366" s="77">
        <v>437</v>
      </c>
      <c r="W3366" s="82" t="s">
        <v>6292</v>
      </c>
      <c r="X3366" s="80" t="str">
        <f>HYPERLINK("https://einvestidor.estadao.com.br/ultimas/csna3-csn-confira-acoes-com-baixa-minerio-de-ferro/?utm_source=twitter&amp;utm_medium=organic&amp;utm_campaign=&amp;utm_content=materia")</f>
        <v>https://einvestidor.estadao.com.br/ultimas/csna3-csn-confira-acoes-com-baixa-minerio-de-ferro/?utm_source=twitter&amp;utm_medium=organic&amp;utm_campaign=&amp;utm_content=materia</v>
      </c>
      <c r="Y3366" s="77" t="s">
        <v>6470</v>
      </c>
      <c r="Z3366" s="77"/>
      <c r="AA3366" s="77"/>
      <c r="AB3366" s="77"/>
      <c r="AC3366" s="82" t="s">
        <v>7750</v>
      </c>
      <c r="AD3366" s="77" t="s">
        <v>7788</v>
      </c>
      <c r="AE3366" s="80" t="str">
        <f>HYPERLINK("https://twitter.com/einvestidor/status/1704235161422897614")</f>
        <v>https://twitter.com/einvestidor/status/1704235161422897614</v>
      </c>
      <c r="AF3366" s="79">
        <v>45188.864583333336</v>
      </c>
      <c r="AG3366" s="85">
        <v>45188</v>
      </c>
      <c r="AH3366" s="82" t="s">
        <v>9596</v>
      </c>
      <c r="AI3366" s="77" t="b">
        <v>0</v>
      </c>
      <c r="AJ3366" s="77"/>
      <c r="AK3366" s="77"/>
      <c r="AL3366" s="77"/>
      <c r="AM3366" s="77"/>
      <c r="AN3366" s="77"/>
      <c r="AO3366" s="77"/>
      <c r="AP3366" s="77"/>
      <c r="AQ3366" s="77"/>
      <c r="AR3366" s="77"/>
      <c r="AS3366" s="77"/>
      <c r="AT3366" s="77"/>
      <c r="AU3366" s="77"/>
      <c r="AV3366" s="80" t="str">
        <f>HYPERLINK("https://pbs.twimg.com/profile_images/1241147984924082183/gZgx_hL-_normal.jpg")</f>
        <v>https://pbs.twimg.com/profile_images/1241147984924082183/gZgx_hL-_normal.jpg</v>
      </c>
      <c r="AW3366" s="82" t="s">
        <v>14962</v>
      </c>
      <c r="AX3366" s="82" t="s">
        <v>14962</v>
      </c>
      <c r="AY3366" s="77"/>
      <c r="AZ3366" s="82" t="s">
        <v>15984</v>
      </c>
      <c r="BA3366" s="82" t="s">
        <v>15984</v>
      </c>
      <c r="BB3366" s="82" t="s">
        <v>15984</v>
      </c>
      <c r="BC3366" s="82" t="s">
        <v>14962</v>
      </c>
      <c r="BD3366" s="82" t="s">
        <v>15979</v>
      </c>
      <c r="BE3366" s="77"/>
      <c r="BF3366" s="77"/>
      <c r="BG3366" s="77"/>
      <c r="BH3366" s="77"/>
      <c r="BI3366" s="77"/>
    </row>
    <row r="3367" spans="1:61" x14ac:dyDescent="0.25">
      <c r="A3367" s="62" t="s">
        <v>387</v>
      </c>
      <c r="B3367" s="62" t="s">
        <v>387</v>
      </c>
      <c r="C3367" s="63"/>
      <c r="D3367" s="64"/>
      <c r="E3367" s="65"/>
      <c r="F3367" s="66"/>
      <c r="G3367" s="63"/>
      <c r="H3367" s="67"/>
      <c r="I3367" s="68"/>
      <c r="J3367" s="68"/>
      <c r="K3367" s="32"/>
      <c r="L3367" s="75">
        <v>3367</v>
      </c>
      <c r="M3367" s="75"/>
      <c r="N3367" s="70"/>
      <c r="O3367" s="77" t="s">
        <v>179</v>
      </c>
      <c r="P3367" s="79">
        <v>45188.854166666664</v>
      </c>
      <c r="Q3367" s="77" t="s">
        <v>4037</v>
      </c>
      <c r="R3367" s="77">
        <v>0</v>
      </c>
      <c r="S3367" s="77">
        <v>2</v>
      </c>
      <c r="T3367" s="77">
        <v>0</v>
      </c>
      <c r="U3367" s="77">
        <v>0</v>
      </c>
      <c r="V3367" s="77">
        <v>411</v>
      </c>
      <c r="W3367" s="82" t="s">
        <v>4833</v>
      </c>
      <c r="X3367" s="80" t="str">
        <f>HYPERLINK("https://einvestidor.estadao.com.br/ultimas/grupo-casas-bahia-ex-via-viia3-recuperacao/?utm_source=twitter&amp;utm_medium=organic&amp;utm_campaign=&amp;utm_content=materia")</f>
        <v>https://einvestidor.estadao.com.br/ultimas/grupo-casas-bahia-ex-via-viia3-recuperacao/?utm_source=twitter&amp;utm_medium=organic&amp;utm_campaign=&amp;utm_content=materia</v>
      </c>
      <c r="Y3367" s="77" t="s">
        <v>6470</v>
      </c>
      <c r="Z3367" s="77"/>
      <c r="AA3367" s="77"/>
      <c r="AB3367" s="77"/>
      <c r="AC3367" s="82" t="s">
        <v>7750</v>
      </c>
      <c r="AD3367" s="77" t="s">
        <v>7788</v>
      </c>
      <c r="AE3367" s="80" t="str">
        <f>HYPERLINK("https://twitter.com/einvestidor/status/1704231386515734626")</f>
        <v>https://twitter.com/einvestidor/status/1704231386515734626</v>
      </c>
      <c r="AF3367" s="79">
        <v>45188.854166666664</v>
      </c>
      <c r="AG3367" s="85">
        <v>45188</v>
      </c>
      <c r="AH3367" s="82" t="s">
        <v>8090</v>
      </c>
      <c r="AI3367" s="77" t="b">
        <v>0</v>
      </c>
      <c r="AJ3367" s="77"/>
      <c r="AK3367" s="77"/>
      <c r="AL3367" s="77"/>
      <c r="AM3367" s="77"/>
      <c r="AN3367" s="77"/>
      <c r="AO3367" s="77"/>
      <c r="AP3367" s="77"/>
      <c r="AQ3367" s="77"/>
      <c r="AR3367" s="77"/>
      <c r="AS3367" s="77"/>
      <c r="AT3367" s="77"/>
      <c r="AU3367" s="77"/>
      <c r="AV3367" s="80" t="str">
        <f>HYPERLINK("https://pbs.twimg.com/profile_images/1241147984924082183/gZgx_hL-_normal.jpg")</f>
        <v>https://pbs.twimg.com/profile_images/1241147984924082183/gZgx_hL-_normal.jpg</v>
      </c>
      <c r="AW3367" s="82" t="s">
        <v>14963</v>
      </c>
      <c r="AX3367" s="82" t="s">
        <v>14963</v>
      </c>
      <c r="AY3367" s="77"/>
      <c r="AZ3367" s="82" t="s">
        <v>15984</v>
      </c>
      <c r="BA3367" s="82" t="s">
        <v>15984</v>
      </c>
      <c r="BB3367" s="82" t="s">
        <v>15984</v>
      </c>
      <c r="BC3367" s="82" t="s">
        <v>14963</v>
      </c>
      <c r="BD3367" s="82" t="s">
        <v>15979</v>
      </c>
      <c r="BE3367" s="77"/>
      <c r="BF3367" s="77"/>
      <c r="BG3367" s="77"/>
      <c r="BH3367" s="77"/>
      <c r="BI3367" s="77"/>
    </row>
    <row r="3368" spans="1:61" x14ac:dyDescent="0.25">
      <c r="A3368" s="62" t="s">
        <v>387</v>
      </c>
      <c r="B3368" s="62" t="s">
        <v>387</v>
      </c>
      <c r="C3368" s="63"/>
      <c r="D3368" s="64"/>
      <c r="E3368" s="65"/>
      <c r="F3368" s="66"/>
      <c r="G3368" s="63"/>
      <c r="H3368" s="67"/>
      <c r="I3368" s="68"/>
      <c r="J3368" s="68"/>
      <c r="K3368" s="32"/>
      <c r="L3368" s="75">
        <v>3368</v>
      </c>
      <c r="M3368" s="75"/>
      <c r="N3368" s="70"/>
      <c r="O3368" s="77" t="s">
        <v>179</v>
      </c>
      <c r="P3368" s="79">
        <v>45187.446203703701</v>
      </c>
      <c r="Q3368" s="77" t="s">
        <v>4038</v>
      </c>
      <c r="R3368" s="77">
        <v>0</v>
      </c>
      <c r="S3368" s="77">
        <v>1</v>
      </c>
      <c r="T3368" s="77">
        <v>0</v>
      </c>
      <c r="U3368" s="77">
        <v>0</v>
      </c>
      <c r="V3368" s="77">
        <v>524</v>
      </c>
      <c r="W3368" s="82" t="s">
        <v>4839</v>
      </c>
      <c r="X3368" s="80" t="str">
        <f>HYPERLINK("https://einvestidor.estadao.com.br/ultimas/bolsas-da-asia-fechamento-anuncios-economicos/?utm_source=twitter&amp;utm_medium=organic&amp;utm_campaign=asia&amp;utm_content=materia")</f>
        <v>https://einvestidor.estadao.com.br/ultimas/bolsas-da-asia-fechamento-anuncios-economicos/?utm_source=twitter&amp;utm_medium=organic&amp;utm_campaign=asia&amp;utm_content=materia</v>
      </c>
      <c r="Y3368" s="77" t="s">
        <v>6470</v>
      </c>
      <c r="Z3368" s="77"/>
      <c r="AA3368" s="77"/>
      <c r="AB3368" s="77"/>
      <c r="AC3368" s="82" t="s">
        <v>7750</v>
      </c>
      <c r="AD3368" s="77" t="s">
        <v>7788</v>
      </c>
      <c r="AE3368" s="80" t="str">
        <f>HYPERLINK("https://twitter.com/einvestidor/status/1703721158170833194")</f>
        <v>https://twitter.com/einvestidor/status/1703721158170833194</v>
      </c>
      <c r="AF3368" s="79">
        <v>45187.446203703701</v>
      </c>
      <c r="AG3368" s="85">
        <v>45187</v>
      </c>
      <c r="AH3368" s="82" t="s">
        <v>10029</v>
      </c>
      <c r="AI3368" s="77" t="b">
        <v>0</v>
      </c>
      <c r="AJ3368" s="77"/>
      <c r="AK3368" s="77"/>
      <c r="AL3368" s="77"/>
      <c r="AM3368" s="77"/>
      <c r="AN3368" s="77"/>
      <c r="AO3368" s="77"/>
      <c r="AP3368" s="77"/>
      <c r="AQ3368" s="77"/>
      <c r="AR3368" s="77"/>
      <c r="AS3368" s="77"/>
      <c r="AT3368" s="77"/>
      <c r="AU3368" s="77"/>
      <c r="AV3368" s="80" t="str">
        <f>HYPERLINK("https://pbs.twimg.com/profile_images/1241147984924082183/gZgx_hL-_normal.jpg")</f>
        <v>https://pbs.twimg.com/profile_images/1241147984924082183/gZgx_hL-_normal.jpg</v>
      </c>
      <c r="AW3368" s="82" t="s">
        <v>14964</v>
      </c>
      <c r="AX3368" s="82" t="s">
        <v>14964</v>
      </c>
      <c r="AY3368" s="77"/>
      <c r="AZ3368" s="82" t="s">
        <v>15984</v>
      </c>
      <c r="BA3368" s="82" t="s">
        <v>15984</v>
      </c>
      <c r="BB3368" s="82" t="s">
        <v>15984</v>
      </c>
      <c r="BC3368" s="82" t="s">
        <v>14964</v>
      </c>
      <c r="BD3368" s="82" t="s">
        <v>15979</v>
      </c>
      <c r="BE3368" s="77"/>
      <c r="BF3368" s="77"/>
      <c r="BG3368" s="77"/>
      <c r="BH3368" s="77"/>
      <c r="BI3368" s="77"/>
    </row>
    <row r="3369" spans="1:61" x14ac:dyDescent="0.25">
      <c r="A3369" s="62" t="s">
        <v>387</v>
      </c>
      <c r="B3369" s="62" t="s">
        <v>387</v>
      </c>
      <c r="C3369" s="63"/>
      <c r="D3369" s="64"/>
      <c r="E3369" s="65"/>
      <c r="F3369" s="66"/>
      <c r="G3369" s="63"/>
      <c r="H3369" s="67"/>
      <c r="I3369" s="68"/>
      <c r="J3369" s="68"/>
      <c r="K3369" s="32"/>
      <c r="L3369" s="75">
        <v>3369</v>
      </c>
      <c r="M3369" s="75"/>
      <c r="N3369" s="70"/>
      <c r="O3369" s="77" t="s">
        <v>179</v>
      </c>
      <c r="P3369" s="79">
        <v>45187.422500000001</v>
      </c>
      <c r="Q3369" s="77" t="s">
        <v>4039</v>
      </c>
      <c r="R3369" s="77">
        <v>0</v>
      </c>
      <c r="S3369" s="77">
        <v>1</v>
      </c>
      <c r="T3369" s="77">
        <v>0</v>
      </c>
      <c r="U3369" s="77">
        <v>0</v>
      </c>
      <c r="V3369" s="77">
        <v>605</v>
      </c>
      <c r="W3369" s="82" t="s">
        <v>6293</v>
      </c>
      <c r="X3369" s="80" t="str">
        <f>HYPERLINK("https://einvestidor.estadao.com.br/mercado/fim-jcp-impacta-acoes-empresas-listadas-bolsa/?utm_source=twitter&amp;utm_medium=organic&amp;utm_campaign=jcp&amp;utm_content=materia")</f>
        <v>https://einvestidor.estadao.com.br/mercado/fim-jcp-impacta-acoes-empresas-listadas-bolsa/?utm_source=twitter&amp;utm_medium=organic&amp;utm_campaign=jcp&amp;utm_content=materia</v>
      </c>
      <c r="Y3369" s="77" t="s">
        <v>6470</v>
      </c>
      <c r="Z3369" s="77"/>
      <c r="AA3369" s="77"/>
      <c r="AB3369" s="77"/>
      <c r="AC3369" s="82" t="s">
        <v>7750</v>
      </c>
      <c r="AD3369" s="77" t="s">
        <v>7788</v>
      </c>
      <c r="AE3369" s="80" t="str">
        <f>HYPERLINK("https://twitter.com/einvestidor/status/1703712566894076349")</f>
        <v>https://twitter.com/einvestidor/status/1703712566894076349</v>
      </c>
      <c r="AF3369" s="79">
        <v>45187.422500000001</v>
      </c>
      <c r="AG3369" s="85">
        <v>45187</v>
      </c>
      <c r="AH3369" s="82" t="s">
        <v>10030</v>
      </c>
      <c r="AI3369" s="77" t="b">
        <v>0</v>
      </c>
      <c r="AJ3369" s="77"/>
      <c r="AK3369" s="77"/>
      <c r="AL3369" s="77"/>
      <c r="AM3369" s="77"/>
      <c r="AN3369" s="77"/>
      <c r="AO3369" s="77"/>
      <c r="AP3369" s="77"/>
      <c r="AQ3369" s="77"/>
      <c r="AR3369" s="77"/>
      <c r="AS3369" s="77"/>
      <c r="AT3369" s="77"/>
      <c r="AU3369" s="77"/>
      <c r="AV3369" s="80" t="str">
        <f>HYPERLINK("https://pbs.twimg.com/profile_images/1241147984924082183/gZgx_hL-_normal.jpg")</f>
        <v>https://pbs.twimg.com/profile_images/1241147984924082183/gZgx_hL-_normal.jpg</v>
      </c>
      <c r="AW3369" s="82" t="s">
        <v>14965</v>
      </c>
      <c r="AX3369" s="82" t="s">
        <v>14965</v>
      </c>
      <c r="AY3369" s="77"/>
      <c r="AZ3369" s="82" t="s">
        <v>15984</v>
      </c>
      <c r="BA3369" s="82" t="s">
        <v>15984</v>
      </c>
      <c r="BB3369" s="82" t="s">
        <v>15984</v>
      </c>
      <c r="BC3369" s="82" t="s">
        <v>14965</v>
      </c>
      <c r="BD3369" s="82" t="s">
        <v>15979</v>
      </c>
      <c r="BE3369" s="77"/>
      <c r="BF3369" s="77"/>
      <c r="BG3369" s="77"/>
      <c r="BH3369" s="77"/>
      <c r="BI3369" s="77"/>
    </row>
    <row r="3370" spans="1:61" x14ac:dyDescent="0.25">
      <c r="A3370" s="62" t="s">
        <v>387</v>
      </c>
      <c r="B3370" s="62" t="s">
        <v>387</v>
      </c>
      <c r="C3370" s="63"/>
      <c r="D3370" s="64"/>
      <c r="E3370" s="65"/>
      <c r="F3370" s="66"/>
      <c r="G3370" s="63"/>
      <c r="H3370" s="67"/>
      <c r="I3370" s="68"/>
      <c r="J3370" s="68"/>
      <c r="K3370" s="32"/>
      <c r="L3370" s="75">
        <v>3370</v>
      </c>
      <c r="M3370" s="75"/>
      <c r="N3370" s="70"/>
      <c r="O3370" s="77" t="s">
        <v>179</v>
      </c>
      <c r="P3370" s="79">
        <v>45186.833333333336</v>
      </c>
      <c r="Q3370" s="77" t="s">
        <v>4040</v>
      </c>
      <c r="R3370" s="77">
        <v>0</v>
      </c>
      <c r="S3370" s="77">
        <v>1</v>
      </c>
      <c r="T3370" s="77">
        <v>0</v>
      </c>
      <c r="U3370" s="77">
        <v>0</v>
      </c>
      <c r="V3370" s="77">
        <v>698</v>
      </c>
      <c r="W3370" s="82" t="s">
        <v>6132</v>
      </c>
      <c r="X3370" s="80" t="str">
        <f>HYPERLINK("https://einvestidor.estadao.com.br/investimentos/carros-eletricos-sao-vantajosos-mas-e-o-financiamento/?utm_source=twitter&amp;utm_medium=organic&amp;utm_campaign=&amp;utm_content=materia")</f>
        <v>https://einvestidor.estadao.com.br/investimentos/carros-eletricos-sao-vantajosos-mas-e-o-financiamento/?utm_source=twitter&amp;utm_medium=organic&amp;utm_campaign=&amp;utm_content=materia</v>
      </c>
      <c r="Y3370" s="77" t="s">
        <v>6470</v>
      </c>
      <c r="Z3370" s="77"/>
      <c r="AA3370" s="77"/>
      <c r="AB3370" s="77"/>
      <c r="AC3370" s="82" t="s">
        <v>7750</v>
      </c>
      <c r="AD3370" s="77" t="s">
        <v>7788</v>
      </c>
      <c r="AE3370" s="80" t="str">
        <f>HYPERLINK("https://twitter.com/einvestidor/status/1703499060668403880")</f>
        <v>https://twitter.com/einvestidor/status/1703499060668403880</v>
      </c>
      <c r="AF3370" s="79">
        <v>45186.833333333336</v>
      </c>
      <c r="AG3370" s="85">
        <v>45186</v>
      </c>
      <c r="AH3370" s="82" t="s">
        <v>8381</v>
      </c>
      <c r="AI3370" s="77" t="b">
        <v>0</v>
      </c>
      <c r="AJ3370" s="77"/>
      <c r="AK3370" s="77"/>
      <c r="AL3370" s="77"/>
      <c r="AM3370" s="77"/>
      <c r="AN3370" s="77"/>
      <c r="AO3370" s="77"/>
      <c r="AP3370" s="77"/>
      <c r="AQ3370" s="77"/>
      <c r="AR3370" s="77"/>
      <c r="AS3370" s="77"/>
      <c r="AT3370" s="77"/>
      <c r="AU3370" s="77"/>
      <c r="AV3370" s="80" t="str">
        <f>HYPERLINK("https://pbs.twimg.com/profile_images/1241147984924082183/gZgx_hL-_normal.jpg")</f>
        <v>https://pbs.twimg.com/profile_images/1241147984924082183/gZgx_hL-_normal.jpg</v>
      </c>
      <c r="AW3370" s="82" t="s">
        <v>14966</v>
      </c>
      <c r="AX3370" s="82" t="s">
        <v>14966</v>
      </c>
      <c r="AY3370" s="77"/>
      <c r="AZ3370" s="82" t="s">
        <v>15984</v>
      </c>
      <c r="BA3370" s="82" t="s">
        <v>15984</v>
      </c>
      <c r="BB3370" s="82" t="s">
        <v>15984</v>
      </c>
      <c r="BC3370" s="82" t="s">
        <v>14966</v>
      </c>
      <c r="BD3370" s="82" t="s">
        <v>15979</v>
      </c>
      <c r="BE3370" s="77"/>
      <c r="BF3370" s="77"/>
      <c r="BG3370" s="77"/>
      <c r="BH3370" s="77"/>
      <c r="BI3370" s="77"/>
    </row>
    <row r="3371" spans="1:61" x14ac:dyDescent="0.25">
      <c r="A3371" s="62" t="s">
        <v>387</v>
      </c>
      <c r="B3371" s="62" t="s">
        <v>387</v>
      </c>
      <c r="C3371" s="63"/>
      <c r="D3371" s="64"/>
      <c r="E3371" s="65"/>
      <c r="F3371" s="66"/>
      <c r="G3371" s="63"/>
      <c r="H3371" s="67"/>
      <c r="I3371" s="68"/>
      <c r="J3371" s="68"/>
      <c r="K3371" s="32"/>
      <c r="L3371" s="75">
        <v>3371</v>
      </c>
      <c r="M3371" s="75"/>
      <c r="N3371" s="70"/>
      <c r="O3371" s="77" t="s">
        <v>179</v>
      </c>
      <c r="P3371" s="79">
        <v>45186.5</v>
      </c>
      <c r="Q3371" s="77" t="s">
        <v>4041</v>
      </c>
      <c r="R3371" s="77">
        <v>0</v>
      </c>
      <c r="S3371" s="77">
        <v>1</v>
      </c>
      <c r="T3371" s="77">
        <v>0</v>
      </c>
      <c r="U3371" s="77">
        <v>0</v>
      </c>
      <c r="V3371" s="77">
        <v>860</v>
      </c>
      <c r="W3371" s="82" t="s">
        <v>4833</v>
      </c>
      <c r="X3371" s="80" t="str">
        <f>HYPERLINK("https://einvestidor.estadao.com.br/investimentos/investir-renda-fixa-curto-prazo/?utm_source=twitter&amp;utm_medium=organic&amp;utm_campaign=&amp;utm_content=materia")</f>
        <v>https://einvestidor.estadao.com.br/investimentos/investir-renda-fixa-curto-prazo/?utm_source=twitter&amp;utm_medium=organic&amp;utm_campaign=&amp;utm_content=materia</v>
      </c>
      <c r="Y3371" s="77" t="s">
        <v>6470</v>
      </c>
      <c r="Z3371" s="77"/>
      <c r="AA3371" s="77"/>
      <c r="AB3371" s="77"/>
      <c r="AC3371" s="82" t="s">
        <v>7750</v>
      </c>
      <c r="AD3371" s="77" t="s">
        <v>7788</v>
      </c>
      <c r="AE3371" s="80" t="str">
        <f>HYPERLINK("https://twitter.com/einvestidor/status/1703378264654266655")</f>
        <v>https://twitter.com/einvestidor/status/1703378264654266655</v>
      </c>
      <c r="AF3371" s="79">
        <v>45186.5</v>
      </c>
      <c r="AG3371" s="85">
        <v>45186</v>
      </c>
      <c r="AH3371" s="82" t="s">
        <v>7872</v>
      </c>
      <c r="AI3371" s="77" t="b">
        <v>0</v>
      </c>
      <c r="AJ3371" s="77"/>
      <c r="AK3371" s="77"/>
      <c r="AL3371" s="77"/>
      <c r="AM3371" s="77"/>
      <c r="AN3371" s="77"/>
      <c r="AO3371" s="77"/>
      <c r="AP3371" s="77"/>
      <c r="AQ3371" s="77"/>
      <c r="AR3371" s="77"/>
      <c r="AS3371" s="77"/>
      <c r="AT3371" s="77"/>
      <c r="AU3371" s="77"/>
      <c r="AV3371" s="80" t="str">
        <f>HYPERLINK("https://pbs.twimg.com/profile_images/1241147984924082183/gZgx_hL-_normal.jpg")</f>
        <v>https://pbs.twimg.com/profile_images/1241147984924082183/gZgx_hL-_normal.jpg</v>
      </c>
      <c r="AW3371" s="82" t="s">
        <v>14967</v>
      </c>
      <c r="AX3371" s="82" t="s">
        <v>14967</v>
      </c>
      <c r="AY3371" s="77"/>
      <c r="AZ3371" s="82" t="s">
        <v>15984</v>
      </c>
      <c r="BA3371" s="82" t="s">
        <v>15984</v>
      </c>
      <c r="BB3371" s="82" t="s">
        <v>15984</v>
      </c>
      <c r="BC3371" s="82" t="s">
        <v>14967</v>
      </c>
      <c r="BD3371" s="82" t="s">
        <v>15979</v>
      </c>
      <c r="BE3371" s="77"/>
      <c r="BF3371" s="77"/>
      <c r="BG3371" s="77"/>
      <c r="BH3371" s="77"/>
      <c r="BI3371" s="77"/>
    </row>
    <row r="3372" spans="1:61" x14ac:dyDescent="0.25">
      <c r="A3372" s="62" t="s">
        <v>387</v>
      </c>
      <c r="B3372" s="62" t="s">
        <v>387</v>
      </c>
      <c r="C3372" s="63"/>
      <c r="D3372" s="64"/>
      <c r="E3372" s="65"/>
      <c r="F3372" s="66"/>
      <c r="G3372" s="63"/>
      <c r="H3372" s="67"/>
      <c r="I3372" s="68"/>
      <c r="J3372" s="68"/>
      <c r="K3372" s="32"/>
      <c r="L3372" s="75">
        <v>3372</v>
      </c>
      <c r="M3372" s="75"/>
      <c r="N3372" s="70"/>
      <c r="O3372" s="77" t="s">
        <v>179</v>
      </c>
      <c r="P3372" s="79">
        <v>45181.477592592593</v>
      </c>
      <c r="Q3372" s="77" t="s">
        <v>4042</v>
      </c>
      <c r="R3372" s="77">
        <v>0</v>
      </c>
      <c r="S3372" s="77">
        <v>1</v>
      </c>
      <c r="T3372" s="77">
        <v>0</v>
      </c>
      <c r="U3372" s="77">
        <v>0</v>
      </c>
      <c r="V3372" s="77">
        <v>409</v>
      </c>
      <c r="W3372" s="82" t="s">
        <v>4839</v>
      </c>
      <c r="X3372" s="80" t="str">
        <f>HYPERLINK("https://einvestidor.estadao.com.br/mercado/mercado-hoje-inflacao-brasil-opep/?utm_source=twitter&amp;utm_medium=organic&amp;utm_campaign=mercado-hoje&amp;utm_content=materia")</f>
        <v>https://einvestidor.estadao.com.br/mercado/mercado-hoje-inflacao-brasil-opep/?utm_source=twitter&amp;utm_medium=organic&amp;utm_campaign=mercado-hoje&amp;utm_content=materia</v>
      </c>
      <c r="Y3372" s="77" t="s">
        <v>6470</v>
      </c>
      <c r="Z3372" s="77"/>
      <c r="AA3372" s="77"/>
      <c r="AB3372" s="77"/>
      <c r="AC3372" s="82" t="s">
        <v>7750</v>
      </c>
      <c r="AD3372" s="77" t="s">
        <v>7788</v>
      </c>
      <c r="AE3372" s="80" t="str">
        <f>HYPERLINK("https://twitter.com/einvestidor/status/1701558206026182787")</f>
        <v>https://twitter.com/einvestidor/status/1701558206026182787</v>
      </c>
      <c r="AF3372" s="79">
        <v>45181.477592592593</v>
      </c>
      <c r="AG3372" s="85">
        <v>45181</v>
      </c>
      <c r="AH3372" s="82" t="s">
        <v>9208</v>
      </c>
      <c r="AI3372" s="77" t="b">
        <v>0</v>
      </c>
      <c r="AJ3372" s="77"/>
      <c r="AK3372" s="77"/>
      <c r="AL3372" s="77"/>
      <c r="AM3372" s="77"/>
      <c r="AN3372" s="77"/>
      <c r="AO3372" s="77"/>
      <c r="AP3372" s="77"/>
      <c r="AQ3372" s="77"/>
      <c r="AR3372" s="77"/>
      <c r="AS3372" s="77"/>
      <c r="AT3372" s="77"/>
      <c r="AU3372" s="77"/>
      <c r="AV3372" s="80" t="str">
        <f>HYPERLINK("https://pbs.twimg.com/profile_images/1241147984924082183/gZgx_hL-_normal.jpg")</f>
        <v>https://pbs.twimg.com/profile_images/1241147984924082183/gZgx_hL-_normal.jpg</v>
      </c>
      <c r="AW3372" s="82" t="s">
        <v>14968</v>
      </c>
      <c r="AX3372" s="82" t="s">
        <v>14968</v>
      </c>
      <c r="AY3372" s="77"/>
      <c r="AZ3372" s="82" t="s">
        <v>15984</v>
      </c>
      <c r="BA3372" s="82" t="s">
        <v>15984</v>
      </c>
      <c r="BB3372" s="82" t="s">
        <v>15984</v>
      </c>
      <c r="BC3372" s="82" t="s">
        <v>14968</v>
      </c>
      <c r="BD3372" s="82" t="s">
        <v>15979</v>
      </c>
      <c r="BE3372" s="77"/>
      <c r="BF3372" s="77"/>
      <c r="BG3372" s="77"/>
      <c r="BH3372" s="77"/>
      <c r="BI3372" s="77"/>
    </row>
    <row r="3373" spans="1:61" x14ac:dyDescent="0.25">
      <c r="A3373" s="62" t="s">
        <v>387</v>
      </c>
      <c r="B3373" s="62" t="s">
        <v>387</v>
      </c>
      <c r="C3373" s="63"/>
      <c r="D3373" s="64"/>
      <c r="E3373" s="65"/>
      <c r="F3373" s="66"/>
      <c r="G3373" s="63"/>
      <c r="H3373" s="67"/>
      <c r="I3373" s="68"/>
      <c r="J3373" s="68"/>
      <c r="K3373" s="32"/>
      <c r="L3373" s="75">
        <v>3373</v>
      </c>
      <c r="M3373" s="75"/>
      <c r="N3373" s="70"/>
      <c r="O3373" s="77" t="s">
        <v>179</v>
      </c>
      <c r="P3373" s="79">
        <v>45181.458819444444</v>
      </c>
      <c r="Q3373" s="77" t="s">
        <v>4043</v>
      </c>
      <c r="R3373" s="77">
        <v>0</v>
      </c>
      <c r="S3373" s="77">
        <v>2</v>
      </c>
      <c r="T3373" s="77">
        <v>0</v>
      </c>
      <c r="U3373" s="77">
        <v>0</v>
      </c>
      <c r="V3373" s="77">
        <v>457</v>
      </c>
      <c r="W3373" s="82" t="s">
        <v>4839</v>
      </c>
      <c r="X3373" s="80" t="str">
        <f>HYPERLINK("https://einvestidor.estadao.com.br/ultimas/bolsas-da-europa-espera-inflacao-eua/?utm_source=twitter&amp;utm_medium=organic&amp;utm_campaign=europa&amp;utm_content=materia")</f>
        <v>https://einvestidor.estadao.com.br/ultimas/bolsas-da-europa-espera-inflacao-eua/?utm_source=twitter&amp;utm_medium=organic&amp;utm_campaign=europa&amp;utm_content=materia</v>
      </c>
      <c r="Y3373" s="77" t="s">
        <v>6470</v>
      </c>
      <c r="Z3373" s="77"/>
      <c r="AA3373" s="77"/>
      <c r="AB3373" s="77"/>
      <c r="AC3373" s="82" t="s">
        <v>7750</v>
      </c>
      <c r="AD3373" s="77" t="s">
        <v>7788</v>
      </c>
      <c r="AE3373" s="80" t="str">
        <f>HYPERLINK("https://twitter.com/einvestidor/status/1701551401317372115")</f>
        <v>https://twitter.com/einvestidor/status/1701551401317372115</v>
      </c>
      <c r="AF3373" s="79">
        <v>45181.458819444444</v>
      </c>
      <c r="AG3373" s="85">
        <v>45181</v>
      </c>
      <c r="AH3373" s="82" t="s">
        <v>10031</v>
      </c>
      <c r="AI3373" s="77" t="b">
        <v>0</v>
      </c>
      <c r="AJ3373" s="77"/>
      <c r="AK3373" s="77"/>
      <c r="AL3373" s="77"/>
      <c r="AM3373" s="77"/>
      <c r="AN3373" s="77"/>
      <c r="AO3373" s="77"/>
      <c r="AP3373" s="77"/>
      <c r="AQ3373" s="77"/>
      <c r="AR3373" s="77"/>
      <c r="AS3373" s="77"/>
      <c r="AT3373" s="77"/>
      <c r="AU3373" s="77"/>
      <c r="AV3373" s="80" t="str">
        <f>HYPERLINK("https://pbs.twimg.com/profile_images/1241147984924082183/gZgx_hL-_normal.jpg")</f>
        <v>https://pbs.twimg.com/profile_images/1241147984924082183/gZgx_hL-_normal.jpg</v>
      </c>
      <c r="AW3373" s="82" t="s">
        <v>14969</v>
      </c>
      <c r="AX3373" s="82" t="s">
        <v>14969</v>
      </c>
      <c r="AY3373" s="77"/>
      <c r="AZ3373" s="82" t="s">
        <v>15984</v>
      </c>
      <c r="BA3373" s="82" t="s">
        <v>15984</v>
      </c>
      <c r="BB3373" s="82" t="s">
        <v>15984</v>
      </c>
      <c r="BC3373" s="82" t="s">
        <v>14969</v>
      </c>
      <c r="BD3373" s="82" t="s">
        <v>15979</v>
      </c>
      <c r="BE3373" s="77"/>
      <c r="BF3373" s="77"/>
      <c r="BG3373" s="77"/>
      <c r="BH3373" s="77"/>
      <c r="BI3373" s="77"/>
    </row>
    <row r="3374" spans="1:61" x14ac:dyDescent="0.25">
      <c r="A3374" s="62" t="s">
        <v>387</v>
      </c>
      <c r="B3374" s="62" t="s">
        <v>387</v>
      </c>
      <c r="C3374" s="63"/>
      <c r="D3374" s="64"/>
      <c r="E3374" s="65"/>
      <c r="F3374" s="66"/>
      <c r="G3374" s="63"/>
      <c r="H3374" s="67"/>
      <c r="I3374" s="68"/>
      <c r="J3374" s="68"/>
      <c r="K3374" s="32"/>
      <c r="L3374" s="75">
        <v>3374</v>
      </c>
      <c r="M3374" s="75"/>
      <c r="N3374" s="70"/>
      <c r="O3374" s="77" t="s">
        <v>179</v>
      </c>
      <c r="P3374" s="79">
        <v>45181.437800925924</v>
      </c>
      <c r="Q3374" s="77" t="s">
        <v>4044</v>
      </c>
      <c r="R3374" s="77">
        <v>0</v>
      </c>
      <c r="S3374" s="77">
        <v>1</v>
      </c>
      <c r="T3374" s="77">
        <v>0</v>
      </c>
      <c r="U3374" s="77">
        <v>0</v>
      </c>
      <c r="V3374" s="77">
        <v>484</v>
      </c>
      <c r="W3374" s="82" t="s">
        <v>4839</v>
      </c>
      <c r="X3374" s="80" t="str">
        <f>HYPERLINK("https://einvestidor.estadao.com.br/ultimas/bolsas-da-asia-fechamento-china-japao-3/?utm_source=twitter&amp;utm_medium=organic&amp;utm_campaign=asia&amp;utm_content=materia")</f>
        <v>https://einvestidor.estadao.com.br/ultimas/bolsas-da-asia-fechamento-china-japao-3/?utm_source=twitter&amp;utm_medium=organic&amp;utm_campaign=asia&amp;utm_content=materia</v>
      </c>
      <c r="Y3374" s="77" t="s">
        <v>6470</v>
      </c>
      <c r="Z3374" s="77"/>
      <c r="AA3374" s="77"/>
      <c r="AB3374" s="77"/>
      <c r="AC3374" s="82" t="s">
        <v>7750</v>
      </c>
      <c r="AD3374" s="77" t="s">
        <v>7788</v>
      </c>
      <c r="AE3374" s="80" t="str">
        <f>HYPERLINK("https://twitter.com/einvestidor/status/1701543785786638452")</f>
        <v>https://twitter.com/einvestidor/status/1701543785786638452</v>
      </c>
      <c r="AF3374" s="79">
        <v>45181.437800925924</v>
      </c>
      <c r="AG3374" s="85">
        <v>45181</v>
      </c>
      <c r="AH3374" s="82" t="s">
        <v>10032</v>
      </c>
      <c r="AI3374" s="77" t="b">
        <v>0</v>
      </c>
      <c r="AJ3374" s="77"/>
      <c r="AK3374" s="77"/>
      <c r="AL3374" s="77"/>
      <c r="AM3374" s="77"/>
      <c r="AN3374" s="77"/>
      <c r="AO3374" s="77"/>
      <c r="AP3374" s="77"/>
      <c r="AQ3374" s="77"/>
      <c r="AR3374" s="77"/>
      <c r="AS3374" s="77"/>
      <c r="AT3374" s="77"/>
      <c r="AU3374" s="77"/>
      <c r="AV3374" s="80" t="str">
        <f>HYPERLINK("https://pbs.twimg.com/profile_images/1241147984924082183/gZgx_hL-_normal.jpg")</f>
        <v>https://pbs.twimg.com/profile_images/1241147984924082183/gZgx_hL-_normal.jpg</v>
      </c>
      <c r="AW3374" s="82" t="s">
        <v>14970</v>
      </c>
      <c r="AX3374" s="82" t="s">
        <v>14970</v>
      </c>
      <c r="AY3374" s="77"/>
      <c r="AZ3374" s="82" t="s">
        <v>15984</v>
      </c>
      <c r="BA3374" s="82" t="s">
        <v>15984</v>
      </c>
      <c r="BB3374" s="82" t="s">
        <v>15984</v>
      </c>
      <c r="BC3374" s="82" t="s">
        <v>14970</v>
      </c>
      <c r="BD3374" s="82" t="s">
        <v>15979</v>
      </c>
      <c r="BE3374" s="77"/>
      <c r="BF3374" s="77"/>
      <c r="BG3374" s="77"/>
      <c r="BH3374" s="77"/>
      <c r="BI3374" s="77"/>
    </row>
    <row r="3375" spans="1:61" x14ac:dyDescent="0.25">
      <c r="A3375" s="62" t="s">
        <v>387</v>
      </c>
      <c r="B3375" s="62" t="s">
        <v>387</v>
      </c>
      <c r="C3375" s="63"/>
      <c r="D3375" s="64"/>
      <c r="E3375" s="65"/>
      <c r="F3375" s="66"/>
      <c r="G3375" s="63"/>
      <c r="H3375" s="67"/>
      <c r="I3375" s="68"/>
      <c r="J3375" s="68"/>
      <c r="K3375" s="32"/>
      <c r="L3375" s="75">
        <v>3375</v>
      </c>
      <c r="M3375" s="75"/>
      <c r="N3375" s="70"/>
      <c r="O3375" s="77" t="s">
        <v>179</v>
      </c>
      <c r="P3375" s="79">
        <v>45180.96875</v>
      </c>
      <c r="Q3375" s="77" t="s">
        <v>4045</v>
      </c>
      <c r="R3375" s="77">
        <v>1</v>
      </c>
      <c r="S3375" s="77">
        <v>1</v>
      </c>
      <c r="T3375" s="77">
        <v>0</v>
      </c>
      <c r="U3375" s="77">
        <v>0</v>
      </c>
      <c r="V3375" s="77">
        <v>792</v>
      </c>
      <c r="W3375" s="82" t="s">
        <v>6049</v>
      </c>
      <c r="X3375" s="80" t="str">
        <f>HYPERLINK("https://einvestidor.estadao.com.br/ultimas/acoes-apple-aapl-sobem-expectativa-iphone-15//?utm_source=twitter&amp;utm_medium=organic&amp;utm_campaign=&amp;utm_content=materia")</f>
        <v>https://einvestidor.estadao.com.br/ultimas/acoes-apple-aapl-sobem-expectativa-iphone-15//?utm_source=twitter&amp;utm_medium=organic&amp;utm_campaign=&amp;utm_content=materia</v>
      </c>
      <c r="Y3375" s="77" t="s">
        <v>6470</v>
      </c>
      <c r="Z3375" s="77"/>
      <c r="AA3375" s="77"/>
      <c r="AB3375" s="77"/>
      <c r="AC3375" s="82" t="s">
        <v>7750</v>
      </c>
      <c r="AD3375" s="77" t="s">
        <v>7788</v>
      </c>
      <c r="AE3375" s="80" t="str">
        <f>HYPERLINK("https://twitter.com/einvestidor/status/1701373806948860263")</f>
        <v>https://twitter.com/einvestidor/status/1701373806948860263</v>
      </c>
      <c r="AF3375" s="79">
        <v>45180.96875</v>
      </c>
      <c r="AG3375" s="85">
        <v>45180</v>
      </c>
      <c r="AH3375" s="82" t="s">
        <v>9621</v>
      </c>
      <c r="AI3375" s="77" t="b">
        <v>0</v>
      </c>
      <c r="AJ3375" s="77"/>
      <c r="AK3375" s="77"/>
      <c r="AL3375" s="77"/>
      <c r="AM3375" s="77"/>
      <c r="AN3375" s="77"/>
      <c r="AO3375" s="77"/>
      <c r="AP3375" s="77"/>
      <c r="AQ3375" s="77"/>
      <c r="AR3375" s="77"/>
      <c r="AS3375" s="77"/>
      <c r="AT3375" s="77"/>
      <c r="AU3375" s="77"/>
      <c r="AV3375" s="80" t="str">
        <f>HYPERLINK("https://pbs.twimg.com/profile_images/1241147984924082183/gZgx_hL-_normal.jpg")</f>
        <v>https://pbs.twimg.com/profile_images/1241147984924082183/gZgx_hL-_normal.jpg</v>
      </c>
      <c r="AW3375" s="82" t="s">
        <v>14971</v>
      </c>
      <c r="AX3375" s="82" t="s">
        <v>14971</v>
      </c>
      <c r="AY3375" s="77"/>
      <c r="AZ3375" s="82" t="s">
        <v>15984</v>
      </c>
      <c r="BA3375" s="82" t="s">
        <v>15984</v>
      </c>
      <c r="BB3375" s="82" t="s">
        <v>15984</v>
      </c>
      <c r="BC3375" s="82" t="s">
        <v>14971</v>
      </c>
      <c r="BD3375" s="82" t="s">
        <v>15979</v>
      </c>
      <c r="BE3375" s="77"/>
      <c r="BF3375" s="77"/>
      <c r="BG3375" s="77"/>
      <c r="BH3375" s="77"/>
      <c r="BI3375" s="77"/>
    </row>
    <row r="3376" spans="1:61" x14ac:dyDescent="0.25">
      <c r="A3376" s="62" t="s">
        <v>387</v>
      </c>
      <c r="B3376" s="62" t="s">
        <v>387</v>
      </c>
      <c r="C3376" s="63"/>
      <c r="D3376" s="64"/>
      <c r="E3376" s="65"/>
      <c r="F3376" s="66"/>
      <c r="G3376" s="63"/>
      <c r="H3376" s="67"/>
      <c r="I3376" s="68"/>
      <c r="J3376" s="68"/>
      <c r="K3376" s="32"/>
      <c r="L3376" s="75">
        <v>3376</v>
      </c>
      <c r="M3376" s="75"/>
      <c r="N3376" s="70"/>
      <c r="O3376" s="77" t="s">
        <v>179</v>
      </c>
      <c r="P3376" s="79">
        <v>45180.958356481482</v>
      </c>
      <c r="Q3376" s="77" t="s">
        <v>4046</v>
      </c>
      <c r="R3376" s="77">
        <v>1</v>
      </c>
      <c r="S3376" s="77">
        <v>1</v>
      </c>
      <c r="T3376" s="77">
        <v>0</v>
      </c>
      <c r="U3376" s="77">
        <v>0</v>
      </c>
      <c r="V3376" s="77">
        <v>700</v>
      </c>
      <c r="W3376" s="82" t="s">
        <v>4833</v>
      </c>
      <c r="X3376" s="80" t="str">
        <f>HYPERLINK("https://einvestidor.estadao.com.br/ultimas/juros-recuam-clima-positivo-exterior/?utm_source=twitter&amp;utm_medium=organic&amp;utm_campaign=&amp;utm_content=materia")</f>
        <v>https://einvestidor.estadao.com.br/ultimas/juros-recuam-clima-positivo-exterior/?utm_source=twitter&amp;utm_medium=organic&amp;utm_campaign=&amp;utm_content=materia</v>
      </c>
      <c r="Y3376" s="77" t="s">
        <v>6470</v>
      </c>
      <c r="Z3376" s="77"/>
      <c r="AA3376" s="77"/>
      <c r="AB3376" s="77"/>
      <c r="AC3376" s="82" t="s">
        <v>7750</v>
      </c>
      <c r="AD3376" s="77" t="s">
        <v>7788</v>
      </c>
      <c r="AE3376" s="80" t="str">
        <f>HYPERLINK("https://twitter.com/einvestidor/status/1701370039994085456")</f>
        <v>https://twitter.com/einvestidor/status/1701370039994085456</v>
      </c>
      <c r="AF3376" s="79">
        <v>45180.958356481482</v>
      </c>
      <c r="AG3376" s="85">
        <v>45180</v>
      </c>
      <c r="AH3376" s="82" t="s">
        <v>9725</v>
      </c>
      <c r="AI3376" s="77" t="b">
        <v>0</v>
      </c>
      <c r="AJ3376" s="77"/>
      <c r="AK3376" s="77"/>
      <c r="AL3376" s="77"/>
      <c r="AM3376" s="77"/>
      <c r="AN3376" s="77"/>
      <c r="AO3376" s="77"/>
      <c r="AP3376" s="77"/>
      <c r="AQ3376" s="77"/>
      <c r="AR3376" s="77"/>
      <c r="AS3376" s="77"/>
      <c r="AT3376" s="77"/>
      <c r="AU3376" s="77"/>
      <c r="AV3376" s="80" t="str">
        <f>HYPERLINK("https://pbs.twimg.com/profile_images/1241147984924082183/gZgx_hL-_normal.jpg")</f>
        <v>https://pbs.twimg.com/profile_images/1241147984924082183/gZgx_hL-_normal.jpg</v>
      </c>
      <c r="AW3376" s="82" t="s">
        <v>14972</v>
      </c>
      <c r="AX3376" s="82" t="s">
        <v>14972</v>
      </c>
      <c r="AY3376" s="77"/>
      <c r="AZ3376" s="82" t="s">
        <v>15984</v>
      </c>
      <c r="BA3376" s="82" t="s">
        <v>15984</v>
      </c>
      <c r="BB3376" s="82" t="s">
        <v>15984</v>
      </c>
      <c r="BC3376" s="82" t="s">
        <v>14972</v>
      </c>
      <c r="BD3376" s="82" t="s">
        <v>15979</v>
      </c>
      <c r="BE3376" s="77"/>
      <c r="BF3376" s="77"/>
      <c r="BG3376" s="77"/>
      <c r="BH3376" s="77"/>
      <c r="BI3376" s="77"/>
    </row>
    <row r="3377" spans="1:61" x14ac:dyDescent="0.25">
      <c r="A3377" s="62" t="s">
        <v>387</v>
      </c>
      <c r="B3377" s="62" t="s">
        <v>387</v>
      </c>
      <c r="C3377" s="63"/>
      <c r="D3377" s="64"/>
      <c r="E3377" s="65"/>
      <c r="F3377" s="66"/>
      <c r="G3377" s="63"/>
      <c r="H3377" s="67"/>
      <c r="I3377" s="68"/>
      <c r="J3377" s="68"/>
      <c r="K3377" s="32"/>
      <c r="L3377" s="75">
        <v>3377</v>
      </c>
      <c r="M3377" s="75"/>
      <c r="N3377" s="70"/>
      <c r="O3377" s="77" t="s">
        <v>179</v>
      </c>
      <c r="P3377" s="79">
        <v>45180.947916666664</v>
      </c>
      <c r="Q3377" s="77" t="s">
        <v>4047</v>
      </c>
      <c r="R3377" s="77">
        <v>1</v>
      </c>
      <c r="S3377" s="77">
        <v>1</v>
      </c>
      <c r="T3377" s="77">
        <v>0</v>
      </c>
      <c r="U3377" s="77">
        <v>0</v>
      </c>
      <c r="V3377" s="77">
        <v>623</v>
      </c>
      <c r="W3377" s="82" t="s">
        <v>4833</v>
      </c>
      <c r="X3377" s="80" t="str">
        <f>HYPERLINK("https://einvestidor.estadao.com.br/mercado/az-quest-percepcoes-arcabouco-atrapalham-alta-da-bolsa/?utm_source=twitter&amp;utm_medium=organic&amp;utm_campaign=&amp;utm_content=materia")</f>
        <v>https://einvestidor.estadao.com.br/mercado/az-quest-percepcoes-arcabouco-atrapalham-alta-da-bolsa/?utm_source=twitter&amp;utm_medium=organic&amp;utm_campaign=&amp;utm_content=materia</v>
      </c>
      <c r="Y3377" s="77" t="s">
        <v>6470</v>
      </c>
      <c r="Z3377" s="77"/>
      <c r="AA3377" s="77"/>
      <c r="AB3377" s="77"/>
      <c r="AC3377" s="82" t="s">
        <v>7750</v>
      </c>
      <c r="AD3377" s="77" t="s">
        <v>7788</v>
      </c>
      <c r="AE3377" s="80" t="str">
        <f>HYPERLINK("https://twitter.com/einvestidor/status/1701366256950284779")</f>
        <v>https://twitter.com/einvestidor/status/1701366256950284779</v>
      </c>
      <c r="AF3377" s="79">
        <v>45180.947916666664</v>
      </c>
      <c r="AG3377" s="85">
        <v>45180</v>
      </c>
      <c r="AH3377" s="82" t="s">
        <v>9595</v>
      </c>
      <c r="AI3377" s="77" t="b">
        <v>0</v>
      </c>
      <c r="AJ3377" s="77"/>
      <c r="AK3377" s="77"/>
      <c r="AL3377" s="77"/>
      <c r="AM3377" s="77"/>
      <c r="AN3377" s="77"/>
      <c r="AO3377" s="77"/>
      <c r="AP3377" s="77"/>
      <c r="AQ3377" s="77"/>
      <c r="AR3377" s="77"/>
      <c r="AS3377" s="77"/>
      <c r="AT3377" s="77"/>
      <c r="AU3377" s="77"/>
      <c r="AV3377" s="80" t="str">
        <f>HYPERLINK("https://pbs.twimg.com/profile_images/1241147984924082183/gZgx_hL-_normal.jpg")</f>
        <v>https://pbs.twimg.com/profile_images/1241147984924082183/gZgx_hL-_normal.jpg</v>
      </c>
      <c r="AW3377" s="82" t="s">
        <v>14973</v>
      </c>
      <c r="AX3377" s="82" t="s">
        <v>14973</v>
      </c>
      <c r="AY3377" s="77"/>
      <c r="AZ3377" s="82" t="s">
        <v>15984</v>
      </c>
      <c r="BA3377" s="82" t="s">
        <v>15984</v>
      </c>
      <c r="BB3377" s="82" t="s">
        <v>15984</v>
      </c>
      <c r="BC3377" s="82" t="s">
        <v>14973</v>
      </c>
      <c r="BD3377" s="82" t="s">
        <v>15979</v>
      </c>
      <c r="BE3377" s="77"/>
      <c r="BF3377" s="77"/>
      <c r="BG3377" s="77"/>
      <c r="BH3377" s="77"/>
      <c r="BI3377" s="77"/>
    </row>
    <row r="3378" spans="1:61" x14ac:dyDescent="0.25">
      <c r="A3378" s="62" t="s">
        <v>387</v>
      </c>
      <c r="B3378" s="62" t="s">
        <v>387</v>
      </c>
      <c r="C3378" s="63"/>
      <c r="D3378" s="64"/>
      <c r="E3378" s="65"/>
      <c r="F3378" s="66"/>
      <c r="G3378" s="63"/>
      <c r="H3378" s="67"/>
      <c r="I3378" s="68"/>
      <c r="J3378" s="68"/>
      <c r="K3378" s="32"/>
      <c r="L3378" s="75">
        <v>3378</v>
      </c>
      <c r="M3378" s="75"/>
      <c r="N3378" s="70"/>
      <c r="O3378" s="77" t="s">
        <v>179</v>
      </c>
      <c r="P3378" s="79">
        <v>45180.9375</v>
      </c>
      <c r="Q3378" s="77" t="s">
        <v>4048</v>
      </c>
      <c r="R3378" s="77">
        <v>0</v>
      </c>
      <c r="S3378" s="77">
        <v>0</v>
      </c>
      <c r="T3378" s="77">
        <v>0</v>
      </c>
      <c r="U3378" s="77">
        <v>0</v>
      </c>
      <c r="V3378" s="77">
        <v>503</v>
      </c>
      <c r="W3378" s="82" t="s">
        <v>6294</v>
      </c>
      <c r="X3378" s="80" t="str">
        <f>HYPERLINK("https://einvestidor.estadao.com.br/ultimas/moedas-globais-dolar-cai-iene-yuan-sobem-apos-sinais-bcs//?utm_source=twitter&amp;utm_medium=organic&amp;utm_campaign=&amp;utm_content=materia")</f>
        <v>https://einvestidor.estadao.com.br/ultimas/moedas-globais-dolar-cai-iene-yuan-sobem-apos-sinais-bcs//?utm_source=twitter&amp;utm_medium=organic&amp;utm_campaign=&amp;utm_content=materia</v>
      </c>
      <c r="Y3378" s="77" t="s">
        <v>6470</v>
      </c>
      <c r="Z3378" s="77"/>
      <c r="AA3378" s="77"/>
      <c r="AB3378" s="77"/>
      <c r="AC3378" s="82" t="s">
        <v>7750</v>
      </c>
      <c r="AD3378" s="77" t="s">
        <v>7788</v>
      </c>
      <c r="AE3378" s="80" t="str">
        <f>HYPERLINK("https://twitter.com/einvestidor/status/1701362482210910426")</f>
        <v>https://twitter.com/einvestidor/status/1701362482210910426</v>
      </c>
      <c r="AF3378" s="79">
        <v>45180.9375</v>
      </c>
      <c r="AG3378" s="85">
        <v>45180</v>
      </c>
      <c r="AH3378" s="82" t="s">
        <v>7926</v>
      </c>
      <c r="AI3378" s="77" t="b">
        <v>0</v>
      </c>
      <c r="AJ3378" s="77"/>
      <c r="AK3378" s="77"/>
      <c r="AL3378" s="77"/>
      <c r="AM3378" s="77"/>
      <c r="AN3378" s="77"/>
      <c r="AO3378" s="77"/>
      <c r="AP3378" s="77"/>
      <c r="AQ3378" s="77"/>
      <c r="AR3378" s="77"/>
      <c r="AS3378" s="77"/>
      <c r="AT3378" s="77"/>
      <c r="AU3378" s="77"/>
      <c r="AV3378" s="80" t="str">
        <f>HYPERLINK("https://pbs.twimg.com/profile_images/1241147984924082183/gZgx_hL-_normal.jpg")</f>
        <v>https://pbs.twimg.com/profile_images/1241147984924082183/gZgx_hL-_normal.jpg</v>
      </c>
      <c r="AW3378" s="82" t="s">
        <v>14974</v>
      </c>
      <c r="AX3378" s="82" t="s">
        <v>14974</v>
      </c>
      <c r="AY3378" s="77"/>
      <c r="AZ3378" s="82" t="s">
        <v>15984</v>
      </c>
      <c r="BA3378" s="82" t="s">
        <v>15984</v>
      </c>
      <c r="BB3378" s="82" t="s">
        <v>15984</v>
      </c>
      <c r="BC3378" s="82" t="s">
        <v>14974</v>
      </c>
      <c r="BD3378" s="82" t="s">
        <v>15979</v>
      </c>
      <c r="BE3378" s="77"/>
      <c r="BF3378" s="77"/>
      <c r="BG3378" s="77"/>
      <c r="BH3378" s="77"/>
      <c r="BI3378" s="77"/>
    </row>
    <row r="3379" spans="1:61" x14ac:dyDescent="0.25">
      <c r="A3379" s="62" t="s">
        <v>387</v>
      </c>
      <c r="B3379" s="62" t="s">
        <v>387</v>
      </c>
      <c r="C3379" s="63"/>
      <c r="D3379" s="64"/>
      <c r="E3379" s="65"/>
      <c r="F3379" s="66"/>
      <c r="G3379" s="63"/>
      <c r="H3379" s="67"/>
      <c r="I3379" s="68"/>
      <c r="J3379" s="68"/>
      <c r="K3379" s="32"/>
      <c r="L3379" s="75">
        <v>3379</v>
      </c>
      <c r="M3379" s="75"/>
      <c r="N3379" s="70"/>
      <c r="O3379" s="77" t="s">
        <v>179</v>
      </c>
      <c r="P3379" s="79">
        <v>45180.927083333336</v>
      </c>
      <c r="Q3379" s="77" t="s">
        <v>4049</v>
      </c>
      <c r="R3379" s="77">
        <v>0</v>
      </c>
      <c r="S3379" s="77">
        <v>0</v>
      </c>
      <c r="T3379" s="77">
        <v>0</v>
      </c>
      <c r="U3379" s="77">
        <v>0</v>
      </c>
      <c r="V3379" s="77">
        <v>577</v>
      </c>
      <c r="W3379" s="82" t="s">
        <v>5902</v>
      </c>
      <c r="X3379" s="80" t="str">
        <f>HYPERLINK("https://einvestidor.estadao.com.br/ultimas/dolar-hoje-fecha-queda-otimismo-china/?utm_source=twitter&amp;utm_medium=organic&amp;utm_campaign=&amp;utm_content=materia")</f>
        <v>https://einvestidor.estadao.com.br/ultimas/dolar-hoje-fecha-queda-otimismo-china/?utm_source=twitter&amp;utm_medium=organic&amp;utm_campaign=&amp;utm_content=materia</v>
      </c>
      <c r="Y3379" s="77" t="s">
        <v>6470</v>
      </c>
      <c r="Z3379" s="77"/>
      <c r="AA3379" s="77"/>
      <c r="AB3379" s="77"/>
      <c r="AC3379" s="82" t="s">
        <v>7750</v>
      </c>
      <c r="AD3379" s="77" t="s">
        <v>7788</v>
      </c>
      <c r="AE3379" s="80" t="str">
        <f>HYPERLINK("https://twitter.com/einvestidor/status/1701358707387277404")</f>
        <v>https://twitter.com/einvestidor/status/1701358707387277404</v>
      </c>
      <c r="AF3379" s="79">
        <v>45180.927083333336</v>
      </c>
      <c r="AG3379" s="85">
        <v>45180</v>
      </c>
      <c r="AH3379" s="82" t="s">
        <v>9576</v>
      </c>
      <c r="AI3379" s="77" t="b">
        <v>0</v>
      </c>
      <c r="AJ3379" s="77"/>
      <c r="AK3379" s="77"/>
      <c r="AL3379" s="77"/>
      <c r="AM3379" s="77"/>
      <c r="AN3379" s="77"/>
      <c r="AO3379" s="77"/>
      <c r="AP3379" s="77"/>
      <c r="AQ3379" s="77"/>
      <c r="AR3379" s="77"/>
      <c r="AS3379" s="77"/>
      <c r="AT3379" s="77"/>
      <c r="AU3379" s="77"/>
      <c r="AV3379" s="80" t="str">
        <f>HYPERLINK("https://pbs.twimg.com/profile_images/1241147984924082183/gZgx_hL-_normal.jpg")</f>
        <v>https://pbs.twimg.com/profile_images/1241147984924082183/gZgx_hL-_normal.jpg</v>
      </c>
      <c r="AW3379" s="82" t="s">
        <v>14975</v>
      </c>
      <c r="AX3379" s="82" t="s">
        <v>14975</v>
      </c>
      <c r="AY3379" s="77"/>
      <c r="AZ3379" s="82" t="s">
        <v>15984</v>
      </c>
      <c r="BA3379" s="82" t="s">
        <v>15984</v>
      </c>
      <c r="BB3379" s="82" t="s">
        <v>15984</v>
      </c>
      <c r="BC3379" s="82" t="s">
        <v>14975</v>
      </c>
      <c r="BD3379" s="82" t="s">
        <v>15979</v>
      </c>
      <c r="BE3379" s="77"/>
      <c r="BF3379" s="77"/>
      <c r="BG3379" s="77"/>
      <c r="BH3379" s="77"/>
      <c r="BI3379" s="77"/>
    </row>
    <row r="3380" spans="1:61" x14ac:dyDescent="0.25">
      <c r="A3380" s="62" t="s">
        <v>387</v>
      </c>
      <c r="B3380" s="62" t="s">
        <v>387</v>
      </c>
      <c r="C3380" s="63"/>
      <c r="D3380" s="64"/>
      <c r="E3380" s="65"/>
      <c r="F3380" s="66"/>
      <c r="G3380" s="63"/>
      <c r="H3380" s="67"/>
      <c r="I3380" s="68"/>
      <c r="J3380" s="68"/>
      <c r="K3380" s="32"/>
      <c r="L3380" s="75">
        <v>3380</v>
      </c>
      <c r="M3380" s="75"/>
      <c r="N3380" s="70"/>
      <c r="O3380" s="77" t="s">
        <v>179</v>
      </c>
      <c r="P3380" s="79">
        <v>45180.924108796295</v>
      </c>
      <c r="Q3380" s="77" t="s">
        <v>4050</v>
      </c>
      <c r="R3380" s="77">
        <v>0</v>
      </c>
      <c r="S3380" s="77">
        <v>0</v>
      </c>
      <c r="T3380" s="77">
        <v>0</v>
      </c>
      <c r="U3380" s="77">
        <v>0</v>
      </c>
      <c r="V3380" s="77">
        <v>608</v>
      </c>
      <c r="W3380" s="82" t="s">
        <v>4833</v>
      </c>
      <c r="X3380" s="80" t="str">
        <f>HYPERLINK("https://einvestidor.estadao.com.br/mercado/fechamento-de-mercado-11-09-2023/?utm_source=twitter&amp;utm_medium=organic&amp;utm_campaign=&amp;utm_content=materia")</f>
        <v>https://einvestidor.estadao.com.br/mercado/fechamento-de-mercado-11-09-2023/?utm_source=twitter&amp;utm_medium=organic&amp;utm_campaign=&amp;utm_content=materia</v>
      </c>
      <c r="Y3380" s="77" t="s">
        <v>6470</v>
      </c>
      <c r="Z3380" s="77"/>
      <c r="AA3380" s="77"/>
      <c r="AB3380" s="77"/>
      <c r="AC3380" s="82" t="s">
        <v>7750</v>
      </c>
      <c r="AD3380" s="77" t="s">
        <v>7788</v>
      </c>
      <c r="AE3380" s="80" t="str">
        <f>HYPERLINK("https://twitter.com/einvestidor/status/1701357628700418487")</f>
        <v>https://twitter.com/einvestidor/status/1701357628700418487</v>
      </c>
      <c r="AF3380" s="79">
        <v>45180.924108796295</v>
      </c>
      <c r="AG3380" s="85">
        <v>45180</v>
      </c>
      <c r="AH3380" s="82" t="s">
        <v>10033</v>
      </c>
      <c r="AI3380" s="77" t="b">
        <v>0</v>
      </c>
      <c r="AJ3380" s="77"/>
      <c r="AK3380" s="77"/>
      <c r="AL3380" s="77"/>
      <c r="AM3380" s="77"/>
      <c r="AN3380" s="77"/>
      <c r="AO3380" s="77"/>
      <c r="AP3380" s="77"/>
      <c r="AQ3380" s="77"/>
      <c r="AR3380" s="77"/>
      <c r="AS3380" s="77"/>
      <c r="AT3380" s="77"/>
      <c r="AU3380" s="77"/>
      <c r="AV3380" s="80" t="str">
        <f>HYPERLINK("https://pbs.twimg.com/profile_images/1241147984924082183/gZgx_hL-_normal.jpg")</f>
        <v>https://pbs.twimg.com/profile_images/1241147984924082183/gZgx_hL-_normal.jpg</v>
      </c>
      <c r="AW3380" s="82" t="s">
        <v>14976</v>
      </c>
      <c r="AX3380" s="82" t="s">
        <v>14976</v>
      </c>
      <c r="AY3380" s="77"/>
      <c r="AZ3380" s="82" t="s">
        <v>15984</v>
      </c>
      <c r="BA3380" s="82" t="s">
        <v>15984</v>
      </c>
      <c r="BB3380" s="82" t="s">
        <v>15984</v>
      </c>
      <c r="BC3380" s="82" t="s">
        <v>14976</v>
      </c>
      <c r="BD3380" s="82" t="s">
        <v>15979</v>
      </c>
      <c r="BE3380" s="77"/>
      <c r="BF3380" s="77"/>
      <c r="BG3380" s="77"/>
      <c r="BH3380" s="77"/>
      <c r="BI3380" s="77"/>
    </row>
    <row r="3381" spans="1:61" x14ac:dyDescent="0.25">
      <c r="A3381" s="62" t="s">
        <v>387</v>
      </c>
      <c r="B3381" s="62" t="s">
        <v>387</v>
      </c>
      <c r="C3381" s="63"/>
      <c r="D3381" s="64"/>
      <c r="E3381" s="65"/>
      <c r="F3381" s="66"/>
      <c r="G3381" s="63"/>
      <c r="H3381" s="67"/>
      <c r="I3381" s="68"/>
      <c r="J3381" s="68"/>
      <c r="K3381" s="32"/>
      <c r="L3381" s="75">
        <v>3381</v>
      </c>
      <c r="M3381" s="75"/>
      <c r="N3381" s="70"/>
      <c r="O3381" s="77" t="s">
        <v>179</v>
      </c>
      <c r="P3381" s="79">
        <v>45180.916666666664</v>
      </c>
      <c r="Q3381" s="77" t="s">
        <v>4051</v>
      </c>
      <c r="R3381" s="77">
        <v>0</v>
      </c>
      <c r="S3381" s="77">
        <v>1</v>
      </c>
      <c r="T3381" s="77">
        <v>0</v>
      </c>
      <c r="U3381" s="77">
        <v>0</v>
      </c>
      <c r="V3381" s="77">
        <v>465</v>
      </c>
      <c r="W3381" s="82" t="s">
        <v>4833</v>
      </c>
      <c r="X3381" s="80" t="str">
        <f>HYPERLINK("https://einvestidor.estadao.com.br/ultimas/bolsas-nova-york-fecham-alta-tesla-destaque//?utm_source=twitter&amp;utm_medium=organic&amp;utm_campaign=&amp;utm_content=materia")</f>
        <v>https://einvestidor.estadao.com.br/ultimas/bolsas-nova-york-fecham-alta-tesla-destaque//?utm_source=twitter&amp;utm_medium=organic&amp;utm_campaign=&amp;utm_content=materia</v>
      </c>
      <c r="Y3381" s="77" t="s">
        <v>6470</v>
      </c>
      <c r="Z3381" s="77"/>
      <c r="AA3381" s="77"/>
      <c r="AB3381" s="77"/>
      <c r="AC3381" s="82" t="s">
        <v>7750</v>
      </c>
      <c r="AD3381" s="77" t="s">
        <v>7788</v>
      </c>
      <c r="AE3381" s="80" t="str">
        <f>HYPERLINK("https://twitter.com/einvestidor/status/1701354933478367308")</f>
        <v>https://twitter.com/einvestidor/status/1701354933478367308</v>
      </c>
      <c r="AF3381" s="79">
        <v>45180.916666666664</v>
      </c>
      <c r="AG3381" s="85">
        <v>45180</v>
      </c>
      <c r="AH3381" s="82" t="s">
        <v>9577</v>
      </c>
      <c r="AI3381" s="77" t="b">
        <v>0</v>
      </c>
      <c r="AJ3381" s="77"/>
      <c r="AK3381" s="77"/>
      <c r="AL3381" s="77"/>
      <c r="AM3381" s="77"/>
      <c r="AN3381" s="77"/>
      <c r="AO3381" s="77"/>
      <c r="AP3381" s="77"/>
      <c r="AQ3381" s="77"/>
      <c r="AR3381" s="77"/>
      <c r="AS3381" s="77"/>
      <c r="AT3381" s="77"/>
      <c r="AU3381" s="77"/>
      <c r="AV3381" s="80" t="str">
        <f>HYPERLINK("https://pbs.twimg.com/profile_images/1241147984924082183/gZgx_hL-_normal.jpg")</f>
        <v>https://pbs.twimg.com/profile_images/1241147984924082183/gZgx_hL-_normal.jpg</v>
      </c>
      <c r="AW3381" s="82" t="s">
        <v>14977</v>
      </c>
      <c r="AX3381" s="82" t="s">
        <v>14977</v>
      </c>
      <c r="AY3381" s="77"/>
      <c r="AZ3381" s="82" t="s">
        <v>15984</v>
      </c>
      <c r="BA3381" s="82" t="s">
        <v>15984</v>
      </c>
      <c r="BB3381" s="82" t="s">
        <v>15984</v>
      </c>
      <c r="BC3381" s="82" t="s">
        <v>14977</v>
      </c>
      <c r="BD3381" s="82" t="s">
        <v>15979</v>
      </c>
      <c r="BE3381" s="77"/>
      <c r="BF3381" s="77"/>
      <c r="BG3381" s="77"/>
      <c r="BH3381" s="77"/>
      <c r="BI3381" s="77"/>
    </row>
    <row r="3382" spans="1:61" x14ac:dyDescent="0.25">
      <c r="A3382" s="62" t="s">
        <v>387</v>
      </c>
      <c r="B3382" s="62" t="s">
        <v>387</v>
      </c>
      <c r="C3382" s="63"/>
      <c r="D3382" s="64"/>
      <c r="E3382" s="65"/>
      <c r="F3382" s="66"/>
      <c r="G3382" s="63"/>
      <c r="H3382" s="67"/>
      <c r="I3382" s="68"/>
      <c r="J3382" s="68"/>
      <c r="K3382" s="32"/>
      <c r="L3382" s="75">
        <v>3382</v>
      </c>
      <c r="M3382" s="75"/>
      <c r="N3382" s="70"/>
      <c r="O3382" s="77" t="s">
        <v>179</v>
      </c>
      <c r="P3382" s="79">
        <v>45180.90625</v>
      </c>
      <c r="Q3382" s="77" t="s">
        <v>4052</v>
      </c>
      <c r="R3382" s="77">
        <v>0</v>
      </c>
      <c r="S3382" s="77">
        <v>0</v>
      </c>
      <c r="T3382" s="77">
        <v>0</v>
      </c>
      <c r="U3382" s="77">
        <v>0</v>
      </c>
      <c r="V3382" s="77">
        <v>530</v>
      </c>
      <c r="W3382" s="82" t="s">
        <v>4833</v>
      </c>
      <c r="X3382" s="80" t="str">
        <f>HYPERLINK("https://einvestidor.estadao.com.br/ultimas/juros-treasuries-apetite-risco-dados-china/?utm_source=twitter&amp;utm_medium=organic&amp;utm_campaign=&amp;utm_content=materia")</f>
        <v>https://einvestidor.estadao.com.br/ultimas/juros-treasuries-apetite-risco-dados-china/?utm_source=twitter&amp;utm_medium=organic&amp;utm_campaign=&amp;utm_content=materia</v>
      </c>
      <c r="Y3382" s="77" t="s">
        <v>6470</v>
      </c>
      <c r="Z3382" s="77"/>
      <c r="AA3382" s="77"/>
      <c r="AB3382" s="77"/>
      <c r="AC3382" s="82" t="s">
        <v>7750</v>
      </c>
      <c r="AD3382" s="77" t="s">
        <v>7788</v>
      </c>
      <c r="AE3382" s="80" t="str">
        <f>HYPERLINK("https://twitter.com/einvestidor/status/1701351157535227995")</f>
        <v>https://twitter.com/einvestidor/status/1701351157535227995</v>
      </c>
      <c r="AF3382" s="79">
        <v>45180.90625</v>
      </c>
      <c r="AG3382" s="85">
        <v>45180</v>
      </c>
      <c r="AH3382" s="82" t="s">
        <v>9578</v>
      </c>
      <c r="AI3382" s="77" t="b">
        <v>0</v>
      </c>
      <c r="AJ3382" s="77"/>
      <c r="AK3382" s="77"/>
      <c r="AL3382" s="77"/>
      <c r="AM3382" s="77"/>
      <c r="AN3382" s="77"/>
      <c r="AO3382" s="77"/>
      <c r="AP3382" s="77"/>
      <c r="AQ3382" s="77"/>
      <c r="AR3382" s="77"/>
      <c r="AS3382" s="77"/>
      <c r="AT3382" s="77"/>
      <c r="AU3382" s="77"/>
      <c r="AV3382" s="80" t="str">
        <f>HYPERLINK("https://pbs.twimg.com/profile_images/1241147984924082183/gZgx_hL-_normal.jpg")</f>
        <v>https://pbs.twimg.com/profile_images/1241147984924082183/gZgx_hL-_normal.jpg</v>
      </c>
      <c r="AW3382" s="82" t="s">
        <v>14978</v>
      </c>
      <c r="AX3382" s="82" t="s">
        <v>14978</v>
      </c>
      <c r="AY3382" s="77"/>
      <c r="AZ3382" s="82" t="s">
        <v>15984</v>
      </c>
      <c r="BA3382" s="82" t="s">
        <v>15984</v>
      </c>
      <c r="BB3382" s="82" t="s">
        <v>15984</v>
      </c>
      <c r="BC3382" s="82" t="s">
        <v>14978</v>
      </c>
      <c r="BD3382" s="82" t="s">
        <v>15979</v>
      </c>
      <c r="BE3382" s="77"/>
      <c r="BF3382" s="77"/>
      <c r="BG3382" s="77"/>
      <c r="BH3382" s="77"/>
      <c r="BI3382" s="77"/>
    </row>
    <row r="3383" spans="1:61" x14ac:dyDescent="0.25">
      <c r="A3383" s="62" t="s">
        <v>387</v>
      </c>
      <c r="B3383" s="62" t="s">
        <v>387</v>
      </c>
      <c r="C3383" s="63"/>
      <c r="D3383" s="64"/>
      <c r="E3383" s="65"/>
      <c r="F3383" s="66"/>
      <c r="G3383" s="63"/>
      <c r="H3383" s="67"/>
      <c r="I3383" s="68"/>
      <c r="J3383" s="68"/>
      <c r="K3383" s="32"/>
      <c r="L3383" s="75">
        <v>3383</v>
      </c>
      <c r="M3383" s="75"/>
      <c r="N3383" s="70"/>
      <c r="O3383" s="77" t="s">
        <v>179</v>
      </c>
      <c r="P3383" s="79">
        <v>45180.893113425926</v>
      </c>
      <c r="Q3383" s="77" t="s">
        <v>4053</v>
      </c>
      <c r="R3383" s="77">
        <v>1</v>
      </c>
      <c r="S3383" s="77">
        <v>1</v>
      </c>
      <c r="T3383" s="77">
        <v>0</v>
      </c>
      <c r="U3383" s="77">
        <v>0</v>
      </c>
      <c r="V3383" s="77">
        <v>713</v>
      </c>
      <c r="W3383" s="82" t="s">
        <v>6295</v>
      </c>
      <c r="X3383" s="80" t="str">
        <f>HYPERLINK("https://einvestidor.estadao.com.br/mercado/piores-acoes-ibovespa-braskem-brkm5-petz-petz3-marfrig-mrfg3/?utm_source=twitter&amp;utm_medium=organic&amp;utm_campaign=&amp;utm_content=materia")</f>
        <v>https://einvestidor.estadao.com.br/mercado/piores-acoes-ibovespa-braskem-brkm5-petz-petz3-marfrig-mrfg3/?utm_source=twitter&amp;utm_medium=organic&amp;utm_campaign=&amp;utm_content=materia</v>
      </c>
      <c r="Y3383" s="77" t="s">
        <v>6470</v>
      </c>
      <c r="Z3383" s="77"/>
      <c r="AA3383" s="77"/>
      <c r="AB3383" s="77"/>
      <c r="AC3383" s="82" t="s">
        <v>7750</v>
      </c>
      <c r="AD3383" s="77" t="s">
        <v>7788</v>
      </c>
      <c r="AE3383" s="80" t="str">
        <f>HYPERLINK("https://twitter.com/einvestidor/status/1701346398589903220")</f>
        <v>https://twitter.com/einvestidor/status/1701346398589903220</v>
      </c>
      <c r="AF3383" s="79">
        <v>45180.893113425926</v>
      </c>
      <c r="AG3383" s="85">
        <v>45180</v>
      </c>
      <c r="AH3383" s="82" t="s">
        <v>10034</v>
      </c>
      <c r="AI3383" s="77" t="b">
        <v>0</v>
      </c>
      <c r="AJ3383" s="77"/>
      <c r="AK3383" s="77"/>
      <c r="AL3383" s="77"/>
      <c r="AM3383" s="77"/>
      <c r="AN3383" s="77"/>
      <c r="AO3383" s="77"/>
      <c r="AP3383" s="77"/>
      <c r="AQ3383" s="77"/>
      <c r="AR3383" s="77"/>
      <c r="AS3383" s="77"/>
      <c r="AT3383" s="77"/>
      <c r="AU3383" s="77"/>
      <c r="AV3383" s="80" t="str">
        <f>HYPERLINK("https://pbs.twimg.com/profile_images/1241147984924082183/gZgx_hL-_normal.jpg")</f>
        <v>https://pbs.twimg.com/profile_images/1241147984924082183/gZgx_hL-_normal.jpg</v>
      </c>
      <c r="AW3383" s="82" t="s">
        <v>14979</v>
      </c>
      <c r="AX3383" s="82" t="s">
        <v>14979</v>
      </c>
      <c r="AY3383" s="77"/>
      <c r="AZ3383" s="82" t="s">
        <v>15984</v>
      </c>
      <c r="BA3383" s="82" t="s">
        <v>15984</v>
      </c>
      <c r="BB3383" s="82" t="s">
        <v>15984</v>
      </c>
      <c r="BC3383" s="82" t="s">
        <v>14979</v>
      </c>
      <c r="BD3383" s="82" t="s">
        <v>15979</v>
      </c>
      <c r="BE3383" s="77"/>
      <c r="BF3383" s="77"/>
      <c r="BG3383" s="77"/>
      <c r="BH3383" s="77"/>
      <c r="BI3383" s="77"/>
    </row>
    <row r="3384" spans="1:61" x14ac:dyDescent="0.25">
      <c r="A3384" s="62" t="s">
        <v>387</v>
      </c>
      <c r="B3384" s="62" t="s">
        <v>387</v>
      </c>
      <c r="C3384" s="63"/>
      <c r="D3384" s="64"/>
      <c r="E3384" s="65"/>
      <c r="F3384" s="66"/>
      <c r="G3384" s="63"/>
      <c r="H3384" s="67"/>
      <c r="I3384" s="68"/>
      <c r="J3384" s="68"/>
      <c r="K3384" s="32"/>
      <c r="L3384" s="75">
        <v>3384</v>
      </c>
      <c r="M3384" s="75"/>
      <c r="N3384" s="70"/>
      <c r="O3384" s="77" t="s">
        <v>179</v>
      </c>
      <c r="P3384" s="79">
        <v>45180.89230324074</v>
      </c>
      <c r="Q3384" s="77" t="s">
        <v>4054</v>
      </c>
      <c r="R3384" s="77">
        <v>1</v>
      </c>
      <c r="S3384" s="77">
        <v>4</v>
      </c>
      <c r="T3384" s="77">
        <v>0</v>
      </c>
      <c r="U3384" s="77">
        <v>0</v>
      </c>
      <c r="V3384" s="77">
        <v>704</v>
      </c>
      <c r="W3384" s="82" t="s">
        <v>6296</v>
      </c>
      <c r="X3384" s="80" t="str">
        <f>HYPERLINK("https://einvestidor.estadao.com.br/mercado/melhores-acoes-ibovespa-eztec-eztc3-grupo-pao-de-acucar-pcar3-csn-mineracao-cmin3/?utm_source=twitter&amp;utm_medium=organic&amp;utm_campaign=&amp;utm_content=materia")</f>
        <v>https://einvestidor.estadao.com.br/mercado/melhores-acoes-ibovespa-eztec-eztc3-grupo-pao-de-acucar-pcar3-csn-mineracao-cmin3/?utm_source=twitter&amp;utm_medium=organic&amp;utm_campaign=&amp;utm_content=materia</v>
      </c>
      <c r="Y3384" s="77" t="s">
        <v>6470</v>
      </c>
      <c r="Z3384" s="77"/>
      <c r="AA3384" s="77"/>
      <c r="AB3384" s="77"/>
      <c r="AC3384" s="82" t="s">
        <v>7750</v>
      </c>
      <c r="AD3384" s="77" t="s">
        <v>7788</v>
      </c>
      <c r="AE3384" s="80" t="str">
        <f>HYPERLINK("https://twitter.com/einvestidor/status/1701346104103649421")</f>
        <v>https://twitter.com/einvestidor/status/1701346104103649421</v>
      </c>
      <c r="AF3384" s="79">
        <v>45180.89230324074</v>
      </c>
      <c r="AG3384" s="85">
        <v>45180</v>
      </c>
      <c r="AH3384" s="82" t="s">
        <v>10035</v>
      </c>
      <c r="AI3384" s="77" t="b">
        <v>0</v>
      </c>
      <c r="AJ3384" s="77"/>
      <c r="AK3384" s="77"/>
      <c r="AL3384" s="77"/>
      <c r="AM3384" s="77"/>
      <c r="AN3384" s="77"/>
      <c r="AO3384" s="77"/>
      <c r="AP3384" s="77"/>
      <c r="AQ3384" s="77"/>
      <c r="AR3384" s="77"/>
      <c r="AS3384" s="77"/>
      <c r="AT3384" s="77"/>
      <c r="AU3384" s="77"/>
      <c r="AV3384" s="80" t="str">
        <f>HYPERLINK("https://pbs.twimg.com/profile_images/1241147984924082183/gZgx_hL-_normal.jpg")</f>
        <v>https://pbs.twimg.com/profile_images/1241147984924082183/gZgx_hL-_normal.jpg</v>
      </c>
      <c r="AW3384" s="82" t="s">
        <v>14980</v>
      </c>
      <c r="AX3384" s="82" t="s">
        <v>14980</v>
      </c>
      <c r="AY3384" s="77"/>
      <c r="AZ3384" s="82" t="s">
        <v>15984</v>
      </c>
      <c r="BA3384" s="82" t="s">
        <v>15984</v>
      </c>
      <c r="BB3384" s="82" t="s">
        <v>15984</v>
      </c>
      <c r="BC3384" s="82" t="s">
        <v>14980</v>
      </c>
      <c r="BD3384" s="82" t="s">
        <v>15979</v>
      </c>
      <c r="BE3384" s="77"/>
      <c r="BF3384" s="77"/>
      <c r="BG3384" s="77"/>
      <c r="BH3384" s="77"/>
      <c r="BI3384" s="77"/>
    </row>
    <row r="3385" spans="1:61" x14ac:dyDescent="0.25">
      <c r="A3385" s="62" t="s">
        <v>387</v>
      </c>
      <c r="B3385" s="62" t="s">
        <v>387</v>
      </c>
      <c r="C3385" s="63"/>
      <c r="D3385" s="64"/>
      <c r="E3385" s="65"/>
      <c r="F3385" s="66"/>
      <c r="G3385" s="63"/>
      <c r="H3385" s="67"/>
      <c r="I3385" s="68"/>
      <c r="J3385" s="68"/>
      <c r="K3385" s="32"/>
      <c r="L3385" s="75">
        <v>3385</v>
      </c>
      <c r="M3385" s="75"/>
      <c r="N3385" s="70"/>
      <c r="O3385" s="77" t="s">
        <v>179</v>
      </c>
      <c r="P3385" s="79">
        <v>45180.879872685182</v>
      </c>
      <c r="Q3385" s="77" t="s">
        <v>4055</v>
      </c>
      <c r="R3385" s="77">
        <v>0</v>
      </c>
      <c r="S3385" s="77">
        <v>0</v>
      </c>
      <c r="T3385" s="77">
        <v>0</v>
      </c>
      <c r="U3385" s="77">
        <v>0</v>
      </c>
      <c r="V3385" s="77">
        <v>568</v>
      </c>
      <c r="W3385" s="82" t="s">
        <v>4833</v>
      </c>
      <c r="X3385" s="80" t="str">
        <f>HYPERLINK("https://einvestidor.estadao.com.br/ultimas/mercado-pago-cdb-orama/?utm_source=twitter&amp;utm_medium=organic&amp;utm_campaign=&amp;utm_content=materia")</f>
        <v>https://einvestidor.estadao.com.br/ultimas/mercado-pago-cdb-orama/?utm_source=twitter&amp;utm_medium=organic&amp;utm_campaign=&amp;utm_content=materia</v>
      </c>
      <c r="Y3385" s="77" t="s">
        <v>6470</v>
      </c>
      <c r="Z3385" s="77"/>
      <c r="AA3385" s="77"/>
      <c r="AB3385" s="77"/>
      <c r="AC3385" s="82" t="s">
        <v>7750</v>
      </c>
      <c r="AD3385" s="77" t="s">
        <v>7788</v>
      </c>
      <c r="AE3385" s="80" t="str">
        <f>HYPERLINK("https://twitter.com/einvestidor/status/1701341601711186057")</f>
        <v>https://twitter.com/einvestidor/status/1701341601711186057</v>
      </c>
      <c r="AF3385" s="79">
        <v>45180.879872685182</v>
      </c>
      <c r="AG3385" s="85">
        <v>45180</v>
      </c>
      <c r="AH3385" s="82" t="s">
        <v>9864</v>
      </c>
      <c r="AI3385" s="77" t="b">
        <v>0</v>
      </c>
      <c r="AJ3385" s="77"/>
      <c r="AK3385" s="77"/>
      <c r="AL3385" s="77"/>
      <c r="AM3385" s="77"/>
      <c r="AN3385" s="77"/>
      <c r="AO3385" s="77"/>
      <c r="AP3385" s="77"/>
      <c r="AQ3385" s="77"/>
      <c r="AR3385" s="77"/>
      <c r="AS3385" s="77"/>
      <c r="AT3385" s="77"/>
      <c r="AU3385" s="77"/>
      <c r="AV3385" s="80" t="str">
        <f>HYPERLINK("https://pbs.twimg.com/profile_images/1241147984924082183/gZgx_hL-_normal.jpg")</f>
        <v>https://pbs.twimg.com/profile_images/1241147984924082183/gZgx_hL-_normal.jpg</v>
      </c>
      <c r="AW3385" s="82" t="s">
        <v>14981</v>
      </c>
      <c r="AX3385" s="82" t="s">
        <v>14981</v>
      </c>
      <c r="AY3385" s="77"/>
      <c r="AZ3385" s="82" t="s">
        <v>15984</v>
      </c>
      <c r="BA3385" s="82" t="s">
        <v>15984</v>
      </c>
      <c r="BB3385" s="82" t="s">
        <v>15984</v>
      </c>
      <c r="BC3385" s="82" t="s">
        <v>14981</v>
      </c>
      <c r="BD3385" s="82" t="s">
        <v>15979</v>
      </c>
      <c r="BE3385" s="77"/>
      <c r="BF3385" s="77"/>
      <c r="BG3385" s="77"/>
      <c r="BH3385" s="77"/>
      <c r="BI3385" s="77"/>
    </row>
    <row r="3386" spans="1:61" x14ac:dyDescent="0.25">
      <c r="A3386" s="62" t="s">
        <v>387</v>
      </c>
      <c r="B3386" s="62" t="s">
        <v>387</v>
      </c>
      <c r="C3386" s="63"/>
      <c r="D3386" s="64"/>
      <c r="E3386" s="65"/>
      <c r="F3386" s="66"/>
      <c r="G3386" s="63"/>
      <c r="H3386" s="67"/>
      <c r="I3386" s="68"/>
      <c r="J3386" s="68"/>
      <c r="K3386" s="32"/>
      <c r="L3386" s="75">
        <v>3386</v>
      </c>
      <c r="M3386" s="75"/>
      <c r="N3386" s="70"/>
      <c r="O3386" s="77" t="s">
        <v>179</v>
      </c>
      <c r="P3386" s="79">
        <v>45180.864583333336</v>
      </c>
      <c r="Q3386" s="77" t="s">
        <v>4056</v>
      </c>
      <c r="R3386" s="77">
        <v>0</v>
      </c>
      <c r="S3386" s="77">
        <v>1</v>
      </c>
      <c r="T3386" s="77">
        <v>0</v>
      </c>
      <c r="U3386" s="77">
        <v>0</v>
      </c>
      <c r="V3386" s="77">
        <v>519</v>
      </c>
      <c r="W3386" s="82" t="s">
        <v>4833</v>
      </c>
      <c r="X3386" s="80" t="str">
        <f>HYPERLINK("https://einvestidor.estadao.com.br/educacao-financeira/como-sacar-o-fgts-rescisao-pelo-aplicativo/?utm_source=twitter&amp;utm_medium=organic&amp;utm_campaign=&amp;utm_content=materia")</f>
        <v>https://einvestidor.estadao.com.br/educacao-financeira/como-sacar-o-fgts-rescisao-pelo-aplicativo/?utm_source=twitter&amp;utm_medium=organic&amp;utm_campaign=&amp;utm_content=materia</v>
      </c>
      <c r="Y3386" s="77" t="s">
        <v>6470</v>
      </c>
      <c r="Z3386" s="77"/>
      <c r="AA3386" s="77"/>
      <c r="AB3386" s="77"/>
      <c r="AC3386" s="82" t="s">
        <v>7750</v>
      </c>
      <c r="AD3386" s="77" t="s">
        <v>7788</v>
      </c>
      <c r="AE3386" s="80" t="str">
        <f>HYPERLINK("https://twitter.com/einvestidor/status/1701336058112135271")</f>
        <v>https://twitter.com/einvestidor/status/1701336058112135271</v>
      </c>
      <c r="AF3386" s="79">
        <v>45180.864583333336</v>
      </c>
      <c r="AG3386" s="85">
        <v>45180</v>
      </c>
      <c r="AH3386" s="82" t="s">
        <v>9596</v>
      </c>
      <c r="AI3386" s="77" t="b">
        <v>0</v>
      </c>
      <c r="AJ3386" s="77"/>
      <c r="AK3386" s="77"/>
      <c r="AL3386" s="77"/>
      <c r="AM3386" s="77"/>
      <c r="AN3386" s="77"/>
      <c r="AO3386" s="77"/>
      <c r="AP3386" s="77"/>
      <c r="AQ3386" s="77"/>
      <c r="AR3386" s="77"/>
      <c r="AS3386" s="77"/>
      <c r="AT3386" s="77"/>
      <c r="AU3386" s="77"/>
      <c r="AV3386" s="80" t="str">
        <f>HYPERLINK("https://pbs.twimg.com/profile_images/1241147984924082183/gZgx_hL-_normal.jpg")</f>
        <v>https://pbs.twimg.com/profile_images/1241147984924082183/gZgx_hL-_normal.jpg</v>
      </c>
      <c r="AW3386" s="82" t="s">
        <v>14982</v>
      </c>
      <c r="AX3386" s="82" t="s">
        <v>14982</v>
      </c>
      <c r="AY3386" s="77"/>
      <c r="AZ3386" s="82" t="s">
        <v>15984</v>
      </c>
      <c r="BA3386" s="82" t="s">
        <v>15984</v>
      </c>
      <c r="BB3386" s="82" t="s">
        <v>15984</v>
      </c>
      <c r="BC3386" s="82" t="s">
        <v>14982</v>
      </c>
      <c r="BD3386" s="82" t="s">
        <v>15979</v>
      </c>
      <c r="BE3386" s="77"/>
      <c r="BF3386" s="77"/>
      <c r="BG3386" s="77"/>
      <c r="BH3386" s="77"/>
      <c r="BI3386" s="77"/>
    </row>
    <row r="3387" spans="1:61" x14ac:dyDescent="0.25">
      <c r="A3387" s="62" t="s">
        <v>387</v>
      </c>
      <c r="B3387" s="62" t="s">
        <v>387</v>
      </c>
      <c r="C3387" s="63"/>
      <c r="D3387" s="64"/>
      <c r="E3387" s="65"/>
      <c r="F3387" s="66"/>
      <c r="G3387" s="63"/>
      <c r="H3387" s="67"/>
      <c r="I3387" s="68"/>
      <c r="J3387" s="68"/>
      <c r="K3387" s="32"/>
      <c r="L3387" s="75">
        <v>3387</v>
      </c>
      <c r="M3387" s="75"/>
      <c r="N3387" s="70"/>
      <c r="O3387" s="77" t="s">
        <v>179</v>
      </c>
      <c r="P3387" s="79">
        <v>45180.854166666664</v>
      </c>
      <c r="Q3387" s="77" t="s">
        <v>4057</v>
      </c>
      <c r="R3387" s="77">
        <v>0</v>
      </c>
      <c r="S3387" s="77">
        <v>3</v>
      </c>
      <c r="T3387" s="77">
        <v>0</v>
      </c>
      <c r="U3387" s="77">
        <v>0</v>
      </c>
      <c r="V3387" s="77">
        <v>658</v>
      </c>
      <c r="W3387" s="82" t="s">
        <v>4833</v>
      </c>
      <c r="X3387" s="80" t="str">
        <f>HYPERLINK("https://einvestidor.estadao.com.br/radar-einvestidor/paulinha-leite-primeiro-premio-loteria//?utm_source=twitter&amp;utm_medium=organic&amp;utm_campaign=&amp;utm_content=materia")</f>
        <v>https://einvestidor.estadao.com.br/radar-einvestidor/paulinha-leite-primeiro-premio-loteria//?utm_source=twitter&amp;utm_medium=organic&amp;utm_campaign=&amp;utm_content=materia</v>
      </c>
      <c r="Y3387" s="77" t="s">
        <v>6470</v>
      </c>
      <c r="Z3387" s="77"/>
      <c r="AA3387" s="77"/>
      <c r="AB3387" s="77"/>
      <c r="AC3387" s="82" t="s">
        <v>7750</v>
      </c>
      <c r="AD3387" s="77" t="s">
        <v>7788</v>
      </c>
      <c r="AE3387" s="80" t="str">
        <f>HYPERLINK("https://twitter.com/einvestidor/status/1701332283855118826")</f>
        <v>https://twitter.com/einvestidor/status/1701332283855118826</v>
      </c>
      <c r="AF3387" s="79">
        <v>45180.854166666664</v>
      </c>
      <c r="AG3387" s="85">
        <v>45180</v>
      </c>
      <c r="AH3387" s="82" t="s">
        <v>8090</v>
      </c>
      <c r="AI3387" s="77" t="b">
        <v>0</v>
      </c>
      <c r="AJ3387" s="77"/>
      <c r="AK3387" s="77"/>
      <c r="AL3387" s="77"/>
      <c r="AM3387" s="77"/>
      <c r="AN3387" s="77"/>
      <c r="AO3387" s="77"/>
      <c r="AP3387" s="77"/>
      <c r="AQ3387" s="77"/>
      <c r="AR3387" s="77"/>
      <c r="AS3387" s="77"/>
      <c r="AT3387" s="77"/>
      <c r="AU3387" s="77"/>
      <c r="AV3387" s="80" t="str">
        <f>HYPERLINK("https://pbs.twimg.com/profile_images/1241147984924082183/gZgx_hL-_normal.jpg")</f>
        <v>https://pbs.twimg.com/profile_images/1241147984924082183/gZgx_hL-_normal.jpg</v>
      </c>
      <c r="AW3387" s="82" t="s">
        <v>14983</v>
      </c>
      <c r="AX3387" s="82" t="s">
        <v>14983</v>
      </c>
      <c r="AY3387" s="77"/>
      <c r="AZ3387" s="82" t="s">
        <v>15984</v>
      </c>
      <c r="BA3387" s="82" t="s">
        <v>15984</v>
      </c>
      <c r="BB3387" s="82" t="s">
        <v>15984</v>
      </c>
      <c r="BC3387" s="82" t="s">
        <v>14983</v>
      </c>
      <c r="BD3387" s="82" t="s">
        <v>15979</v>
      </c>
      <c r="BE3387" s="77"/>
      <c r="BF3387" s="77"/>
      <c r="BG3387" s="77"/>
      <c r="BH3387" s="77"/>
      <c r="BI3387" s="77"/>
    </row>
    <row r="3388" spans="1:61" x14ac:dyDescent="0.25">
      <c r="A3388" s="62" t="s">
        <v>387</v>
      </c>
      <c r="B3388" s="62" t="s">
        <v>387</v>
      </c>
      <c r="C3388" s="63"/>
      <c r="D3388" s="64"/>
      <c r="E3388" s="65"/>
      <c r="F3388" s="66"/>
      <c r="G3388" s="63"/>
      <c r="H3388" s="67"/>
      <c r="I3388" s="68"/>
      <c r="J3388" s="68"/>
      <c r="K3388" s="32"/>
      <c r="L3388" s="75">
        <v>3388</v>
      </c>
      <c r="M3388" s="75"/>
      <c r="N3388" s="70"/>
      <c r="O3388" s="77" t="s">
        <v>179</v>
      </c>
      <c r="P3388" s="79">
        <v>45155.020833333336</v>
      </c>
      <c r="Q3388" s="77" t="s">
        <v>4058</v>
      </c>
      <c r="R3388" s="77">
        <v>0</v>
      </c>
      <c r="S3388" s="77">
        <v>0</v>
      </c>
      <c r="T3388" s="77">
        <v>0</v>
      </c>
      <c r="U3388" s="77">
        <v>0</v>
      </c>
      <c r="V3388" s="77">
        <v>661</v>
      </c>
      <c r="W3388" s="82" t="s">
        <v>6184</v>
      </c>
      <c r="X3388" s="80" t="str">
        <f>HYPERLINK("https://mla.bs/bba72d6a")</f>
        <v>https://mla.bs/bba72d6a</v>
      </c>
      <c r="Y3388" s="77" t="s">
        <v>6506</v>
      </c>
      <c r="Z3388" s="77"/>
      <c r="AA3388" s="77"/>
      <c r="AB3388" s="77"/>
      <c r="AC3388" s="82" t="s">
        <v>7750</v>
      </c>
      <c r="AD3388" s="77" t="s">
        <v>7788</v>
      </c>
      <c r="AE3388" s="80" t="str">
        <f>HYPERLINK("https://twitter.com/einvestidor/status/1691970596643463222")</f>
        <v>https://twitter.com/einvestidor/status/1691970596643463222</v>
      </c>
      <c r="AF3388" s="79">
        <v>45155.020833333336</v>
      </c>
      <c r="AG3388" s="85">
        <v>45155</v>
      </c>
      <c r="AH3388" s="82" t="s">
        <v>8088</v>
      </c>
      <c r="AI3388" s="77" t="b">
        <v>0</v>
      </c>
      <c r="AJ3388" s="77"/>
      <c r="AK3388" s="77"/>
      <c r="AL3388" s="77"/>
      <c r="AM3388" s="77"/>
      <c r="AN3388" s="77"/>
      <c r="AO3388" s="77"/>
      <c r="AP3388" s="77"/>
      <c r="AQ3388" s="77"/>
      <c r="AR3388" s="77"/>
      <c r="AS3388" s="77"/>
      <c r="AT3388" s="77"/>
      <c r="AU3388" s="77"/>
      <c r="AV3388" s="80" t="str">
        <f>HYPERLINK("https://pbs.twimg.com/profile_images/1241147984924082183/gZgx_hL-_normal.jpg")</f>
        <v>https://pbs.twimg.com/profile_images/1241147984924082183/gZgx_hL-_normal.jpg</v>
      </c>
      <c r="AW3388" s="82" t="s">
        <v>14984</v>
      </c>
      <c r="AX3388" s="82" t="s">
        <v>14984</v>
      </c>
      <c r="AY3388" s="77"/>
      <c r="AZ3388" s="82" t="s">
        <v>15984</v>
      </c>
      <c r="BA3388" s="82" t="s">
        <v>15984</v>
      </c>
      <c r="BB3388" s="82" t="s">
        <v>15984</v>
      </c>
      <c r="BC3388" s="82" t="s">
        <v>14984</v>
      </c>
      <c r="BD3388" s="82" t="s">
        <v>15979</v>
      </c>
      <c r="BE3388" s="77"/>
      <c r="BF3388" s="77"/>
      <c r="BG3388" s="77"/>
      <c r="BH3388" s="77"/>
      <c r="BI3388" s="77"/>
    </row>
    <row r="3389" spans="1:61" x14ac:dyDescent="0.25">
      <c r="A3389" s="62" t="s">
        <v>387</v>
      </c>
      <c r="B3389" s="62" t="s">
        <v>387</v>
      </c>
      <c r="C3389" s="63"/>
      <c r="D3389" s="64"/>
      <c r="E3389" s="65"/>
      <c r="F3389" s="66"/>
      <c r="G3389" s="63"/>
      <c r="H3389" s="67"/>
      <c r="I3389" s="68"/>
      <c r="J3389" s="68"/>
      <c r="K3389" s="32"/>
      <c r="L3389" s="75">
        <v>3389</v>
      </c>
      <c r="M3389" s="75"/>
      <c r="N3389" s="70"/>
      <c r="O3389" s="77" t="s">
        <v>179</v>
      </c>
      <c r="P3389" s="79">
        <v>45155.010416666664</v>
      </c>
      <c r="Q3389" s="77" t="s">
        <v>4059</v>
      </c>
      <c r="R3389" s="77">
        <v>0</v>
      </c>
      <c r="S3389" s="77">
        <v>0</v>
      </c>
      <c r="T3389" s="77">
        <v>0</v>
      </c>
      <c r="U3389" s="77">
        <v>0</v>
      </c>
      <c r="V3389" s="77">
        <v>687</v>
      </c>
      <c r="W3389" s="82" t="s">
        <v>4833</v>
      </c>
      <c r="X3389" s="80" t="str">
        <f>HYPERLINK("https://mla.bs/ecb3e606")</f>
        <v>https://mla.bs/ecb3e606</v>
      </c>
      <c r="Y3389" s="77" t="s">
        <v>6506</v>
      </c>
      <c r="Z3389" s="77"/>
      <c r="AA3389" s="77"/>
      <c r="AB3389" s="77"/>
      <c r="AC3389" s="82" t="s">
        <v>7750</v>
      </c>
      <c r="AD3389" s="77" t="s">
        <v>7788</v>
      </c>
      <c r="AE3389" s="80" t="str">
        <f>HYPERLINK("https://twitter.com/einvestidor/status/1691966821782675508")</f>
        <v>https://twitter.com/einvestidor/status/1691966821782675508</v>
      </c>
      <c r="AF3389" s="79">
        <v>45155.010416666664</v>
      </c>
      <c r="AG3389" s="85">
        <v>45155</v>
      </c>
      <c r="AH3389" s="82" t="s">
        <v>8119</v>
      </c>
      <c r="AI3389" s="77" t="b">
        <v>0</v>
      </c>
      <c r="AJ3389" s="77"/>
      <c r="AK3389" s="77"/>
      <c r="AL3389" s="77"/>
      <c r="AM3389" s="77"/>
      <c r="AN3389" s="77"/>
      <c r="AO3389" s="77"/>
      <c r="AP3389" s="77"/>
      <c r="AQ3389" s="77"/>
      <c r="AR3389" s="77"/>
      <c r="AS3389" s="77"/>
      <c r="AT3389" s="77"/>
      <c r="AU3389" s="77"/>
      <c r="AV3389" s="80" t="str">
        <f>HYPERLINK("https://pbs.twimg.com/profile_images/1241147984924082183/gZgx_hL-_normal.jpg")</f>
        <v>https://pbs.twimg.com/profile_images/1241147984924082183/gZgx_hL-_normal.jpg</v>
      </c>
      <c r="AW3389" s="82" t="s">
        <v>14985</v>
      </c>
      <c r="AX3389" s="82" t="s">
        <v>14985</v>
      </c>
      <c r="AY3389" s="77"/>
      <c r="AZ3389" s="82" t="s">
        <v>15984</v>
      </c>
      <c r="BA3389" s="82" t="s">
        <v>15984</v>
      </c>
      <c r="BB3389" s="82" t="s">
        <v>15984</v>
      </c>
      <c r="BC3389" s="82" t="s">
        <v>14985</v>
      </c>
      <c r="BD3389" s="82" t="s">
        <v>15979</v>
      </c>
      <c r="BE3389" s="77"/>
      <c r="BF3389" s="77"/>
      <c r="BG3389" s="77"/>
      <c r="BH3389" s="77"/>
      <c r="BI3389" s="77"/>
    </row>
    <row r="3390" spans="1:61" x14ac:dyDescent="0.25">
      <c r="A3390" s="62" t="s">
        <v>387</v>
      </c>
      <c r="B3390" s="62" t="s">
        <v>387</v>
      </c>
      <c r="C3390" s="63"/>
      <c r="D3390" s="64"/>
      <c r="E3390" s="65"/>
      <c r="F3390" s="66"/>
      <c r="G3390" s="63"/>
      <c r="H3390" s="67"/>
      <c r="I3390" s="68"/>
      <c r="J3390" s="68"/>
      <c r="K3390" s="32"/>
      <c r="L3390" s="75">
        <v>3390</v>
      </c>
      <c r="M3390" s="75"/>
      <c r="N3390" s="70"/>
      <c r="O3390" s="77" t="s">
        <v>179</v>
      </c>
      <c r="P3390" s="79">
        <v>45155.000011574077</v>
      </c>
      <c r="Q3390" s="77" t="s">
        <v>4060</v>
      </c>
      <c r="R3390" s="77">
        <v>1</v>
      </c>
      <c r="S3390" s="77">
        <v>2</v>
      </c>
      <c r="T3390" s="77">
        <v>1</v>
      </c>
      <c r="U3390" s="77">
        <v>0</v>
      </c>
      <c r="V3390" s="77">
        <v>746</v>
      </c>
      <c r="W3390" s="82" t="s">
        <v>6297</v>
      </c>
      <c r="X3390" s="80" t="str">
        <f>HYPERLINK("https://mla.bs/570a4d9a")</f>
        <v>https://mla.bs/570a4d9a</v>
      </c>
      <c r="Y3390" s="77" t="s">
        <v>6506</v>
      </c>
      <c r="Z3390" s="77"/>
      <c r="AA3390" s="77"/>
      <c r="AB3390" s="77"/>
      <c r="AC3390" s="82" t="s">
        <v>7750</v>
      </c>
      <c r="AD3390" s="77" t="s">
        <v>7788</v>
      </c>
      <c r="AE3390" s="80" t="str">
        <f>HYPERLINK("https://twitter.com/einvestidor/status/1691963052722102640")</f>
        <v>https://twitter.com/einvestidor/status/1691963052722102640</v>
      </c>
      <c r="AF3390" s="79">
        <v>45155.000011574077</v>
      </c>
      <c r="AG3390" s="85">
        <v>45155</v>
      </c>
      <c r="AH3390" s="82" t="s">
        <v>7883</v>
      </c>
      <c r="AI3390" s="77" t="b">
        <v>0</v>
      </c>
      <c r="AJ3390" s="77"/>
      <c r="AK3390" s="77"/>
      <c r="AL3390" s="77"/>
      <c r="AM3390" s="77"/>
      <c r="AN3390" s="77"/>
      <c r="AO3390" s="77"/>
      <c r="AP3390" s="77"/>
      <c r="AQ3390" s="77"/>
      <c r="AR3390" s="77"/>
      <c r="AS3390" s="77"/>
      <c r="AT3390" s="77"/>
      <c r="AU3390" s="77"/>
      <c r="AV3390" s="80" t="str">
        <f>HYPERLINK("https://pbs.twimg.com/profile_images/1241147984924082183/gZgx_hL-_normal.jpg")</f>
        <v>https://pbs.twimg.com/profile_images/1241147984924082183/gZgx_hL-_normal.jpg</v>
      </c>
      <c r="AW3390" s="82" t="s">
        <v>14986</v>
      </c>
      <c r="AX3390" s="82" t="s">
        <v>14986</v>
      </c>
      <c r="AY3390" s="77"/>
      <c r="AZ3390" s="82" t="s">
        <v>15984</v>
      </c>
      <c r="BA3390" s="82" t="s">
        <v>15984</v>
      </c>
      <c r="BB3390" s="82" t="s">
        <v>15984</v>
      </c>
      <c r="BC3390" s="82" t="s">
        <v>14986</v>
      </c>
      <c r="BD3390" s="82" t="s">
        <v>15979</v>
      </c>
      <c r="BE3390" s="77"/>
      <c r="BF3390" s="77"/>
      <c r="BG3390" s="77"/>
      <c r="BH3390" s="77"/>
      <c r="BI3390" s="77"/>
    </row>
    <row r="3391" spans="1:61" x14ac:dyDescent="0.25">
      <c r="A3391" s="62" t="s">
        <v>387</v>
      </c>
      <c r="B3391" s="62" t="s">
        <v>387</v>
      </c>
      <c r="C3391" s="63"/>
      <c r="D3391" s="64"/>
      <c r="E3391" s="65"/>
      <c r="F3391" s="66"/>
      <c r="G3391" s="63"/>
      <c r="H3391" s="67"/>
      <c r="I3391" s="68"/>
      <c r="J3391" s="68"/>
      <c r="K3391" s="32"/>
      <c r="L3391" s="75">
        <v>3391</v>
      </c>
      <c r="M3391" s="75"/>
      <c r="N3391" s="70"/>
      <c r="O3391" s="77" t="s">
        <v>179</v>
      </c>
      <c r="P3391" s="79">
        <v>45154.989583333336</v>
      </c>
      <c r="Q3391" s="77" t="s">
        <v>4061</v>
      </c>
      <c r="R3391" s="77">
        <v>0</v>
      </c>
      <c r="S3391" s="77">
        <v>2</v>
      </c>
      <c r="T3391" s="77">
        <v>0</v>
      </c>
      <c r="U3391" s="77">
        <v>0</v>
      </c>
      <c r="V3391" s="77">
        <v>736</v>
      </c>
      <c r="W3391" s="82" t="s">
        <v>6298</v>
      </c>
      <c r="X3391" s="80" t="str">
        <f>HYPERLINK("https://mla.bs/82287e9f")</f>
        <v>https://mla.bs/82287e9f</v>
      </c>
      <c r="Y3391" s="77" t="s">
        <v>6506</v>
      </c>
      <c r="Z3391" s="77"/>
      <c r="AA3391" s="77"/>
      <c r="AB3391" s="77"/>
      <c r="AC3391" s="82" t="s">
        <v>7750</v>
      </c>
      <c r="AD3391" s="77" t="s">
        <v>7788</v>
      </c>
      <c r="AE3391" s="80" t="str">
        <f>HYPERLINK("https://twitter.com/einvestidor/status/1691959272366547126")</f>
        <v>https://twitter.com/einvestidor/status/1691959272366547126</v>
      </c>
      <c r="AF3391" s="79">
        <v>45154.989583333336</v>
      </c>
      <c r="AG3391" s="85">
        <v>45154</v>
      </c>
      <c r="AH3391" s="82" t="s">
        <v>9620</v>
      </c>
      <c r="AI3391" s="77" t="b">
        <v>0</v>
      </c>
      <c r="AJ3391" s="77"/>
      <c r="AK3391" s="77"/>
      <c r="AL3391" s="77"/>
      <c r="AM3391" s="77"/>
      <c r="AN3391" s="77"/>
      <c r="AO3391" s="77"/>
      <c r="AP3391" s="77"/>
      <c r="AQ3391" s="77"/>
      <c r="AR3391" s="77"/>
      <c r="AS3391" s="77"/>
      <c r="AT3391" s="77"/>
      <c r="AU3391" s="77"/>
      <c r="AV3391" s="80" t="str">
        <f>HYPERLINK("https://pbs.twimg.com/profile_images/1241147984924082183/gZgx_hL-_normal.jpg")</f>
        <v>https://pbs.twimg.com/profile_images/1241147984924082183/gZgx_hL-_normal.jpg</v>
      </c>
      <c r="AW3391" s="82" t="s">
        <v>14987</v>
      </c>
      <c r="AX3391" s="82" t="s">
        <v>14987</v>
      </c>
      <c r="AY3391" s="77"/>
      <c r="AZ3391" s="82" t="s">
        <v>15984</v>
      </c>
      <c r="BA3391" s="82" t="s">
        <v>15984</v>
      </c>
      <c r="BB3391" s="82" t="s">
        <v>15984</v>
      </c>
      <c r="BC3391" s="82" t="s">
        <v>14987</v>
      </c>
      <c r="BD3391" s="82" t="s">
        <v>15979</v>
      </c>
      <c r="BE3391" s="77"/>
      <c r="BF3391" s="77"/>
      <c r="BG3391" s="77"/>
      <c r="BH3391" s="77"/>
      <c r="BI3391" s="77"/>
    </row>
    <row r="3392" spans="1:61" x14ac:dyDescent="0.25">
      <c r="A3392" s="62" t="s">
        <v>387</v>
      </c>
      <c r="B3392" s="62" t="s">
        <v>387</v>
      </c>
      <c r="C3392" s="63"/>
      <c r="D3392" s="64"/>
      <c r="E3392" s="65"/>
      <c r="F3392" s="66"/>
      <c r="G3392" s="63"/>
      <c r="H3392" s="67"/>
      <c r="I3392" s="68"/>
      <c r="J3392" s="68"/>
      <c r="K3392" s="32"/>
      <c r="L3392" s="75">
        <v>3392</v>
      </c>
      <c r="M3392" s="75"/>
      <c r="N3392" s="70"/>
      <c r="O3392" s="77" t="s">
        <v>179</v>
      </c>
      <c r="P3392" s="79">
        <v>45154.979166666664</v>
      </c>
      <c r="Q3392" s="77" t="s">
        <v>4062</v>
      </c>
      <c r="R3392" s="77">
        <v>1</v>
      </c>
      <c r="S3392" s="77">
        <v>2</v>
      </c>
      <c r="T3392" s="77">
        <v>0</v>
      </c>
      <c r="U3392" s="77">
        <v>0</v>
      </c>
      <c r="V3392" s="77">
        <v>853</v>
      </c>
      <c r="W3392" s="82" t="s">
        <v>4833</v>
      </c>
      <c r="X3392" s="80" t="str">
        <f>HYPERLINK("https://mla.bs/9e4edff2")</f>
        <v>https://mla.bs/9e4edff2</v>
      </c>
      <c r="Y3392" s="77" t="s">
        <v>6506</v>
      </c>
      <c r="Z3392" s="77"/>
      <c r="AA3392" s="77"/>
      <c r="AB3392" s="77"/>
      <c r="AC3392" s="82" t="s">
        <v>7750</v>
      </c>
      <c r="AD3392" s="77" t="s">
        <v>7788</v>
      </c>
      <c r="AE3392" s="80" t="str">
        <f>HYPERLINK("https://twitter.com/einvestidor/status/1691955497480630283")</f>
        <v>https://twitter.com/einvestidor/status/1691955497480630283</v>
      </c>
      <c r="AF3392" s="79">
        <v>45154.979166666664</v>
      </c>
      <c r="AG3392" s="85">
        <v>45154</v>
      </c>
      <c r="AH3392" s="82" t="s">
        <v>7928</v>
      </c>
      <c r="AI3392" s="77" t="b">
        <v>0</v>
      </c>
      <c r="AJ3392" s="77"/>
      <c r="AK3392" s="77"/>
      <c r="AL3392" s="77"/>
      <c r="AM3392" s="77"/>
      <c r="AN3392" s="77"/>
      <c r="AO3392" s="77"/>
      <c r="AP3392" s="77"/>
      <c r="AQ3392" s="77"/>
      <c r="AR3392" s="77"/>
      <c r="AS3392" s="77"/>
      <c r="AT3392" s="77"/>
      <c r="AU3392" s="77"/>
      <c r="AV3392" s="80" t="str">
        <f>HYPERLINK("https://pbs.twimg.com/profile_images/1241147984924082183/gZgx_hL-_normal.jpg")</f>
        <v>https://pbs.twimg.com/profile_images/1241147984924082183/gZgx_hL-_normal.jpg</v>
      </c>
      <c r="AW3392" s="82" t="s">
        <v>14988</v>
      </c>
      <c r="AX3392" s="82" t="s">
        <v>14988</v>
      </c>
      <c r="AY3392" s="77"/>
      <c r="AZ3392" s="82" t="s">
        <v>15984</v>
      </c>
      <c r="BA3392" s="82" t="s">
        <v>15984</v>
      </c>
      <c r="BB3392" s="82" t="s">
        <v>15984</v>
      </c>
      <c r="BC3392" s="82" t="s">
        <v>14988</v>
      </c>
      <c r="BD3392" s="82" t="s">
        <v>15979</v>
      </c>
      <c r="BE3392" s="77"/>
      <c r="BF3392" s="77"/>
      <c r="BG3392" s="77"/>
      <c r="BH3392" s="77"/>
      <c r="BI3392" s="77"/>
    </row>
    <row r="3393" spans="1:61" x14ac:dyDescent="0.25">
      <c r="A3393" s="62" t="s">
        <v>387</v>
      </c>
      <c r="B3393" s="62" t="s">
        <v>387</v>
      </c>
      <c r="C3393" s="63"/>
      <c r="D3393" s="64"/>
      <c r="E3393" s="65"/>
      <c r="F3393" s="66"/>
      <c r="G3393" s="63"/>
      <c r="H3393" s="67"/>
      <c r="I3393" s="68"/>
      <c r="J3393" s="68"/>
      <c r="K3393" s="32"/>
      <c r="L3393" s="75">
        <v>3393</v>
      </c>
      <c r="M3393" s="75"/>
      <c r="N3393" s="70"/>
      <c r="O3393" s="77" t="s">
        <v>179</v>
      </c>
      <c r="P3393" s="79">
        <v>45154.96875</v>
      </c>
      <c r="Q3393" s="77" t="s">
        <v>4063</v>
      </c>
      <c r="R3393" s="77">
        <v>1</v>
      </c>
      <c r="S3393" s="77">
        <v>2</v>
      </c>
      <c r="T3393" s="77">
        <v>0</v>
      </c>
      <c r="U3393" s="77">
        <v>0</v>
      </c>
      <c r="V3393" s="77">
        <v>766</v>
      </c>
      <c r="W3393" s="82" t="s">
        <v>6299</v>
      </c>
      <c r="X3393" s="80" t="str">
        <f>HYPERLINK("https://mla.bs/8e5b7a07")</f>
        <v>https://mla.bs/8e5b7a07</v>
      </c>
      <c r="Y3393" s="77" t="s">
        <v>6506</v>
      </c>
      <c r="Z3393" s="77"/>
      <c r="AA3393" s="77"/>
      <c r="AB3393" s="77"/>
      <c r="AC3393" s="82" t="s">
        <v>7750</v>
      </c>
      <c r="AD3393" s="77" t="s">
        <v>7788</v>
      </c>
      <c r="AE3393" s="80" t="str">
        <f>HYPERLINK("https://twitter.com/einvestidor/status/1691951722355183926")</f>
        <v>https://twitter.com/einvestidor/status/1691951722355183926</v>
      </c>
      <c r="AF3393" s="79">
        <v>45154.96875</v>
      </c>
      <c r="AG3393" s="85">
        <v>45154</v>
      </c>
      <c r="AH3393" s="82" t="s">
        <v>9621</v>
      </c>
      <c r="AI3393" s="77" t="b">
        <v>0</v>
      </c>
      <c r="AJ3393" s="77"/>
      <c r="AK3393" s="77"/>
      <c r="AL3393" s="77"/>
      <c r="AM3393" s="77"/>
      <c r="AN3393" s="77"/>
      <c r="AO3393" s="77"/>
      <c r="AP3393" s="77"/>
      <c r="AQ3393" s="77"/>
      <c r="AR3393" s="77"/>
      <c r="AS3393" s="77"/>
      <c r="AT3393" s="77"/>
      <c r="AU3393" s="77"/>
      <c r="AV3393" s="80" t="str">
        <f>HYPERLINK("https://pbs.twimg.com/profile_images/1241147984924082183/gZgx_hL-_normal.jpg")</f>
        <v>https://pbs.twimg.com/profile_images/1241147984924082183/gZgx_hL-_normal.jpg</v>
      </c>
      <c r="AW3393" s="82" t="s">
        <v>14989</v>
      </c>
      <c r="AX3393" s="82" t="s">
        <v>14989</v>
      </c>
      <c r="AY3393" s="77"/>
      <c r="AZ3393" s="82" t="s">
        <v>15984</v>
      </c>
      <c r="BA3393" s="82" t="s">
        <v>15984</v>
      </c>
      <c r="BB3393" s="82" t="s">
        <v>15984</v>
      </c>
      <c r="BC3393" s="82" t="s">
        <v>14989</v>
      </c>
      <c r="BD3393" s="82" t="s">
        <v>15979</v>
      </c>
      <c r="BE3393" s="77"/>
      <c r="BF3393" s="77"/>
      <c r="BG3393" s="77"/>
      <c r="BH3393" s="77"/>
      <c r="BI3393" s="77"/>
    </row>
    <row r="3394" spans="1:61" x14ac:dyDescent="0.25">
      <c r="A3394" s="62" t="s">
        <v>387</v>
      </c>
      <c r="B3394" s="62" t="s">
        <v>387</v>
      </c>
      <c r="C3394" s="63"/>
      <c r="D3394" s="64"/>
      <c r="E3394" s="65"/>
      <c r="F3394" s="66"/>
      <c r="G3394" s="63"/>
      <c r="H3394" s="67"/>
      <c r="I3394" s="68"/>
      <c r="J3394" s="68"/>
      <c r="K3394" s="32"/>
      <c r="L3394" s="75">
        <v>3394</v>
      </c>
      <c r="M3394" s="75"/>
      <c r="N3394" s="70"/>
      <c r="O3394" s="77" t="s">
        <v>179</v>
      </c>
      <c r="P3394" s="79">
        <v>45154.958344907405</v>
      </c>
      <c r="Q3394" s="77" t="s">
        <v>4064</v>
      </c>
      <c r="R3394" s="77">
        <v>1</v>
      </c>
      <c r="S3394" s="77">
        <v>3</v>
      </c>
      <c r="T3394" s="77">
        <v>0</v>
      </c>
      <c r="U3394" s="77">
        <v>0</v>
      </c>
      <c r="V3394" s="77">
        <v>701</v>
      </c>
      <c r="W3394" s="82" t="s">
        <v>4833</v>
      </c>
      <c r="X3394" s="80" t="str">
        <f>HYPERLINK("https://mla.bs/0ad2874a")</f>
        <v>https://mla.bs/0ad2874a</v>
      </c>
      <c r="Y3394" s="77" t="s">
        <v>6506</v>
      </c>
      <c r="Z3394" s="77"/>
      <c r="AA3394" s="77"/>
      <c r="AB3394" s="77"/>
      <c r="AC3394" s="82" t="s">
        <v>7750</v>
      </c>
      <c r="AD3394" s="77" t="s">
        <v>7788</v>
      </c>
      <c r="AE3394" s="80" t="str">
        <f>HYPERLINK("https://twitter.com/einvestidor/status/1691947954930856203")</f>
        <v>https://twitter.com/einvestidor/status/1691947954930856203</v>
      </c>
      <c r="AF3394" s="79">
        <v>45154.958344907405</v>
      </c>
      <c r="AG3394" s="85">
        <v>45154</v>
      </c>
      <c r="AH3394" s="82" t="s">
        <v>9241</v>
      </c>
      <c r="AI3394" s="77" t="b">
        <v>0</v>
      </c>
      <c r="AJ3394" s="77"/>
      <c r="AK3394" s="77"/>
      <c r="AL3394" s="77"/>
      <c r="AM3394" s="77"/>
      <c r="AN3394" s="77"/>
      <c r="AO3394" s="77"/>
      <c r="AP3394" s="77"/>
      <c r="AQ3394" s="77"/>
      <c r="AR3394" s="77"/>
      <c r="AS3394" s="77"/>
      <c r="AT3394" s="77"/>
      <c r="AU3394" s="77"/>
      <c r="AV3394" s="80" t="str">
        <f>HYPERLINK("https://pbs.twimg.com/profile_images/1241147984924082183/gZgx_hL-_normal.jpg")</f>
        <v>https://pbs.twimg.com/profile_images/1241147984924082183/gZgx_hL-_normal.jpg</v>
      </c>
      <c r="AW3394" s="82" t="s">
        <v>14990</v>
      </c>
      <c r="AX3394" s="82" t="s">
        <v>14990</v>
      </c>
      <c r="AY3394" s="77"/>
      <c r="AZ3394" s="82" t="s">
        <v>15984</v>
      </c>
      <c r="BA3394" s="82" t="s">
        <v>15984</v>
      </c>
      <c r="BB3394" s="82" t="s">
        <v>15984</v>
      </c>
      <c r="BC3394" s="82" t="s">
        <v>14990</v>
      </c>
      <c r="BD3394" s="82" t="s">
        <v>15979</v>
      </c>
      <c r="BE3394" s="77"/>
      <c r="BF3394" s="77"/>
      <c r="BG3394" s="77"/>
      <c r="BH3394" s="77"/>
      <c r="BI3394" s="77"/>
    </row>
    <row r="3395" spans="1:61" x14ac:dyDescent="0.25">
      <c r="A3395" s="62" t="s">
        <v>387</v>
      </c>
      <c r="B3395" s="62" t="s">
        <v>387</v>
      </c>
      <c r="C3395" s="63"/>
      <c r="D3395" s="64"/>
      <c r="E3395" s="65"/>
      <c r="F3395" s="66"/>
      <c r="G3395" s="63"/>
      <c r="H3395" s="67"/>
      <c r="I3395" s="68"/>
      <c r="J3395" s="68"/>
      <c r="K3395" s="32"/>
      <c r="L3395" s="75">
        <v>3395</v>
      </c>
      <c r="M3395" s="75"/>
      <c r="N3395" s="70"/>
      <c r="O3395" s="77" t="s">
        <v>179</v>
      </c>
      <c r="P3395" s="79">
        <v>45154.947916666664</v>
      </c>
      <c r="Q3395" s="77" t="s">
        <v>4065</v>
      </c>
      <c r="R3395" s="77">
        <v>0</v>
      </c>
      <c r="S3395" s="77">
        <v>1</v>
      </c>
      <c r="T3395" s="77">
        <v>0</v>
      </c>
      <c r="U3395" s="77">
        <v>0</v>
      </c>
      <c r="V3395" s="77">
        <v>521</v>
      </c>
      <c r="W3395" s="82" t="s">
        <v>5902</v>
      </c>
      <c r="X3395" s="80" t="str">
        <f>HYPERLINK("https://mla.bs/fab07bb7")</f>
        <v>https://mla.bs/fab07bb7</v>
      </c>
      <c r="Y3395" s="77" t="s">
        <v>6506</v>
      </c>
      <c r="Z3395" s="77"/>
      <c r="AA3395" s="77"/>
      <c r="AB3395" s="77"/>
      <c r="AC3395" s="82" t="s">
        <v>7750</v>
      </c>
      <c r="AD3395" s="77" t="s">
        <v>7788</v>
      </c>
      <c r="AE3395" s="80" t="str">
        <f>HYPERLINK("https://twitter.com/einvestidor/status/1691944172645740562")</f>
        <v>https://twitter.com/einvestidor/status/1691944172645740562</v>
      </c>
      <c r="AF3395" s="79">
        <v>45154.947916666664</v>
      </c>
      <c r="AG3395" s="85">
        <v>45154</v>
      </c>
      <c r="AH3395" s="82" t="s">
        <v>9595</v>
      </c>
      <c r="AI3395" s="77" t="b">
        <v>0</v>
      </c>
      <c r="AJ3395" s="77"/>
      <c r="AK3395" s="77"/>
      <c r="AL3395" s="77"/>
      <c r="AM3395" s="77"/>
      <c r="AN3395" s="77"/>
      <c r="AO3395" s="77"/>
      <c r="AP3395" s="77"/>
      <c r="AQ3395" s="77"/>
      <c r="AR3395" s="77"/>
      <c r="AS3395" s="77"/>
      <c r="AT3395" s="77"/>
      <c r="AU3395" s="77"/>
      <c r="AV3395" s="80" t="str">
        <f>HYPERLINK("https://pbs.twimg.com/profile_images/1241147984924082183/gZgx_hL-_normal.jpg")</f>
        <v>https://pbs.twimg.com/profile_images/1241147984924082183/gZgx_hL-_normal.jpg</v>
      </c>
      <c r="AW3395" s="82" t="s">
        <v>14991</v>
      </c>
      <c r="AX3395" s="82" t="s">
        <v>14991</v>
      </c>
      <c r="AY3395" s="77"/>
      <c r="AZ3395" s="82" t="s">
        <v>15984</v>
      </c>
      <c r="BA3395" s="82" t="s">
        <v>15984</v>
      </c>
      <c r="BB3395" s="82" t="s">
        <v>15984</v>
      </c>
      <c r="BC3395" s="82" t="s">
        <v>14991</v>
      </c>
      <c r="BD3395" s="82" t="s">
        <v>15979</v>
      </c>
      <c r="BE3395" s="77"/>
      <c r="BF3395" s="77"/>
      <c r="BG3395" s="77"/>
      <c r="BH3395" s="77"/>
      <c r="BI3395" s="77"/>
    </row>
    <row r="3396" spans="1:61" x14ac:dyDescent="0.25">
      <c r="A3396" s="62" t="s">
        <v>387</v>
      </c>
      <c r="B3396" s="62" t="s">
        <v>387</v>
      </c>
      <c r="C3396" s="63"/>
      <c r="D3396" s="64"/>
      <c r="E3396" s="65"/>
      <c r="F3396" s="66"/>
      <c r="G3396" s="63"/>
      <c r="H3396" s="67"/>
      <c r="I3396" s="68"/>
      <c r="J3396" s="68"/>
      <c r="K3396" s="32"/>
      <c r="L3396" s="75">
        <v>3396</v>
      </c>
      <c r="M3396" s="75"/>
      <c r="N3396" s="70"/>
      <c r="O3396" s="77" t="s">
        <v>179</v>
      </c>
      <c r="P3396" s="79">
        <v>45154.9375</v>
      </c>
      <c r="Q3396" s="77" t="s">
        <v>4066</v>
      </c>
      <c r="R3396" s="77">
        <v>1</v>
      </c>
      <c r="S3396" s="77">
        <v>3</v>
      </c>
      <c r="T3396" s="77">
        <v>1</v>
      </c>
      <c r="U3396" s="77">
        <v>0</v>
      </c>
      <c r="V3396" s="77">
        <v>604</v>
      </c>
      <c r="W3396" s="82" t="s">
        <v>4833</v>
      </c>
      <c r="X3396" s="80" t="str">
        <f>HYPERLINK("https://mla.bs/dec602b7")</f>
        <v>https://mla.bs/dec602b7</v>
      </c>
      <c r="Y3396" s="77" t="s">
        <v>6506</v>
      </c>
      <c r="Z3396" s="77"/>
      <c r="AA3396" s="77"/>
      <c r="AB3396" s="77"/>
      <c r="AC3396" s="82" t="s">
        <v>7750</v>
      </c>
      <c r="AD3396" s="77" t="s">
        <v>7788</v>
      </c>
      <c r="AE3396" s="80" t="str">
        <f>HYPERLINK("https://twitter.com/einvestidor/status/1691940397990269323")</f>
        <v>https://twitter.com/einvestidor/status/1691940397990269323</v>
      </c>
      <c r="AF3396" s="79">
        <v>45154.9375</v>
      </c>
      <c r="AG3396" s="85">
        <v>45154</v>
      </c>
      <c r="AH3396" s="82" t="s">
        <v>7926</v>
      </c>
      <c r="AI3396" s="77" t="b">
        <v>0</v>
      </c>
      <c r="AJ3396" s="77"/>
      <c r="AK3396" s="77"/>
      <c r="AL3396" s="77"/>
      <c r="AM3396" s="77"/>
      <c r="AN3396" s="77"/>
      <c r="AO3396" s="77"/>
      <c r="AP3396" s="77"/>
      <c r="AQ3396" s="77"/>
      <c r="AR3396" s="77"/>
      <c r="AS3396" s="77"/>
      <c r="AT3396" s="77"/>
      <c r="AU3396" s="77"/>
      <c r="AV3396" s="80" t="str">
        <f>HYPERLINK("https://pbs.twimg.com/profile_images/1241147984924082183/gZgx_hL-_normal.jpg")</f>
        <v>https://pbs.twimg.com/profile_images/1241147984924082183/gZgx_hL-_normal.jpg</v>
      </c>
      <c r="AW3396" s="82" t="s">
        <v>14992</v>
      </c>
      <c r="AX3396" s="82" t="s">
        <v>14992</v>
      </c>
      <c r="AY3396" s="77"/>
      <c r="AZ3396" s="82" t="s">
        <v>15984</v>
      </c>
      <c r="BA3396" s="82" t="s">
        <v>15984</v>
      </c>
      <c r="BB3396" s="82" t="s">
        <v>15984</v>
      </c>
      <c r="BC3396" s="82" t="s">
        <v>14992</v>
      </c>
      <c r="BD3396" s="82" t="s">
        <v>15979</v>
      </c>
      <c r="BE3396" s="77"/>
      <c r="BF3396" s="77"/>
      <c r="BG3396" s="77"/>
      <c r="BH3396" s="77"/>
      <c r="BI3396" s="77"/>
    </row>
    <row r="3397" spans="1:61" x14ac:dyDescent="0.25">
      <c r="A3397" s="62" t="s">
        <v>387</v>
      </c>
      <c r="B3397" s="62" t="s">
        <v>387</v>
      </c>
      <c r="C3397" s="63"/>
      <c r="D3397" s="64"/>
      <c r="E3397" s="65"/>
      <c r="F3397" s="66"/>
      <c r="G3397" s="63"/>
      <c r="H3397" s="67"/>
      <c r="I3397" s="68"/>
      <c r="J3397" s="68"/>
      <c r="K3397" s="32"/>
      <c r="L3397" s="75">
        <v>3397</v>
      </c>
      <c r="M3397" s="75"/>
      <c r="N3397" s="70"/>
      <c r="O3397" s="77" t="s">
        <v>179</v>
      </c>
      <c r="P3397" s="79">
        <v>45154.927083333336</v>
      </c>
      <c r="Q3397" s="77" t="s">
        <v>4067</v>
      </c>
      <c r="R3397" s="77">
        <v>0</v>
      </c>
      <c r="S3397" s="77">
        <v>2</v>
      </c>
      <c r="T3397" s="77">
        <v>0</v>
      </c>
      <c r="U3397" s="77">
        <v>0</v>
      </c>
      <c r="V3397" s="77">
        <v>583</v>
      </c>
      <c r="W3397" s="82" t="s">
        <v>6281</v>
      </c>
      <c r="X3397" s="80" t="str">
        <f>HYPERLINK("https://mla.bs/0eb58727")</f>
        <v>https://mla.bs/0eb58727</v>
      </c>
      <c r="Y3397" s="77" t="s">
        <v>6506</v>
      </c>
      <c r="Z3397" s="77"/>
      <c r="AA3397" s="77"/>
      <c r="AB3397" s="77"/>
      <c r="AC3397" s="82" t="s">
        <v>7750</v>
      </c>
      <c r="AD3397" s="77" t="s">
        <v>7788</v>
      </c>
      <c r="AE3397" s="80" t="str">
        <f>HYPERLINK("https://twitter.com/einvestidor/status/1691936623259238494")</f>
        <v>https://twitter.com/einvestidor/status/1691936623259238494</v>
      </c>
      <c r="AF3397" s="79">
        <v>45154.927083333336</v>
      </c>
      <c r="AG3397" s="85">
        <v>45154</v>
      </c>
      <c r="AH3397" s="82" t="s">
        <v>9576</v>
      </c>
      <c r="AI3397" s="77" t="b">
        <v>0</v>
      </c>
      <c r="AJ3397" s="77"/>
      <c r="AK3397" s="77"/>
      <c r="AL3397" s="77"/>
      <c r="AM3397" s="77"/>
      <c r="AN3397" s="77"/>
      <c r="AO3397" s="77"/>
      <c r="AP3397" s="77"/>
      <c r="AQ3397" s="77"/>
      <c r="AR3397" s="77"/>
      <c r="AS3397" s="77"/>
      <c r="AT3397" s="77"/>
      <c r="AU3397" s="77"/>
      <c r="AV3397" s="80" t="str">
        <f>HYPERLINK("https://pbs.twimg.com/profile_images/1241147984924082183/gZgx_hL-_normal.jpg")</f>
        <v>https://pbs.twimg.com/profile_images/1241147984924082183/gZgx_hL-_normal.jpg</v>
      </c>
      <c r="AW3397" s="82" t="s">
        <v>14993</v>
      </c>
      <c r="AX3397" s="82" t="s">
        <v>14993</v>
      </c>
      <c r="AY3397" s="77"/>
      <c r="AZ3397" s="82" t="s">
        <v>15984</v>
      </c>
      <c r="BA3397" s="82" t="s">
        <v>15984</v>
      </c>
      <c r="BB3397" s="82" t="s">
        <v>15984</v>
      </c>
      <c r="BC3397" s="82" t="s">
        <v>14993</v>
      </c>
      <c r="BD3397" s="82" t="s">
        <v>15979</v>
      </c>
      <c r="BE3397" s="77"/>
      <c r="BF3397" s="77"/>
      <c r="BG3397" s="77"/>
      <c r="BH3397" s="77"/>
      <c r="BI3397" s="77"/>
    </row>
    <row r="3398" spans="1:61" x14ac:dyDescent="0.25">
      <c r="A3398" s="62" t="s">
        <v>387</v>
      </c>
      <c r="B3398" s="62" t="s">
        <v>387</v>
      </c>
      <c r="C3398" s="63"/>
      <c r="D3398" s="64"/>
      <c r="E3398" s="65"/>
      <c r="F3398" s="66"/>
      <c r="G3398" s="63"/>
      <c r="H3398" s="67"/>
      <c r="I3398" s="68"/>
      <c r="J3398" s="68"/>
      <c r="K3398" s="32"/>
      <c r="L3398" s="75">
        <v>3398</v>
      </c>
      <c r="M3398" s="75"/>
      <c r="N3398" s="70"/>
      <c r="O3398" s="77" t="s">
        <v>179</v>
      </c>
      <c r="P3398" s="79">
        <v>45154.919374999998</v>
      </c>
      <c r="Q3398" s="77" t="s">
        <v>4068</v>
      </c>
      <c r="R3398" s="77">
        <v>0</v>
      </c>
      <c r="S3398" s="77">
        <v>0</v>
      </c>
      <c r="T3398" s="77">
        <v>1</v>
      </c>
      <c r="U3398" s="77">
        <v>0</v>
      </c>
      <c r="V3398" s="77">
        <v>525</v>
      </c>
      <c r="W3398" s="82" t="s">
        <v>4833</v>
      </c>
      <c r="X3398" s="80" t="str">
        <f>HYPERLINK("https://mla.bs/e52d4bfd")</f>
        <v>https://mla.bs/e52d4bfd</v>
      </c>
      <c r="Y3398" s="77" t="s">
        <v>6506</v>
      </c>
      <c r="Z3398" s="77"/>
      <c r="AA3398" s="77"/>
      <c r="AB3398" s="77"/>
      <c r="AC3398" s="82" t="s">
        <v>7750</v>
      </c>
      <c r="AD3398" s="77" t="s">
        <v>7788</v>
      </c>
      <c r="AE3398" s="80" t="str">
        <f>HYPERLINK("https://twitter.com/einvestidor/status/1691933832520347683")</f>
        <v>https://twitter.com/einvestidor/status/1691933832520347683</v>
      </c>
      <c r="AF3398" s="79">
        <v>45154.919374999998</v>
      </c>
      <c r="AG3398" s="85">
        <v>45154</v>
      </c>
      <c r="AH3398" s="82" t="s">
        <v>10036</v>
      </c>
      <c r="AI3398" s="77" t="b">
        <v>0</v>
      </c>
      <c r="AJ3398" s="77"/>
      <c r="AK3398" s="77"/>
      <c r="AL3398" s="77"/>
      <c r="AM3398" s="77"/>
      <c r="AN3398" s="77"/>
      <c r="AO3398" s="77"/>
      <c r="AP3398" s="77"/>
      <c r="AQ3398" s="77"/>
      <c r="AR3398" s="77"/>
      <c r="AS3398" s="77"/>
      <c r="AT3398" s="77"/>
      <c r="AU3398" s="77"/>
      <c r="AV3398" s="80" t="str">
        <f>HYPERLINK("https://pbs.twimg.com/profile_images/1241147984924082183/gZgx_hL-_normal.jpg")</f>
        <v>https://pbs.twimg.com/profile_images/1241147984924082183/gZgx_hL-_normal.jpg</v>
      </c>
      <c r="AW3398" s="82" t="s">
        <v>14994</v>
      </c>
      <c r="AX3398" s="82" t="s">
        <v>14994</v>
      </c>
      <c r="AY3398" s="77"/>
      <c r="AZ3398" s="82" t="s">
        <v>15984</v>
      </c>
      <c r="BA3398" s="82" t="s">
        <v>15984</v>
      </c>
      <c r="BB3398" s="82" t="s">
        <v>15984</v>
      </c>
      <c r="BC3398" s="82" t="s">
        <v>14994</v>
      </c>
      <c r="BD3398" s="82" t="s">
        <v>15979</v>
      </c>
      <c r="BE3398" s="77"/>
      <c r="BF3398" s="77"/>
      <c r="BG3398" s="77"/>
      <c r="BH3398" s="77"/>
      <c r="BI3398" s="77"/>
    </row>
    <row r="3399" spans="1:61" x14ac:dyDescent="0.25">
      <c r="A3399" s="62" t="s">
        <v>387</v>
      </c>
      <c r="B3399" s="62" t="s">
        <v>387</v>
      </c>
      <c r="C3399" s="63"/>
      <c r="D3399" s="64"/>
      <c r="E3399" s="65"/>
      <c r="F3399" s="66"/>
      <c r="G3399" s="63"/>
      <c r="H3399" s="67"/>
      <c r="I3399" s="68"/>
      <c r="J3399" s="68"/>
      <c r="K3399" s="32"/>
      <c r="L3399" s="75">
        <v>3399</v>
      </c>
      <c r="M3399" s="75"/>
      <c r="N3399" s="70"/>
      <c r="O3399" s="77" t="s">
        <v>179</v>
      </c>
      <c r="P3399" s="79">
        <v>45154.916678240741</v>
      </c>
      <c r="Q3399" s="77" t="s">
        <v>4069</v>
      </c>
      <c r="R3399" s="77">
        <v>0</v>
      </c>
      <c r="S3399" s="77">
        <v>5</v>
      </c>
      <c r="T3399" s="77">
        <v>0</v>
      </c>
      <c r="U3399" s="77">
        <v>0</v>
      </c>
      <c r="V3399" s="77">
        <v>930</v>
      </c>
      <c r="W3399" s="82" t="s">
        <v>4833</v>
      </c>
      <c r="X3399" s="80" t="str">
        <f>HYPERLINK("https://mla.bs/f9f49e40")</f>
        <v>https://mla.bs/f9f49e40</v>
      </c>
      <c r="Y3399" s="77" t="s">
        <v>6506</v>
      </c>
      <c r="Z3399" s="77"/>
      <c r="AA3399" s="77"/>
      <c r="AB3399" s="77"/>
      <c r="AC3399" s="82" t="s">
        <v>7750</v>
      </c>
      <c r="AD3399" s="77" t="s">
        <v>7788</v>
      </c>
      <c r="AE3399" s="80" t="str">
        <f>HYPERLINK("https://twitter.com/einvestidor/status/1691932853695549572")</f>
        <v>https://twitter.com/einvestidor/status/1691932853695549572</v>
      </c>
      <c r="AF3399" s="79">
        <v>45154.916678240741</v>
      </c>
      <c r="AG3399" s="85">
        <v>45154</v>
      </c>
      <c r="AH3399" s="82" t="s">
        <v>8052</v>
      </c>
      <c r="AI3399" s="77" t="b">
        <v>0</v>
      </c>
      <c r="AJ3399" s="77"/>
      <c r="AK3399" s="77"/>
      <c r="AL3399" s="77"/>
      <c r="AM3399" s="77"/>
      <c r="AN3399" s="77"/>
      <c r="AO3399" s="77"/>
      <c r="AP3399" s="77"/>
      <c r="AQ3399" s="77"/>
      <c r="AR3399" s="77"/>
      <c r="AS3399" s="77"/>
      <c r="AT3399" s="77"/>
      <c r="AU3399" s="77"/>
      <c r="AV3399" s="80" t="str">
        <f>HYPERLINK("https://pbs.twimg.com/profile_images/1241147984924082183/gZgx_hL-_normal.jpg")</f>
        <v>https://pbs.twimg.com/profile_images/1241147984924082183/gZgx_hL-_normal.jpg</v>
      </c>
      <c r="AW3399" s="82" t="s">
        <v>14995</v>
      </c>
      <c r="AX3399" s="82" t="s">
        <v>14995</v>
      </c>
      <c r="AY3399" s="77"/>
      <c r="AZ3399" s="82" t="s">
        <v>15984</v>
      </c>
      <c r="BA3399" s="82" t="s">
        <v>15984</v>
      </c>
      <c r="BB3399" s="82" t="s">
        <v>15984</v>
      </c>
      <c r="BC3399" s="82" t="s">
        <v>14995</v>
      </c>
      <c r="BD3399" s="82" t="s">
        <v>15979</v>
      </c>
      <c r="BE3399" s="77"/>
      <c r="BF3399" s="77"/>
      <c r="BG3399" s="77"/>
      <c r="BH3399" s="77"/>
      <c r="BI3399" s="77"/>
    </row>
    <row r="3400" spans="1:61" x14ac:dyDescent="0.25">
      <c r="A3400" s="62" t="s">
        <v>387</v>
      </c>
      <c r="B3400" s="62" t="s">
        <v>387</v>
      </c>
      <c r="C3400" s="63"/>
      <c r="D3400" s="64"/>
      <c r="E3400" s="65"/>
      <c r="F3400" s="66"/>
      <c r="G3400" s="63"/>
      <c r="H3400" s="67"/>
      <c r="I3400" s="68"/>
      <c r="J3400" s="68"/>
      <c r="K3400" s="32"/>
      <c r="L3400" s="75">
        <v>3400</v>
      </c>
      <c r="M3400" s="75"/>
      <c r="N3400" s="70"/>
      <c r="O3400" s="77" t="s">
        <v>179</v>
      </c>
      <c r="P3400" s="79">
        <v>45154.895833333336</v>
      </c>
      <c r="Q3400" s="77" t="s">
        <v>4070</v>
      </c>
      <c r="R3400" s="77">
        <v>0</v>
      </c>
      <c r="S3400" s="77">
        <v>0</v>
      </c>
      <c r="T3400" s="77">
        <v>0</v>
      </c>
      <c r="U3400" s="77">
        <v>0</v>
      </c>
      <c r="V3400" s="77">
        <v>684</v>
      </c>
      <c r="W3400" s="82" t="s">
        <v>6300</v>
      </c>
      <c r="X3400" s="80" t="str">
        <f>HYPERLINK("https://mla.bs/ea732707")</f>
        <v>https://mla.bs/ea732707</v>
      </c>
      <c r="Y3400" s="77" t="s">
        <v>6506</v>
      </c>
      <c r="Z3400" s="77"/>
      <c r="AA3400" s="77"/>
      <c r="AB3400" s="77"/>
      <c r="AC3400" s="82" t="s">
        <v>7750</v>
      </c>
      <c r="AD3400" s="77" t="s">
        <v>7788</v>
      </c>
      <c r="AE3400" s="80" t="str">
        <f>HYPERLINK("https://twitter.com/einvestidor/status/1691925298147934303")</f>
        <v>https://twitter.com/einvestidor/status/1691925298147934303</v>
      </c>
      <c r="AF3400" s="79">
        <v>45154.895833333336</v>
      </c>
      <c r="AG3400" s="85">
        <v>45154</v>
      </c>
      <c r="AH3400" s="82" t="s">
        <v>8089</v>
      </c>
      <c r="AI3400" s="77" t="b">
        <v>0</v>
      </c>
      <c r="AJ3400" s="77"/>
      <c r="AK3400" s="77"/>
      <c r="AL3400" s="77"/>
      <c r="AM3400" s="77"/>
      <c r="AN3400" s="77"/>
      <c r="AO3400" s="77"/>
      <c r="AP3400" s="77"/>
      <c r="AQ3400" s="77"/>
      <c r="AR3400" s="77"/>
      <c r="AS3400" s="77"/>
      <c r="AT3400" s="77"/>
      <c r="AU3400" s="77"/>
      <c r="AV3400" s="80" t="str">
        <f>HYPERLINK("https://pbs.twimg.com/profile_images/1241147984924082183/gZgx_hL-_normal.jpg")</f>
        <v>https://pbs.twimg.com/profile_images/1241147984924082183/gZgx_hL-_normal.jpg</v>
      </c>
      <c r="AW3400" s="82" t="s">
        <v>14996</v>
      </c>
      <c r="AX3400" s="82" t="s">
        <v>14996</v>
      </c>
      <c r="AY3400" s="77"/>
      <c r="AZ3400" s="82" t="s">
        <v>15984</v>
      </c>
      <c r="BA3400" s="82" t="s">
        <v>15984</v>
      </c>
      <c r="BB3400" s="82" t="s">
        <v>15984</v>
      </c>
      <c r="BC3400" s="82" t="s">
        <v>14996</v>
      </c>
      <c r="BD3400" s="82" t="s">
        <v>15979</v>
      </c>
      <c r="BE3400" s="77"/>
      <c r="BF3400" s="77"/>
      <c r="BG3400" s="77"/>
      <c r="BH3400" s="77"/>
      <c r="BI3400" s="77"/>
    </row>
    <row r="3401" spans="1:61" x14ac:dyDescent="0.25">
      <c r="A3401" s="62" t="s">
        <v>387</v>
      </c>
      <c r="B3401" s="62" t="s">
        <v>387</v>
      </c>
      <c r="C3401" s="63"/>
      <c r="D3401" s="64"/>
      <c r="E3401" s="65"/>
      <c r="F3401" s="66"/>
      <c r="G3401" s="63"/>
      <c r="H3401" s="67"/>
      <c r="I3401" s="68"/>
      <c r="J3401" s="68"/>
      <c r="K3401" s="32"/>
      <c r="L3401" s="75">
        <v>3401</v>
      </c>
      <c r="M3401" s="75"/>
      <c r="N3401" s="70"/>
      <c r="O3401" s="77" t="s">
        <v>179</v>
      </c>
      <c r="P3401" s="79">
        <v>45154.893541666665</v>
      </c>
      <c r="Q3401" s="77" t="s">
        <v>4071</v>
      </c>
      <c r="R3401" s="77">
        <v>1</v>
      </c>
      <c r="S3401" s="77">
        <v>1</v>
      </c>
      <c r="T3401" s="77">
        <v>0</v>
      </c>
      <c r="U3401" s="77">
        <v>0</v>
      </c>
      <c r="V3401" s="77">
        <v>626</v>
      </c>
      <c r="W3401" s="82" t="s">
        <v>6301</v>
      </c>
      <c r="X3401" s="80" t="str">
        <f>HYPERLINK("https://mla.bs/07363a39")</f>
        <v>https://mla.bs/07363a39</v>
      </c>
      <c r="Y3401" s="77" t="s">
        <v>6506</v>
      </c>
      <c r="Z3401" s="77"/>
      <c r="AA3401" s="77"/>
      <c r="AB3401" s="77"/>
      <c r="AC3401" s="82" t="s">
        <v>7750</v>
      </c>
      <c r="AD3401" s="77" t="s">
        <v>7788</v>
      </c>
      <c r="AE3401" s="80" t="str">
        <f>HYPERLINK("https://twitter.com/einvestidor/status/1691924469403574466")</f>
        <v>https://twitter.com/einvestidor/status/1691924469403574466</v>
      </c>
      <c r="AF3401" s="79">
        <v>45154.893541666665</v>
      </c>
      <c r="AG3401" s="85">
        <v>45154</v>
      </c>
      <c r="AH3401" s="82" t="s">
        <v>10037</v>
      </c>
      <c r="AI3401" s="77" t="b">
        <v>0</v>
      </c>
      <c r="AJ3401" s="77"/>
      <c r="AK3401" s="77"/>
      <c r="AL3401" s="77"/>
      <c r="AM3401" s="77"/>
      <c r="AN3401" s="77"/>
      <c r="AO3401" s="77"/>
      <c r="AP3401" s="77"/>
      <c r="AQ3401" s="77"/>
      <c r="AR3401" s="77"/>
      <c r="AS3401" s="77"/>
      <c r="AT3401" s="77"/>
      <c r="AU3401" s="77"/>
      <c r="AV3401" s="80" t="str">
        <f>HYPERLINK("https://pbs.twimg.com/profile_images/1241147984924082183/gZgx_hL-_normal.jpg")</f>
        <v>https://pbs.twimg.com/profile_images/1241147984924082183/gZgx_hL-_normal.jpg</v>
      </c>
      <c r="AW3401" s="82" t="s">
        <v>14997</v>
      </c>
      <c r="AX3401" s="82" t="s">
        <v>14997</v>
      </c>
      <c r="AY3401" s="77"/>
      <c r="AZ3401" s="82" t="s">
        <v>15984</v>
      </c>
      <c r="BA3401" s="82" t="s">
        <v>15984</v>
      </c>
      <c r="BB3401" s="82" t="s">
        <v>15984</v>
      </c>
      <c r="BC3401" s="82" t="s">
        <v>14997</v>
      </c>
      <c r="BD3401" s="82" t="s">
        <v>15979</v>
      </c>
      <c r="BE3401" s="77"/>
      <c r="BF3401" s="77"/>
      <c r="BG3401" s="77"/>
      <c r="BH3401" s="77"/>
      <c r="BI3401" s="77"/>
    </row>
    <row r="3402" spans="1:61" x14ac:dyDescent="0.25">
      <c r="A3402" s="62" t="s">
        <v>387</v>
      </c>
      <c r="B3402" s="62" t="s">
        <v>387</v>
      </c>
      <c r="C3402" s="63"/>
      <c r="D3402" s="64"/>
      <c r="E3402" s="65"/>
      <c r="F3402" s="66"/>
      <c r="G3402" s="63"/>
      <c r="H3402" s="67"/>
      <c r="I3402" s="68"/>
      <c r="J3402" s="68"/>
      <c r="K3402" s="32"/>
      <c r="L3402" s="75">
        <v>3402</v>
      </c>
      <c r="M3402" s="75"/>
      <c r="N3402" s="70"/>
      <c r="O3402" s="77" t="s">
        <v>179</v>
      </c>
      <c r="P3402" s="79">
        <v>45154.892777777779</v>
      </c>
      <c r="Q3402" s="77" t="s">
        <v>4072</v>
      </c>
      <c r="R3402" s="77">
        <v>2</v>
      </c>
      <c r="S3402" s="77">
        <v>3</v>
      </c>
      <c r="T3402" s="77">
        <v>0</v>
      </c>
      <c r="U3402" s="77">
        <v>0</v>
      </c>
      <c r="V3402" s="77">
        <v>854</v>
      </c>
      <c r="W3402" s="82" t="s">
        <v>6302</v>
      </c>
      <c r="X3402" s="80" t="str">
        <f>HYPERLINK("https://mla.bs/1cff701d")</f>
        <v>https://mla.bs/1cff701d</v>
      </c>
      <c r="Y3402" s="77" t="s">
        <v>6506</v>
      </c>
      <c r="Z3402" s="77"/>
      <c r="AA3402" s="77"/>
      <c r="AB3402" s="77"/>
      <c r="AC3402" s="82" t="s">
        <v>7750</v>
      </c>
      <c r="AD3402" s="77" t="s">
        <v>7788</v>
      </c>
      <c r="AE3402" s="80" t="str">
        <f>HYPERLINK("https://twitter.com/einvestidor/status/1691924192633958462")</f>
        <v>https://twitter.com/einvestidor/status/1691924192633958462</v>
      </c>
      <c r="AF3402" s="79">
        <v>45154.892777777779</v>
      </c>
      <c r="AG3402" s="85">
        <v>45154</v>
      </c>
      <c r="AH3402" s="82" t="s">
        <v>10038</v>
      </c>
      <c r="AI3402" s="77" t="b">
        <v>0</v>
      </c>
      <c r="AJ3402" s="77"/>
      <c r="AK3402" s="77"/>
      <c r="AL3402" s="77"/>
      <c r="AM3402" s="77"/>
      <c r="AN3402" s="77"/>
      <c r="AO3402" s="77"/>
      <c r="AP3402" s="77"/>
      <c r="AQ3402" s="77"/>
      <c r="AR3402" s="77"/>
      <c r="AS3402" s="77"/>
      <c r="AT3402" s="77"/>
      <c r="AU3402" s="77"/>
      <c r="AV3402" s="80" t="str">
        <f>HYPERLINK("https://pbs.twimg.com/profile_images/1241147984924082183/gZgx_hL-_normal.jpg")</f>
        <v>https://pbs.twimg.com/profile_images/1241147984924082183/gZgx_hL-_normal.jpg</v>
      </c>
      <c r="AW3402" s="82" t="s">
        <v>14998</v>
      </c>
      <c r="AX3402" s="82" t="s">
        <v>14998</v>
      </c>
      <c r="AY3402" s="77"/>
      <c r="AZ3402" s="82" t="s">
        <v>15984</v>
      </c>
      <c r="BA3402" s="82" t="s">
        <v>15984</v>
      </c>
      <c r="BB3402" s="82" t="s">
        <v>15984</v>
      </c>
      <c r="BC3402" s="82" t="s">
        <v>14998</v>
      </c>
      <c r="BD3402" s="82" t="s">
        <v>15979</v>
      </c>
      <c r="BE3402" s="77"/>
      <c r="BF3402" s="77"/>
      <c r="BG3402" s="77"/>
      <c r="BH3402" s="77"/>
      <c r="BI3402" s="77"/>
    </row>
    <row r="3403" spans="1:61" x14ac:dyDescent="0.25">
      <c r="A3403" s="62" t="s">
        <v>387</v>
      </c>
      <c r="B3403" s="62" t="s">
        <v>387</v>
      </c>
      <c r="C3403" s="63"/>
      <c r="D3403" s="64"/>
      <c r="E3403" s="65"/>
      <c r="F3403" s="66"/>
      <c r="G3403" s="63"/>
      <c r="H3403" s="67"/>
      <c r="I3403" s="68"/>
      <c r="J3403" s="68"/>
      <c r="K3403" s="32"/>
      <c r="L3403" s="75">
        <v>3403</v>
      </c>
      <c r="M3403" s="75"/>
      <c r="N3403" s="70"/>
      <c r="O3403" s="77" t="s">
        <v>179</v>
      </c>
      <c r="P3403" s="79">
        <v>45154.875</v>
      </c>
      <c r="Q3403" s="77" t="s">
        <v>4073</v>
      </c>
      <c r="R3403" s="77">
        <v>0</v>
      </c>
      <c r="S3403" s="77">
        <v>2</v>
      </c>
      <c r="T3403" s="77">
        <v>0</v>
      </c>
      <c r="U3403" s="77">
        <v>0</v>
      </c>
      <c r="V3403" s="77">
        <v>518</v>
      </c>
      <c r="W3403" s="82" t="s">
        <v>6056</v>
      </c>
      <c r="X3403" s="80" t="str">
        <f>HYPERLINK("https://mla.bs/22de7948")</f>
        <v>https://mla.bs/22de7948</v>
      </c>
      <c r="Y3403" s="77" t="s">
        <v>6506</v>
      </c>
      <c r="Z3403" s="77"/>
      <c r="AA3403" s="77"/>
      <c r="AB3403" s="77"/>
      <c r="AC3403" s="82" t="s">
        <v>7750</v>
      </c>
      <c r="AD3403" s="77" t="s">
        <v>7788</v>
      </c>
      <c r="AE3403" s="80" t="str">
        <f>HYPERLINK("https://twitter.com/einvestidor/status/1691917748438213024")</f>
        <v>https://twitter.com/einvestidor/status/1691917748438213024</v>
      </c>
      <c r="AF3403" s="79">
        <v>45154.875</v>
      </c>
      <c r="AG3403" s="85">
        <v>45154</v>
      </c>
      <c r="AH3403" s="82" t="s">
        <v>9647</v>
      </c>
      <c r="AI3403" s="77" t="b">
        <v>0</v>
      </c>
      <c r="AJ3403" s="77"/>
      <c r="AK3403" s="77"/>
      <c r="AL3403" s="77"/>
      <c r="AM3403" s="77"/>
      <c r="AN3403" s="77"/>
      <c r="AO3403" s="77"/>
      <c r="AP3403" s="77"/>
      <c r="AQ3403" s="77"/>
      <c r="AR3403" s="77"/>
      <c r="AS3403" s="77"/>
      <c r="AT3403" s="77"/>
      <c r="AU3403" s="77"/>
      <c r="AV3403" s="80" t="str">
        <f>HYPERLINK("https://pbs.twimg.com/profile_images/1241147984924082183/gZgx_hL-_normal.jpg")</f>
        <v>https://pbs.twimg.com/profile_images/1241147984924082183/gZgx_hL-_normal.jpg</v>
      </c>
      <c r="AW3403" s="82" t="s">
        <v>14999</v>
      </c>
      <c r="AX3403" s="82" t="s">
        <v>14999</v>
      </c>
      <c r="AY3403" s="77"/>
      <c r="AZ3403" s="82" t="s">
        <v>15984</v>
      </c>
      <c r="BA3403" s="82" t="s">
        <v>15984</v>
      </c>
      <c r="BB3403" s="82" t="s">
        <v>15984</v>
      </c>
      <c r="BC3403" s="82" t="s">
        <v>14999</v>
      </c>
      <c r="BD3403" s="82" t="s">
        <v>15979</v>
      </c>
      <c r="BE3403" s="77"/>
      <c r="BF3403" s="77"/>
      <c r="BG3403" s="77"/>
      <c r="BH3403" s="77"/>
      <c r="BI3403" s="77"/>
    </row>
    <row r="3404" spans="1:61" x14ac:dyDescent="0.25">
      <c r="A3404" s="62" t="s">
        <v>387</v>
      </c>
      <c r="B3404" s="62" t="s">
        <v>387</v>
      </c>
      <c r="C3404" s="63"/>
      <c r="D3404" s="64"/>
      <c r="E3404" s="65"/>
      <c r="F3404" s="66"/>
      <c r="G3404" s="63"/>
      <c r="H3404" s="67"/>
      <c r="I3404" s="68"/>
      <c r="J3404" s="68"/>
      <c r="K3404" s="32"/>
      <c r="L3404" s="75">
        <v>3404</v>
      </c>
      <c r="M3404" s="75"/>
      <c r="N3404" s="70"/>
      <c r="O3404" s="77" t="s">
        <v>179</v>
      </c>
      <c r="P3404" s="79">
        <v>45154.864583333336</v>
      </c>
      <c r="Q3404" s="77" t="s">
        <v>4074</v>
      </c>
      <c r="R3404" s="77">
        <v>0</v>
      </c>
      <c r="S3404" s="77">
        <v>0</v>
      </c>
      <c r="T3404" s="77">
        <v>0</v>
      </c>
      <c r="U3404" s="77">
        <v>0</v>
      </c>
      <c r="V3404" s="77">
        <v>463</v>
      </c>
      <c r="W3404" s="82" t="s">
        <v>5980</v>
      </c>
      <c r="X3404" s="80" t="str">
        <f>HYPERLINK("https://mla.bs/5e94a628")</f>
        <v>https://mla.bs/5e94a628</v>
      </c>
      <c r="Y3404" s="77" t="s">
        <v>6506</v>
      </c>
      <c r="Z3404" s="77"/>
      <c r="AA3404" s="77"/>
      <c r="AB3404" s="77"/>
      <c r="AC3404" s="82" t="s">
        <v>7750</v>
      </c>
      <c r="AD3404" s="77" t="s">
        <v>7788</v>
      </c>
      <c r="AE3404" s="80" t="str">
        <f>HYPERLINK("https://twitter.com/einvestidor/status/1691913973837299824")</f>
        <v>https://twitter.com/einvestidor/status/1691913973837299824</v>
      </c>
      <c r="AF3404" s="79">
        <v>45154.864583333336</v>
      </c>
      <c r="AG3404" s="85">
        <v>45154</v>
      </c>
      <c r="AH3404" s="82" t="s">
        <v>9596</v>
      </c>
      <c r="AI3404" s="77" t="b">
        <v>0</v>
      </c>
      <c r="AJ3404" s="77"/>
      <c r="AK3404" s="77"/>
      <c r="AL3404" s="77"/>
      <c r="AM3404" s="77"/>
      <c r="AN3404" s="77"/>
      <c r="AO3404" s="77"/>
      <c r="AP3404" s="77"/>
      <c r="AQ3404" s="77"/>
      <c r="AR3404" s="77"/>
      <c r="AS3404" s="77"/>
      <c r="AT3404" s="77"/>
      <c r="AU3404" s="77"/>
      <c r="AV3404" s="80" t="str">
        <f>HYPERLINK("https://pbs.twimg.com/profile_images/1241147984924082183/gZgx_hL-_normal.jpg")</f>
        <v>https://pbs.twimg.com/profile_images/1241147984924082183/gZgx_hL-_normal.jpg</v>
      </c>
      <c r="AW3404" s="82" t="s">
        <v>15000</v>
      </c>
      <c r="AX3404" s="82" t="s">
        <v>15000</v>
      </c>
      <c r="AY3404" s="77"/>
      <c r="AZ3404" s="82" t="s">
        <v>15984</v>
      </c>
      <c r="BA3404" s="82" t="s">
        <v>15984</v>
      </c>
      <c r="BB3404" s="82" t="s">
        <v>15984</v>
      </c>
      <c r="BC3404" s="82" t="s">
        <v>15000</v>
      </c>
      <c r="BD3404" s="82" t="s">
        <v>15979</v>
      </c>
      <c r="BE3404" s="77"/>
      <c r="BF3404" s="77"/>
      <c r="BG3404" s="77"/>
      <c r="BH3404" s="77"/>
      <c r="BI3404" s="77"/>
    </row>
    <row r="3405" spans="1:61" x14ac:dyDescent="0.25">
      <c r="A3405" s="62" t="s">
        <v>387</v>
      </c>
      <c r="B3405" s="62" t="s">
        <v>387</v>
      </c>
      <c r="C3405" s="63"/>
      <c r="D3405" s="64"/>
      <c r="E3405" s="65"/>
      <c r="F3405" s="66"/>
      <c r="G3405" s="63"/>
      <c r="H3405" s="67"/>
      <c r="I3405" s="68"/>
      <c r="J3405" s="68"/>
      <c r="K3405" s="32"/>
      <c r="L3405" s="75">
        <v>3405</v>
      </c>
      <c r="M3405" s="75"/>
      <c r="N3405" s="70"/>
      <c r="O3405" s="77" t="s">
        <v>179</v>
      </c>
      <c r="P3405" s="79">
        <v>45154.854166666664</v>
      </c>
      <c r="Q3405" s="77" t="s">
        <v>4075</v>
      </c>
      <c r="R3405" s="77">
        <v>0</v>
      </c>
      <c r="S3405" s="77">
        <v>2</v>
      </c>
      <c r="T3405" s="77">
        <v>0</v>
      </c>
      <c r="U3405" s="77">
        <v>0</v>
      </c>
      <c r="V3405" s="77">
        <v>488</v>
      </c>
      <c r="W3405" s="82" t="s">
        <v>4833</v>
      </c>
      <c r="X3405" s="80" t="str">
        <f>HYPERLINK("https://mla.bs/fd427181")</f>
        <v>https://mla.bs/fd427181</v>
      </c>
      <c r="Y3405" s="77" t="s">
        <v>6506</v>
      </c>
      <c r="Z3405" s="77"/>
      <c r="AA3405" s="77"/>
      <c r="AB3405" s="77"/>
      <c r="AC3405" s="82" t="s">
        <v>7750</v>
      </c>
      <c r="AD3405" s="77" t="s">
        <v>7788</v>
      </c>
      <c r="AE3405" s="80" t="str">
        <f>HYPERLINK("https://twitter.com/einvestidor/status/1691910200742261012")</f>
        <v>https://twitter.com/einvestidor/status/1691910200742261012</v>
      </c>
      <c r="AF3405" s="79">
        <v>45154.854166666664</v>
      </c>
      <c r="AG3405" s="85">
        <v>45154</v>
      </c>
      <c r="AH3405" s="82" t="s">
        <v>8090</v>
      </c>
      <c r="AI3405" s="77" t="b">
        <v>0</v>
      </c>
      <c r="AJ3405" s="77"/>
      <c r="AK3405" s="77"/>
      <c r="AL3405" s="77"/>
      <c r="AM3405" s="77"/>
      <c r="AN3405" s="77"/>
      <c r="AO3405" s="77"/>
      <c r="AP3405" s="77"/>
      <c r="AQ3405" s="77"/>
      <c r="AR3405" s="77"/>
      <c r="AS3405" s="77"/>
      <c r="AT3405" s="77"/>
      <c r="AU3405" s="77"/>
      <c r="AV3405" s="80" t="str">
        <f>HYPERLINK("https://pbs.twimg.com/profile_images/1241147984924082183/gZgx_hL-_normal.jpg")</f>
        <v>https://pbs.twimg.com/profile_images/1241147984924082183/gZgx_hL-_normal.jpg</v>
      </c>
      <c r="AW3405" s="82" t="s">
        <v>15001</v>
      </c>
      <c r="AX3405" s="82" t="s">
        <v>15001</v>
      </c>
      <c r="AY3405" s="77"/>
      <c r="AZ3405" s="82" t="s">
        <v>15984</v>
      </c>
      <c r="BA3405" s="82" t="s">
        <v>15984</v>
      </c>
      <c r="BB3405" s="82" t="s">
        <v>15984</v>
      </c>
      <c r="BC3405" s="82" t="s">
        <v>15001</v>
      </c>
      <c r="BD3405" s="82" t="s">
        <v>15979</v>
      </c>
      <c r="BE3405" s="77"/>
      <c r="BF3405" s="77"/>
      <c r="BG3405" s="77"/>
      <c r="BH3405" s="77"/>
      <c r="BI3405" s="77"/>
    </row>
    <row r="3406" spans="1:61" x14ac:dyDescent="0.25">
      <c r="A3406" s="62" t="s">
        <v>387</v>
      </c>
      <c r="B3406" s="62" t="s">
        <v>387</v>
      </c>
      <c r="C3406" s="63"/>
      <c r="D3406" s="64"/>
      <c r="E3406" s="65"/>
      <c r="F3406" s="66"/>
      <c r="G3406" s="63"/>
      <c r="H3406" s="67"/>
      <c r="I3406" s="68"/>
      <c r="J3406" s="68"/>
      <c r="K3406" s="32"/>
      <c r="L3406" s="75">
        <v>3406</v>
      </c>
      <c r="M3406" s="75"/>
      <c r="N3406" s="70"/>
      <c r="O3406" s="77" t="s">
        <v>179</v>
      </c>
      <c r="P3406" s="79">
        <v>45154.84375</v>
      </c>
      <c r="Q3406" s="77" t="s">
        <v>4076</v>
      </c>
      <c r="R3406" s="77">
        <v>0</v>
      </c>
      <c r="S3406" s="77">
        <v>0</v>
      </c>
      <c r="T3406" s="77">
        <v>0</v>
      </c>
      <c r="U3406" s="77">
        <v>0</v>
      </c>
      <c r="V3406" s="77">
        <v>488</v>
      </c>
      <c r="W3406" s="82" t="s">
        <v>4833</v>
      </c>
      <c r="X3406" s="80" t="str">
        <f>HYPERLINK("https://mla.bs/aea49173")</f>
        <v>https://mla.bs/aea49173</v>
      </c>
      <c r="Y3406" s="77" t="s">
        <v>6506</v>
      </c>
      <c r="Z3406" s="77"/>
      <c r="AA3406" s="77"/>
      <c r="AB3406" s="77"/>
      <c r="AC3406" s="82" t="s">
        <v>7750</v>
      </c>
      <c r="AD3406" s="77" t="s">
        <v>7788</v>
      </c>
      <c r="AE3406" s="80" t="str">
        <f>HYPERLINK("https://twitter.com/einvestidor/status/1691906423851200804")</f>
        <v>https://twitter.com/einvestidor/status/1691906423851200804</v>
      </c>
      <c r="AF3406" s="79">
        <v>45154.84375</v>
      </c>
      <c r="AG3406" s="85">
        <v>45154</v>
      </c>
      <c r="AH3406" s="82" t="s">
        <v>9296</v>
      </c>
      <c r="AI3406" s="77" t="b">
        <v>0</v>
      </c>
      <c r="AJ3406" s="77"/>
      <c r="AK3406" s="77"/>
      <c r="AL3406" s="77"/>
      <c r="AM3406" s="77"/>
      <c r="AN3406" s="77"/>
      <c r="AO3406" s="77"/>
      <c r="AP3406" s="77"/>
      <c r="AQ3406" s="77"/>
      <c r="AR3406" s="77"/>
      <c r="AS3406" s="77"/>
      <c r="AT3406" s="77"/>
      <c r="AU3406" s="77"/>
      <c r="AV3406" s="80" t="str">
        <f>HYPERLINK("https://pbs.twimg.com/profile_images/1241147984924082183/gZgx_hL-_normal.jpg")</f>
        <v>https://pbs.twimg.com/profile_images/1241147984924082183/gZgx_hL-_normal.jpg</v>
      </c>
      <c r="AW3406" s="82" t="s">
        <v>15002</v>
      </c>
      <c r="AX3406" s="82" t="s">
        <v>15002</v>
      </c>
      <c r="AY3406" s="77"/>
      <c r="AZ3406" s="82" t="s">
        <v>15984</v>
      </c>
      <c r="BA3406" s="82" t="s">
        <v>15984</v>
      </c>
      <c r="BB3406" s="82" t="s">
        <v>15984</v>
      </c>
      <c r="BC3406" s="82" t="s">
        <v>15002</v>
      </c>
      <c r="BD3406" s="82" t="s">
        <v>15979</v>
      </c>
      <c r="BE3406" s="77"/>
      <c r="BF3406" s="77"/>
      <c r="BG3406" s="77"/>
      <c r="BH3406" s="77"/>
      <c r="BI3406" s="77"/>
    </row>
    <row r="3407" spans="1:61" x14ac:dyDescent="0.25">
      <c r="A3407" s="62" t="s">
        <v>387</v>
      </c>
      <c r="B3407" s="62" t="s">
        <v>387</v>
      </c>
      <c r="C3407" s="63"/>
      <c r="D3407" s="64"/>
      <c r="E3407" s="65"/>
      <c r="F3407" s="66"/>
      <c r="G3407" s="63"/>
      <c r="H3407" s="67"/>
      <c r="I3407" s="68"/>
      <c r="J3407" s="68"/>
      <c r="K3407" s="32"/>
      <c r="L3407" s="75">
        <v>3407</v>
      </c>
      <c r="M3407" s="75"/>
      <c r="N3407" s="70"/>
      <c r="O3407" s="77" t="s">
        <v>179</v>
      </c>
      <c r="P3407" s="79">
        <v>45154.833333333336</v>
      </c>
      <c r="Q3407" s="77" t="s">
        <v>4077</v>
      </c>
      <c r="R3407" s="77">
        <v>0</v>
      </c>
      <c r="S3407" s="77">
        <v>1</v>
      </c>
      <c r="T3407" s="77">
        <v>0</v>
      </c>
      <c r="U3407" s="77">
        <v>0</v>
      </c>
      <c r="V3407" s="77">
        <v>475</v>
      </c>
      <c r="W3407" s="82" t="s">
        <v>5975</v>
      </c>
      <c r="X3407" s="80" t="str">
        <f>HYPERLINK("https://mla.bs/01cbf642")</f>
        <v>https://mla.bs/01cbf642</v>
      </c>
      <c r="Y3407" s="77" t="s">
        <v>6506</v>
      </c>
      <c r="Z3407" s="77"/>
      <c r="AA3407" s="77"/>
      <c r="AB3407" s="77"/>
      <c r="AC3407" s="82" t="s">
        <v>7750</v>
      </c>
      <c r="AD3407" s="77" t="s">
        <v>7788</v>
      </c>
      <c r="AE3407" s="80" t="str">
        <f>HYPERLINK("https://twitter.com/einvestidor/status/1691902651544600727")</f>
        <v>https://twitter.com/einvestidor/status/1691902651544600727</v>
      </c>
      <c r="AF3407" s="79">
        <v>45154.833333333336</v>
      </c>
      <c r="AG3407" s="85">
        <v>45154</v>
      </c>
      <c r="AH3407" s="82" t="s">
        <v>8381</v>
      </c>
      <c r="AI3407" s="77" t="b">
        <v>0</v>
      </c>
      <c r="AJ3407" s="77"/>
      <c r="AK3407" s="77"/>
      <c r="AL3407" s="77"/>
      <c r="AM3407" s="77"/>
      <c r="AN3407" s="77"/>
      <c r="AO3407" s="77"/>
      <c r="AP3407" s="77"/>
      <c r="AQ3407" s="77"/>
      <c r="AR3407" s="77"/>
      <c r="AS3407" s="77"/>
      <c r="AT3407" s="77"/>
      <c r="AU3407" s="77"/>
      <c r="AV3407" s="80" t="str">
        <f>HYPERLINK("https://pbs.twimg.com/profile_images/1241147984924082183/gZgx_hL-_normal.jpg")</f>
        <v>https://pbs.twimg.com/profile_images/1241147984924082183/gZgx_hL-_normal.jpg</v>
      </c>
      <c r="AW3407" s="82" t="s">
        <v>15003</v>
      </c>
      <c r="AX3407" s="82" t="s">
        <v>15003</v>
      </c>
      <c r="AY3407" s="77"/>
      <c r="AZ3407" s="82" t="s">
        <v>15984</v>
      </c>
      <c r="BA3407" s="82" t="s">
        <v>15984</v>
      </c>
      <c r="BB3407" s="82" t="s">
        <v>15984</v>
      </c>
      <c r="BC3407" s="82" t="s">
        <v>15003</v>
      </c>
      <c r="BD3407" s="82" t="s">
        <v>15979</v>
      </c>
      <c r="BE3407" s="77"/>
      <c r="BF3407" s="77"/>
      <c r="BG3407" s="77"/>
      <c r="BH3407" s="77"/>
      <c r="BI3407" s="77"/>
    </row>
    <row r="3408" spans="1:61" x14ac:dyDescent="0.25">
      <c r="A3408" s="62" t="s">
        <v>387</v>
      </c>
      <c r="B3408" s="62" t="s">
        <v>387</v>
      </c>
      <c r="C3408" s="63"/>
      <c r="D3408" s="64"/>
      <c r="E3408" s="65"/>
      <c r="F3408" s="66"/>
      <c r="G3408" s="63"/>
      <c r="H3408" s="67"/>
      <c r="I3408" s="68"/>
      <c r="J3408" s="68"/>
      <c r="K3408" s="32"/>
      <c r="L3408" s="75">
        <v>3408</v>
      </c>
      <c r="M3408" s="75"/>
      <c r="N3408" s="70"/>
      <c r="O3408" s="77" t="s">
        <v>179</v>
      </c>
      <c r="P3408" s="79">
        <v>45133.833344907405</v>
      </c>
      <c r="Q3408" s="77" t="s">
        <v>4078</v>
      </c>
      <c r="R3408" s="77">
        <v>0</v>
      </c>
      <c r="S3408" s="77">
        <v>0</v>
      </c>
      <c r="T3408" s="77">
        <v>0</v>
      </c>
      <c r="U3408" s="77">
        <v>0</v>
      </c>
      <c r="V3408" s="77">
        <v>647</v>
      </c>
      <c r="W3408" s="82" t="s">
        <v>6303</v>
      </c>
      <c r="X3408" s="80" t="str">
        <f>HYPERLINK("https://mla.bs/ceb0097e")</f>
        <v>https://mla.bs/ceb0097e</v>
      </c>
      <c r="Y3408" s="77" t="s">
        <v>6506</v>
      </c>
      <c r="Z3408" s="77"/>
      <c r="AA3408" s="77"/>
      <c r="AB3408" s="77"/>
      <c r="AC3408" s="82" t="s">
        <v>7754</v>
      </c>
      <c r="AD3408" s="77" t="s">
        <v>7788</v>
      </c>
      <c r="AE3408" s="80" t="str">
        <f>HYPERLINK("https://twitter.com/einvestidor/status/1684292510276009984")</f>
        <v>https://twitter.com/einvestidor/status/1684292510276009984</v>
      </c>
      <c r="AF3408" s="79">
        <v>45133.833344907405</v>
      </c>
      <c r="AG3408" s="85">
        <v>45133</v>
      </c>
      <c r="AH3408" s="82" t="s">
        <v>8284</v>
      </c>
      <c r="AI3408" s="77" t="b">
        <v>0</v>
      </c>
      <c r="AJ3408" s="77"/>
      <c r="AK3408" s="77"/>
      <c r="AL3408" s="77"/>
      <c r="AM3408" s="77"/>
      <c r="AN3408" s="77"/>
      <c r="AO3408" s="77"/>
      <c r="AP3408" s="77"/>
      <c r="AQ3408" s="77"/>
      <c r="AR3408" s="77"/>
      <c r="AS3408" s="77"/>
      <c r="AT3408" s="77"/>
      <c r="AU3408" s="77"/>
      <c r="AV3408" s="80" t="str">
        <f>HYPERLINK("https://pbs.twimg.com/profile_images/1241147984924082183/gZgx_hL-_normal.jpg")</f>
        <v>https://pbs.twimg.com/profile_images/1241147984924082183/gZgx_hL-_normal.jpg</v>
      </c>
      <c r="AW3408" s="82" t="s">
        <v>15004</v>
      </c>
      <c r="AX3408" s="82" t="s">
        <v>15004</v>
      </c>
      <c r="AY3408" s="77"/>
      <c r="AZ3408" s="82" t="s">
        <v>15984</v>
      </c>
      <c r="BA3408" s="82" t="s">
        <v>15984</v>
      </c>
      <c r="BB3408" s="82" t="s">
        <v>15984</v>
      </c>
      <c r="BC3408" s="82" t="s">
        <v>15004</v>
      </c>
      <c r="BD3408" s="82" t="s">
        <v>15979</v>
      </c>
      <c r="BE3408" s="77"/>
      <c r="BF3408" s="77"/>
      <c r="BG3408" s="77"/>
      <c r="BH3408" s="77"/>
      <c r="BI3408" s="77"/>
    </row>
    <row r="3409" spans="1:61" x14ac:dyDescent="0.25">
      <c r="A3409" s="62" t="s">
        <v>387</v>
      </c>
      <c r="B3409" s="62" t="s">
        <v>387</v>
      </c>
      <c r="C3409" s="63"/>
      <c r="D3409" s="64"/>
      <c r="E3409" s="65"/>
      <c r="F3409" s="66"/>
      <c r="G3409" s="63"/>
      <c r="H3409" s="67"/>
      <c r="I3409" s="68"/>
      <c r="J3409" s="68"/>
      <c r="K3409" s="32"/>
      <c r="L3409" s="75">
        <v>3409</v>
      </c>
      <c r="M3409" s="75"/>
      <c r="N3409" s="70"/>
      <c r="O3409" s="77" t="s">
        <v>179</v>
      </c>
      <c r="P3409" s="79">
        <v>45133.822916666664</v>
      </c>
      <c r="Q3409" s="77" t="s">
        <v>4079</v>
      </c>
      <c r="R3409" s="77">
        <v>0</v>
      </c>
      <c r="S3409" s="77">
        <v>3</v>
      </c>
      <c r="T3409" s="77">
        <v>0</v>
      </c>
      <c r="U3409" s="77">
        <v>0</v>
      </c>
      <c r="V3409" s="77">
        <v>623</v>
      </c>
      <c r="W3409" s="82" t="s">
        <v>4833</v>
      </c>
      <c r="X3409" s="80" t="str">
        <f>HYPERLINK("https://mla.bs/c4dbcdb2")</f>
        <v>https://mla.bs/c4dbcdb2</v>
      </c>
      <c r="Y3409" s="77" t="s">
        <v>6506</v>
      </c>
      <c r="Z3409" s="77"/>
      <c r="AA3409" s="77"/>
      <c r="AB3409" s="77"/>
      <c r="AC3409" s="82" t="s">
        <v>7754</v>
      </c>
      <c r="AD3409" s="77" t="s">
        <v>7788</v>
      </c>
      <c r="AE3409" s="80" t="str">
        <f>HYPERLINK("https://twitter.com/einvestidor/status/1684288729370726400")</f>
        <v>https://twitter.com/einvestidor/status/1684288729370726400</v>
      </c>
      <c r="AF3409" s="79">
        <v>45133.822916666664</v>
      </c>
      <c r="AG3409" s="85">
        <v>45133</v>
      </c>
      <c r="AH3409" s="82" t="s">
        <v>9579</v>
      </c>
      <c r="AI3409" s="77" t="b">
        <v>0</v>
      </c>
      <c r="AJ3409" s="77"/>
      <c r="AK3409" s="77"/>
      <c r="AL3409" s="77"/>
      <c r="AM3409" s="77"/>
      <c r="AN3409" s="77"/>
      <c r="AO3409" s="77"/>
      <c r="AP3409" s="77"/>
      <c r="AQ3409" s="77"/>
      <c r="AR3409" s="77"/>
      <c r="AS3409" s="77"/>
      <c r="AT3409" s="77"/>
      <c r="AU3409" s="77"/>
      <c r="AV3409" s="80" t="str">
        <f>HYPERLINK("https://pbs.twimg.com/profile_images/1241147984924082183/gZgx_hL-_normal.jpg")</f>
        <v>https://pbs.twimg.com/profile_images/1241147984924082183/gZgx_hL-_normal.jpg</v>
      </c>
      <c r="AW3409" s="82" t="s">
        <v>15005</v>
      </c>
      <c r="AX3409" s="82" t="s">
        <v>15005</v>
      </c>
      <c r="AY3409" s="77"/>
      <c r="AZ3409" s="82" t="s">
        <v>15984</v>
      </c>
      <c r="BA3409" s="82" t="s">
        <v>15984</v>
      </c>
      <c r="BB3409" s="82" t="s">
        <v>15984</v>
      </c>
      <c r="BC3409" s="82" t="s">
        <v>15005</v>
      </c>
      <c r="BD3409" s="82" t="s">
        <v>15979</v>
      </c>
      <c r="BE3409" s="77"/>
      <c r="BF3409" s="77"/>
      <c r="BG3409" s="77"/>
      <c r="BH3409" s="77"/>
      <c r="BI3409" s="77"/>
    </row>
    <row r="3410" spans="1:61" x14ac:dyDescent="0.25">
      <c r="A3410" s="62" t="s">
        <v>387</v>
      </c>
      <c r="B3410" s="62" t="s">
        <v>387</v>
      </c>
      <c r="C3410" s="63"/>
      <c r="D3410" s="64"/>
      <c r="E3410" s="65"/>
      <c r="F3410" s="66"/>
      <c r="G3410" s="63"/>
      <c r="H3410" s="67"/>
      <c r="I3410" s="68"/>
      <c r="J3410" s="68"/>
      <c r="K3410" s="32"/>
      <c r="L3410" s="75">
        <v>3410</v>
      </c>
      <c r="M3410" s="75"/>
      <c r="N3410" s="70"/>
      <c r="O3410" s="77" t="s">
        <v>179</v>
      </c>
      <c r="P3410" s="79">
        <v>45133.8125</v>
      </c>
      <c r="Q3410" s="77" t="s">
        <v>4080</v>
      </c>
      <c r="R3410" s="77">
        <v>0</v>
      </c>
      <c r="S3410" s="77">
        <v>1</v>
      </c>
      <c r="T3410" s="77">
        <v>0</v>
      </c>
      <c r="U3410" s="77">
        <v>0</v>
      </c>
      <c r="V3410" s="77">
        <v>543</v>
      </c>
      <c r="W3410" s="82" t="s">
        <v>4833</v>
      </c>
      <c r="X3410" s="80" t="str">
        <f>HYPERLINK("https://mla.bs/75a90e2f")</f>
        <v>https://mla.bs/75a90e2f</v>
      </c>
      <c r="Y3410" s="77" t="s">
        <v>6506</v>
      </c>
      <c r="Z3410" s="77"/>
      <c r="AA3410" s="77"/>
      <c r="AB3410" s="77"/>
      <c r="AC3410" s="82" t="s">
        <v>7754</v>
      </c>
      <c r="AD3410" s="77" t="s">
        <v>7788</v>
      </c>
      <c r="AE3410" s="80" t="str">
        <f>HYPERLINK("https://twitter.com/einvestidor/status/1684284954258157574")</f>
        <v>https://twitter.com/einvestidor/status/1684284954258157574</v>
      </c>
      <c r="AF3410" s="79">
        <v>45133.8125</v>
      </c>
      <c r="AG3410" s="85">
        <v>45133</v>
      </c>
      <c r="AH3410" s="82" t="s">
        <v>8281</v>
      </c>
      <c r="AI3410" s="77" t="b">
        <v>0</v>
      </c>
      <c r="AJ3410" s="77"/>
      <c r="AK3410" s="77"/>
      <c r="AL3410" s="77"/>
      <c r="AM3410" s="77"/>
      <c r="AN3410" s="77"/>
      <c r="AO3410" s="77"/>
      <c r="AP3410" s="77"/>
      <c r="AQ3410" s="77"/>
      <c r="AR3410" s="77"/>
      <c r="AS3410" s="77"/>
      <c r="AT3410" s="77"/>
      <c r="AU3410" s="77"/>
      <c r="AV3410" s="80" t="str">
        <f>HYPERLINK("https://pbs.twimg.com/profile_images/1241147984924082183/gZgx_hL-_normal.jpg")</f>
        <v>https://pbs.twimg.com/profile_images/1241147984924082183/gZgx_hL-_normal.jpg</v>
      </c>
      <c r="AW3410" s="82" t="s">
        <v>15006</v>
      </c>
      <c r="AX3410" s="82" t="s">
        <v>15006</v>
      </c>
      <c r="AY3410" s="77"/>
      <c r="AZ3410" s="82" t="s">
        <v>15984</v>
      </c>
      <c r="BA3410" s="82" t="s">
        <v>15984</v>
      </c>
      <c r="BB3410" s="82" t="s">
        <v>15984</v>
      </c>
      <c r="BC3410" s="82" t="s">
        <v>15006</v>
      </c>
      <c r="BD3410" s="82" t="s">
        <v>15979</v>
      </c>
      <c r="BE3410" s="77"/>
      <c r="BF3410" s="77"/>
      <c r="BG3410" s="77"/>
      <c r="BH3410" s="77"/>
      <c r="BI3410" s="77"/>
    </row>
    <row r="3411" spans="1:61" x14ac:dyDescent="0.25">
      <c r="A3411" s="62" t="s">
        <v>387</v>
      </c>
      <c r="B3411" s="62" t="s">
        <v>387</v>
      </c>
      <c r="C3411" s="63"/>
      <c r="D3411" s="64"/>
      <c r="E3411" s="65"/>
      <c r="F3411" s="66"/>
      <c r="G3411" s="63"/>
      <c r="H3411" s="67"/>
      <c r="I3411" s="68"/>
      <c r="J3411" s="68"/>
      <c r="K3411" s="32"/>
      <c r="L3411" s="75">
        <v>3411</v>
      </c>
      <c r="M3411" s="75"/>
      <c r="N3411" s="70"/>
      <c r="O3411" s="77" t="s">
        <v>179</v>
      </c>
      <c r="P3411" s="79">
        <v>45133.802083333336</v>
      </c>
      <c r="Q3411" s="77" t="s">
        <v>4081</v>
      </c>
      <c r="R3411" s="77">
        <v>0</v>
      </c>
      <c r="S3411" s="77">
        <v>0</v>
      </c>
      <c r="T3411" s="77">
        <v>0</v>
      </c>
      <c r="U3411" s="77">
        <v>0</v>
      </c>
      <c r="V3411" s="77">
        <v>512</v>
      </c>
      <c r="W3411" s="82" t="s">
        <v>4833</v>
      </c>
      <c r="X3411" s="80" t="str">
        <f>HYPERLINK("https://mla.bs/a63c2178")</f>
        <v>https://mla.bs/a63c2178</v>
      </c>
      <c r="Y3411" s="77" t="s">
        <v>6506</v>
      </c>
      <c r="Z3411" s="77"/>
      <c r="AA3411" s="77"/>
      <c r="AB3411" s="77"/>
      <c r="AC3411" s="82" t="s">
        <v>7754</v>
      </c>
      <c r="AD3411" s="77" t="s">
        <v>7788</v>
      </c>
      <c r="AE3411" s="80" t="str">
        <f>HYPERLINK("https://twitter.com/einvestidor/status/1684281179124510724")</f>
        <v>https://twitter.com/einvestidor/status/1684281179124510724</v>
      </c>
      <c r="AF3411" s="79">
        <v>45133.802083333336</v>
      </c>
      <c r="AG3411" s="85">
        <v>45133</v>
      </c>
      <c r="AH3411" s="82" t="s">
        <v>7868</v>
      </c>
      <c r="AI3411" s="77" t="b">
        <v>0</v>
      </c>
      <c r="AJ3411" s="77"/>
      <c r="AK3411" s="77"/>
      <c r="AL3411" s="77"/>
      <c r="AM3411" s="77"/>
      <c r="AN3411" s="77"/>
      <c r="AO3411" s="77"/>
      <c r="AP3411" s="77"/>
      <c r="AQ3411" s="77"/>
      <c r="AR3411" s="77"/>
      <c r="AS3411" s="77"/>
      <c r="AT3411" s="77"/>
      <c r="AU3411" s="77"/>
      <c r="AV3411" s="80" t="str">
        <f>HYPERLINK("https://pbs.twimg.com/profile_images/1241147984924082183/gZgx_hL-_normal.jpg")</f>
        <v>https://pbs.twimg.com/profile_images/1241147984924082183/gZgx_hL-_normal.jpg</v>
      </c>
      <c r="AW3411" s="82" t="s">
        <v>15007</v>
      </c>
      <c r="AX3411" s="82" t="s">
        <v>15007</v>
      </c>
      <c r="AY3411" s="77"/>
      <c r="AZ3411" s="82" t="s">
        <v>15984</v>
      </c>
      <c r="BA3411" s="82" t="s">
        <v>15984</v>
      </c>
      <c r="BB3411" s="82" t="s">
        <v>15984</v>
      </c>
      <c r="BC3411" s="82" t="s">
        <v>15007</v>
      </c>
      <c r="BD3411" s="82" t="s">
        <v>15979</v>
      </c>
      <c r="BE3411" s="77"/>
      <c r="BF3411" s="77"/>
      <c r="BG3411" s="77"/>
      <c r="BH3411" s="77"/>
      <c r="BI3411" s="77"/>
    </row>
    <row r="3412" spans="1:61" x14ac:dyDescent="0.25">
      <c r="A3412" s="62" t="s">
        <v>387</v>
      </c>
      <c r="B3412" s="62" t="s">
        <v>387</v>
      </c>
      <c r="C3412" s="63"/>
      <c r="D3412" s="64"/>
      <c r="E3412" s="65"/>
      <c r="F3412" s="66"/>
      <c r="G3412" s="63"/>
      <c r="H3412" s="67"/>
      <c r="I3412" s="68"/>
      <c r="J3412" s="68"/>
      <c r="K3412" s="32"/>
      <c r="L3412" s="75">
        <v>3412</v>
      </c>
      <c r="M3412" s="75"/>
      <c r="N3412" s="70"/>
      <c r="O3412" s="77" t="s">
        <v>898</v>
      </c>
      <c r="P3412" s="79">
        <v>45133.79115740741</v>
      </c>
      <c r="Q3412" s="77" t="s">
        <v>4082</v>
      </c>
      <c r="R3412" s="77">
        <v>0</v>
      </c>
      <c r="S3412" s="77">
        <v>1</v>
      </c>
      <c r="T3412" s="77">
        <v>1</v>
      </c>
      <c r="U3412" s="77">
        <v>0</v>
      </c>
      <c r="V3412" s="77">
        <v>849</v>
      </c>
      <c r="W3412" s="82" t="s">
        <v>4833</v>
      </c>
      <c r="X3412" s="80" t="str">
        <f>HYPERLINK("https://mla.bs/8bce97b4")</f>
        <v>https://mla.bs/8bce97b4</v>
      </c>
      <c r="Y3412" s="77" t="s">
        <v>6506</v>
      </c>
      <c r="Z3412" s="77"/>
      <c r="AA3412" s="77"/>
      <c r="AB3412" s="77"/>
      <c r="AC3412" s="82" t="s">
        <v>7750</v>
      </c>
      <c r="AD3412" s="77" t="s">
        <v>7788</v>
      </c>
      <c r="AE3412" s="80" t="str">
        <f>HYPERLINK("https://twitter.com/einvestidor/status/1684277221618229249")</f>
        <v>https://twitter.com/einvestidor/status/1684277221618229249</v>
      </c>
      <c r="AF3412" s="79">
        <v>45133.79115740741</v>
      </c>
      <c r="AG3412" s="85">
        <v>45133</v>
      </c>
      <c r="AH3412" s="82" t="s">
        <v>10039</v>
      </c>
      <c r="AI3412" s="77" t="b">
        <v>0</v>
      </c>
      <c r="AJ3412" s="77"/>
      <c r="AK3412" s="77"/>
      <c r="AL3412" s="77"/>
      <c r="AM3412" s="77"/>
      <c r="AN3412" s="77"/>
      <c r="AO3412" s="77"/>
      <c r="AP3412" s="77"/>
      <c r="AQ3412" s="77"/>
      <c r="AR3412" s="77"/>
      <c r="AS3412" s="77"/>
      <c r="AT3412" s="77"/>
      <c r="AU3412" s="77"/>
      <c r="AV3412" s="80" t="str">
        <f>HYPERLINK("https://pbs.twimg.com/profile_images/1241147984924082183/gZgx_hL-_normal.jpg")</f>
        <v>https://pbs.twimg.com/profile_images/1241147984924082183/gZgx_hL-_normal.jpg</v>
      </c>
      <c r="AW3412" s="82" t="s">
        <v>15008</v>
      </c>
      <c r="AX3412" s="82" t="s">
        <v>15901</v>
      </c>
      <c r="AY3412" s="82" t="s">
        <v>15979</v>
      </c>
      <c r="AZ3412" s="82" t="s">
        <v>15901</v>
      </c>
      <c r="BA3412" s="82" t="s">
        <v>15984</v>
      </c>
      <c r="BB3412" s="82" t="s">
        <v>15984</v>
      </c>
      <c r="BC3412" s="82" t="s">
        <v>15901</v>
      </c>
      <c r="BD3412" s="82" t="s">
        <v>15979</v>
      </c>
      <c r="BE3412" s="77"/>
      <c r="BF3412" s="77"/>
      <c r="BG3412" s="77"/>
      <c r="BH3412" s="77"/>
      <c r="BI3412" s="77"/>
    </row>
    <row r="3413" spans="1:61" x14ac:dyDescent="0.25">
      <c r="A3413" s="62" t="s">
        <v>387</v>
      </c>
      <c r="B3413" s="62" t="s">
        <v>387</v>
      </c>
      <c r="C3413" s="63"/>
      <c r="D3413" s="64"/>
      <c r="E3413" s="65"/>
      <c r="F3413" s="66"/>
      <c r="G3413" s="63"/>
      <c r="H3413" s="67"/>
      <c r="I3413" s="68"/>
      <c r="J3413" s="68"/>
      <c r="K3413" s="32"/>
      <c r="L3413" s="75">
        <v>3413</v>
      </c>
      <c r="M3413" s="75"/>
      <c r="N3413" s="70"/>
      <c r="O3413" s="77" t="s">
        <v>179</v>
      </c>
      <c r="P3413" s="79">
        <v>45133.78125</v>
      </c>
      <c r="Q3413" s="77" t="s">
        <v>4083</v>
      </c>
      <c r="R3413" s="77">
        <v>0</v>
      </c>
      <c r="S3413" s="77">
        <v>2</v>
      </c>
      <c r="T3413" s="77">
        <v>1</v>
      </c>
      <c r="U3413" s="77">
        <v>0</v>
      </c>
      <c r="V3413" s="77">
        <v>501</v>
      </c>
      <c r="W3413" s="82" t="s">
        <v>4833</v>
      </c>
      <c r="X3413" s="80" t="str">
        <f>HYPERLINK("https://mla.bs/f88cf72b")</f>
        <v>https://mla.bs/f88cf72b</v>
      </c>
      <c r="Y3413" s="77" t="s">
        <v>6506</v>
      </c>
      <c r="Z3413" s="77"/>
      <c r="AA3413" s="77"/>
      <c r="AB3413" s="77"/>
      <c r="AC3413" s="82" t="s">
        <v>7754</v>
      </c>
      <c r="AD3413" s="77" t="s">
        <v>7788</v>
      </c>
      <c r="AE3413" s="80" t="str">
        <f>HYPERLINK("https://twitter.com/einvestidor/status/1684273629599764480")</f>
        <v>https://twitter.com/einvestidor/status/1684273629599764480</v>
      </c>
      <c r="AF3413" s="79">
        <v>45133.78125</v>
      </c>
      <c r="AG3413" s="85">
        <v>45133</v>
      </c>
      <c r="AH3413" s="82" t="s">
        <v>9581</v>
      </c>
      <c r="AI3413" s="77" t="b">
        <v>0</v>
      </c>
      <c r="AJ3413" s="77"/>
      <c r="AK3413" s="77"/>
      <c r="AL3413" s="77"/>
      <c r="AM3413" s="77"/>
      <c r="AN3413" s="77"/>
      <c r="AO3413" s="77"/>
      <c r="AP3413" s="77"/>
      <c r="AQ3413" s="77"/>
      <c r="AR3413" s="77"/>
      <c r="AS3413" s="77"/>
      <c r="AT3413" s="77"/>
      <c r="AU3413" s="77"/>
      <c r="AV3413" s="80" t="str">
        <f>HYPERLINK("https://pbs.twimg.com/profile_images/1241147984924082183/gZgx_hL-_normal.jpg")</f>
        <v>https://pbs.twimg.com/profile_images/1241147984924082183/gZgx_hL-_normal.jpg</v>
      </c>
      <c r="AW3413" s="82" t="s">
        <v>15009</v>
      </c>
      <c r="AX3413" s="82" t="s">
        <v>15009</v>
      </c>
      <c r="AY3413" s="77"/>
      <c r="AZ3413" s="82" t="s">
        <v>15984</v>
      </c>
      <c r="BA3413" s="82" t="s">
        <v>15984</v>
      </c>
      <c r="BB3413" s="82" t="s">
        <v>15984</v>
      </c>
      <c r="BC3413" s="82" t="s">
        <v>15009</v>
      </c>
      <c r="BD3413" s="82" t="s">
        <v>15979</v>
      </c>
      <c r="BE3413" s="77"/>
      <c r="BF3413" s="77"/>
      <c r="BG3413" s="77"/>
      <c r="BH3413" s="77"/>
      <c r="BI3413" s="77"/>
    </row>
    <row r="3414" spans="1:61" x14ac:dyDescent="0.25">
      <c r="A3414" s="62" t="s">
        <v>387</v>
      </c>
      <c r="B3414" s="62" t="s">
        <v>387</v>
      </c>
      <c r="C3414" s="63"/>
      <c r="D3414" s="64"/>
      <c r="E3414" s="65"/>
      <c r="F3414" s="66"/>
      <c r="G3414" s="63"/>
      <c r="H3414" s="67"/>
      <c r="I3414" s="68"/>
      <c r="J3414" s="68"/>
      <c r="K3414" s="32"/>
      <c r="L3414" s="75">
        <v>3414</v>
      </c>
      <c r="M3414" s="75"/>
      <c r="N3414" s="70"/>
      <c r="O3414" s="77" t="s">
        <v>179</v>
      </c>
      <c r="P3414" s="79">
        <v>45133.731400462966</v>
      </c>
      <c r="Q3414" s="77" t="s">
        <v>4084</v>
      </c>
      <c r="R3414" s="77">
        <v>0</v>
      </c>
      <c r="S3414" s="77">
        <v>1</v>
      </c>
      <c r="T3414" s="77">
        <v>0</v>
      </c>
      <c r="U3414" s="77">
        <v>0</v>
      </c>
      <c r="V3414" s="77">
        <v>484</v>
      </c>
      <c r="W3414" s="82" t="s">
        <v>4833</v>
      </c>
      <c r="X3414" s="80" t="str">
        <f>HYPERLINK("https://mla.bs/3c6d8f57")</f>
        <v>https://mla.bs/3c6d8f57</v>
      </c>
      <c r="Y3414" s="77" t="s">
        <v>6506</v>
      </c>
      <c r="Z3414" s="77"/>
      <c r="AA3414" s="77"/>
      <c r="AB3414" s="77"/>
      <c r="AC3414" s="82" t="s">
        <v>7754</v>
      </c>
      <c r="AD3414" s="77" t="s">
        <v>7788</v>
      </c>
      <c r="AE3414" s="80" t="str">
        <f>HYPERLINK("https://twitter.com/einvestidor/status/1684255565227098140")</f>
        <v>https://twitter.com/einvestidor/status/1684255565227098140</v>
      </c>
      <c r="AF3414" s="79">
        <v>45133.731400462966</v>
      </c>
      <c r="AG3414" s="85">
        <v>45133</v>
      </c>
      <c r="AH3414" s="82" t="s">
        <v>10040</v>
      </c>
      <c r="AI3414" s="77" t="b">
        <v>0</v>
      </c>
      <c r="AJ3414" s="77"/>
      <c r="AK3414" s="77"/>
      <c r="AL3414" s="77"/>
      <c r="AM3414" s="77"/>
      <c r="AN3414" s="77"/>
      <c r="AO3414" s="77"/>
      <c r="AP3414" s="77"/>
      <c r="AQ3414" s="77"/>
      <c r="AR3414" s="77"/>
      <c r="AS3414" s="77"/>
      <c r="AT3414" s="77"/>
      <c r="AU3414" s="77"/>
      <c r="AV3414" s="80" t="str">
        <f>HYPERLINK("https://pbs.twimg.com/profile_images/1241147984924082183/gZgx_hL-_normal.jpg")</f>
        <v>https://pbs.twimg.com/profile_images/1241147984924082183/gZgx_hL-_normal.jpg</v>
      </c>
      <c r="AW3414" s="82" t="s">
        <v>15010</v>
      </c>
      <c r="AX3414" s="82" t="s">
        <v>15010</v>
      </c>
      <c r="AY3414" s="77"/>
      <c r="AZ3414" s="82" t="s">
        <v>15984</v>
      </c>
      <c r="BA3414" s="82" t="s">
        <v>15984</v>
      </c>
      <c r="BB3414" s="82" t="s">
        <v>15984</v>
      </c>
      <c r="BC3414" s="82" t="s">
        <v>15010</v>
      </c>
      <c r="BD3414" s="82" t="s">
        <v>15979</v>
      </c>
      <c r="BE3414" s="77"/>
      <c r="BF3414" s="77"/>
      <c r="BG3414" s="77"/>
      <c r="BH3414" s="77"/>
      <c r="BI3414" s="77"/>
    </row>
    <row r="3415" spans="1:61" x14ac:dyDescent="0.25">
      <c r="A3415" s="62" t="s">
        <v>387</v>
      </c>
      <c r="B3415" s="62" t="s">
        <v>387</v>
      </c>
      <c r="C3415" s="63"/>
      <c r="D3415" s="64"/>
      <c r="E3415" s="65"/>
      <c r="F3415" s="66"/>
      <c r="G3415" s="63"/>
      <c r="H3415" s="67"/>
      <c r="I3415" s="68"/>
      <c r="J3415" s="68"/>
      <c r="K3415" s="32"/>
      <c r="L3415" s="75">
        <v>3415</v>
      </c>
      <c r="M3415" s="75"/>
      <c r="N3415" s="70"/>
      <c r="O3415" s="77" t="s">
        <v>179</v>
      </c>
      <c r="P3415" s="79">
        <v>45133.729166666664</v>
      </c>
      <c r="Q3415" s="77" t="s">
        <v>4085</v>
      </c>
      <c r="R3415" s="77">
        <v>0</v>
      </c>
      <c r="S3415" s="77">
        <v>1</v>
      </c>
      <c r="T3415" s="77">
        <v>0</v>
      </c>
      <c r="U3415" s="77">
        <v>0</v>
      </c>
      <c r="V3415" s="77">
        <v>410</v>
      </c>
      <c r="W3415" s="82" t="s">
        <v>4833</v>
      </c>
      <c r="X3415" s="80" t="str">
        <f>HYPERLINK("https://mla.bs/41a61d98")</f>
        <v>https://mla.bs/41a61d98</v>
      </c>
      <c r="Y3415" s="77" t="s">
        <v>6506</v>
      </c>
      <c r="Z3415" s="77"/>
      <c r="AA3415" s="77"/>
      <c r="AB3415" s="77"/>
      <c r="AC3415" s="82" t="s">
        <v>7754</v>
      </c>
      <c r="AD3415" s="77" t="s">
        <v>7788</v>
      </c>
      <c r="AE3415" s="80" t="str">
        <f>HYPERLINK("https://twitter.com/einvestidor/status/1684254757081448450")</f>
        <v>https://twitter.com/einvestidor/status/1684254757081448450</v>
      </c>
      <c r="AF3415" s="79">
        <v>45133.729166666664</v>
      </c>
      <c r="AG3415" s="85">
        <v>45133</v>
      </c>
      <c r="AH3415" s="82" t="s">
        <v>8091</v>
      </c>
      <c r="AI3415" s="77" t="b">
        <v>0</v>
      </c>
      <c r="AJ3415" s="77"/>
      <c r="AK3415" s="77"/>
      <c r="AL3415" s="77"/>
      <c r="AM3415" s="77"/>
      <c r="AN3415" s="77"/>
      <c r="AO3415" s="77"/>
      <c r="AP3415" s="77"/>
      <c r="AQ3415" s="77"/>
      <c r="AR3415" s="77"/>
      <c r="AS3415" s="77"/>
      <c r="AT3415" s="77"/>
      <c r="AU3415" s="77"/>
      <c r="AV3415" s="80" t="str">
        <f>HYPERLINK("https://pbs.twimg.com/profile_images/1241147984924082183/gZgx_hL-_normal.jpg")</f>
        <v>https://pbs.twimg.com/profile_images/1241147984924082183/gZgx_hL-_normal.jpg</v>
      </c>
      <c r="AW3415" s="82" t="s">
        <v>15011</v>
      </c>
      <c r="AX3415" s="82" t="s">
        <v>15011</v>
      </c>
      <c r="AY3415" s="77"/>
      <c r="AZ3415" s="82" t="s">
        <v>15984</v>
      </c>
      <c r="BA3415" s="82" t="s">
        <v>15984</v>
      </c>
      <c r="BB3415" s="82" t="s">
        <v>15984</v>
      </c>
      <c r="BC3415" s="82" t="s">
        <v>15011</v>
      </c>
      <c r="BD3415" s="82" t="s">
        <v>15979</v>
      </c>
      <c r="BE3415" s="77"/>
      <c r="BF3415" s="77"/>
      <c r="BG3415" s="77"/>
      <c r="BH3415" s="77"/>
      <c r="BI3415" s="77"/>
    </row>
    <row r="3416" spans="1:61" x14ac:dyDescent="0.25">
      <c r="A3416" s="62" t="s">
        <v>387</v>
      </c>
      <c r="B3416" s="62" t="s">
        <v>387</v>
      </c>
      <c r="C3416" s="63"/>
      <c r="D3416" s="64"/>
      <c r="E3416" s="65"/>
      <c r="F3416" s="66"/>
      <c r="G3416" s="63"/>
      <c r="H3416" s="67"/>
      <c r="I3416" s="68"/>
      <c r="J3416" s="68"/>
      <c r="K3416" s="32"/>
      <c r="L3416" s="75">
        <v>3416</v>
      </c>
      <c r="M3416" s="75"/>
      <c r="N3416" s="70"/>
      <c r="O3416" s="77" t="s">
        <v>179</v>
      </c>
      <c r="P3416" s="79">
        <v>45133.71875</v>
      </c>
      <c r="Q3416" s="77" t="s">
        <v>4086</v>
      </c>
      <c r="R3416" s="77">
        <v>0</v>
      </c>
      <c r="S3416" s="77">
        <v>4</v>
      </c>
      <c r="T3416" s="77">
        <v>0</v>
      </c>
      <c r="U3416" s="77">
        <v>0</v>
      </c>
      <c r="V3416" s="77">
        <v>721</v>
      </c>
      <c r="W3416" s="82" t="s">
        <v>4833</v>
      </c>
      <c r="X3416" s="80" t="str">
        <f>HYPERLINK("https://mla.bs/a82d97ea")</f>
        <v>https://mla.bs/a82d97ea</v>
      </c>
      <c r="Y3416" s="77" t="s">
        <v>6506</v>
      </c>
      <c r="Z3416" s="77"/>
      <c r="AA3416" s="77"/>
      <c r="AB3416" s="77"/>
      <c r="AC3416" s="82" t="s">
        <v>7754</v>
      </c>
      <c r="AD3416" s="77" t="s">
        <v>7788</v>
      </c>
      <c r="AE3416" s="80" t="str">
        <f>HYPERLINK("https://twitter.com/einvestidor/status/1684250980693442562")</f>
        <v>https://twitter.com/einvestidor/status/1684250980693442562</v>
      </c>
      <c r="AF3416" s="79">
        <v>45133.71875</v>
      </c>
      <c r="AG3416" s="85">
        <v>45133</v>
      </c>
      <c r="AH3416" s="82" t="s">
        <v>10022</v>
      </c>
      <c r="AI3416" s="77" t="b">
        <v>0</v>
      </c>
      <c r="AJ3416" s="77"/>
      <c r="AK3416" s="77"/>
      <c r="AL3416" s="77"/>
      <c r="AM3416" s="77"/>
      <c r="AN3416" s="77"/>
      <c r="AO3416" s="77"/>
      <c r="AP3416" s="77"/>
      <c r="AQ3416" s="77"/>
      <c r="AR3416" s="77"/>
      <c r="AS3416" s="77"/>
      <c r="AT3416" s="77"/>
      <c r="AU3416" s="77"/>
      <c r="AV3416" s="80" t="str">
        <f>HYPERLINK("https://pbs.twimg.com/profile_images/1241147984924082183/gZgx_hL-_normal.jpg")</f>
        <v>https://pbs.twimg.com/profile_images/1241147984924082183/gZgx_hL-_normal.jpg</v>
      </c>
      <c r="AW3416" s="82" t="s">
        <v>15012</v>
      </c>
      <c r="AX3416" s="82" t="s">
        <v>15012</v>
      </c>
      <c r="AY3416" s="77"/>
      <c r="AZ3416" s="82" t="s">
        <v>15984</v>
      </c>
      <c r="BA3416" s="82" t="s">
        <v>15984</v>
      </c>
      <c r="BB3416" s="82" t="s">
        <v>15984</v>
      </c>
      <c r="BC3416" s="82" t="s">
        <v>15012</v>
      </c>
      <c r="BD3416" s="82" t="s">
        <v>15979</v>
      </c>
      <c r="BE3416" s="77"/>
      <c r="BF3416" s="77"/>
      <c r="BG3416" s="77"/>
      <c r="BH3416" s="77"/>
      <c r="BI3416" s="77"/>
    </row>
    <row r="3417" spans="1:61" x14ac:dyDescent="0.25">
      <c r="A3417" s="62" t="s">
        <v>387</v>
      </c>
      <c r="B3417" s="62" t="s">
        <v>387</v>
      </c>
      <c r="C3417" s="63"/>
      <c r="D3417" s="64"/>
      <c r="E3417" s="65"/>
      <c r="F3417" s="66"/>
      <c r="G3417" s="63"/>
      <c r="H3417" s="67"/>
      <c r="I3417" s="68"/>
      <c r="J3417" s="68"/>
      <c r="K3417" s="32"/>
      <c r="L3417" s="75">
        <v>3417</v>
      </c>
      <c r="M3417" s="75"/>
      <c r="N3417" s="70"/>
      <c r="O3417" s="77" t="s">
        <v>179</v>
      </c>
      <c r="P3417" s="79">
        <v>45133.6403125</v>
      </c>
      <c r="Q3417" s="77" t="s">
        <v>4087</v>
      </c>
      <c r="R3417" s="77">
        <v>1</v>
      </c>
      <c r="S3417" s="77">
        <v>2</v>
      </c>
      <c r="T3417" s="77">
        <v>0</v>
      </c>
      <c r="U3417" s="77">
        <v>0</v>
      </c>
      <c r="V3417" s="77">
        <v>538</v>
      </c>
      <c r="W3417" s="82" t="s">
        <v>4833</v>
      </c>
      <c r="X3417" s="80" t="str">
        <f>HYPERLINK("https://mla.bs/43c04ed1")</f>
        <v>https://mla.bs/43c04ed1</v>
      </c>
      <c r="Y3417" s="77" t="s">
        <v>6506</v>
      </c>
      <c r="Z3417" s="77"/>
      <c r="AA3417" s="77"/>
      <c r="AB3417" s="77"/>
      <c r="AC3417" s="82" t="s">
        <v>7754</v>
      </c>
      <c r="AD3417" s="77" t="s">
        <v>7788</v>
      </c>
      <c r="AE3417" s="80" t="str">
        <f>HYPERLINK("https://twitter.com/einvestidor/status/1684222556646019072")</f>
        <v>https://twitter.com/einvestidor/status/1684222556646019072</v>
      </c>
      <c r="AF3417" s="79">
        <v>45133.6403125</v>
      </c>
      <c r="AG3417" s="85">
        <v>45133</v>
      </c>
      <c r="AH3417" s="82" t="s">
        <v>10041</v>
      </c>
      <c r="AI3417" s="77" t="b">
        <v>0</v>
      </c>
      <c r="AJ3417" s="77"/>
      <c r="AK3417" s="77"/>
      <c r="AL3417" s="77"/>
      <c r="AM3417" s="77"/>
      <c r="AN3417" s="77"/>
      <c r="AO3417" s="77"/>
      <c r="AP3417" s="77"/>
      <c r="AQ3417" s="77"/>
      <c r="AR3417" s="77"/>
      <c r="AS3417" s="77"/>
      <c r="AT3417" s="77"/>
      <c r="AU3417" s="77"/>
      <c r="AV3417" s="80" t="str">
        <f>HYPERLINK("https://pbs.twimg.com/profile_images/1241147984924082183/gZgx_hL-_normal.jpg")</f>
        <v>https://pbs.twimg.com/profile_images/1241147984924082183/gZgx_hL-_normal.jpg</v>
      </c>
      <c r="AW3417" s="82" t="s">
        <v>15013</v>
      </c>
      <c r="AX3417" s="82" t="s">
        <v>15013</v>
      </c>
      <c r="AY3417" s="77"/>
      <c r="AZ3417" s="82" t="s">
        <v>15984</v>
      </c>
      <c r="BA3417" s="82" t="s">
        <v>15984</v>
      </c>
      <c r="BB3417" s="82" t="s">
        <v>15984</v>
      </c>
      <c r="BC3417" s="82" t="s">
        <v>15013</v>
      </c>
      <c r="BD3417" s="82" t="s">
        <v>15979</v>
      </c>
      <c r="BE3417" s="77"/>
      <c r="BF3417" s="77"/>
      <c r="BG3417" s="77"/>
      <c r="BH3417" s="77"/>
      <c r="BI3417" s="77"/>
    </row>
    <row r="3418" spans="1:61" x14ac:dyDescent="0.25">
      <c r="A3418" s="62" t="s">
        <v>387</v>
      </c>
      <c r="B3418" s="62" t="s">
        <v>387</v>
      </c>
      <c r="C3418" s="63"/>
      <c r="D3418" s="64"/>
      <c r="E3418" s="65"/>
      <c r="F3418" s="66"/>
      <c r="G3418" s="63"/>
      <c r="H3418" s="67"/>
      <c r="I3418" s="68"/>
      <c r="J3418" s="68"/>
      <c r="K3418" s="32"/>
      <c r="L3418" s="75">
        <v>3418</v>
      </c>
      <c r="M3418" s="75"/>
      <c r="N3418" s="70"/>
      <c r="O3418" s="77" t="s">
        <v>179</v>
      </c>
      <c r="P3418" s="79">
        <v>45133.635381944441</v>
      </c>
      <c r="Q3418" s="77" t="s">
        <v>4088</v>
      </c>
      <c r="R3418" s="77">
        <v>0</v>
      </c>
      <c r="S3418" s="77">
        <v>2</v>
      </c>
      <c r="T3418" s="77">
        <v>0</v>
      </c>
      <c r="U3418" s="77">
        <v>0</v>
      </c>
      <c r="V3418" s="77">
        <v>680</v>
      </c>
      <c r="W3418" s="82" t="s">
        <v>4833</v>
      </c>
      <c r="X3418" s="80" t="str">
        <f>HYPERLINK("https://mla.bs/215de292")</f>
        <v>https://mla.bs/215de292</v>
      </c>
      <c r="Y3418" s="77" t="s">
        <v>6506</v>
      </c>
      <c r="Z3418" s="77"/>
      <c r="AA3418" s="77"/>
      <c r="AB3418" s="77"/>
      <c r="AC3418" s="82" t="s">
        <v>7754</v>
      </c>
      <c r="AD3418" s="77" t="s">
        <v>7788</v>
      </c>
      <c r="AE3418" s="80" t="str">
        <f>HYPERLINK("https://twitter.com/einvestidor/status/1684220769985761281")</f>
        <v>https://twitter.com/einvestidor/status/1684220769985761281</v>
      </c>
      <c r="AF3418" s="79">
        <v>45133.635381944441</v>
      </c>
      <c r="AG3418" s="85">
        <v>45133</v>
      </c>
      <c r="AH3418" s="82" t="s">
        <v>10042</v>
      </c>
      <c r="AI3418" s="77" t="b">
        <v>0</v>
      </c>
      <c r="AJ3418" s="77"/>
      <c r="AK3418" s="77"/>
      <c r="AL3418" s="77"/>
      <c r="AM3418" s="77"/>
      <c r="AN3418" s="77"/>
      <c r="AO3418" s="77"/>
      <c r="AP3418" s="77"/>
      <c r="AQ3418" s="77"/>
      <c r="AR3418" s="77"/>
      <c r="AS3418" s="77"/>
      <c r="AT3418" s="77"/>
      <c r="AU3418" s="77"/>
      <c r="AV3418" s="80" t="str">
        <f>HYPERLINK("https://pbs.twimg.com/profile_images/1241147984924082183/gZgx_hL-_normal.jpg")</f>
        <v>https://pbs.twimg.com/profile_images/1241147984924082183/gZgx_hL-_normal.jpg</v>
      </c>
      <c r="AW3418" s="82" t="s">
        <v>15014</v>
      </c>
      <c r="AX3418" s="82" t="s">
        <v>15014</v>
      </c>
      <c r="AY3418" s="77"/>
      <c r="AZ3418" s="82" t="s">
        <v>15984</v>
      </c>
      <c r="BA3418" s="82" t="s">
        <v>15984</v>
      </c>
      <c r="BB3418" s="82" t="s">
        <v>15984</v>
      </c>
      <c r="BC3418" s="82" t="s">
        <v>15014</v>
      </c>
      <c r="BD3418" s="82" t="s">
        <v>15979</v>
      </c>
      <c r="BE3418" s="77"/>
      <c r="BF3418" s="77"/>
      <c r="BG3418" s="77"/>
      <c r="BH3418" s="77"/>
      <c r="BI3418" s="77"/>
    </row>
    <row r="3419" spans="1:61" x14ac:dyDescent="0.25">
      <c r="A3419" s="62" t="s">
        <v>387</v>
      </c>
      <c r="B3419" s="62" t="s">
        <v>387</v>
      </c>
      <c r="C3419" s="63"/>
      <c r="D3419" s="64"/>
      <c r="E3419" s="65"/>
      <c r="F3419" s="66"/>
      <c r="G3419" s="63"/>
      <c r="H3419" s="67"/>
      <c r="I3419" s="68"/>
      <c r="J3419" s="68"/>
      <c r="K3419" s="32"/>
      <c r="L3419" s="75">
        <v>3419</v>
      </c>
      <c r="M3419" s="75"/>
      <c r="N3419" s="70"/>
      <c r="O3419" s="77" t="s">
        <v>898</v>
      </c>
      <c r="P3419" s="79">
        <v>45197.459652777776</v>
      </c>
      <c r="Q3419" s="77" t="s">
        <v>4089</v>
      </c>
      <c r="R3419" s="77">
        <v>0</v>
      </c>
      <c r="S3419" s="77">
        <v>0</v>
      </c>
      <c r="T3419" s="77">
        <v>0</v>
      </c>
      <c r="U3419" s="77">
        <v>0</v>
      </c>
      <c r="V3419" s="77">
        <v>327</v>
      </c>
      <c r="W3419" s="82" t="s">
        <v>4839</v>
      </c>
      <c r="X3419" s="80" t="str">
        <f>HYPERLINK("https://einvestidor.estadao.com.br/ultimas/bolsas-europa-espera-cpi-alemanha-pib-eua/?utm_source=twitter&amp;utm_medium=organic&amp;utm_campaign=europa&amp;utm_content=materia")</f>
        <v>https://einvestidor.estadao.com.br/ultimas/bolsas-europa-espera-cpi-alemanha-pib-eua/?utm_source=twitter&amp;utm_medium=organic&amp;utm_campaign=europa&amp;utm_content=materia</v>
      </c>
      <c r="Y3419" s="77" t="s">
        <v>6470</v>
      </c>
      <c r="Z3419" s="77"/>
      <c r="AA3419" s="77" t="s">
        <v>7645</v>
      </c>
      <c r="AB3419" s="77" t="s">
        <v>7742</v>
      </c>
      <c r="AC3419" s="82" t="s">
        <v>7750</v>
      </c>
      <c r="AD3419" s="77" t="s">
        <v>7788</v>
      </c>
      <c r="AE3419" s="80" t="str">
        <f>HYPERLINK("https://twitter.com/einvestidor/status/1707349911514013988")</f>
        <v>https://twitter.com/einvestidor/status/1707349911514013988</v>
      </c>
      <c r="AF3419" s="79">
        <v>45197.459652777776</v>
      </c>
      <c r="AG3419" s="85">
        <v>45197</v>
      </c>
      <c r="AH3419" s="82" t="s">
        <v>10043</v>
      </c>
      <c r="AI3419" s="77" t="b">
        <v>0</v>
      </c>
      <c r="AJ3419" s="77"/>
      <c r="AK3419" s="77"/>
      <c r="AL3419" s="77"/>
      <c r="AM3419" s="77"/>
      <c r="AN3419" s="77"/>
      <c r="AO3419" s="77"/>
      <c r="AP3419" s="77"/>
      <c r="AQ3419" s="77" t="s">
        <v>11617</v>
      </c>
      <c r="AR3419" s="77"/>
      <c r="AS3419" s="77"/>
      <c r="AT3419" s="77"/>
      <c r="AU3419" s="77"/>
      <c r="AV3419" s="80" t="str">
        <f>HYPERLINK("https://pbs.twimg.com/media/F7G5cr7X0AAMrzw.png")</f>
        <v>https://pbs.twimg.com/media/F7G5cr7X0AAMrzw.png</v>
      </c>
      <c r="AW3419" s="82" t="s">
        <v>15015</v>
      </c>
      <c r="AX3419" s="82" t="s">
        <v>15195</v>
      </c>
      <c r="AY3419" s="82" t="s">
        <v>15979</v>
      </c>
      <c r="AZ3419" s="82" t="s">
        <v>15195</v>
      </c>
      <c r="BA3419" s="82" t="s">
        <v>15984</v>
      </c>
      <c r="BB3419" s="82" t="s">
        <v>15984</v>
      </c>
      <c r="BC3419" s="82" t="s">
        <v>15195</v>
      </c>
      <c r="BD3419" s="82" t="s">
        <v>15979</v>
      </c>
      <c r="BE3419" s="77"/>
      <c r="BF3419" s="77"/>
      <c r="BG3419" s="77"/>
      <c r="BH3419" s="77"/>
      <c r="BI3419" s="77"/>
    </row>
    <row r="3420" spans="1:61" x14ac:dyDescent="0.25">
      <c r="A3420" s="62" t="s">
        <v>387</v>
      </c>
      <c r="B3420" s="62" t="s">
        <v>387</v>
      </c>
      <c r="C3420" s="63"/>
      <c r="D3420" s="64"/>
      <c r="E3420" s="65"/>
      <c r="F3420" s="66"/>
      <c r="G3420" s="63"/>
      <c r="H3420" s="67"/>
      <c r="I3420" s="68"/>
      <c r="J3420" s="68"/>
      <c r="K3420" s="32"/>
      <c r="L3420" s="75">
        <v>3420</v>
      </c>
      <c r="M3420" s="75"/>
      <c r="N3420" s="70"/>
      <c r="O3420" s="77" t="s">
        <v>179</v>
      </c>
      <c r="P3420" s="79">
        <v>45191.513379629629</v>
      </c>
      <c r="Q3420" s="77" t="s">
        <v>4090</v>
      </c>
      <c r="R3420" s="77">
        <v>0</v>
      </c>
      <c r="S3420" s="77">
        <v>1</v>
      </c>
      <c r="T3420" s="77">
        <v>0</v>
      </c>
      <c r="U3420" s="77">
        <v>0</v>
      </c>
      <c r="V3420" s="77">
        <v>429</v>
      </c>
      <c r="W3420" s="82" t="s">
        <v>4839</v>
      </c>
      <c r="X3420" s="80" t="str">
        <f>HYPERLINK("https://einvestidor.estadao.com.br/mercado/abertura-de-mercado-22-09-2023/?utm_source=twitter&amp;utm_medium=organic&amp;utm_campaign=abertura-de-mercado&amp;utm_content=materia")</f>
        <v>https://einvestidor.estadao.com.br/mercado/abertura-de-mercado-22-09-2023/?utm_source=twitter&amp;utm_medium=organic&amp;utm_campaign=abertura-de-mercado&amp;utm_content=materia</v>
      </c>
      <c r="Y3420" s="77" t="s">
        <v>6470</v>
      </c>
      <c r="Z3420" s="77"/>
      <c r="AA3420" s="77"/>
      <c r="AB3420" s="77"/>
      <c r="AC3420" s="82" t="s">
        <v>7750</v>
      </c>
      <c r="AD3420" s="77" t="s">
        <v>7788</v>
      </c>
      <c r="AE3420" s="80" t="str">
        <f>HYPERLINK("https://twitter.com/einvestidor/status/1705195054753628542")</f>
        <v>https://twitter.com/einvestidor/status/1705195054753628542</v>
      </c>
      <c r="AF3420" s="79">
        <v>45191.513379629629</v>
      </c>
      <c r="AG3420" s="85">
        <v>45191</v>
      </c>
      <c r="AH3420" s="82" t="s">
        <v>10044</v>
      </c>
      <c r="AI3420" s="77" t="b">
        <v>0</v>
      </c>
      <c r="AJ3420" s="77"/>
      <c r="AK3420" s="77"/>
      <c r="AL3420" s="77"/>
      <c r="AM3420" s="77"/>
      <c r="AN3420" s="77"/>
      <c r="AO3420" s="77"/>
      <c r="AP3420" s="77"/>
      <c r="AQ3420" s="77"/>
      <c r="AR3420" s="77"/>
      <c r="AS3420" s="77"/>
      <c r="AT3420" s="77"/>
      <c r="AU3420" s="77"/>
      <c r="AV3420" s="80" t="str">
        <f>HYPERLINK("https://pbs.twimg.com/profile_images/1241147984924082183/gZgx_hL-_normal.jpg")</f>
        <v>https://pbs.twimg.com/profile_images/1241147984924082183/gZgx_hL-_normal.jpg</v>
      </c>
      <c r="AW3420" s="82" t="s">
        <v>15016</v>
      </c>
      <c r="AX3420" s="82" t="s">
        <v>15016</v>
      </c>
      <c r="AY3420" s="77"/>
      <c r="AZ3420" s="82" t="s">
        <v>15984</v>
      </c>
      <c r="BA3420" s="82" t="s">
        <v>15984</v>
      </c>
      <c r="BB3420" s="82" t="s">
        <v>15984</v>
      </c>
      <c r="BC3420" s="82" t="s">
        <v>15016</v>
      </c>
      <c r="BD3420" s="82" t="s">
        <v>15979</v>
      </c>
      <c r="BE3420" s="77"/>
      <c r="BF3420" s="77"/>
      <c r="BG3420" s="77"/>
      <c r="BH3420" s="77"/>
      <c r="BI3420" s="77"/>
    </row>
    <row r="3421" spans="1:61" x14ac:dyDescent="0.25">
      <c r="A3421" s="62" t="s">
        <v>387</v>
      </c>
      <c r="B3421" s="62" t="s">
        <v>387</v>
      </c>
      <c r="C3421" s="63"/>
      <c r="D3421" s="64"/>
      <c r="E3421" s="65"/>
      <c r="F3421" s="66"/>
      <c r="G3421" s="63"/>
      <c r="H3421" s="67"/>
      <c r="I3421" s="68"/>
      <c r="J3421" s="68"/>
      <c r="K3421" s="32"/>
      <c r="L3421" s="75">
        <v>3421</v>
      </c>
      <c r="M3421" s="75"/>
      <c r="N3421" s="70"/>
      <c r="O3421" s="77" t="s">
        <v>179</v>
      </c>
      <c r="P3421" s="79">
        <v>45190.958333333336</v>
      </c>
      <c r="Q3421" s="77" t="s">
        <v>4091</v>
      </c>
      <c r="R3421" s="77">
        <v>0</v>
      </c>
      <c r="S3421" s="77">
        <v>0</v>
      </c>
      <c r="T3421" s="77">
        <v>0</v>
      </c>
      <c r="U3421" s="77">
        <v>0</v>
      </c>
      <c r="V3421" s="77">
        <v>457</v>
      </c>
      <c r="W3421" s="82" t="s">
        <v>6281</v>
      </c>
      <c r="X3421" s="80" t="str">
        <f>HYPERLINK("https://einvestidor.estadao.com.br/ultimas/juros-treasuries-longo-prazo-retomam-alta-apos-decisao-fed//?utm_source=twitter&amp;utm_medium=organic&amp;utm_campaign=&amp;utm_content=materia")</f>
        <v>https://einvestidor.estadao.com.br/ultimas/juros-treasuries-longo-prazo-retomam-alta-apos-decisao-fed//?utm_source=twitter&amp;utm_medium=organic&amp;utm_campaign=&amp;utm_content=materia</v>
      </c>
      <c r="Y3421" s="77" t="s">
        <v>6470</v>
      </c>
      <c r="Z3421" s="77"/>
      <c r="AA3421" s="77"/>
      <c r="AB3421" s="77"/>
      <c r="AC3421" s="82" t="s">
        <v>7750</v>
      </c>
      <c r="AD3421" s="77" t="s">
        <v>7788</v>
      </c>
      <c r="AE3421" s="80" t="str">
        <f>HYPERLINK("https://twitter.com/einvestidor/status/1704993911859552740")</f>
        <v>https://twitter.com/einvestidor/status/1704993911859552740</v>
      </c>
      <c r="AF3421" s="79">
        <v>45190.958333333336</v>
      </c>
      <c r="AG3421" s="85">
        <v>45190</v>
      </c>
      <c r="AH3421" s="82" t="s">
        <v>8279</v>
      </c>
      <c r="AI3421" s="77" t="b">
        <v>0</v>
      </c>
      <c r="AJ3421" s="77"/>
      <c r="AK3421" s="77"/>
      <c r="AL3421" s="77"/>
      <c r="AM3421" s="77"/>
      <c r="AN3421" s="77"/>
      <c r="AO3421" s="77"/>
      <c r="AP3421" s="77"/>
      <c r="AQ3421" s="77"/>
      <c r="AR3421" s="77"/>
      <c r="AS3421" s="77"/>
      <c r="AT3421" s="77"/>
      <c r="AU3421" s="77"/>
      <c r="AV3421" s="80" t="str">
        <f>HYPERLINK("https://pbs.twimg.com/profile_images/1241147984924082183/gZgx_hL-_normal.jpg")</f>
        <v>https://pbs.twimg.com/profile_images/1241147984924082183/gZgx_hL-_normal.jpg</v>
      </c>
      <c r="AW3421" s="82" t="s">
        <v>15017</v>
      </c>
      <c r="AX3421" s="82" t="s">
        <v>15017</v>
      </c>
      <c r="AY3421" s="77"/>
      <c r="AZ3421" s="82" t="s">
        <v>15984</v>
      </c>
      <c r="BA3421" s="82" t="s">
        <v>15984</v>
      </c>
      <c r="BB3421" s="82" t="s">
        <v>15984</v>
      </c>
      <c r="BC3421" s="82" t="s">
        <v>15017</v>
      </c>
      <c r="BD3421" s="82" t="s">
        <v>15979</v>
      </c>
      <c r="BE3421" s="77"/>
      <c r="BF3421" s="77"/>
      <c r="BG3421" s="77"/>
      <c r="BH3421" s="77"/>
      <c r="BI3421" s="77"/>
    </row>
    <row r="3422" spans="1:61" x14ac:dyDescent="0.25">
      <c r="A3422" s="62" t="s">
        <v>387</v>
      </c>
      <c r="B3422" s="62" t="s">
        <v>387</v>
      </c>
      <c r="C3422" s="63"/>
      <c r="D3422" s="64"/>
      <c r="E3422" s="65"/>
      <c r="F3422" s="66"/>
      <c r="G3422" s="63"/>
      <c r="H3422" s="67"/>
      <c r="I3422" s="68"/>
      <c r="J3422" s="68"/>
      <c r="K3422" s="32"/>
      <c r="L3422" s="75">
        <v>3422</v>
      </c>
      <c r="M3422" s="75"/>
      <c r="N3422" s="70"/>
      <c r="O3422" s="77" t="s">
        <v>179</v>
      </c>
      <c r="P3422" s="79">
        <v>45190.947916666664</v>
      </c>
      <c r="Q3422" s="77" t="s">
        <v>4092</v>
      </c>
      <c r="R3422" s="77">
        <v>0</v>
      </c>
      <c r="S3422" s="77">
        <v>0</v>
      </c>
      <c r="T3422" s="77">
        <v>0</v>
      </c>
      <c r="U3422" s="77">
        <v>0</v>
      </c>
      <c r="V3422" s="77">
        <v>582</v>
      </c>
      <c r="W3422" s="82" t="s">
        <v>6223</v>
      </c>
      <c r="X3422" s="80" t="str">
        <f>HYPERLINK("https://einvestidor.estadao.com.br/ultimas/irbr3-irbre-papeis-encerram-sessao-baixa-juntamente-ibovespa//?utm_source=twitter&amp;utm_medium=organic&amp;utm_campaign=&amp;utm_content=materia")</f>
        <v>https://einvestidor.estadao.com.br/ultimas/irbr3-irbre-papeis-encerram-sessao-baixa-juntamente-ibovespa//?utm_source=twitter&amp;utm_medium=organic&amp;utm_campaign=&amp;utm_content=materia</v>
      </c>
      <c r="Y3422" s="77" t="s">
        <v>6470</v>
      </c>
      <c r="Z3422" s="77"/>
      <c r="AA3422" s="77" t="s">
        <v>7646</v>
      </c>
      <c r="AB3422" s="77" t="s">
        <v>7742</v>
      </c>
      <c r="AC3422" s="82" t="s">
        <v>7750</v>
      </c>
      <c r="AD3422" s="77" t="s">
        <v>7788</v>
      </c>
      <c r="AE3422" s="80" t="str">
        <f>HYPERLINK("https://twitter.com/einvestidor/status/1704990136184733751")</f>
        <v>https://twitter.com/einvestidor/status/1704990136184733751</v>
      </c>
      <c r="AF3422" s="79">
        <v>45190.947916666664</v>
      </c>
      <c r="AG3422" s="85">
        <v>45190</v>
      </c>
      <c r="AH3422" s="82" t="s">
        <v>9595</v>
      </c>
      <c r="AI3422" s="77" t="b">
        <v>0</v>
      </c>
      <c r="AJ3422" s="77"/>
      <c r="AK3422" s="77"/>
      <c r="AL3422" s="77"/>
      <c r="AM3422" s="77"/>
      <c r="AN3422" s="77"/>
      <c r="AO3422" s="77"/>
      <c r="AP3422" s="77"/>
      <c r="AQ3422" s="77" t="s">
        <v>11618</v>
      </c>
      <c r="AR3422" s="77"/>
      <c r="AS3422" s="77"/>
      <c r="AT3422" s="77"/>
      <c r="AU3422" s="77"/>
      <c r="AV3422" s="80" t="str">
        <f>HYPERLINK("https://pbs.twimg.com/media/F6lLs9AW4AEiZkd.jpg")</f>
        <v>https://pbs.twimg.com/media/F6lLs9AW4AEiZkd.jpg</v>
      </c>
      <c r="AW3422" s="82" t="s">
        <v>15018</v>
      </c>
      <c r="AX3422" s="82" t="s">
        <v>15018</v>
      </c>
      <c r="AY3422" s="77"/>
      <c r="AZ3422" s="82" t="s">
        <v>15984</v>
      </c>
      <c r="BA3422" s="82" t="s">
        <v>15984</v>
      </c>
      <c r="BB3422" s="82" t="s">
        <v>15984</v>
      </c>
      <c r="BC3422" s="82" t="s">
        <v>15018</v>
      </c>
      <c r="BD3422" s="82" t="s">
        <v>15979</v>
      </c>
      <c r="BE3422" s="77"/>
      <c r="BF3422" s="77"/>
      <c r="BG3422" s="77"/>
      <c r="BH3422" s="77"/>
      <c r="BI3422" s="77"/>
    </row>
    <row r="3423" spans="1:61" x14ac:dyDescent="0.25">
      <c r="A3423" s="62" t="s">
        <v>387</v>
      </c>
      <c r="B3423" s="62" t="s">
        <v>387</v>
      </c>
      <c r="C3423" s="63"/>
      <c r="D3423" s="64"/>
      <c r="E3423" s="65"/>
      <c r="F3423" s="66"/>
      <c r="G3423" s="63"/>
      <c r="H3423" s="67"/>
      <c r="I3423" s="68"/>
      <c r="J3423" s="68"/>
      <c r="K3423" s="32"/>
      <c r="L3423" s="75">
        <v>3423</v>
      </c>
      <c r="M3423" s="75"/>
      <c r="N3423" s="70"/>
      <c r="O3423" s="77" t="s">
        <v>179</v>
      </c>
      <c r="P3423" s="79">
        <v>45190.9375</v>
      </c>
      <c r="Q3423" s="77" t="s">
        <v>4093</v>
      </c>
      <c r="R3423" s="77">
        <v>0</v>
      </c>
      <c r="S3423" s="77">
        <v>0</v>
      </c>
      <c r="T3423" s="77">
        <v>0</v>
      </c>
      <c r="U3423" s="77">
        <v>0</v>
      </c>
      <c r="V3423" s="77">
        <v>456</v>
      </c>
      <c r="W3423" s="82" t="s">
        <v>4833</v>
      </c>
      <c r="X3423" s="80" t="str">
        <f>HYPERLINK("https://einvestidor.estadao.com.br/ultimas/febraban-estima-crescimento-carteira-credito//?utm_source=twitter&amp;utm_medium=organic&amp;utm_campaign=&amp;utm_content=materia")</f>
        <v>https://einvestidor.estadao.com.br/ultimas/febraban-estima-crescimento-carteira-credito//?utm_source=twitter&amp;utm_medium=organic&amp;utm_campaign=&amp;utm_content=materia</v>
      </c>
      <c r="Y3423" s="77" t="s">
        <v>6470</v>
      </c>
      <c r="Z3423" s="77"/>
      <c r="AA3423" s="77"/>
      <c r="AB3423" s="77"/>
      <c r="AC3423" s="82" t="s">
        <v>7750</v>
      </c>
      <c r="AD3423" s="77" t="s">
        <v>7788</v>
      </c>
      <c r="AE3423" s="80" t="str">
        <f>HYPERLINK("https://twitter.com/einvestidor/status/1704986361663754646")</f>
        <v>https://twitter.com/einvestidor/status/1704986361663754646</v>
      </c>
      <c r="AF3423" s="79">
        <v>45190.9375</v>
      </c>
      <c r="AG3423" s="85">
        <v>45190</v>
      </c>
      <c r="AH3423" s="82" t="s">
        <v>7926</v>
      </c>
      <c r="AI3423" s="77" t="b">
        <v>0</v>
      </c>
      <c r="AJ3423" s="77"/>
      <c r="AK3423" s="77"/>
      <c r="AL3423" s="77"/>
      <c r="AM3423" s="77"/>
      <c r="AN3423" s="77"/>
      <c r="AO3423" s="77"/>
      <c r="AP3423" s="77"/>
      <c r="AQ3423" s="77"/>
      <c r="AR3423" s="77"/>
      <c r="AS3423" s="77"/>
      <c r="AT3423" s="77"/>
      <c r="AU3423" s="77"/>
      <c r="AV3423" s="80" t="str">
        <f>HYPERLINK("https://pbs.twimg.com/profile_images/1241147984924082183/gZgx_hL-_normal.jpg")</f>
        <v>https://pbs.twimg.com/profile_images/1241147984924082183/gZgx_hL-_normal.jpg</v>
      </c>
      <c r="AW3423" s="82" t="s">
        <v>15019</v>
      </c>
      <c r="AX3423" s="82" t="s">
        <v>15019</v>
      </c>
      <c r="AY3423" s="77"/>
      <c r="AZ3423" s="82" t="s">
        <v>15984</v>
      </c>
      <c r="BA3423" s="82" t="s">
        <v>15984</v>
      </c>
      <c r="BB3423" s="82" t="s">
        <v>15984</v>
      </c>
      <c r="BC3423" s="82" t="s">
        <v>15019</v>
      </c>
      <c r="BD3423" s="82" t="s">
        <v>15979</v>
      </c>
      <c r="BE3423" s="77"/>
      <c r="BF3423" s="77"/>
      <c r="BG3423" s="77"/>
      <c r="BH3423" s="77"/>
      <c r="BI3423" s="77"/>
    </row>
    <row r="3424" spans="1:61" x14ac:dyDescent="0.25">
      <c r="A3424" s="62" t="s">
        <v>387</v>
      </c>
      <c r="B3424" s="62" t="s">
        <v>387</v>
      </c>
      <c r="C3424" s="63"/>
      <c r="D3424" s="64"/>
      <c r="E3424" s="65"/>
      <c r="F3424" s="66"/>
      <c r="G3424" s="63"/>
      <c r="H3424" s="67"/>
      <c r="I3424" s="68"/>
      <c r="J3424" s="68"/>
      <c r="K3424" s="32"/>
      <c r="L3424" s="75">
        <v>3424</v>
      </c>
      <c r="M3424" s="75"/>
      <c r="N3424" s="70"/>
      <c r="O3424" s="77" t="s">
        <v>179</v>
      </c>
      <c r="P3424" s="79">
        <v>45190.927083333336</v>
      </c>
      <c r="Q3424" s="77" t="s">
        <v>4094</v>
      </c>
      <c r="R3424" s="77">
        <v>0</v>
      </c>
      <c r="S3424" s="77">
        <v>1</v>
      </c>
      <c r="T3424" s="77">
        <v>0</v>
      </c>
      <c r="U3424" s="77">
        <v>0</v>
      </c>
      <c r="V3424" s="77">
        <v>501</v>
      </c>
      <c r="W3424" s="82" t="s">
        <v>5908</v>
      </c>
      <c r="X3424" s="80" t="str">
        <f>HYPERLINK("https://einvestidor.estadao.com.br/ultimas/mglu3-magazine-luiza-confira-acoes-varejista-antes-fechamento//?utm_source=twitter&amp;utm_medium=organic&amp;utm_campaign=&amp;utm_content=materia")</f>
        <v>https://einvestidor.estadao.com.br/ultimas/mglu3-magazine-luiza-confira-acoes-varejista-antes-fechamento//?utm_source=twitter&amp;utm_medium=organic&amp;utm_campaign=&amp;utm_content=materia</v>
      </c>
      <c r="Y3424" s="77" t="s">
        <v>6470</v>
      </c>
      <c r="Z3424" s="77"/>
      <c r="AA3424" s="77"/>
      <c r="AB3424" s="77"/>
      <c r="AC3424" s="82" t="s">
        <v>7750</v>
      </c>
      <c r="AD3424" s="77" t="s">
        <v>7788</v>
      </c>
      <c r="AE3424" s="80" t="str">
        <f>HYPERLINK("https://twitter.com/einvestidor/status/1704982586509189169")</f>
        <v>https://twitter.com/einvestidor/status/1704982586509189169</v>
      </c>
      <c r="AF3424" s="79">
        <v>45190.927083333336</v>
      </c>
      <c r="AG3424" s="85">
        <v>45190</v>
      </c>
      <c r="AH3424" s="82" t="s">
        <v>9576</v>
      </c>
      <c r="AI3424" s="77" t="b">
        <v>0</v>
      </c>
      <c r="AJ3424" s="77"/>
      <c r="AK3424" s="77"/>
      <c r="AL3424" s="77"/>
      <c r="AM3424" s="77"/>
      <c r="AN3424" s="77"/>
      <c r="AO3424" s="77"/>
      <c r="AP3424" s="77"/>
      <c r="AQ3424" s="77"/>
      <c r="AR3424" s="77"/>
      <c r="AS3424" s="77"/>
      <c r="AT3424" s="77"/>
      <c r="AU3424" s="77"/>
      <c r="AV3424" s="80" t="str">
        <f>HYPERLINK("https://pbs.twimg.com/profile_images/1241147984924082183/gZgx_hL-_normal.jpg")</f>
        <v>https://pbs.twimg.com/profile_images/1241147984924082183/gZgx_hL-_normal.jpg</v>
      </c>
      <c r="AW3424" s="82" t="s">
        <v>15020</v>
      </c>
      <c r="AX3424" s="82" t="s">
        <v>15020</v>
      </c>
      <c r="AY3424" s="77"/>
      <c r="AZ3424" s="82" t="s">
        <v>15984</v>
      </c>
      <c r="BA3424" s="82" t="s">
        <v>15984</v>
      </c>
      <c r="BB3424" s="82" t="s">
        <v>15984</v>
      </c>
      <c r="BC3424" s="82" t="s">
        <v>15020</v>
      </c>
      <c r="BD3424" s="82" t="s">
        <v>15979</v>
      </c>
      <c r="BE3424" s="77"/>
      <c r="BF3424" s="77"/>
      <c r="BG3424" s="77"/>
      <c r="BH3424" s="77"/>
      <c r="BI3424" s="77"/>
    </row>
    <row r="3425" spans="1:61" x14ac:dyDescent="0.25">
      <c r="A3425" s="62" t="s">
        <v>387</v>
      </c>
      <c r="B3425" s="62" t="s">
        <v>387</v>
      </c>
      <c r="C3425" s="63"/>
      <c r="D3425" s="64"/>
      <c r="E3425" s="65"/>
      <c r="F3425" s="66"/>
      <c r="G3425" s="63"/>
      <c r="H3425" s="67"/>
      <c r="I3425" s="68"/>
      <c r="J3425" s="68"/>
      <c r="K3425" s="32"/>
      <c r="L3425" s="75">
        <v>3425</v>
      </c>
      <c r="M3425" s="75"/>
      <c r="N3425" s="70"/>
      <c r="O3425" s="77" t="s">
        <v>179</v>
      </c>
      <c r="P3425" s="79">
        <v>45190.916666666664</v>
      </c>
      <c r="Q3425" s="77" t="s">
        <v>4095</v>
      </c>
      <c r="R3425" s="77">
        <v>0</v>
      </c>
      <c r="S3425" s="77">
        <v>0</v>
      </c>
      <c r="T3425" s="77">
        <v>0</v>
      </c>
      <c r="U3425" s="77">
        <v>0</v>
      </c>
      <c r="V3425" s="77">
        <v>407</v>
      </c>
      <c r="W3425" s="82" t="s">
        <v>5947</v>
      </c>
      <c r="X3425" s="80" t="str">
        <f>HYPERLINK("https://einvestidor.estadao.com.br/ultimas/santander-sanb11-reduziu-juros-consignado-inss//?utm_source=twitter&amp;utm_medium=organic&amp;utm_campaign=&amp;utm_content=materia")</f>
        <v>https://einvestidor.estadao.com.br/ultimas/santander-sanb11-reduziu-juros-consignado-inss//?utm_source=twitter&amp;utm_medium=organic&amp;utm_campaign=&amp;utm_content=materia</v>
      </c>
      <c r="Y3425" s="77" t="s">
        <v>6470</v>
      </c>
      <c r="Z3425" s="77"/>
      <c r="AA3425" s="77" t="s">
        <v>7647</v>
      </c>
      <c r="AB3425" s="77" t="s">
        <v>7742</v>
      </c>
      <c r="AC3425" s="82" t="s">
        <v>7750</v>
      </c>
      <c r="AD3425" s="77" t="s">
        <v>7788</v>
      </c>
      <c r="AE3425" s="80" t="str">
        <f>HYPERLINK("https://twitter.com/einvestidor/status/1704978814265446448")</f>
        <v>https://twitter.com/einvestidor/status/1704978814265446448</v>
      </c>
      <c r="AF3425" s="79">
        <v>45190.916666666664</v>
      </c>
      <c r="AG3425" s="85">
        <v>45190</v>
      </c>
      <c r="AH3425" s="82" t="s">
        <v>9577</v>
      </c>
      <c r="AI3425" s="77" t="b">
        <v>0</v>
      </c>
      <c r="AJ3425" s="77"/>
      <c r="AK3425" s="77"/>
      <c r="AL3425" s="77"/>
      <c r="AM3425" s="77"/>
      <c r="AN3425" s="77"/>
      <c r="AO3425" s="77"/>
      <c r="AP3425" s="77"/>
      <c r="AQ3425" s="77" t="s">
        <v>11619</v>
      </c>
      <c r="AR3425" s="77"/>
      <c r="AS3425" s="77"/>
      <c r="AT3425" s="77"/>
      <c r="AU3425" s="77"/>
      <c r="AV3425" s="80" t="str">
        <f>HYPERLINK("https://pbs.twimg.com/media/F6k4pz0WMAAMWrD.jpg")</f>
        <v>https://pbs.twimg.com/media/F6k4pz0WMAAMWrD.jpg</v>
      </c>
      <c r="AW3425" s="82" t="s">
        <v>15021</v>
      </c>
      <c r="AX3425" s="82" t="s">
        <v>15021</v>
      </c>
      <c r="AY3425" s="77"/>
      <c r="AZ3425" s="82" t="s">
        <v>15984</v>
      </c>
      <c r="BA3425" s="82" t="s">
        <v>15984</v>
      </c>
      <c r="BB3425" s="82" t="s">
        <v>15984</v>
      </c>
      <c r="BC3425" s="82" t="s">
        <v>15021</v>
      </c>
      <c r="BD3425" s="82" t="s">
        <v>15979</v>
      </c>
      <c r="BE3425" s="77"/>
      <c r="BF3425" s="77"/>
      <c r="BG3425" s="77"/>
      <c r="BH3425" s="77"/>
      <c r="BI3425" s="77"/>
    </row>
    <row r="3426" spans="1:61" x14ac:dyDescent="0.25">
      <c r="A3426" s="62" t="s">
        <v>387</v>
      </c>
      <c r="B3426" s="62" t="s">
        <v>387</v>
      </c>
      <c r="C3426" s="63"/>
      <c r="D3426" s="64"/>
      <c r="E3426" s="65"/>
      <c r="F3426" s="66"/>
      <c r="G3426" s="63"/>
      <c r="H3426" s="67"/>
      <c r="I3426" s="68"/>
      <c r="J3426" s="68"/>
      <c r="K3426" s="32"/>
      <c r="L3426" s="75">
        <v>3426</v>
      </c>
      <c r="M3426" s="75"/>
      <c r="N3426" s="70"/>
      <c r="O3426" s="77" t="s">
        <v>179</v>
      </c>
      <c r="P3426" s="79">
        <v>45190.895833333336</v>
      </c>
      <c r="Q3426" s="77" t="s">
        <v>4096</v>
      </c>
      <c r="R3426" s="77">
        <v>1</v>
      </c>
      <c r="S3426" s="77">
        <v>0</v>
      </c>
      <c r="T3426" s="77">
        <v>0</v>
      </c>
      <c r="U3426" s="77">
        <v>0</v>
      </c>
      <c r="V3426" s="77">
        <v>430</v>
      </c>
      <c r="W3426" s="82" t="s">
        <v>4833</v>
      </c>
      <c r="X3426" s="80" t="str">
        <f>HYPERLINK("https://einvestidor.estadao.com.br/ultimas/brasileiros-mais-otimistas-financas-pessoais-pesquisa-serasa/?utm_source=twitter&amp;utm_medium=organic&amp;utm_campaign=&amp;utm_content=materia")</f>
        <v>https://einvestidor.estadao.com.br/ultimas/brasileiros-mais-otimistas-financas-pessoais-pesquisa-serasa/?utm_source=twitter&amp;utm_medium=organic&amp;utm_campaign=&amp;utm_content=materia</v>
      </c>
      <c r="Y3426" s="77" t="s">
        <v>6470</v>
      </c>
      <c r="Z3426" s="77"/>
      <c r="AA3426" s="77"/>
      <c r="AB3426" s="77"/>
      <c r="AC3426" s="82" t="s">
        <v>7750</v>
      </c>
      <c r="AD3426" s="77" t="s">
        <v>7788</v>
      </c>
      <c r="AE3426" s="80" t="str">
        <f>HYPERLINK("https://twitter.com/einvestidor/status/1704971262290788595")</f>
        <v>https://twitter.com/einvestidor/status/1704971262290788595</v>
      </c>
      <c r="AF3426" s="79">
        <v>45190.895833333336</v>
      </c>
      <c r="AG3426" s="85">
        <v>45190</v>
      </c>
      <c r="AH3426" s="82" t="s">
        <v>8089</v>
      </c>
      <c r="AI3426" s="77" t="b">
        <v>0</v>
      </c>
      <c r="AJ3426" s="77"/>
      <c r="AK3426" s="77"/>
      <c r="AL3426" s="77"/>
      <c r="AM3426" s="77"/>
      <c r="AN3426" s="77"/>
      <c r="AO3426" s="77"/>
      <c r="AP3426" s="77"/>
      <c r="AQ3426" s="77"/>
      <c r="AR3426" s="77"/>
      <c r="AS3426" s="77"/>
      <c r="AT3426" s="77"/>
      <c r="AU3426" s="77"/>
      <c r="AV3426" s="80" t="str">
        <f>HYPERLINK("https://pbs.twimg.com/profile_images/1241147984924082183/gZgx_hL-_normal.jpg")</f>
        <v>https://pbs.twimg.com/profile_images/1241147984924082183/gZgx_hL-_normal.jpg</v>
      </c>
      <c r="AW3426" s="82" t="s">
        <v>15022</v>
      </c>
      <c r="AX3426" s="82" t="s">
        <v>15022</v>
      </c>
      <c r="AY3426" s="77"/>
      <c r="AZ3426" s="82" t="s">
        <v>15984</v>
      </c>
      <c r="BA3426" s="82" t="s">
        <v>15984</v>
      </c>
      <c r="BB3426" s="82" t="s">
        <v>15984</v>
      </c>
      <c r="BC3426" s="82" t="s">
        <v>15022</v>
      </c>
      <c r="BD3426" s="82" t="s">
        <v>15979</v>
      </c>
      <c r="BE3426" s="77"/>
      <c r="BF3426" s="77"/>
      <c r="BG3426" s="77"/>
      <c r="BH3426" s="77"/>
      <c r="BI3426" s="77"/>
    </row>
    <row r="3427" spans="1:61" x14ac:dyDescent="0.25">
      <c r="A3427" s="62" t="s">
        <v>387</v>
      </c>
      <c r="B3427" s="62" t="s">
        <v>387</v>
      </c>
      <c r="C3427" s="63"/>
      <c r="D3427" s="64"/>
      <c r="E3427" s="65"/>
      <c r="F3427" s="66"/>
      <c r="G3427" s="63"/>
      <c r="H3427" s="67"/>
      <c r="I3427" s="68"/>
      <c r="J3427" s="68"/>
      <c r="K3427" s="32"/>
      <c r="L3427" s="75">
        <v>3427</v>
      </c>
      <c r="M3427" s="75"/>
      <c r="N3427" s="70"/>
      <c r="O3427" s="77" t="s">
        <v>179</v>
      </c>
      <c r="P3427" s="79">
        <v>45190.907650462963</v>
      </c>
      <c r="Q3427" s="77" t="s">
        <v>4097</v>
      </c>
      <c r="R3427" s="77">
        <v>0</v>
      </c>
      <c r="S3427" s="77">
        <v>3</v>
      </c>
      <c r="T3427" s="77">
        <v>0</v>
      </c>
      <c r="U3427" s="77">
        <v>0</v>
      </c>
      <c r="V3427" s="77">
        <v>490</v>
      </c>
      <c r="W3427" s="82" t="s">
        <v>4833</v>
      </c>
      <c r="X3427" s="80" t="str">
        <f>HYPERLINK("https://einvestidor.estadao.com.br/mercado/fechamento-de-mercado-21-09-2023/?utm_source=twitter&amp;utm_medium=organic&amp;utm_campaign=&amp;utm_content=materia")</f>
        <v>https://einvestidor.estadao.com.br/mercado/fechamento-de-mercado-21-09-2023/?utm_source=twitter&amp;utm_medium=organic&amp;utm_campaign=&amp;utm_content=materia</v>
      </c>
      <c r="Y3427" s="77" t="s">
        <v>6470</v>
      </c>
      <c r="Z3427" s="77"/>
      <c r="AA3427" s="77"/>
      <c r="AB3427" s="77"/>
      <c r="AC3427" s="82" t="s">
        <v>7750</v>
      </c>
      <c r="AD3427" s="77" t="s">
        <v>7788</v>
      </c>
      <c r="AE3427" s="80" t="str">
        <f>HYPERLINK("https://twitter.com/einvestidor/status/1704975545459490834")</f>
        <v>https://twitter.com/einvestidor/status/1704975545459490834</v>
      </c>
      <c r="AF3427" s="79">
        <v>45190.907650462963</v>
      </c>
      <c r="AG3427" s="85">
        <v>45190</v>
      </c>
      <c r="AH3427" s="82" t="s">
        <v>10045</v>
      </c>
      <c r="AI3427" s="77" t="b">
        <v>0</v>
      </c>
      <c r="AJ3427" s="77"/>
      <c r="AK3427" s="77"/>
      <c r="AL3427" s="77"/>
      <c r="AM3427" s="77"/>
      <c r="AN3427" s="77"/>
      <c r="AO3427" s="77"/>
      <c r="AP3427" s="77"/>
      <c r="AQ3427" s="77"/>
      <c r="AR3427" s="77"/>
      <c r="AS3427" s="77"/>
      <c r="AT3427" s="77"/>
      <c r="AU3427" s="77"/>
      <c r="AV3427" s="80" t="str">
        <f>HYPERLINK("https://pbs.twimg.com/profile_images/1241147984924082183/gZgx_hL-_normal.jpg")</f>
        <v>https://pbs.twimg.com/profile_images/1241147984924082183/gZgx_hL-_normal.jpg</v>
      </c>
      <c r="AW3427" s="82" t="s">
        <v>15023</v>
      </c>
      <c r="AX3427" s="82" t="s">
        <v>15023</v>
      </c>
      <c r="AY3427" s="77"/>
      <c r="AZ3427" s="82" t="s">
        <v>15984</v>
      </c>
      <c r="BA3427" s="82" t="s">
        <v>15984</v>
      </c>
      <c r="BB3427" s="82" t="s">
        <v>15984</v>
      </c>
      <c r="BC3427" s="82" t="s">
        <v>15023</v>
      </c>
      <c r="BD3427" s="82" t="s">
        <v>15979</v>
      </c>
      <c r="BE3427" s="77"/>
      <c r="BF3427" s="77"/>
      <c r="BG3427" s="77"/>
      <c r="BH3427" s="77"/>
      <c r="BI3427" s="77"/>
    </row>
    <row r="3428" spans="1:61" x14ac:dyDescent="0.25">
      <c r="A3428" s="62" t="s">
        <v>387</v>
      </c>
      <c r="B3428" s="62" t="s">
        <v>387</v>
      </c>
      <c r="C3428" s="63"/>
      <c r="D3428" s="64"/>
      <c r="E3428" s="65"/>
      <c r="F3428" s="66"/>
      <c r="G3428" s="63"/>
      <c r="H3428" s="67"/>
      <c r="I3428" s="68"/>
      <c r="J3428" s="68"/>
      <c r="K3428" s="32"/>
      <c r="L3428" s="75">
        <v>3428</v>
      </c>
      <c r="M3428" s="75"/>
      <c r="N3428" s="70"/>
      <c r="O3428" s="77" t="s">
        <v>179</v>
      </c>
      <c r="P3428" s="79">
        <v>45190.907164351855</v>
      </c>
      <c r="Q3428" s="77" t="s">
        <v>4098</v>
      </c>
      <c r="R3428" s="77">
        <v>0</v>
      </c>
      <c r="S3428" s="77">
        <v>2</v>
      </c>
      <c r="T3428" s="77">
        <v>0</v>
      </c>
      <c r="U3428" s="77">
        <v>0</v>
      </c>
      <c r="V3428" s="77">
        <v>496</v>
      </c>
      <c r="W3428" s="82" t="s">
        <v>6304</v>
      </c>
      <c r="X3428" s="80" t="str">
        <f>HYPERLINK("https://einvestidor.estadao.com.br/mercado/ibovespa-hoje-acoes-baixa-magazine-luiza-mglu3-grupo-soma-soma3-arezzo-arzz3/?utm_source=twitter&amp;utm_medium=organic&amp;utm_campaign=&amp;utm_content=materia")</f>
        <v>https://einvestidor.estadao.com.br/mercado/ibovespa-hoje-acoes-baixa-magazine-luiza-mglu3-grupo-soma-soma3-arezzo-arzz3/?utm_source=twitter&amp;utm_medium=organic&amp;utm_campaign=&amp;utm_content=materia</v>
      </c>
      <c r="Y3428" s="77" t="s">
        <v>6470</v>
      </c>
      <c r="Z3428" s="77"/>
      <c r="AA3428" s="77"/>
      <c r="AB3428" s="77"/>
      <c r="AC3428" s="82" t="s">
        <v>7750</v>
      </c>
      <c r="AD3428" s="77" t="s">
        <v>7788</v>
      </c>
      <c r="AE3428" s="80" t="str">
        <f>HYPERLINK("https://twitter.com/einvestidor/status/1704975367570702701")</f>
        <v>https://twitter.com/einvestidor/status/1704975367570702701</v>
      </c>
      <c r="AF3428" s="79">
        <v>45190.907164351855</v>
      </c>
      <c r="AG3428" s="85">
        <v>45190</v>
      </c>
      <c r="AH3428" s="82" t="s">
        <v>10046</v>
      </c>
      <c r="AI3428" s="77" t="b">
        <v>0</v>
      </c>
      <c r="AJ3428" s="77"/>
      <c r="AK3428" s="77"/>
      <c r="AL3428" s="77"/>
      <c r="AM3428" s="77"/>
      <c r="AN3428" s="77"/>
      <c r="AO3428" s="77"/>
      <c r="AP3428" s="77"/>
      <c r="AQ3428" s="77"/>
      <c r="AR3428" s="77"/>
      <c r="AS3428" s="77"/>
      <c r="AT3428" s="77"/>
      <c r="AU3428" s="77"/>
      <c r="AV3428" s="80" t="str">
        <f>HYPERLINK("https://pbs.twimg.com/profile_images/1241147984924082183/gZgx_hL-_normal.jpg")</f>
        <v>https://pbs.twimg.com/profile_images/1241147984924082183/gZgx_hL-_normal.jpg</v>
      </c>
      <c r="AW3428" s="82" t="s">
        <v>15024</v>
      </c>
      <c r="AX3428" s="82" t="s">
        <v>15024</v>
      </c>
      <c r="AY3428" s="77"/>
      <c r="AZ3428" s="82" t="s">
        <v>15984</v>
      </c>
      <c r="BA3428" s="82" t="s">
        <v>15984</v>
      </c>
      <c r="BB3428" s="82" t="s">
        <v>15984</v>
      </c>
      <c r="BC3428" s="82" t="s">
        <v>15024</v>
      </c>
      <c r="BD3428" s="82" t="s">
        <v>15979</v>
      </c>
      <c r="BE3428" s="77"/>
      <c r="BF3428" s="77"/>
      <c r="BG3428" s="77"/>
      <c r="BH3428" s="77"/>
      <c r="BI3428" s="77"/>
    </row>
    <row r="3429" spans="1:61" x14ac:dyDescent="0.25">
      <c r="A3429" s="62" t="s">
        <v>387</v>
      </c>
      <c r="B3429" s="62" t="s">
        <v>387</v>
      </c>
      <c r="C3429" s="63"/>
      <c r="D3429" s="64"/>
      <c r="E3429" s="65"/>
      <c r="F3429" s="66"/>
      <c r="G3429" s="63"/>
      <c r="H3429" s="67"/>
      <c r="I3429" s="68"/>
      <c r="J3429" s="68"/>
      <c r="K3429" s="32"/>
      <c r="L3429" s="75">
        <v>3429</v>
      </c>
      <c r="M3429" s="75"/>
      <c r="N3429" s="70"/>
      <c r="O3429" s="77" t="s">
        <v>179</v>
      </c>
      <c r="P3429" s="79">
        <v>45190.906435185185</v>
      </c>
      <c r="Q3429" s="77" t="s">
        <v>4099</v>
      </c>
      <c r="R3429" s="77">
        <v>0</v>
      </c>
      <c r="S3429" s="77">
        <v>3</v>
      </c>
      <c r="T3429" s="77">
        <v>0</v>
      </c>
      <c r="U3429" s="77">
        <v>0</v>
      </c>
      <c r="V3429" s="77">
        <v>483</v>
      </c>
      <c r="W3429" s="82" t="s">
        <v>6305</v>
      </c>
      <c r="X3429" s="80" t="str">
        <f>HYPERLINK("https://einvestidor.estadao.com.br/mercado/ibovespa-hoje-acoes-alta-suzano-suzb3-sabesp-sbsp3-natura-ntco3/?utm_source=twitter&amp;utm_medium=organic&amp;utm_campaign=&amp;utm_content=materia")</f>
        <v>https://einvestidor.estadao.com.br/mercado/ibovespa-hoje-acoes-alta-suzano-suzb3-sabesp-sbsp3-natura-ntco3/?utm_source=twitter&amp;utm_medium=organic&amp;utm_campaign=&amp;utm_content=materia</v>
      </c>
      <c r="Y3429" s="77" t="s">
        <v>6470</v>
      </c>
      <c r="Z3429" s="77"/>
      <c r="AA3429" s="77"/>
      <c r="AB3429" s="77"/>
      <c r="AC3429" s="82" t="s">
        <v>7750</v>
      </c>
      <c r="AD3429" s="77" t="s">
        <v>7788</v>
      </c>
      <c r="AE3429" s="80" t="str">
        <f>HYPERLINK("https://twitter.com/einvestidor/status/1704975105405731058")</f>
        <v>https://twitter.com/einvestidor/status/1704975105405731058</v>
      </c>
      <c r="AF3429" s="79">
        <v>45190.906435185185</v>
      </c>
      <c r="AG3429" s="85">
        <v>45190</v>
      </c>
      <c r="AH3429" s="82" t="s">
        <v>10047</v>
      </c>
      <c r="AI3429" s="77" t="b">
        <v>0</v>
      </c>
      <c r="AJ3429" s="77"/>
      <c r="AK3429" s="77"/>
      <c r="AL3429" s="77"/>
      <c r="AM3429" s="77"/>
      <c r="AN3429" s="77"/>
      <c r="AO3429" s="77"/>
      <c r="AP3429" s="77"/>
      <c r="AQ3429" s="77"/>
      <c r="AR3429" s="77"/>
      <c r="AS3429" s="77"/>
      <c r="AT3429" s="77"/>
      <c r="AU3429" s="77"/>
      <c r="AV3429" s="80" t="str">
        <f>HYPERLINK("https://pbs.twimg.com/profile_images/1241147984924082183/gZgx_hL-_normal.jpg")</f>
        <v>https://pbs.twimg.com/profile_images/1241147984924082183/gZgx_hL-_normal.jpg</v>
      </c>
      <c r="AW3429" s="82" t="s">
        <v>15025</v>
      </c>
      <c r="AX3429" s="82" t="s">
        <v>15025</v>
      </c>
      <c r="AY3429" s="77"/>
      <c r="AZ3429" s="82" t="s">
        <v>15984</v>
      </c>
      <c r="BA3429" s="82" t="s">
        <v>15984</v>
      </c>
      <c r="BB3429" s="82" t="s">
        <v>15984</v>
      </c>
      <c r="BC3429" s="82" t="s">
        <v>15025</v>
      </c>
      <c r="BD3429" s="82" t="s">
        <v>15979</v>
      </c>
      <c r="BE3429" s="77"/>
      <c r="BF3429" s="77"/>
      <c r="BG3429" s="77"/>
      <c r="BH3429" s="77"/>
      <c r="BI3429" s="77"/>
    </row>
    <row r="3430" spans="1:61" x14ac:dyDescent="0.25">
      <c r="A3430" s="62" t="s">
        <v>387</v>
      </c>
      <c r="B3430" s="62" t="s">
        <v>387</v>
      </c>
      <c r="C3430" s="63"/>
      <c r="D3430" s="64"/>
      <c r="E3430" s="65"/>
      <c r="F3430" s="66"/>
      <c r="G3430" s="63"/>
      <c r="H3430" s="67"/>
      <c r="I3430" s="68"/>
      <c r="J3430" s="68"/>
      <c r="K3430" s="32"/>
      <c r="L3430" s="75">
        <v>3430</v>
      </c>
      <c r="M3430" s="75"/>
      <c r="N3430" s="70"/>
      <c r="O3430" s="77" t="s">
        <v>179</v>
      </c>
      <c r="P3430" s="79">
        <v>45190.90625</v>
      </c>
      <c r="Q3430" s="77" t="s">
        <v>4100</v>
      </c>
      <c r="R3430" s="77">
        <v>0</v>
      </c>
      <c r="S3430" s="77">
        <v>3</v>
      </c>
      <c r="T3430" s="77">
        <v>0</v>
      </c>
      <c r="U3430" s="77">
        <v>0</v>
      </c>
      <c r="V3430" s="77">
        <v>492</v>
      </c>
      <c r="W3430" s="82" t="s">
        <v>5907</v>
      </c>
      <c r="X3430" s="80" t="str">
        <f>HYPERLINK("https://einvestidor.estadao.com.br/ultimas/petr4-petrobras-acoes-mantem-queda-sessao-adrs-seguem-movimento/?utm_source=twitter&amp;utm_medium=organic&amp;utm_campaign=&amp;utm_content=materia")</f>
        <v>https://einvestidor.estadao.com.br/ultimas/petr4-petrobras-acoes-mantem-queda-sessao-adrs-seguem-movimento/?utm_source=twitter&amp;utm_medium=organic&amp;utm_campaign=&amp;utm_content=materia</v>
      </c>
      <c r="Y3430" s="77" t="s">
        <v>6470</v>
      </c>
      <c r="Z3430" s="77"/>
      <c r="AA3430" s="77" t="s">
        <v>7648</v>
      </c>
      <c r="AB3430" s="77" t="s">
        <v>7742</v>
      </c>
      <c r="AC3430" s="82" t="s">
        <v>7750</v>
      </c>
      <c r="AD3430" s="77" t="s">
        <v>7788</v>
      </c>
      <c r="AE3430" s="80" t="str">
        <f>HYPERLINK("https://twitter.com/einvestidor/status/1704975036509991207")</f>
        <v>https://twitter.com/einvestidor/status/1704975036509991207</v>
      </c>
      <c r="AF3430" s="79">
        <v>45190.90625</v>
      </c>
      <c r="AG3430" s="85">
        <v>45190</v>
      </c>
      <c r="AH3430" s="82" t="s">
        <v>9578</v>
      </c>
      <c r="AI3430" s="77" t="b">
        <v>0</v>
      </c>
      <c r="AJ3430" s="77"/>
      <c r="AK3430" s="77"/>
      <c r="AL3430" s="77"/>
      <c r="AM3430" s="77"/>
      <c r="AN3430" s="77"/>
      <c r="AO3430" s="77"/>
      <c r="AP3430" s="77"/>
      <c r="AQ3430" s="77" t="s">
        <v>11620</v>
      </c>
      <c r="AR3430" s="77"/>
      <c r="AS3430" s="77"/>
      <c r="AT3430" s="77"/>
      <c r="AU3430" s="77"/>
      <c r="AV3430" s="80" t="str">
        <f>HYPERLINK("https://pbs.twimg.com/media/F6kyQ8_W4AEoFtp.jpg")</f>
        <v>https://pbs.twimg.com/media/F6kyQ8_W4AEoFtp.jpg</v>
      </c>
      <c r="AW3430" s="82" t="s">
        <v>15026</v>
      </c>
      <c r="AX3430" s="82" t="s">
        <v>15026</v>
      </c>
      <c r="AY3430" s="77"/>
      <c r="AZ3430" s="82" t="s">
        <v>15984</v>
      </c>
      <c r="BA3430" s="82" t="s">
        <v>15984</v>
      </c>
      <c r="BB3430" s="82" t="s">
        <v>15984</v>
      </c>
      <c r="BC3430" s="82" t="s">
        <v>15026</v>
      </c>
      <c r="BD3430" s="82" t="s">
        <v>15979</v>
      </c>
      <c r="BE3430" s="77"/>
      <c r="BF3430" s="77"/>
      <c r="BG3430" s="77"/>
      <c r="BH3430" s="77"/>
      <c r="BI3430" s="77"/>
    </row>
    <row r="3431" spans="1:61" x14ac:dyDescent="0.25">
      <c r="A3431" s="62" t="s">
        <v>387</v>
      </c>
      <c r="B3431" s="62" t="s">
        <v>387</v>
      </c>
      <c r="C3431" s="63"/>
      <c r="D3431" s="64"/>
      <c r="E3431" s="65"/>
      <c r="F3431" s="66"/>
      <c r="G3431" s="63"/>
      <c r="H3431" s="67"/>
      <c r="I3431" s="68"/>
      <c r="J3431" s="68"/>
      <c r="K3431" s="32"/>
      <c r="L3431" s="75">
        <v>3431</v>
      </c>
      <c r="M3431" s="75"/>
      <c r="N3431" s="70"/>
      <c r="O3431" s="77" t="s">
        <v>179</v>
      </c>
      <c r="P3431" s="79">
        <v>45190.875011574077</v>
      </c>
      <c r="Q3431" s="77" t="s">
        <v>4101</v>
      </c>
      <c r="R3431" s="77">
        <v>0</v>
      </c>
      <c r="S3431" s="77">
        <v>1</v>
      </c>
      <c r="T3431" s="77">
        <v>0</v>
      </c>
      <c r="U3431" s="77">
        <v>0</v>
      </c>
      <c r="V3431" s="77">
        <v>400</v>
      </c>
      <c r="W3431" s="82" t="s">
        <v>6064</v>
      </c>
      <c r="X3431" s="80" t="str">
        <f>HYPERLINK("https://einvestidor.estadao.com.br/ultimas/petr4-petrobras-acoes-permanecem-queda-ante-decisao-copom/?utm_source=twitter&amp;utm_medium=organic&amp;utm_campaign=&amp;utm_content=materia")</f>
        <v>https://einvestidor.estadao.com.br/ultimas/petr4-petrobras-acoes-permanecem-queda-ante-decisao-copom/?utm_source=twitter&amp;utm_medium=organic&amp;utm_campaign=&amp;utm_content=materia</v>
      </c>
      <c r="Y3431" s="77" t="s">
        <v>6470</v>
      </c>
      <c r="Z3431" s="77"/>
      <c r="AA3431" s="77" t="s">
        <v>7649</v>
      </c>
      <c r="AB3431" s="77" t="s">
        <v>7742</v>
      </c>
      <c r="AC3431" s="82" t="s">
        <v>7750</v>
      </c>
      <c r="AD3431" s="77" t="s">
        <v>7788</v>
      </c>
      <c r="AE3431" s="80" t="str">
        <f>HYPERLINK("https://twitter.com/einvestidor/status/1704963717593735529")</f>
        <v>https://twitter.com/einvestidor/status/1704963717593735529</v>
      </c>
      <c r="AF3431" s="79">
        <v>45190.875011574077</v>
      </c>
      <c r="AG3431" s="85">
        <v>45190</v>
      </c>
      <c r="AH3431" s="82" t="s">
        <v>7871</v>
      </c>
      <c r="AI3431" s="77" t="b">
        <v>0</v>
      </c>
      <c r="AJ3431" s="77"/>
      <c r="AK3431" s="77"/>
      <c r="AL3431" s="77"/>
      <c r="AM3431" s="77"/>
      <c r="AN3431" s="77"/>
      <c r="AO3431" s="77"/>
      <c r="AP3431" s="77"/>
      <c r="AQ3431" s="77" t="s">
        <v>11621</v>
      </c>
      <c r="AR3431" s="77"/>
      <c r="AS3431" s="77"/>
      <c r="AT3431" s="77"/>
      <c r="AU3431" s="77"/>
      <c r="AV3431" s="80" t="str">
        <f>HYPERLINK("https://pbs.twimg.com/media/F6kxNs3XwAApADZ.jpg")</f>
        <v>https://pbs.twimg.com/media/F6kxNs3XwAApADZ.jpg</v>
      </c>
      <c r="AW3431" s="82" t="s">
        <v>15027</v>
      </c>
      <c r="AX3431" s="82" t="s">
        <v>15027</v>
      </c>
      <c r="AY3431" s="77"/>
      <c r="AZ3431" s="82" t="s">
        <v>15984</v>
      </c>
      <c r="BA3431" s="82" t="s">
        <v>15984</v>
      </c>
      <c r="BB3431" s="82" t="s">
        <v>15984</v>
      </c>
      <c r="BC3431" s="82" t="s">
        <v>15027</v>
      </c>
      <c r="BD3431" s="82" t="s">
        <v>15979</v>
      </c>
      <c r="BE3431" s="77"/>
      <c r="BF3431" s="77"/>
      <c r="BG3431" s="77"/>
      <c r="BH3431" s="77"/>
      <c r="BI3431" s="77"/>
    </row>
    <row r="3432" spans="1:61" x14ac:dyDescent="0.25">
      <c r="A3432" s="62" t="s">
        <v>387</v>
      </c>
      <c r="B3432" s="62" t="s">
        <v>387</v>
      </c>
      <c r="C3432" s="63"/>
      <c r="D3432" s="64"/>
      <c r="E3432" s="65"/>
      <c r="F3432" s="66"/>
      <c r="G3432" s="63"/>
      <c r="H3432" s="67"/>
      <c r="I3432" s="68"/>
      <c r="J3432" s="68"/>
      <c r="K3432" s="32"/>
      <c r="L3432" s="75">
        <v>3432</v>
      </c>
      <c r="M3432" s="75"/>
      <c r="N3432" s="70"/>
      <c r="O3432" s="77" t="s">
        <v>179</v>
      </c>
      <c r="P3432" s="79">
        <v>45190.864583333336</v>
      </c>
      <c r="Q3432" s="77" t="s">
        <v>4102</v>
      </c>
      <c r="R3432" s="77">
        <v>0</v>
      </c>
      <c r="S3432" s="77">
        <v>1</v>
      </c>
      <c r="T3432" s="77">
        <v>0</v>
      </c>
      <c r="U3432" s="77">
        <v>0</v>
      </c>
      <c r="V3432" s="77">
        <v>376</v>
      </c>
      <c r="W3432" s="82" t="s">
        <v>6306</v>
      </c>
      <c r="X3432" s="80" t="str">
        <f>HYPERLINK("https://einvestidor.estadao.com.br/radar-einvestidor/goldman-sachs-gsgi34-capta-bilhoes-investimentos-acoes-caem/?utm_source=twitter&amp;utm_medium=organic&amp;utm_campaign=&amp;utm_content=materia")</f>
        <v>https://einvestidor.estadao.com.br/radar-einvestidor/goldman-sachs-gsgi34-capta-bilhoes-investimentos-acoes-caem/?utm_source=twitter&amp;utm_medium=organic&amp;utm_campaign=&amp;utm_content=materia</v>
      </c>
      <c r="Y3432" s="77" t="s">
        <v>6470</v>
      </c>
      <c r="Z3432" s="77"/>
      <c r="AA3432" s="77" t="s">
        <v>7650</v>
      </c>
      <c r="AB3432" s="77" t="s">
        <v>7742</v>
      </c>
      <c r="AC3432" s="82" t="s">
        <v>7750</v>
      </c>
      <c r="AD3432" s="77" t="s">
        <v>7788</v>
      </c>
      <c r="AE3432" s="80" t="str">
        <f>HYPERLINK("https://twitter.com/einvestidor/status/1704959937162756595")</f>
        <v>https://twitter.com/einvestidor/status/1704959937162756595</v>
      </c>
      <c r="AF3432" s="79">
        <v>45190.864583333336</v>
      </c>
      <c r="AG3432" s="85">
        <v>45190</v>
      </c>
      <c r="AH3432" s="82" t="s">
        <v>9596</v>
      </c>
      <c r="AI3432" s="77" t="b">
        <v>0</v>
      </c>
      <c r="AJ3432" s="77"/>
      <c r="AK3432" s="77"/>
      <c r="AL3432" s="77"/>
      <c r="AM3432" s="77"/>
      <c r="AN3432" s="77"/>
      <c r="AO3432" s="77"/>
      <c r="AP3432" s="77"/>
      <c r="AQ3432" s="77" t="s">
        <v>11622</v>
      </c>
      <c r="AR3432" s="77"/>
      <c r="AS3432" s="77"/>
      <c r="AT3432" s="77"/>
      <c r="AU3432" s="77"/>
      <c r="AV3432" s="80" t="str">
        <f>HYPERLINK("https://pbs.twimg.com/media/F6ko6M8XgAAXfEx.jpg")</f>
        <v>https://pbs.twimg.com/media/F6ko6M8XgAAXfEx.jpg</v>
      </c>
      <c r="AW3432" s="82" t="s">
        <v>15028</v>
      </c>
      <c r="AX3432" s="82" t="s">
        <v>15028</v>
      </c>
      <c r="AY3432" s="77"/>
      <c r="AZ3432" s="82" t="s">
        <v>15984</v>
      </c>
      <c r="BA3432" s="82" t="s">
        <v>15984</v>
      </c>
      <c r="BB3432" s="82" t="s">
        <v>15984</v>
      </c>
      <c r="BC3432" s="82" t="s">
        <v>15028</v>
      </c>
      <c r="BD3432" s="82" t="s">
        <v>15979</v>
      </c>
      <c r="BE3432" s="77"/>
      <c r="BF3432" s="77"/>
      <c r="BG3432" s="77"/>
      <c r="BH3432" s="77"/>
      <c r="BI3432" s="77"/>
    </row>
    <row r="3433" spans="1:61" x14ac:dyDescent="0.25">
      <c r="A3433" s="62" t="s">
        <v>387</v>
      </c>
      <c r="B3433" s="62" t="s">
        <v>387</v>
      </c>
      <c r="C3433" s="63"/>
      <c r="D3433" s="64"/>
      <c r="E3433" s="65"/>
      <c r="F3433" s="66"/>
      <c r="G3433" s="63"/>
      <c r="H3433" s="67"/>
      <c r="I3433" s="68"/>
      <c r="J3433" s="68"/>
      <c r="K3433" s="32"/>
      <c r="L3433" s="75">
        <v>3433</v>
      </c>
      <c r="M3433" s="75"/>
      <c r="N3433" s="70"/>
      <c r="O3433" s="77" t="s">
        <v>179</v>
      </c>
      <c r="P3433" s="79">
        <v>45190.854166666664</v>
      </c>
      <c r="Q3433" s="77" t="s">
        <v>4103</v>
      </c>
      <c r="R3433" s="77">
        <v>0</v>
      </c>
      <c r="S3433" s="77">
        <v>1</v>
      </c>
      <c r="T3433" s="77">
        <v>0</v>
      </c>
      <c r="U3433" s="77">
        <v>0</v>
      </c>
      <c r="V3433" s="77">
        <v>453</v>
      </c>
      <c r="W3433" s="82" t="s">
        <v>6307</v>
      </c>
      <c r="X3433" s="80" t="str">
        <f>HYPERLINK("https://einvestidor.estadao.com.br/ultimas/csna3-csn-acoes-caem-junto-setor-ibovespa/?utm_source=twitter&amp;utm_medium=organic&amp;utm_campaign=&amp;utm_content=materia")</f>
        <v>https://einvestidor.estadao.com.br/ultimas/csna3-csn-acoes-caem-junto-setor-ibovespa/?utm_source=twitter&amp;utm_medium=organic&amp;utm_campaign=&amp;utm_content=materia</v>
      </c>
      <c r="Y3433" s="77" t="s">
        <v>6470</v>
      </c>
      <c r="Z3433" s="77"/>
      <c r="AA3433" s="77" t="s">
        <v>7651</v>
      </c>
      <c r="AB3433" s="77" t="s">
        <v>7742</v>
      </c>
      <c r="AC3433" s="82" t="s">
        <v>7750</v>
      </c>
      <c r="AD3433" s="77" t="s">
        <v>7788</v>
      </c>
      <c r="AE3433" s="80" t="str">
        <f>HYPERLINK("https://twitter.com/einvestidor/status/1704956163488702504")</f>
        <v>https://twitter.com/einvestidor/status/1704956163488702504</v>
      </c>
      <c r="AF3433" s="79">
        <v>45190.854166666664</v>
      </c>
      <c r="AG3433" s="85">
        <v>45190</v>
      </c>
      <c r="AH3433" s="82" t="s">
        <v>8090</v>
      </c>
      <c r="AI3433" s="77" t="b">
        <v>0</v>
      </c>
      <c r="AJ3433" s="77"/>
      <c r="AK3433" s="77"/>
      <c r="AL3433" s="77"/>
      <c r="AM3433" s="77"/>
      <c r="AN3433" s="77"/>
      <c r="AO3433" s="77"/>
      <c r="AP3433" s="77"/>
      <c r="AQ3433" s="77" t="s">
        <v>11623</v>
      </c>
      <c r="AR3433" s="77"/>
      <c r="AS3433" s="77"/>
      <c r="AT3433" s="77"/>
      <c r="AU3433" s="77"/>
      <c r="AV3433" s="80" t="str">
        <f>HYPERLINK("https://pbs.twimg.com/media/F6kljjpXsAE2qSw.jpg")</f>
        <v>https://pbs.twimg.com/media/F6kljjpXsAE2qSw.jpg</v>
      </c>
      <c r="AW3433" s="82" t="s">
        <v>15029</v>
      </c>
      <c r="AX3433" s="82" t="s">
        <v>15029</v>
      </c>
      <c r="AY3433" s="77"/>
      <c r="AZ3433" s="82" t="s">
        <v>15984</v>
      </c>
      <c r="BA3433" s="82" t="s">
        <v>15984</v>
      </c>
      <c r="BB3433" s="82" t="s">
        <v>15984</v>
      </c>
      <c r="BC3433" s="82" t="s">
        <v>15029</v>
      </c>
      <c r="BD3433" s="82" t="s">
        <v>15979</v>
      </c>
      <c r="BE3433" s="77"/>
      <c r="BF3433" s="77"/>
      <c r="BG3433" s="77"/>
      <c r="BH3433" s="77"/>
      <c r="BI3433" s="77"/>
    </row>
    <row r="3434" spans="1:61" x14ac:dyDescent="0.25">
      <c r="A3434" s="62" t="s">
        <v>387</v>
      </c>
      <c r="B3434" s="62" t="s">
        <v>387</v>
      </c>
      <c r="C3434" s="63"/>
      <c r="D3434" s="64"/>
      <c r="E3434" s="65"/>
      <c r="F3434" s="66"/>
      <c r="G3434" s="63"/>
      <c r="H3434" s="67"/>
      <c r="I3434" s="68"/>
      <c r="J3434" s="68"/>
      <c r="K3434" s="32"/>
      <c r="L3434" s="75">
        <v>3434</v>
      </c>
      <c r="M3434" s="75"/>
      <c r="N3434" s="70"/>
      <c r="O3434" s="77" t="s">
        <v>179</v>
      </c>
      <c r="P3434" s="79">
        <v>45190.84375</v>
      </c>
      <c r="Q3434" s="77" t="s">
        <v>4104</v>
      </c>
      <c r="R3434" s="77">
        <v>0</v>
      </c>
      <c r="S3434" s="77">
        <v>1</v>
      </c>
      <c r="T3434" s="77">
        <v>0</v>
      </c>
      <c r="U3434" s="77">
        <v>0</v>
      </c>
      <c r="V3434" s="77">
        <v>488</v>
      </c>
      <c r="W3434" s="82" t="s">
        <v>6223</v>
      </c>
      <c r="X3434" s="80" t="str">
        <f>HYPERLINK("https://einvestidor.estadao.com.br/ultimas/irbr3-irbre-acoes-acompanham-baixa-ibovespa/?utm_source=twitter&amp;utm_medium=organic&amp;utm_campaign=&amp;utm_content=materia")</f>
        <v>https://einvestidor.estadao.com.br/ultimas/irbr3-irbre-acoes-acompanham-baixa-ibovespa/?utm_source=twitter&amp;utm_medium=organic&amp;utm_campaign=&amp;utm_content=materia</v>
      </c>
      <c r="Y3434" s="77" t="s">
        <v>6470</v>
      </c>
      <c r="Z3434" s="77"/>
      <c r="AA3434" s="77" t="s">
        <v>7652</v>
      </c>
      <c r="AB3434" s="77" t="s">
        <v>7742</v>
      </c>
      <c r="AC3434" s="82" t="s">
        <v>7750</v>
      </c>
      <c r="AD3434" s="77" t="s">
        <v>7788</v>
      </c>
      <c r="AE3434" s="80" t="str">
        <f>HYPERLINK("https://twitter.com/einvestidor/status/1704952387054772483")</f>
        <v>https://twitter.com/einvestidor/status/1704952387054772483</v>
      </c>
      <c r="AF3434" s="79">
        <v>45190.84375</v>
      </c>
      <c r="AG3434" s="85">
        <v>45190</v>
      </c>
      <c r="AH3434" s="82" t="s">
        <v>9296</v>
      </c>
      <c r="AI3434" s="77" t="b">
        <v>0</v>
      </c>
      <c r="AJ3434" s="77"/>
      <c r="AK3434" s="77"/>
      <c r="AL3434" s="77"/>
      <c r="AM3434" s="77"/>
      <c r="AN3434" s="77"/>
      <c r="AO3434" s="77"/>
      <c r="AP3434" s="77"/>
      <c r="AQ3434" s="77" t="s">
        <v>11624</v>
      </c>
      <c r="AR3434" s="77"/>
      <c r="AS3434" s="77"/>
      <c r="AT3434" s="77"/>
      <c r="AU3434" s="77"/>
      <c r="AV3434" s="80" t="str">
        <f>HYPERLINK("https://pbs.twimg.com/media/F6kk-ROWwAAhDJ7.jpg")</f>
        <v>https://pbs.twimg.com/media/F6kk-ROWwAAhDJ7.jpg</v>
      </c>
      <c r="AW3434" s="82" t="s">
        <v>15030</v>
      </c>
      <c r="AX3434" s="82" t="s">
        <v>15030</v>
      </c>
      <c r="AY3434" s="77"/>
      <c r="AZ3434" s="82" t="s">
        <v>15984</v>
      </c>
      <c r="BA3434" s="82" t="s">
        <v>15984</v>
      </c>
      <c r="BB3434" s="82" t="s">
        <v>15984</v>
      </c>
      <c r="BC3434" s="82" t="s">
        <v>15030</v>
      </c>
      <c r="BD3434" s="82" t="s">
        <v>15979</v>
      </c>
      <c r="BE3434" s="77"/>
      <c r="BF3434" s="77"/>
      <c r="BG3434" s="77"/>
      <c r="BH3434" s="77"/>
      <c r="BI3434" s="77"/>
    </row>
    <row r="3435" spans="1:61" x14ac:dyDescent="0.25">
      <c r="A3435" s="62" t="s">
        <v>387</v>
      </c>
      <c r="B3435" s="62" t="s">
        <v>387</v>
      </c>
      <c r="C3435" s="63"/>
      <c r="D3435" s="64"/>
      <c r="E3435" s="65"/>
      <c r="F3435" s="66"/>
      <c r="G3435" s="63"/>
      <c r="H3435" s="67"/>
      <c r="I3435" s="68"/>
      <c r="J3435" s="68"/>
      <c r="K3435" s="32"/>
      <c r="L3435" s="75">
        <v>3435</v>
      </c>
      <c r="M3435" s="75"/>
      <c r="N3435" s="70"/>
      <c r="O3435" s="77" t="s">
        <v>179</v>
      </c>
      <c r="P3435" s="79">
        <v>45190.833333333336</v>
      </c>
      <c r="Q3435" s="77" t="s">
        <v>4105</v>
      </c>
      <c r="R3435" s="77">
        <v>0</v>
      </c>
      <c r="S3435" s="77">
        <v>0</v>
      </c>
      <c r="T3435" s="77">
        <v>0</v>
      </c>
      <c r="U3435" s="77">
        <v>0</v>
      </c>
      <c r="V3435" s="77">
        <v>336</v>
      </c>
      <c r="W3435" s="82" t="s">
        <v>6308</v>
      </c>
      <c r="X3435" s="80" t="str">
        <f>HYPERLINK("https://einvestidor.estadao.com.br/comportamento/mulheres-no-mercado-financeiro/?utm_source=twitter&amp;utm_medium=organic&amp;utm_campaign=&amp;utm_content=materia")</f>
        <v>https://einvestidor.estadao.com.br/comportamento/mulheres-no-mercado-financeiro/?utm_source=twitter&amp;utm_medium=organic&amp;utm_campaign=&amp;utm_content=materia</v>
      </c>
      <c r="Y3435" s="77" t="s">
        <v>6470</v>
      </c>
      <c r="Z3435" s="77"/>
      <c r="AA3435" s="77"/>
      <c r="AB3435" s="77"/>
      <c r="AC3435" s="82" t="s">
        <v>7750</v>
      </c>
      <c r="AD3435" s="77" t="s">
        <v>7788</v>
      </c>
      <c r="AE3435" s="80" t="str">
        <f>HYPERLINK("https://twitter.com/einvestidor/status/1704948614844518891")</f>
        <v>https://twitter.com/einvestidor/status/1704948614844518891</v>
      </c>
      <c r="AF3435" s="79">
        <v>45190.833333333336</v>
      </c>
      <c r="AG3435" s="85">
        <v>45190</v>
      </c>
      <c r="AH3435" s="82" t="s">
        <v>8381</v>
      </c>
      <c r="AI3435" s="77" t="b">
        <v>0</v>
      </c>
      <c r="AJ3435" s="77"/>
      <c r="AK3435" s="77"/>
      <c r="AL3435" s="77"/>
      <c r="AM3435" s="77"/>
      <c r="AN3435" s="77"/>
      <c r="AO3435" s="77"/>
      <c r="AP3435" s="77"/>
      <c r="AQ3435" s="77"/>
      <c r="AR3435" s="77"/>
      <c r="AS3435" s="77"/>
      <c r="AT3435" s="77"/>
      <c r="AU3435" s="77"/>
      <c r="AV3435" s="80" t="str">
        <f>HYPERLINK("https://pbs.twimg.com/profile_images/1241147984924082183/gZgx_hL-_normal.jpg")</f>
        <v>https://pbs.twimg.com/profile_images/1241147984924082183/gZgx_hL-_normal.jpg</v>
      </c>
      <c r="AW3435" s="82" t="s">
        <v>15031</v>
      </c>
      <c r="AX3435" s="82" t="s">
        <v>15031</v>
      </c>
      <c r="AY3435" s="77"/>
      <c r="AZ3435" s="82" t="s">
        <v>15984</v>
      </c>
      <c r="BA3435" s="82" t="s">
        <v>15984</v>
      </c>
      <c r="BB3435" s="82" t="s">
        <v>15984</v>
      </c>
      <c r="BC3435" s="82" t="s">
        <v>15031</v>
      </c>
      <c r="BD3435" s="82" t="s">
        <v>15979</v>
      </c>
      <c r="BE3435" s="77"/>
      <c r="BF3435" s="77"/>
      <c r="BG3435" s="77"/>
      <c r="BH3435" s="77"/>
      <c r="BI3435" s="77"/>
    </row>
    <row r="3436" spans="1:61" x14ac:dyDescent="0.25">
      <c r="A3436" s="62" t="s">
        <v>387</v>
      </c>
      <c r="B3436" s="62" t="s">
        <v>387</v>
      </c>
      <c r="C3436" s="63"/>
      <c r="D3436" s="64"/>
      <c r="E3436" s="65"/>
      <c r="F3436" s="66"/>
      <c r="G3436" s="63"/>
      <c r="H3436" s="67"/>
      <c r="I3436" s="68"/>
      <c r="J3436" s="68"/>
      <c r="K3436" s="32"/>
      <c r="L3436" s="75">
        <v>3436</v>
      </c>
      <c r="M3436" s="75"/>
      <c r="N3436" s="70"/>
      <c r="O3436" s="77" t="s">
        <v>179</v>
      </c>
      <c r="P3436" s="79">
        <v>45190.822916666664</v>
      </c>
      <c r="Q3436" s="77" t="s">
        <v>4106</v>
      </c>
      <c r="R3436" s="77">
        <v>0</v>
      </c>
      <c r="S3436" s="77">
        <v>0</v>
      </c>
      <c r="T3436" s="77">
        <v>0</v>
      </c>
      <c r="U3436" s="77">
        <v>0</v>
      </c>
      <c r="V3436" s="77">
        <v>379</v>
      </c>
      <c r="W3436" s="82" t="s">
        <v>6309</v>
      </c>
      <c r="X3436" s="80" t="str">
        <f>HYPERLINK("https://einvestidor.estadao.com.br/colunas/fabrizio-gueratto/inteligencia-artificial-ajuda-investidor/?utm_source=twitter&amp;utm_medium=organic&amp;utm_campaign=&amp;utm_content=materia")</f>
        <v>https://einvestidor.estadao.com.br/colunas/fabrizio-gueratto/inteligencia-artificial-ajuda-investidor/?utm_source=twitter&amp;utm_medium=organic&amp;utm_campaign=&amp;utm_content=materia</v>
      </c>
      <c r="Y3436" s="77" t="s">
        <v>6470</v>
      </c>
      <c r="Z3436" s="77"/>
      <c r="AA3436" s="77" t="s">
        <v>7653</v>
      </c>
      <c r="AB3436" s="77" t="s">
        <v>7742</v>
      </c>
      <c r="AC3436" s="82" t="s">
        <v>7750</v>
      </c>
      <c r="AD3436" s="77" t="s">
        <v>7788</v>
      </c>
      <c r="AE3436" s="80" t="str">
        <f>HYPERLINK("https://twitter.com/einvestidor/status/1704944837420855447")</f>
        <v>https://twitter.com/einvestidor/status/1704944837420855447</v>
      </c>
      <c r="AF3436" s="79">
        <v>45190.822916666664</v>
      </c>
      <c r="AG3436" s="85">
        <v>45190</v>
      </c>
      <c r="AH3436" s="82" t="s">
        <v>9579</v>
      </c>
      <c r="AI3436" s="77" t="b">
        <v>0</v>
      </c>
      <c r="AJ3436" s="77"/>
      <c r="AK3436" s="77"/>
      <c r="AL3436" s="77"/>
      <c r="AM3436" s="77"/>
      <c r="AN3436" s="77"/>
      <c r="AO3436" s="77"/>
      <c r="AP3436" s="77"/>
      <c r="AQ3436" s="77" t="s">
        <v>11625</v>
      </c>
      <c r="AR3436" s="77"/>
      <c r="AS3436" s="77"/>
      <c r="AT3436" s="77"/>
      <c r="AU3436" s="77"/>
      <c r="AV3436" s="80" t="str">
        <f>HYPERLINK("https://pbs.twimg.com/media/F6kcfq8WYAAahFc.jpg")</f>
        <v>https://pbs.twimg.com/media/F6kcfq8WYAAahFc.jpg</v>
      </c>
      <c r="AW3436" s="82" t="s">
        <v>15032</v>
      </c>
      <c r="AX3436" s="82" t="s">
        <v>15032</v>
      </c>
      <c r="AY3436" s="77"/>
      <c r="AZ3436" s="82" t="s">
        <v>15984</v>
      </c>
      <c r="BA3436" s="82" t="s">
        <v>15984</v>
      </c>
      <c r="BB3436" s="82" t="s">
        <v>15984</v>
      </c>
      <c r="BC3436" s="82" t="s">
        <v>15032</v>
      </c>
      <c r="BD3436" s="82" t="s">
        <v>15979</v>
      </c>
      <c r="BE3436" s="77"/>
      <c r="BF3436" s="77"/>
      <c r="BG3436" s="77"/>
      <c r="BH3436" s="77"/>
      <c r="BI3436" s="77"/>
    </row>
    <row r="3437" spans="1:61" x14ac:dyDescent="0.25">
      <c r="A3437" s="62" t="s">
        <v>387</v>
      </c>
      <c r="B3437" s="62" t="s">
        <v>387</v>
      </c>
      <c r="C3437" s="63"/>
      <c r="D3437" s="64"/>
      <c r="E3437" s="65"/>
      <c r="F3437" s="66"/>
      <c r="G3437" s="63"/>
      <c r="H3437" s="67"/>
      <c r="I3437" s="68"/>
      <c r="J3437" s="68"/>
      <c r="K3437" s="32"/>
      <c r="L3437" s="75">
        <v>3437</v>
      </c>
      <c r="M3437" s="75"/>
      <c r="N3437" s="70"/>
      <c r="O3437" s="77" t="s">
        <v>179</v>
      </c>
      <c r="P3437" s="79">
        <v>45190.8125</v>
      </c>
      <c r="Q3437" s="77" t="s">
        <v>4107</v>
      </c>
      <c r="R3437" s="77">
        <v>0</v>
      </c>
      <c r="S3437" s="77">
        <v>0</v>
      </c>
      <c r="T3437" s="77">
        <v>0</v>
      </c>
      <c r="U3437" s="77">
        <v>0</v>
      </c>
      <c r="V3437" s="77">
        <v>378</v>
      </c>
      <c r="W3437" s="82" t="s">
        <v>6118</v>
      </c>
      <c r="X3437" s="80" t="str">
        <f>HYPERLINK("https://einvestidor.estadao.com.br/ultimas/xp-cartoes-de-credito-escritorios-investimentos/?utm_source=twitter&amp;utm_medium=organic&amp;utm_campaign=&amp;utm_content=materia")</f>
        <v>https://einvestidor.estadao.com.br/ultimas/xp-cartoes-de-credito-escritorios-investimentos/?utm_source=twitter&amp;utm_medium=organic&amp;utm_campaign=&amp;utm_content=materia</v>
      </c>
      <c r="Y3437" s="77" t="s">
        <v>6470</v>
      </c>
      <c r="Z3437" s="77"/>
      <c r="AA3437" s="77"/>
      <c r="AB3437" s="77"/>
      <c r="AC3437" s="82" t="s">
        <v>7750</v>
      </c>
      <c r="AD3437" s="77" t="s">
        <v>7788</v>
      </c>
      <c r="AE3437" s="80" t="str">
        <f>HYPERLINK("https://twitter.com/einvestidor/status/1704941062526033986")</f>
        <v>https://twitter.com/einvestidor/status/1704941062526033986</v>
      </c>
      <c r="AF3437" s="79">
        <v>45190.8125</v>
      </c>
      <c r="AG3437" s="85">
        <v>45190</v>
      </c>
      <c r="AH3437" s="82" t="s">
        <v>8281</v>
      </c>
      <c r="AI3437" s="77" t="b">
        <v>0</v>
      </c>
      <c r="AJ3437" s="77"/>
      <c r="AK3437" s="77"/>
      <c r="AL3437" s="77"/>
      <c r="AM3437" s="77"/>
      <c r="AN3437" s="77"/>
      <c r="AO3437" s="77"/>
      <c r="AP3437" s="77"/>
      <c r="AQ3437" s="77"/>
      <c r="AR3437" s="77"/>
      <c r="AS3437" s="77"/>
      <c r="AT3437" s="77"/>
      <c r="AU3437" s="77"/>
      <c r="AV3437" s="80" t="str">
        <f>HYPERLINK("https://pbs.twimg.com/profile_images/1241147984924082183/gZgx_hL-_normal.jpg")</f>
        <v>https://pbs.twimg.com/profile_images/1241147984924082183/gZgx_hL-_normal.jpg</v>
      </c>
      <c r="AW3437" s="82" t="s">
        <v>15033</v>
      </c>
      <c r="AX3437" s="82" t="s">
        <v>15033</v>
      </c>
      <c r="AY3437" s="77"/>
      <c r="AZ3437" s="82" t="s">
        <v>15984</v>
      </c>
      <c r="BA3437" s="82" t="s">
        <v>15984</v>
      </c>
      <c r="BB3437" s="82" t="s">
        <v>15984</v>
      </c>
      <c r="BC3437" s="82" t="s">
        <v>15033</v>
      </c>
      <c r="BD3437" s="82" t="s">
        <v>15979</v>
      </c>
      <c r="BE3437" s="77"/>
      <c r="BF3437" s="77"/>
      <c r="BG3437" s="77"/>
      <c r="BH3437" s="77"/>
      <c r="BI3437" s="77"/>
    </row>
    <row r="3438" spans="1:61" x14ac:dyDescent="0.25">
      <c r="A3438" s="62" t="s">
        <v>387</v>
      </c>
      <c r="B3438" s="62" t="s">
        <v>387</v>
      </c>
      <c r="C3438" s="63"/>
      <c r="D3438" s="64"/>
      <c r="E3438" s="65"/>
      <c r="F3438" s="66"/>
      <c r="G3438" s="63"/>
      <c r="H3438" s="67"/>
      <c r="I3438" s="68"/>
      <c r="J3438" s="68"/>
      <c r="K3438" s="32"/>
      <c r="L3438" s="75">
        <v>3438</v>
      </c>
      <c r="M3438" s="75"/>
      <c r="N3438" s="70"/>
      <c r="O3438" s="77" t="s">
        <v>179</v>
      </c>
      <c r="P3438" s="79">
        <v>45190.802083333336</v>
      </c>
      <c r="Q3438" s="77" t="s">
        <v>4108</v>
      </c>
      <c r="R3438" s="77">
        <v>0</v>
      </c>
      <c r="S3438" s="77">
        <v>1</v>
      </c>
      <c r="T3438" s="77">
        <v>0</v>
      </c>
      <c r="U3438" s="77">
        <v>0</v>
      </c>
      <c r="V3438" s="77">
        <v>522</v>
      </c>
      <c r="W3438" s="82" t="s">
        <v>6310</v>
      </c>
      <c r="X3438" s="80" t="str">
        <f>HYPERLINK("https://einvestidor.estadao.com.br/radar-einvestidor/acoes-braskem-brkm5-despencam-decisao-btg-pactual-bpac11/?utm_source=twitter&amp;utm_medium=organic&amp;utm_campaign=&amp;utm_content=materia")</f>
        <v>https://einvestidor.estadao.com.br/radar-einvestidor/acoes-braskem-brkm5-despencam-decisao-btg-pactual-bpac11/?utm_source=twitter&amp;utm_medium=organic&amp;utm_campaign=&amp;utm_content=materia</v>
      </c>
      <c r="Y3438" s="77" t="s">
        <v>6470</v>
      </c>
      <c r="Z3438" s="77"/>
      <c r="AA3438" s="77"/>
      <c r="AB3438" s="77"/>
      <c r="AC3438" s="82" t="s">
        <v>7750</v>
      </c>
      <c r="AD3438" s="77" t="s">
        <v>7788</v>
      </c>
      <c r="AE3438" s="80" t="str">
        <f>HYPERLINK("https://twitter.com/einvestidor/status/1704937287568576833")</f>
        <v>https://twitter.com/einvestidor/status/1704937287568576833</v>
      </c>
      <c r="AF3438" s="79">
        <v>45190.802083333336</v>
      </c>
      <c r="AG3438" s="85">
        <v>45190</v>
      </c>
      <c r="AH3438" s="82" t="s">
        <v>7868</v>
      </c>
      <c r="AI3438" s="77" t="b">
        <v>0</v>
      </c>
      <c r="AJ3438" s="77"/>
      <c r="AK3438" s="77"/>
      <c r="AL3438" s="77"/>
      <c r="AM3438" s="77"/>
      <c r="AN3438" s="77"/>
      <c r="AO3438" s="77"/>
      <c r="AP3438" s="77"/>
      <c r="AQ3438" s="77"/>
      <c r="AR3438" s="77"/>
      <c r="AS3438" s="77"/>
      <c r="AT3438" s="77"/>
      <c r="AU3438" s="77"/>
      <c r="AV3438" s="80" t="str">
        <f>HYPERLINK("https://pbs.twimg.com/profile_images/1241147984924082183/gZgx_hL-_normal.jpg")</f>
        <v>https://pbs.twimg.com/profile_images/1241147984924082183/gZgx_hL-_normal.jpg</v>
      </c>
      <c r="AW3438" s="82" t="s">
        <v>15034</v>
      </c>
      <c r="AX3438" s="82" t="s">
        <v>15034</v>
      </c>
      <c r="AY3438" s="77"/>
      <c r="AZ3438" s="82" t="s">
        <v>15984</v>
      </c>
      <c r="BA3438" s="82" t="s">
        <v>15984</v>
      </c>
      <c r="BB3438" s="82" t="s">
        <v>15984</v>
      </c>
      <c r="BC3438" s="82" t="s">
        <v>15034</v>
      </c>
      <c r="BD3438" s="82" t="s">
        <v>15979</v>
      </c>
      <c r="BE3438" s="77"/>
      <c r="BF3438" s="77"/>
      <c r="BG3438" s="77"/>
      <c r="BH3438" s="77"/>
      <c r="BI3438" s="77"/>
    </row>
    <row r="3439" spans="1:61" x14ac:dyDescent="0.25">
      <c r="A3439" s="62" t="s">
        <v>387</v>
      </c>
      <c r="B3439" s="62" t="s">
        <v>387</v>
      </c>
      <c r="C3439" s="63"/>
      <c r="D3439" s="64"/>
      <c r="E3439" s="65"/>
      <c r="F3439" s="66"/>
      <c r="G3439" s="63"/>
      <c r="H3439" s="67"/>
      <c r="I3439" s="68"/>
      <c r="J3439" s="68"/>
      <c r="K3439" s="32"/>
      <c r="L3439" s="75">
        <v>3439</v>
      </c>
      <c r="M3439" s="75"/>
      <c r="N3439" s="70"/>
      <c r="O3439" s="77" t="s">
        <v>179</v>
      </c>
      <c r="P3439" s="79">
        <v>45190.791666666664</v>
      </c>
      <c r="Q3439" s="77" t="s">
        <v>4109</v>
      </c>
      <c r="R3439" s="77">
        <v>0</v>
      </c>
      <c r="S3439" s="77">
        <v>0</v>
      </c>
      <c r="T3439" s="77">
        <v>0</v>
      </c>
      <c r="U3439" s="77">
        <v>0</v>
      </c>
      <c r="V3439" s="77">
        <v>426</v>
      </c>
      <c r="W3439" s="82" t="s">
        <v>5907</v>
      </c>
      <c r="X3439" s="80" t="str">
        <f>HYPERLINK("https://einvestidor.estadao.com.br/ultimas/vale3-vale-papeis-recuam-queda-minerio-ferro/?utm_source=twitter&amp;utm_medium=organic&amp;utm_campaign=&amp;utm_content=materia")</f>
        <v>https://einvestidor.estadao.com.br/ultimas/vale3-vale-papeis-recuam-queda-minerio-ferro/?utm_source=twitter&amp;utm_medium=organic&amp;utm_campaign=&amp;utm_content=materia</v>
      </c>
      <c r="Y3439" s="77" t="s">
        <v>6470</v>
      </c>
      <c r="Z3439" s="77"/>
      <c r="AA3439" s="77"/>
      <c r="AB3439" s="77"/>
      <c r="AC3439" s="82" t="s">
        <v>7750</v>
      </c>
      <c r="AD3439" s="77" t="s">
        <v>7788</v>
      </c>
      <c r="AE3439" s="80" t="str">
        <f>HYPERLINK("https://twitter.com/einvestidor/status/1704933513328247217")</f>
        <v>https://twitter.com/einvestidor/status/1704933513328247217</v>
      </c>
      <c r="AF3439" s="79">
        <v>45190.791666666664</v>
      </c>
      <c r="AG3439" s="85">
        <v>45190</v>
      </c>
      <c r="AH3439" s="82" t="s">
        <v>9299</v>
      </c>
      <c r="AI3439" s="77" t="b">
        <v>0</v>
      </c>
      <c r="AJ3439" s="77"/>
      <c r="AK3439" s="77"/>
      <c r="AL3439" s="77"/>
      <c r="AM3439" s="77"/>
      <c r="AN3439" s="77"/>
      <c r="AO3439" s="77"/>
      <c r="AP3439" s="77"/>
      <c r="AQ3439" s="77"/>
      <c r="AR3439" s="77"/>
      <c r="AS3439" s="77"/>
      <c r="AT3439" s="77"/>
      <c r="AU3439" s="77"/>
      <c r="AV3439" s="80" t="str">
        <f>HYPERLINK("https://pbs.twimg.com/profile_images/1241147984924082183/gZgx_hL-_normal.jpg")</f>
        <v>https://pbs.twimg.com/profile_images/1241147984924082183/gZgx_hL-_normal.jpg</v>
      </c>
      <c r="AW3439" s="82" t="s">
        <v>15035</v>
      </c>
      <c r="AX3439" s="82" t="s">
        <v>15035</v>
      </c>
      <c r="AY3439" s="77"/>
      <c r="AZ3439" s="82" t="s">
        <v>15984</v>
      </c>
      <c r="BA3439" s="82" t="s">
        <v>15984</v>
      </c>
      <c r="BB3439" s="82" t="s">
        <v>15984</v>
      </c>
      <c r="BC3439" s="82" t="s">
        <v>15035</v>
      </c>
      <c r="BD3439" s="82" t="s">
        <v>15979</v>
      </c>
      <c r="BE3439" s="77"/>
      <c r="BF3439" s="77"/>
      <c r="BG3439" s="77"/>
      <c r="BH3439" s="77"/>
      <c r="BI3439" s="77"/>
    </row>
    <row r="3440" spans="1:61" x14ac:dyDescent="0.25">
      <c r="A3440" s="62" t="s">
        <v>387</v>
      </c>
      <c r="B3440" s="62" t="s">
        <v>387</v>
      </c>
      <c r="C3440" s="63"/>
      <c r="D3440" s="64"/>
      <c r="E3440" s="65"/>
      <c r="F3440" s="66"/>
      <c r="G3440" s="63"/>
      <c r="H3440" s="67"/>
      <c r="I3440" s="68"/>
      <c r="J3440" s="68"/>
      <c r="K3440" s="32"/>
      <c r="L3440" s="75">
        <v>3440</v>
      </c>
      <c r="M3440" s="75"/>
      <c r="N3440" s="70"/>
      <c r="O3440" s="77" t="s">
        <v>179</v>
      </c>
      <c r="P3440" s="79">
        <v>45190.78125</v>
      </c>
      <c r="Q3440" s="77" t="s">
        <v>4110</v>
      </c>
      <c r="R3440" s="77">
        <v>0</v>
      </c>
      <c r="S3440" s="77">
        <v>0</v>
      </c>
      <c r="T3440" s="77">
        <v>0</v>
      </c>
      <c r="U3440" s="77">
        <v>0</v>
      </c>
      <c r="V3440" s="77">
        <v>381</v>
      </c>
      <c r="W3440" s="82" t="s">
        <v>6181</v>
      </c>
      <c r="X3440" s="80" t="str">
        <f>HYPERLINK("https://einvestidor.estadao.com.br/ultimas/sabesp-sbsp3-acao-sobe-em-ajuste-apos-queda-vespera-de-olho-em-privatizacao/?utm_source=twitter&amp;utm_medium=organic&amp;utm_campaign=&amp;utm_content=materia")</f>
        <v>https://einvestidor.estadao.com.br/ultimas/sabesp-sbsp3-acao-sobe-em-ajuste-apos-queda-vespera-de-olho-em-privatizacao/?utm_source=twitter&amp;utm_medium=organic&amp;utm_campaign=&amp;utm_content=materia</v>
      </c>
      <c r="Y3440" s="77" t="s">
        <v>6470</v>
      </c>
      <c r="Z3440" s="77"/>
      <c r="AA3440" s="77" t="s">
        <v>7654</v>
      </c>
      <c r="AB3440" s="77" t="s">
        <v>7742</v>
      </c>
      <c r="AC3440" s="82" t="s">
        <v>7750</v>
      </c>
      <c r="AD3440" s="77" t="s">
        <v>7788</v>
      </c>
      <c r="AE3440" s="80" t="str">
        <f>HYPERLINK("https://twitter.com/einvestidor/status/1704929737800638701")</f>
        <v>https://twitter.com/einvestidor/status/1704929737800638701</v>
      </c>
      <c r="AF3440" s="79">
        <v>45190.78125</v>
      </c>
      <c r="AG3440" s="85">
        <v>45190</v>
      </c>
      <c r="AH3440" s="82" t="s">
        <v>9581</v>
      </c>
      <c r="AI3440" s="77" t="b">
        <v>0</v>
      </c>
      <c r="AJ3440" s="77"/>
      <c r="AK3440" s="77"/>
      <c r="AL3440" s="77"/>
      <c r="AM3440" s="77"/>
      <c r="AN3440" s="77"/>
      <c r="AO3440" s="77"/>
      <c r="AP3440" s="77"/>
      <c r="AQ3440" s="77" t="s">
        <v>11626</v>
      </c>
      <c r="AR3440" s="77"/>
      <c r="AS3440" s="77"/>
      <c r="AT3440" s="77"/>
      <c r="AU3440" s="77"/>
      <c r="AV3440" s="80" t="str">
        <f>HYPERLINK("https://pbs.twimg.com/media/F6kTDR4WoAAS1e6.jpg")</f>
        <v>https://pbs.twimg.com/media/F6kTDR4WoAAS1e6.jpg</v>
      </c>
      <c r="AW3440" s="82" t="s">
        <v>15036</v>
      </c>
      <c r="AX3440" s="82" t="s">
        <v>15036</v>
      </c>
      <c r="AY3440" s="77"/>
      <c r="AZ3440" s="82" t="s">
        <v>15984</v>
      </c>
      <c r="BA3440" s="82" t="s">
        <v>15984</v>
      </c>
      <c r="BB3440" s="82" t="s">
        <v>15984</v>
      </c>
      <c r="BC3440" s="82" t="s">
        <v>15036</v>
      </c>
      <c r="BD3440" s="82" t="s">
        <v>15979</v>
      </c>
      <c r="BE3440" s="77"/>
      <c r="BF3440" s="77"/>
      <c r="BG3440" s="77"/>
      <c r="BH3440" s="77"/>
      <c r="BI3440" s="77"/>
    </row>
    <row r="3441" spans="1:61" x14ac:dyDescent="0.25">
      <c r="A3441" s="62" t="s">
        <v>387</v>
      </c>
      <c r="B3441" s="62" t="s">
        <v>387</v>
      </c>
      <c r="C3441" s="63"/>
      <c r="D3441" s="64"/>
      <c r="E3441" s="65"/>
      <c r="F3441" s="66"/>
      <c r="G3441" s="63"/>
      <c r="H3441" s="67"/>
      <c r="I3441" s="68"/>
      <c r="J3441" s="68"/>
      <c r="K3441" s="32"/>
      <c r="L3441" s="75">
        <v>3441</v>
      </c>
      <c r="M3441" s="75"/>
      <c r="N3441" s="70"/>
      <c r="O3441" s="77" t="s">
        <v>179</v>
      </c>
      <c r="P3441" s="79">
        <v>45190.770833333336</v>
      </c>
      <c r="Q3441" s="77" t="s">
        <v>4111</v>
      </c>
      <c r="R3441" s="77">
        <v>0</v>
      </c>
      <c r="S3441" s="77">
        <v>1</v>
      </c>
      <c r="T3441" s="77">
        <v>0</v>
      </c>
      <c r="U3441" s="77">
        <v>0</v>
      </c>
      <c r="V3441" s="77">
        <v>381</v>
      </c>
      <c r="W3441" s="82" t="s">
        <v>6311</v>
      </c>
      <c r="X3441" s="80" t="str">
        <f>HYPERLINK("https://einvestidor.estadao.com.br/criptomoedas/setor-criptoativos-asia/?utm_source=twitter&amp;utm_medium=organic&amp;utm_campaign=&amp;utm_content=materia")</f>
        <v>https://einvestidor.estadao.com.br/criptomoedas/setor-criptoativos-asia/?utm_source=twitter&amp;utm_medium=organic&amp;utm_campaign=&amp;utm_content=materia</v>
      </c>
      <c r="Y3441" s="77" t="s">
        <v>6470</v>
      </c>
      <c r="Z3441" s="77"/>
      <c r="AA3441" s="77" t="s">
        <v>7655</v>
      </c>
      <c r="AB3441" s="77" t="s">
        <v>7742</v>
      </c>
      <c r="AC3441" s="82" t="s">
        <v>7750</v>
      </c>
      <c r="AD3441" s="77" t="s">
        <v>7788</v>
      </c>
      <c r="AE3441" s="80" t="str">
        <f>HYPERLINK("https://twitter.com/einvestidor/status/1704925965879820509")</f>
        <v>https://twitter.com/einvestidor/status/1704925965879820509</v>
      </c>
      <c r="AF3441" s="79">
        <v>45190.770833333336</v>
      </c>
      <c r="AG3441" s="85">
        <v>45190</v>
      </c>
      <c r="AH3441" s="82" t="s">
        <v>7930</v>
      </c>
      <c r="AI3441" s="77" t="b">
        <v>0</v>
      </c>
      <c r="AJ3441" s="77"/>
      <c r="AK3441" s="77"/>
      <c r="AL3441" s="77"/>
      <c r="AM3441" s="77"/>
      <c r="AN3441" s="77"/>
      <c r="AO3441" s="77"/>
      <c r="AP3441" s="77"/>
      <c r="AQ3441" s="77" t="s">
        <v>11627</v>
      </c>
      <c r="AR3441" s="77"/>
      <c r="AS3441" s="77"/>
      <c r="AT3441" s="77"/>
      <c r="AU3441" s="77"/>
      <c r="AV3441" s="80" t="str">
        <f>HYPERLINK("https://pbs.twimg.com/media/F6kOV7SWYAABMYl.jpg")</f>
        <v>https://pbs.twimg.com/media/F6kOV7SWYAABMYl.jpg</v>
      </c>
      <c r="AW3441" s="82" t="s">
        <v>15037</v>
      </c>
      <c r="AX3441" s="82" t="s">
        <v>15037</v>
      </c>
      <c r="AY3441" s="77"/>
      <c r="AZ3441" s="82" t="s">
        <v>15984</v>
      </c>
      <c r="BA3441" s="82" t="s">
        <v>15984</v>
      </c>
      <c r="BB3441" s="82" t="s">
        <v>15984</v>
      </c>
      <c r="BC3441" s="82" t="s">
        <v>15037</v>
      </c>
      <c r="BD3441" s="82" t="s">
        <v>15979</v>
      </c>
      <c r="BE3441" s="77"/>
      <c r="BF3441" s="77"/>
      <c r="BG3441" s="77"/>
      <c r="BH3441" s="77"/>
      <c r="BI3441" s="77"/>
    </row>
    <row r="3442" spans="1:61" x14ac:dyDescent="0.25">
      <c r="A3442" s="62" t="s">
        <v>387</v>
      </c>
      <c r="B3442" s="62" t="s">
        <v>387</v>
      </c>
      <c r="C3442" s="63"/>
      <c r="D3442" s="64"/>
      <c r="E3442" s="65"/>
      <c r="F3442" s="66"/>
      <c r="G3442" s="63"/>
      <c r="H3442" s="67"/>
      <c r="I3442" s="68"/>
      <c r="J3442" s="68"/>
      <c r="K3442" s="32"/>
      <c r="L3442" s="75">
        <v>3442</v>
      </c>
      <c r="M3442" s="75"/>
      <c r="N3442" s="70"/>
      <c r="O3442" s="77" t="s">
        <v>179</v>
      </c>
      <c r="P3442" s="79">
        <v>45190.731678240743</v>
      </c>
      <c r="Q3442" s="77" t="s">
        <v>4112</v>
      </c>
      <c r="R3442" s="77">
        <v>1</v>
      </c>
      <c r="S3442" s="77">
        <v>1</v>
      </c>
      <c r="T3442" s="77">
        <v>0</v>
      </c>
      <c r="U3442" s="77">
        <v>0</v>
      </c>
      <c r="V3442" s="77">
        <v>510</v>
      </c>
      <c r="W3442" s="82" t="s">
        <v>4833</v>
      </c>
      <c r="X3442" s="80" t="str">
        <f>HYPERLINK("https://einvestidor.estadao.com.br/mercado/mercado-intraday-21-09-2023/?utm_source=twitter&amp;utm_medium=organic&amp;utm_campaign=&amp;utm_content=materia")</f>
        <v>https://einvestidor.estadao.com.br/mercado/mercado-intraday-21-09-2023/?utm_source=twitter&amp;utm_medium=organic&amp;utm_campaign=&amp;utm_content=materia</v>
      </c>
      <c r="Y3442" s="77" t="s">
        <v>6470</v>
      </c>
      <c r="Z3442" s="77"/>
      <c r="AA3442" s="77"/>
      <c r="AB3442" s="77"/>
      <c r="AC3442" s="82" t="s">
        <v>7750</v>
      </c>
      <c r="AD3442" s="77" t="s">
        <v>7788</v>
      </c>
      <c r="AE3442" s="80" t="str">
        <f>HYPERLINK("https://twitter.com/einvestidor/status/1704911773730787652")</f>
        <v>https://twitter.com/einvestidor/status/1704911773730787652</v>
      </c>
      <c r="AF3442" s="79">
        <v>45190.731678240743</v>
      </c>
      <c r="AG3442" s="85">
        <v>45190</v>
      </c>
      <c r="AH3442" s="82" t="s">
        <v>10048</v>
      </c>
      <c r="AI3442" s="77" t="b">
        <v>0</v>
      </c>
      <c r="AJ3442" s="77"/>
      <c r="AK3442" s="77"/>
      <c r="AL3442" s="77"/>
      <c r="AM3442" s="77"/>
      <c r="AN3442" s="77"/>
      <c r="AO3442" s="77"/>
      <c r="AP3442" s="77"/>
      <c r="AQ3442" s="77"/>
      <c r="AR3442" s="77"/>
      <c r="AS3442" s="77"/>
      <c r="AT3442" s="77"/>
      <c r="AU3442" s="77"/>
      <c r="AV3442" s="80" t="str">
        <f>HYPERLINK("https://pbs.twimg.com/profile_images/1241147984924082183/gZgx_hL-_normal.jpg")</f>
        <v>https://pbs.twimg.com/profile_images/1241147984924082183/gZgx_hL-_normal.jpg</v>
      </c>
      <c r="AW3442" s="82" t="s">
        <v>15038</v>
      </c>
      <c r="AX3442" s="82" t="s">
        <v>15038</v>
      </c>
      <c r="AY3442" s="77"/>
      <c r="AZ3442" s="82" t="s">
        <v>15984</v>
      </c>
      <c r="BA3442" s="82" t="s">
        <v>15984</v>
      </c>
      <c r="BB3442" s="82" t="s">
        <v>15984</v>
      </c>
      <c r="BC3442" s="82" t="s">
        <v>15038</v>
      </c>
      <c r="BD3442" s="82" t="s">
        <v>15979</v>
      </c>
      <c r="BE3442" s="77"/>
      <c r="BF3442" s="77"/>
      <c r="BG3442" s="77"/>
      <c r="BH3442" s="77"/>
      <c r="BI3442" s="77"/>
    </row>
    <row r="3443" spans="1:61" x14ac:dyDescent="0.25">
      <c r="A3443" s="62" t="s">
        <v>387</v>
      </c>
      <c r="B3443" s="62" t="s">
        <v>387</v>
      </c>
      <c r="C3443" s="63"/>
      <c r="D3443" s="64"/>
      <c r="E3443" s="65"/>
      <c r="F3443" s="66"/>
      <c r="G3443" s="63"/>
      <c r="H3443" s="67"/>
      <c r="I3443" s="68"/>
      <c r="J3443" s="68"/>
      <c r="K3443" s="32"/>
      <c r="L3443" s="75">
        <v>3443</v>
      </c>
      <c r="M3443" s="75"/>
      <c r="N3443" s="70"/>
      <c r="O3443" s="77" t="s">
        <v>179</v>
      </c>
      <c r="P3443" s="79">
        <v>45190.75</v>
      </c>
      <c r="Q3443" s="77" t="s">
        <v>4113</v>
      </c>
      <c r="R3443" s="77">
        <v>0</v>
      </c>
      <c r="S3443" s="77">
        <v>1</v>
      </c>
      <c r="T3443" s="77">
        <v>0</v>
      </c>
      <c r="U3443" s="77">
        <v>0</v>
      </c>
      <c r="V3443" s="77">
        <v>377</v>
      </c>
      <c r="W3443" s="82" t="s">
        <v>6312</v>
      </c>
      <c r="X3443" s="80" t="str">
        <f>HYPERLINK("https://einvestidor.estadao.com.br/educacao-financeira/quanto-rendem-35-milhoes-mega-sena-poupanca-tesouro-prefixado/?utm_source=twitter&amp;utm_medium=organic&amp;utm_campaign=&amp;utm_content=materia")</f>
        <v>https://einvestidor.estadao.com.br/educacao-financeira/quanto-rendem-35-milhoes-mega-sena-poupanca-tesouro-prefixado/?utm_source=twitter&amp;utm_medium=organic&amp;utm_campaign=&amp;utm_content=materia</v>
      </c>
      <c r="Y3443" s="77" t="s">
        <v>6470</v>
      </c>
      <c r="Z3443" s="77"/>
      <c r="AA3443" s="77" t="s">
        <v>7656</v>
      </c>
      <c r="AB3443" s="77" t="s">
        <v>7742</v>
      </c>
      <c r="AC3443" s="82" t="s">
        <v>7750</v>
      </c>
      <c r="AD3443" s="77" t="s">
        <v>7788</v>
      </c>
      <c r="AE3443" s="80" t="str">
        <f>HYPERLINK("https://twitter.com/einvestidor/status/1704918414475559221")</f>
        <v>https://twitter.com/einvestidor/status/1704918414475559221</v>
      </c>
      <c r="AF3443" s="79">
        <v>45190.75</v>
      </c>
      <c r="AG3443" s="85">
        <v>45190</v>
      </c>
      <c r="AH3443" s="82" t="s">
        <v>7934</v>
      </c>
      <c r="AI3443" s="77" t="b">
        <v>0</v>
      </c>
      <c r="AJ3443" s="77"/>
      <c r="AK3443" s="77"/>
      <c r="AL3443" s="77"/>
      <c r="AM3443" s="77"/>
      <c r="AN3443" s="77"/>
      <c r="AO3443" s="77"/>
      <c r="AP3443" s="77"/>
      <c r="AQ3443" s="77" t="s">
        <v>11628</v>
      </c>
      <c r="AR3443" s="77"/>
      <c r="AS3443" s="77"/>
      <c r="AT3443" s="77"/>
      <c r="AU3443" s="77"/>
      <c r="AV3443" s="80" t="str">
        <f>HYPERLINK("https://pbs.twimg.com/media/F6kLWh8XwAA9RgB.jpg")</f>
        <v>https://pbs.twimg.com/media/F6kLWh8XwAA9RgB.jpg</v>
      </c>
      <c r="AW3443" s="82" t="s">
        <v>15039</v>
      </c>
      <c r="AX3443" s="82" t="s">
        <v>15039</v>
      </c>
      <c r="AY3443" s="77"/>
      <c r="AZ3443" s="82" t="s">
        <v>15984</v>
      </c>
      <c r="BA3443" s="82" t="s">
        <v>15984</v>
      </c>
      <c r="BB3443" s="82" t="s">
        <v>15984</v>
      </c>
      <c r="BC3443" s="82" t="s">
        <v>15039</v>
      </c>
      <c r="BD3443" s="82" t="s">
        <v>15979</v>
      </c>
      <c r="BE3443" s="77"/>
      <c r="BF3443" s="77"/>
      <c r="BG3443" s="77"/>
      <c r="BH3443" s="77"/>
      <c r="BI3443" s="77"/>
    </row>
    <row r="3444" spans="1:61" x14ac:dyDescent="0.25">
      <c r="A3444" s="62" t="s">
        <v>387</v>
      </c>
      <c r="B3444" s="62" t="s">
        <v>387</v>
      </c>
      <c r="C3444" s="63"/>
      <c r="D3444" s="64"/>
      <c r="E3444" s="65"/>
      <c r="F3444" s="66"/>
      <c r="G3444" s="63"/>
      <c r="H3444" s="67"/>
      <c r="I3444" s="68"/>
      <c r="J3444" s="68"/>
      <c r="K3444" s="32"/>
      <c r="L3444" s="75">
        <v>3444</v>
      </c>
      <c r="M3444" s="75"/>
      <c r="N3444" s="70"/>
      <c r="O3444" s="77" t="s">
        <v>179</v>
      </c>
      <c r="P3444" s="79">
        <v>45190.739583333336</v>
      </c>
      <c r="Q3444" s="77" t="s">
        <v>4114</v>
      </c>
      <c r="R3444" s="77">
        <v>0</v>
      </c>
      <c r="S3444" s="77">
        <v>0</v>
      </c>
      <c r="T3444" s="77">
        <v>0</v>
      </c>
      <c r="U3444" s="77">
        <v>0</v>
      </c>
      <c r="V3444" s="77">
        <v>402</v>
      </c>
      <c r="W3444" s="82" t="s">
        <v>6064</v>
      </c>
      <c r="X3444" s="80" t="str">
        <f>HYPERLINK("https://einvestidor.estadao.com.br/ultimas/petr4-petrobras-acoes-alta-petroleo/?utm_source=twitter&amp;utm_medium=organic&amp;utm_campaign=&amp;utm_content=materia")</f>
        <v>https://einvestidor.estadao.com.br/ultimas/petr4-petrobras-acoes-alta-petroleo/?utm_source=twitter&amp;utm_medium=organic&amp;utm_campaign=&amp;utm_content=materia</v>
      </c>
      <c r="Y3444" s="77" t="s">
        <v>6470</v>
      </c>
      <c r="Z3444" s="77"/>
      <c r="AA3444" s="77" t="s">
        <v>7657</v>
      </c>
      <c r="AB3444" s="77" t="s">
        <v>7742</v>
      </c>
      <c r="AC3444" s="82" t="s">
        <v>7750</v>
      </c>
      <c r="AD3444" s="77" t="s">
        <v>7788</v>
      </c>
      <c r="AE3444" s="80" t="str">
        <f>HYPERLINK("https://twitter.com/einvestidor/status/1704914638821884247")</f>
        <v>https://twitter.com/einvestidor/status/1704914638821884247</v>
      </c>
      <c r="AF3444" s="79">
        <v>45190.739583333336</v>
      </c>
      <c r="AG3444" s="85">
        <v>45190</v>
      </c>
      <c r="AH3444" s="82" t="s">
        <v>9626</v>
      </c>
      <c r="AI3444" s="77" t="b">
        <v>0</v>
      </c>
      <c r="AJ3444" s="77"/>
      <c r="AK3444" s="77"/>
      <c r="AL3444" s="77"/>
      <c r="AM3444" s="77"/>
      <c r="AN3444" s="77"/>
      <c r="AO3444" s="77"/>
      <c r="AP3444" s="77"/>
      <c r="AQ3444" s="77" t="s">
        <v>11629</v>
      </c>
      <c r="AR3444" s="77"/>
      <c r="AS3444" s="77"/>
      <c r="AT3444" s="77"/>
      <c r="AU3444" s="77"/>
      <c r="AV3444" s="80" t="str">
        <f>HYPERLINK("https://pbs.twimg.com/media/F6kKCJTWMAAqemc.jpg")</f>
        <v>https://pbs.twimg.com/media/F6kKCJTWMAAqemc.jpg</v>
      </c>
      <c r="AW3444" s="82" t="s">
        <v>15040</v>
      </c>
      <c r="AX3444" s="82" t="s">
        <v>15040</v>
      </c>
      <c r="AY3444" s="77"/>
      <c r="AZ3444" s="82" t="s">
        <v>15984</v>
      </c>
      <c r="BA3444" s="82" t="s">
        <v>15984</v>
      </c>
      <c r="BB3444" s="82" t="s">
        <v>15984</v>
      </c>
      <c r="BC3444" s="82" t="s">
        <v>15040</v>
      </c>
      <c r="BD3444" s="82" t="s">
        <v>15979</v>
      </c>
      <c r="BE3444" s="77"/>
      <c r="BF3444" s="77"/>
      <c r="BG3444" s="77"/>
      <c r="BH3444" s="77"/>
      <c r="BI3444" s="77"/>
    </row>
    <row r="3445" spans="1:61" x14ac:dyDescent="0.25">
      <c r="A3445" s="62" t="s">
        <v>387</v>
      </c>
      <c r="B3445" s="62" t="s">
        <v>387</v>
      </c>
      <c r="C3445" s="63"/>
      <c r="D3445" s="64"/>
      <c r="E3445" s="65"/>
      <c r="F3445" s="66"/>
      <c r="G3445" s="63"/>
      <c r="H3445" s="67"/>
      <c r="I3445" s="68"/>
      <c r="J3445" s="68"/>
      <c r="K3445" s="32"/>
      <c r="L3445" s="75">
        <v>3445</v>
      </c>
      <c r="M3445" s="75"/>
      <c r="N3445" s="70"/>
      <c r="O3445" s="77" t="s">
        <v>179</v>
      </c>
      <c r="P3445" s="79">
        <v>45190.500023148146</v>
      </c>
      <c r="Q3445" s="77" t="s">
        <v>4115</v>
      </c>
      <c r="R3445" s="77">
        <v>0</v>
      </c>
      <c r="S3445" s="77">
        <v>3</v>
      </c>
      <c r="T3445" s="77">
        <v>0</v>
      </c>
      <c r="U3445" s="77">
        <v>0</v>
      </c>
      <c r="V3445" s="77">
        <v>391</v>
      </c>
      <c r="W3445" s="82" t="s">
        <v>6313</v>
      </c>
      <c r="X3445" s="80" t="str">
        <f>HYPERLINK("https://einvestidor.estadao.com.br/ultimas/btg-pactual-bpac11-conclui-compra-capital-social-fis-privatbank/?utm_source=twitter&amp;utm_medium=organic&amp;utm_campaign=bpac11&amp;utm_content=materia")</f>
        <v>https://einvestidor.estadao.com.br/ultimas/btg-pactual-bpac11-conclui-compra-capital-social-fis-privatbank/?utm_source=twitter&amp;utm_medium=organic&amp;utm_campaign=bpac11&amp;utm_content=materia</v>
      </c>
      <c r="Y3445" s="77" t="s">
        <v>6470</v>
      </c>
      <c r="Z3445" s="77"/>
      <c r="AA3445" s="77"/>
      <c r="AB3445" s="77"/>
      <c r="AC3445" s="82" t="s">
        <v>7750</v>
      </c>
      <c r="AD3445" s="77" t="s">
        <v>7789</v>
      </c>
      <c r="AE3445" s="80" t="str">
        <f>HYPERLINK("https://twitter.com/einvestidor/status/1704827827336495172")</f>
        <v>https://twitter.com/einvestidor/status/1704827827336495172</v>
      </c>
      <c r="AF3445" s="79">
        <v>45190.500023148146</v>
      </c>
      <c r="AG3445" s="85">
        <v>45190</v>
      </c>
      <c r="AH3445" s="82" t="s">
        <v>8525</v>
      </c>
      <c r="AI3445" s="77" t="b">
        <v>0</v>
      </c>
      <c r="AJ3445" s="77"/>
      <c r="AK3445" s="77"/>
      <c r="AL3445" s="77"/>
      <c r="AM3445" s="77"/>
      <c r="AN3445" s="77"/>
      <c r="AO3445" s="77"/>
      <c r="AP3445" s="77"/>
      <c r="AQ3445" s="77"/>
      <c r="AR3445" s="77"/>
      <c r="AS3445" s="77"/>
      <c r="AT3445" s="77"/>
      <c r="AU3445" s="77"/>
      <c r="AV3445" s="80" t="str">
        <f>HYPERLINK("https://pbs.twimg.com/profile_images/1241147984924082183/gZgx_hL-_normal.jpg")</f>
        <v>https://pbs.twimg.com/profile_images/1241147984924082183/gZgx_hL-_normal.jpg</v>
      </c>
      <c r="AW3445" s="82" t="s">
        <v>15041</v>
      </c>
      <c r="AX3445" s="82" t="s">
        <v>15041</v>
      </c>
      <c r="AY3445" s="77"/>
      <c r="AZ3445" s="82" t="s">
        <v>15984</v>
      </c>
      <c r="BA3445" s="82" t="s">
        <v>15984</v>
      </c>
      <c r="BB3445" s="82" t="s">
        <v>15984</v>
      </c>
      <c r="BC3445" s="82" t="s">
        <v>15041</v>
      </c>
      <c r="BD3445" s="82" t="s">
        <v>15979</v>
      </c>
      <c r="BE3445" s="77"/>
      <c r="BF3445" s="77"/>
      <c r="BG3445" s="77"/>
      <c r="BH3445" s="77"/>
      <c r="BI3445" s="77"/>
    </row>
    <row r="3446" spans="1:61" x14ac:dyDescent="0.25">
      <c r="A3446" s="62" t="s">
        <v>387</v>
      </c>
      <c r="B3446" s="62" t="s">
        <v>387</v>
      </c>
      <c r="C3446" s="63"/>
      <c r="D3446" s="64"/>
      <c r="E3446" s="65"/>
      <c r="F3446" s="66"/>
      <c r="G3446" s="63"/>
      <c r="H3446" s="67"/>
      <c r="I3446" s="68"/>
      <c r="J3446" s="68"/>
      <c r="K3446" s="32"/>
      <c r="L3446" s="75">
        <v>3446</v>
      </c>
      <c r="M3446" s="75"/>
      <c r="N3446" s="70"/>
      <c r="O3446" s="77" t="s">
        <v>179</v>
      </c>
      <c r="P3446" s="79">
        <v>45190.495428240742</v>
      </c>
      <c r="Q3446" s="77" t="s">
        <v>4116</v>
      </c>
      <c r="R3446" s="77">
        <v>0</v>
      </c>
      <c r="S3446" s="77">
        <v>3</v>
      </c>
      <c r="T3446" s="77">
        <v>0</v>
      </c>
      <c r="U3446" s="77">
        <v>0</v>
      </c>
      <c r="V3446" s="77">
        <v>436</v>
      </c>
      <c r="W3446" s="82" t="s">
        <v>6314</v>
      </c>
      <c r="X3446" s="80" t="str">
        <f>HYPERLINK("https://einvestidor.estadao.com.br/mercado/mercado-hoje-bb-bbas3-caixa-cxse3-natura-ntco3-copel-cple6/?utm_source=twitter&amp;utm_medium=organic&amp;utm_campaign=mercado-hoje&amp;utm_content=materia")</f>
        <v>https://einvestidor.estadao.com.br/mercado/mercado-hoje-bb-bbas3-caixa-cxse3-natura-ntco3-copel-cple6/?utm_source=twitter&amp;utm_medium=organic&amp;utm_campaign=mercado-hoje&amp;utm_content=materia</v>
      </c>
      <c r="Y3446" s="77" t="s">
        <v>6470</v>
      </c>
      <c r="Z3446" s="77"/>
      <c r="AA3446" s="77" t="s">
        <v>7658</v>
      </c>
      <c r="AB3446" s="77" t="s">
        <v>7742</v>
      </c>
      <c r="AC3446" s="82" t="s">
        <v>7750</v>
      </c>
      <c r="AD3446" s="77" t="s">
        <v>7788</v>
      </c>
      <c r="AE3446" s="80" t="str">
        <f>HYPERLINK("https://twitter.com/einvestidor/status/1704826159463043335")</f>
        <v>https://twitter.com/einvestidor/status/1704826159463043335</v>
      </c>
      <c r="AF3446" s="79">
        <v>45190.495428240742</v>
      </c>
      <c r="AG3446" s="85">
        <v>45190</v>
      </c>
      <c r="AH3446" s="82" t="s">
        <v>10049</v>
      </c>
      <c r="AI3446" s="77" t="b">
        <v>0</v>
      </c>
      <c r="AJ3446" s="77"/>
      <c r="AK3446" s="77"/>
      <c r="AL3446" s="77"/>
      <c r="AM3446" s="77"/>
      <c r="AN3446" s="77"/>
      <c r="AO3446" s="77"/>
      <c r="AP3446" s="77"/>
      <c r="AQ3446" s="77" t="s">
        <v>11630</v>
      </c>
      <c r="AR3446" s="77"/>
      <c r="AS3446" s="77"/>
      <c r="AT3446" s="77"/>
      <c r="AU3446" s="77"/>
      <c r="AV3446" s="80" t="str">
        <f>HYPERLINK("https://pbs.twimg.com/media/F6jCLy7WgAAi37b.png")</f>
        <v>https://pbs.twimg.com/media/F6jCLy7WgAAi37b.png</v>
      </c>
      <c r="AW3446" s="82" t="s">
        <v>15042</v>
      </c>
      <c r="AX3446" s="82" t="s">
        <v>15042</v>
      </c>
      <c r="AY3446" s="77"/>
      <c r="AZ3446" s="82" t="s">
        <v>15984</v>
      </c>
      <c r="BA3446" s="82" t="s">
        <v>15984</v>
      </c>
      <c r="BB3446" s="82" t="s">
        <v>15984</v>
      </c>
      <c r="BC3446" s="82" t="s">
        <v>15042</v>
      </c>
      <c r="BD3446" s="82" t="s">
        <v>15979</v>
      </c>
      <c r="BE3446" s="77"/>
      <c r="BF3446" s="77"/>
      <c r="BG3446" s="77"/>
      <c r="BH3446" s="77"/>
      <c r="BI3446" s="77"/>
    </row>
    <row r="3447" spans="1:61" x14ac:dyDescent="0.25">
      <c r="A3447" s="62" t="s">
        <v>387</v>
      </c>
      <c r="B3447" s="62" t="s">
        <v>387</v>
      </c>
      <c r="C3447" s="63"/>
      <c r="D3447" s="64"/>
      <c r="E3447" s="65"/>
      <c r="F3447" s="66"/>
      <c r="G3447" s="63"/>
      <c r="H3447" s="67"/>
      <c r="I3447" s="68"/>
      <c r="J3447" s="68"/>
      <c r="K3447" s="32"/>
      <c r="L3447" s="75">
        <v>3447</v>
      </c>
      <c r="M3447" s="75"/>
      <c r="N3447" s="70"/>
      <c r="O3447" s="77" t="s">
        <v>179</v>
      </c>
      <c r="P3447" s="79">
        <v>45190.48060185185</v>
      </c>
      <c r="Q3447" s="77" t="s">
        <v>4117</v>
      </c>
      <c r="R3447" s="77">
        <v>0</v>
      </c>
      <c r="S3447" s="77">
        <v>3</v>
      </c>
      <c r="T3447" s="77">
        <v>0</v>
      </c>
      <c r="U3447" s="77">
        <v>0</v>
      </c>
      <c r="V3447" s="77">
        <v>426</v>
      </c>
      <c r="W3447" s="82" t="s">
        <v>6315</v>
      </c>
      <c r="X3447" s="80" t="str">
        <f>HYPERLINK("https://einvestidor.estadao.com.br/mercado/mercado-hoje-presidente-bc-europeu-radar-manutencao-juros-eua-corte-selic-brasil/?utm_source=twitter&amp;utm_medium=organic&amp;utm_campaign=mercado-hoje&amp;utm_content=materia")</f>
        <v>https://einvestidor.estadao.com.br/mercado/mercado-hoje-presidente-bc-europeu-radar-manutencao-juros-eua-corte-selic-brasil/?utm_source=twitter&amp;utm_medium=organic&amp;utm_campaign=mercado-hoje&amp;utm_content=materia</v>
      </c>
      <c r="Y3447" s="77" t="s">
        <v>6470</v>
      </c>
      <c r="Z3447" s="77"/>
      <c r="AA3447" s="77"/>
      <c r="AB3447" s="77"/>
      <c r="AC3447" s="82" t="s">
        <v>7750</v>
      </c>
      <c r="AD3447" s="77" t="s">
        <v>7788</v>
      </c>
      <c r="AE3447" s="80" t="str">
        <f>HYPERLINK("https://twitter.com/einvestidor/status/1704820786161156544")</f>
        <v>https://twitter.com/einvestidor/status/1704820786161156544</v>
      </c>
      <c r="AF3447" s="79">
        <v>45190.48060185185</v>
      </c>
      <c r="AG3447" s="85">
        <v>45190</v>
      </c>
      <c r="AH3447" s="82" t="s">
        <v>10050</v>
      </c>
      <c r="AI3447" s="77" t="b">
        <v>0</v>
      </c>
      <c r="AJ3447" s="77"/>
      <c r="AK3447" s="77"/>
      <c r="AL3447" s="77"/>
      <c r="AM3447" s="77"/>
      <c r="AN3447" s="77"/>
      <c r="AO3447" s="77"/>
      <c r="AP3447" s="77"/>
      <c r="AQ3447" s="77"/>
      <c r="AR3447" s="77"/>
      <c r="AS3447" s="77"/>
      <c r="AT3447" s="77"/>
      <c r="AU3447" s="77"/>
      <c r="AV3447" s="80" t="str">
        <f>HYPERLINK("https://pbs.twimg.com/profile_images/1241147984924082183/gZgx_hL-_normal.jpg")</f>
        <v>https://pbs.twimg.com/profile_images/1241147984924082183/gZgx_hL-_normal.jpg</v>
      </c>
      <c r="AW3447" s="82" t="s">
        <v>15043</v>
      </c>
      <c r="AX3447" s="82" t="s">
        <v>15043</v>
      </c>
      <c r="AY3447" s="77"/>
      <c r="AZ3447" s="82" t="s">
        <v>15984</v>
      </c>
      <c r="BA3447" s="82" t="s">
        <v>15984</v>
      </c>
      <c r="BB3447" s="82" t="s">
        <v>15984</v>
      </c>
      <c r="BC3447" s="82" t="s">
        <v>15043</v>
      </c>
      <c r="BD3447" s="82" t="s">
        <v>15979</v>
      </c>
      <c r="BE3447" s="77"/>
      <c r="BF3447" s="77"/>
      <c r="BG3447" s="77"/>
      <c r="BH3447" s="77"/>
      <c r="BI3447" s="77"/>
    </row>
    <row r="3448" spans="1:61" x14ac:dyDescent="0.25">
      <c r="A3448" s="62" t="s">
        <v>387</v>
      </c>
      <c r="B3448" s="62" t="s">
        <v>387</v>
      </c>
      <c r="C3448" s="63"/>
      <c r="D3448" s="64"/>
      <c r="E3448" s="65"/>
      <c r="F3448" s="66"/>
      <c r="G3448" s="63"/>
      <c r="H3448" s="67"/>
      <c r="I3448" s="68"/>
      <c r="J3448" s="68"/>
      <c r="K3448" s="32"/>
      <c r="L3448" s="75">
        <v>3448</v>
      </c>
      <c r="M3448" s="75"/>
      <c r="N3448" s="70"/>
      <c r="O3448" s="77" t="s">
        <v>179</v>
      </c>
      <c r="P3448" s="79">
        <v>45190.458344907405</v>
      </c>
      <c r="Q3448" s="77" t="s">
        <v>4118</v>
      </c>
      <c r="R3448" s="77">
        <v>0</v>
      </c>
      <c r="S3448" s="77">
        <v>2</v>
      </c>
      <c r="T3448" s="77">
        <v>0</v>
      </c>
      <c r="U3448" s="77">
        <v>0</v>
      </c>
      <c r="V3448" s="77">
        <v>354</v>
      </c>
      <c r="W3448" s="82" t="s">
        <v>4839</v>
      </c>
      <c r="X3448" s="80" t="str">
        <f>HYPERLINK("https://einvestidor.estadao.com.br/mercado/pesquisa-xp-motivo-queda-bolsa-setembro/?utm_source=twitter&amp;utm_medium=organic&amp;utm_campaign=renda-variavel&amp;utm_content=materia")</f>
        <v>https://einvestidor.estadao.com.br/mercado/pesquisa-xp-motivo-queda-bolsa-setembro/?utm_source=twitter&amp;utm_medium=organic&amp;utm_campaign=renda-variavel&amp;utm_content=materia</v>
      </c>
      <c r="Y3448" s="77" t="s">
        <v>6470</v>
      </c>
      <c r="Z3448" s="77"/>
      <c r="AA3448" s="77" t="s">
        <v>7659</v>
      </c>
      <c r="AB3448" s="77" t="s">
        <v>7742</v>
      </c>
      <c r="AC3448" s="82" t="s">
        <v>7750</v>
      </c>
      <c r="AD3448" s="77" t="s">
        <v>7788</v>
      </c>
      <c r="AE3448" s="80" t="str">
        <f>HYPERLINK("https://twitter.com/einvestidor/status/1704812720313512107")</f>
        <v>https://twitter.com/einvestidor/status/1704812720313512107</v>
      </c>
      <c r="AF3448" s="79">
        <v>45190.458344907405</v>
      </c>
      <c r="AG3448" s="85">
        <v>45190</v>
      </c>
      <c r="AH3448" s="82" t="s">
        <v>9304</v>
      </c>
      <c r="AI3448" s="77" t="b">
        <v>0</v>
      </c>
      <c r="AJ3448" s="77"/>
      <c r="AK3448" s="77"/>
      <c r="AL3448" s="77"/>
      <c r="AM3448" s="77"/>
      <c r="AN3448" s="77"/>
      <c r="AO3448" s="77"/>
      <c r="AP3448" s="77"/>
      <c r="AQ3448" s="77" t="s">
        <v>11631</v>
      </c>
      <c r="AR3448" s="77"/>
      <c r="AS3448" s="77"/>
      <c r="AT3448" s="77"/>
      <c r="AU3448" s="77"/>
      <c r="AV3448" s="80" t="str">
        <f>HYPERLINK("https://pbs.twimg.com/media/F6iwPdoXkAAX9_M.png")</f>
        <v>https://pbs.twimg.com/media/F6iwPdoXkAAX9_M.png</v>
      </c>
      <c r="AW3448" s="82" t="s">
        <v>15044</v>
      </c>
      <c r="AX3448" s="82" t="s">
        <v>15044</v>
      </c>
      <c r="AY3448" s="77"/>
      <c r="AZ3448" s="82" t="s">
        <v>15984</v>
      </c>
      <c r="BA3448" s="82" t="s">
        <v>15984</v>
      </c>
      <c r="BB3448" s="82" t="s">
        <v>15984</v>
      </c>
      <c r="BC3448" s="82" t="s">
        <v>15044</v>
      </c>
      <c r="BD3448" s="82" t="s">
        <v>15979</v>
      </c>
      <c r="BE3448" s="77"/>
      <c r="BF3448" s="77"/>
      <c r="BG3448" s="77"/>
      <c r="BH3448" s="77"/>
      <c r="BI3448" s="77"/>
    </row>
    <row r="3449" spans="1:61" x14ac:dyDescent="0.25">
      <c r="A3449" s="62" t="s">
        <v>387</v>
      </c>
      <c r="B3449" s="62" t="s">
        <v>387</v>
      </c>
      <c r="C3449" s="63"/>
      <c r="D3449" s="64"/>
      <c r="E3449" s="65"/>
      <c r="F3449" s="66"/>
      <c r="G3449" s="63"/>
      <c r="H3449" s="67"/>
      <c r="I3449" s="68"/>
      <c r="J3449" s="68"/>
      <c r="K3449" s="32"/>
      <c r="L3449" s="75">
        <v>3449</v>
      </c>
      <c r="M3449" s="75"/>
      <c r="N3449" s="70"/>
      <c r="O3449" s="77" t="s">
        <v>179</v>
      </c>
      <c r="P3449" s="79">
        <v>45190.45820601852</v>
      </c>
      <c r="Q3449" s="77" t="s">
        <v>4119</v>
      </c>
      <c r="R3449" s="77">
        <v>0</v>
      </c>
      <c r="S3449" s="77">
        <v>3</v>
      </c>
      <c r="T3449" s="77">
        <v>0</v>
      </c>
      <c r="U3449" s="77">
        <v>0</v>
      </c>
      <c r="V3449" s="77">
        <v>396</v>
      </c>
      <c r="W3449" s="82" t="s">
        <v>4839</v>
      </c>
      <c r="X3449" s="80" t="str">
        <f>HYPERLINK("https://einvestidor.estadao.com.br/ultimas/bolsas-europa-operam-apos-fed-sinalizar-alta-juros-espera-boe/?utm_source=twitter&amp;utm_medium=organic&amp;utm_campaign=europa&amp;utm_content=materia")</f>
        <v>https://einvestidor.estadao.com.br/ultimas/bolsas-europa-operam-apos-fed-sinalizar-alta-juros-espera-boe/?utm_source=twitter&amp;utm_medium=organic&amp;utm_campaign=europa&amp;utm_content=materia</v>
      </c>
      <c r="Y3449" s="77" t="s">
        <v>6470</v>
      </c>
      <c r="Z3449" s="77"/>
      <c r="AA3449" s="77"/>
      <c r="AB3449" s="77"/>
      <c r="AC3449" s="82" t="s">
        <v>7750</v>
      </c>
      <c r="AD3449" s="77" t="s">
        <v>7788</v>
      </c>
      <c r="AE3449" s="80" t="str">
        <f>HYPERLINK("https://twitter.com/einvestidor/status/1704812670875058628")</f>
        <v>https://twitter.com/einvestidor/status/1704812670875058628</v>
      </c>
      <c r="AF3449" s="79">
        <v>45190.45820601852</v>
      </c>
      <c r="AG3449" s="85">
        <v>45190</v>
      </c>
      <c r="AH3449" s="82" t="s">
        <v>10051</v>
      </c>
      <c r="AI3449" s="77" t="b">
        <v>0</v>
      </c>
      <c r="AJ3449" s="77"/>
      <c r="AK3449" s="77"/>
      <c r="AL3449" s="77"/>
      <c r="AM3449" s="77"/>
      <c r="AN3449" s="77"/>
      <c r="AO3449" s="77"/>
      <c r="AP3449" s="77"/>
      <c r="AQ3449" s="77"/>
      <c r="AR3449" s="77"/>
      <c r="AS3449" s="77"/>
      <c r="AT3449" s="77"/>
      <c r="AU3449" s="77"/>
      <c r="AV3449" s="80" t="str">
        <f>HYPERLINK("https://pbs.twimg.com/profile_images/1241147984924082183/gZgx_hL-_normal.jpg")</f>
        <v>https://pbs.twimg.com/profile_images/1241147984924082183/gZgx_hL-_normal.jpg</v>
      </c>
      <c r="AW3449" s="82" t="s">
        <v>15045</v>
      </c>
      <c r="AX3449" s="82" t="s">
        <v>15045</v>
      </c>
      <c r="AY3449" s="77"/>
      <c r="AZ3449" s="82" t="s">
        <v>15984</v>
      </c>
      <c r="BA3449" s="82" t="s">
        <v>15984</v>
      </c>
      <c r="BB3449" s="82" t="s">
        <v>15984</v>
      </c>
      <c r="BC3449" s="82" t="s">
        <v>15045</v>
      </c>
      <c r="BD3449" s="82" t="s">
        <v>15979</v>
      </c>
      <c r="BE3449" s="77"/>
      <c r="BF3449" s="77"/>
      <c r="BG3449" s="77"/>
      <c r="BH3449" s="77"/>
      <c r="BI3449" s="77"/>
    </row>
    <row r="3450" spans="1:61" x14ac:dyDescent="0.25">
      <c r="A3450" s="62" t="s">
        <v>387</v>
      </c>
      <c r="B3450" s="62" t="s">
        <v>387</v>
      </c>
      <c r="C3450" s="63"/>
      <c r="D3450" s="64"/>
      <c r="E3450" s="65"/>
      <c r="F3450" s="66"/>
      <c r="G3450" s="63"/>
      <c r="H3450" s="67"/>
      <c r="I3450" s="68"/>
      <c r="J3450" s="68"/>
      <c r="K3450" s="32"/>
      <c r="L3450" s="75">
        <v>3450</v>
      </c>
      <c r="M3450" s="75"/>
      <c r="N3450" s="70"/>
      <c r="O3450" s="77" t="s">
        <v>179</v>
      </c>
      <c r="P3450" s="79">
        <v>45190.444548611114</v>
      </c>
      <c r="Q3450" s="77" t="s">
        <v>4120</v>
      </c>
      <c r="R3450" s="77">
        <v>0</v>
      </c>
      <c r="S3450" s="77">
        <v>3</v>
      </c>
      <c r="T3450" s="77">
        <v>0</v>
      </c>
      <c r="U3450" s="77">
        <v>0</v>
      </c>
      <c r="V3450" s="77">
        <v>439</v>
      </c>
      <c r="W3450" s="82" t="s">
        <v>4839</v>
      </c>
      <c r="X3450" s="80" t="str">
        <f>HYPERLINK("https://einvestidor.estadao.com.br/noticias/bolsas-da-asia-fechamento-sinalizacao-fed/?utm_source=twitter&amp;utm_medium=organic&amp;utm_campaign=asia&amp;utm_content=materia")</f>
        <v>https://einvestidor.estadao.com.br/noticias/bolsas-da-asia-fechamento-sinalizacao-fed/?utm_source=twitter&amp;utm_medium=organic&amp;utm_campaign=asia&amp;utm_content=materia</v>
      </c>
      <c r="Y3450" s="77" t="s">
        <v>6470</v>
      </c>
      <c r="Z3450" s="77"/>
      <c r="AA3450" s="77" t="s">
        <v>7660</v>
      </c>
      <c r="AB3450" s="77" t="s">
        <v>7742</v>
      </c>
      <c r="AC3450" s="82" t="s">
        <v>7750</v>
      </c>
      <c r="AD3450" s="77" t="s">
        <v>7788</v>
      </c>
      <c r="AE3450" s="80" t="str">
        <f>HYPERLINK("https://twitter.com/einvestidor/status/1704807723802517795")</f>
        <v>https://twitter.com/einvestidor/status/1704807723802517795</v>
      </c>
      <c r="AF3450" s="79">
        <v>45190.444548611114</v>
      </c>
      <c r="AG3450" s="85">
        <v>45190</v>
      </c>
      <c r="AH3450" s="82" t="s">
        <v>10052</v>
      </c>
      <c r="AI3450" s="77" t="b">
        <v>0</v>
      </c>
      <c r="AJ3450" s="77"/>
      <c r="AK3450" s="77"/>
      <c r="AL3450" s="77"/>
      <c r="AM3450" s="77"/>
      <c r="AN3450" s="77"/>
      <c r="AO3450" s="77"/>
      <c r="AP3450" s="77"/>
      <c r="AQ3450" s="77" t="s">
        <v>11632</v>
      </c>
      <c r="AR3450" s="77"/>
      <c r="AS3450" s="77"/>
      <c r="AT3450" s="77"/>
      <c r="AU3450" s="77"/>
      <c r="AV3450" s="80" t="str">
        <f>HYPERLINK("https://pbs.twimg.com/media/F6ixkDzXEAA_Njr.png")</f>
        <v>https://pbs.twimg.com/media/F6ixkDzXEAA_Njr.png</v>
      </c>
      <c r="AW3450" s="82" t="s">
        <v>15046</v>
      </c>
      <c r="AX3450" s="82" t="s">
        <v>15046</v>
      </c>
      <c r="AY3450" s="77"/>
      <c r="AZ3450" s="82" t="s">
        <v>15984</v>
      </c>
      <c r="BA3450" s="82" t="s">
        <v>15984</v>
      </c>
      <c r="BB3450" s="82" t="s">
        <v>15984</v>
      </c>
      <c r="BC3450" s="82" t="s">
        <v>15046</v>
      </c>
      <c r="BD3450" s="82" t="s">
        <v>15979</v>
      </c>
      <c r="BE3450" s="77"/>
      <c r="BF3450" s="77"/>
      <c r="BG3450" s="77"/>
      <c r="BH3450" s="77"/>
      <c r="BI3450" s="77"/>
    </row>
    <row r="3451" spans="1:61" x14ac:dyDescent="0.25">
      <c r="A3451" s="62" t="s">
        <v>387</v>
      </c>
      <c r="B3451" s="62" t="s">
        <v>387</v>
      </c>
      <c r="C3451" s="63"/>
      <c r="D3451" s="64"/>
      <c r="E3451" s="65"/>
      <c r="F3451" s="66"/>
      <c r="G3451" s="63"/>
      <c r="H3451" s="67"/>
      <c r="I3451" s="68"/>
      <c r="J3451" s="68"/>
      <c r="K3451" s="32"/>
      <c r="L3451" s="75">
        <v>3451</v>
      </c>
      <c r="M3451" s="75"/>
      <c r="N3451" s="70"/>
      <c r="O3451" s="77" t="s">
        <v>179</v>
      </c>
      <c r="P3451" s="79">
        <v>45190.03125</v>
      </c>
      <c r="Q3451" s="77" t="s">
        <v>4121</v>
      </c>
      <c r="R3451" s="77">
        <v>0</v>
      </c>
      <c r="S3451" s="77">
        <v>0</v>
      </c>
      <c r="T3451" s="77">
        <v>4</v>
      </c>
      <c r="U3451" s="77">
        <v>0</v>
      </c>
      <c r="V3451" s="77">
        <v>772</v>
      </c>
      <c r="W3451" s="82" t="s">
        <v>6316</v>
      </c>
      <c r="X3451" s="80" t="str">
        <f>HYPERLINK("https://einvestidor.estadao.com.br/ultimas/bradesco-bbi-avalia-venda-carteira-anima/?utm_source=twitter&amp;utm_medium=organic&amp;utm_campaign=&amp;utm_content=materia")</f>
        <v>https://einvestidor.estadao.com.br/ultimas/bradesco-bbi-avalia-venda-carteira-anima/?utm_source=twitter&amp;utm_medium=organic&amp;utm_campaign=&amp;utm_content=materia</v>
      </c>
      <c r="Y3451" s="77" t="s">
        <v>6470</v>
      </c>
      <c r="Z3451" s="77"/>
      <c r="AA3451" s="77"/>
      <c r="AB3451" s="77"/>
      <c r="AC3451" s="82" t="s">
        <v>7750</v>
      </c>
      <c r="AD3451" s="77" t="s">
        <v>7788</v>
      </c>
      <c r="AE3451" s="80" t="str">
        <f>HYPERLINK("https://twitter.com/einvestidor/status/1704657946758553637")</f>
        <v>https://twitter.com/einvestidor/status/1704657946758553637</v>
      </c>
      <c r="AF3451" s="79">
        <v>45190.03125</v>
      </c>
      <c r="AG3451" s="85">
        <v>45190</v>
      </c>
      <c r="AH3451" s="82" t="s">
        <v>9602</v>
      </c>
      <c r="AI3451" s="77" t="b">
        <v>0</v>
      </c>
      <c r="AJ3451" s="77"/>
      <c r="AK3451" s="77"/>
      <c r="AL3451" s="77"/>
      <c r="AM3451" s="77"/>
      <c r="AN3451" s="77"/>
      <c r="AO3451" s="77"/>
      <c r="AP3451" s="77"/>
      <c r="AQ3451" s="77"/>
      <c r="AR3451" s="77"/>
      <c r="AS3451" s="77"/>
      <c r="AT3451" s="77"/>
      <c r="AU3451" s="77"/>
      <c r="AV3451" s="80" t="str">
        <f>HYPERLINK("https://pbs.twimg.com/profile_images/1241147984924082183/gZgx_hL-_normal.jpg")</f>
        <v>https://pbs.twimg.com/profile_images/1241147984924082183/gZgx_hL-_normal.jpg</v>
      </c>
      <c r="AW3451" s="82" t="s">
        <v>15047</v>
      </c>
      <c r="AX3451" s="82" t="s">
        <v>15047</v>
      </c>
      <c r="AY3451" s="77"/>
      <c r="AZ3451" s="82" t="s">
        <v>15984</v>
      </c>
      <c r="BA3451" s="82" t="s">
        <v>15984</v>
      </c>
      <c r="BB3451" s="82" t="s">
        <v>15984</v>
      </c>
      <c r="BC3451" s="82" t="s">
        <v>15047</v>
      </c>
      <c r="BD3451" s="82" t="s">
        <v>15979</v>
      </c>
      <c r="BE3451" s="77"/>
      <c r="BF3451" s="77"/>
      <c r="BG3451" s="77"/>
      <c r="BH3451" s="77"/>
      <c r="BI3451" s="77"/>
    </row>
    <row r="3452" spans="1:61" x14ac:dyDescent="0.25">
      <c r="A3452" s="62" t="s">
        <v>387</v>
      </c>
      <c r="B3452" s="62" t="s">
        <v>387</v>
      </c>
      <c r="C3452" s="63"/>
      <c r="D3452" s="64"/>
      <c r="E3452" s="65"/>
      <c r="F3452" s="66"/>
      <c r="G3452" s="63"/>
      <c r="H3452" s="67"/>
      <c r="I3452" s="68"/>
      <c r="J3452" s="68"/>
      <c r="K3452" s="32"/>
      <c r="L3452" s="75">
        <v>3452</v>
      </c>
      <c r="M3452" s="75"/>
      <c r="N3452" s="70"/>
      <c r="O3452" s="77" t="s">
        <v>179</v>
      </c>
      <c r="P3452" s="79">
        <v>45190.020833333336</v>
      </c>
      <c r="Q3452" s="77" t="s">
        <v>4122</v>
      </c>
      <c r="R3452" s="77">
        <v>0</v>
      </c>
      <c r="S3452" s="77">
        <v>0</v>
      </c>
      <c r="T3452" s="77">
        <v>0</v>
      </c>
      <c r="U3452" s="77">
        <v>0</v>
      </c>
      <c r="V3452" s="77">
        <v>472</v>
      </c>
      <c r="W3452" s="82" t="s">
        <v>6085</v>
      </c>
      <c r="X3452" s="80" t="str">
        <f>HYPERLINK("https://einvestidor.estadao.com.br/ultimas/dolar-hoje-fecha-alta-falas-presidente-fed/?utm_source=twitter&amp;utm_medium=organic&amp;utm_campaign=&amp;utm_content=materia")</f>
        <v>https://einvestidor.estadao.com.br/ultimas/dolar-hoje-fecha-alta-falas-presidente-fed/?utm_source=twitter&amp;utm_medium=organic&amp;utm_campaign=&amp;utm_content=materia</v>
      </c>
      <c r="Y3452" s="77" t="s">
        <v>6470</v>
      </c>
      <c r="Z3452" s="77"/>
      <c r="AA3452" s="77"/>
      <c r="AB3452" s="77"/>
      <c r="AC3452" s="82" t="s">
        <v>7750</v>
      </c>
      <c r="AD3452" s="77" t="s">
        <v>7788</v>
      </c>
      <c r="AE3452" s="80" t="str">
        <f>HYPERLINK("https://twitter.com/einvestidor/status/1704654172186984702")</f>
        <v>https://twitter.com/einvestidor/status/1704654172186984702</v>
      </c>
      <c r="AF3452" s="79">
        <v>45190.020833333336</v>
      </c>
      <c r="AG3452" s="85">
        <v>45190</v>
      </c>
      <c r="AH3452" s="82" t="s">
        <v>8088</v>
      </c>
      <c r="AI3452" s="77" t="b">
        <v>0</v>
      </c>
      <c r="AJ3452" s="77"/>
      <c r="AK3452" s="77"/>
      <c r="AL3452" s="77"/>
      <c r="AM3452" s="77"/>
      <c r="AN3452" s="77"/>
      <c r="AO3452" s="77"/>
      <c r="AP3452" s="77"/>
      <c r="AQ3452" s="77"/>
      <c r="AR3452" s="77"/>
      <c r="AS3452" s="77"/>
      <c r="AT3452" s="77"/>
      <c r="AU3452" s="77"/>
      <c r="AV3452" s="80" t="str">
        <f>HYPERLINK("https://pbs.twimg.com/profile_images/1241147984924082183/gZgx_hL-_normal.jpg")</f>
        <v>https://pbs.twimg.com/profile_images/1241147984924082183/gZgx_hL-_normal.jpg</v>
      </c>
      <c r="AW3452" s="82" t="s">
        <v>15048</v>
      </c>
      <c r="AX3452" s="82" t="s">
        <v>15048</v>
      </c>
      <c r="AY3452" s="77"/>
      <c r="AZ3452" s="82" t="s">
        <v>15984</v>
      </c>
      <c r="BA3452" s="82" t="s">
        <v>15984</v>
      </c>
      <c r="BB3452" s="82" t="s">
        <v>15984</v>
      </c>
      <c r="BC3452" s="82" t="s">
        <v>15048</v>
      </c>
      <c r="BD3452" s="82" t="s">
        <v>15979</v>
      </c>
      <c r="BE3452" s="77"/>
      <c r="BF3452" s="77"/>
      <c r="BG3452" s="77"/>
      <c r="BH3452" s="77"/>
      <c r="BI3452" s="77"/>
    </row>
    <row r="3453" spans="1:61" x14ac:dyDescent="0.25">
      <c r="A3453" s="62" t="s">
        <v>387</v>
      </c>
      <c r="B3453" s="62" t="s">
        <v>387</v>
      </c>
      <c r="C3453" s="63"/>
      <c r="D3453" s="64"/>
      <c r="E3453" s="65"/>
      <c r="F3453" s="66"/>
      <c r="G3453" s="63"/>
      <c r="H3453" s="67"/>
      <c r="I3453" s="68"/>
      <c r="J3453" s="68"/>
      <c r="K3453" s="32"/>
      <c r="L3453" s="75">
        <v>3453</v>
      </c>
      <c r="M3453" s="75"/>
      <c r="N3453" s="70"/>
      <c r="O3453" s="77" t="s">
        <v>179</v>
      </c>
      <c r="P3453" s="79">
        <v>45190.010416666664</v>
      </c>
      <c r="Q3453" s="77" t="s">
        <v>4123</v>
      </c>
      <c r="R3453" s="77">
        <v>0</v>
      </c>
      <c r="S3453" s="77">
        <v>0</v>
      </c>
      <c r="T3453" s="77">
        <v>0</v>
      </c>
      <c r="U3453" s="77">
        <v>0</v>
      </c>
      <c r="V3453" s="77">
        <v>602</v>
      </c>
      <c r="W3453" s="82" t="s">
        <v>5908</v>
      </c>
      <c r="X3453" s="80" t="str">
        <f>HYPERLINK("https://einvestidor.estadao.com.br/ultimas/mglu3-magazine-luiza-acoes-fecham-alta-079-varejo/?utm_source=twitter&amp;utm_medium=organic&amp;utm_campaign=&amp;utm_content=materia")</f>
        <v>https://einvestidor.estadao.com.br/ultimas/mglu3-magazine-luiza-acoes-fecham-alta-079-varejo/?utm_source=twitter&amp;utm_medium=organic&amp;utm_campaign=&amp;utm_content=materia</v>
      </c>
      <c r="Y3453" s="77" t="s">
        <v>6470</v>
      </c>
      <c r="Z3453" s="77"/>
      <c r="AA3453" s="77"/>
      <c r="AB3453" s="77"/>
      <c r="AC3453" s="82" t="s">
        <v>7750</v>
      </c>
      <c r="AD3453" s="77" t="s">
        <v>7788</v>
      </c>
      <c r="AE3453" s="80" t="str">
        <f>HYPERLINK("https://twitter.com/einvestidor/status/1704650397061874001")</f>
        <v>https://twitter.com/einvestidor/status/1704650397061874001</v>
      </c>
      <c r="AF3453" s="79">
        <v>45190.010416666664</v>
      </c>
      <c r="AG3453" s="85">
        <v>45190</v>
      </c>
      <c r="AH3453" s="82" t="s">
        <v>8119</v>
      </c>
      <c r="AI3453" s="77" t="b">
        <v>0</v>
      </c>
      <c r="AJ3453" s="77"/>
      <c r="AK3453" s="77"/>
      <c r="AL3453" s="77"/>
      <c r="AM3453" s="77"/>
      <c r="AN3453" s="77"/>
      <c r="AO3453" s="77"/>
      <c r="AP3453" s="77"/>
      <c r="AQ3453" s="77"/>
      <c r="AR3453" s="77"/>
      <c r="AS3453" s="77"/>
      <c r="AT3453" s="77"/>
      <c r="AU3453" s="77"/>
      <c r="AV3453" s="80" t="str">
        <f>HYPERLINK("https://pbs.twimg.com/profile_images/1241147984924082183/gZgx_hL-_normal.jpg")</f>
        <v>https://pbs.twimg.com/profile_images/1241147984924082183/gZgx_hL-_normal.jpg</v>
      </c>
      <c r="AW3453" s="82" t="s">
        <v>15049</v>
      </c>
      <c r="AX3453" s="82" t="s">
        <v>15049</v>
      </c>
      <c r="AY3453" s="77"/>
      <c r="AZ3453" s="82" t="s">
        <v>15984</v>
      </c>
      <c r="BA3453" s="82" t="s">
        <v>15984</v>
      </c>
      <c r="BB3453" s="82" t="s">
        <v>15984</v>
      </c>
      <c r="BC3453" s="82" t="s">
        <v>15049</v>
      </c>
      <c r="BD3453" s="82" t="s">
        <v>15979</v>
      </c>
      <c r="BE3453" s="77"/>
      <c r="BF3453" s="77"/>
      <c r="BG3453" s="77"/>
      <c r="BH3453" s="77"/>
      <c r="BI3453" s="77"/>
    </row>
    <row r="3454" spans="1:61" x14ac:dyDescent="0.25">
      <c r="A3454" s="62" t="s">
        <v>387</v>
      </c>
      <c r="B3454" s="62" t="s">
        <v>387</v>
      </c>
      <c r="C3454" s="63"/>
      <c r="D3454" s="64"/>
      <c r="E3454" s="65"/>
      <c r="F3454" s="66"/>
      <c r="G3454" s="63"/>
      <c r="H3454" s="67"/>
      <c r="I3454" s="68"/>
      <c r="J3454" s="68"/>
      <c r="K3454" s="32"/>
      <c r="L3454" s="75">
        <v>3454</v>
      </c>
      <c r="M3454" s="75"/>
      <c r="N3454" s="70"/>
      <c r="O3454" s="77" t="s">
        <v>179</v>
      </c>
      <c r="P3454" s="79">
        <v>45190</v>
      </c>
      <c r="Q3454" s="77" t="s">
        <v>4124</v>
      </c>
      <c r="R3454" s="77">
        <v>0</v>
      </c>
      <c r="S3454" s="77">
        <v>2</v>
      </c>
      <c r="T3454" s="77">
        <v>0</v>
      </c>
      <c r="U3454" s="77">
        <v>0</v>
      </c>
      <c r="V3454" s="77">
        <v>497</v>
      </c>
      <c r="W3454" s="82" t="s">
        <v>4833</v>
      </c>
      <c r="X3454" s="80" t="str">
        <f>HYPERLINK("https://einvestidor.estadao.com.br/ultimas/bolsas-nova-york-fecham-queda-apos-decisao-fed/?utm_source=twitter&amp;utm_medium=organic&amp;utm_campaign=&amp;utm_content=materia")</f>
        <v>https://einvestidor.estadao.com.br/ultimas/bolsas-nova-york-fecham-queda-apos-decisao-fed/?utm_source=twitter&amp;utm_medium=organic&amp;utm_campaign=&amp;utm_content=materia</v>
      </c>
      <c r="Y3454" s="77" t="s">
        <v>6470</v>
      </c>
      <c r="Z3454" s="77"/>
      <c r="AA3454" s="77"/>
      <c r="AB3454" s="77"/>
      <c r="AC3454" s="82" t="s">
        <v>7750</v>
      </c>
      <c r="AD3454" s="77" t="s">
        <v>7788</v>
      </c>
      <c r="AE3454" s="80" t="str">
        <f>HYPERLINK("https://twitter.com/einvestidor/status/1704646622167359923")</f>
        <v>https://twitter.com/einvestidor/status/1704646622167359923</v>
      </c>
      <c r="AF3454" s="79">
        <v>45190</v>
      </c>
      <c r="AG3454" s="85">
        <v>45190</v>
      </c>
      <c r="AH3454" s="82" t="s">
        <v>9300</v>
      </c>
      <c r="AI3454" s="77" t="b">
        <v>0</v>
      </c>
      <c r="AJ3454" s="77"/>
      <c r="AK3454" s="77"/>
      <c r="AL3454" s="77"/>
      <c r="AM3454" s="77"/>
      <c r="AN3454" s="77"/>
      <c r="AO3454" s="77"/>
      <c r="AP3454" s="77"/>
      <c r="AQ3454" s="77"/>
      <c r="AR3454" s="77"/>
      <c r="AS3454" s="77"/>
      <c r="AT3454" s="77"/>
      <c r="AU3454" s="77"/>
      <c r="AV3454" s="80" t="str">
        <f>HYPERLINK("https://pbs.twimg.com/profile_images/1241147984924082183/gZgx_hL-_normal.jpg")</f>
        <v>https://pbs.twimg.com/profile_images/1241147984924082183/gZgx_hL-_normal.jpg</v>
      </c>
      <c r="AW3454" s="82" t="s">
        <v>15050</v>
      </c>
      <c r="AX3454" s="82" t="s">
        <v>15050</v>
      </c>
      <c r="AY3454" s="77"/>
      <c r="AZ3454" s="82" t="s">
        <v>15984</v>
      </c>
      <c r="BA3454" s="82" t="s">
        <v>15984</v>
      </c>
      <c r="BB3454" s="82" t="s">
        <v>15984</v>
      </c>
      <c r="BC3454" s="82" t="s">
        <v>15050</v>
      </c>
      <c r="BD3454" s="82" t="s">
        <v>15979</v>
      </c>
      <c r="BE3454" s="77"/>
      <c r="BF3454" s="77"/>
      <c r="BG3454" s="77"/>
      <c r="BH3454" s="77"/>
      <c r="BI3454" s="77"/>
    </row>
    <row r="3455" spans="1:61" x14ac:dyDescent="0.25">
      <c r="A3455" s="62" t="s">
        <v>387</v>
      </c>
      <c r="B3455" s="62" t="s">
        <v>387</v>
      </c>
      <c r="C3455" s="63"/>
      <c r="D3455" s="64"/>
      <c r="E3455" s="65"/>
      <c r="F3455" s="66"/>
      <c r="G3455" s="63"/>
      <c r="H3455" s="67"/>
      <c r="I3455" s="68"/>
      <c r="J3455" s="68"/>
      <c r="K3455" s="32"/>
      <c r="L3455" s="75">
        <v>3455</v>
      </c>
      <c r="M3455" s="75"/>
      <c r="N3455" s="70"/>
      <c r="O3455" s="77" t="s">
        <v>179</v>
      </c>
      <c r="P3455" s="79">
        <v>45189.989583333336</v>
      </c>
      <c r="Q3455" s="77" t="s">
        <v>4125</v>
      </c>
      <c r="R3455" s="77">
        <v>0</v>
      </c>
      <c r="S3455" s="77">
        <v>2</v>
      </c>
      <c r="T3455" s="77">
        <v>8</v>
      </c>
      <c r="U3455" s="77">
        <v>0</v>
      </c>
      <c r="V3455" s="77">
        <v>551</v>
      </c>
      <c r="W3455" s="82" t="s">
        <v>5907</v>
      </c>
      <c r="X3455" s="80" t="str">
        <f>HYPERLINK("https://einvestidor.estadao.com.br/ultimas/vale3-vale-acoes-fecham-alta-firmeza-setor-ajuda-ibovespa/?utm_source=twitter&amp;utm_medium=organic&amp;utm_campaign=&amp;utm_content=materia")</f>
        <v>https://einvestidor.estadao.com.br/ultimas/vale3-vale-acoes-fecham-alta-firmeza-setor-ajuda-ibovespa/?utm_source=twitter&amp;utm_medium=organic&amp;utm_campaign=&amp;utm_content=materia</v>
      </c>
      <c r="Y3455" s="77" t="s">
        <v>6470</v>
      </c>
      <c r="Z3455" s="77"/>
      <c r="AA3455" s="77"/>
      <c r="AB3455" s="77"/>
      <c r="AC3455" s="82" t="s">
        <v>7750</v>
      </c>
      <c r="AD3455" s="77" t="s">
        <v>7788</v>
      </c>
      <c r="AE3455" s="80" t="str">
        <f>HYPERLINK("https://twitter.com/einvestidor/status/1704642847448944731")</f>
        <v>https://twitter.com/einvestidor/status/1704642847448944731</v>
      </c>
      <c r="AF3455" s="79">
        <v>45189.989583333336</v>
      </c>
      <c r="AG3455" s="85">
        <v>45189</v>
      </c>
      <c r="AH3455" s="82" t="s">
        <v>9620</v>
      </c>
      <c r="AI3455" s="77" t="b">
        <v>0</v>
      </c>
      <c r="AJ3455" s="77"/>
      <c r="AK3455" s="77"/>
      <c r="AL3455" s="77"/>
      <c r="AM3455" s="77"/>
      <c r="AN3455" s="77"/>
      <c r="AO3455" s="77"/>
      <c r="AP3455" s="77"/>
      <c r="AQ3455" s="77"/>
      <c r="AR3455" s="77"/>
      <c r="AS3455" s="77"/>
      <c r="AT3455" s="77"/>
      <c r="AU3455" s="77"/>
      <c r="AV3455" s="80" t="str">
        <f>HYPERLINK("https://pbs.twimg.com/profile_images/1241147984924082183/gZgx_hL-_normal.jpg")</f>
        <v>https://pbs.twimg.com/profile_images/1241147984924082183/gZgx_hL-_normal.jpg</v>
      </c>
      <c r="AW3455" s="82" t="s">
        <v>15051</v>
      </c>
      <c r="AX3455" s="82" t="s">
        <v>15051</v>
      </c>
      <c r="AY3455" s="77"/>
      <c r="AZ3455" s="82" t="s">
        <v>15984</v>
      </c>
      <c r="BA3455" s="82" t="s">
        <v>15984</v>
      </c>
      <c r="BB3455" s="82" t="s">
        <v>15984</v>
      </c>
      <c r="BC3455" s="82" t="s">
        <v>15051</v>
      </c>
      <c r="BD3455" s="82" t="s">
        <v>15979</v>
      </c>
      <c r="BE3455" s="77"/>
      <c r="BF3455" s="77"/>
      <c r="BG3455" s="77"/>
      <c r="BH3455" s="77"/>
      <c r="BI3455" s="77"/>
    </row>
    <row r="3456" spans="1:61" x14ac:dyDescent="0.25">
      <c r="A3456" s="62" t="s">
        <v>387</v>
      </c>
      <c r="B3456" s="62" t="s">
        <v>387</v>
      </c>
      <c r="C3456" s="63"/>
      <c r="D3456" s="64"/>
      <c r="E3456" s="65"/>
      <c r="F3456" s="66"/>
      <c r="G3456" s="63"/>
      <c r="H3456" s="67"/>
      <c r="I3456" s="68"/>
      <c r="J3456" s="68"/>
      <c r="K3456" s="32"/>
      <c r="L3456" s="75">
        <v>3456</v>
      </c>
      <c r="M3456" s="75"/>
      <c r="N3456" s="70"/>
      <c r="O3456" s="77" t="s">
        <v>179</v>
      </c>
      <c r="P3456" s="79">
        <v>45189.979166666664</v>
      </c>
      <c r="Q3456" s="77" t="s">
        <v>4126</v>
      </c>
      <c r="R3456" s="77">
        <v>0</v>
      </c>
      <c r="S3456" s="77">
        <v>0</v>
      </c>
      <c r="T3456" s="77">
        <v>0</v>
      </c>
      <c r="U3456" s="77">
        <v>0</v>
      </c>
      <c r="V3456" s="77">
        <v>479</v>
      </c>
      <c r="W3456" s="82" t="s">
        <v>4833</v>
      </c>
      <c r="X3456" s="80" t="str">
        <f>HYPERLINK("https://einvestidor.estadao.com.br/ultimas/juros-treasuries-curto-prazo-sobem-decisao-fed/?utm_source=twitter&amp;utm_medium=organic&amp;utm_campaign=&amp;utm_content=materia")</f>
        <v>https://einvestidor.estadao.com.br/ultimas/juros-treasuries-curto-prazo-sobem-decisao-fed/?utm_source=twitter&amp;utm_medium=organic&amp;utm_campaign=&amp;utm_content=materia</v>
      </c>
      <c r="Y3456" s="77" t="s">
        <v>6470</v>
      </c>
      <c r="Z3456" s="77"/>
      <c r="AA3456" s="77"/>
      <c r="AB3456" s="77"/>
      <c r="AC3456" s="82" t="s">
        <v>7750</v>
      </c>
      <c r="AD3456" s="77" t="s">
        <v>7788</v>
      </c>
      <c r="AE3456" s="80" t="str">
        <f>HYPERLINK("https://twitter.com/einvestidor/status/1704639073036513465")</f>
        <v>https://twitter.com/einvestidor/status/1704639073036513465</v>
      </c>
      <c r="AF3456" s="79">
        <v>45189.979166666664</v>
      </c>
      <c r="AG3456" s="85">
        <v>45189</v>
      </c>
      <c r="AH3456" s="82" t="s">
        <v>7928</v>
      </c>
      <c r="AI3456" s="77" t="b">
        <v>0</v>
      </c>
      <c r="AJ3456" s="77"/>
      <c r="AK3456" s="77"/>
      <c r="AL3456" s="77"/>
      <c r="AM3456" s="77"/>
      <c r="AN3456" s="77"/>
      <c r="AO3456" s="77"/>
      <c r="AP3456" s="77"/>
      <c r="AQ3456" s="77"/>
      <c r="AR3456" s="77"/>
      <c r="AS3456" s="77"/>
      <c r="AT3456" s="77"/>
      <c r="AU3456" s="77"/>
      <c r="AV3456" s="80" t="str">
        <f>HYPERLINK("https://pbs.twimg.com/profile_images/1241147984924082183/gZgx_hL-_normal.jpg")</f>
        <v>https://pbs.twimg.com/profile_images/1241147984924082183/gZgx_hL-_normal.jpg</v>
      </c>
      <c r="AW3456" s="82" t="s">
        <v>15052</v>
      </c>
      <c r="AX3456" s="82" t="s">
        <v>15052</v>
      </c>
      <c r="AY3456" s="77"/>
      <c r="AZ3456" s="82" t="s">
        <v>15984</v>
      </c>
      <c r="BA3456" s="82" t="s">
        <v>15984</v>
      </c>
      <c r="BB3456" s="82" t="s">
        <v>15984</v>
      </c>
      <c r="BC3456" s="82" t="s">
        <v>15052</v>
      </c>
      <c r="BD3456" s="82" t="s">
        <v>15979</v>
      </c>
      <c r="BE3456" s="77"/>
      <c r="BF3456" s="77"/>
      <c r="BG3456" s="77"/>
      <c r="BH3456" s="77"/>
      <c r="BI3456" s="77"/>
    </row>
    <row r="3457" spans="1:61" x14ac:dyDescent="0.25">
      <c r="A3457" s="62" t="s">
        <v>387</v>
      </c>
      <c r="B3457" s="62" t="s">
        <v>387</v>
      </c>
      <c r="C3457" s="63"/>
      <c r="D3457" s="64"/>
      <c r="E3457" s="65"/>
      <c r="F3457" s="66"/>
      <c r="G3457" s="63"/>
      <c r="H3457" s="67"/>
      <c r="I3457" s="68"/>
      <c r="J3457" s="68"/>
      <c r="K3457" s="32"/>
      <c r="L3457" s="75">
        <v>3457</v>
      </c>
      <c r="M3457" s="75"/>
      <c r="N3457" s="70"/>
      <c r="O3457" s="77" t="s">
        <v>179</v>
      </c>
      <c r="P3457" s="79">
        <v>45189.96875</v>
      </c>
      <c r="Q3457" s="77" t="s">
        <v>4127</v>
      </c>
      <c r="R3457" s="77">
        <v>0</v>
      </c>
      <c r="S3457" s="77">
        <v>0</v>
      </c>
      <c r="T3457" s="77">
        <v>0</v>
      </c>
      <c r="U3457" s="77">
        <v>0</v>
      </c>
      <c r="V3457" s="77">
        <v>550</v>
      </c>
      <c r="W3457" s="82" t="s">
        <v>6064</v>
      </c>
      <c r="X3457" s="80" t="str">
        <f>HYPERLINK("https://einvestidor.estadao.com.br/ultimas/petr4-petrobras-acoes-encerram-alta-apos-decisao-juros-americanos/?utm_source=twitter&amp;utm_medium=organic&amp;utm_campaign=&amp;utm_content=materia")</f>
        <v>https://einvestidor.estadao.com.br/ultimas/petr4-petrobras-acoes-encerram-alta-apos-decisao-juros-americanos/?utm_source=twitter&amp;utm_medium=organic&amp;utm_campaign=&amp;utm_content=materia</v>
      </c>
      <c r="Y3457" s="77" t="s">
        <v>6470</v>
      </c>
      <c r="Z3457" s="77"/>
      <c r="AA3457" s="77"/>
      <c r="AB3457" s="77"/>
      <c r="AC3457" s="82" t="s">
        <v>7750</v>
      </c>
      <c r="AD3457" s="77" t="s">
        <v>7788</v>
      </c>
      <c r="AE3457" s="80" t="str">
        <f>HYPERLINK("https://twitter.com/einvestidor/status/1704635297722716594")</f>
        <v>https://twitter.com/einvestidor/status/1704635297722716594</v>
      </c>
      <c r="AF3457" s="79">
        <v>45189.96875</v>
      </c>
      <c r="AG3457" s="85">
        <v>45189</v>
      </c>
      <c r="AH3457" s="82" t="s">
        <v>9621</v>
      </c>
      <c r="AI3457" s="77" t="b">
        <v>0</v>
      </c>
      <c r="AJ3457" s="77"/>
      <c r="AK3457" s="77"/>
      <c r="AL3457" s="77"/>
      <c r="AM3457" s="77"/>
      <c r="AN3457" s="77"/>
      <c r="AO3457" s="77"/>
      <c r="AP3457" s="77"/>
      <c r="AQ3457" s="77"/>
      <c r="AR3457" s="77"/>
      <c r="AS3457" s="77"/>
      <c r="AT3457" s="77"/>
      <c r="AU3457" s="77"/>
      <c r="AV3457" s="80" t="str">
        <f>HYPERLINK("https://pbs.twimg.com/profile_images/1241147984924082183/gZgx_hL-_normal.jpg")</f>
        <v>https://pbs.twimg.com/profile_images/1241147984924082183/gZgx_hL-_normal.jpg</v>
      </c>
      <c r="AW3457" s="82" t="s">
        <v>15053</v>
      </c>
      <c r="AX3457" s="82" t="s">
        <v>15053</v>
      </c>
      <c r="AY3457" s="77"/>
      <c r="AZ3457" s="82" t="s">
        <v>15984</v>
      </c>
      <c r="BA3457" s="82" t="s">
        <v>15984</v>
      </c>
      <c r="BB3457" s="82" t="s">
        <v>15984</v>
      </c>
      <c r="BC3457" s="82" t="s">
        <v>15053</v>
      </c>
      <c r="BD3457" s="82" t="s">
        <v>15979</v>
      </c>
      <c r="BE3457" s="77"/>
      <c r="BF3457" s="77"/>
      <c r="BG3457" s="77"/>
      <c r="BH3457" s="77"/>
      <c r="BI3457" s="77"/>
    </row>
    <row r="3458" spans="1:61" x14ac:dyDescent="0.25">
      <c r="A3458" s="62" t="s">
        <v>387</v>
      </c>
      <c r="B3458" s="62" t="s">
        <v>387</v>
      </c>
      <c r="C3458" s="63"/>
      <c r="D3458" s="64"/>
      <c r="E3458" s="65"/>
      <c r="F3458" s="66"/>
      <c r="G3458" s="63"/>
      <c r="H3458" s="67"/>
      <c r="I3458" s="68"/>
      <c r="J3458" s="68"/>
      <c r="K3458" s="32"/>
      <c r="L3458" s="75">
        <v>3458</v>
      </c>
      <c r="M3458" s="75"/>
      <c r="N3458" s="70"/>
      <c r="O3458" s="77" t="s">
        <v>179</v>
      </c>
      <c r="P3458" s="79">
        <v>45189.958333333336</v>
      </c>
      <c r="Q3458" s="77" t="s">
        <v>4128</v>
      </c>
      <c r="R3458" s="77">
        <v>0</v>
      </c>
      <c r="S3458" s="77">
        <v>0</v>
      </c>
      <c r="T3458" s="77">
        <v>0</v>
      </c>
      <c r="U3458" s="77">
        <v>0</v>
      </c>
      <c r="V3458" s="77">
        <v>416</v>
      </c>
      <c r="W3458" s="82" t="s">
        <v>6186</v>
      </c>
      <c r="X3458" s="80" t="str">
        <f>HYPERLINK("https://einvestidor.estadao.com.br/ultimas/cvm-absolve-conselheiros-springer/?utm_source=twitter&amp;utm_medium=organic&amp;utm_campaign=&amp;utm_content=materia")</f>
        <v>https://einvestidor.estadao.com.br/ultimas/cvm-absolve-conselheiros-springer/?utm_source=twitter&amp;utm_medium=organic&amp;utm_campaign=&amp;utm_content=materia</v>
      </c>
      <c r="Y3458" s="77" t="s">
        <v>6470</v>
      </c>
      <c r="Z3458" s="77"/>
      <c r="AA3458" s="77"/>
      <c r="AB3458" s="77"/>
      <c r="AC3458" s="82" t="s">
        <v>7750</v>
      </c>
      <c r="AD3458" s="77" t="s">
        <v>7788</v>
      </c>
      <c r="AE3458" s="80" t="str">
        <f>HYPERLINK("https://twitter.com/einvestidor/status/1704631523314446467")</f>
        <v>https://twitter.com/einvestidor/status/1704631523314446467</v>
      </c>
      <c r="AF3458" s="79">
        <v>45189.958333333336</v>
      </c>
      <c r="AG3458" s="85">
        <v>45189</v>
      </c>
      <c r="AH3458" s="82" t="s">
        <v>8279</v>
      </c>
      <c r="AI3458" s="77" t="b">
        <v>0</v>
      </c>
      <c r="AJ3458" s="77"/>
      <c r="AK3458" s="77"/>
      <c r="AL3458" s="77"/>
      <c r="AM3458" s="77"/>
      <c r="AN3458" s="77"/>
      <c r="AO3458" s="77"/>
      <c r="AP3458" s="77"/>
      <c r="AQ3458" s="77"/>
      <c r="AR3458" s="77"/>
      <c r="AS3458" s="77"/>
      <c r="AT3458" s="77"/>
      <c r="AU3458" s="77"/>
      <c r="AV3458" s="80" t="str">
        <f>HYPERLINK("https://pbs.twimg.com/profile_images/1241147984924082183/gZgx_hL-_normal.jpg")</f>
        <v>https://pbs.twimg.com/profile_images/1241147984924082183/gZgx_hL-_normal.jpg</v>
      </c>
      <c r="AW3458" s="82" t="s">
        <v>15054</v>
      </c>
      <c r="AX3458" s="82" t="s">
        <v>15054</v>
      </c>
      <c r="AY3458" s="77"/>
      <c r="AZ3458" s="82" t="s">
        <v>15984</v>
      </c>
      <c r="BA3458" s="82" t="s">
        <v>15984</v>
      </c>
      <c r="BB3458" s="82" t="s">
        <v>15984</v>
      </c>
      <c r="BC3458" s="82" t="s">
        <v>15054</v>
      </c>
      <c r="BD3458" s="82" t="s">
        <v>15979</v>
      </c>
      <c r="BE3458" s="77"/>
      <c r="BF3458" s="77"/>
      <c r="BG3458" s="77"/>
      <c r="BH3458" s="77"/>
      <c r="BI3458" s="77"/>
    </row>
    <row r="3459" spans="1:61" x14ac:dyDescent="0.25">
      <c r="A3459" s="62" t="s">
        <v>387</v>
      </c>
      <c r="B3459" s="62" t="s">
        <v>387</v>
      </c>
      <c r="C3459" s="63"/>
      <c r="D3459" s="64"/>
      <c r="E3459" s="65"/>
      <c r="F3459" s="66"/>
      <c r="G3459" s="63"/>
      <c r="H3459" s="67"/>
      <c r="I3459" s="68"/>
      <c r="J3459" s="68"/>
      <c r="K3459" s="32"/>
      <c r="L3459" s="75">
        <v>3459</v>
      </c>
      <c r="M3459" s="75"/>
      <c r="N3459" s="70"/>
      <c r="O3459" s="77" t="s">
        <v>179</v>
      </c>
      <c r="P3459" s="79">
        <v>45189.947916666664</v>
      </c>
      <c r="Q3459" s="77" t="s">
        <v>4129</v>
      </c>
      <c r="R3459" s="77">
        <v>0</v>
      </c>
      <c r="S3459" s="77">
        <v>1</v>
      </c>
      <c r="T3459" s="77">
        <v>0</v>
      </c>
      <c r="U3459" s="77">
        <v>0</v>
      </c>
      <c r="V3459" s="77">
        <v>478</v>
      </c>
      <c r="W3459" s="82" t="s">
        <v>4833</v>
      </c>
      <c r="X3459" s="80" t="str">
        <f>HYPERLINK("https://einvestidor.estadao.com.br/ultimas/brkm5-braskem-apos-recomendacao-neutra-btg-acoes-fecham-queda//?utm_source=twitter&amp;utm_medium=organic&amp;utm_campaign=&amp;utm_content=materia")</f>
        <v>https://einvestidor.estadao.com.br/ultimas/brkm5-braskem-apos-recomendacao-neutra-btg-acoes-fecham-queda//?utm_source=twitter&amp;utm_medium=organic&amp;utm_campaign=&amp;utm_content=materia</v>
      </c>
      <c r="Y3459" s="77" t="s">
        <v>6470</v>
      </c>
      <c r="Z3459" s="77"/>
      <c r="AA3459" s="77"/>
      <c r="AB3459" s="77"/>
      <c r="AC3459" s="82" t="s">
        <v>7750</v>
      </c>
      <c r="AD3459" s="77" t="s">
        <v>7788</v>
      </c>
      <c r="AE3459" s="80" t="str">
        <f>HYPERLINK("https://twitter.com/einvestidor/status/1704627749095186644")</f>
        <v>https://twitter.com/einvestidor/status/1704627749095186644</v>
      </c>
      <c r="AF3459" s="79">
        <v>45189.947916666664</v>
      </c>
      <c r="AG3459" s="85">
        <v>45189</v>
      </c>
      <c r="AH3459" s="82" t="s">
        <v>9595</v>
      </c>
      <c r="AI3459" s="77" t="b">
        <v>0</v>
      </c>
      <c r="AJ3459" s="77"/>
      <c r="AK3459" s="77"/>
      <c r="AL3459" s="77"/>
      <c r="AM3459" s="77"/>
      <c r="AN3459" s="77"/>
      <c r="AO3459" s="77"/>
      <c r="AP3459" s="77"/>
      <c r="AQ3459" s="77"/>
      <c r="AR3459" s="77"/>
      <c r="AS3459" s="77"/>
      <c r="AT3459" s="77"/>
      <c r="AU3459" s="77"/>
      <c r="AV3459" s="80" t="str">
        <f>HYPERLINK("https://pbs.twimg.com/profile_images/1241147984924082183/gZgx_hL-_normal.jpg")</f>
        <v>https://pbs.twimg.com/profile_images/1241147984924082183/gZgx_hL-_normal.jpg</v>
      </c>
      <c r="AW3459" s="82" t="s">
        <v>15055</v>
      </c>
      <c r="AX3459" s="82" t="s">
        <v>15055</v>
      </c>
      <c r="AY3459" s="77"/>
      <c r="AZ3459" s="82" t="s">
        <v>15984</v>
      </c>
      <c r="BA3459" s="82" t="s">
        <v>15984</v>
      </c>
      <c r="BB3459" s="82" t="s">
        <v>15984</v>
      </c>
      <c r="BC3459" s="82" t="s">
        <v>15055</v>
      </c>
      <c r="BD3459" s="82" t="s">
        <v>15979</v>
      </c>
      <c r="BE3459" s="77"/>
      <c r="BF3459" s="77"/>
      <c r="BG3459" s="77"/>
      <c r="BH3459" s="77"/>
      <c r="BI3459" s="77"/>
    </row>
    <row r="3460" spans="1:61" x14ac:dyDescent="0.25">
      <c r="A3460" s="62" t="s">
        <v>387</v>
      </c>
      <c r="B3460" s="62" t="s">
        <v>387</v>
      </c>
      <c r="C3460" s="63"/>
      <c r="D3460" s="64"/>
      <c r="E3460" s="65"/>
      <c r="F3460" s="66"/>
      <c r="G3460" s="63"/>
      <c r="H3460" s="67"/>
      <c r="I3460" s="68"/>
      <c r="J3460" s="68"/>
      <c r="K3460" s="32"/>
      <c r="L3460" s="75">
        <v>3460</v>
      </c>
      <c r="M3460" s="75"/>
      <c r="N3460" s="70"/>
      <c r="O3460" s="77" t="s">
        <v>179</v>
      </c>
      <c r="P3460" s="79">
        <v>45189.9375</v>
      </c>
      <c r="Q3460" s="77" t="s">
        <v>4130</v>
      </c>
      <c r="R3460" s="77">
        <v>0</v>
      </c>
      <c r="S3460" s="77">
        <v>1</v>
      </c>
      <c r="T3460" s="77">
        <v>0</v>
      </c>
      <c r="U3460" s="77">
        <v>0</v>
      </c>
      <c r="V3460" s="77">
        <v>481</v>
      </c>
      <c r="W3460" s="82" t="s">
        <v>4833</v>
      </c>
      <c r="X3460" s="80" t="str">
        <f>HYPERLINK("https://einvestidor.estadao.com.br/ultimas/lren3-lojas-renner-acoes-operam-alta-ante-entrada-shein-programa-federal/?utm_source=twitter&amp;utm_medium=organic&amp;utm_campaign=&amp;utm_content=materia")</f>
        <v>https://einvestidor.estadao.com.br/ultimas/lren3-lojas-renner-acoes-operam-alta-ante-entrada-shein-programa-federal/?utm_source=twitter&amp;utm_medium=organic&amp;utm_campaign=&amp;utm_content=materia</v>
      </c>
      <c r="Y3460" s="77" t="s">
        <v>6470</v>
      </c>
      <c r="Z3460" s="77"/>
      <c r="AA3460" s="77"/>
      <c r="AB3460" s="77"/>
      <c r="AC3460" s="82" t="s">
        <v>7750</v>
      </c>
      <c r="AD3460" s="77" t="s">
        <v>7788</v>
      </c>
      <c r="AE3460" s="80" t="str">
        <f>HYPERLINK("https://twitter.com/einvestidor/status/1704623973903040718")</f>
        <v>https://twitter.com/einvestidor/status/1704623973903040718</v>
      </c>
      <c r="AF3460" s="79">
        <v>45189.9375</v>
      </c>
      <c r="AG3460" s="85">
        <v>45189</v>
      </c>
      <c r="AH3460" s="82" t="s">
        <v>7926</v>
      </c>
      <c r="AI3460" s="77" t="b">
        <v>0</v>
      </c>
      <c r="AJ3460" s="77"/>
      <c r="AK3460" s="77"/>
      <c r="AL3460" s="77"/>
      <c r="AM3460" s="77"/>
      <c r="AN3460" s="77"/>
      <c r="AO3460" s="77"/>
      <c r="AP3460" s="77"/>
      <c r="AQ3460" s="77"/>
      <c r="AR3460" s="77"/>
      <c r="AS3460" s="77"/>
      <c r="AT3460" s="77"/>
      <c r="AU3460" s="77"/>
      <c r="AV3460" s="80" t="str">
        <f>HYPERLINK("https://pbs.twimg.com/profile_images/1241147984924082183/gZgx_hL-_normal.jpg")</f>
        <v>https://pbs.twimg.com/profile_images/1241147984924082183/gZgx_hL-_normal.jpg</v>
      </c>
      <c r="AW3460" s="82" t="s">
        <v>15056</v>
      </c>
      <c r="AX3460" s="82" t="s">
        <v>15056</v>
      </c>
      <c r="AY3460" s="77"/>
      <c r="AZ3460" s="82" t="s">
        <v>15984</v>
      </c>
      <c r="BA3460" s="82" t="s">
        <v>15984</v>
      </c>
      <c r="BB3460" s="82" t="s">
        <v>15984</v>
      </c>
      <c r="BC3460" s="82" t="s">
        <v>15056</v>
      </c>
      <c r="BD3460" s="82" t="s">
        <v>15979</v>
      </c>
      <c r="BE3460" s="77"/>
      <c r="BF3460" s="77"/>
      <c r="BG3460" s="77"/>
      <c r="BH3460" s="77"/>
      <c r="BI3460" s="77"/>
    </row>
    <row r="3461" spans="1:61" x14ac:dyDescent="0.25">
      <c r="A3461" s="62" t="s">
        <v>387</v>
      </c>
      <c r="B3461" s="62" t="s">
        <v>387</v>
      </c>
      <c r="C3461" s="63"/>
      <c r="D3461" s="64"/>
      <c r="E3461" s="65"/>
      <c r="F3461" s="66"/>
      <c r="G3461" s="63"/>
      <c r="H3461" s="67"/>
      <c r="I3461" s="68"/>
      <c r="J3461" s="68"/>
      <c r="K3461" s="32"/>
      <c r="L3461" s="75">
        <v>3461</v>
      </c>
      <c r="M3461" s="75"/>
      <c r="N3461" s="70"/>
      <c r="O3461" s="77" t="s">
        <v>179</v>
      </c>
      <c r="P3461" s="79">
        <v>45189.927083333336</v>
      </c>
      <c r="Q3461" s="77" t="s">
        <v>4131</v>
      </c>
      <c r="R3461" s="77">
        <v>0</v>
      </c>
      <c r="S3461" s="77">
        <v>2</v>
      </c>
      <c r="T3461" s="77">
        <v>0</v>
      </c>
      <c r="U3461" s="77">
        <v>0</v>
      </c>
      <c r="V3461" s="77">
        <v>496</v>
      </c>
      <c r="W3461" s="82" t="s">
        <v>6317</v>
      </c>
      <c r="X3461" s="80" t="str">
        <f>HYPERLINK("https://einvestidor.estadao.com.br/ultimas/petroleo-fechamento-20-09-2023/?utm_source=twitter&amp;utm_medium=organic&amp;utm_campaign=&amp;utm_content=materia")</f>
        <v>https://einvestidor.estadao.com.br/ultimas/petroleo-fechamento-20-09-2023/?utm_source=twitter&amp;utm_medium=organic&amp;utm_campaign=&amp;utm_content=materia</v>
      </c>
      <c r="Y3461" s="77" t="s">
        <v>6470</v>
      </c>
      <c r="Z3461" s="77"/>
      <c r="AA3461" s="77"/>
      <c r="AB3461" s="77"/>
      <c r="AC3461" s="82" t="s">
        <v>7750</v>
      </c>
      <c r="AD3461" s="77" t="s">
        <v>7788</v>
      </c>
      <c r="AE3461" s="80" t="str">
        <f>HYPERLINK("https://twitter.com/einvestidor/status/1704620198215782881")</f>
        <v>https://twitter.com/einvestidor/status/1704620198215782881</v>
      </c>
      <c r="AF3461" s="79">
        <v>45189.927083333336</v>
      </c>
      <c r="AG3461" s="85">
        <v>45189</v>
      </c>
      <c r="AH3461" s="82" t="s">
        <v>9576</v>
      </c>
      <c r="AI3461" s="77" t="b">
        <v>0</v>
      </c>
      <c r="AJ3461" s="77"/>
      <c r="AK3461" s="77"/>
      <c r="AL3461" s="77"/>
      <c r="AM3461" s="77"/>
      <c r="AN3461" s="77"/>
      <c r="AO3461" s="77"/>
      <c r="AP3461" s="77"/>
      <c r="AQ3461" s="77"/>
      <c r="AR3461" s="77"/>
      <c r="AS3461" s="77"/>
      <c r="AT3461" s="77"/>
      <c r="AU3461" s="77"/>
      <c r="AV3461" s="80" t="str">
        <f>HYPERLINK("https://pbs.twimg.com/profile_images/1241147984924082183/gZgx_hL-_normal.jpg")</f>
        <v>https://pbs.twimg.com/profile_images/1241147984924082183/gZgx_hL-_normal.jpg</v>
      </c>
      <c r="AW3461" s="82" t="s">
        <v>15057</v>
      </c>
      <c r="AX3461" s="82" t="s">
        <v>15057</v>
      </c>
      <c r="AY3461" s="77"/>
      <c r="AZ3461" s="82" t="s">
        <v>15984</v>
      </c>
      <c r="BA3461" s="82" t="s">
        <v>15984</v>
      </c>
      <c r="BB3461" s="82" t="s">
        <v>15984</v>
      </c>
      <c r="BC3461" s="82" t="s">
        <v>15057</v>
      </c>
      <c r="BD3461" s="82" t="s">
        <v>15979</v>
      </c>
      <c r="BE3461" s="77"/>
      <c r="BF3461" s="77"/>
      <c r="BG3461" s="77"/>
      <c r="BH3461" s="77"/>
      <c r="BI3461" s="77"/>
    </row>
    <row r="3462" spans="1:61" x14ac:dyDescent="0.25">
      <c r="A3462" s="62" t="s">
        <v>387</v>
      </c>
      <c r="B3462" s="62" t="s">
        <v>387</v>
      </c>
      <c r="C3462" s="63"/>
      <c r="D3462" s="64"/>
      <c r="E3462" s="65"/>
      <c r="F3462" s="66"/>
      <c r="G3462" s="63"/>
      <c r="H3462" s="67"/>
      <c r="I3462" s="68"/>
      <c r="J3462" s="68"/>
      <c r="K3462" s="32"/>
      <c r="L3462" s="75">
        <v>3462</v>
      </c>
      <c r="M3462" s="75"/>
      <c r="N3462" s="70"/>
      <c r="O3462" s="77" t="s">
        <v>179</v>
      </c>
      <c r="P3462" s="79">
        <v>45189.922175925924</v>
      </c>
      <c r="Q3462" s="77" t="s">
        <v>4132</v>
      </c>
      <c r="R3462" s="77">
        <v>0</v>
      </c>
      <c r="S3462" s="77">
        <v>0</v>
      </c>
      <c r="T3462" s="77">
        <v>0</v>
      </c>
      <c r="U3462" s="77">
        <v>0</v>
      </c>
      <c r="V3462" s="77">
        <v>421</v>
      </c>
      <c r="W3462" s="82" t="s">
        <v>4833</v>
      </c>
      <c r="X3462" s="80" t="str">
        <f>HYPERLINK("https://einvestidor.estadao.com.br/mercado/fechamento-de-mercado-20-09-2023/?utm_source=twitter&amp;utm_medium=organic&amp;utm_campaign=&amp;utm_content=materia")</f>
        <v>https://einvestidor.estadao.com.br/mercado/fechamento-de-mercado-20-09-2023/?utm_source=twitter&amp;utm_medium=organic&amp;utm_campaign=&amp;utm_content=materia</v>
      </c>
      <c r="Y3462" s="77" t="s">
        <v>6470</v>
      </c>
      <c r="Z3462" s="77"/>
      <c r="AA3462" s="77"/>
      <c r="AB3462" s="77"/>
      <c r="AC3462" s="82" t="s">
        <v>7750</v>
      </c>
      <c r="AD3462" s="77" t="s">
        <v>7788</v>
      </c>
      <c r="AE3462" s="80" t="str">
        <f>HYPERLINK("https://twitter.com/einvestidor/status/1704618421919371569")</f>
        <v>https://twitter.com/einvestidor/status/1704618421919371569</v>
      </c>
      <c r="AF3462" s="79">
        <v>45189.922175925924</v>
      </c>
      <c r="AG3462" s="85">
        <v>45189</v>
      </c>
      <c r="AH3462" s="82" t="s">
        <v>10053</v>
      </c>
      <c r="AI3462" s="77" t="b">
        <v>0</v>
      </c>
      <c r="AJ3462" s="77"/>
      <c r="AK3462" s="77"/>
      <c r="AL3462" s="77"/>
      <c r="AM3462" s="77"/>
      <c r="AN3462" s="77"/>
      <c r="AO3462" s="77"/>
      <c r="AP3462" s="77"/>
      <c r="AQ3462" s="77"/>
      <c r="AR3462" s="77"/>
      <c r="AS3462" s="77"/>
      <c r="AT3462" s="77"/>
      <c r="AU3462" s="77"/>
      <c r="AV3462" s="80" t="str">
        <f>HYPERLINK("https://pbs.twimg.com/profile_images/1241147984924082183/gZgx_hL-_normal.jpg")</f>
        <v>https://pbs.twimg.com/profile_images/1241147984924082183/gZgx_hL-_normal.jpg</v>
      </c>
      <c r="AW3462" s="82" t="s">
        <v>15058</v>
      </c>
      <c r="AX3462" s="82" t="s">
        <v>15058</v>
      </c>
      <c r="AY3462" s="77"/>
      <c r="AZ3462" s="82" t="s">
        <v>15984</v>
      </c>
      <c r="BA3462" s="82" t="s">
        <v>15984</v>
      </c>
      <c r="BB3462" s="82" t="s">
        <v>15984</v>
      </c>
      <c r="BC3462" s="82" t="s">
        <v>15058</v>
      </c>
      <c r="BD3462" s="82" t="s">
        <v>15979</v>
      </c>
      <c r="BE3462" s="77"/>
      <c r="BF3462" s="77"/>
      <c r="BG3462" s="77"/>
      <c r="BH3462" s="77"/>
      <c r="BI3462" s="77"/>
    </row>
    <row r="3463" spans="1:61" x14ac:dyDescent="0.25">
      <c r="A3463" s="62" t="s">
        <v>387</v>
      </c>
      <c r="B3463" s="62" t="s">
        <v>387</v>
      </c>
      <c r="C3463" s="63"/>
      <c r="D3463" s="64"/>
      <c r="E3463" s="65"/>
      <c r="F3463" s="66"/>
      <c r="G3463" s="63"/>
      <c r="H3463" s="67"/>
      <c r="I3463" s="68"/>
      <c r="J3463" s="68"/>
      <c r="K3463" s="32"/>
      <c r="L3463" s="75">
        <v>3463</v>
      </c>
      <c r="M3463" s="75"/>
      <c r="N3463" s="70"/>
      <c r="O3463" s="77" t="s">
        <v>179</v>
      </c>
      <c r="P3463" s="79">
        <v>45189.916678240741</v>
      </c>
      <c r="Q3463" s="77" t="s">
        <v>4133</v>
      </c>
      <c r="R3463" s="77">
        <v>0</v>
      </c>
      <c r="S3463" s="77">
        <v>0</v>
      </c>
      <c r="T3463" s="77">
        <v>0</v>
      </c>
      <c r="U3463" s="77">
        <v>0</v>
      </c>
      <c r="V3463" s="77">
        <v>387</v>
      </c>
      <c r="W3463" s="82" t="s">
        <v>6307</v>
      </c>
      <c r="X3463" s="80" t="str">
        <f>HYPERLINK("https://einvestidor.estadao.com.br/ultimas/csna3-csn-acoes-sustentam-alta-fechamento-minerio-de-ferro//?utm_source=twitter&amp;utm_medium=organic&amp;utm_campaign=&amp;utm_content=materia")</f>
        <v>https://einvestidor.estadao.com.br/ultimas/csna3-csn-acoes-sustentam-alta-fechamento-minerio-de-ferro//?utm_source=twitter&amp;utm_medium=organic&amp;utm_campaign=&amp;utm_content=materia</v>
      </c>
      <c r="Y3463" s="77" t="s">
        <v>6470</v>
      </c>
      <c r="Z3463" s="77"/>
      <c r="AA3463" s="77"/>
      <c r="AB3463" s="77"/>
      <c r="AC3463" s="82" t="s">
        <v>7750</v>
      </c>
      <c r="AD3463" s="77" t="s">
        <v>7788</v>
      </c>
      <c r="AE3463" s="80" t="str">
        <f>HYPERLINK("https://twitter.com/einvestidor/status/1704616428790218843")</f>
        <v>https://twitter.com/einvestidor/status/1704616428790218843</v>
      </c>
      <c r="AF3463" s="79">
        <v>45189.916678240741</v>
      </c>
      <c r="AG3463" s="85">
        <v>45189</v>
      </c>
      <c r="AH3463" s="82" t="s">
        <v>8052</v>
      </c>
      <c r="AI3463" s="77" t="b">
        <v>0</v>
      </c>
      <c r="AJ3463" s="77"/>
      <c r="AK3463" s="77"/>
      <c r="AL3463" s="77"/>
      <c r="AM3463" s="77"/>
      <c r="AN3463" s="77"/>
      <c r="AO3463" s="77"/>
      <c r="AP3463" s="77"/>
      <c r="AQ3463" s="77"/>
      <c r="AR3463" s="77"/>
      <c r="AS3463" s="77"/>
      <c r="AT3463" s="77"/>
      <c r="AU3463" s="77"/>
      <c r="AV3463" s="80" t="str">
        <f>HYPERLINK("https://pbs.twimg.com/profile_images/1241147984924082183/gZgx_hL-_normal.jpg")</f>
        <v>https://pbs.twimg.com/profile_images/1241147984924082183/gZgx_hL-_normal.jpg</v>
      </c>
      <c r="AW3463" s="82" t="s">
        <v>15059</v>
      </c>
      <c r="AX3463" s="82" t="s">
        <v>15059</v>
      </c>
      <c r="AY3463" s="77"/>
      <c r="AZ3463" s="82" t="s">
        <v>15984</v>
      </c>
      <c r="BA3463" s="82" t="s">
        <v>15984</v>
      </c>
      <c r="BB3463" s="82" t="s">
        <v>15984</v>
      </c>
      <c r="BC3463" s="82" t="s">
        <v>15059</v>
      </c>
      <c r="BD3463" s="82" t="s">
        <v>15979</v>
      </c>
      <c r="BE3463" s="77"/>
      <c r="BF3463" s="77"/>
      <c r="BG3463" s="77"/>
      <c r="BH3463" s="77"/>
      <c r="BI3463" s="77"/>
    </row>
    <row r="3464" spans="1:61" x14ac:dyDescent="0.25">
      <c r="A3464" s="62" t="s">
        <v>387</v>
      </c>
      <c r="B3464" s="62" t="s">
        <v>387</v>
      </c>
      <c r="C3464" s="63"/>
      <c r="D3464" s="64"/>
      <c r="E3464" s="65"/>
      <c r="F3464" s="66"/>
      <c r="G3464" s="63"/>
      <c r="H3464" s="67"/>
      <c r="I3464" s="68"/>
      <c r="J3464" s="68"/>
      <c r="K3464" s="32"/>
      <c r="L3464" s="75">
        <v>3464</v>
      </c>
      <c r="M3464" s="75"/>
      <c r="N3464" s="70"/>
      <c r="O3464" s="77" t="s">
        <v>179</v>
      </c>
      <c r="P3464" s="79">
        <v>45189.912708333337</v>
      </c>
      <c r="Q3464" s="77" t="s">
        <v>4134</v>
      </c>
      <c r="R3464" s="77">
        <v>0</v>
      </c>
      <c r="S3464" s="77">
        <v>0</v>
      </c>
      <c r="T3464" s="77">
        <v>0</v>
      </c>
      <c r="U3464" s="77">
        <v>0</v>
      </c>
      <c r="V3464" s="77">
        <v>555</v>
      </c>
      <c r="W3464" s="82" t="s">
        <v>6318</v>
      </c>
      <c r="X3464" s="80" t="str">
        <f>HYPERLINK("https://einvestidor.estadao.com.br/mercado/ibovespa-hoje-acoes-baixa-gpa-pcar3-braskem-brjm5-petroreconcavo-recv3/?utm_source=twitter&amp;utm_medium=organic&amp;utm_campaign=&amp;utm_content=materia")</f>
        <v>https://einvestidor.estadao.com.br/mercado/ibovespa-hoje-acoes-baixa-gpa-pcar3-braskem-brjm5-petroreconcavo-recv3/?utm_source=twitter&amp;utm_medium=organic&amp;utm_campaign=&amp;utm_content=materia</v>
      </c>
      <c r="Y3464" s="77" t="s">
        <v>6470</v>
      </c>
      <c r="Z3464" s="77"/>
      <c r="AA3464" s="77"/>
      <c r="AB3464" s="77"/>
      <c r="AC3464" s="82" t="s">
        <v>7750</v>
      </c>
      <c r="AD3464" s="77" t="s">
        <v>7788</v>
      </c>
      <c r="AE3464" s="80" t="str">
        <f>HYPERLINK("https://twitter.com/einvestidor/status/1704614989099569228")</f>
        <v>https://twitter.com/einvestidor/status/1704614989099569228</v>
      </c>
      <c r="AF3464" s="79">
        <v>45189.912708333337</v>
      </c>
      <c r="AG3464" s="85">
        <v>45189</v>
      </c>
      <c r="AH3464" s="82" t="s">
        <v>10054</v>
      </c>
      <c r="AI3464" s="77" t="b">
        <v>0</v>
      </c>
      <c r="AJ3464" s="77"/>
      <c r="AK3464" s="77"/>
      <c r="AL3464" s="77"/>
      <c r="AM3464" s="77"/>
      <c r="AN3464" s="77"/>
      <c r="AO3464" s="77"/>
      <c r="AP3464" s="77"/>
      <c r="AQ3464" s="77"/>
      <c r="AR3464" s="77"/>
      <c r="AS3464" s="77"/>
      <c r="AT3464" s="77"/>
      <c r="AU3464" s="77"/>
      <c r="AV3464" s="80" t="str">
        <f>HYPERLINK("https://pbs.twimg.com/profile_images/1241147984924082183/gZgx_hL-_normal.jpg")</f>
        <v>https://pbs.twimg.com/profile_images/1241147984924082183/gZgx_hL-_normal.jpg</v>
      </c>
      <c r="AW3464" s="82" t="s">
        <v>15060</v>
      </c>
      <c r="AX3464" s="82" t="s">
        <v>15060</v>
      </c>
      <c r="AY3464" s="77"/>
      <c r="AZ3464" s="82" t="s">
        <v>15984</v>
      </c>
      <c r="BA3464" s="82" t="s">
        <v>15984</v>
      </c>
      <c r="BB3464" s="82" t="s">
        <v>15984</v>
      </c>
      <c r="BC3464" s="82" t="s">
        <v>15060</v>
      </c>
      <c r="BD3464" s="82" t="s">
        <v>15979</v>
      </c>
      <c r="BE3464" s="77"/>
      <c r="BF3464" s="77"/>
      <c r="BG3464" s="77"/>
      <c r="BH3464" s="77"/>
      <c r="BI3464" s="77"/>
    </row>
    <row r="3465" spans="1:61" x14ac:dyDescent="0.25">
      <c r="A3465" s="62" t="s">
        <v>387</v>
      </c>
      <c r="B3465" s="62" t="s">
        <v>387</v>
      </c>
      <c r="C3465" s="63"/>
      <c r="D3465" s="64"/>
      <c r="E3465" s="65"/>
      <c r="F3465" s="66"/>
      <c r="G3465" s="63"/>
      <c r="H3465" s="67"/>
      <c r="I3465" s="68"/>
      <c r="J3465" s="68"/>
      <c r="K3465" s="32"/>
      <c r="L3465" s="75">
        <v>3465</v>
      </c>
      <c r="M3465" s="75"/>
      <c r="N3465" s="70"/>
      <c r="O3465" s="77" t="s">
        <v>179</v>
      </c>
      <c r="P3465" s="79">
        <v>45189.911863425928</v>
      </c>
      <c r="Q3465" s="77" t="s">
        <v>4135</v>
      </c>
      <c r="R3465" s="77">
        <v>0</v>
      </c>
      <c r="S3465" s="77">
        <v>0</v>
      </c>
      <c r="T3465" s="77">
        <v>0</v>
      </c>
      <c r="U3465" s="77">
        <v>0</v>
      </c>
      <c r="V3465" s="77">
        <v>411</v>
      </c>
      <c r="W3465" s="82" t="s">
        <v>6319</v>
      </c>
      <c r="X3465" s="80" t="str">
        <f>HYPERLINK("https://einvestidor.estadao.com.br/mercado/ibovespa-hoje-acoes-alta-azul-azul4-gol-goll4-cvc-cvcb3/?utm_source=twitter&amp;utm_medium=organic&amp;utm_campaign=&amp;utm_content=materia")</f>
        <v>https://einvestidor.estadao.com.br/mercado/ibovespa-hoje-acoes-alta-azul-azul4-gol-goll4-cvc-cvcb3/?utm_source=twitter&amp;utm_medium=organic&amp;utm_campaign=&amp;utm_content=materia</v>
      </c>
      <c r="Y3465" s="77" t="s">
        <v>6470</v>
      </c>
      <c r="Z3465" s="77"/>
      <c r="AA3465" s="77"/>
      <c r="AB3465" s="77"/>
      <c r="AC3465" s="82" t="s">
        <v>7750</v>
      </c>
      <c r="AD3465" s="77" t="s">
        <v>7788</v>
      </c>
      <c r="AE3465" s="80" t="str">
        <f>HYPERLINK("https://twitter.com/einvestidor/status/1704614681837547738")</f>
        <v>https://twitter.com/einvestidor/status/1704614681837547738</v>
      </c>
      <c r="AF3465" s="79">
        <v>45189.911863425928</v>
      </c>
      <c r="AG3465" s="85">
        <v>45189</v>
      </c>
      <c r="AH3465" s="82" t="s">
        <v>10055</v>
      </c>
      <c r="AI3465" s="77" t="b">
        <v>0</v>
      </c>
      <c r="AJ3465" s="77"/>
      <c r="AK3465" s="77"/>
      <c r="AL3465" s="77"/>
      <c r="AM3465" s="77"/>
      <c r="AN3465" s="77"/>
      <c r="AO3465" s="77"/>
      <c r="AP3465" s="77"/>
      <c r="AQ3465" s="77"/>
      <c r="AR3465" s="77"/>
      <c r="AS3465" s="77"/>
      <c r="AT3465" s="77"/>
      <c r="AU3465" s="77"/>
      <c r="AV3465" s="80" t="str">
        <f>HYPERLINK("https://pbs.twimg.com/profile_images/1241147984924082183/gZgx_hL-_normal.jpg")</f>
        <v>https://pbs.twimg.com/profile_images/1241147984924082183/gZgx_hL-_normal.jpg</v>
      </c>
      <c r="AW3465" s="82" t="s">
        <v>15061</v>
      </c>
      <c r="AX3465" s="82" t="s">
        <v>15061</v>
      </c>
      <c r="AY3465" s="77"/>
      <c r="AZ3465" s="82" t="s">
        <v>15984</v>
      </c>
      <c r="BA3465" s="82" t="s">
        <v>15984</v>
      </c>
      <c r="BB3465" s="82" t="s">
        <v>15984</v>
      </c>
      <c r="BC3465" s="82" t="s">
        <v>15061</v>
      </c>
      <c r="BD3465" s="82" t="s">
        <v>15979</v>
      </c>
      <c r="BE3465" s="77"/>
      <c r="BF3465" s="77"/>
      <c r="BG3465" s="77"/>
      <c r="BH3465" s="77"/>
      <c r="BI3465" s="77"/>
    </row>
    <row r="3466" spans="1:61" x14ac:dyDescent="0.25">
      <c r="A3466" s="62" t="s">
        <v>387</v>
      </c>
      <c r="B3466" s="62" t="s">
        <v>387</v>
      </c>
      <c r="C3466" s="63"/>
      <c r="D3466" s="64"/>
      <c r="E3466" s="65"/>
      <c r="F3466" s="66"/>
      <c r="G3466" s="63"/>
      <c r="H3466" s="67"/>
      <c r="I3466" s="68"/>
      <c r="J3466" s="68"/>
      <c r="K3466" s="32"/>
      <c r="L3466" s="75">
        <v>3466</v>
      </c>
      <c r="M3466" s="75"/>
      <c r="N3466" s="70"/>
      <c r="O3466" s="77" t="s">
        <v>179</v>
      </c>
      <c r="P3466" s="79">
        <v>45189.90625</v>
      </c>
      <c r="Q3466" s="77" t="s">
        <v>4136</v>
      </c>
      <c r="R3466" s="77">
        <v>0</v>
      </c>
      <c r="S3466" s="77">
        <v>2</v>
      </c>
      <c r="T3466" s="77">
        <v>0</v>
      </c>
      <c r="U3466" s="77">
        <v>0</v>
      </c>
      <c r="V3466" s="77">
        <v>352</v>
      </c>
      <c r="W3466" s="82" t="s">
        <v>4833</v>
      </c>
      <c r="X3466" s="80" t="str">
        <f>HYPERLINK("https://einvestidor.estadao.com.br/mercado/fed-mantem-juros-impacto-brasil/?utm_source=twitter&amp;utm_medium=organic&amp;utm_campaign=&amp;utm_content=materia")</f>
        <v>https://einvestidor.estadao.com.br/mercado/fed-mantem-juros-impacto-brasil/?utm_source=twitter&amp;utm_medium=organic&amp;utm_campaign=&amp;utm_content=materia</v>
      </c>
      <c r="Y3466" s="77" t="s">
        <v>6470</v>
      </c>
      <c r="Z3466" s="77"/>
      <c r="AA3466" s="77"/>
      <c r="AB3466" s="77"/>
      <c r="AC3466" s="82" t="s">
        <v>7750</v>
      </c>
      <c r="AD3466" s="77" t="s">
        <v>7788</v>
      </c>
      <c r="AE3466" s="80" t="str">
        <f>HYPERLINK("https://twitter.com/einvestidor/status/1704612648489468129")</f>
        <v>https://twitter.com/einvestidor/status/1704612648489468129</v>
      </c>
      <c r="AF3466" s="79">
        <v>45189.90625</v>
      </c>
      <c r="AG3466" s="85">
        <v>45189</v>
      </c>
      <c r="AH3466" s="82" t="s">
        <v>9578</v>
      </c>
      <c r="AI3466" s="77" t="b">
        <v>0</v>
      </c>
      <c r="AJ3466" s="77"/>
      <c r="AK3466" s="77"/>
      <c r="AL3466" s="77"/>
      <c r="AM3466" s="77"/>
      <c r="AN3466" s="77"/>
      <c r="AO3466" s="77"/>
      <c r="AP3466" s="77"/>
      <c r="AQ3466" s="77"/>
      <c r="AR3466" s="77"/>
      <c r="AS3466" s="77"/>
      <c r="AT3466" s="77"/>
      <c r="AU3466" s="77"/>
      <c r="AV3466" s="80" t="str">
        <f>HYPERLINK("https://pbs.twimg.com/profile_images/1241147984924082183/gZgx_hL-_normal.jpg")</f>
        <v>https://pbs.twimg.com/profile_images/1241147984924082183/gZgx_hL-_normal.jpg</v>
      </c>
      <c r="AW3466" s="82" t="s">
        <v>15062</v>
      </c>
      <c r="AX3466" s="82" t="s">
        <v>15062</v>
      </c>
      <c r="AY3466" s="77"/>
      <c r="AZ3466" s="82" t="s">
        <v>15984</v>
      </c>
      <c r="BA3466" s="82" t="s">
        <v>15984</v>
      </c>
      <c r="BB3466" s="82" t="s">
        <v>15984</v>
      </c>
      <c r="BC3466" s="82" t="s">
        <v>15062</v>
      </c>
      <c r="BD3466" s="82" t="s">
        <v>15979</v>
      </c>
      <c r="BE3466" s="77"/>
      <c r="BF3466" s="77"/>
      <c r="BG3466" s="77"/>
      <c r="BH3466" s="77"/>
      <c r="BI3466" s="77"/>
    </row>
    <row r="3467" spans="1:61" x14ac:dyDescent="0.25">
      <c r="A3467" s="62" t="s">
        <v>387</v>
      </c>
      <c r="B3467" s="62" t="s">
        <v>387</v>
      </c>
      <c r="C3467" s="63"/>
      <c r="D3467" s="64"/>
      <c r="E3467" s="65"/>
      <c r="F3467" s="66"/>
      <c r="G3467" s="63"/>
      <c r="H3467" s="67"/>
      <c r="I3467" s="68"/>
      <c r="J3467" s="68"/>
      <c r="K3467" s="32"/>
      <c r="L3467" s="75">
        <v>3467</v>
      </c>
      <c r="M3467" s="75"/>
      <c r="N3467" s="70"/>
      <c r="O3467" s="77" t="s">
        <v>179</v>
      </c>
      <c r="P3467" s="79">
        <v>45189.895833333336</v>
      </c>
      <c r="Q3467" s="77" t="s">
        <v>4137</v>
      </c>
      <c r="R3467" s="77">
        <v>0</v>
      </c>
      <c r="S3467" s="77">
        <v>1</v>
      </c>
      <c r="T3467" s="77">
        <v>0</v>
      </c>
      <c r="U3467" s="77">
        <v>0</v>
      </c>
      <c r="V3467" s="77">
        <v>519</v>
      </c>
      <c r="W3467" s="82" t="s">
        <v>6320</v>
      </c>
      <c r="X3467" s="80" t="str">
        <f>HYPERLINK("https://einvestidor.estadao.com.br/ultimas/irbr3-irb-acoes-operam-em-baixa-espera-selic-fed/?utm_source=twitter&amp;utm_medium=organic&amp;utm_campaign=&amp;utm_content=materia")</f>
        <v>https://einvestidor.estadao.com.br/ultimas/irbr3-irb-acoes-operam-em-baixa-espera-selic-fed/?utm_source=twitter&amp;utm_medium=organic&amp;utm_campaign=&amp;utm_content=materia</v>
      </c>
      <c r="Y3467" s="77" t="s">
        <v>6470</v>
      </c>
      <c r="Z3467" s="77"/>
      <c r="AA3467" s="77"/>
      <c r="AB3467" s="77"/>
      <c r="AC3467" s="82" t="s">
        <v>7750</v>
      </c>
      <c r="AD3467" s="77" t="s">
        <v>7788</v>
      </c>
      <c r="AE3467" s="80" t="str">
        <f>HYPERLINK("https://twitter.com/einvestidor/status/1704608875037782168")</f>
        <v>https://twitter.com/einvestidor/status/1704608875037782168</v>
      </c>
      <c r="AF3467" s="79">
        <v>45189.895833333336</v>
      </c>
      <c r="AG3467" s="85">
        <v>45189</v>
      </c>
      <c r="AH3467" s="82" t="s">
        <v>8089</v>
      </c>
      <c r="AI3467" s="77" t="b">
        <v>0</v>
      </c>
      <c r="AJ3467" s="77"/>
      <c r="AK3467" s="77"/>
      <c r="AL3467" s="77"/>
      <c r="AM3467" s="77"/>
      <c r="AN3467" s="77"/>
      <c r="AO3467" s="77"/>
      <c r="AP3467" s="77"/>
      <c r="AQ3467" s="77"/>
      <c r="AR3467" s="77"/>
      <c r="AS3467" s="77"/>
      <c r="AT3467" s="77"/>
      <c r="AU3467" s="77"/>
      <c r="AV3467" s="80" t="str">
        <f>HYPERLINK("https://pbs.twimg.com/profile_images/1241147984924082183/gZgx_hL-_normal.jpg")</f>
        <v>https://pbs.twimg.com/profile_images/1241147984924082183/gZgx_hL-_normal.jpg</v>
      </c>
      <c r="AW3467" s="82" t="s">
        <v>15063</v>
      </c>
      <c r="AX3467" s="82" t="s">
        <v>15063</v>
      </c>
      <c r="AY3467" s="77"/>
      <c r="AZ3467" s="82" t="s">
        <v>15984</v>
      </c>
      <c r="BA3467" s="82" t="s">
        <v>15984</v>
      </c>
      <c r="BB3467" s="82" t="s">
        <v>15984</v>
      </c>
      <c r="BC3467" s="82" t="s">
        <v>15063</v>
      </c>
      <c r="BD3467" s="82" t="s">
        <v>15979</v>
      </c>
      <c r="BE3467" s="77"/>
      <c r="BF3467" s="77"/>
      <c r="BG3467" s="77"/>
      <c r="BH3467" s="77"/>
      <c r="BI3467" s="77"/>
    </row>
    <row r="3468" spans="1:61" x14ac:dyDescent="0.25">
      <c r="A3468" s="62" t="s">
        <v>387</v>
      </c>
      <c r="B3468" s="62" t="s">
        <v>387</v>
      </c>
      <c r="C3468" s="63"/>
      <c r="D3468" s="64"/>
      <c r="E3468" s="65"/>
      <c r="F3468" s="66"/>
      <c r="G3468" s="63"/>
      <c r="H3468" s="67"/>
      <c r="I3468" s="68"/>
      <c r="J3468" s="68"/>
      <c r="K3468" s="32"/>
      <c r="L3468" s="75">
        <v>3468</v>
      </c>
      <c r="M3468" s="75"/>
      <c r="N3468" s="70"/>
      <c r="O3468" s="77" t="s">
        <v>179</v>
      </c>
      <c r="P3468" s="79">
        <v>45189.875011574077</v>
      </c>
      <c r="Q3468" s="77" t="s">
        <v>4138</v>
      </c>
      <c r="R3468" s="77">
        <v>0</v>
      </c>
      <c r="S3468" s="77">
        <v>0</v>
      </c>
      <c r="T3468" s="77">
        <v>0</v>
      </c>
      <c r="U3468" s="77">
        <v>0</v>
      </c>
      <c r="V3468" s="77">
        <v>346</v>
      </c>
      <c r="W3468" s="82" t="s">
        <v>6321</v>
      </c>
      <c r="X3468" s="80" t="str">
        <f>HYPERLINK("https://einvestidor.estadao.com.br/ultimas/tesouro-educa-mais-promocao-premios//?utm_source=twitter&amp;utm_medium=organic&amp;utm_campaign=&amp;utm_content=materia")</f>
        <v>https://einvestidor.estadao.com.br/ultimas/tesouro-educa-mais-promocao-premios//?utm_source=twitter&amp;utm_medium=organic&amp;utm_campaign=&amp;utm_content=materia</v>
      </c>
      <c r="Y3468" s="77" t="s">
        <v>6470</v>
      </c>
      <c r="Z3468" s="77"/>
      <c r="AA3468" s="77"/>
      <c r="AB3468" s="77"/>
      <c r="AC3468" s="82" t="s">
        <v>7750</v>
      </c>
      <c r="AD3468" s="77" t="s">
        <v>7788</v>
      </c>
      <c r="AE3468" s="80" t="str">
        <f>HYPERLINK("https://twitter.com/einvestidor/status/1704601328205336593")</f>
        <v>https://twitter.com/einvestidor/status/1704601328205336593</v>
      </c>
      <c r="AF3468" s="79">
        <v>45189.875011574077</v>
      </c>
      <c r="AG3468" s="85">
        <v>45189</v>
      </c>
      <c r="AH3468" s="82" t="s">
        <v>7871</v>
      </c>
      <c r="AI3468" s="77" t="b">
        <v>0</v>
      </c>
      <c r="AJ3468" s="77"/>
      <c r="AK3468" s="77"/>
      <c r="AL3468" s="77"/>
      <c r="AM3468" s="77"/>
      <c r="AN3468" s="77"/>
      <c r="AO3468" s="77"/>
      <c r="AP3468" s="77"/>
      <c r="AQ3468" s="77"/>
      <c r="AR3468" s="77"/>
      <c r="AS3468" s="77"/>
      <c r="AT3468" s="77"/>
      <c r="AU3468" s="77"/>
      <c r="AV3468" s="80" t="str">
        <f>HYPERLINK("https://pbs.twimg.com/profile_images/1241147984924082183/gZgx_hL-_normal.jpg")</f>
        <v>https://pbs.twimg.com/profile_images/1241147984924082183/gZgx_hL-_normal.jpg</v>
      </c>
      <c r="AW3468" s="82" t="s">
        <v>15064</v>
      </c>
      <c r="AX3468" s="82" t="s">
        <v>15064</v>
      </c>
      <c r="AY3468" s="77"/>
      <c r="AZ3468" s="82" t="s">
        <v>15984</v>
      </c>
      <c r="BA3468" s="82" t="s">
        <v>15984</v>
      </c>
      <c r="BB3468" s="82" t="s">
        <v>15984</v>
      </c>
      <c r="BC3468" s="82" t="s">
        <v>15064</v>
      </c>
      <c r="BD3468" s="82" t="s">
        <v>15979</v>
      </c>
      <c r="BE3468" s="77"/>
      <c r="BF3468" s="77"/>
      <c r="BG3468" s="77"/>
      <c r="BH3468" s="77"/>
      <c r="BI3468" s="77"/>
    </row>
    <row r="3469" spans="1:61" x14ac:dyDescent="0.25">
      <c r="A3469" s="62" t="s">
        <v>387</v>
      </c>
      <c r="B3469" s="62" t="s">
        <v>387</v>
      </c>
      <c r="C3469" s="63"/>
      <c r="D3469" s="64"/>
      <c r="E3469" s="65"/>
      <c r="F3469" s="66"/>
      <c r="G3469" s="63"/>
      <c r="H3469" s="67"/>
      <c r="I3469" s="68"/>
      <c r="J3469" s="68"/>
      <c r="K3469" s="32"/>
      <c r="L3469" s="75">
        <v>3469</v>
      </c>
      <c r="M3469" s="75"/>
      <c r="N3469" s="70"/>
      <c r="O3469" s="77" t="s">
        <v>179</v>
      </c>
      <c r="P3469" s="79">
        <v>45188.471041666664</v>
      </c>
      <c r="Q3469" s="77" t="s">
        <v>4139</v>
      </c>
      <c r="R3469" s="77">
        <v>0</v>
      </c>
      <c r="S3469" s="77">
        <v>1</v>
      </c>
      <c r="T3469" s="77">
        <v>0</v>
      </c>
      <c r="U3469" s="77">
        <v>0</v>
      </c>
      <c r="V3469" s="77">
        <v>390</v>
      </c>
      <c r="W3469" s="82" t="s">
        <v>4839</v>
      </c>
      <c r="X3469" s="80" t="str">
        <f>HYPERLINK("https://einvestidor.estadao.com.br/mercado/mercado-hoje-atencao-investidores-ibc-br-vespera-decisao-juros-brasil-eua/?utm_source=twitter&amp;utm_medium=organic&amp;utm_campaign=mercado-hoje&amp;utm_content=materia")</f>
        <v>https://einvestidor.estadao.com.br/mercado/mercado-hoje-atencao-investidores-ibc-br-vespera-decisao-juros-brasil-eua/?utm_source=twitter&amp;utm_medium=organic&amp;utm_campaign=mercado-hoje&amp;utm_content=materia</v>
      </c>
      <c r="Y3469" s="77" t="s">
        <v>6470</v>
      </c>
      <c r="Z3469" s="77"/>
      <c r="AA3469" s="77" t="s">
        <v>7661</v>
      </c>
      <c r="AB3469" s="77" t="s">
        <v>7742</v>
      </c>
      <c r="AC3469" s="82" t="s">
        <v>7750</v>
      </c>
      <c r="AD3469" s="77" t="s">
        <v>7788</v>
      </c>
      <c r="AE3469" s="80" t="str">
        <f>HYPERLINK("https://twitter.com/einvestidor/status/1704092548698910906")</f>
        <v>https://twitter.com/einvestidor/status/1704092548698910906</v>
      </c>
      <c r="AF3469" s="79">
        <v>45188.471041666664</v>
      </c>
      <c r="AG3469" s="85">
        <v>45188</v>
      </c>
      <c r="AH3469" s="82" t="s">
        <v>10056</v>
      </c>
      <c r="AI3469" s="77" t="b">
        <v>0</v>
      </c>
      <c r="AJ3469" s="77"/>
      <c r="AK3469" s="77"/>
      <c r="AL3469" s="77"/>
      <c r="AM3469" s="77"/>
      <c r="AN3469" s="77"/>
      <c r="AO3469" s="77"/>
      <c r="AP3469" s="77"/>
      <c r="AQ3469" s="77" t="s">
        <v>11633</v>
      </c>
      <c r="AR3469" s="77"/>
      <c r="AS3469" s="77"/>
      <c r="AT3469" s="77"/>
      <c r="AU3469" s="77"/>
      <c r="AV3469" s="80" t="str">
        <f>HYPERLINK("https://pbs.twimg.com/media/F6YnFDiXYAAshzm.png")</f>
        <v>https://pbs.twimg.com/media/F6YnFDiXYAAshzm.png</v>
      </c>
      <c r="AW3469" s="82" t="s">
        <v>15065</v>
      </c>
      <c r="AX3469" s="82" t="s">
        <v>15065</v>
      </c>
      <c r="AY3469" s="77"/>
      <c r="AZ3469" s="82" t="s">
        <v>15984</v>
      </c>
      <c r="BA3469" s="82" t="s">
        <v>15984</v>
      </c>
      <c r="BB3469" s="82" t="s">
        <v>15984</v>
      </c>
      <c r="BC3469" s="82" t="s">
        <v>15065</v>
      </c>
      <c r="BD3469" s="82" t="s">
        <v>15979</v>
      </c>
      <c r="BE3469" s="77"/>
      <c r="BF3469" s="77"/>
      <c r="BG3469" s="77"/>
      <c r="BH3469" s="77"/>
      <c r="BI3469" s="77"/>
    </row>
    <row r="3470" spans="1:61" x14ac:dyDescent="0.25">
      <c r="A3470" s="62" t="s">
        <v>387</v>
      </c>
      <c r="B3470" s="62" t="s">
        <v>387</v>
      </c>
      <c r="C3470" s="63"/>
      <c r="D3470" s="64"/>
      <c r="E3470" s="65"/>
      <c r="F3470" s="66"/>
      <c r="G3470" s="63"/>
      <c r="H3470" s="67"/>
      <c r="I3470" s="68"/>
      <c r="J3470" s="68"/>
      <c r="K3470" s="32"/>
      <c r="L3470" s="75">
        <v>3470</v>
      </c>
      <c r="M3470" s="75"/>
      <c r="N3470" s="70"/>
      <c r="O3470" s="77" t="s">
        <v>179</v>
      </c>
      <c r="P3470" s="79">
        <v>45188.426678240743</v>
      </c>
      <c r="Q3470" s="77" t="s">
        <v>4140</v>
      </c>
      <c r="R3470" s="77">
        <v>1</v>
      </c>
      <c r="S3470" s="77">
        <v>2</v>
      </c>
      <c r="T3470" s="77">
        <v>0</v>
      </c>
      <c r="U3470" s="77">
        <v>0</v>
      </c>
      <c r="V3470" s="77">
        <v>1019</v>
      </c>
      <c r="W3470" s="82" t="s">
        <v>6322</v>
      </c>
      <c r="X3470" s="80" t="str">
        <f>HYPERLINK("https://einvestidor.estadao.com.br/mercado/antiga-via-viia3-aposta-recuperacao-judicial/?utm_source=twitter&amp;utm_medium=organic&amp;utm_campaign=viia3&amp;utm_content=materia")</f>
        <v>https://einvestidor.estadao.com.br/mercado/antiga-via-viia3-aposta-recuperacao-judicial/?utm_source=twitter&amp;utm_medium=organic&amp;utm_campaign=viia3&amp;utm_content=materia</v>
      </c>
      <c r="Y3470" s="77" t="s">
        <v>6470</v>
      </c>
      <c r="Z3470" s="77"/>
      <c r="AA3470" s="77" t="s">
        <v>7662</v>
      </c>
      <c r="AB3470" s="77" t="s">
        <v>7742</v>
      </c>
      <c r="AC3470" s="82" t="s">
        <v>7750</v>
      </c>
      <c r="AD3470" s="77" t="s">
        <v>7788</v>
      </c>
      <c r="AE3470" s="80" t="str">
        <f>HYPERLINK("https://twitter.com/einvestidor/status/1704076471810109903")</f>
        <v>https://twitter.com/einvestidor/status/1704076471810109903</v>
      </c>
      <c r="AF3470" s="79">
        <v>45188.426678240743</v>
      </c>
      <c r="AG3470" s="85">
        <v>45188</v>
      </c>
      <c r="AH3470" s="82" t="s">
        <v>10057</v>
      </c>
      <c r="AI3470" s="77" t="b">
        <v>0</v>
      </c>
      <c r="AJ3470" s="77"/>
      <c r="AK3470" s="77"/>
      <c r="AL3470" s="77"/>
      <c r="AM3470" s="77"/>
      <c r="AN3470" s="77"/>
      <c r="AO3470" s="77"/>
      <c r="AP3470" s="77"/>
      <c r="AQ3470" s="77" t="s">
        <v>11634</v>
      </c>
      <c r="AR3470" s="77"/>
      <c r="AS3470" s="77"/>
      <c r="AT3470" s="77"/>
      <c r="AU3470" s="77"/>
      <c r="AV3470" s="80" t="str">
        <f>HYPERLINK("https://pbs.twimg.com/media/F6YYaaUWkAAqLdE.png")</f>
        <v>https://pbs.twimg.com/media/F6YYaaUWkAAqLdE.png</v>
      </c>
      <c r="AW3470" s="82" t="s">
        <v>15066</v>
      </c>
      <c r="AX3470" s="82" t="s">
        <v>15066</v>
      </c>
      <c r="AY3470" s="77"/>
      <c r="AZ3470" s="82" t="s">
        <v>15984</v>
      </c>
      <c r="BA3470" s="82" t="s">
        <v>15984</v>
      </c>
      <c r="BB3470" s="82" t="s">
        <v>15984</v>
      </c>
      <c r="BC3470" s="82" t="s">
        <v>15066</v>
      </c>
      <c r="BD3470" s="82" t="s">
        <v>15979</v>
      </c>
      <c r="BE3470" s="77"/>
      <c r="BF3470" s="77"/>
      <c r="BG3470" s="77"/>
      <c r="BH3470" s="77"/>
      <c r="BI3470" s="77"/>
    </row>
    <row r="3471" spans="1:61" x14ac:dyDescent="0.25">
      <c r="A3471" s="62" t="s">
        <v>387</v>
      </c>
      <c r="B3471" s="62" t="s">
        <v>387</v>
      </c>
      <c r="C3471" s="63"/>
      <c r="D3471" s="64"/>
      <c r="E3471" s="65"/>
      <c r="F3471" s="66"/>
      <c r="G3471" s="63"/>
      <c r="H3471" s="67"/>
      <c r="I3471" s="68"/>
      <c r="J3471" s="68"/>
      <c r="K3471" s="32"/>
      <c r="L3471" s="75">
        <v>3471</v>
      </c>
      <c r="M3471" s="75"/>
      <c r="N3471" s="70"/>
      <c r="O3471" s="77" t="s">
        <v>179</v>
      </c>
      <c r="P3471" s="79">
        <v>45188.432256944441</v>
      </c>
      <c r="Q3471" s="77" t="s">
        <v>4141</v>
      </c>
      <c r="R3471" s="77">
        <v>0</v>
      </c>
      <c r="S3471" s="77">
        <v>1</v>
      </c>
      <c r="T3471" s="77">
        <v>0</v>
      </c>
      <c r="U3471" s="77">
        <v>0</v>
      </c>
      <c r="V3471" s="77">
        <v>581</v>
      </c>
      <c r="W3471" s="82" t="s">
        <v>4839</v>
      </c>
      <c r="X3471" s="80" t="str">
        <f>HYPERLINK("https://einvestidor.estadao.com.br/ultimas/bolsas-da-asia-fechamento-fed-2/?utm_source=twitter&amp;utm_medium=organic&amp;utm_campaign=asia&amp;utm_content=materia")</f>
        <v>https://einvestidor.estadao.com.br/ultimas/bolsas-da-asia-fechamento-fed-2/?utm_source=twitter&amp;utm_medium=organic&amp;utm_campaign=asia&amp;utm_content=materia</v>
      </c>
      <c r="Y3471" s="77" t="s">
        <v>6470</v>
      </c>
      <c r="Z3471" s="77"/>
      <c r="AA3471" s="77" t="s">
        <v>7663</v>
      </c>
      <c r="AB3471" s="77" t="s">
        <v>7742</v>
      </c>
      <c r="AC3471" s="82" t="s">
        <v>7750</v>
      </c>
      <c r="AD3471" s="77" t="s">
        <v>7788</v>
      </c>
      <c r="AE3471" s="80" t="str">
        <f>HYPERLINK("https://twitter.com/einvestidor/status/1704078490402714061")</f>
        <v>https://twitter.com/einvestidor/status/1704078490402714061</v>
      </c>
      <c r="AF3471" s="79">
        <v>45188.432256944441</v>
      </c>
      <c r="AG3471" s="85">
        <v>45188</v>
      </c>
      <c r="AH3471" s="82" t="s">
        <v>10058</v>
      </c>
      <c r="AI3471" s="77" t="b">
        <v>0</v>
      </c>
      <c r="AJ3471" s="77"/>
      <c r="AK3471" s="77"/>
      <c r="AL3471" s="77"/>
      <c r="AM3471" s="77"/>
      <c r="AN3471" s="77"/>
      <c r="AO3471" s="77"/>
      <c r="AP3471" s="77"/>
      <c r="AQ3471" s="77" t="s">
        <v>11635</v>
      </c>
      <c r="AR3471" s="77"/>
      <c r="AS3471" s="77"/>
      <c r="AT3471" s="77"/>
      <c r="AU3471" s="77"/>
      <c r="AV3471" s="80" t="str">
        <f>HYPERLINK("https://pbs.twimg.com/media/F6YaV3uXcAAwudP.png")</f>
        <v>https://pbs.twimg.com/media/F6YaV3uXcAAwudP.png</v>
      </c>
      <c r="AW3471" s="82" t="s">
        <v>15067</v>
      </c>
      <c r="AX3471" s="82" t="s">
        <v>15067</v>
      </c>
      <c r="AY3471" s="77"/>
      <c r="AZ3471" s="82" t="s">
        <v>15984</v>
      </c>
      <c r="BA3471" s="82" t="s">
        <v>15984</v>
      </c>
      <c r="BB3471" s="82" t="s">
        <v>15984</v>
      </c>
      <c r="BC3471" s="82" t="s">
        <v>15067</v>
      </c>
      <c r="BD3471" s="82" t="s">
        <v>15979</v>
      </c>
      <c r="BE3471" s="77"/>
      <c r="BF3471" s="77"/>
      <c r="BG3471" s="77"/>
      <c r="BH3471" s="77"/>
      <c r="BI3471" s="77"/>
    </row>
    <row r="3472" spans="1:61" x14ac:dyDescent="0.25">
      <c r="A3472" s="62" t="s">
        <v>387</v>
      </c>
      <c r="B3472" s="62" t="s">
        <v>387</v>
      </c>
      <c r="C3472" s="63"/>
      <c r="D3472" s="64"/>
      <c r="E3472" s="65"/>
      <c r="F3472" s="66"/>
      <c r="G3472" s="63"/>
      <c r="H3472" s="67"/>
      <c r="I3472" s="68"/>
      <c r="J3472" s="68"/>
      <c r="K3472" s="32"/>
      <c r="L3472" s="75">
        <v>3472</v>
      </c>
      <c r="M3472" s="75"/>
      <c r="N3472" s="70"/>
      <c r="O3472" s="77" t="s">
        <v>179</v>
      </c>
      <c r="P3472" s="79">
        <v>45188.041666666664</v>
      </c>
      <c r="Q3472" s="77" t="s">
        <v>4142</v>
      </c>
      <c r="R3472" s="77">
        <v>0</v>
      </c>
      <c r="S3472" s="77">
        <v>0</v>
      </c>
      <c r="T3472" s="77">
        <v>0</v>
      </c>
      <c r="U3472" s="77">
        <v>0</v>
      </c>
      <c r="V3472" s="77">
        <v>609</v>
      </c>
      <c r="W3472" s="82" t="s">
        <v>5189</v>
      </c>
      <c r="X3472" s="80" t="str">
        <f>HYPERLINK("https://einvestidor.estadao.com.br/ultimas/consulta-nota-fiscal-paulista-2023/?utm_source=twitter&amp;utm_medium=organic&amp;utm_campaign=&amp;utm_content=materia")</f>
        <v>https://einvestidor.estadao.com.br/ultimas/consulta-nota-fiscal-paulista-2023/?utm_source=twitter&amp;utm_medium=organic&amp;utm_campaign=&amp;utm_content=materia</v>
      </c>
      <c r="Y3472" s="77" t="s">
        <v>6470</v>
      </c>
      <c r="Z3472" s="77"/>
      <c r="AA3472" s="77"/>
      <c r="AB3472" s="77"/>
      <c r="AC3472" s="82" t="s">
        <v>7750</v>
      </c>
      <c r="AD3472" s="77" t="s">
        <v>7788</v>
      </c>
      <c r="AE3472" s="80" t="str">
        <f>HYPERLINK("https://twitter.com/einvestidor/status/1703936946949829035")</f>
        <v>https://twitter.com/einvestidor/status/1703936946949829035</v>
      </c>
      <c r="AF3472" s="79">
        <v>45188.041666666664</v>
      </c>
      <c r="AG3472" s="85">
        <v>45188</v>
      </c>
      <c r="AH3472" s="82" t="s">
        <v>8283</v>
      </c>
      <c r="AI3472" s="77" t="b">
        <v>0</v>
      </c>
      <c r="AJ3472" s="77"/>
      <c r="AK3472" s="77"/>
      <c r="AL3472" s="77"/>
      <c r="AM3472" s="77"/>
      <c r="AN3472" s="77"/>
      <c r="AO3472" s="77"/>
      <c r="AP3472" s="77"/>
      <c r="AQ3472" s="77"/>
      <c r="AR3472" s="77"/>
      <c r="AS3472" s="77"/>
      <c r="AT3472" s="77"/>
      <c r="AU3472" s="77"/>
      <c r="AV3472" s="80" t="str">
        <f>HYPERLINK("https://pbs.twimg.com/profile_images/1241147984924082183/gZgx_hL-_normal.jpg")</f>
        <v>https://pbs.twimg.com/profile_images/1241147984924082183/gZgx_hL-_normal.jpg</v>
      </c>
      <c r="AW3472" s="82" t="s">
        <v>15068</v>
      </c>
      <c r="AX3472" s="82" t="s">
        <v>15068</v>
      </c>
      <c r="AY3472" s="77"/>
      <c r="AZ3472" s="82" t="s">
        <v>15984</v>
      </c>
      <c r="BA3472" s="82" t="s">
        <v>15984</v>
      </c>
      <c r="BB3472" s="82" t="s">
        <v>15984</v>
      </c>
      <c r="BC3472" s="82" t="s">
        <v>15068</v>
      </c>
      <c r="BD3472" s="82" t="s">
        <v>15979</v>
      </c>
      <c r="BE3472" s="77"/>
      <c r="BF3472" s="77"/>
      <c r="BG3472" s="77"/>
      <c r="BH3472" s="77"/>
      <c r="BI3472" s="77"/>
    </row>
    <row r="3473" spans="1:61" x14ac:dyDescent="0.25">
      <c r="A3473" s="62" t="s">
        <v>387</v>
      </c>
      <c r="B3473" s="62" t="s">
        <v>387</v>
      </c>
      <c r="C3473" s="63"/>
      <c r="D3473" s="64"/>
      <c r="E3473" s="65"/>
      <c r="F3473" s="66"/>
      <c r="G3473" s="63"/>
      <c r="H3473" s="67"/>
      <c r="I3473" s="68"/>
      <c r="J3473" s="68"/>
      <c r="K3473" s="32"/>
      <c r="L3473" s="75">
        <v>3473</v>
      </c>
      <c r="M3473" s="75"/>
      <c r="N3473" s="70"/>
      <c r="O3473" s="77" t="s">
        <v>179</v>
      </c>
      <c r="P3473" s="79">
        <v>45188.03125</v>
      </c>
      <c r="Q3473" s="77" t="s">
        <v>4143</v>
      </c>
      <c r="R3473" s="77">
        <v>0</v>
      </c>
      <c r="S3473" s="77">
        <v>0</v>
      </c>
      <c r="T3473" s="77">
        <v>0</v>
      </c>
      <c r="U3473" s="77">
        <v>0</v>
      </c>
      <c r="V3473" s="77">
        <v>586</v>
      </c>
      <c r="W3473" s="82" t="s">
        <v>4833</v>
      </c>
      <c r="X3473" s="80" t="str">
        <f>HYPERLINK("https://einvestidor.estadao.com.br/noticias/alpargatas-alpa4-acoes-preferenciais-dynamo/?utm_source=twitter&amp;utm_medium=organic&amp;utm_campaign=&amp;utm_content=materia")</f>
        <v>https://einvestidor.estadao.com.br/noticias/alpargatas-alpa4-acoes-preferenciais-dynamo/?utm_source=twitter&amp;utm_medium=organic&amp;utm_campaign=&amp;utm_content=materia</v>
      </c>
      <c r="Y3473" s="77" t="s">
        <v>6470</v>
      </c>
      <c r="Z3473" s="77"/>
      <c r="AA3473" s="77"/>
      <c r="AB3473" s="77"/>
      <c r="AC3473" s="82" t="s">
        <v>7750</v>
      </c>
      <c r="AD3473" s="77" t="s">
        <v>7788</v>
      </c>
      <c r="AE3473" s="80" t="str">
        <f>HYPERLINK("https://twitter.com/einvestidor/status/1703933171052519701")</f>
        <v>https://twitter.com/einvestidor/status/1703933171052519701</v>
      </c>
      <c r="AF3473" s="79">
        <v>45188.03125</v>
      </c>
      <c r="AG3473" s="85">
        <v>45188</v>
      </c>
      <c r="AH3473" s="82" t="s">
        <v>9602</v>
      </c>
      <c r="AI3473" s="77" t="b">
        <v>0</v>
      </c>
      <c r="AJ3473" s="77"/>
      <c r="AK3473" s="77"/>
      <c r="AL3473" s="77"/>
      <c r="AM3473" s="77"/>
      <c r="AN3473" s="77"/>
      <c r="AO3473" s="77"/>
      <c r="AP3473" s="77"/>
      <c r="AQ3473" s="77"/>
      <c r="AR3473" s="77"/>
      <c r="AS3473" s="77"/>
      <c r="AT3473" s="77"/>
      <c r="AU3473" s="77"/>
      <c r="AV3473" s="80" t="str">
        <f>HYPERLINK("https://pbs.twimg.com/profile_images/1241147984924082183/gZgx_hL-_normal.jpg")</f>
        <v>https://pbs.twimg.com/profile_images/1241147984924082183/gZgx_hL-_normal.jpg</v>
      </c>
      <c r="AW3473" s="82" t="s">
        <v>15069</v>
      </c>
      <c r="AX3473" s="82" t="s">
        <v>15069</v>
      </c>
      <c r="AY3473" s="77"/>
      <c r="AZ3473" s="82" t="s">
        <v>15984</v>
      </c>
      <c r="BA3473" s="82" t="s">
        <v>15984</v>
      </c>
      <c r="BB3473" s="82" t="s">
        <v>15984</v>
      </c>
      <c r="BC3473" s="82" t="s">
        <v>15069</v>
      </c>
      <c r="BD3473" s="82" t="s">
        <v>15979</v>
      </c>
      <c r="BE3473" s="77"/>
      <c r="BF3473" s="77"/>
      <c r="BG3473" s="77"/>
      <c r="BH3473" s="77"/>
      <c r="BI3473" s="77"/>
    </row>
    <row r="3474" spans="1:61" x14ac:dyDescent="0.25">
      <c r="A3474" s="62" t="s">
        <v>387</v>
      </c>
      <c r="B3474" s="62" t="s">
        <v>387</v>
      </c>
      <c r="C3474" s="63"/>
      <c r="D3474" s="64"/>
      <c r="E3474" s="65"/>
      <c r="F3474" s="66"/>
      <c r="G3474" s="63"/>
      <c r="H3474" s="67"/>
      <c r="I3474" s="68"/>
      <c r="J3474" s="68"/>
      <c r="K3474" s="32"/>
      <c r="L3474" s="75">
        <v>3474</v>
      </c>
      <c r="M3474" s="75"/>
      <c r="N3474" s="70"/>
      <c r="O3474" s="77" t="s">
        <v>179</v>
      </c>
      <c r="P3474" s="79">
        <v>45179.500023148146</v>
      </c>
      <c r="Q3474" s="77" t="s">
        <v>4144</v>
      </c>
      <c r="R3474" s="77">
        <v>0</v>
      </c>
      <c r="S3474" s="77">
        <v>0</v>
      </c>
      <c r="T3474" s="77">
        <v>0</v>
      </c>
      <c r="U3474" s="77">
        <v>0</v>
      </c>
      <c r="V3474" s="77">
        <v>639</v>
      </c>
      <c r="W3474" s="82" t="s">
        <v>4833</v>
      </c>
      <c r="X3474" s="80" t="str">
        <f>HYPERLINK("https://einvestidor.estadao.com.br/criptomoedas/o-investimento-que-era-apenas-para-os-ricos/?utm_source=twitter&amp;utm_medium=organic&amp;utm_campaign=&amp;utm_content=materia")</f>
        <v>https://einvestidor.estadao.com.br/criptomoedas/o-investimento-que-era-apenas-para-os-ricos/?utm_source=twitter&amp;utm_medium=organic&amp;utm_campaign=&amp;utm_content=materia</v>
      </c>
      <c r="Y3474" s="77" t="s">
        <v>6470</v>
      </c>
      <c r="Z3474" s="77"/>
      <c r="AA3474" s="77"/>
      <c r="AB3474" s="77"/>
      <c r="AC3474" s="82" t="s">
        <v>7750</v>
      </c>
      <c r="AD3474" s="77" t="s">
        <v>7788</v>
      </c>
      <c r="AE3474" s="80" t="str">
        <f>HYPERLINK("https://twitter.com/einvestidor/status/1700841557279048008")</f>
        <v>https://twitter.com/einvestidor/status/1700841557279048008</v>
      </c>
      <c r="AF3474" s="79">
        <v>45179.500023148146</v>
      </c>
      <c r="AG3474" s="85">
        <v>45179</v>
      </c>
      <c r="AH3474" s="82" t="s">
        <v>8525</v>
      </c>
      <c r="AI3474" s="77" t="b">
        <v>0</v>
      </c>
      <c r="AJ3474" s="77"/>
      <c r="AK3474" s="77"/>
      <c r="AL3474" s="77"/>
      <c r="AM3474" s="77"/>
      <c r="AN3474" s="77"/>
      <c r="AO3474" s="77"/>
      <c r="AP3474" s="77"/>
      <c r="AQ3474" s="77"/>
      <c r="AR3474" s="77"/>
      <c r="AS3474" s="77"/>
      <c r="AT3474" s="77"/>
      <c r="AU3474" s="77"/>
      <c r="AV3474" s="80" t="str">
        <f>HYPERLINK("https://pbs.twimg.com/profile_images/1241147984924082183/gZgx_hL-_normal.jpg")</f>
        <v>https://pbs.twimg.com/profile_images/1241147984924082183/gZgx_hL-_normal.jpg</v>
      </c>
      <c r="AW3474" s="82" t="s">
        <v>15070</v>
      </c>
      <c r="AX3474" s="82" t="s">
        <v>15070</v>
      </c>
      <c r="AY3474" s="77"/>
      <c r="AZ3474" s="82" t="s">
        <v>15984</v>
      </c>
      <c r="BA3474" s="82" t="s">
        <v>15984</v>
      </c>
      <c r="BB3474" s="82" t="s">
        <v>15984</v>
      </c>
      <c r="BC3474" s="82" t="s">
        <v>15070</v>
      </c>
      <c r="BD3474" s="82" t="s">
        <v>15979</v>
      </c>
      <c r="BE3474" s="77"/>
      <c r="BF3474" s="77"/>
      <c r="BG3474" s="77"/>
      <c r="BH3474" s="77"/>
      <c r="BI3474" s="77"/>
    </row>
    <row r="3475" spans="1:61" x14ac:dyDescent="0.25">
      <c r="A3475" s="62" t="s">
        <v>387</v>
      </c>
      <c r="B3475" s="62" t="s">
        <v>387</v>
      </c>
      <c r="C3475" s="63"/>
      <c r="D3475" s="64"/>
      <c r="E3475" s="65"/>
      <c r="F3475" s="66"/>
      <c r="G3475" s="63"/>
      <c r="H3475" s="67"/>
      <c r="I3475" s="68"/>
      <c r="J3475" s="68"/>
      <c r="K3475" s="32"/>
      <c r="L3475" s="75">
        <v>3475</v>
      </c>
      <c r="M3475" s="75"/>
      <c r="N3475" s="70"/>
      <c r="O3475" s="77" t="s">
        <v>179</v>
      </c>
      <c r="P3475" s="79">
        <v>45179.416689814818</v>
      </c>
      <c r="Q3475" s="77" t="s">
        <v>4145</v>
      </c>
      <c r="R3475" s="77">
        <v>0</v>
      </c>
      <c r="S3475" s="77">
        <v>8</v>
      </c>
      <c r="T3475" s="77">
        <v>0</v>
      </c>
      <c r="U3475" s="77">
        <v>0</v>
      </c>
      <c r="V3475" s="77">
        <v>1210</v>
      </c>
      <c r="W3475" s="82" t="s">
        <v>4833</v>
      </c>
      <c r="X3475" s="80" t="str">
        <f>HYPERLINK("https://einvestidor.estadao.com.br/mercado/acoes-pagam-dividendos-em-setembro-2023/?utm_source=twitter&amp;utm_medium=organic&amp;utm_campaign=&amp;utm_content=materia")</f>
        <v>https://einvestidor.estadao.com.br/mercado/acoes-pagam-dividendos-em-setembro-2023/?utm_source=twitter&amp;utm_medium=organic&amp;utm_campaign=&amp;utm_content=materia</v>
      </c>
      <c r="Y3475" s="77" t="s">
        <v>6470</v>
      </c>
      <c r="Z3475" s="77"/>
      <c r="AA3475" s="77"/>
      <c r="AB3475" s="77"/>
      <c r="AC3475" s="82" t="s">
        <v>7750</v>
      </c>
      <c r="AD3475" s="77" t="s">
        <v>7788</v>
      </c>
      <c r="AE3475" s="80" t="str">
        <f>HYPERLINK("https://twitter.com/einvestidor/status/1700811358881673272")</f>
        <v>https://twitter.com/einvestidor/status/1700811358881673272</v>
      </c>
      <c r="AF3475" s="79">
        <v>45179.416689814818</v>
      </c>
      <c r="AG3475" s="85">
        <v>45179</v>
      </c>
      <c r="AH3475" s="82" t="s">
        <v>10059</v>
      </c>
      <c r="AI3475" s="77" t="b">
        <v>0</v>
      </c>
      <c r="AJ3475" s="77"/>
      <c r="AK3475" s="77"/>
      <c r="AL3475" s="77"/>
      <c r="AM3475" s="77"/>
      <c r="AN3475" s="77"/>
      <c r="AO3475" s="77"/>
      <c r="AP3475" s="77"/>
      <c r="AQ3475" s="77"/>
      <c r="AR3475" s="77"/>
      <c r="AS3475" s="77"/>
      <c r="AT3475" s="77"/>
      <c r="AU3475" s="77"/>
      <c r="AV3475" s="80" t="str">
        <f>HYPERLINK("https://pbs.twimg.com/profile_images/1241147984924082183/gZgx_hL-_normal.jpg")</f>
        <v>https://pbs.twimg.com/profile_images/1241147984924082183/gZgx_hL-_normal.jpg</v>
      </c>
      <c r="AW3475" s="82" t="s">
        <v>15071</v>
      </c>
      <c r="AX3475" s="82" t="s">
        <v>15071</v>
      </c>
      <c r="AY3475" s="77"/>
      <c r="AZ3475" s="82" t="s">
        <v>15984</v>
      </c>
      <c r="BA3475" s="82" t="s">
        <v>15984</v>
      </c>
      <c r="BB3475" s="82" t="s">
        <v>15984</v>
      </c>
      <c r="BC3475" s="82" t="s">
        <v>15071</v>
      </c>
      <c r="BD3475" s="82" t="s">
        <v>15979</v>
      </c>
      <c r="BE3475" s="77"/>
      <c r="BF3475" s="77"/>
      <c r="BG3475" s="77"/>
      <c r="BH3475" s="77"/>
      <c r="BI3475" s="77"/>
    </row>
    <row r="3476" spans="1:61" x14ac:dyDescent="0.25">
      <c r="A3476" s="62" t="s">
        <v>387</v>
      </c>
      <c r="B3476" s="62" t="s">
        <v>387</v>
      </c>
      <c r="C3476" s="63"/>
      <c r="D3476" s="64"/>
      <c r="E3476" s="65"/>
      <c r="F3476" s="66"/>
      <c r="G3476" s="63"/>
      <c r="H3476" s="67"/>
      <c r="I3476" s="68"/>
      <c r="J3476" s="68"/>
      <c r="K3476" s="32"/>
      <c r="L3476" s="75">
        <v>3476</v>
      </c>
      <c r="M3476" s="75"/>
      <c r="N3476" s="70"/>
      <c r="O3476" s="77" t="s">
        <v>179</v>
      </c>
      <c r="P3476" s="79">
        <v>45179.208333333336</v>
      </c>
      <c r="Q3476" s="77" t="s">
        <v>4146</v>
      </c>
      <c r="R3476" s="77">
        <v>1</v>
      </c>
      <c r="S3476" s="77">
        <v>4</v>
      </c>
      <c r="T3476" s="77">
        <v>0</v>
      </c>
      <c r="U3476" s="77">
        <v>0</v>
      </c>
      <c r="V3476" s="77">
        <v>901</v>
      </c>
      <c r="W3476" s="82" t="s">
        <v>6323</v>
      </c>
      <c r="X3476" s="80" t="str">
        <f>HYPERLINK("https://einvestidor.estadao.com.br/radar-einvestidor/xp-recomendacao-acoes-taesa-taee11/?utm_source=twitter&amp;utm_medium=organic&amp;utm_campaign=&amp;utm_content=materia")</f>
        <v>https://einvestidor.estadao.com.br/radar-einvestidor/xp-recomendacao-acoes-taesa-taee11/?utm_source=twitter&amp;utm_medium=organic&amp;utm_campaign=&amp;utm_content=materia</v>
      </c>
      <c r="Y3476" s="77" t="s">
        <v>6470</v>
      </c>
      <c r="Z3476" s="77"/>
      <c r="AA3476" s="77"/>
      <c r="AB3476" s="77"/>
      <c r="AC3476" s="82" t="s">
        <v>7750</v>
      </c>
      <c r="AD3476" s="77" t="s">
        <v>7788</v>
      </c>
      <c r="AE3476" s="80" t="str">
        <f>HYPERLINK("https://twitter.com/einvestidor/status/1700735855810490418")</f>
        <v>https://twitter.com/einvestidor/status/1700735855810490418</v>
      </c>
      <c r="AF3476" s="79">
        <v>45179.208333333336</v>
      </c>
      <c r="AG3476" s="85">
        <v>45179</v>
      </c>
      <c r="AH3476" s="82" t="s">
        <v>10060</v>
      </c>
      <c r="AI3476" s="77" t="b">
        <v>0</v>
      </c>
      <c r="AJ3476" s="77"/>
      <c r="AK3476" s="77"/>
      <c r="AL3476" s="77"/>
      <c r="AM3476" s="77"/>
      <c r="AN3476" s="77"/>
      <c r="AO3476" s="77"/>
      <c r="AP3476" s="77"/>
      <c r="AQ3476" s="77"/>
      <c r="AR3476" s="77"/>
      <c r="AS3476" s="77"/>
      <c r="AT3476" s="77"/>
      <c r="AU3476" s="77"/>
      <c r="AV3476" s="80" t="str">
        <f>HYPERLINK("https://pbs.twimg.com/profile_images/1241147984924082183/gZgx_hL-_normal.jpg")</f>
        <v>https://pbs.twimg.com/profile_images/1241147984924082183/gZgx_hL-_normal.jpg</v>
      </c>
      <c r="AW3476" s="82" t="s">
        <v>15072</v>
      </c>
      <c r="AX3476" s="82" t="s">
        <v>15072</v>
      </c>
      <c r="AY3476" s="77"/>
      <c r="AZ3476" s="82" t="s">
        <v>15984</v>
      </c>
      <c r="BA3476" s="82" t="s">
        <v>15984</v>
      </c>
      <c r="BB3476" s="82" t="s">
        <v>15984</v>
      </c>
      <c r="BC3476" s="82" t="s">
        <v>15072</v>
      </c>
      <c r="BD3476" s="82" t="s">
        <v>15979</v>
      </c>
      <c r="BE3476" s="77"/>
      <c r="BF3476" s="77"/>
      <c r="BG3476" s="77"/>
      <c r="BH3476" s="77"/>
      <c r="BI3476" s="77"/>
    </row>
    <row r="3477" spans="1:61" x14ac:dyDescent="0.25">
      <c r="A3477" s="62" t="s">
        <v>387</v>
      </c>
      <c r="B3477" s="62" t="s">
        <v>387</v>
      </c>
      <c r="C3477" s="63"/>
      <c r="D3477" s="64"/>
      <c r="E3477" s="65"/>
      <c r="F3477" s="66"/>
      <c r="G3477" s="63"/>
      <c r="H3477" s="67"/>
      <c r="I3477" s="68"/>
      <c r="J3477" s="68"/>
      <c r="K3477" s="32"/>
      <c r="L3477" s="75">
        <v>3477</v>
      </c>
      <c r="M3477" s="75"/>
      <c r="N3477" s="70"/>
      <c r="O3477" s="77" t="s">
        <v>179</v>
      </c>
      <c r="P3477" s="79">
        <v>45178.75</v>
      </c>
      <c r="Q3477" s="77" t="s">
        <v>4147</v>
      </c>
      <c r="R3477" s="77">
        <v>0</v>
      </c>
      <c r="S3477" s="77">
        <v>0</v>
      </c>
      <c r="T3477" s="77">
        <v>0</v>
      </c>
      <c r="U3477" s="77">
        <v>0</v>
      </c>
      <c r="V3477" s="77">
        <v>621</v>
      </c>
      <c r="W3477" s="82" t="s">
        <v>4833</v>
      </c>
      <c r="X3477" s="80" t="str">
        <f>HYPERLINK("https://einvestidor.estadao.com.br/ultimas/planos-de-saude-bradesco-sinistros/?utm_source=twitter&amp;utm_medium=organic&amp;utm_campaign=&amp;utm_content=materia")</f>
        <v>https://einvestidor.estadao.com.br/ultimas/planos-de-saude-bradesco-sinistros/?utm_source=twitter&amp;utm_medium=organic&amp;utm_campaign=&amp;utm_content=materia</v>
      </c>
      <c r="Y3477" s="77" t="s">
        <v>6470</v>
      </c>
      <c r="Z3477" s="77"/>
      <c r="AA3477" s="77"/>
      <c r="AB3477" s="77"/>
      <c r="AC3477" s="82" t="s">
        <v>7750</v>
      </c>
      <c r="AD3477" s="77" t="s">
        <v>7788</v>
      </c>
      <c r="AE3477" s="80" t="str">
        <f>HYPERLINK("https://twitter.com/einvestidor/status/1700569761506054295")</f>
        <v>https://twitter.com/einvestidor/status/1700569761506054295</v>
      </c>
      <c r="AF3477" s="79">
        <v>45178.75</v>
      </c>
      <c r="AG3477" s="85">
        <v>45178</v>
      </c>
      <c r="AH3477" s="82" t="s">
        <v>7934</v>
      </c>
      <c r="AI3477" s="77" t="b">
        <v>0</v>
      </c>
      <c r="AJ3477" s="77"/>
      <c r="AK3477" s="77"/>
      <c r="AL3477" s="77"/>
      <c r="AM3477" s="77"/>
      <c r="AN3477" s="77"/>
      <c r="AO3477" s="77"/>
      <c r="AP3477" s="77"/>
      <c r="AQ3477" s="77"/>
      <c r="AR3477" s="77"/>
      <c r="AS3477" s="77"/>
      <c r="AT3477" s="77"/>
      <c r="AU3477" s="77"/>
      <c r="AV3477" s="80" t="str">
        <f>HYPERLINK("https://pbs.twimg.com/profile_images/1241147984924082183/gZgx_hL-_normal.jpg")</f>
        <v>https://pbs.twimg.com/profile_images/1241147984924082183/gZgx_hL-_normal.jpg</v>
      </c>
      <c r="AW3477" s="82" t="s">
        <v>15073</v>
      </c>
      <c r="AX3477" s="82" t="s">
        <v>15073</v>
      </c>
      <c r="AY3477" s="77"/>
      <c r="AZ3477" s="82" t="s">
        <v>15984</v>
      </c>
      <c r="BA3477" s="82" t="s">
        <v>15984</v>
      </c>
      <c r="BB3477" s="82" t="s">
        <v>15984</v>
      </c>
      <c r="BC3477" s="82" t="s">
        <v>15073</v>
      </c>
      <c r="BD3477" s="82" t="s">
        <v>15979</v>
      </c>
      <c r="BE3477" s="77"/>
      <c r="BF3477" s="77"/>
      <c r="BG3477" s="77"/>
      <c r="BH3477" s="77"/>
      <c r="BI3477" s="77"/>
    </row>
    <row r="3478" spans="1:61" x14ac:dyDescent="0.25">
      <c r="A3478" s="62" t="s">
        <v>387</v>
      </c>
      <c r="B3478" s="62" t="s">
        <v>387</v>
      </c>
      <c r="C3478" s="63"/>
      <c r="D3478" s="64"/>
      <c r="E3478" s="65"/>
      <c r="F3478" s="66"/>
      <c r="G3478" s="63"/>
      <c r="H3478" s="67"/>
      <c r="I3478" s="68"/>
      <c r="J3478" s="68"/>
      <c r="K3478" s="32"/>
      <c r="L3478" s="75">
        <v>3478</v>
      </c>
      <c r="M3478" s="75"/>
      <c r="N3478" s="70"/>
      <c r="O3478" s="77" t="s">
        <v>179</v>
      </c>
      <c r="P3478" s="79">
        <v>45178.708344907405</v>
      </c>
      <c r="Q3478" s="77" t="s">
        <v>4148</v>
      </c>
      <c r="R3478" s="77">
        <v>0</v>
      </c>
      <c r="S3478" s="77">
        <v>4</v>
      </c>
      <c r="T3478" s="77">
        <v>0</v>
      </c>
      <c r="U3478" s="77">
        <v>0</v>
      </c>
      <c r="V3478" s="77">
        <v>1086</v>
      </c>
      <c r="W3478" s="82" t="s">
        <v>6324</v>
      </c>
      <c r="X3478" s="80" t="str">
        <f>HYPERLINK("https://einvestidor.estadao.com.br/ultimas/nova-carteira-do-ibovespa/?utm_source=twitter&amp;utm_medium=organic&amp;utm_campaign=&amp;utm_content=materia")</f>
        <v>https://einvestidor.estadao.com.br/ultimas/nova-carteira-do-ibovespa/?utm_source=twitter&amp;utm_medium=organic&amp;utm_campaign=&amp;utm_content=materia</v>
      </c>
      <c r="Y3478" s="77" t="s">
        <v>6470</v>
      </c>
      <c r="Z3478" s="77"/>
      <c r="AA3478" s="77"/>
      <c r="AB3478" s="77"/>
      <c r="AC3478" s="82" t="s">
        <v>7750</v>
      </c>
      <c r="AD3478" s="77" t="s">
        <v>7788</v>
      </c>
      <c r="AE3478" s="80" t="str">
        <f>HYPERLINK("https://twitter.com/einvestidor/status/1700554666118115641")</f>
        <v>https://twitter.com/einvestidor/status/1700554666118115641</v>
      </c>
      <c r="AF3478" s="79">
        <v>45178.708344907405</v>
      </c>
      <c r="AG3478" s="85">
        <v>45178</v>
      </c>
      <c r="AH3478" s="82" t="s">
        <v>7882</v>
      </c>
      <c r="AI3478" s="77" t="b">
        <v>0</v>
      </c>
      <c r="AJ3478" s="77"/>
      <c r="AK3478" s="77"/>
      <c r="AL3478" s="77"/>
      <c r="AM3478" s="77"/>
      <c r="AN3478" s="77"/>
      <c r="AO3478" s="77"/>
      <c r="AP3478" s="77"/>
      <c r="AQ3478" s="77"/>
      <c r="AR3478" s="77"/>
      <c r="AS3478" s="77"/>
      <c r="AT3478" s="77"/>
      <c r="AU3478" s="77"/>
      <c r="AV3478" s="80" t="str">
        <f>HYPERLINK("https://pbs.twimg.com/profile_images/1241147984924082183/gZgx_hL-_normal.jpg")</f>
        <v>https://pbs.twimg.com/profile_images/1241147984924082183/gZgx_hL-_normal.jpg</v>
      </c>
      <c r="AW3478" s="82" t="s">
        <v>15074</v>
      </c>
      <c r="AX3478" s="82" t="s">
        <v>15074</v>
      </c>
      <c r="AY3478" s="77"/>
      <c r="AZ3478" s="82" t="s">
        <v>15984</v>
      </c>
      <c r="BA3478" s="82" t="s">
        <v>15984</v>
      </c>
      <c r="BB3478" s="82" t="s">
        <v>15984</v>
      </c>
      <c r="BC3478" s="82" t="s">
        <v>15074</v>
      </c>
      <c r="BD3478" s="82" t="s">
        <v>15979</v>
      </c>
      <c r="BE3478" s="77"/>
      <c r="BF3478" s="77"/>
      <c r="BG3478" s="77"/>
      <c r="BH3478" s="77"/>
      <c r="BI3478" s="77"/>
    </row>
    <row r="3479" spans="1:61" x14ac:dyDescent="0.25">
      <c r="A3479" s="62" t="s">
        <v>387</v>
      </c>
      <c r="B3479" s="62" t="s">
        <v>387</v>
      </c>
      <c r="C3479" s="63"/>
      <c r="D3479" s="64"/>
      <c r="E3479" s="65"/>
      <c r="F3479" s="66"/>
      <c r="G3479" s="63"/>
      <c r="H3479" s="67"/>
      <c r="I3479" s="68"/>
      <c r="J3479" s="68"/>
      <c r="K3479" s="32"/>
      <c r="L3479" s="75">
        <v>3479</v>
      </c>
      <c r="M3479" s="75"/>
      <c r="N3479" s="70"/>
      <c r="O3479" s="77" t="s">
        <v>179</v>
      </c>
      <c r="P3479" s="79">
        <v>45178.666666666664</v>
      </c>
      <c r="Q3479" s="77" t="s">
        <v>4149</v>
      </c>
      <c r="R3479" s="77">
        <v>0</v>
      </c>
      <c r="S3479" s="77">
        <v>0</v>
      </c>
      <c r="T3479" s="77">
        <v>0</v>
      </c>
      <c r="U3479" s="77">
        <v>0</v>
      </c>
      <c r="V3479" s="77">
        <v>652</v>
      </c>
      <c r="W3479" s="82" t="s">
        <v>6037</v>
      </c>
      <c r="X3479" s="80" t="str">
        <f>HYPERLINK("https://einvestidor.estadao.com.br/ultimas/lotofacil-da-independencia-2023-como-apostar-ate-quando/?utm_source=twitter&amp;utm_medium=organic&amp;utm_campaign=&amp;utm_content=materia")</f>
        <v>https://einvestidor.estadao.com.br/ultimas/lotofacil-da-independencia-2023-como-apostar-ate-quando/?utm_source=twitter&amp;utm_medium=organic&amp;utm_campaign=&amp;utm_content=materia</v>
      </c>
      <c r="Y3479" s="77" t="s">
        <v>6470</v>
      </c>
      <c r="Z3479" s="77"/>
      <c r="AA3479" s="77"/>
      <c r="AB3479" s="77"/>
      <c r="AC3479" s="82" t="s">
        <v>7750</v>
      </c>
      <c r="AD3479" s="77" t="s">
        <v>7788</v>
      </c>
      <c r="AE3479" s="80" t="str">
        <f>HYPERLINK("https://twitter.com/einvestidor/status/1700539561682554979")</f>
        <v>https://twitter.com/einvestidor/status/1700539561682554979</v>
      </c>
      <c r="AF3479" s="79">
        <v>45178.666666666664</v>
      </c>
      <c r="AG3479" s="85">
        <v>45178</v>
      </c>
      <c r="AH3479" s="82" t="s">
        <v>8120</v>
      </c>
      <c r="AI3479" s="77" t="b">
        <v>0</v>
      </c>
      <c r="AJ3479" s="77"/>
      <c r="AK3479" s="77"/>
      <c r="AL3479" s="77"/>
      <c r="AM3479" s="77"/>
      <c r="AN3479" s="77"/>
      <c r="AO3479" s="77"/>
      <c r="AP3479" s="77"/>
      <c r="AQ3479" s="77"/>
      <c r="AR3479" s="77"/>
      <c r="AS3479" s="77"/>
      <c r="AT3479" s="77"/>
      <c r="AU3479" s="77"/>
      <c r="AV3479" s="80" t="str">
        <f>HYPERLINK("https://pbs.twimg.com/profile_images/1241147984924082183/gZgx_hL-_normal.jpg")</f>
        <v>https://pbs.twimg.com/profile_images/1241147984924082183/gZgx_hL-_normal.jpg</v>
      </c>
      <c r="AW3479" s="82" t="s">
        <v>15075</v>
      </c>
      <c r="AX3479" s="82" t="s">
        <v>15075</v>
      </c>
      <c r="AY3479" s="77"/>
      <c r="AZ3479" s="82" t="s">
        <v>15984</v>
      </c>
      <c r="BA3479" s="82" t="s">
        <v>15984</v>
      </c>
      <c r="BB3479" s="82" t="s">
        <v>15984</v>
      </c>
      <c r="BC3479" s="82" t="s">
        <v>15075</v>
      </c>
      <c r="BD3479" s="82" t="s">
        <v>15979</v>
      </c>
      <c r="BE3479" s="77"/>
      <c r="BF3479" s="77"/>
      <c r="BG3479" s="77"/>
      <c r="BH3479" s="77"/>
      <c r="BI3479" s="77"/>
    </row>
    <row r="3480" spans="1:61" x14ac:dyDescent="0.25">
      <c r="A3480" s="62" t="s">
        <v>387</v>
      </c>
      <c r="B3480" s="62" t="s">
        <v>387</v>
      </c>
      <c r="C3480" s="63"/>
      <c r="D3480" s="64"/>
      <c r="E3480" s="65"/>
      <c r="F3480" s="66"/>
      <c r="G3480" s="63"/>
      <c r="H3480" s="67"/>
      <c r="I3480" s="68"/>
      <c r="J3480" s="68"/>
      <c r="K3480" s="32"/>
      <c r="L3480" s="75">
        <v>3480</v>
      </c>
      <c r="M3480" s="75"/>
      <c r="N3480" s="70"/>
      <c r="O3480" s="77" t="s">
        <v>179</v>
      </c>
      <c r="P3480" s="79">
        <v>45178.625</v>
      </c>
      <c r="Q3480" s="77" t="s">
        <v>4150</v>
      </c>
      <c r="R3480" s="77">
        <v>0</v>
      </c>
      <c r="S3480" s="77">
        <v>1</v>
      </c>
      <c r="T3480" s="77">
        <v>0</v>
      </c>
      <c r="U3480" s="77">
        <v>0</v>
      </c>
      <c r="V3480" s="77">
        <v>482</v>
      </c>
      <c r="W3480" s="82" t="s">
        <v>4833</v>
      </c>
      <c r="X3480" s="80" t="str">
        <f>HYPERLINK("https://einvestidor.estadao.com.br/colunas/marco-saravalle/pib-e-incertezas-fiscais-como-fica-mercado/?utm_source=twitter&amp;utm_medium=organic&amp;utm_campaign=&amp;utm_content=materia")</f>
        <v>https://einvestidor.estadao.com.br/colunas/marco-saravalle/pib-e-incertezas-fiscais-como-fica-mercado/?utm_source=twitter&amp;utm_medium=organic&amp;utm_campaign=&amp;utm_content=materia</v>
      </c>
      <c r="Y3480" s="77" t="s">
        <v>6470</v>
      </c>
      <c r="Z3480" s="77"/>
      <c r="AA3480" s="77"/>
      <c r="AB3480" s="77"/>
      <c r="AC3480" s="82" t="s">
        <v>7750</v>
      </c>
      <c r="AD3480" s="77" t="s">
        <v>7788</v>
      </c>
      <c r="AE3480" s="80" t="str">
        <f>HYPERLINK("https://twitter.com/einvestidor/status/1700524460904706365")</f>
        <v>https://twitter.com/einvestidor/status/1700524460904706365</v>
      </c>
      <c r="AF3480" s="79">
        <v>45178.625</v>
      </c>
      <c r="AG3480" s="85">
        <v>45178</v>
      </c>
      <c r="AH3480" s="82" t="s">
        <v>7862</v>
      </c>
      <c r="AI3480" s="77" t="b">
        <v>0</v>
      </c>
      <c r="AJ3480" s="77"/>
      <c r="AK3480" s="77"/>
      <c r="AL3480" s="77"/>
      <c r="AM3480" s="77"/>
      <c r="AN3480" s="77"/>
      <c r="AO3480" s="77"/>
      <c r="AP3480" s="77"/>
      <c r="AQ3480" s="77"/>
      <c r="AR3480" s="77"/>
      <c r="AS3480" s="77"/>
      <c r="AT3480" s="77"/>
      <c r="AU3480" s="77"/>
      <c r="AV3480" s="80" t="str">
        <f>HYPERLINK("https://pbs.twimg.com/profile_images/1241147984924082183/gZgx_hL-_normal.jpg")</f>
        <v>https://pbs.twimg.com/profile_images/1241147984924082183/gZgx_hL-_normal.jpg</v>
      </c>
      <c r="AW3480" s="82" t="s">
        <v>15076</v>
      </c>
      <c r="AX3480" s="82" t="s">
        <v>15076</v>
      </c>
      <c r="AY3480" s="77"/>
      <c r="AZ3480" s="82" t="s">
        <v>15984</v>
      </c>
      <c r="BA3480" s="82" t="s">
        <v>15984</v>
      </c>
      <c r="BB3480" s="82" t="s">
        <v>15984</v>
      </c>
      <c r="BC3480" s="82" t="s">
        <v>15076</v>
      </c>
      <c r="BD3480" s="82" t="s">
        <v>15979</v>
      </c>
      <c r="BE3480" s="77"/>
      <c r="BF3480" s="77"/>
      <c r="BG3480" s="77"/>
      <c r="BH3480" s="77"/>
      <c r="BI3480" s="77"/>
    </row>
    <row r="3481" spans="1:61" x14ac:dyDescent="0.25">
      <c r="A3481" s="62" t="s">
        <v>387</v>
      </c>
      <c r="B3481" s="62" t="s">
        <v>387</v>
      </c>
      <c r="C3481" s="63"/>
      <c r="D3481" s="64"/>
      <c r="E3481" s="65"/>
      <c r="F3481" s="66"/>
      <c r="G3481" s="63"/>
      <c r="H3481" s="67"/>
      <c r="I3481" s="68"/>
      <c r="J3481" s="68"/>
      <c r="K3481" s="32"/>
      <c r="L3481" s="75">
        <v>3481</v>
      </c>
      <c r="M3481" s="75"/>
      <c r="N3481" s="70"/>
      <c r="O3481" s="77" t="s">
        <v>179</v>
      </c>
      <c r="P3481" s="79">
        <v>45178.500023148146</v>
      </c>
      <c r="Q3481" s="77" t="s">
        <v>4151</v>
      </c>
      <c r="R3481" s="77">
        <v>1</v>
      </c>
      <c r="S3481" s="77">
        <v>1</v>
      </c>
      <c r="T3481" s="77">
        <v>0</v>
      </c>
      <c r="U3481" s="77">
        <v>0</v>
      </c>
      <c r="V3481" s="77">
        <v>715</v>
      </c>
      <c r="W3481" s="82" t="s">
        <v>4833</v>
      </c>
      <c r="X3481" s="80" t="str">
        <f>HYPERLINK("https://einvestidor.estadao.com.br/educacao-financeira/cartao-credito-a-vista-parcelado-quando-usar/?utm_source=twitter&amp;utm_medium=organic&amp;utm_campaign=&amp;utm_content=materia")</f>
        <v>https://einvestidor.estadao.com.br/educacao-financeira/cartao-credito-a-vista-parcelado-quando-usar/?utm_source=twitter&amp;utm_medium=organic&amp;utm_campaign=&amp;utm_content=materia</v>
      </c>
      <c r="Y3481" s="77" t="s">
        <v>6470</v>
      </c>
      <c r="Z3481" s="77"/>
      <c r="AA3481" s="77"/>
      <c r="AB3481" s="77"/>
      <c r="AC3481" s="82" t="s">
        <v>7750</v>
      </c>
      <c r="AD3481" s="77" t="s">
        <v>7788</v>
      </c>
      <c r="AE3481" s="80" t="str">
        <f>HYPERLINK("https://twitter.com/einvestidor/status/1700479170672029811")</f>
        <v>https://twitter.com/einvestidor/status/1700479170672029811</v>
      </c>
      <c r="AF3481" s="79">
        <v>45178.500023148146</v>
      </c>
      <c r="AG3481" s="85">
        <v>45178</v>
      </c>
      <c r="AH3481" s="82" t="s">
        <v>8525</v>
      </c>
      <c r="AI3481" s="77" t="b">
        <v>0</v>
      </c>
      <c r="AJ3481" s="77"/>
      <c r="AK3481" s="77"/>
      <c r="AL3481" s="77"/>
      <c r="AM3481" s="77"/>
      <c r="AN3481" s="77"/>
      <c r="AO3481" s="77"/>
      <c r="AP3481" s="77"/>
      <c r="AQ3481" s="77"/>
      <c r="AR3481" s="77"/>
      <c r="AS3481" s="77"/>
      <c r="AT3481" s="77"/>
      <c r="AU3481" s="77"/>
      <c r="AV3481" s="80" t="str">
        <f>HYPERLINK("https://pbs.twimg.com/profile_images/1241147984924082183/gZgx_hL-_normal.jpg")</f>
        <v>https://pbs.twimg.com/profile_images/1241147984924082183/gZgx_hL-_normal.jpg</v>
      </c>
      <c r="AW3481" s="82" t="s">
        <v>15077</v>
      </c>
      <c r="AX3481" s="82" t="s">
        <v>15077</v>
      </c>
      <c r="AY3481" s="77"/>
      <c r="AZ3481" s="82" t="s">
        <v>15984</v>
      </c>
      <c r="BA3481" s="82" t="s">
        <v>15984</v>
      </c>
      <c r="BB3481" s="82" t="s">
        <v>15984</v>
      </c>
      <c r="BC3481" s="82" t="s">
        <v>15077</v>
      </c>
      <c r="BD3481" s="82" t="s">
        <v>15979</v>
      </c>
      <c r="BE3481" s="77"/>
      <c r="BF3481" s="77"/>
      <c r="BG3481" s="77"/>
      <c r="BH3481" s="77"/>
      <c r="BI3481" s="77"/>
    </row>
    <row r="3482" spans="1:61" x14ac:dyDescent="0.25">
      <c r="A3482" s="62" t="s">
        <v>387</v>
      </c>
      <c r="B3482" s="62" t="s">
        <v>387</v>
      </c>
      <c r="C3482" s="63"/>
      <c r="D3482" s="64"/>
      <c r="E3482" s="65"/>
      <c r="F3482" s="66"/>
      <c r="G3482" s="63"/>
      <c r="H3482" s="67"/>
      <c r="I3482" s="68"/>
      <c r="J3482" s="68"/>
      <c r="K3482" s="32"/>
      <c r="L3482" s="75">
        <v>3482</v>
      </c>
      <c r="M3482" s="75"/>
      <c r="N3482" s="70"/>
      <c r="O3482" s="77" t="s">
        <v>179</v>
      </c>
      <c r="P3482" s="79">
        <v>45178.375</v>
      </c>
      <c r="Q3482" s="77" t="s">
        <v>4152</v>
      </c>
      <c r="R3482" s="77">
        <v>1</v>
      </c>
      <c r="S3482" s="77">
        <v>2</v>
      </c>
      <c r="T3482" s="77">
        <v>0</v>
      </c>
      <c r="U3482" s="77">
        <v>0</v>
      </c>
      <c r="V3482" s="77">
        <v>897</v>
      </c>
      <c r="W3482" s="82" t="s">
        <v>5961</v>
      </c>
      <c r="X3482" s="80" t="str">
        <f>HYPERLINK("https://einvestidor.estadao.com.br/radar-einvestidor/petrobras-petr3-petr4-operacoes-argentina-acoes-alta/?utm_source=twitter&amp;utm_medium=organic&amp;utm_campaign=&amp;utm_content=materia")</f>
        <v>https://einvestidor.estadao.com.br/radar-einvestidor/petrobras-petr3-petr4-operacoes-argentina-acoes-alta/?utm_source=twitter&amp;utm_medium=organic&amp;utm_campaign=&amp;utm_content=materia</v>
      </c>
      <c r="Y3482" s="77" t="s">
        <v>6470</v>
      </c>
      <c r="Z3482" s="77"/>
      <c r="AA3482" s="77"/>
      <c r="AB3482" s="77"/>
      <c r="AC3482" s="82" t="s">
        <v>7750</v>
      </c>
      <c r="AD3482" s="77" t="s">
        <v>7788</v>
      </c>
      <c r="AE3482" s="80" t="str">
        <f>HYPERLINK("https://twitter.com/einvestidor/status/1700433866555634019")</f>
        <v>https://twitter.com/einvestidor/status/1700433866555634019</v>
      </c>
      <c r="AF3482" s="79">
        <v>45178.375</v>
      </c>
      <c r="AG3482" s="85">
        <v>45178</v>
      </c>
      <c r="AH3482" s="82" t="s">
        <v>10061</v>
      </c>
      <c r="AI3482" s="77" t="b">
        <v>0</v>
      </c>
      <c r="AJ3482" s="77"/>
      <c r="AK3482" s="77"/>
      <c r="AL3482" s="77"/>
      <c r="AM3482" s="77"/>
      <c r="AN3482" s="77"/>
      <c r="AO3482" s="77"/>
      <c r="AP3482" s="77"/>
      <c r="AQ3482" s="77"/>
      <c r="AR3482" s="77"/>
      <c r="AS3482" s="77"/>
      <c r="AT3482" s="77"/>
      <c r="AU3482" s="77"/>
      <c r="AV3482" s="80" t="str">
        <f>HYPERLINK("https://pbs.twimg.com/profile_images/1241147984924082183/gZgx_hL-_normal.jpg")</f>
        <v>https://pbs.twimg.com/profile_images/1241147984924082183/gZgx_hL-_normal.jpg</v>
      </c>
      <c r="AW3482" s="82" t="s">
        <v>15078</v>
      </c>
      <c r="AX3482" s="82" t="s">
        <v>15078</v>
      </c>
      <c r="AY3482" s="77"/>
      <c r="AZ3482" s="82" t="s">
        <v>15984</v>
      </c>
      <c r="BA3482" s="82" t="s">
        <v>15984</v>
      </c>
      <c r="BB3482" s="82" t="s">
        <v>15984</v>
      </c>
      <c r="BC3482" s="82" t="s">
        <v>15078</v>
      </c>
      <c r="BD3482" s="82" t="s">
        <v>15979</v>
      </c>
      <c r="BE3482" s="77"/>
      <c r="BF3482" s="77"/>
      <c r="BG3482" s="77"/>
      <c r="BH3482" s="77"/>
      <c r="BI3482" s="77"/>
    </row>
    <row r="3483" spans="1:61" x14ac:dyDescent="0.25">
      <c r="A3483" s="62" t="s">
        <v>387</v>
      </c>
      <c r="B3483" s="62" t="s">
        <v>387</v>
      </c>
      <c r="C3483" s="63"/>
      <c r="D3483" s="64"/>
      <c r="E3483" s="65"/>
      <c r="F3483" s="66"/>
      <c r="G3483" s="63"/>
      <c r="H3483" s="67"/>
      <c r="I3483" s="68"/>
      <c r="J3483" s="68"/>
      <c r="K3483" s="32"/>
      <c r="L3483" s="75">
        <v>3483</v>
      </c>
      <c r="M3483" s="75"/>
      <c r="N3483" s="70"/>
      <c r="O3483" s="77" t="s">
        <v>179</v>
      </c>
      <c r="P3483" s="79">
        <v>45177.961886574078</v>
      </c>
      <c r="Q3483" s="77" t="s">
        <v>4153</v>
      </c>
      <c r="R3483" s="77">
        <v>0</v>
      </c>
      <c r="S3483" s="77">
        <v>2</v>
      </c>
      <c r="T3483" s="77">
        <v>0</v>
      </c>
      <c r="U3483" s="77">
        <v>0</v>
      </c>
      <c r="V3483" s="77">
        <v>806</v>
      </c>
      <c r="W3483" s="82" t="s">
        <v>4833</v>
      </c>
      <c r="X3483" s="80" t="str">
        <f>HYPERLINK("https://einvestidor.estadao.com.br/ultimas/brasileiro-tirou-dinheiro-poupanca-saldo/?utm_source=twitter&amp;utm_medium=organic&amp;utm_campaign=&amp;utm_content=materia")</f>
        <v>https://einvestidor.estadao.com.br/ultimas/brasileiro-tirou-dinheiro-poupanca-saldo/?utm_source=twitter&amp;utm_medium=organic&amp;utm_campaign=&amp;utm_content=materia</v>
      </c>
      <c r="Y3483" s="77" t="s">
        <v>6470</v>
      </c>
      <c r="Z3483" s="77"/>
      <c r="AA3483" s="77"/>
      <c r="AB3483" s="77"/>
      <c r="AC3483" s="82" t="s">
        <v>7750</v>
      </c>
      <c r="AD3483" s="77" t="s">
        <v>7788</v>
      </c>
      <c r="AE3483" s="80" t="str">
        <f>HYPERLINK("https://twitter.com/einvestidor/status/1700284158612762711")</f>
        <v>https://twitter.com/einvestidor/status/1700284158612762711</v>
      </c>
      <c r="AF3483" s="79">
        <v>45177.961886574078</v>
      </c>
      <c r="AG3483" s="85">
        <v>45177</v>
      </c>
      <c r="AH3483" s="82" t="s">
        <v>10062</v>
      </c>
      <c r="AI3483" s="77" t="b">
        <v>0</v>
      </c>
      <c r="AJ3483" s="77"/>
      <c r="AK3483" s="77"/>
      <c r="AL3483" s="77"/>
      <c r="AM3483" s="77"/>
      <c r="AN3483" s="77"/>
      <c r="AO3483" s="77"/>
      <c r="AP3483" s="77"/>
      <c r="AQ3483" s="77"/>
      <c r="AR3483" s="77"/>
      <c r="AS3483" s="77"/>
      <c r="AT3483" s="77"/>
      <c r="AU3483" s="77"/>
      <c r="AV3483" s="80" t="str">
        <f>HYPERLINK("https://pbs.twimg.com/profile_images/1241147984924082183/gZgx_hL-_normal.jpg")</f>
        <v>https://pbs.twimg.com/profile_images/1241147984924082183/gZgx_hL-_normal.jpg</v>
      </c>
      <c r="AW3483" s="82" t="s">
        <v>15079</v>
      </c>
      <c r="AX3483" s="82" t="s">
        <v>15079</v>
      </c>
      <c r="AY3483" s="77"/>
      <c r="AZ3483" s="82" t="s">
        <v>15984</v>
      </c>
      <c r="BA3483" s="82" t="s">
        <v>15984</v>
      </c>
      <c r="BB3483" s="82" t="s">
        <v>15984</v>
      </c>
      <c r="BC3483" s="82" t="s">
        <v>15079</v>
      </c>
      <c r="BD3483" s="82" t="s">
        <v>15979</v>
      </c>
      <c r="BE3483" s="77"/>
      <c r="BF3483" s="77"/>
      <c r="BG3483" s="77"/>
      <c r="BH3483" s="77"/>
      <c r="BI3483" s="77"/>
    </row>
    <row r="3484" spans="1:61" x14ac:dyDescent="0.25">
      <c r="A3484" s="62" t="s">
        <v>387</v>
      </c>
      <c r="B3484" s="62" t="s">
        <v>387</v>
      </c>
      <c r="C3484" s="63"/>
      <c r="D3484" s="64"/>
      <c r="E3484" s="65"/>
      <c r="F3484" s="66"/>
      <c r="G3484" s="63"/>
      <c r="H3484" s="67"/>
      <c r="I3484" s="68"/>
      <c r="J3484" s="68"/>
      <c r="K3484" s="32"/>
      <c r="L3484" s="75">
        <v>3484</v>
      </c>
      <c r="M3484" s="75"/>
      <c r="N3484" s="70"/>
      <c r="O3484" s="77" t="s">
        <v>179</v>
      </c>
      <c r="P3484" s="79">
        <v>45177.950995370367</v>
      </c>
      <c r="Q3484" s="77" t="s">
        <v>4154</v>
      </c>
      <c r="R3484" s="77">
        <v>0</v>
      </c>
      <c r="S3484" s="77">
        <v>1</v>
      </c>
      <c r="T3484" s="77">
        <v>0</v>
      </c>
      <c r="U3484" s="77">
        <v>0</v>
      </c>
      <c r="V3484" s="77">
        <v>705</v>
      </c>
      <c r="W3484" s="82" t="s">
        <v>6325</v>
      </c>
      <c r="X3484" s="80" t="str">
        <f>HYPERLINK("https://einvestidor.estadao.com.br/mercado/ibovespa-mercado-fechamento-mais-cairam/?utm_source=twitter&amp;utm_medium=organic&amp;utm_campaign=&amp;utm_content=materia")</f>
        <v>https://einvestidor.estadao.com.br/mercado/ibovespa-mercado-fechamento-mais-cairam/?utm_source=twitter&amp;utm_medium=organic&amp;utm_campaign=&amp;utm_content=materia</v>
      </c>
      <c r="Y3484" s="77" t="s">
        <v>6470</v>
      </c>
      <c r="Z3484" s="77"/>
      <c r="AA3484" s="77"/>
      <c r="AB3484" s="77"/>
      <c r="AC3484" s="82" t="s">
        <v>7750</v>
      </c>
      <c r="AD3484" s="77" t="s">
        <v>7788</v>
      </c>
      <c r="AE3484" s="80" t="str">
        <f>HYPERLINK("https://twitter.com/einvestidor/status/1700280212389314918")</f>
        <v>https://twitter.com/einvestidor/status/1700280212389314918</v>
      </c>
      <c r="AF3484" s="79">
        <v>45177.950995370367</v>
      </c>
      <c r="AG3484" s="85">
        <v>45177</v>
      </c>
      <c r="AH3484" s="82" t="s">
        <v>10063</v>
      </c>
      <c r="AI3484" s="77" t="b">
        <v>0</v>
      </c>
      <c r="AJ3484" s="77"/>
      <c r="AK3484" s="77"/>
      <c r="AL3484" s="77"/>
      <c r="AM3484" s="77"/>
      <c r="AN3484" s="77"/>
      <c r="AO3484" s="77"/>
      <c r="AP3484" s="77"/>
      <c r="AQ3484" s="77"/>
      <c r="AR3484" s="77"/>
      <c r="AS3484" s="77"/>
      <c r="AT3484" s="77"/>
      <c r="AU3484" s="77"/>
      <c r="AV3484" s="80" t="str">
        <f>HYPERLINK("https://pbs.twimg.com/profile_images/1241147984924082183/gZgx_hL-_normal.jpg")</f>
        <v>https://pbs.twimg.com/profile_images/1241147984924082183/gZgx_hL-_normal.jpg</v>
      </c>
      <c r="AW3484" s="82" t="s">
        <v>15080</v>
      </c>
      <c r="AX3484" s="82" t="s">
        <v>15080</v>
      </c>
      <c r="AY3484" s="77"/>
      <c r="AZ3484" s="82" t="s">
        <v>15984</v>
      </c>
      <c r="BA3484" s="82" t="s">
        <v>15984</v>
      </c>
      <c r="BB3484" s="82" t="s">
        <v>15984</v>
      </c>
      <c r="BC3484" s="82" t="s">
        <v>15080</v>
      </c>
      <c r="BD3484" s="82" t="s">
        <v>15979</v>
      </c>
      <c r="BE3484" s="77"/>
      <c r="BF3484" s="77"/>
      <c r="BG3484" s="77"/>
      <c r="BH3484" s="77"/>
      <c r="BI3484" s="77"/>
    </row>
    <row r="3485" spans="1:61" x14ac:dyDescent="0.25">
      <c r="A3485" s="62" t="s">
        <v>387</v>
      </c>
      <c r="B3485" s="62" t="s">
        <v>387</v>
      </c>
      <c r="C3485" s="63"/>
      <c r="D3485" s="64"/>
      <c r="E3485" s="65"/>
      <c r="F3485" s="66"/>
      <c r="G3485" s="63"/>
      <c r="H3485" s="67"/>
      <c r="I3485" s="68"/>
      <c r="J3485" s="68"/>
      <c r="K3485" s="32"/>
      <c r="L3485" s="75">
        <v>3485</v>
      </c>
      <c r="M3485" s="75"/>
      <c r="N3485" s="70"/>
      <c r="O3485" s="77" t="s">
        <v>179</v>
      </c>
      <c r="P3485" s="79">
        <v>45177.949918981481</v>
      </c>
      <c r="Q3485" s="77" t="s">
        <v>4155</v>
      </c>
      <c r="R3485" s="77">
        <v>0</v>
      </c>
      <c r="S3485" s="77">
        <v>0</v>
      </c>
      <c r="T3485" s="77">
        <v>0</v>
      </c>
      <c r="U3485" s="77">
        <v>0</v>
      </c>
      <c r="V3485" s="77">
        <v>683</v>
      </c>
      <c r="W3485" s="82" t="s">
        <v>6326</v>
      </c>
      <c r="X3485" s="80" t="str">
        <f>HYPERLINK("https://einvestidor.estadao.com.br/mercado/ibovespa-semana-melhores-acoes-braskem-brkm5-assai-asai3/?utm_source=twitter&amp;utm_medium=organic&amp;utm_campaign=&amp;utm_content=materia")</f>
        <v>https://einvestidor.estadao.com.br/mercado/ibovespa-semana-melhores-acoes-braskem-brkm5-assai-asai3/?utm_source=twitter&amp;utm_medium=organic&amp;utm_campaign=&amp;utm_content=materia</v>
      </c>
      <c r="Y3485" s="77" t="s">
        <v>6470</v>
      </c>
      <c r="Z3485" s="77"/>
      <c r="AA3485" s="77"/>
      <c r="AB3485" s="77"/>
      <c r="AC3485" s="82" t="s">
        <v>7750</v>
      </c>
      <c r="AD3485" s="77" t="s">
        <v>7788</v>
      </c>
      <c r="AE3485" s="80" t="str">
        <f>HYPERLINK("https://twitter.com/einvestidor/status/1700279819475267907")</f>
        <v>https://twitter.com/einvestidor/status/1700279819475267907</v>
      </c>
      <c r="AF3485" s="79">
        <v>45177.949918981481</v>
      </c>
      <c r="AG3485" s="85">
        <v>45177</v>
      </c>
      <c r="AH3485" s="82" t="s">
        <v>10064</v>
      </c>
      <c r="AI3485" s="77" t="b">
        <v>0</v>
      </c>
      <c r="AJ3485" s="77"/>
      <c r="AK3485" s="77"/>
      <c r="AL3485" s="77"/>
      <c r="AM3485" s="77"/>
      <c r="AN3485" s="77"/>
      <c r="AO3485" s="77"/>
      <c r="AP3485" s="77"/>
      <c r="AQ3485" s="77"/>
      <c r="AR3485" s="77"/>
      <c r="AS3485" s="77"/>
      <c r="AT3485" s="77"/>
      <c r="AU3485" s="77"/>
      <c r="AV3485" s="80" t="str">
        <f>HYPERLINK("https://pbs.twimg.com/profile_images/1241147984924082183/gZgx_hL-_normal.jpg")</f>
        <v>https://pbs.twimg.com/profile_images/1241147984924082183/gZgx_hL-_normal.jpg</v>
      </c>
      <c r="AW3485" s="82" t="s">
        <v>15081</v>
      </c>
      <c r="AX3485" s="82" t="s">
        <v>15081</v>
      </c>
      <c r="AY3485" s="77"/>
      <c r="AZ3485" s="82" t="s">
        <v>15984</v>
      </c>
      <c r="BA3485" s="82" t="s">
        <v>15984</v>
      </c>
      <c r="BB3485" s="82" t="s">
        <v>15984</v>
      </c>
      <c r="BC3485" s="82" t="s">
        <v>15081</v>
      </c>
      <c r="BD3485" s="82" t="s">
        <v>15979</v>
      </c>
      <c r="BE3485" s="77"/>
      <c r="BF3485" s="77"/>
      <c r="BG3485" s="77"/>
      <c r="BH3485" s="77"/>
      <c r="BI3485" s="77"/>
    </row>
    <row r="3486" spans="1:61" x14ac:dyDescent="0.25">
      <c r="A3486" s="62" t="s">
        <v>387</v>
      </c>
      <c r="B3486" s="62" t="s">
        <v>387</v>
      </c>
      <c r="C3486" s="63"/>
      <c r="D3486" s="64"/>
      <c r="E3486" s="65"/>
      <c r="F3486" s="66"/>
      <c r="G3486" s="63"/>
      <c r="H3486" s="67"/>
      <c r="I3486" s="68"/>
      <c r="J3486" s="68"/>
      <c r="K3486" s="32"/>
      <c r="L3486" s="75">
        <v>3486</v>
      </c>
      <c r="M3486" s="75"/>
      <c r="N3486" s="70"/>
      <c r="O3486" s="77" t="s">
        <v>179</v>
      </c>
      <c r="P3486" s="79">
        <v>45177.927465277775</v>
      </c>
      <c r="Q3486" s="77" t="s">
        <v>4156</v>
      </c>
      <c r="R3486" s="77">
        <v>0</v>
      </c>
      <c r="S3486" s="77">
        <v>1</v>
      </c>
      <c r="T3486" s="77">
        <v>0</v>
      </c>
      <c r="U3486" s="77">
        <v>0</v>
      </c>
      <c r="V3486" s="77">
        <v>649</v>
      </c>
      <c r="W3486" s="82" t="s">
        <v>4833</v>
      </c>
      <c r="X3486" s="80" t="str">
        <f>HYPERLINK("https://einvestidor.estadao.com.br/mercado/fechamento-de-mercado-08-09-2023/?utm_source=twitter&amp;utm_medium=organic&amp;utm_campaign=&amp;utm_content=materia")</f>
        <v>https://einvestidor.estadao.com.br/mercado/fechamento-de-mercado-08-09-2023/?utm_source=twitter&amp;utm_medium=organic&amp;utm_campaign=&amp;utm_content=materia</v>
      </c>
      <c r="Y3486" s="77" t="s">
        <v>6470</v>
      </c>
      <c r="Z3486" s="77"/>
      <c r="AA3486" s="77"/>
      <c r="AB3486" s="77"/>
      <c r="AC3486" s="82" t="s">
        <v>7750</v>
      </c>
      <c r="AD3486" s="77" t="s">
        <v>7788</v>
      </c>
      <c r="AE3486" s="80" t="str">
        <f>HYPERLINK("https://twitter.com/einvestidor/status/1700271682135695708")</f>
        <v>https://twitter.com/einvestidor/status/1700271682135695708</v>
      </c>
      <c r="AF3486" s="79">
        <v>45177.927465277775</v>
      </c>
      <c r="AG3486" s="85">
        <v>45177</v>
      </c>
      <c r="AH3486" s="82" t="s">
        <v>10065</v>
      </c>
      <c r="AI3486" s="77" t="b">
        <v>0</v>
      </c>
      <c r="AJ3486" s="77"/>
      <c r="AK3486" s="77"/>
      <c r="AL3486" s="77"/>
      <c r="AM3486" s="77"/>
      <c r="AN3486" s="77"/>
      <c r="AO3486" s="77"/>
      <c r="AP3486" s="77"/>
      <c r="AQ3486" s="77"/>
      <c r="AR3486" s="77"/>
      <c r="AS3486" s="77"/>
      <c r="AT3486" s="77"/>
      <c r="AU3486" s="77"/>
      <c r="AV3486" s="80" t="str">
        <f>HYPERLINK("https://pbs.twimg.com/profile_images/1241147984924082183/gZgx_hL-_normal.jpg")</f>
        <v>https://pbs.twimg.com/profile_images/1241147984924082183/gZgx_hL-_normal.jpg</v>
      </c>
      <c r="AW3486" s="82" t="s">
        <v>15082</v>
      </c>
      <c r="AX3486" s="82" t="s">
        <v>15082</v>
      </c>
      <c r="AY3486" s="77"/>
      <c r="AZ3486" s="82" t="s">
        <v>15984</v>
      </c>
      <c r="BA3486" s="82" t="s">
        <v>15984</v>
      </c>
      <c r="BB3486" s="82" t="s">
        <v>15984</v>
      </c>
      <c r="BC3486" s="82" t="s">
        <v>15082</v>
      </c>
      <c r="BD3486" s="82" t="s">
        <v>15979</v>
      </c>
      <c r="BE3486" s="77"/>
      <c r="BF3486" s="77"/>
      <c r="BG3486" s="77"/>
      <c r="BH3486" s="77"/>
      <c r="BI3486" s="77"/>
    </row>
    <row r="3487" spans="1:61" x14ac:dyDescent="0.25">
      <c r="A3487" s="62" t="s">
        <v>387</v>
      </c>
      <c r="B3487" s="62" t="s">
        <v>387</v>
      </c>
      <c r="C3487" s="63"/>
      <c r="D3487" s="64"/>
      <c r="E3487" s="65"/>
      <c r="F3487" s="66"/>
      <c r="G3487" s="63"/>
      <c r="H3487" s="67"/>
      <c r="I3487" s="68"/>
      <c r="J3487" s="68"/>
      <c r="K3487" s="32"/>
      <c r="L3487" s="75">
        <v>3487</v>
      </c>
      <c r="M3487" s="75"/>
      <c r="N3487" s="70"/>
      <c r="O3487" s="77" t="s">
        <v>179</v>
      </c>
      <c r="P3487" s="79">
        <v>45177.916932870372</v>
      </c>
      <c r="Q3487" s="77" t="s">
        <v>4157</v>
      </c>
      <c r="R3487" s="77">
        <v>0</v>
      </c>
      <c r="S3487" s="77">
        <v>0</v>
      </c>
      <c r="T3487" s="77">
        <v>0</v>
      </c>
      <c r="U3487" s="77">
        <v>0</v>
      </c>
      <c r="V3487" s="77">
        <v>688</v>
      </c>
      <c r="W3487" s="82" t="s">
        <v>6325</v>
      </c>
      <c r="X3487" s="80" t="str">
        <f>HYPERLINK("https://einvestidor.estadao.com.br/mercado/ibovespa-mercado-fechamento-mais-cairam/?utm_source=twitter&amp;utm_medium=organic&amp;utm_campaign=&amp;utm_content=materia")</f>
        <v>https://einvestidor.estadao.com.br/mercado/ibovespa-mercado-fechamento-mais-cairam/?utm_source=twitter&amp;utm_medium=organic&amp;utm_campaign=&amp;utm_content=materia</v>
      </c>
      <c r="Y3487" s="77" t="s">
        <v>6470</v>
      </c>
      <c r="Z3487" s="77"/>
      <c r="AA3487" s="77"/>
      <c r="AB3487" s="77"/>
      <c r="AC3487" s="82" t="s">
        <v>7750</v>
      </c>
      <c r="AD3487" s="77" t="s">
        <v>7788</v>
      </c>
      <c r="AE3487" s="80" t="str">
        <f>HYPERLINK("https://twitter.com/einvestidor/status/1700267868506718445")</f>
        <v>https://twitter.com/einvestidor/status/1700267868506718445</v>
      </c>
      <c r="AF3487" s="79">
        <v>45177.916932870372</v>
      </c>
      <c r="AG3487" s="85">
        <v>45177</v>
      </c>
      <c r="AH3487" s="82" t="s">
        <v>10066</v>
      </c>
      <c r="AI3487" s="77" t="b">
        <v>0</v>
      </c>
      <c r="AJ3487" s="77"/>
      <c r="AK3487" s="77"/>
      <c r="AL3487" s="77"/>
      <c r="AM3487" s="77"/>
      <c r="AN3487" s="77"/>
      <c r="AO3487" s="77"/>
      <c r="AP3487" s="77"/>
      <c r="AQ3487" s="77"/>
      <c r="AR3487" s="77"/>
      <c r="AS3487" s="77"/>
      <c r="AT3487" s="77"/>
      <c r="AU3487" s="77"/>
      <c r="AV3487" s="80" t="str">
        <f>HYPERLINK("https://pbs.twimg.com/profile_images/1241147984924082183/gZgx_hL-_normal.jpg")</f>
        <v>https://pbs.twimg.com/profile_images/1241147984924082183/gZgx_hL-_normal.jpg</v>
      </c>
      <c r="AW3487" s="82" t="s">
        <v>15083</v>
      </c>
      <c r="AX3487" s="82" t="s">
        <v>15083</v>
      </c>
      <c r="AY3487" s="77"/>
      <c r="AZ3487" s="82" t="s">
        <v>15984</v>
      </c>
      <c r="BA3487" s="82" t="s">
        <v>15984</v>
      </c>
      <c r="BB3487" s="82" t="s">
        <v>15984</v>
      </c>
      <c r="BC3487" s="82" t="s">
        <v>15083</v>
      </c>
      <c r="BD3487" s="82" t="s">
        <v>15979</v>
      </c>
      <c r="BE3487" s="77"/>
      <c r="BF3487" s="77"/>
      <c r="BG3487" s="77"/>
      <c r="BH3487" s="77"/>
      <c r="BI3487" s="77"/>
    </row>
    <row r="3488" spans="1:61" x14ac:dyDescent="0.25">
      <c r="A3488" s="62" t="s">
        <v>387</v>
      </c>
      <c r="B3488" s="62" t="s">
        <v>387</v>
      </c>
      <c r="C3488" s="63"/>
      <c r="D3488" s="64"/>
      <c r="E3488" s="65"/>
      <c r="F3488" s="66"/>
      <c r="G3488" s="63"/>
      <c r="H3488" s="67"/>
      <c r="I3488" s="68"/>
      <c r="J3488" s="68"/>
      <c r="K3488" s="32"/>
      <c r="L3488" s="75">
        <v>3488</v>
      </c>
      <c r="M3488" s="75"/>
      <c r="N3488" s="70"/>
      <c r="O3488" s="77" t="s">
        <v>179</v>
      </c>
      <c r="P3488" s="79">
        <v>45177.916284722225</v>
      </c>
      <c r="Q3488" s="77" t="s">
        <v>4158</v>
      </c>
      <c r="R3488" s="77">
        <v>0</v>
      </c>
      <c r="S3488" s="77">
        <v>0</v>
      </c>
      <c r="T3488" s="77">
        <v>0</v>
      </c>
      <c r="U3488" s="77">
        <v>0</v>
      </c>
      <c r="V3488" s="77">
        <v>658</v>
      </c>
      <c r="W3488" s="82" t="s">
        <v>6327</v>
      </c>
      <c r="X3488" s="80" t="str">
        <f>HYPERLINK("https://einvestidor.estadao.com.br/mercado/ibovespa-mercado-fechamento-mais-subiram/?utm_source=twitter&amp;utm_medium=organic&amp;utm_campaign=&amp;utm_content=materia")</f>
        <v>https://einvestidor.estadao.com.br/mercado/ibovespa-mercado-fechamento-mais-subiram/?utm_source=twitter&amp;utm_medium=organic&amp;utm_campaign=&amp;utm_content=materia</v>
      </c>
      <c r="Y3488" s="77" t="s">
        <v>6470</v>
      </c>
      <c r="Z3488" s="77"/>
      <c r="AA3488" s="77"/>
      <c r="AB3488" s="77"/>
      <c r="AC3488" s="82" t="s">
        <v>7750</v>
      </c>
      <c r="AD3488" s="77" t="s">
        <v>7788</v>
      </c>
      <c r="AE3488" s="80" t="str">
        <f>HYPERLINK("https://twitter.com/einvestidor/status/1700267632841371917")</f>
        <v>https://twitter.com/einvestidor/status/1700267632841371917</v>
      </c>
      <c r="AF3488" s="79">
        <v>45177.916284722225</v>
      </c>
      <c r="AG3488" s="85">
        <v>45177</v>
      </c>
      <c r="AH3488" s="82" t="s">
        <v>10067</v>
      </c>
      <c r="AI3488" s="77" t="b">
        <v>0</v>
      </c>
      <c r="AJ3488" s="77"/>
      <c r="AK3488" s="77"/>
      <c r="AL3488" s="77"/>
      <c r="AM3488" s="77"/>
      <c r="AN3488" s="77"/>
      <c r="AO3488" s="77"/>
      <c r="AP3488" s="77"/>
      <c r="AQ3488" s="77"/>
      <c r="AR3488" s="77"/>
      <c r="AS3488" s="77"/>
      <c r="AT3488" s="77"/>
      <c r="AU3488" s="77"/>
      <c r="AV3488" s="80" t="str">
        <f>HYPERLINK("https://pbs.twimg.com/profile_images/1241147984924082183/gZgx_hL-_normal.jpg")</f>
        <v>https://pbs.twimg.com/profile_images/1241147984924082183/gZgx_hL-_normal.jpg</v>
      </c>
      <c r="AW3488" s="82" t="s">
        <v>15084</v>
      </c>
      <c r="AX3488" s="82" t="s">
        <v>15084</v>
      </c>
      <c r="AY3488" s="77"/>
      <c r="AZ3488" s="82" t="s">
        <v>15984</v>
      </c>
      <c r="BA3488" s="82" t="s">
        <v>15984</v>
      </c>
      <c r="BB3488" s="82" t="s">
        <v>15984</v>
      </c>
      <c r="BC3488" s="82" t="s">
        <v>15084</v>
      </c>
      <c r="BD3488" s="82" t="s">
        <v>15979</v>
      </c>
      <c r="BE3488" s="77"/>
      <c r="BF3488" s="77"/>
      <c r="BG3488" s="77"/>
      <c r="BH3488" s="77"/>
      <c r="BI3488" s="77"/>
    </row>
    <row r="3489" spans="1:61" x14ac:dyDescent="0.25">
      <c r="A3489" s="62" t="s">
        <v>387</v>
      </c>
      <c r="B3489" s="62" t="s">
        <v>387</v>
      </c>
      <c r="C3489" s="63"/>
      <c r="D3489" s="64"/>
      <c r="E3489" s="65"/>
      <c r="F3489" s="66"/>
      <c r="G3489" s="63"/>
      <c r="H3489" s="67"/>
      <c r="I3489" s="68"/>
      <c r="J3489" s="68"/>
      <c r="K3489" s="32"/>
      <c r="L3489" s="75">
        <v>3489</v>
      </c>
      <c r="M3489" s="75"/>
      <c r="N3489" s="70"/>
      <c r="O3489" s="77" t="s">
        <v>179</v>
      </c>
      <c r="P3489" s="79">
        <v>45177.90625</v>
      </c>
      <c r="Q3489" s="77" t="s">
        <v>4159</v>
      </c>
      <c r="R3489" s="77">
        <v>0</v>
      </c>
      <c r="S3489" s="77">
        <v>0</v>
      </c>
      <c r="T3489" s="77">
        <v>0</v>
      </c>
      <c r="U3489" s="77">
        <v>0</v>
      </c>
      <c r="V3489" s="77">
        <v>666</v>
      </c>
      <c r="W3489" s="82" t="s">
        <v>4833</v>
      </c>
      <c r="X3489" s="80" t="str">
        <f>HYPERLINK("https://einvestidor.estadao.com.br/ultimas/bradesco-bbi-aquisicao-vamos-receitas-aluguel//?utm_source=twitter&amp;utm_medium=organic&amp;utm_campaign=&amp;utm_content=materia")</f>
        <v>https://einvestidor.estadao.com.br/ultimas/bradesco-bbi-aquisicao-vamos-receitas-aluguel//?utm_source=twitter&amp;utm_medium=organic&amp;utm_campaign=&amp;utm_content=materia</v>
      </c>
      <c r="Y3489" s="77" t="s">
        <v>6470</v>
      </c>
      <c r="Z3489" s="77"/>
      <c r="AA3489" s="77"/>
      <c r="AB3489" s="77"/>
      <c r="AC3489" s="82" t="s">
        <v>7750</v>
      </c>
      <c r="AD3489" s="77" t="s">
        <v>7788</v>
      </c>
      <c r="AE3489" s="80" t="str">
        <f>HYPERLINK("https://twitter.com/einvestidor/status/1700263994227908686")</f>
        <v>https://twitter.com/einvestidor/status/1700263994227908686</v>
      </c>
      <c r="AF3489" s="79">
        <v>45177.90625</v>
      </c>
      <c r="AG3489" s="85">
        <v>45177</v>
      </c>
      <c r="AH3489" s="82" t="s">
        <v>9578</v>
      </c>
      <c r="AI3489" s="77" t="b">
        <v>0</v>
      </c>
      <c r="AJ3489" s="77"/>
      <c r="AK3489" s="77"/>
      <c r="AL3489" s="77"/>
      <c r="AM3489" s="77"/>
      <c r="AN3489" s="77"/>
      <c r="AO3489" s="77"/>
      <c r="AP3489" s="77"/>
      <c r="AQ3489" s="77"/>
      <c r="AR3489" s="77"/>
      <c r="AS3489" s="77"/>
      <c r="AT3489" s="77"/>
      <c r="AU3489" s="77"/>
      <c r="AV3489" s="80" t="str">
        <f>HYPERLINK("https://pbs.twimg.com/profile_images/1241147984924082183/gZgx_hL-_normal.jpg")</f>
        <v>https://pbs.twimg.com/profile_images/1241147984924082183/gZgx_hL-_normal.jpg</v>
      </c>
      <c r="AW3489" s="82" t="s">
        <v>15085</v>
      </c>
      <c r="AX3489" s="82" t="s">
        <v>15085</v>
      </c>
      <c r="AY3489" s="77"/>
      <c r="AZ3489" s="82" t="s">
        <v>15984</v>
      </c>
      <c r="BA3489" s="82" t="s">
        <v>15984</v>
      </c>
      <c r="BB3489" s="82" t="s">
        <v>15984</v>
      </c>
      <c r="BC3489" s="82" t="s">
        <v>15085</v>
      </c>
      <c r="BD3489" s="82" t="s">
        <v>15979</v>
      </c>
      <c r="BE3489" s="77"/>
      <c r="BF3489" s="77"/>
      <c r="BG3489" s="77"/>
      <c r="BH3489" s="77"/>
      <c r="BI3489" s="77"/>
    </row>
    <row r="3490" spans="1:61" x14ac:dyDescent="0.25">
      <c r="A3490" s="62" t="s">
        <v>387</v>
      </c>
      <c r="B3490" s="62" t="s">
        <v>387</v>
      </c>
      <c r="C3490" s="63"/>
      <c r="D3490" s="64"/>
      <c r="E3490" s="65"/>
      <c r="F3490" s="66"/>
      <c r="G3490" s="63"/>
      <c r="H3490" s="67"/>
      <c r="I3490" s="68"/>
      <c r="J3490" s="68"/>
      <c r="K3490" s="32"/>
      <c r="L3490" s="75">
        <v>3490</v>
      </c>
      <c r="M3490" s="75"/>
      <c r="N3490" s="70"/>
      <c r="O3490" s="77" t="s">
        <v>179</v>
      </c>
      <c r="P3490" s="79">
        <v>45177.895833333336</v>
      </c>
      <c r="Q3490" s="77" t="s">
        <v>4160</v>
      </c>
      <c r="R3490" s="77">
        <v>0</v>
      </c>
      <c r="S3490" s="77">
        <v>2</v>
      </c>
      <c r="T3490" s="77">
        <v>0</v>
      </c>
      <c r="U3490" s="77">
        <v>0</v>
      </c>
      <c r="V3490" s="77">
        <v>633</v>
      </c>
      <c r="W3490" s="82" t="s">
        <v>6328</v>
      </c>
      <c r="X3490" s="80" t="str">
        <f>HYPERLINK("https://einvestidor.estadao.com.br/ultimas/acoes-dona-direitos-autorais-beatles-alta-apos-oferta/?utm_source=twitter&amp;utm_medium=organic&amp;utm_campaign=&amp;utm_content=materia")</f>
        <v>https://einvestidor.estadao.com.br/ultimas/acoes-dona-direitos-autorais-beatles-alta-apos-oferta/?utm_source=twitter&amp;utm_medium=organic&amp;utm_campaign=&amp;utm_content=materia</v>
      </c>
      <c r="Y3490" s="77" t="s">
        <v>6470</v>
      </c>
      <c r="Z3490" s="77"/>
      <c r="AA3490" s="77"/>
      <c r="AB3490" s="77"/>
      <c r="AC3490" s="82" t="s">
        <v>7750</v>
      </c>
      <c r="AD3490" s="77" t="s">
        <v>7788</v>
      </c>
      <c r="AE3490" s="80" t="str">
        <f>HYPERLINK("https://twitter.com/einvestidor/status/1700260221245870424")</f>
        <v>https://twitter.com/einvestidor/status/1700260221245870424</v>
      </c>
      <c r="AF3490" s="79">
        <v>45177.895833333336</v>
      </c>
      <c r="AG3490" s="85">
        <v>45177</v>
      </c>
      <c r="AH3490" s="82" t="s">
        <v>8089</v>
      </c>
      <c r="AI3490" s="77" t="b">
        <v>0</v>
      </c>
      <c r="AJ3490" s="77"/>
      <c r="AK3490" s="77"/>
      <c r="AL3490" s="77"/>
      <c r="AM3490" s="77"/>
      <c r="AN3490" s="77"/>
      <c r="AO3490" s="77"/>
      <c r="AP3490" s="77"/>
      <c r="AQ3490" s="77"/>
      <c r="AR3490" s="77"/>
      <c r="AS3490" s="77"/>
      <c r="AT3490" s="77"/>
      <c r="AU3490" s="77"/>
      <c r="AV3490" s="80" t="str">
        <f>HYPERLINK("https://pbs.twimg.com/profile_images/1241147984924082183/gZgx_hL-_normal.jpg")</f>
        <v>https://pbs.twimg.com/profile_images/1241147984924082183/gZgx_hL-_normal.jpg</v>
      </c>
      <c r="AW3490" s="82" t="s">
        <v>15086</v>
      </c>
      <c r="AX3490" s="82" t="s">
        <v>15086</v>
      </c>
      <c r="AY3490" s="77"/>
      <c r="AZ3490" s="82" t="s">
        <v>15984</v>
      </c>
      <c r="BA3490" s="82" t="s">
        <v>15984</v>
      </c>
      <c r="BB3490" s="82" t="s">
        <v>15984</v>
      </c>
      <c r="BC3490" s="82" t="s">
        <v>15086</v>
      </c>
      <c r="BD3490" s="82" t="s">
        <v>15979</v>
      </c>
      <c r="BE3490" s="77"/>
      <c r="BF3490" s="77"/>
      <c r="BG3490" s="77"/>
      <c r="BH3490" s="77"/>
      <c r="BI3490" s="77"/>
    </row>
    <row r="3491" spans="1:61" x14ac:dyDescent="0.25">
      <c r="A3491" s="62" t="s">
        <v>387</v>
      </c>
      <c r="B3491" s="62" t="s">
        <v>387</v>
      </c>
      <c r="C3491" s="63"/>
      <c r="D3491" s="64"/>
      <c r="E3491" s="65"/>
      <c r="F3491" s="66"/>
      <c r="G3491" s="63"/>
      <c r="H3491" s="67"/>
      <c r="I3491" s="68"/>
      <c r="J3491" s="68"/>
      <c r="K3491" s="32"/>
      <c r="L3491" s="75">
        <v>3491</v>
      </c>
      <c r="M3491" s="75"/>
      <c r="N3491" s="70"/>
      <c r="O3491" s="77" t="s">
        <v>179</v>
      </c>
      <c r="P3491" s="79">
        <v>45177.875011574077</v>
      </c>
      <c r="Q3491" s="77" t="s">
        <v>4161</v>
      </c>
      <c r="R3491" s="77">
        <v>0</v>
      </c>
      <c r="S3491" s="77">
        <v>0</v>
      </c>
      <c r="T3491" s="77">
        <v>0</v>
      </c>
      <c r="U3491" s="77">
        <v>0</v>
      </c>
      <c r="V3491" s="77">
        <v>496</v>
      </c>
      <c r="W3491" s="82" t="s">
        <v>6309</v>
      </c>
      <c r="X3491" s="80" t="str">
        <f>HYPERLINK("https://einvestidor.estadao.com.br/colunas/fabrizio-gueratto/fgc-garante-dinheiro-conta-corrente/?utm_source=twitter&amp;utm_medium=organic&amp;utm_campaign=&amp;utm_content=materia")</f>
        <v>https://einvestidor.estadao.com.br/colunas/fabrizio-gueratto/fgc-garante-dinheiro-conta-corrente/?utm_source=twitter&amp;utm_medium=organic&amp;utm_campaign=&amp;utm_content=materia</v>
      </c>
      <c r="Y3491" s="77" t="s">
        <v>6470</v>
      </c>
      <c r="Z3491" s="77"/>
      <c r="AA3491" s="77"/>
      <c r="AB3491" s="77"/>
      <c r="AC3491" s="82" t="s">
        <v>7750</v>
      </c>
      <c r="AD3491" s="77" t="s">
        <v>7788</v>
      </c>
      <c r="AE3491" s="80" t="str">
        <f>HYPERLINK("https://twitter.com/einvestidor/status/1700252676666335288")</f>
        <v>https://twitter.com/einvestidor/status/1700252676666335288</v>
      </c>
      <c r="AF3491" s="79">
        <v>45177.875011574077</v>
      </c>
      <c r="AG3491" s="85">
        <v>45177</v>
      </c>
      <c r="AH3491" s="82" t="s">
        <v>7871</v>
      </c>
      <c r="AI3491" s="77" t="b">
        <v>0</v>
      </c>
      <c r="AJ3491" s="77"/>
      <c r="AK3491" s="77"/>
      <c r="AL3491" s="77"/>
      <c r="AM3491" s="77"/>
      <c r="AN3491" s="77"/>
      <c r="AO3491" s="77"/>
      <c r="AP3491" s="77"/>
      <c r="AQ3491" s="77"/>
      <c r="AR3491" s="77"/>
      <c r="AS3491" s="77"/>
      <c r="AT3491" s="77"/>
      <c r="AU3491" s="77"/>
      <c r="AV3491" s="80" t="str">
        <f>HYPERLINK("https://pbs.twimg.com/profile_images/1241147984924082183/gZgx_hL-_normal.jpg")</f>
        <v>https://pbs.twimg.com/profile_images/1241147984924082183/gZgx_hL-_normal.jpg</v>
      </c>
      <c r="AW3491" s="82" t="s">
        <v>15087</v>
      </c>
      <c r="AX3491" s="82" t="s">
        <v>15087</v>
      </c>
      <c r="AY3491" s="77"/>
      <c r="AZ3491" s="82" t="s">
        <v>15984</v>
      </c>
      <c r="BA3491" s="82" t="s">
        <v>15984</v>
      </c>
      <c r="BB3491" s="82" t="s">
        <v>15984</v>
      </c>
      <c r="BC3491" s="82" t="s">
        <v>15087</v>
      </c>
      <c r="BD3491" s="82" t="s">
        <v>15979</v>
      </c>
      <c r="BE3491" s="77"/>
      <c r="BF3491" s="77"/>
      <c r="BG3491" s="77"/>
      <c r="BH3491" s="77"/>
      <c r="BI3491" s="77"/>
    </row>
    <row r="3492" spans="1:61" x14ac:dyDescent="0.25">
      <c r="A3492" s="62" t="s">
        <v>387</v>
      </c>
      <c r="B3492" s="62" t="s">
        <v>387</v>
      </c>
      <c r="C3492" s="63"/>
      <c r="D3492" s="64"/>
      <c r="E3492" s="65"/>
      <c r="F3492" s="66"/>
      <c r="G3492" s="63"/>
      <c r="H3492" s="67"/>
      <c r="I3492" s="68"/>
      <c r="J3492" s="68"/>
      <c r="K3492" s="32"/>
      <c r="L3492" s="75">
        <v>3492</v>
      </c>
      <c r="M3492" s="75"/>
      <c r="N3492" s="70"/>
      <c r="O3492" s="77" t="s">
        <v>179</v>
      </c>
      <c r="P3492" s="79">
        <v>45177.864583333336</v>
      </c>
      <c r="Q3492" s="77" t="s">
        <v>4162</v>
      </c>
      <c r="R3492" s="77">
        <v>0</v>
      </c>
      <c r="S3492" s="77">
        <v>0</v>
      </c>
      <c r="T3492" s="77">
        <v>0</v>
      </c>
      <c r="U3492" s="77">
        <v>0</v>
      </c>
      <c r="V3492" s="77">
        <v>593</v>
      </c>
      <c r="W3492" s="82" t="s">
        <v>5961</v>
      </c>
      <c r="X3492" s="80" t="str">
        <f>HYPERLINK("https://einvestidor.estadao.com.br/ultimas/petrobras-petr3-petr4-recorde-novo-fator-utilizacao-refinarias/?utm_source=twitter&amp;utm_medium=organic&amp;utm_campaign=&amp;utm_content=materia")</f>
        <v>https://einvestidor.estadao.com.br/ultimas/petrobras-petr3-petr4-recorde-novo-fator-utilizacao-refinarias/?utm_source=twitter&amp;utm_medium=organic&amp;utm_campaign=&amp;utm_content=materia</v>
      </c>
      <c r="Y3492" s="77" t="s">
        <v>6470</v>
      </c>
      <c r="Z3492" s="77"/>
      <c r="AA3492" s="77"/>
      <c r="AB3492" s="77"/>
      <c r="AC3492" s="82" t="s">
        <v>7750</v>
      </c>
      <c r="AD3492" s="77" t="s">
        <v>7788</v>
      </c>
      <c r="AE3492" s="80" t="str">
        <f>HYPERLINK("https://twitter.com/einvestidor/status/1700248894704169030")</f>
        <v>https://twitter.com/einvestidor/status/1700248894704169030</v>
      </c>
      <c r="AF3492" s="79">
        <v>45177.864583333336</v>
      </c>
      <c r="AG3492" s="85">
        <v>45177</v>
      </c>
      <c r="AH3492" s="82" t="s">
        <v>9596</v>
      </c>
      <c r="AI3492" s="77" t="b">
        <v>0</v>
      </c>
      <c r="AJ3492" s="77"/>
      <c r="AK3492" s="77"/>
      <c r="AL3492" s="77"/>
      <c r="AM3492" s="77"/>
      <c r="AN3492" s="77"/>
      <c r="AO3492" s="77"/>
      <c r="AP3492" s="77"/>
      <c r="AQ3492" s="77"/>
      <c r="AR3492" s="77"/>
      <c r="AS3492" s="77"/>
      <c r="AT3492" s="77"/>
      <c r="AU3492" s="77"/>
      <c r="AV3492" s="80" t="str">
        <f>HYPERLINK("https://pbs.twimg.com/profile_images/1241147984924082183/gZgx_hL-_normal.jpg")</f>
        <v>https://pbs.twimg.com/profile_images/1241147984924082183/gZgx_hL-_normal.jpg</v>
      </c>
      <c r="AW3492" s="82" t="s">
        <v>15088</v>
      </c>
      <c r="AX3492" s="82" t="s">
        <v>15088</v>
      </c>
      <c r="AY3492" s="77"/>
      <c r="AZ3492" s="82" t="s">
        <v>15984</v>
      </c>
      <c r="BA3492" s="82" t="s">
        <v>15984</v>
      </c>
      <c r="BB3492" s="82" t="s">
        <v>15984</v>
      </c>
      <c r="BC3492" s="82" t="s">
        <v>15088</v>
      </c>
      <c r="BD3492" s="82" t="s">
        <v>15979</v>
      </c>
      <c r="BE3492" s="77"/>
      <c r="BF3492" s="77"/>
      <c r="BG3492" s="77"/>
      <c r="BH3492" s="77"/>
      <c r="BI3492" s="77"/>
    </row>
    <row r="3493" spans="1:61" x14ac:dyDescent="0.25">
      <c r="A3493" s="62" t="s">
        <v>387</v>
      </c>
      <c r="B3493" s="62" t="s">
        <v>387</v>
      </c>
      <c r="C3493" s="63"/>
      <c r="D3493" s="64"/>
      <c r="E3493" s="65"/>
      <c r="F3493" s="66"/>
      <c r="G3493" s="63"/>
      <c r="H3493" s="67"/>
      <c r="I3493" s="68"/>
      <c r="J3493" s="68"/>
      <c r="K3493" s="32"/>
      <c r="L3493" s="75">
        <v>3493</v>
      </c>
      <c r="M3493" s="75"/>
      <c r="N3493" s="70"/>
      <c r="O3493" s="77" t="s">
        <v>179</v>
      </c>
      <c r="P3493" s="79">
        <v>45177.84375</v>
      </c>
      <c r="Q3493" s="77" t="s">
        <v>4163</v>
      </c>
      <c r="R3493" s="77">
        <v>0</v>
      </c>
      <c r="S3493" s="77">
        <v>0</v>
      </c>
      <c r="T3493" s="77">
        <v>0</v>
      </c>
      <c r="U3493" s="77">
        <v>0</v>
      </c>
      <c r="V3493" s="77">
        <v>543</v>
      </c>
      <c r="W3493" s="82" t="s">
        <v>6037</v>
      </c>
      <c r="X3493" s="80" t="str">
        <f>HYPERLINK("https://einvestidor.estadao.com.br/radar-einvestidor/lotofacil-da-independencia-2023-qual-probabilidade-ganhar/?utm_source=twitter&amp;utm_medium=organic&amp;utm_campaign=&amp;utm_content=materia")</f>
        <v>https://einvestidor.estadao.com.br/radar-einvestidor/lotofacil-da-independencia-2023-qual-probabilidade-ganhar/?utm_source=twitter&amp;utm_medium=organic&amp;utm_campaign=&amp;utm_content=materia</v>
      </c>
      <c r="Y3493" s="77" t="s">
        <v>6470</v>
      </c>
      <c r="Z3493" s="77"/>
      <c r="AA3493" s="77"/>
      <c r="AB3493" s="77"/>
      <c r="AC3493" s="82" t="s">
        <v>7750</v>
      </c>
      <c r="AD3493" s="77" t="s">
        <v>7788</v>
      </c>
      <c r="AE3493" s="80" t="str">
        <f>HYPERLINK("https://twitter.com/einvestidor/status/1700241344718143533")</f>
        <v>https://twitter.com/einvestidor/status/1700241344718143533</v>
      </c>
      <c r="AF3493" s="79">
        <v>45177.84375</v>
      </c>
      <c r="AG3493" s="85">
        <v>45177</v>
      </c>
      <c r="AH3493" s="82" t="s">
        <v>9296</v>
      </c>
      <c r="AI3493" s="77" t="b">
        <v>0</v>
      </c>
      <c r="AJ3493" s="77"/>
      <c r="AK3493" s="77"/>
      <c r="AL3493" s="77"/>
      <c r="AM3493" s="77"/>
      <c r="AN3493" s="77"/>
      <c r="AO3493" s="77"/>
      <c r="AP3493" s="77"/>
      <c r="AQ3493" s="77"/>
      <c r="AR3493" s="77"/>
      <c r="AS3493" s="77"/>
      <c r="AT3493" s="77"/>
      <c r="AU3493" s="77"/>
      <c r="AV3493" s="80" t="str">
        <f>HYPERLINK("https://pbs.twimg.com/profile_images/1241147984924082183/gZgx_hL-_normal.jpg")</f>
        <v>https://pbs.twimg.com/profile_images/1241147984924082183/gZgx_hL-_normal.jpg</v>
      </c>
      <c r="AW3493" s="82" t="s">
        <v>15089</v>
      </c>
      <c r="AX3493" s="82" t="s">
        <v>15089</v>
      </c>
      <c r="AY3493" s="77"/>
      <c r="AZ3493" s="82" t="s">
        <v>15984</v>
      </c>
      <c r="BA3493" s="82" t="s">
        <v>15984</v>
      </c>
      <c r="BB3493" s="82" t="s">
        <v>15984</v>
      </c>
      <c r="BC3493" s="82" t="s">
        <v>15089</v>
      </c>
      <c r="BD3493" s="82" t="s">
        <v>15979</v>
      </c>
      <c r="BE3493" s="77"/>
      <c r="BF3493" s="77"/>
      <c r="BG3493" s="77"/>
      <c r="BH3493" s="77"/>
      <c r="BI3493" s="77"/>
    </row>
    <row r="3494" spans="1:61" x14ac:dyDescent="0.25">
      <c r="A3494" s="62" t="s">
        <v>387</v>
      </c>
      <c r="B3494" s="62" t="s">
        <v>387</v>
      </c>
      <c r="C3494" s="63"/>
      <c r="D3494" s="64"/>
      <c r="E3494" s="65"/>
      <c r="F3494" s="66"/>
      <c r="G3494" s="63"/>
      <c r="H3494" s="67"/>
      <c r="I3494" s="68"/>
      <c r="J3494" s="68"/>
      <c r="K3494" s="32"/>
      <c r="L3494" s="75">
        <v>3494</v>
      </c>
      <c r="M3494" s="75"/>
      <c r="N3494" s="70"/>
      <c r="O3494" s="77" t="s">
        <v>179</v>
      </c>
      <c r="P3494" s="79">
        <v>45177.833333333336</v>
      </c>
      <c r="Q3494" s="77" t="s">
        <v>4164</v>
      </c>
      <c r="R3494" s="77">
        <v>0</v>
      </c>
      <c r="S3494" s="77">
        <v>0</v>
      </c>
      <c r="T3494" s="77">
        <v>0</v>
      </c>
      <c r="U3494" s="77">
        <v>0</v>
      </c>
      <c r="V3494" s="77">
        <v>470</v>
      </c>
      <c r="W3494" s="82" t="s">
        <v>6329</v>
      </c>
      <c r="X3494" s="80" t="str">
        <f>HYPERLINK("https://einvestidor.estadao.com.br/ultimas/acoes-gpa-pcar3-caem-casino-comprar-fatia-cnova/?utm_source=twitter&amp;utm_medium=organic&amp;utm_campaign=&amp;utm_content=materia")</f>
        <v>https://einvestidor.estadao.com.br/ultimas/acoes-gpa-pcar3-caem-casino-comprar-fatia-cnova/?utm_source=twitter&amp;utm_medium=organic&amp;utm_campaign=&amp;utm_content=materia</v>
      </c>
      <c r="Y3494" s="77" t="s">
        <v>6470</v>
      </c>
      <c r="Z3494" s="77"/>
      <c r="AA3494" s="77"/>
      <c r="AB3494" s="77"/>
      <c r="AC3494" s="82" t="s">
        <v>7750</v>
      </c>
      <c r="AD3494" s="77" t="s">
        <v>7788</v>
      </c>
      <c r="AE3494" s="80" t="str">
        <f>HYPERLINK("https://twitter.com/einvestidor/status/1700237570645410261")</f>
        <v>https://twitter.com/einvestidor/status/1700237570645410261</v>
      </c>
      <c r="AF3494" s="79">
        <v>45177.833333333336</v>
      </c>
      <c r="AG3494" s="85">
        <v>45177</v>
      </c>
      <c r="AH3494" s="82" t="s">
        <v>8381</v>
      </c>
      <c r="AI3494" s="77" t="b">
        <v>0</v>
      </c>
      <c r="AJ3494" s="77"/>
      <c r="AK3494" s="77"/>
      <c r="AL3494" s="77"/>
      <c r="AM3494" s="77"/>
      <c r="AN3494" s="77"/>
      <c r="AO3494" s="77"/>
      <c r="AP3494" s="77"/>
      <c r="AQ3494" s="77"/>
      <c r="AR3494" s="77"/>
      <c r="AS3494" s="77"/>
      <c r="AT3494" s="77"/>
      <c r="AU3494" s="77"/>
      <c r="AV3494" s="80" t="str">
        <f>HYPERLINK("https://pbs.twimg.com/profile_images/1241147984924082183/gZgx_hL-_normal.jpg")</f>
        <v>https://pbs.twimg.com/profile_images/1241147984924082183/gZgx_hL-_normal.jpg</v>
      </c>
      <c r="AW3494" s="82" t="s">
        <v>15090</v>
      </c>
      <c r="AX3494" s="82" t="s">
        <v>15090</v>
      </c>
      <c r="AY3494" s="77"/>
      <c r="AZ3494" s="82" t="s">
        <v>15984</v>
      </c>
      <c r="BA3494" s="82" t="s">
        <v>15984</v>
      </c>
      <c r="BB3494" s="82" t="s">
        <v>15984</v>
      </c>
      <c r="BC3494" s="82" t="s">
        <v>15090</v>
      </c>
      <c r="BD3494" s="82" t="s">
        <v>15979</v>
      </c>
      <c r="BE3494" s="77"/>
      <c r="BF3494" s="77"/>
      <c r="BG3494" s="77"/>
      <c r="BH3494" s="77"/>
      <c r="BI3494" s="77"/>
    </row>
    <row r="3495" spans="1:61" x14ac:dyDescent="0.25">
      <c r="A3495" s="62" t="s">
        <v>387</v>
      </c>
      <c r="B3495" s="62" t="s">
        <v>387</v>
      </c>
      <c r="C3495" s="63"/>
      <c r="D3495" s="64"/>
      <c r="E3495" s="65"/>
      <c r="F3495" s="66"/>
      <c r="G3495" s="63"/>
      <c r="H3495" s="67"/>
      <c r="I3495" s="68"/>
      <c r="J3495" s="68"/>
      <c r="K3495" s="32"/>
      <c r="L3495" s="75">
        <v>3495</v>
      </c>
      <c r="M3495" s="75"/>
      <c r="N3495" s="70"/>
      <c r="O3495" s="77" t="s">
        <v>179</v>
      </c>
      <c r="P3495" s="79">
        <v>45157.833344907405</v>
      </c>
      <c r="Q3495" s="77" t="s">
        <v>4165</v>
      </c>
      <c r="R3495" s="77">
        <v>0</v>
      </c>
      <c r="S3495" s="77">
        <v>0</v>
      </c>
      <c r="T3495" s="77">
        <v>0</v>
      </c>
      <c r="U3495" s="77">
        <v>0</v>
      </c>
      <c r="V3495" s="77">
        <v>695</v>
      </c>
      <c r="W3495" s="82" t="s">
        <v>6330</v>
      </c>
      <c r="X3495" s="80" t="str">
        <f>HYPERLINK("https://mla.bs/1fbef615")</f>
        <v>https://mla.bs/1fbef615</v>
      </c>
      <c r="Y3495" s="77" t="s">
        <v>6506</v>
      </c>
      <c r="Z3495" s="77"/>
      <c r="AA3495" s="77"/>
      <c r="AB3495" s="77"/>
      <c r="AC3495" s="82" t="s">
        <v>7750</v>
      </c>
      <c r="AD3495" s="77" t="s">
        <v>7788</v>
      </c>
      <c r="AE3495" s="80" t="str">
        <f>HYPERLINK("https://twitter.com/einvestidor/status/1692989816877523035")</f>
        <v>https://twitter.com/einvestidor/status/1692989816877523035</v>
      </c>
      <c r="AF3495" s="79">
        <v>45157.833344907405</v>
      </c>
      <c r="AG3495" s="85">
        <v>45157</v>
      </c>
      <c r="AH3495" s="82" t="s">
        <v>8284</v>
      </c>
      <c r="AI3495" s="77" t="b">
        <v>0</v>
      </c>
      <c r="AJ3495" s="77"/>
      <c r="AK3495" s="77"/>
      <c r="AL3495" s="77"/>
      <c r="AM3495" s="77"/>
      <c r="AN3495" s="77"/>
      <c r="AO3495" s="77"/>
      <c r="AP3495" s="77"/>
      <c r="AQ3495" s="77"/>
      <c r="AR3495" s="77"/>
      <c r="AS3495" s="77"/>
      <c r="AT3495" s="77"/>
      <c r="AU3495" s="77"/>
      <c r="AV3495" s="80" t="str">
        <f>HYPERLINK("https://pbs.twimg.com/profile_images/1241147984924082183/gZgx_hL-_normal.jpg")</f>
        <v>https://pbs.twimg.com/profile_images/1241147984924082183/gZgx_hL-_normal.jpg</v>
      </c>
      <c r="AW3495" s="82" t="s">
        <v>15091</v>
      </c>
      <c r="AX3495" s="82" t="s">
        <v>15091</v>
      </c>
      <c r="AY3495" s="77"/>
      <c r="AZ3495" s="82" t="s">
        <v>15984</v>
      </c>
      <c r="BA3495" s="82" t="s">
        <v>15984</v>
      </c>
      <c r="BB3495" s="82" t="s">
        <v>15984</v>
      </c>
      <c r="BC3495" s="82" t="s">
        <v>15091</v>
      </c>
      <c r="BD3495" s="82" t="s">
        <v>15979</v>
      </c>
      <c r="BE3495" s="77"/>
      <c r="BF3495" s="77"/>
      <c r="BG3495" s="77"/>
      <c r="BH3495" s="77"/>
      <c r="BI3495" s="77"/>
    </row>
    <row r="3496" spans="1:61" x14ac:dyDescent="0.25">
      <c r="A3496" s="62" t="s">
        <v>387</v>
      </c>
      <c r="B3496" s="62" t="s">
        <v>387</v>
      </c>
      <c r="C3496" s="63"/>
      <c r="D3496" s="64"/>
      <c r="E3496" s="65"/>
      <c r="F3496" s="66"/>
      <c r="G3496" s="63"/>
      <c r="H3496" s="67"/>
      <c r="I3496" s="68"/>
      <c r="J3496" s="68"/>
      <c r="K3496" s="32"/>
      <c r="L3496" s="75">
        <v>3496</v>
      </c>
      <c r="M3496" s="75"/>
      <c r="N3496" s="70"/>
      <c r="O3496" s="77" t="s">
        <v>179</v>
      </c>
      <c r="P3496" s="79">
        <v>45157.666666666664</v>
      </c>
      <c r="Q3496" s="77" t="s">
        <v>4166</v>
      </c>
      <c r="R3496" s="77">
        <v>2</v>
      </c>
      <c r="S3496" s="77">
        <v>2</v>
      </c>
      <c r="T3496" s="77">
        <v>0</v>
      </c>
      <c r="U3496" s="77">
        <v>0</v>
      </c>
      <c r="V3496" s="77">
        <v>608</v>
      </c>
      <c r="W3496" s="82" t="s">
        <v>5967</v>
      </c>
      <c r="X3496" s="80" t="str">
        <f>HYPERLINK("https://mla.bs/e0387ac1")</f>
        <v>https://mla.bs/e0387ac1</v>
      </c>
      <c r="Y3496" s="77" t="s">
        <v>6506</v>
      </c>
      <c r="Z3496" s="77"/>
      <c r="AA3496" s="77"/>
      <c r="AB3496" s="77"/>
      <c r="AC3496" s="82" t="s">
        <v>7750</v>
      </c>
      <c r="AD3496" s="77" t="s">
        <v>7788</v>
      </c>
      <c r="AE3496" s="80" t="str">
        <f>HYPERLINK("https://twitter.com/einvestidor/status/1692929414642766215")</f>
        <v>https://twitter.com/einvestidor/status/1692929414642766215</v>
      </c>
      <c r="AF3496" s="79">
        <v>45157.666666666664</v>
      </c>
      <c r="AG3496" s="85">
        <v>45157</v>
      </c>
      <c r="AH3496" s="82" t="s">
        <v>8120</v>
      </c>
      <c r="AI3496" s="77" t="b">
        <v>0</v>
      </c>
      <c r="AJ3496" s="77"/>
      <c r="AK3496" s="77"/>
      <c r="AL3496" s="77"/>
      <c r="AM3496" s="77"/>
      <c r="AN3496" s="77"/>
      <c r="AO3496" s="77"/>
      <c r="AP3496" s="77"/>
      <c r="AQ3496" s="77"/>
      <c r="AR3496" s="77"/>
      <c r="AS3496" s="77"/>
      <c r="AT3496" s="77"/>
      <c r="AU3496" s="77"/>
      <c r="AV3496" s="80" t="str">
        <f>HYPERLINK("https://pbs.twimg.com/profile_images/1241147984924082183/gZgx_hL-_normal.jpg")</f>
        <v>https://pbs.twimg.com/profile_images/1241147984924082183/gZgx_hL-_normal.jpg</v>
      </c>
      <c r="AW3496" s="82" t="s">
        <v>15092</v>
      </c>
      <c r="AX3496" s="82" t="s">
        <v>15092</v>
      </c>
      <c r="AY3496" s="77"/>
      <c r="AZ3496" s="82" t="s">
        <v>15984</v>
      </c>
      <c r="BA3496" s="82" t="s">
        <v>15984</v>
      </c>
      <c r="BB3496" s="82" t="s">
        <v>15984</v>
      </c>
      <c r="BC3496" s="82" t="s">
        <v>15092</v>
      </c>
      <c r="BD3496" s="82" t="s">
        <v>15979</v>
      </c>
      <c r="BE3496" s="77"/>
      <c r="BF3496" s="77"/>
      <c r="BG3496" s="77"/>
      <c r="BH3496" s="77"/>
      <c r="BI3496" s="77"/>
    </row>
    <row r="3497" spans="1:61" x14ac:dyDescent="0.25">
      <c r="A3497" s="62" t="s">
        <v>387</v>
      </c>
      <c r="B3497" s="62" t="s">
        <v>387</v>
      </c>
      <c r="C3497" s="63"/>
      <c r="D3497" s="64"/>
      <c r="E3497" s="65"/>
      <c r="F3497" s="66"/>
      <c r="G3497" s="63"/>
      <c r="H3497" s="67"/>
      <c r="I3497" s="68"/>
      <c r="J3497" s="68"/>
      <c r="K3497" s="32"/>
      <c r="L3497" s="75">
        <v>3497</v>
      </c>
      <c r="M3497" s="75"/>
      <c r="N3497" s="70"/>
      <c r="O3497" s="77" t="s">
        <v>179</v>
      </c>
      <c r="P3497" s="79">
        <v>45157.5</v>
      </c>
      <c r="Q3497" s="77" t="s">
        <v>4167</v>
      </c>
      <c r="R3497" s="77">
        <v>0</v>
      </c>
      <c r="S3497" s="77">
        <v>0</v>
      </c>
      <c r="T3497" s="77">
        <v>0</v>
      </c>
      <c r="U3497" s="77">
        <v>0</v>
      </c>
      <c r="V3497" s="77">
        <v>586</v>
      </c>
      <c r="W3497" s="82" t="s">
        <v>4833</v>
      </c>
      <c r="X3497" s="80" t="str">
        <f>HYPERLINK("https://mla.bs/600d8d47")</f>
        <v>https://mla.bs/600d8d47</v>
      </c>
      <c r="Y3497" s="77" t="s">
        <v>6506</v>
      </c>
      <c r="Z3497" s="77"/>
      <c r="AA3497" s="77"/>
      <c r="AB3497" s="77"/>
      <c r="AC3497" s="82" t="s">
        <v>7750</v>
      </c>
      <c r="AD3497" s="77" t="s">
        <v>7788</v>
      </c>
      <c r="AE3497" s="80" t="str">
        <f>HYPERLINK("https://twitter.com/einvestidor/status/1692869019437879377")</f>
        <v>https://twitter.com/einvestidor/status/1692869019437879377</v>
      </c>
      <c r="AF3497" s="79">
        <v>45157.5</v>
      </c>
      <c r="AG3497" s="85">
        <v>45157</v>
      </c>
      <c r="AH3497" s="82" t="s">
        <v>7872</v>
      </c>
      <c r="AI3497" s="77" t="b">
        <v>0</v>
      </c>
      <c r="AJ3497" s="77"/>
      <c r="AK3497" s="77"/>
      <c r="AL3497" s="77"/>
      <c r="AM3497" s="77"/>
      <c r="AN3497" s="77"/>
      <c r="AO3497" s="77"/>
      <c r="AP3497" s="77"/>
      <c r="AQ3497" s="77"/>
      <c r="AR3497" s="77"/>
      <c r="AS3497" s="77"/>
      <c r="AT3497" s="77"/>
      <c r="AU3497" s="77"/>
      <c r="AV3497" s="80" t="str">
        <f>HYPERLINK("https://pbs.twimg.com/profile_images/1241147984924082183/gZgx_hL-_normal.jpg")</f>
        <v>https://pbs.twimg.com/profile_images/1241147984924082183/gZgx_hL-_normal.jpg</v>
      </c>
      <c r="AW3497" s="82" t="s">
        <v>15093</v>
      </c>
      <c r="AX3497" s="82" t="s">
        <v>15093</v>
      </c>
      <c r="AY3497" s="77"/>
      <c r="AZ3497" s="82" t="s">
        <v>15984</v>
      </c>
      <c r="BA3497" s="82" t="s">
        <v>15984</v>
      </c>
      <c r="BB3497" s="82" t="s">
        <v>15984</v>
      </c>
      <c r="BC3497" s="82" t="s">
        <v>15093</v>
      </c>
      <c r="BD3497" s="82" t="s">
        <v>15979</v>
      </c>
      <c r="BE3497" s="77"/>
      <c r="BF3497" s="77"/>
      <c r="BG3497" s="77"/>
      <c r="BH3497" s="77"/>
      <c r="BI3497" s="77"/>
    </row>
    <row r="3498" spans="1:61" x14ac:dyDescent="0.25">
      <c r="A3498" s="62" t="s">
        <v>387</v>
      </c>
      <c r="B3498" s="62" t="s">
        <v>387</v>
      </c>
      <c r="C3498" s="63"/>
      <c r="D3498" s="64"/>
      <c r="E3498" s="65"/>
      <c r="F3498" s="66"/>
      <c r="G3498" s="63"/>
      <c r="H3498" s="67"/>
      <c r="I3498" s="68"/>
      <c r="J3498" s="68"/>
      <c r="K3498" s="32"/>
      <c r="L3498" s="75">
        <v>3498</v>
      </c>
      <c r="M3498" s="75"/>
      <c r="N3498" s="70"/>
      <c r="O3498" s="77" t="s">
        <v>179</v>
      </c>
      <c r="P3498" s="79">
        <v>45157.010416666664</v>
      </c>
      <c r="Q3498" s="77" t="s">
        <v>4168</v>
      </c>
      <c r="R3498" s="77">
        <v>0</v>
      </c>
      <c r="S3498" s="77">
        <v>4</v>
      </c>
      <c r="T3498" s="77">
        <v>0</v>
      </c>
      <c r="U3498" s="77">
        <v>0</v>
      </c>
      <c r="V3498" s="77">
        <v>891</v>
      </c>
      <c r="W3498" s="82" t="s">
        <v>6126</v>
      </c>
      <c r="X3498" s="80" t="str">
        <f>HYPERLINK("https://mla.bs/f49786bb")</f>
        <v>https://mla.bs/f49786bb</v>
      </c>
      <c r="Y3498" s="77" t="s">
        <v>6506</v>
      </c>
      <c r="Z3498" s="77"/>
      <c r="AA3498" s="77"/>
      <c r="AB3498" s="77"/>
      <c r="AC3498" s="82" t="s">
        <v>7750</v>
      </c>
      <c r="AD3498" s="77" t="s">
        <v>7788</v>
      </c>
      <c r="AE3498" s="80" t="str">
        <f>HYPERLINK("https://twitter.com/einvestidor/status/1692691597451014400")</f>
        <v>https://twitter.com/einvestidor/status/1692691597451014400</v>
      </c>
      <c r="AF3498" s="79">
        <v>45157.010416666664</v>
      </c>
      <c r="AG3498" s="85">
        <v>45157</v>
      </c>
      <c r="AH3498" s="82" t="s">
        <v>8119</v>
      </c>
      <c r="AI3498" s="77" t="b">
        <v>0</v>
      </c>
      <c r="AJ3498" s="77"/>
      <c r="AK3498" s="77"/>
      <c r="AL3498" s="77"/>
      <c r="AM3498" s="77"/>
      <c r="AN3498" s="77"/>
      <c r="AO3498" s="77"/>
      <c r="AP3498" s="77"/>
      <c r="AQ3498" s="77"/>
      <c r="AR3498" s="77"/>
      <c r="AS3498" s="77"/>
      <c r="AT3498" s="77"/>
      <c r="AU3498" s="77"/>
      <c r="AV3498" s="80" t="str">
        <f>HYPERLINK("https://pbs.twimg.com/profile_images/1241147984924082183/gZgx_hL-_normal.jpg")</f>
        <v>https://pbs.twimg.com/profile_images/1241147984924082183/gZgx_hL-_normal.jpg</v>
      </c>
      <c r="AW3498" s="82" t="s">
        <v>15094</v>
      </c>
      <c r="AX3498" s="82" t="s">
        <v>15094</v>
      </c>
      <c r="AY3498" s="77"/>
      <c r="AZ3498" s="82" t="s">
        <v>15984</v>
      </c>
      <c r="BA3498" s="82" t="s">
        <v>15984</v>
      </c>
      <c r="BB3498" s="82" t="s">
        <v>15984</v>
      </c>
      <c r="BC3498" s="82" t="s">
        <v>15094</v>
      </c>
      <c r="BD3498" s="82" t="s">
        <v>15979</v>
      </c>
      <c r="BE3498" s="77"/>
      <c r="BF3498" s="77"/>
      <c r="BG3498" s="77"/>
      <c r="BH3498" s="77"/>
      <c r="BI3498" s="77"/>
    </row>
    <row r="3499" spans="1:61" x14ac:dyDescent="0.25">
      <c r="A3499" s="62" t="s">
        <v>387</v>
      </c>
      <c r="B3499" s="62" t="s">
        <v>387</v>
      </c>
      <c r="C3499" s="63"/>
      <c r="D3499" s="64"/>
      <c r="E3499" s="65"/>
      <c r="F3499" s="66"/>
      <c r="G3499" s="63"/>
      <c r="H3499" s="67"/>
      <c r="I3499" s="68"/>
      <c r="J3499" s="68"/>
      <c r="K3499" s="32"/>
      <c r="L3499" s="75">
        <v>3499</v>
      </c>
      <c r="M3499" s="75"/>
      <c r="N3499" s="70"/>
      <c r="O3499" s="77" t="s">
        <v>179</v>
      </c>
      <c r="P3499" s="79">
        <v>45157</v>
      </c>
      <c r="Q3499" s="77" t="s">
        <v>4169</v>
      </c>
      <c r="R3499" s="77">
        <v>0</v>
      </c>
      <c r="S3499" s="77">
        <v>0</v>
      </c>
      <c r="T3499" s="77">
        <v>0</v>
      </c>
      <c r="U3499" s="77">
        <v>0</v>
      </c>
      <c r="V3499" s="77">
        <v>736</v>
      </c>
      <c r="W3499" s="82" t="s">
        <v>5997</v>
      </c>
      <c r="X3499" s="80" t="str">
        <f>HYPERLINK("https://mla.bs/f8a4060b")</f>
        <v>https://mla.bs/f8a4060b</v>
      </c>
      <c r="Y3499" s="77" t="s">
        <v>6506</v>
      </c>
      <c r="Z3499" s="77"/>
      <c r="AA3499" s="77"/>
      <c r="AB3499" s="77"/>
      <c r="AC3499" s="82" t="s">
        <v>7750</v>
      </c>
      <c r="AD3499" s="77" t="s">
        <v>7788</v>
      </c>
      <c r="AE3499" s="80" t="str">
        <f>HYPERLINK("https://twitter.com/einvestidor/status/1692687824720437502")</f>
        <v>https://twitter.com/einvestidor/status/1692687824720437502</v>
      </c>
      <c r="AF3499" s="79">
        <v>45157</v>
      </c>
      <c r="AG3499" s="85">
        <v>45157</v>
      </c>
      <c r="AH3499" s="82" t="s">
        <v>9300</v>
      </c>
      <c r="AI3499" s="77" t="b">
        <v>0</v>
      </c>
      <c r="AJ3499" s="77"/>
      <c r="AK3499" s="77"/>
      <c r="AL3499" s="77"/>
      <c r="AM3499" s="77"/>
      <c r="AN3499" s="77"/>
      <c r="AO3499" s="77"/>
      <c r="AP3499" s="77"/>
      <c r="AQ3499" s="77"/>
      <c r="AR3499" s="77"/>
      <c r="AS3499" s="77"/>
      <c r="AT3499" s="77"/>
      <c r="AU3499" s="77"/>
      <c r="AV3499" s="80" t="str">
        <f>HYPERLINK("https://pbs.twimg.com/profile_images/1241147984924082183/gZgx_hL-_normal.jpg")</f>
        <v>https://pbs.twimg.com/profile_images/1241147984924082183/gZgx_hL-_normal.jpg</v>
      </c>
      <c r="AW3499" s="82" t="s">
        <v>15095</v>
      </c>
      <c r="AX3499" s="82" t="s">
        <v>15095</v>
      </c>
      <c r="AY3499" s="77"/>
      <c r="AZ3499" s="82" t="s">
        <v>15984</v>
      </c>
      <c r="BA3499" s="82" t="s">
        <v>15984</v>
      </c>
      <c r="BB3499" s="82" t="s">
        <v>15984</v>
      </c>
      <c r="BC3499" s="82" t="s">
        <v>15095</v>
      </c>
      <c r="BD3499" s="82" t="s">
        <v>15979</v>
      </c>
      <c r="BE3499" s="77"/>
      <c r="BF3499" s="77"/>
      <c r="BG3499" s="77"/>
      <c r="BH3499" s="77"/>
      <c r="BI3499" s="77"/>
    </row>
    <row r="3500" spans="1:61" x14ac:dyDescent="0.25">
      <c r="A3500" s="62" t="s">
        <v>387</v>
      </c>
      <c r="B3500" s="62" t="s">
        <v>387</v>
      </c>
      <c r="C3500" s="63"/>
      <c r="D3500" s="64"/>
      <c r="E3500" s="65"/>
      <c r="F3500" s="66"/>
      <c r="G3500" s="63"/>
      <c r="H3500" s="67"/>
      <c r="I3500" s="68"/>
      <c r="J3500" s="68"/>
      <c r="K3500" s="32"/>
      <c r="L3500" s="75">
        <v>3500</v>
      </c>
      <c r="M3500" s="75"/>
      <c r="N3500" s="70"/>
      <c r="O3500" s="77" t="s">
        <v>179</v>
      </c>
      <c r="P3500" s="79">
        <v>45156.989583333336</v>
      </c>
      <c r="Q3500" s="77" t="s">
        <v>4170</v>
      </c>
      <c r="R3500" s="77">
        <v>0</v>
      </c>
      <c r="S3500" s="77">
        <v>0</v>
      </c>
      <c r="T3500" s="77">
        <v>0</v>
      </c>
      <c r="U3500" s="77">
        <v>0</v>
      </c>
      <c r="V3500" s="77">
        <v>675</v>
      </c>
      <c r="W3500" s="82" t="s">
        <v>4833</v>
      </c>
      <c r="X3500" s="80" t="str">
        <f>HYPERLINK("https://mla.bs/35e4a9b0")</f>
        <v>https://mla.bs/35e4a9b0</v>
      </c>
      <c r="Y3500" s="77" t="s">
        <v>6506</v>
      </c>
      <c r="Z3500" s="77"/>
      <c r="AA3500" s="77"/>
      <c r="AB3500" s="77"/>
      <c r="AC3500" s="82" t="s">
        <v>7750</v>
      </c>
      <c r="AD3500" s="77" t="s">
        <v>7788</v>
      </c>
      <c r="AE3500" s="80" t="str">
        <f>HYPERLINK("https://twitter.com/einvestidor/status/1692684047695204583")</f>
        <v>https://twitter.com/einvestidor/status/1692684047695204583</v>
      </c>
      <c r="AF3500" s="79">
        <v>45156.989583333336</v>
      </c>
      <c r="AG3500" s="85">
        <v>45156</v>
      </c>
      <c r="AH3500" s="82" t="s">
        <v>9620</v>
      </c>
      <c r="AI3500" s="77" t="b">
        <v>0</v>
      </c>
      <c r="AJ3500" s="77"/>
      <c r="AK3500" s="77"/>
      <c r="AL3500" s="77"/>
      <c r="AM3500" s="77"/>
      <c r="AN3500" s="77"/>
      <c r="AO3500" s="77"/>
      <c r="AP3500" s="77"/>
      <c r="AQ3500" s="77"/>
      <c r="AR3500" s="77"/>
      <c r="AS3500" s="77"/>
      <c r="AT3500" s="77"/>
      <c r="AU3500" s="77"/>
      <c r="AV3500" s="80" t="str">
        <f>HYPERLINK("https://pbs.twimg.com/profile_images/1241147984924082183/gZgx_hL-_normal.jpg")</f>
        <v>https://pbs.twimg.com/profile_images/1241147984924082183/gZgx_hL-_normal.jpg</v>
      </c>
      <c r="AW3500" s="82" t="s">
        <v>15096</v>
      </c>
      <c r="AX3500" s="82" t="s">
        <v>15096</v>
      </c>
      <c r="AY3500" s="77"/>
      <c r="AZ3500" s="82" t="s">
        <v>15984</v>
      </c>
      <c r="BA3500" s="82" t="s">
        <v>15984</v>
      </c>
      <c r="BB3500" s="82" t="s">
        <v>15984</v>
      </c>
      <c r="BC3500" s="82" t="s">
        <v>15096</v>
      </c>
      <c r="BD3500" s="82" t="s">
        <v>15979</v>
      </c>
      <c r="BE3500" s="77"/>
      <c r="BF3500" s="77"/>
      <c r="BG3500" s="77"/>
      <c r="BH3500" s="77"/>
      <c r="BI3500" s="77"/>
    </row>
    <row r="3501" spans="1:61" x14ac:dyDescent="0.25">
      <c r="A3501" s="62" t="s">
        <v>387</v>
      </c>
      <c r="B3501" s="62" t="s">
        <v>387</v>
      </c>
      <c r="C3501" s="63"/>
      <c r="D3501" s="64"/>
      <c r="E3501" s="65"/>
      <c r="F3501" s="66"/>
      <c r="G3501" s="63"/>
      <c r="H3501" s="67"/>
      <c r="I3501" s="68"/>
      <c r="J3501" s="68"/>
      <c r="K3501" s="32"/>
      <c r="L3501" s="75">
        <v>3501</v>
      </c>
      <c r="M3501" s="75"/>
      <c r="N3501" s="70"/>
      <c r="O3501" s="77" t="s">
        <v>179</v>
      </c>
      <c r="P3501" s="79">
        <v>45156.979166666664</v>
      </c>
      <c r="Q3501" s="77" t="s">
        <v>4171</v>
      </c>
      <c r="R3501" s="77">
        <v>0</v>
      </c>
      <c r="S3501" s="77">
        <v>0</v>
      </c>
      <c r="T3501" s="77">
        <v>0</v>
      </c>
      <c r="U3501" s="77">
        <v>0</v>
      </c>
      <c r="V3501" s="77">
        <v>761</v>
      </c>
      <c r="W3501" s="82" t="s">
        <v>4833</v>
      </c>
      <c r="X3501" s="80" t="str">
        <f>HYPERLINK("https://mla.bs/81e37243")</f>
        <v>https://mla.bs/81e37243</v>
      </c>
      <c r="Y3501" s="77" t="s">
        <v>6506</v>
      </c>
      <c r="Z3501" s="77"/>
      <c r="AA3501" s="77"/>
      <c r="AB3501" s="77"/>
      <c r="AC3501" s="82" t="s">
        <v>7750</v>
      </c>
      <c r="AD3501" s="77" t="s">
        <v>7788</v>
      </c>
      <c r="AE3501" s="80" t="str">
        <f>HYPERLINK("https://twitter.com/einvestidor/status/1692680272943235111")</f>
        <v>https://twitter.com/einvestidor/status/1692680272943235111</v>
      </c>
      <c r="AF3501" s="79">
        <v>45156.979166666664</v>
      </c>
      <c r="AG3501" s="85">
        <v>45156</v>
      </c>
      <c r="AH3501" s="82" t="s">
        <v>7928</v>
      </c>
      <c r="AI3501" s="77" t="b">
        <v>0</v>
      </c>
      <c r="AJ3501" s="77"/>
      <c r="AK3501" s="77"/>
      <c r="AL3501" s="77"/>
      <c r="AM3501" s="77"/>
      <c r="AN3501" s="77"/>
      <c r="AO3501" s="77"/>
      <c r="AP3501" s="77"/>
      <c r="AQ3501" s="77"/>
      <c r="AR3501" s="77"/>
      <c r="AS3501" s="77"/>
      <c r="AT3501" s="77"/>
      <c r="AU3501" s="77"/>
      <c r="AV3501" s="80" t="str">
        <f>HYPERLINK("https://pbs.twimg.com/profile_images/1241147984924082183/gZgx_hL-_normal.jpg")</f>
        <v>https://pbs.twimg.com/profile_images/1241147984924082183/gZgx_hL-_normal.jpg</v>
      </c>
      <c r="AW3501" s="82" t="s">
        <v>15097</v>
      </c>
      <c r="AX3501" s="82" t="s">
        <v>15097</v>
      </c>
      <c r="AY3501" s="77"/>
      <c r="AZ3501" s="82" t="s">
        <v>15984</v>
      </c>
      <c r="BA3501" s="82" t="s">
        <v>15984</v>
      </c>
      <c r="BB3501" s="82" t="s">
        <v>15984</v>
      </c>
      <c r="BC3501" s="82" t="s">
        <v>15097</v>
      </c>
      <c r="BD3501" s="82" t="s">
        <v>15979</v>
      </c>
      <c r="BE3501" s="77"/>
      <c r="BF3501" s="77"/>
      <c r="BG3501" s="77"/>
      <c r="BH3501" s="77"/>
      <c r="BI3501" s="77"/>
    </row>
    <row r="3502" spans="1:61" x14ac:dyDescent="0.25">
      <c r="A3502" s="62" t="s">
        <v>387</v>
      </c>
      <c r="B3502" s="62" t="s">
        <v>387</v>
      </c>
      <c r="C3502" s="63"/>
      <c r="D3502" s="64"/>
      <c r="E3502" s="65"/>
      <c r="F3502" s="66"/>
      <c r="G3502" s="63"/>
      <c r="H3502" s="67"/>
      <c r="I3502" s="68"/>
      <c r="J3502" s="68"/>
      <c r="K3502" s="32"/>
      <c r="L3502" s="75">
        <v>3502</v>
      </c>
      <c r="M3502" s="75"/>
      <c r="N3502" s="70"/>
      <c r="O3502" s="77" t="s">
        <v>179</v>
      </c>
      <c r="P3502" s="79">
        <v>45156.96875</v>
      </c>
      <c r="Q3502" s="77" t="s">
        <v>4172</v>
      </c>
      <c r="R3502" s="77">
        <v>0</v>
      </c>
      <c r="S3502" s="77">
        <v>1</v>
      </c>
      <c r="T3502" s="77">
        <v>0</v>
      </c>
      <c r="U3502" s="77">
        <v>0</v>
      </c>
      <c r="V3502" s="77">
        <v>732</v>
      </c>
      <c r="W3502" s="82" t="s">
        <v>5902</v>
      </c>
      <c r="X3502" s="80" t="str">
        <f>HYPERLINK("https://mla.bs/bc694eec")</f>
        <v>https://mla.bs/bc694eec</v>
      </c>
      <c r="Y3502" s="77" t="s">
        <v>6506</v>
      </c>
      <c r="Z3502" s="77"/>
      <c r="AA3502" s="77"/>
      <c r="AB3502" s="77"/>
      <c r="AC3502" s="82" t="s">
        <v>7750</v>
      </c>
      <c r="AD3502" s="77" t="s">
        <v>7788</v>
      </c>
      <c r="AE3502" s="80" t="str">
        <f>HYPERLINK("https://twitter.com/einvestidor/status/1692676498182836245")</f>
        <v>https://twitter.com/einvestidor/status/1692676498182836245</v>
      </c>
      <c r="AF3502" s="79">
        <v>45156.96875</v>
      </c>
      <c r="AG3502" s="85">
        <v>45156</v>
      </c>
      <c r="AH3502" s="82" t="s">
        <v>9621</v>
      </c>
      <c r="AI3502" s="77" t="b">
        <v>0</v>
      </c>
      <c r="AJ3502" s="77"/>
      <c r="AK3502" s="77"/>
      <c r="AL3502" s="77"/>
      <c r="AM3502" s="77"/>
      <c r="AN3502" s="77"/>
      <c r="AO3502" s="77"/>
      <c r="AP3502" s="77"/>
      <c r="AQ3502" s="77"/>
      <c r="AR3502" s="77"/>
      <c r="AS3502" s="77"/>
      <c r="AT3502" s="77"/>
      <c r="AU3502" s="77"/>
      <c r="AV3502" s="80" t="str">
        <f>HYPERLINK("https://pbs.twimg.com/profile_images/1241147984924082183/gZgx_hL-_normal.jpg")</f>
        <v>https://pbs.twimg.com/profile_images/1241147984924082183/gZgx_hL-_normal.jpg</v>
      </c>
      <c r="AW3502" s="82" t="s">
        <v>15098</v>
      </c>
      <c r="AX3502" s="82" t="s">
        <v>15098</v>
      </c>
      <c r="AY3502" s="77"/>
      <c r="AZ3502" s="82" t="s">
        <v>15984</v>
      </c>
      <c r="BA3502" s="82" t="s">
        <v>15984</v>
      </c>
      <c r="BB3502" s="82" t="s">
        <v>15984</v>
      </c>
      <c r="BC3502" s="82" t="s">
        <v>15098</v>
      </c>
      <c r="BD3502" s="82" t="s">
        <v>15979</v>
      </c>
      <c r="BE3502" s="77"/>
      <c r="BF3502" s="77"/>
      <c r="BG3502" s="77"/>
      <c r="BH3502" s="77"/>
      <c r="BI3502" s="77"/>
    </row>
    <row r="3503" spans="1:61" x14ac:dyDescent="0.25">
      <c r="A3503" s="62" t="s">
        <v>387</v>
      </c>
      <c r="B3503" s="62" t="s">
        <v>387</v>
      </c>
      <c r="C3503" s="63"/>
      <c r="D3503" s="64"/>
      <c r="E3503" s="65"/>
      <c r="F3503" s="66"/>
      <c r="G3503" s="63"/>
      <c r="H3503" s="67"/>
      <c r="I3503" s="68"/>
      <c r="J3503" s="68"/>
      <c r="K3503" s="32"/>
      <c r="L3503" s="75">
        <v>3503</v>
      </c>
      <c r="M3503" s="75"/>
      <c r="N3503" s="70"/>
      <c r="O3503" s="77" t="s">
        <v>179</v>
      </c>
      <c r="P3503" s="79">
        <v>45156.958333333336</v>
      </c>
      <c r="Q3503" s="77" t="s">
        <v>4173</v>
      </c>
      <c r="R3503" s="77">
        <v>0</v>
      </c>
      <c r="S3503" s="77">
        <v>1</v>
      </c>
      <c r="T3503" s="77">
        <v>0</v>
      </c>
      <c r="U3503" s="77">
        <v>0</v>
      </c>
      <c r="V3503" s="77">
        <v>614</v>
      </c>
      <c r="W3503" s="82" t="s">
        <v>4833</v>
      </c>
      <c r="X3503" s="80" t="str">
        <f>HYPERLINK("https://mla.bs/3432ad02")</f>
        <v>https://mla.bs/3432ad02</v>
      </c>
      <c r="Y3503" s="77" t="s">
        <v>6506</v>
      </c>
      <c r="Z3503" s="77"/>
      <c r="AA3503" s="77"/>
      <c r="AB3503" s="77"/>
      <c r="AC3503" s="82" t="s">
        <v>7750</v>
      </c>
      <c r="AD3503" s="77" t="s">
        <v>7788</v>
      </c>
      <c r="AE3503" s="80" t="str">
        <f>HYPERLINK("https://twitter.com/einvestidor/status/1692672725326979503")</f>
        <v>https://twitter.com/einvestidor/status/1692672725326979503</v>
      </c>
      <c r="AF3503" s="79">
        <v>45156.958333333336</v>
      </c>
      <c r="AG3503" s="85">
        <v>45156</v>
      </c>
      <c r="AH3503" s="82" t="s">
        <v>8279</v>
      </c>
      <c r="AI3503" s="77" t="b">
        <v>0</v>
      </c>
      <c r="AJ3503" s="77"/>
      <c r="AK3503" s="77"/>
      <c r="AL3503" s="77"/>
      <c r="AM3503" s="77"/>
      <c r="AN3503" s="77"/>
      <c r="AO3503" s="77"/>
      <c r="AP3503" s="77"/>
      <c r="AQ3503" s="77"/>
      <c r="AR3503" s="77"/>
      <c r="AS3503" s="77"/>
      <c r="AT3503" s="77"/>
      <c r="AU3503" s="77"/>
      <c r="AV3503" s="80" t="str">
        <f>HYPERLINK("https://pbs.twimg.com/profile_images/1241147984924082183/gZgx_hL-_normal.jpg")</f>
        <v>https://pbs.twimg.com/profile_images/1241147984924082183/gZgx_hL-_normal.jpg</v>
      </c>
      <c r="AW3503" s="82" t="s">
        <v>15099</v>
      </c>
      <c r="AX3503" s="82" t="s">
        <v>15099</v>
      </c>
      <c r="AY3503" s="77"/>
      <c r="AZ3503" s="82" t="s">
        <v>15984</v>
      </c>
      <c r="BA3503" s="82" t="s">
        <v>15984</v>
      </c>
      <c r="BB3503" s="82" t="s">
        <v>15984</v>
      </c>
      <c r="BC3503" s="82" t="s">
        <v>15099</v>
      </c>
      <c r="BD3503" s="82" t="s">
        <v>15979</v>
      </c>
      <c r="BE3503" s="77"/>
      <c r="BF3503" s="77"/>
      <c r="BG3503" s="77"/>
      <c r="BH3503" s="77"/>
      <c r="BI3503" s="77"/>
    </row>
    <row r="3504" spans="1:61" x14ac:dyDescent="0.25">
      <c r="A3504" s="62" t="s">
        <v>387</v>
      </c>
      <c r="B3504" s="62" t="s">
        <v>387</v>
      </c>
      <c r="C3504" s="63"/>
      <c r="D3504" s="64"/>
      <c r="E3504" s="65"/>
      <c r="F3504" s="66"/>
      <c r="G3504" s="63"/>
      <c r="H3504" s="67"/>
      <c r="I3504" s="68"/>
      <c r="J3504" s="68"/>
      <c r="K3504" s="32"/>
      <c r="L3504" s="75">
        <v>3504</v>
      </c>
      <c r="M3504" s="75"/>
      <c r="N3504" s="70"/>
      <c r="O3504" s="77" t="s">
        <v>179</v>
      </c>
      <c r="P3504" s="79">
        <v>45156.947916666664</v>
      </c>
      <c r="Q3504" s="77" t="s">
        <v>4174</v>
      </c>
      <c r="R3504" s="77">
        <v>0</v>
      </c>
      <c r="S3504" s="77">
        <v>1</v>
      </c>
      <c r="T3504" s="77">
        <v>0</v>
      </c>
      <c r="U3504" s="77">
        <v>0</v>
      </c>
      <c r="V3504" s="77">
        <v>640</v>
      </c>
      <c r="W3504" s="82" t="s">
        <v>4833</v>
      </c>
      <c r="X3504" s="80" t="str">
        <f>HYPERLINK("https://mla.bs/24eea0df")</f>
        <v>https://mla.bs/24eea0df</v>
      </c>
      <c r="Y3504" s="77" t="s">
        <v>6506</v>
      </c>
      <c r="Z3504" s="77"/>
      <c r="AA3504" s="77"/>
      <c r="AB3504" s="77"/>
      <c r="AC3504" s="82" t="s">
        <v>7750</v>
      </c>
      <c r="AD3504" s="77" t="s">
        <v>7788</v>
      </c>
      <c r="AE3504" s="80" t="str">
        <f>HYPERLINK("https://twitter.com/einvestidor/status/1692668948255277526")</f>
        <v>https://twitter.com/einvestidor/status/1692668948255277526</v>
      </c>
      <c r="AF3504" s="79">
        <v>45156.947916666664</v>
      </c>
      <c r="AG3504" s="85">
        <v>45156</v>
      </c>
      <c r="AH3504" s="82" t="s">
        <v>9595</v>
      </c>
      <c r="AI3504" s="77" t="b">
        <v>0</v>
      </c>
      <c r="AJ3504" s="77"/>
      <c r="AK3504" s="77"/>
      <c r="AL3504" s="77"/>
      <c r="AM3504" s="77"/>
      <c r="AN3504" s="77"/>
      <c r="AO3504" s="77"/>
      <c r="AP3504" s="77"/>
      <c r="AQ3504" s="77"/>
      <c r="AR3504" s="77"/>
      <c r="AS3504" s="77"/>
      <c r="AT3504" s="77"/>
      <c r="AU3504" s="77"/>
      <c r="AV3504" s="80" t="str">
        <f>HYPERLINK("https://pbs.twimg.com/profile_images/1241147984924082183/gZgx_hL-_normal.jpg")</f>
        <v>https://pbs.twimg.com/profile_images/1241147984924082183/gZgx_hL-_normal.jpg</v>
      </c>
      <c r="AW3504" s="82" t="s">
        <v>15100</v>
      </c>
      <c r="AX3504" s="82" t="s">
        <v>15100</v>
      </c>
      <c r="AY3504" s="77"/>
      <c r="AZ3504" s="82" t="s">
        <v>15984</v>
      </c>
      <c r="BA3504" s="82" t="s">
        <v>15984</v>
      </c>
      <c r="BB3504" s="82" t="s">
        <v>15984</v>
      </c>
      <c r="BC3504" s="82" t="s">
        <v>15100</v>
      </c>
      <c r="BD3504" s="82" t="s">
        <v>15979</v>
      </c>
      <c r="BE3504" s="77"/>
      <c r="BF3504" s="77"/>
      <c r="BG3504" s="77"/>
      <c r="BH3504" s="77"/>
      <c r="BI3504" s="77"/>
    </row>
    <row r="3505" spans="1:61" x14ac:dyDescent="0.25">
      <c r="A3505" s="62" t="s">
        <v>387</v>
      </c>
      <c r="B3505" s="62" t="s">
        <v>387</v>
      </c>
      <c r="C3505" s="63"/>
      <c r="D3505" s="64"/>
      <c r="E3505" s="65"/>
      <c r="F3505" s="66"/>
      <c r="G3505" s="63"/>
      <c r="H3505" s="67"/>
      <c r="I3505" s="68"/>
      <c r="J3505" s="68"/>
      <c r="K3505" s="32"/>
      <c r="L3505" s="75">
        <v>3505</v>
      </c>
      <c r="M3505" s="75"/>
      <c r="N3505" s="70"/>
      <c r="O3505" s="77" t="s">
        <v>179</v>
      </c>
      <c r="P3505" s="79">
        <v>45156.9375</v>
      </c>
      <c r="Q3505" s="77" t="s">
        <v>4175</v>
      </c>
      <c r="R3505" s="77">
        <v>0</v>
      </c>
      <c r="S3505" s="77">
        <v>1</v>
      </c>
      <c r="T3505" s="77">
        <v>0</v>
      </c>
      <c r="U3505" s="77">
        <v>0</v>
      </c>
      <c r="V3505" s="77">
        <v>606</v>
      </c>
      <c r="W3505" s="82" t="s">
        <v>4833</v>
      </c>
      <c r="X3505" s="80" t="str">
        <f>HYPERLINK("https://mla.bs/5f4451c5")</f>
        <v>https://mla.bs/5f4451c5</v>
      </c>
      <c r="Y3505" s="77" t="s">
        <v>6506</v>
      </c>
      <c r="Z3505" s="77"/>
      <c r="AA3505" s="77"/>
      <c r="AB3505" s="77"/>
      <c r="AC3505" s="82" t="s">
        <v>7750</v>
      </c>
      <c r="AD3505" s="77" t="s">
        <v>7788</v>
      </c>
      <c r="AE3505" s="80" t="str">
        <f>HYPERLINK("https://twitter.com/einvestidor/status/1692665173809545727")</f>
        <v>https://twitter.com/einvestidor/status/1692665173809545727</v>
      </c>
      <c r="AF3505" s="79">
        <v>45156.9375</v>
      </c>
      <c r="AG3505" s="85">
        <v>45156</v>
      </c>
      <c r="AH3505" s="82" t="s">
        <v>7926</v>
      </c>
      <c r="AI3505" s="77" t="b">
        <v>0</v>
      </c>
      <c r="AJ3505" s="77"/>
      <c r="AK3505" s="77"/>
      <c r="AL3505" s="77"/>
      <c r="AM3505" s="77"/>
      <c r="AN3505" s="77"/>
      <c r="AO3505" s="77"/>
      <c r="AP3505" s="77"/>
      <c r="AQ3505" s="77"/>
      <c r="AR3505" s="77"/>
      <c r="AS3505" s="77"/>
      <c r="AT3505" s="77"/>
      <c r="AU3505" s="77"/>
      <c r="AV3505" s="80" t="str">
        <f>HYPERLINK("https://pbs.twimg.com/profile_images/1241147984924082183/gZgx_hL-_normal.jpg")</f>
        <v>https://pbs.twimg.com/profile_images/1241147984924082183/gZgx_hL-_normal.jpg</v>
      </c>
      <c r="AW3505" s="82" t="s">
        <v>15101</v>
      </c>
      <c r="AX3505" s="82" t="s">
        <v>15101</v>
      </c>
      <c r="AY3505" s="77"/>
      <c r="AZ3505" s="82" t="s">
        <v>15984</v>
      </c>
      <c r="BA3505" s="82" t="s">
        <v>15984</v>
      </c>
      <c r="BB3505" s="82" t="s">
        <v>15984</v>
      </c>
      <c r="BC3505" s="82" t="s">
        <v>15101</v>
      </c>
      <c r="BD3505" s="82" t="s">
        <v>15979</v>
      </c>
      <c r="BE3505" s="77"/>
      <c r="BF3505" s="77"/>
      <c r="BG3505" s="77"/>
      <c r="BH3505" s="77"/>
      <c r="BI3505" s="77"/>
    </row>
    <row r="3506" spans="1:61" x14ac:dyDescent="0.25">
      <c r="A3506" s="62" t="s">
        <v>387</v>
      </c>
      <c r="B3506" s="62" t="s">
        <v>387</v>
      </c>
      <c r="C3506" s="63"/>
      <c r="D3506" s="64"/>
      <c r="E3506" s="65"/>
      <c r="F3506" s="66"/>
      <c r="G3506" s="63"/>
      <c r="H3506" s="67"/>
      <c r="I3506" s="68"/>
      <c r="J3506" s="68"/>
      <c r="K3506" s="32"/>
      <c r="L3506" s="75">
        <v>3506</v>
      </c>
      <c r="M3506" s="75"/>
      <c r="N3506" s="70"/>
      <c r="O3506" s="77" t="s">
        <v>179</v>
      </c>
      <c r="P3506" s="79">
        <v>45156.927083333336</v>
      </c>
      <c r="Q3506" s="77" t="s">
        <v>4176</v>
      </c>
      <c r="R3506" s="77">
        <v>0</v>
      </c>
      <c r="S3506" s="77">
        <v>0</v>
      </c>
      <c r="T3506" s="77">
        <v>0</v>
      </c>
      <c r="U3506" s="77">
        <v>0</v>
      </c>
      <c r="V3506" s="77">
        <v>602</v>
      </c>
      <c r="W3506" s="82" t="s">
        <v>4833</v>
      </c>
      <c r="X3506" s="80" t="str">
        <f>HYPERLINK("https://mla.bs/97ef6dc0")</f>
        <v>https://mla.bs/97ef6dc0</v>
      </c>
      <c r="Y3506" s="77" t="s">
        <v>6506</v>
      </c>
      <c r="Z3506" s="77"/>
      <c r="AA3506" s="77"/>
      <c r="AB3506" s="77"/>
      <c r="AC3506" s="82" t="s">
        <v>7750</v>
      </c>
      <c r="AD3506" s="77" t="s">
        <v>7788</v>
      </c>
      <c r="AE3506" s="80" t="str">
        <f>HYPERLINK("https://twitter.com/einvestidor/status/1692661398558462451")</f>
        <v>https://twitter.com/einvestidor/status/1692661398558462451</v>
      </c>
      <c r="AF3506" s="79">
        <v>45156.927083333336</v>
      </c>
      <c r="AG3506" s="85">
        <v>45156</v>
      </c>
      <c r="AH3506" s="82" t="s">
        <v>9576</v>
      </c>
      <c r="AI3506" s="77" t="b">
        <v>0</v>
      </c>
      <c r="AJ3506" s="77"/>
      <c r="AK3506" s="77"/>
      <c r="AL3506" s="77"/>
      <c r="AM3506" s="77"/>
      <c r="AN3506" s="77"/>
      <c r="AO3506" s="77"/>
      <c r="AP3506" s="77"/>
      <c r="AQ3506" s="77"/>
      <c r="AR3506" s="77"/>
      <c r="AS3506" s="77"/>
      <c r="AT3506" s="77"/>
      <c r="AU3506" s="77"/>
      <c r="AV3506" s="80" t="str">
        <f>HYPERLINK("https://pbs.twimg.com/profile_images/1241147984924082183/gZgx_hL-_normal.jpg")</f>
        <v>https://pbs.twimg.com/profile_images/1241147984924082183/gZgx_hL-_normal.jpg</v>
      </c>
      <c r="AW3506" s="82" t="s">
        <v>15102</v>
      </c>
      <c r="AX3506" s="82" t="s">
        <v>15102</v>
      </c>
      <c r="AY3506" s="77"/>
      <c r="AZ3506" s="82" t="s">
        <v>15984</v>
      </c>
      <c r="BA3506" s="82" t="s">
        <v>15984</v>
      </c>
      <c r="BB3506" s="82" t="s">
        <v>15984</v>
      </c>
      <c r="BC3506" s="82" t="s">
        <v>15102</v>
      </c>
      <c r="BD3506" s="82" t="s">
        <v>15979</v>
      </c>
      <c r="BE3506" s="77"/>
      <c r="BF3506" s="77"/>
      <c r="BG3506" s="77"/>
      <c r="BH3506" s="77"/>
      <c r="BI3506" s="77"/>
    </row>
    <row r="3507" spans="1:61" x14ac:dyDescent="0.25">
      <c r="A3507" s="62" t="s">
        <v>387</v>
      </c>
      <c r="B3507" s="62" t="s">
        <v>387</v>
      </c>
      <c r="C3507" s="63"/>
      <c r="D3507" s="64"/>
      <c r="E3507" s="65"/>
      <c r="F3507" s="66"/>
      <c r="G3507" s="63"/>
      <c r="H3507" s="67"/>
      <c r="I3507" s="68"/>
      <c r="J3507" s="68"/>
      <c r="K3507" s="32"/>
      <c r="L3507" s="75">
        <v>3507</v>
      </c>
      <c r="M3507" s="75"/>
      <c r="N3507" s="70"/>
      <c r="O3507" s="77" t="s">
        <v>179</v>
      </c>
      <c r="P3507" s="79">
        <v>45156.895833333336</v>
      </c>
      <c r="Q3507" s="77" t="s">
        <v>4177</v>
      </c>
      <c r="R3507" s="77">
        <v>0</v>
      </c>
      <c r="S3507" s="77">
        <v>2</v>
      </c>
      <c r="T3507" s="77">
        <v>1</v>
      </c>
      <c r="U3507" s="77">
        <v>0</v>
      </c>
      <c r="V3507" s="77">
        <v>610</v>
      </c>
      <c r="W3507" s="82" t="s">
        <v>6112</v>
      </c>
      <c r="X3507" s="80" t="str">
        <f>HYPERLINK("https://mla.bs/6e0c6d85")</f>
        <v>https://mla.bs/6e0c6d85</v>
      </c>
      <c r="Y3507" s="77" t="s">
        <v>6506</v>
      </c>
      <c r="Z3507" s="77"/>
      <c r="AA3507" s="77"/>
      <c r="AB3507" s="77"/>
      <c r="AC3507" s="82" t="s">
        <v>7750</v>
      </c>
      <c r="AD3507" s="77" t="s">
        <v>7788</v>
      </c>
      <c r="AE3507" s="80" t="str">
        <f>HYPERLINK("https://twitter.com/einvestidor/status/1692650074583753073")</f>
        <v>https://twitter.com/einvestidor/status/1692650074583753073</v>
      </c>
      <c r="AF3507" s="79">
        <v>45156.895833333336</v>
      </c>
      <c r="AG3507" s="85">
        <v>45156</v>
      </c>
      <c r="AH3507" s="82" t="s">
        <v>8089</v>
      </c>
      <c r="AI3507" s="77" t="b">
        <v>0</v>
      </c>
      <c r="AJ3507" s="77"/>
      <c r="AK3507" s="77"/>
      <c r="AL3507" s="77"/>
      <c r="AM3507" s="77"/>
      <c r="AN3507" s="77"/>
      <c r="AO3507" s="77"/>
      <c r="AP3507" s="77"/>
      <c r="AQ3507" s="77"/>
      <c r="AR3507" s="77"/>
      <c r="AS3507" s="77"/>
      <c r="AT3507" s="77"/>
      <c r="AU3507" s="77"/>
      <c r="AV3507" s="80" t="str">
        <f>HYPERLINK("https://pbs.twimg.com/profile_images/1241147984924082183/gZgx_hL-_normal.jpg")</f>
        <v>https://pbs.twimg.com/profile_images/1241147984924082183/gZgx_hL-_normal.jpg</v>
      </c>
      <c r="AW3507" s="82" t="s">
        <v>15103</v>
      </c>
      <c r="AX3507" s="82" t="s">
        <v>15103</v>
      </c>
      <c r="AY3507" s="77"/>
      <c r="AZ3507" s="82" t="s">
        <v>15984</v>
      </c>
      <c r="BA3507" s="82" t="s">
        <v>15984</v>
      </c>
      <c r="BB3507" s="82" t="s">
        <v>15984</v>
      </c>
      <c r="BC3507" s="82" t="s">
        <v>15103</v>
      </c>
      <c r="BD3507" s="82" t="s">
        <v>15979</v>
      </c>
      <c r="BE3507" s="77"/>
      <c r="BF3507" s="77"/>
      <c r="BG3507" s="77"/>
      <c r="BH3507" s="77"/>
      <c r="BI3507" s="77"/>
    </row>
    <row r="3508" spans="1:61" x14ac:dyDescent="0.25">
      <c r="A3508" s="62" t="s">
        <v>387</v>
      </c>
      <c r="B3508" s="62" t="s">
        <v>387</v>
      </c>
      <c r="C3508" s="63"/>
      <c r="D3508" s="64"/>
      <c r="E3508" s="65"/>
      <c r="F3508" s="66"/>
      <c r="G3508" s="63"/>
      <c r="H3508" s="67"/>
      <c r="I3508" s="68"/>
      <c r="J3508" s="68"/>
      <c r="K3508" s="32"/>
      <c r="L3508" s="75">
        <v>3508</v>
      </c>
      <c r="M3508" s="75"/>
      <c r="N3508" s="70"/>
      <c r="O3508" s="77" t="s">
        <v>179</v>
      </c>
      <c r="P3508" s="79">
        <v>45139.8125</v>
      </c>
      <c r="Q3508" s="77" t="s">
        <v>4178</v>
      </c>
      <c r="R3508" s="77">
        <v>1</v>
      </c>
      <c r="S3508" s="77">
        <v>1</v>
      </c>
      <c r="T3508" s="77">
        <v>0</v>
      </c>
      <c r="U3508" s="77">
        <v>0</v>
      </c>
      <c r="V3508" s="77">
        <v>513</v>
      </c>
      <c r="W3508" s="82" t="s">
        <v>4833</v>
      </c>
      <c r="X3508" s="80" t="str">
        <f>HYPERLINK("https://mla.bs/5f9e3325")</f>
        <v>https://mla.bs/5f9e3325</v>
      </c>
      <c r="Y3508" s="77" t="s">
        <v>6506</v>
      </c>
      <c r="Z3508" s="77"/>
      <c r="AA3508" s="77"/>
      <c r="AB3508" s="77"/>
      <c r="AC3508" s="82" t="s">
        <v>7754</v>
      </c>
      <c r="AD3508" s="77" t="s">
        <v>7788</v>
      </c>
      <c r="AE3508" s="80" t="str">
        <f>HYPERLINK("https://twitter.com/einvestidor/status/1686459283628773377")</f>
        <v>https://twitter.com/einvestidor/status/1686459283628773377</v>
      </c>
      <c r="AF3508" s="79">
        <v>45139.8125</v>
      </c>
      <c r="AG3508" s="85">
        <v>45139</v>
      </c>
      <c r="AH3508" s="82" t="s">
        <v>8281</v>
      </c>
      <c r="AI3508" s="77" t="b">
        <v>0</v>
      </c>
      <c r="AJ3508" s="77"/>
      <c r="AK3508" s="77"/>
      <c r="AL3508" s="77"/>
      <c r="AM3508" s="77"/>
      <c r="AN3508" s="77"/>
      <c r="AO3508" s="77"/>
      <c r="AP3508" s="77"/>
      <c r="AQ3508" s="77"/>
      <c r="AR3508" s="77"/>
      <c r="AS3508" s="77"/>
      <c r="AT3508" s="77"/>
      <c r="AU3508" s="77"/>
      <c r="AV3508" s="80" t="str">
        <f>HYPERLINK("https://pbs.twimg.com/profile_images/1241147984924082183/gZgx_hL-_normal.jpg")</f>
        <v>https://pbs.twimg.com/profile_images/1241147984924082183/gZgx_hL-_normal.jpg</v>
      </c>
      <c r="AW3508" s="82" t="s">
        <v>15104</v>
      </c>
      <c r="AX3508" s="82" t="s">
        <v>15104</v>
      </c>
      <c r="AY3508" s="77"/>
      <c r="AZ3508" s="82" t="s">
        <v>15984</v>
      </c>
      <c r="BA3508" s="82" t="s">
        <v>15984</v>
      </c>
      <c r="BB3508" s="82" t="s">
        <v>15984</v>
      </c>
      <c r="BC3508" s="82" t="s">
        <v>15104</v>
      </c>
      <c r="BD3508" s="82" t="s">
        <v>15979</v>
      </c>
      <c r="BE3508" s="77"/>
      <c r="BF3508" s="77"/>
      <c r="BG3508" s="77"/>
      <c r="BH3508" s="77"/>
      <c r="BI3508" s="77"/>
    </row>
    <row r="3509" spans="1:61" x14ac:dyDescent="0.25">
      <c r="A3509" s="62" t="s">
        <v>387</v>
      </c>
      <c r="B3509" s="62" t="s">
        <v>387</v>
      </c>
      <c r="C3509" s="63"/>
      <c r="D3509" s="64"/>
      <c r="E3509" s="65"/>
      <c r="F3509" s="66"/>
      <c r="G3509" s="63"/>
      <c r="H3509" s="67"/>
      <c r="I3509" s="68"/>
      <c r="J3509" s="68"/>
      <c r="K3509" s="32"/>
      <c r="L3509" s="75">
        <v>3509</v>
      </c>
      <c r="M3509" s="75"/>
      <c r="N3509" s="70"/>
      <c r="O3509" s="77" t="s">
        <v>179</v>
      </c>
      <c r="P3509" s="79">
        <v>45139.802083333336</v>
      </c>
      <c r="Q3509" s="77" t="s">
        <v>4179</v>
      </c>
      <c r="R3509" s="77">
        <v>0</v>
      </c>
      <c r="S3509" s="77">
        <v>1</v>
      </c>
      <c r="T3509" s="77">
        <v>0</v>
      </c>
      <c r="U3509" s="77">
        <v>0</v>
      </c>
      <c r="V3509" s="77">
        <v>542</v>
      </c>
      <c r="W3509" s="82" t="s">
        <v>5918</v>
      </c>
      <c r="X3509" s="80" t="str">
        <f>HYPERLINK("https://mla.bs/fab833e1")</f>
        <v>https://mla.bs/fab833e1</v>
      </c>
      <c r="Y3509" s="77" t="s">
        <v>6506</v>
      </c>
      <c r="Z3509" s="77"/>
      <c r="AA3509" s="77"/>
      <c r="AB3509" s="77"/>
      <c r="AC3509" s="82" t="s">
        <v>7754</v>
      </c>
      <c r="AD3509" s="77" t="s">
        <v>7788</v>
      </c>
      <c r="AE3509" s="80" t="str">
        <f>HYPERLINK("https://twitter.com/einvestidor/status/1686455506477682689")</f>
        <v>https://twitter.com/einvestidor/status/1686455506477682689</v>
      </c>
      <c r="AF3509" s="79">
        <v>45139.802083333336</v>
      </c>
      <c r="AG3509" s="85">
        <v>45139</v>
      </c>
      <c r="AH3509" s="82" t="s">
        <v>7868</v>
      </c>
      <c r="AI3509" s="77" t="b">
        <v>0</v>
      </c>
      <c r="AJ3509" s="77"/>
      <c r="AK3509" s="77"/>
      <c r="AL3509" s="77"/>
      <c r="AM3509" s="77"/>
      <c r="AN3509" s="77"/>
      <c r="AO3509" s="77"/>
      <c r="AP3509" s="77"/>
      <c r="AQ3509" s="77"/>
      <c r="AR3509" s="77"/>
      <c r="AS3509" s="77"/>
      <c r="AT3509" s="77"/>
      <c r="AU3509" s="77"/>
      <c r="AV3509" s="80" t="str">
        <f>HYPERLINK("https://pbs.twimg.com/profile_images/1241147984924082183/gZgx_hL-_normal.jpg")</f>
        <v>https://pbs.twimg.com/profile_images/1241147984924082183/gZgx_hL-_normal.jpg</v>
      </c>
      <c r="AW3509" s="82" t="s">
        <v>15105</v>
      </c>
      <c r="AX3509" s="82" t="s">
        <v>15105</v>
      </c>
      <c r="AY3509" s="77"/>
      <c r="AZ3509" s="82" t="s">
        <v>15984</v>
      </c>
      <c r="BA3509" s="82" t="s">
        <v>15984</v>
      </c>
      <c r="BB3509" s="82" t="s">
        <v>15984</v>
      </c>
      <c r="BC3509" s="82" t="s">
        <v>15105</v>
      </c>
      <c r="BD3509" s="82" t="s">
        <v>15979</v>
      </c>
      <c r="BE3509" s="77"/>
      <c r="BF3509" s="77"/>
      <c r="BG3509" s="77"/>
      <c r="BH3509" s="77"/>
      <c r="BI3509" s="77"/>
    </row>
    <row r="3510" spans="1:61" x14ac:dyDescent="0.25">
      <c r="A3510" s="62" t="s">
        <v>387</v>
      </c>
      <c r="B3510" s="62" t="s">
        <v>387</v>
      </c>
      <c r="C3510" s="63"/>
      <c r="D3510" s="64"/>
      <c r="E3510" s="65"/>
      <c r="F3510" s="66"/>
      <c r="G3510" s="63"/>
      <c r="H3510" s="67"/>
      <c r="I3510" s="68"/>
      <c r="J3510" s="68"/>
      <c r="K3510" s="32"/>
      <c r="L3510" s="75">
        <v>3510</v>
      </c>
      <c r="M3510" s="75"/>
      <c r="N3510" s="70"/>
      <c r="O3510" s="77" t="s">
        <v>179</v>
      </c>
      <c r="P3510" s="79">
        <v>45139.791689814818</v>
      </c>
      <c r="Q3510" s="77" t="s">
        <v>4180</v>
      </c>
      <c r="R3510" s="77">
        <v>0</v>
      </c>
      <c r="S3510" s="77">
        <v>2</v>
      </c>
      <c r="T3510" s="77">
        <v>2</v>
      </c>
      <c r="U3510" s="77">
        <v>0</v>
      </c>
      <c r="V3510" s="77">
        <v>676</v>
      </c>
      <c r="W3510" s="82" t="s">
        <v>4833</v>
      </c>
      <c r="X3510" s="80" t="str">
        <f>HYPERLINK("https://mla.bs/3a1c5537")</f>
        <v>https://mla.bs/3a1c5537</v>
      </c>
      <c r="Y3510" s="77" t="s">
        <v>6506</v>
      </c>
      <c r="Z3510" s="77"/>
      <c r="AA3510" s="77"/>
      <c r="AB3510" s="77"/>
      <c r="AC3510" s="82" t="s">
        <v>7754</v>
      </c>
      <c r="AD3510" s="77" t="s">
        <v>7788</v>
      </c>
      <c r="AE3510" s="80" t="str">
        <f>HYPERLINK("https://twitter.com/einvestidor/status/1686451739250372608")</f>
        <v>https://twitter.com/einvestidor/status/1686451739250372608</v>
      </c>
      <c r="AF3510" s="79">
        <v>45139.791689814818</v>
      </c>
      <c r="AG3510" s="85">
        <v>45139</v>
      </c>
      <c r="AH3510" s="82" t="s">
        <v>9580</v>
      </c>
      <c r="AI3510" s="77" t="b">
        <v>0</v>
      </c>
      <c r="AJ3510" s="77"/>
      <c r="AK3510" s="77"/>
      <c r="AL3510" s="77"/>
      <c r="AM3510" s="77"/>
      <c r="AN3510" s="77"/>
      <c r="AO3510" s="77"/>
      <c r="AP3510" s="77"/>
      <c r="AQ3510" s="77"/>
      <c r="AR3510" s="77"/>
      <c r="AS3510" s="77"/>
      <c r="AT3510" s="77"/>
      <c r="AU3510" s="77"/>
      <c r="AV3510" s="80" t="str">
        <f>HYPERLINK("https://pbs.twimg.com/profile_images/1241147984924082183/gZgx_hL-_normal.jpg")</f>
        <v>https://pbs.twimg.com/profile_images/1241147984924082183/gZgx_hL-_normal.jpg</v>
      </c>
      <c r="AW3510" s="82" t="s">
        <v>15106</v>
      </c>
      <c r="AX3510" s="82" t="s">
        <v>15106</v>
      </c>
      <c r="AY3510" s="77"/>
      <c r="AZ3510" s="82" t="s">
        <v>15984</v>
      </c>
      <c r="BA3510" s="82" t="s">
        <v>15984</v>
      </c>
      <c r="BB3510" s="82" t="s">
        <v>15984</v>
      </c>
      <c r="BC3510" s="82" t="s">
        <v>15106</v>
      </c>
      <c r="BD3510" s="82" t="s">
        <v>15979</v>
      </c>
      <c r="BE3510" s="77"/>
      <c r="BF3510" s="77"/>
      <c r="BG3510" s="77"/>
      <c r="BH3510" s="77"/>
      <c r="BI3510" s="77"/>
    </row>
    <row r="3511" spans="1:61" x14ac:dyDescent="0.25">
      <c r="A3511" s="62" t="s">
        <v>387</v>
      </c>
      <c r="B3511" s="62" t="s">
        <v>387</v>
      </c>
      <c r="C3511" s="63"/>
      <c r="D3511" s="64"/>
      <c r="E3511" s="65"/>
      <c r="F3511" s="66"/>
      <c r="G3511" s="63"/>
      <c r="H3511" s="67"/>
      <c r="I3511" s="68"/>
      <c r="J3511" s="68"/>
      <c r="K3511" s="32"/>
      <c r="L3511" s="75">
        <v>3511</v>
      </c>
      <c r="M3511" s="75"/>
      <c r="N3511" s="70"/>
      <c r="O3511" s="77" t="s">
        <v>179</v>
      </c>
      <c r="P3511" s="79">
        <v>45139.770833333336</v>
      </c>
      <c r="Q3511" s="77" t="s">
        <v>4181</v>
      </c>
      <c r="R3511" s="77">
        <v>1</v>
      </c>
      <c r="S3511" s="77">
        <v>4</v>
      </c>
      <c r="T3511" s="77">
        <v>0</v>
      </c>
      <c r="U3511" s="77">
        <v>0</v>
      </c>
      <c r="V3511" s="77">
        <v>521</v>
      </c>
      <c r="W3511" s="82" t="s">
        <v>4833</v>
      </c>
      <c r="X3511" s="80" t="str">
        <f>HYPERLINK("https://mla.bs/9ae28d03")</f>
        <v>https://mla.bs/9ae28d03</v>
      </c>
      <c r="Y3511" s="77" t="s">
        <v>6506</v>
      </c>
      <c r="Z3511" s="77"/>
      <c r="AA3511" s="77"/>
      <c r="AB3511" s="77"/>
      <c r="AC3511" s="82" t="s">
        <v>7754</v>
      </c>
      <c r="AD3511" s="77" t="s">
        <v>7788</v>
      </c>
      <c r="AE3511" s="80" t="str">
        <f>HYPERLINK("https://twitter.com/einvestidor/status/1686444181617524755")</f>
        <v>https://twitter.com/einvestidor/status/1686444181617524755</v>
      </c>
      <c r="AF3511" s="79">
        <v>45139.770833333336</v>
      </c>
      <c r="AG3511" s="85">
        <v>45139</v>
      </c>
      <c r="AH3511" s="82" t="s">
        <v>7930</v>
      </c>
      <c r="AI3511" s="77" t="b">
        <v>0</v>
      </c>
      <c r="AJ3511" s="77"/>
      <c r="AK3511" s="77"/>
      <c r="AL3511" s="77"/>
      <c r="AM3511" s="77"/>
      <c r="AN3511" s="77"/>
      <c r="AO3511" s="77"/>
      <c r="AP3511" s="77"/>
      <c r="AQ3511" s="77"/>
      <c r="AR3511" s="77"/>
      <c r="AS3511" s="77"/>
      <c r="AT3511" s="77"/>
      <c r="AU3511" s="77"/>
      <c r="AV3511" s="80" t="str">
        <f>HYPERLINK("https://pbs.twimg.com/profile_images/1241147984924082183/gZgx_hL-_normal.jpg")</f>
        <v>https://pbs.twimg.com/profile_images/1241147984924082183/gZgx_hL-_normal.jpg</v>
      </c>
      <c r="AW3511" s="82" t="s">
        <v>15107</v>
      </c>
      <c r="AX3511" s="82" t="s">
        <v>15107</v>
      </c>
      <c r="AY3511" s="77"/>
      <c r="AZ3511" s="82" t="s">
        <v>15984</v>
      </c>
      <c r="BA3511" s="82" t="s">
        <v>15984</v>
      </c>
      <c r="BB3511" s="82" t="s">
        <v>15984</v>
      </c>
      <c r="BC3511" s="82" t="s">
        <v>15107</v>
      </c>
      <c r="BD3511" s="82" t="s">
        <v>15979</v>
      </c>
      <c r="BE3511" s="77"/>
      <c r="BF3511" s="77"/>
      <c r="BG3511" s="77"/>
      <c r="BH3511" s="77"/>
      <c r="BI3511" s="77"/>
    </row>
    <row r="3512" spans="1:61" x14ac:dyDescent="0.25">
      <c r="A3512" s="62" t="s">
        <v>387</v>
      </c>
      <c r="B3512" s="62" t="s">
        <v>387</v>
      </c>
      <c r="C3512" s="63"/>
      <c r="D3512" s="64"/>
      <c r="E3512" s="65"/>
      <c r="F3512" s="66"/>
      <c r="G3512" s="63"/>
      <c r="H3512" s="67"/>
      <c r="I3512" s="68"/>
      <c r="J3512" s="68"/>
      <c r="K3512" s="32"/>
      <c r="L3512" s="75">
        <v>3512</v>
      </c>
      <c r="M3512" s="75"/>
      <c r="N3512" s="70"/>
      <c r="O3512" s="77" t="s">
        <v>179</v>
      </c>
      <c r="P3512" s="79">
        <v>45139.760416666664</v>
      </c>
      <c r="Q3512" s="77" t="s">
        <v>4182</v>
      </c>
      <c r="R3512" s="77">
        <v>0</v>
      </c>
      <c r="S3512" s="77">
        <v>3</v>
      </c>
      <c r="T3512" s="77">
        <v>0</v>
      </c>
      <c r="U3512" s="77">
        <v>0</v>
      </c>
      <c r="V3512" s="77">
        <v>530</v>
      </c>
      <c r="W3512" s="82" t="s">
        <v>6331</v>
      </c>
      <c r="X3512" s="80" t="str">
        <f>HYPERLINK("https://mla.bs/7db28352")</f>
        <v>https://mla.bs/7db28352</v>
      </c>
      <c r="Y3512" s="77" t="s">
        <v>6506</v>
      </c>
      <c r="Z3512" s="77"/>
      <c r="AA3512" s="77"/>
      <c r="AB3512" s="77"/>
      <c r="AC3512" s="82" t="s">
        <v>7754</v>
      </c>
      <c r="AD3512" s="77" t="s">
        <v>7788</v>
      </c>
      <c r="AE3512" s="80" t="str">
        <f>HYPERLINK("https://twitter.com/einvestidor/status/1686440407012429826")</f>
        <v>https://twitter.com/einvestidor/status/1686440407012429826</v>
      </c>
      <c r="AF3512" s="79">
        <v>45139.760416666664</v>
      </c>
      <c r="AG3512" s="85">
        <v>45139</v>
      </c>
      <c r="AH3512" s="82" t="s">
        <v>9582</v>
      </c>
      <c r="AI3512" s="77" t="b">
        <v>0</v>
      </c>
      <c r="AJ3512" s="77"/>
      <c r="AK3512" s="77"/>
      <c r="AL3512" s="77"/>
      <c r="AM3512" s="77"/>
      <c r="AN3512" s="77"/>
      <c r="AO3512" s="77"/>
      <c r="AP3512" s="77"/>
      <c r="AQ3512" s="77"/>
      <c r="AR3512" s="77"/>
      <c r="AS3512" s="77"/>
      <c r="AT3512" s="77"/>
      <c r="AU3512" s="77"/>
      <c r="AV3512" s="80" t="str">
        <f>HYPERLINK("https://pbs.twimg.com/profile_images/1241147984924082183/gZgx_hL-_normal.jpg")</f>
        <v>https://pbs.twimg.com/profile_images/1241147984924082183/gZgx_hL-_normal.jpg</v>
      </c>
      <c r="AW3512" s="82" t="s">
        <v>15108</v>
      </c>
      <c r="AX3512" s="82" t="s">
        <v>15108</v>
      </c>
      <c r="AY3512" s="77"/>
      <c r="AZ3512" s="82" t="s">
        <v>15984</v>
      </c>
      <c r="BA3512" s="82" t="s">
        <v>15984</v>
      </c>
      <c r="BB3512" s="82" t="s">
        <v>15984</v>
      </c>
      <c r="BC3512" s="82" t="s">
        <v>15108</v>
      </c>
      <c r="BD3512" s="82" t="s">
        <v>15979</v>
      </c>
      <c r="BE3512" s="77"/>
      <c r="BF3512" s="77"/>
      <c r="BG3512" s="77"/>
      <c r="BH3512" s="77"/>
      <c r="BI3512" s="77"/>
    </row>
    <row r="3513" spans="1:61" x14ac:dyDescent="0.25">
      <c r="A3513" s="62" t="s">
        <v>387</v>
      </c>
      <c r="B3513" s="62" t="s">
        <v>387</v>
      </c>
      <c r="C3513" s="63"/>
      <c r="D3513" s="64"/>
      <c r="E3513" s="65"/>
      <c r="F3513" s="66"/>
      <c r="G3513" s="63"/>
      <c r="H3513" s="67"/>
      <c r="I3513" s="68"/>
      <c r="J3513" s="68"/>
      <c r="K3513" s="32"/>
      <c r="L3513" s="75">
        <v>3513</v>
      </c>
      <c r="M3513" s="75"/>
      <c r="N3513" s="70"/>
      <c r="O3513" s="77" t="s">
        <v>179</v>
      </c>
      <c r="P3513" s="79">
        <v>45139.750011574077</v>
      </c>
      <c r="Q3513" s="77" t="s">
        <v>4183</v>
      </c>
      <c r="R3513" s="77">
        <v>0</v>
      </c>
      <c r="S3513" s="77">
        <v>1</v>
      </c>
      <c r="T3513" s="77">
        <v>0</v>
      </c>
      <c r="U3513" s="77">
        <v>0</v>
      </c>
      <c r="V3513" s="77">
        <v>459</v>
      </c>
      <c r="W3513" s="82" t="s">
        <v>4833</v>
      </c>
      <c r="X3513" s="80" t="str">
        <f>HYPERLINK("https://mla.bs/64d1058a")</f>
        <v>https://mla.bs/64d1058a</v>
      </c>
      <c r="Y3513" s="77" t="s">
        <v>6506</v>
      </c>
      <c r="Z3513" s="77"/>
      <c r="AA3513" s="77"/>
      <c r="AB3513" s="77"/>
      <c r="AC3513" s="82" t="s">
        <v>7754</v>
      </c>
      <c r="AD3513" s="77" t="s">
        <v>7788</v>
      </c>
      <c r="AE3513" s="80" t="str">
        <f>HYPERLINK("https://twitter.com/einvestidor/status/1686436635402174464")</f>
        <v>https://twitter.com/einvestidor/status/1686436635402174464</v>
      </c>
      <c r="AF3513" s="79">
        <v>45139.750011574077</v>
      </c>
      <c r="AG3513" s="85">
        <v>45139</v>
      </c>
      <c r="AH3513" s="82" t="s">
        <v>9625</v>
      </c>
      <c r="AI3513" s="77" t="b">
        <v>0</v>
      </c>
      <c r="AJ3513" s="77"/>
      <c r="AK3513" s="77"/>
      <c r="AL3513" s="77"/>
      <c r="AM3513" s="77"/>
      <c r="AN3513" s="77"/>
      <c r="AO3513" s="77"/>
      <c r="AP3513" s="77"/>
      <c r="AQ3513" s="77"/>
      <c r="AR3513" s="77"/>
      <c r="AS3513" s="77"/>
      <c r="AT3513" s="77"/>
      <c r="AU3513" s="77"/>
      <c r="AV3513" s="80" t="str">
        <f>HYPERLINK("https://pbs.twimg.com/profile_images/1241147984924082183/gZgx_hL-_normal.jpg")</f>
        <v>https://pbs.twimg.com/profile_images/1241147984924082183/gZgx_hL-_normal.jpg</v>
      </c>
      <c r="AW3513" s="82" t="s">
        <v>15109</v>
      </c>
      <c r="AX3513" s="82" t="s">
        <v>15109</v>
      </c>
      <c r="AY3513" s="77"/>
      <c r="AZ3513" s="82" t="s">
        <v>15984</v>
      </c>
      <c r="BA3513" s="82" t="s">
        <v>15984</v>
      </c>
      <c r="BB3513" s="82" t="s">
        <v>15984</v>
      </c>
      <c r="BC3513" s="82" t="s">
        <v>15109</v>
      </c>
      <c r="BD3513" s="82" t="s">
        <v>15979</v>
      </c>
      <c r="BE3513" s="77"/>
      <c r="BF3513" s="77"/>
      <c r="BG3513" s="77"/>
      <c r="BH3513" s="77"/>
      <c r="BI3513" s="77"/>
    </row>
    <row r="3514" spans="1:61" x14ac:dyDescent="0.25">
      <c r="A3514" s="62" t="s">
        <v>387</v>
      </c>
      <c r="B3514" s="62" t="s">
        <v>387</v>
      </c>
      <c r="C3514" s="63"/>
      <c r="D3514" s="64"/>
      <c r="E3514" s="65"/>
      <c r="F3514" s="66"/>
      <c r="G3514" s="63"/>
      <c r="H3514" s="67"/>
      <c r="I3514" s="68"/>
      <c r="J3514" s="68"/>
      <c r="K3514" s="32"/>
      <c r="L3514" s="75">
        <v>3514</v>
      </c>
      <c r="M3514" s="75"/>
      <c r="N3514" s="70"/>
      <c r="O3514" s="77" t="s">
        <v>179</v>
      </c>
      <c r="P3514" s="79">
        <v>45139.739583333336</v>
      </c>
      <c r="Q3514" s="77" t="s">
        <v>4184</v>
      </c>
      <c r="R3514" s="77">
        <v>0</v>
      </c>
      <c r="S3514" s="77">
        <v>0</v>
      </c>
      <c r="T3514" s="77">
        <v>0</v>
      </c>
      <c r="U3514" s="77">
        <v>0</v>
      </c>
      <c r="V3514" s="77">
        <v>535</v>
      </c>
      <c r="W3514" s="82" t="s">
        <v>4833</v>
      </c>
      <c r="X3514" s="80" t="str">
        <f>HYPERLINK("https://mla.bs/f334e875")</f>
        <v>https://mla.bs/f334e875</v>
      </c>
      <c r="Y3514" s="77" t="s">
        <v>6506</v>
      </c>
      <c r="Z3514" s="77"/>
      <c r="AA3514" s="77"/>
      <c r="AB3514" s="77"/>
      <c r="AC3514" s="82" t="s">
        <v>7754</v>
      </c>
      <c r="AD3514" s="77" t="s">
        <v>7788</v>
      </c>
      <c r="AE3514" s="80" t="str">
        <f>HYPERLINK("https://twitter.com/einvestidor/status/1686432857592385545")</f>
        <v>https://twitter.com/einvestidor/status/1686432857592385545</v>
      </c>
      <c r="AF3514" s="79">
        <v>45139.739583333336</v>
      </c>
      <c r="AG3514" s="85">
        <v>45139</v>
      </c>
      <c r="AH3514" s="82" t="s">
        <v>9626</v>
      </c>
      <c r="AI3514" s="77" t="b">
        <v>0</v>
      </c>
      <c r="AJ3514" s="77"/>
      <c r="AK3514" s="77"/>
      <c r="AL3514" s="77"/>
      <c r="AM3514" s="77"/>
      <c r="AN3514" s="77"/>
      <c r="AO3514" s="77"/>
      <c r="AP3514" s="77"/>
      <c r="AQ3514" s="77"/>
      <c r="AR3514" s="77"/>
      <c r="AS3514" s="77"/>
      <c r="AT3514" s="77"/>
      <c r="AU3514" s="77"/>
      <c r="AV3514" s="80" t="str">
        <f>HYPERLINK("https://pbs.twimg.com/profile_images/1241147984924082183/gZgx_hL-_normal.jpg")</f>
        <v>https://pbs.twimg.com/profile_images/1241147984924082183/gZgx_hL-_normal.jpg</v>
      </c>
      <c r="AW3514" s="82" t="s">
        <v>15110</v>
      </c>
      <c r="AX3514" s="82" t="s">
        <v>15110</v>
      </c>
      <c r="AY3514" s="77"/>
      <c r="AZ3514" s="82" t="s">
        <v>15984</v>
      </c>
      <c r="BA3514" s="82" t="s">
        <v>15984</v>
      </c>
      <c r="BB3514" s="82" t="s">
        <v>15984</v>
      </c>
      <c r="BC3514" s="82" t="s">
        <v>15110</v>
      </c>
      <c r="BD3514" s="82" t="s">
        <v>15979</v>
      </c>
      <c r="BE3514" s="77"/>
      <c r="BF3514" s="77"/>
      <c r="BG3514" s="77"/>
      <c r="BH3514" s="77"/>
      <c r="BI3514" s="77"/>
    </row>
    <row r="3515" spans="1:61" x14ac:dyDescent="0.25">
      <c r="A3515" s="62" t="s">
        <v>387</v>
      </c>
      <c r="B3515" s="62" t="s">
        <v>387</v>
      </c>
      <c r="C3515" s="63"/>
      <c r="D3515" s="64"/>
      <c r="E3515" s="65"/>
      <c r="F3515" s="66"/>
      <c r="G3515" s="63"/>
      <c r="H3515" s="67"/>
      <c r="I3515" s="68"/>
      <c r="J3515" s="68"/>
      <c r="K3515" s="32"/>
      <c r="L3515" s="75">
        <v>3515</v>
      </c>
      <c r="M3515" s="75"/>
      <c r="N3515" s="70"/>
      <c r="O3515" s="77" t="s">
        <v>179</v>
      </c>
      <c r="P3515" s="79">
        <v>45139.729166666664</v>
      </c>
      <c r="Q3515" s="77" t="s">
        <v>4185</v>
      </c>
      <c r="R3515" s="77">
        <v>1</v>
      </c>
      <c r="S3515" s="77">
        <v>4</v>
      </c>
      <c r="T3515" s="77">
        <v>0</v>
      </c>
      <c r="U3515" s="77">
        <v>0</v>
      </c>
      <c r="V3515" s="77">
        <v>499</v>
      </c>
      <c r="W3515" s="82" t="s">
        <v>6233</v>
      </c>
      <c r="X3515" s="80" t="str">
        <f>HYPERLINK("https://mla.bs/473fa8f2")</f>
        <v>https://mla.bs/473fa8f2</v>
      </c>
      <c r="Y3515" s="77" t="s">
        <v>6506</v>
      </c>
      <c r="Z3515" s="77"/>
      <c r="AA3515" s="77"/>
      <c r="AB3515" s="77"/>
      <c r="AC3515" s="82" t="s">
        <v>7754</v>
      </c>
      <c r="AD3515" s="77" t="s">
        <v>7788</v>
      </c>
      <c r="AE3515" s="80" t="str">
        <f>HYPERLINK("https://twitter.com/einvestidor/status/1686429082278588416")</f>
        <v>https://twitter.com/einvestidor/status/1686429082278588416</v>
      </c>
      <c r="AF3515" s="79">
        <v>45139.729166666664</v>
      </c>
      <c r="AG3515" s="85">
        <v>45139</v>
      </c>
      <c r="AH3515" s="82" t="s">
        <v>8091</v>
      </c>
      <c r="AI3515" s="77" t="b">
        <v>0</v>
      </c>
      <c r="AJ3515" s="77"/>
      <c r="AK3515" s="77"/>
      <c r="AL3515" s="77"/>
      <c r="AM3515" s="77"/>
      <c r="AN3515" s="77"/>
      <c r="AO3515" s="77"/>
      <c r="AP3515" s="77"/>
      <c r="AQ3515" s="77"/>
      <c r="AR3515" s="77"/>
      <c r="AS3515" s="77"/>
      <c r="AT3515" s="77"/>
      <c r="AU3515" s="77"/>
      <c r="AV3515" s="80" t="str">
        <f>HYPERLINK("https://pbs.twimg.com/profile_images/1241147984924082183/gZgx_hL-_normal.jpg")</f>
        <v>https://pbs.twimg.com/profile_images/1241147984924082183/gZgx_hL-_normal.jpg</v>
      </c>
      <c r="AW3515" s="82" t="s">
        <v>15111</v>
      </c>
      <c r="AX3515" s="82" t="s">
        <v>15111</v>
      </c>
      <c r="AY3515" s="77"/>
      <c r="AZ3515" s="82" t="s">
        <v>15984</v>
      </c>
      <c r="BA3515" s="82" t="s">
        <v>15984</v>
      </c>
      <c r="BB3515" s="82" t="s">
        <v>15984</v>
      </c>
      <c r="BC3515" s="82" t="s">
        <v>15111</v>
      </c>
      <c r="BD3515" s="82" t="s">
        <v>15979</v>
      </c>
      <c r="BE3515" s="77"/>
      <c r="BF3515" s="77"/>
      <c r="BG3515" s="77"/>
      <c r="BH3515" s="77"/>
      <c r="BI3515" s="77"/>
    </row>
    <row r="3516" spans="1:61" x14ac:dyDescent="0.25">
      <c r="A3516" s="62" t="s">
        <v>387</v>
      </c>
      <c r="B3516" s="62" t="s">
        <v>387</v>
      </c>
      <c r="C3516" s="63"/>
      <c r="D3516" s="64"/>
      <c r="E3516" s="65"/>
      <c r="F3516" s="66"/>
      <c r="G3516" s="63"/>
      <c r="H3516" s="67"/>
      <c r="I3516" s="68"/>
      <c r="J3516" s="68"/>
      <c r="K3516" s="32"/>
      <c r="L3516" s="75">
        <v>3516</v>
      </c>
      <c r="M3516" s="75"/>
      <c r="N3516" s="70"/>
      <c r="O3516" s="77" t="s">
        <v>179</v>
      </c>
      <c r="P3516" s="79">
        <v>45139.722511574073</v>
      </c>
      <c r="Q3516" s="77" t="s">
        <v>4186</v>
      </c>
      <c r="R3516" s="77">
        <v>0</v>
      </c>
      <c r="S3516" s="77">
        <v>1</v>
      </c>
      <c r="T3516" s="77">
        <v>0</v>
      </c>
      <c r="U3516" s="77">
        <v>0</v>
      </c>
      <c r="V3516" s="77">
        <v>484</v>
      </c>
      <c r="W3516" s="82" t="s">
        <v>4833</v>
      </c>
      <c r="X3516" s="80" t="str">
        <f>HYPERLINK("https://mla.bs/6e305a17")</f>
        <v>https://mla.bs/6e305a17</v>
      </c>
      <c r="Y3516" s="77" t="s">
        <v>6506</v>
      </c>
      <c r="Z3516" s="77"/>
      <c r="AA3516" s="77"/>
      <c r="AB3516" s="77"/>
      <c r="AC3516" s="82" t="s">
        <v>7754</v>
      </c>
      <c r="AD3516" s="77" t="s">
        <v>7788</v>
      </c>
      <c r="AE3516" s="80" t="str">
        <f>HYPERLINK("https://twitter.com/einvestidor/status/1686426672432631831")</f>
        <v>https://twitter.com/einvestidor/status/1686426672432631831</v>
      </c>
      <c r="AF3516" s="79">
        <v>45139.722511574073</v>
      </c>
      <c r="AG3516" s="85">
        <v>45139</v>
      </c>
      <c r="AH3516" s="82" t="s">
        <v>8047</v>
      </c>
      <c r="AI3516" s="77" t="b">
        <v>0</v>
      </c>
      <c r="AJ3516" s="77"/>
      <c r="AK3516" s="77"/>
      <c r="AL3516" s="77"/>
      <c r="AM3516" s="77"/>
      <c r="AN3516" s="77"/>
      <c r="AO3516" s="77"/>
      <c r="AP3516" s="77"/>
      <c r="AQ3516" s="77"/>
      <c r="AR3516" s="77"/>
      <c r="AS3516" s="77"/>
      <c r="AT3516" s="77"/>
      <c r="AU3516" s="77"/>
      <c r="AV3516" s="80" t="str">
        <f>HYPERLINK("https://pbs.twimg.com/profile_images/1241147984924082183/gZgx_hL-_normal.jpg")</f>
        <v>https://pbs.twimg.com/profile_images/1241147984924082183/gZgx_hL-_normal.jpg</v>
      </c>
      <c r="AW3516" s="82" t="s">
        <v>15112</v>
      </c>
      <c r="AX3516" s="82" t="s">
        <v>15112</v>
      </c>
      <c r="AY3516" s="77"/>
      <c r="AZ3516" s="82" t="s">
        <v>15984</v>
      </c>
      <c r="BA3516" s="82" t="s">
        <v>15984</v>
      </c>
      <c r="BB3516" s="82" t="s">
        <v>15984</v>
      </c>
      <c r="BC3516" s="82" t="s">
        <v>15112</v>
      </c>
      <c r="BD3516" s="82" t="s">
        <v>15979</v>
      </c>
      <c r="BE3516" s="77"/>
      <c r="BF3516" s="77"/>
      <c r="BG3516" s="77"/>
      <c r="BH3516" s="77"/>
      <c r="BI3516" s="77"/>
    </row>
    <row r="3517" spans="1:61" x14ac:dyDescent="0.25">
      <c r="A3517" s="62" t="s">
        <v>387</v>
      </c>
      <c r="B3517" s="62" t="s">
        <v>387</v>
      </c>
      <c r="C3517" s="63"/>
      <c r="D3517" s="64"/>
      <c r="E3517" s="65"/>
      <c r="F3517" s="66"/>
      <c r="G3517" s="63"/>
      <c r="H3517" s="67"/>
      <c r="I3517" s="68"/>
      <c r="J3517" s="68"/>
      <c r="K3517" s="32"/>
      <c r="L3517" s="75">
        <v>3517</v>
      </c>
      <c r="M3517" s="75"/>
      <c r="N3517" s="70"/>
      <c r="O3517" s="77" t="s">
        <v>179</v>
      </c>
      <c r="P3517" s="79">
        <v>45139.697916666664</v>
      </c>
      <c r="Q3517" s="77" t="s">
        <v>4187</v>
      </c>
      <c r="R3517" s="77">
        <v>0</v>
      </c>
      <c r="S3517" s="77">
        <v>4</v>
      </c>
      <c r="T3517" s="77">
        <v>0</v>
      </c>
      <c r="U3517" s="77">
        <v>0</v>
      </c>
      <c r="V3517" s="77">
        <v>568</v>
      </c>
      <c r="W3517" s="82" t="s">
        <v>4833</v>
      </c>
      <c r="X3517" s="80" t="str">
        <f>HYPERLINK("https://einvestidor.estadao.com.br/ultimas/isa-cteep-trpl4-lucro-liquido-2526-comparacao-anual/?utm_source=twitter&amp;utm_medium=organic&amp;utm_campaign=isa-cteep&amp;utm_content=materia")</f>
        <v>https://einvestidor.estadao.com.br/ultimas/isa-cteep-trpl4-lucro-liquido-2526-comparacao-anual/?utm_source=twitter&amp;utm_medium=organic&amp;utm_campaign=isa-cteep&amp;utm_content=materia</v>
      </c>
      <c r="Y3517" s="77" t="s">
        <v>6470</v>
      </c>
      <c r="Z3517" s="77"/>
      <c r="AA3517" s="77"/>
      <c r="AB3517" s="77"/>
      <c r="AC3517" s="82" t="s">
        <v>7754</v>
      </c>
      <c r="AD3517" s="77" t="s">
        <v>7788</v>
      </c>
      <c r="AE3517" s="80" t="str">
        <f>HYPERLINK("https://twitter.com/einvestidor/status/1686417757649227785")</f>
        <v>https://twitter.com/einvestidor/status/1686417757649227785</v>
      </c>
      <c r="AF3517" s="79">
        <v>45139.697916666664</v>
      </c>
      <c r="AG3517" s="85">
        <v>45139</v>
      </c>
      <c r="AH3517" s="82" t="s">
        <v>9659</v>
      </c>
      <c r="AI3517" s="77" t="b">
        <v>0</v>
      </c>
      <c r="AJ3517" s="77"/>
      <c r="AK3517" s="77"/>
      <c r="AL3517" s="77"/>
      <c r="AM3517" s="77"/>
      <c r="AN3517" s="77"/>
      <c r="AO3517" s="77"/>
      <c r="AP3517" s="77"/>
      <c r="AQ3517" s="77"/>
      <c r="AR3517" s="77"/>
      <c r="AS3517" s="77"/>
      <c r="AT3517" s="77"/>
      <c r="AU3517" s="77"/>
      <c r="AV3517" s="80" t="str">
        <f>HYPERLINK("https://pbs.twimg.com/profile_images/1241147984924082183/gZgx_hL-_normal.jpg")</f>
        <v>https://pbs.twimg.com/profile_images/1241147984924082183/gZgx_hL-_normal.jpg</v>
      </c>
      <c r="AW3517" s="82" t="s">
        <v>15113</v>
      </c>
      <c r="AX3517" s="82" t="s">
        <v>15113</v>
      </c>
      <c r="AY3517" s="77"/>
      <c r="AZ3517" s="82" t="s">
        <v>15984</v>
      </c>
      <c r="BA3517" s="82" t="s">
        <v>15984</v>
      </c>
      <c r="BB3517" s="82" t="s">
        <v>15984</v>
      </c>
      <c r="BC3517" s="82" t="s">
        <v>15113</v>
      </c>
      <c r="BD3517" s="82" t="s">
        <v>15979</v>
      </c>
      <c r="BE3517" s="77"/>
      <c r="BF3517" s="77"/>
      <c r="BG3517" s="77"/>
      <c r="BH3517" s="77"/>
      <c r="BI3517" s="77"/>
    </row>
    <row r="3518" spans="1:61" x14ac:dyDescent="0.25">
      <c r="A3518" s="62" t="s">
        <v>387</v>
      </c>
      <c r="B3518" s="62" t="s">
        <v>387</v>
      </c>
      <c r="C3518" s="63"/>
      <c r="D3518" s="64"/>
      <c r="E3518" s="65"/>
      <c r="F3518" s="66"/>
      <c r="G3518" s="63"/>
      <c r="H3518" s="67"/>
      <c r="I3518" s="68"/>
      <c r="J3518" s="68"/>
      <c r="K3518" s="32"/>
      <c r="L3518" s="75">
        <v>3518</v>
      </c>
      <c r="M3518" s="75"/>
      <c r="N3518" s="70"/>
      <c r="O3518" s="77" t="s">
        <v>179</v>
      </c>
      <c r="P3518" s="79">
        <v>45139.677083333336</v>
      </c>
      <c r="Q3518" s="77" t="s">
        <v>4188</v>
      </c>
      <c r="R3518" s="77">
        <v>0</v>
      </c>
      <c r="S3518" s="77">
        <v>3</v>
      </c>
      <c r="T3518" s="77">
        <v>0</v>
      </c>
      <c r="U3518" s="77">
        <v>0</v>
      </c>
      <c r="V3518" s="77">
        <v>492</v>
      </c>
      <c r="W3518" s="82" t="s">
        <v>4833</v>
      </c>
      <c r="X3518" s="80" t="str">
        <f>HYPERLINK("https://einvestidor.estadao.com.br/ultimas/caterpillar-registra-lucro-acima-previsto-2-trimestre/?utm_source=twitter&amp;utm_medium=organic&amp;utm_campaign=caterpillar&amp;utm_content=materia")</f>
        <v>https://einvestidor.estadao.com.br/ultimas/caterpillar-registra-lucro-acima-previsto-2-trimestre/?utm_source=twitter&amp;utm_medium=organic&amp;utm_campaign=caterpillar&amp;utm_content=materia</v>
      </c>
      <c r="Y3518" s="77" t="s">
        <v>6470</v>
      </c>
      <c r="Z3518" s="77"/>
      <c r="AA3518" s="77"/>
      <c r="AB3518" s="77"/>
      <c r="AC3518" s="82" t="s">
        <v>7754</v>
      </c>
      <c r="AD3518" s="77" t="s">
        <v>7790</v>
      </c>
      <c r="AE3518" s="80" t="str">
        <f>HYPERLINK("https://twitter.com/einvestidor/status/1686410208283709445")</f>
        <v>https://twitter.com/einvestidor/status/1686410208283709445</v>
      </c>
      <c r="AF3518" s="79">
        <v>45139.677083333336</v>
      </c>
      <c r="AG3518" s="85">
        <v>45139</v>
      </c>
      <c r="AH3518" s="82" t="s">
        <v>9628</v>
      </c>
      <c r="AI3518" s="77" t="b">
        <v>0</v>
      </c>
      <c r="AJ3518" s="77"/>
      <c r="AK3518" s="77"/>
      <c r="AL3518" s="77"/>
      <c r="AM3518" s="77"/>
      <c r="AN3518" s="77"/>
      <c r="AO3518" s="77"/>
      <c r="AP3518" s="77"/>
      <c r="AQ3518" s="77"/>
      <c r="AR3518" s="77"/>
      <c r="AS3518" s="77"/>
      <c r="AT3518" s="77"/>
      <c r="AU3518" s="77"/>
      <c r="AV3518" s="80" t="str">
        <f>HYPERLINK("https://pbs.twimg.com/profile_images/1241147984924082183/gZgx_hL-_normal.jpg")</f>
        <v>https://pbs.twimg.com/profile_images/1241147984924082183/gZgx_hL-_normal.jpg</v>
      </c>
      <c r="AW3518" s="82" t="s">
        <v>15114</v>
      </c>
      <c r="AX3518" s="82" t="s">
        <v>15114</v>
      </c>
      <c r="AY3518" s="77"/>
      <c r="AZ3518" s="82" t="s">
        <v>15984</v>
      </c>
      <c r="BA3518" s="82" t="s">
        <v>15984</v>
      </c>
      <c r="BB3518" s="82" t="s">
        <v>15984</v>
      </c>
      <c r="BC3518" s="82" t="s">
        <v>15114</v>
      </c>
      <c r="BD3518" s="82" t="s">
        <v>15979</v>
      </c>
      <c r="BE3518" s="77"/>
      <c r="BF3518" s="77"/>
      <c r="BG3518" s="77"/>
      <c r="BH3518" s="77"/>
      <c r="BI3518" s="77"/>
    </row>
    <row r="3519" spans="1:61" x14ac:dyDescent="0.25">
      <c r="A3519" s="62" t="s">
        <v>387</v>
      </c>
      <c r="B3519" s="62" t="s">
        <v>387</v>
      </c>
      <c r="C3519" s="63"/>
      <c r="D3519" s="64"/>
      <c r="E3519" s="65"/>
      <c r="F3519" s="66"/>
      <c r="G3519" s="63"/>
      <c r="H3519" s="67"/>
      <c r="I3519" s="68"/>
      <c r="J3519" s="68"/>
      <c r="K3519" s="32"/>
      <c r="L3519" s="75">
        <v>3519</v>
      </c>
      <c r="M3519" s="75"/>
      <c r="N3519" s="70"/>
      <c r="O3519" s="77" t="s">
        <v>179</v>
      </c>
      <c r="P3519" s="79">
        <v>45139.648321759261</v>
      </c>
      <c r="Q3519" s="77" t="s">
        <v>4189</v>
      </c>
      <c r="R3519" s="77">
        <v>2</v>
      </c>
      <c r="S3519" s="77">
        <v>1</v>
      </c>
      <c r="T3519" s="77">
        <v>0</v>
      </c>
      <c r="U3519" s="77">
        <v>0</v>
      </c>
      <c r="V3519" s="77">
        <v>603</v>
      </c>
      <c r="W3519" s="82" t="s">
        <v>4833</v>
      </c>
      <c r="X3519" s="80" t="str">
        <f>HYPERLINK("https://einvestidor.estadao.com.br/educacao-financeira/tesouro-educa-mais-tudo-sobre-o-titulo/?utm_source=twitter&amp;utm_medium=organic&amp;utm_campaign=tesouro-educa&amp;utm_content=materia")</f>
        <v>https://einvestidor.estadao.com.br/educacao-financeira/tesouro-educa-mais-tudo-sobre-o-titulo/?utm_source=twitter&amp;utm_medium=organic&amp;utm_campaign=tesouro-educa&amp;utm_content=materia</v>
      </c>
      <c r="Y3519" s="77" t="s">
        <v>6470</v>
      </c>
      <c r="Z3519" s="77"/>
      <c r="AA3519" s="77"/>
      <c r="AB3519" s="77"/>
      <c r="AC3519" s="82" t="s">
        <v>7754</v>
      </c>
      <c r="AD3519" s="77" t="s">
        <v>7788</v>
      </c>
      <c r="AE3519" s="80" t="str">
        <f>HYPERLINK("https://twitter.com/einvestidor/status/1686399784238632960")</f>
        <v>https://twitter.com/einvestidor/status/1686399784238632960</v>
      </c>
      <c r="AF3519" s="79">
        <v>45139.648321759261</v>
      </c>
      <c r="AG3519" s="85">
        <v>45139</v>
      </c>
      <c r="AH3519" s="82" t="s">
        <v>10068</v>
      </c>
      <c r="AI3519" s="77" t="b">
        <v>0</v>
      </c>
      <c r="AJ3519" s="77"/>
      <c r="AK3519" s="77"/>
      <c r="AL3519" s="77"/>
      <c r="AM3519" s="77"/>
      <c r="AN3519" s="77"/>
      <c r="AO3519" s="77"/>
      <c r="AP3519" s="77"/>
      <c r="AQ3519" s="77"/>
      <c r="AR3519" s="77"/>
      <c r="AS3519" s="77"/>
      <c r="AT3519" s="77"/>
      <c r="AU3519" s="77"/>
      <c r="AV3519" s="80" t="str">
        <f>HYPERLINK("https://pbs.twimg.com/profile_images/1241147984924082183/gZgx_hL-_normal.jpg")</f>
        <v>https://pbs.twimg.com/profile_images/1241147984924082183/gZgx_hL-_normal.jpg</v>
      </c>
      <c r="AW3519" s="82" t="s">
        <v>15115</v>
      </c>
      <c r="AX3519" s="82" t="s">
        <v>15115</v>
      </c>
      <c r="AY3519" s="77"/>
      <c r="AZ3519" s="82" t="s">
        <v>15984</v>
      </c>
      <c r="BA3519" s="82" t="s">
        <v>15984</v>
      </c>
      <c r="BB3519" s="82" t="s">
        <v>15984</v>
      </c>
      <c r="BC3519" s="82" t="s">
        <v>15115</v>
      </c>
      <c r="BD3519" s="82" t="s">
        <v>15979</v>
      </c>
      <c r="BE3519" s="77"/>
      <c r="BF3519" s="77"/>
      <c r="BG3519" s="77"/>
      <c r="BH3519" s="77"/>
      <c r="BI3519" s="77"/>
    </row>
    <row r="3520" spans="1:61" x14ac:dyDescent="0.25">
      <c r="A3520" s="62" t="s">
        <v>387</v>
      </c>
      <c r="B3520" s="62" t="s">
        <v>387</v>
      </c>
      <c r="C3520" s="63"/>
      <c r="D3520" s="64"/>
      <c r="E3520" s="65"/>
      <c r="F3520" s="66"/>
      <c r="G3520" s="63"/>
      <c r="H3520" s="67"/>
      <c r="I3520" s="68"/>
      <c r="J3520" s="68"/>
      <c r="K3520" s="32"/>
      <c r="L3520" s="75">
        <v>3520</v>
      </c>
      <c r="M3520" s="75"/>
      <c r="N3520" s="70"/>
      <c r="O3520" s="77" t="s">
        <v>179</v>
      </c>
      <c r="P3520" s="79">
        <v>45139.628055555557</v>
      </c>
      <c r="Q3520" s="77" t="s">
        <v>4190</v>
      </c>
      <c r="R3520" s="77">
        <v>0</v>
      </c>
      <c r="S3520" s="77">
        <v>1</v>
      </c>
      <c r="T3520" s="77">
        <v>0</v>
      </c>
      <c r="U3520" s="77">
        <v>0</v>
      </c>
      <c r="V3520" s="77">
        <v>415</v>
      </c>
      <c r="W3520" s="82" t="s">
        <v>4833</v>
      </c>
      <c r="X3520" s="80" t="str">
        <f>HYPERLINK("https://einvestidor.estadao.com.br/ultimas/avenue-reduz-aplicacao-minima-tesouro-americano/?utm_source=twitter&amp;utm_medium=organic&amp;utm_campaign=avenue&amp;utm_content=materia")</f>
        <v>https://einvestidor.estadao.com.br/ultimas/avenue-reduz-aplicacao-minima-tesouro-americano/?utm_source=twitter&amp;utm_medium=organic&amp;utm_campaign=avenue&amp;utm_content=materia</v>
      </c>
      <c r="Y3520" s="77" t="s">
        <v>6470</v>
      </c>
      <c r="Z3520" s="77"/>
      <c r="AA3520" s="77"/>
      <c r="AB3520" s="77"/>
      <c r="AC3520" s="82" t="s">
        <v>7754</v>
      </c>
      <c r="AD3520" s="77" t="s">
        <v>7788</v>
      </c>
      <c r="AE3520" s="80" t="str">
        <f>HYPERLINK("https://twitter.com/einvestidor/status/1686392443506442241")</f>
        <v>https://twitter.com/einvestidor/status/1686392443506442241</v>
      </c>
      <c r="AF3520" s="79">
        <v>45139.628055555557</v>
      </c>
      <c r="AG3520" s="85">
        <v>45139</v>
      </c>
      <c r="AH3520" s="82" t="s">
        <v>10069</v>
      </c>
      <c r="AI3520" s="77" t="b">
        <v>0</v>
      </c>
      <c r="AJ3520" s="77"/>
      <c r="AK3520" s="77"/>
      <c r="AL3520" s="77"/>
      <c r="AM3520" s="77"/>
      <c r="AN3520" s="77"/>
      <c r="AO3520" s="77"/>
      <c r="AP3520" s="77"/>
      <c r="AQ3520" s="77"/>
      <c r="AR3520" s="77"/>
      <c r="AS3520" s="77"/>
      <c r="AT3520" s="77"/>
      <c r="AU3520" s="77"/>
      <c r="AV3520" s="80" t="str">
        <f>HYPERLINK("https://pbs.twimg.com/profile_images/1241147984924082183/gZgx_hL-_normal.jpg")</f>
        <v>https://pbs.twimg.com/profile_images/1241147984924082183/gZgx_hL-_normal.jpg</v>
      </c>
      <c r="AW3520" s="82" t="s">
        <v>15116</v>
      </c>
      <c r="AX3520" s="82" t="s">
        <v>15116</v>
      </c>
      <c r="AY3520" s="77"/>
      <c r="AZ3520" s="82" t="s">
        <v>15984</v>
      </c>
      <c r="BA3520" s="82" t="s">
        <v>15984</v>
      </c>
      <c r="BB3520" s="82" t="s">
        <v>15984</v>
      </c>
      <c r="BC3520" s="82" t="s">
        <v>15116</v>
      </c>
      <c r="BD3520" s="82" t="s">
        <v>15979</v>
      </c>
      <c r="BE3520" s="77"/>
      <c r="BF3520" s="77"/>
      <c r="BG3520" s="77"/>
      <c r="BH3520" s="77"/>
      <c r="BI3520" s="77"/>
    </row>
    <row r="3521" spans="1:61" x14ac:dyDescent="0.25">
      <c r="A3521" s="62" t="s">
        <v>387</v>
      </c>
      <c r="B3521" s="62" t="s">
        <v>387</v>
      </c>
      <c r="C3521" s="63"/>
      <c r="D3521" s="64"/>
      <c r="E3521" s="65"/>
      <c r="F3521" s="66"/>
      <c r="G3521" s="63"/>
      <c r="H3521" s="67"/>
      <c r="I3521" s="68"/>
      <c r="J3521" s="68"/>
      <c r="K3521" s="32"/>
      <c r="L3521" s="75">
        <v>3521</v>
      </c>
      <c r="M3521" s="75"/>
      <c r="N3521" s="70"/>
      <c r="O3521" s="77" t="s">
        <v>179</v>
      </c>
      <c r="P3521" s="79">
        <v>45139.429849537039</v>
      </c>
      <c r="Q3521" s="77" t="s">
        <v>4191</v>
      </c>
      <c r="R3521" s="77">
        <v>0</v>
      </c>
      <c r="S3521" s="77">
        <v>3</v>
      </c>
      <c r="T3521" s="77">
        <v>0</v>
      </c>
      <c r="U3521" s="77">
        <v>0</v>
      </c>
      <c r="V3521" s="77">
        <v>589</v>
      </c>
      <c r="W3521" s="82" t="s">
        <v>6332</v>
      </c>
      <c r="X3521" s="80" t="str">
        <f>HYPERLINK("https://mla.bs/b069fd70")</f>
        <v>https://mla.bs/b069fd70</v>
      </c>
      <c r="Y3521" s="77" t="s">
        <v>6506</v>
      </c>
      <c r="Z3521" s="77"/>
      <c r="AA3521" s="77"/>
      <c r="AB3521" s="77"/>
      <c r="AC3521" s="82" t="s">
        <v>7750</v>
      </c>
      <c r="AD3521" s="77" t="s">
        <v>7788</v>
      </c>
      <c r="AE3521" s="80" t="str">
        <f>HYPERLINK("https://twitter.com/einvestidor/status/1686320613198061568")</f>
        <v>https://twitter.com/einvestidor/status/1686320613198061568</v>
      </c>
      <c r="AF3521" s="79">
        <v>45139.429849537039</v>
      </c>
      <c r="AG3521" s="85">
        <v>45139</v>
      </c>
      <c r="AH3521" s="82" t="s">
        <v>10070</v>
      </c>
      <c r="AI3521" s="77" t="b">
        <v>0</v>
      </c>
      <c r="AJ3521" s="77"/>
      <c r="AK3521" s="77"/>
      <c r="AL3521" s="77"/>
      <c r="AM3521" s="77"/>
      <c r="AN3521" s="77"/>
      <c r="AO3521" s="77"/>
      <c r="AP3521" s="77"/>
      <c r="AQ3521" s="77"/>
      <c r="AR3521" s="77"/>
      <c r="AS3521" s="77"/>
      <c r="AT3521" s="77"/>
      <c r="AU3521" s="77"/>
      <c r="AV3521" s="80" t="str">
        <f>HYPERLINK("https://pbs.twimg.com/profile_images/1241147984924082183/gZgx_hL-_normal.jpg")</f>
        <v>https://pbs.twimg.com/profile_images/1241147984924082183/gZgx_hL-_normal.jpg</v>
      </c>
      <c r="AW3521" s="82" t="s">
        <v>15117</v>
      </c>
      <c r="AX3521" s="82" t="s">
        <v>15117</v>
      </c>
      <c r="AY3521" s="77"/>
      <c r="AZ3521" s="82" t="s">
        <v>15984</v>
      </c>
      <c r="BA3521" s="82" t="s">
        <v>15984</v>
      </c>
      <c r="BB3521" s="82" t="s">
        <v>15984</v>
      </c>
      <c r="BC3521" s="82" t="s">
        <v>15117</v>
      </c>
      <c r="BD3521" s="82" t="s">
        <v>15979</v>
      </c>
      <c r="BE3521" s="77"/>
      <c r="BF3521" s="77"/>
      <c r="BG3521" s="77"/>
      <c r="BH3521" s="77"/>
      <c r="BI3521" s="77"/>
    </row>
    <row r="3522" spans="1:61" x14ac:dyDescent="0.25">
      <c r="A3522" s="62" t="s">
        <v>387</v>
      </c>
      <c r="B3522" s="62" t="s">
        <v>387</v>
      </c>
      <c r="C3522" s="63"/>
      <c r="D3522" s="64"/>
      <c r="E3522" s="65"/>
      <c r="F3522" s="66"/>
      <c r="G3522" s="63"/>
      <c r="H3522" s="67"/>
      <c r="I3522" s="68"/>
      <c r="J3522" s="68"/>
      <c r="K3522" s="32"/>
      <c r="L3522" s="75">
        <v>3522</v>
      </c>
      <c r="M3522" s="75"/>
      <c r="N3522" s="70"/>
      <c r="O3522" s="77" t="s">
        <v>179</v>
      </c>
      <c r="P3522" s="79">
        <v>45139.072916666664</v>
      </c>
      <c r="Q3522" s="77" t="s">
        <v>4192</v>
      </c>
      <c r="R3522" s="77">
        <v>0</v>
      </c>
      <c r="S3522" s="77">
        <v>3</v>
      </c>
      <c r="T3522" s="77">
        <v>0</v>
      </c>
      <c r="U3522" s="77">
        <v>0</v>
      </c>
      <c r="V3522" s="77">
        <v>988</v>
      </c>
      <c r="W3522" s="82" t="s">
        <v>5921</v>
      </c>
      <c r="X3522" s="80" t="str">
        <f>HYPERLINK("https://mla.bs/57ff540f")</f>
        <v>https://mla.bs/57ff540f</v>
      </c>
      <c r="Y3522" s="77" t="s">
        <v>6506</v>
      </c>
      <c r="Z3522" s="77"/>
      <c r="AA3522" s="77"/>
      <c r="AB3522" s="77"/>
      <c r="AC3522" s="82" t="s">
        <v>7754</v>
      </c>
      <c r="AD3522" s="77" t="s">
        <v>7788</v>
      </c>
      <c r="AE3522" s="80" t="str">
        <f>HYPERLINK("https://twitter.com/einvestidor/status/1686191265170235392")</f>
        <v>https://twitter.com/einvestidor/status/1686191265170235392</v>
      </c>
      <c r="AF3522" s="79">
        <v>45139.072916666664</v>
      </c>
      <c r="AG3522" s="85">
        <v>45139</v>
      </c>
      <c r="AH3522" s="82" t="s">
        <v>9599</v>
      </c>
      <c r="AI3522" s="77" t="b">
        <v>0</v>
      </c>
      <c r="AJ3522" s="77"/>
      <c r="AK3522" s="77"/>
      <c r="AL3522" s="77"/>
      <c r="AM3522" s="77"/>
      <c r="AN3522" s="77"/>
      <c r="AO3522" s="77"/>
      <c r="AP3522" s="77"/>
      <c r="AQ3522" s="77"/>
      <c r="AR3522" s="77"/>
      <c r="AS3522" s="77"/>
      <c r="AT3522" s="77"/>
      <c r="AU3522" s="77"/>
      <c r="AV3522" s="80" t="str">
        <f>HYPERLINK("https://pbs.twimg.com/profile_images/1241147984924082183/gZgx_hL-_normal.jpg")</f>
        <v>https://pbs.twimg.com/profile_images/1241147984924082183/gZgx_hL-_normal.jpg</v>
      </c>
      <c r="AW3522" s="82" t="s">
        <v>15118</v>
      </c>
      <c r="AX3522" s="82" t="s">
        <v>15118</v>
      </c>
      <c r="AY3522" s="77"/>
      <c r="AZ3522" s="82" t="s">
        <v>15984</v>
      </c>
      <c r="BA3522" s="82" t="s">
        <v>15984</v>
      </c>
      <c r="BB3522" s="82" t="s">
        <v>15984</v>
      </c>
      <c r="BC3522" s="82" t="s">
        <v>15118</v>
      </c>
      <c r="BD3522" s="82" t="s">
        <v>15979</v>
      </c>
      <c r="BE3522" s="77"/>
      <c r="BF3522" s="77"/>
      <c r="BG3522" s="77"/>
      <c r="BH3522" s="77"/>
      <c r="BI3522" s="77"/>
    </row>
    <row r="3523" spans="1:61" x14ac:dyDescent="0.25">
      <c r="A3523" s="62" t="s">
        <v>387</v>
      </c>
      <c r="B3523" s="62" t="s">
        <v>387</v>
      </c>
      <c r="C3523" s="63"/>
      <c r="D3523" s="64"/>
      <c r="E3523" s="65"/>
      <c r="F3523" s="66"/>
      <c r="G3523" s="63"/>
      <c r="H3523" s="67"/>
      <c r="I3523" s="68"/>
      <c r="J3523" s="68"/>
      <c r="K3523" s="32"/>
      <c r="L3523" s="75">
        <v>3523</v>
      </c>
      <c r="M3523" s="75"/>
      <c r="N3523" s="70"/>
      <c r="O3523" s="77" t="s">
        <v>179</v>
      </c>
      <c r="P3523" s="79">
        <v>45139.0625</v>
      </c>
      <c r="Q3523" s="77" t="s">
        <v>4193</v>
      </c>
      <c r="R3523" s="77">
        <v>0</v>
      </c>
      <c r="S3523" s="77">
        <v>1</v>
      </c>
      <c r="T3523" s="77">
        <v>0</v>
      </c>
      <c r="U3523" s="77">
        <v>0</v>
      </c>
      <c r="V3523" s="77">
        <v>748</v>
      </c>
      <c r="W3523" s="82" t="s">
        <v>5961</v>
      </c>
      <c r="X3523" s="80" t="str">
        <f>HYPERLINK("https://mla.bs/1f80360c")</f>
        <v>https://mla.bs/1f80360c</v>
      </c>
      <c r="Y3523" s="77" t="s">
        <v>6506</v>
      </c>
      <c r="Z3523" s="77"/>
      <c r="AA3523" s="77"/>
      <c r="AB3523" s="77"/>
      <c r="AC3523" s="82" t="s">
        <v>7754</v>
      </c>
      <c r="AD3523" s="77" t="s">
        <v>7788</v>
      </c>
      <c r="AE3523" s="80" t="str">
        <f>HYPERLINK("https://twitter.com/einvestidor/status/1686187491051646976")</f>
        <v>https://twitter.com/einvestidor/status/1686187491051646976</v>
      </c>
      <c r="AF3523" s="79">
        <v>45139.0625</v>
      </c>
      <c r="AG3523" s="85">
        <v>45139</v>
      </c>
      <c r="AH3523" s="82" t="s">
        <v>9600</v>
      </c>
      <c r="AI3523" s="77" t="b">
        <v>0</v>
      </c>
      <c r="AJ3523" s="77"/>
      <c r="AK3523" s="77"/>
      <c r="AL3523" s="77"/>
      <c r="AM3523" s="77"/>
      <c r="AN3523" s="77"/>
      <c r="AO3523" s="77"/>
      <c r="AP3523" s="77"/>
      <c r="AQ3523" s="77"/>
      <c r="AR3523" s="77"/>
      <c r="AS3523" s="77"/>
      <c r="AT3523" s="77"/>
      <c r="AU3523" s="77"/>
      <c r="AV3523" s="80" t="str">
        <f>HYPERLINK("https://pbs.twimg.com/profile_images/1241147984924082183/gZgx_hL-_normal.jpg")</f>
        <v>https://pbs.twimg.com/profile_images/1241147984924082183/gZgx_hL-_normal.jpg</v>
      </c>
      <c r="AW3523" s="82" t="s">
        <v>15119</v>
      </c>
      <c r="AX3523" s="82" t="s">
        <v>15119</v>
      </c>
      <c r="AY3523" s="77"/>
      <c r="AZ3523" s="82" t="s">
        <v>15984</v>
      </c>
      <c r="BA3523" s="82" t="s">
        <v>15984</v>
      </c>
      <c r="BB3523" s="82" t="s">
        <v>15984</v>
      </c>
      <c r="BC3523" s="82" t="s">
        <v>15119</v>
      </c>
      <c r="BD3523" s="82" t="s">
        <v>15979</v>
      </c>
      <c r="BE3523" s="77"/>
      <c r="BF3523" s="77"/>
      <c r="BG3523" s="77"/>
      <c r="BH3523" s="77"/>
      <c r="BI3523" s="77"/>
    </row>
    <row r="3524" spans="1:61" x14ac:dyDescent="0.25">
      <c r="A3524" s="62" t="s">
        <v>387</v>
      </c>
      <c r="B3524" s="62" t="s">
        <v>387</v>
      </c>
      <c r="C3524" s="63"/>
      <c r="D3524" s="64"/>
      <c r="E3524" s="65"/>
      <c r="F3524" s="66"/>
      <c r="G3524" s="63"/>
      <c r="H3524" s="67"/>
      <c r="I3524" s="68"/>
      <c r="J3524" s="68"/>
      <c r="K3524" s="32"/>
      <c r="L3524" s="75">
        <v>3524</v>
      </c>
      <c r="M3524" s="75"/>
      <c r="N3524" s="70"/>
      <c r="O3524" s="77" t="s">
        <v>179</v>
      </c>
      <c r="P3524" s="79">
        <v>45139.052083333336</v>
      </c>
      <c r="Q3524" s="77" t="s">
        <v>4194</v>
      </c>
      <c r="R3524" s="77">
        <v>0</v>
      </c>
      <c r="S3524" s="77">
        <v>2</v>
      </c>
      <c r="T3524" s="77">
        <v>0</v>
      </c>
      <c r="U3524" s="77">
        <v>0</v>
      </c>
      <c r="V3524" s="77">
        <v>910</v>
      </c>
      <c r="W3524" s="82" t="s">
        <v>4833</v>
      </c>
      <c r="X3524" s="80" t="str">
        <f>HYPERLINK("https://mla.bs/df9e9372")</f>
        <v>https://mla.bs/df9e9372</v>
      </c>
      <c r="Y3524" s="77" t="s">
        <v>6506</v>
      </c>
      <c r="Z3524" s="77"/>
      <c r="AA3524" s="77"/>
      <c r="AB3524" s="77"/>
      <c r="AC3524" s="82" t="s">
        <v>7754</v>
      </c>
      <c r="AD3524" s="77" t="s">
        <v>7788</v>
      </c>
      <c r="AE3524" s="80" t="str">
        <f>HYPERLINK("https://twitter.com/einvestidor/status/1686183715335200768")</f>
        <v>https://twitter.com/einvestidor/status/1686183715335200768</v>
      </c>
      <c r="AF3524" s="79">
        <v>45139.052083333336</v>
      </c>
      <c r="AG3524" s="85">
        <v>45139</v>
      </c>
      <c r="AH3524" s="82" t="s">
        <v>9297</v>
      </c>
      <c r="AI3524" s="77" t="b">
        <v>0</v>
      </c>
      <c r="AJ3524" s="77"/>
      <c r="AK3524" s="77"/>
      <c r="AL3524" s="77"/>
      <c r="AM3524" s="77"/>
      <c r="AN3524" s="77"/>
      <c r="AO3524" s="77"/>
      <c r="AP3524" s="77"/>
      <c r="AQ3524" s="77"/>
      <c r="AR3524" s="77"/>
      <c r="AS3524" s="77"/>
      <c r="AT3524" s="77"/>
      <c r="AU3524" s="77"/>
      <c r="AV3524" s="80" t="str">
        <f>HYPERLINK("https://pbs.twimg.com/profile_images/1241147984924082183/gZgx_hL-_normal.jpg")</f>
        <v>https://pbs.twimg.com/profile_images/1241147984924082183/gZgx_hL-_normal.jpg</v>
      </c>
      <c r="AW3524" s="82" t="s">
        <v>15120</v>
      </c>
      <c r="AX3524" s="82" t="s">
        <v>15120</v>
      </c>
      <c r="AY3524" s="77"/>
      <c r="AZ3524" s="82" t="s">
        <v>15984</v>
      </c>
      <c r="BA3524" s="82" t="s">
        <v>15984</v>
      </c>
      <c r="BB3524" s="82" t="s">
        <v>15984</v>
      </c>
      <c r="BC3524" s="82" t="s">
        <v>15120</v>
      </c>
      <c r="BD3524" s="82" t="s">
        <v>15979</v>
      </c>
      <c r="BE3524" s="77"/>
      <c r="BF3524" s="77"/>
      <c r="BG3524" s="77"/>
      <c r="BH3524" s="77"/>
      <c r="BI3524" s="77"/>
    </row>
    <row r="3525" spans="1:61" x14ac:dyDescent="0.25">
      <c r="A3525" s="62" t="s">
        <v>387</v>
      </c>
      <c r="B3525" s="62" t="s">
        <v>387</v>
      </c>
      <c r="C3525" s="63"/>
      <c r="D3525" s="64"/>
      <c r="E3525" s="65"/>
      <c r="F3525" s="66"/>
      <c r="G3525" s="63"/>
      <c r="H3525" s="67"/>
      <c r="I3525" s="68"/>
      <c r="J3525" s="68"/>
      <c r="K3525" s="32"/>
      <c r="L3525" s="75">
        <v>3525</v>
      </c>
      <c r="M3525" s="75"/>
      <c r="N3525" s="70"/>
      <c r="O3525" s="77" t="s">
        <v>179</v>
      </c>
      <c r="P3525" s="79">
        <v>45139.041666666664</v>
      </c>
      <c r="Q3525" s="77" t="s">
        <v>4195</v>
      </c>
      <c r="R3525" s="77">
        <v>0</v>
      </c>
      <c r="S3525" s="77">
        <v>3</v>
      </c>
      <c r="T3525" s="77">
        <v>0</v>
      </c>
      <c r="U3525" s="77">
        <v>0</v>
      </c>
      <c r="V3525" s="77">
        <v>1205</v>
      </c>
      <c r="W3525" s="82" t="s">
        <v>4833</v>
      </c>
      <c r="X3525" s="80" t="str">
        <f>HYPERLINK("https://mla.bs/3e20db82")</f>
        <v>https://mla.bs/3e20db82</v>
      </c>
      <c r="Y3525" s="77" t="s">
        <v>6506</v>
      </c>
      <c r="Z3525" s="77"/>
      <c r="AA3525" s="77"/>
      <c r="AB3525" s="77"/>
      <c r="AC3525" s="82" t="s">
        <v>7754</v>
      </c>
      <c r="AD3525" s="77" t="s">
        <v>7788</v>
      </c>
      <c r="AE3525" s="80" t="str">
        <f>HYPERLINK("https://twitter.com/einvestidor/status/1686179940499435520")</f>
        <v>https://twitter.com/einvestidor/status/1686179940499435520</v>
      </c>
      <c r="AF3525" s="79">
        <v>45139.041666666664</v>
      </c>
      <c r="AG3525" s="85">
        <v>45139</v>
      </c>
      <c r="AH3525" s="82" t="s">
        <v>8283</v>
      </c>
      <c r="AI3525" s="77" t="b">
        <v>0</v>
      </c>
      <c r="AJ3525" s="77"/>
      <c r="AK3525" s="77"/>
      <c r="AL3525" s="77"/>
      <c r="AM3525" s="77"/>
      <c r="AN3525" s="77"/>
      <c r="AO3525" s="77"/>
      <c r="AP3525" s="77"/>
      <c r="AQ3525" s="77"/>
      <c r="AR3525" s="77"/>
      <c r="AS3525" s="77"/>
      <c r="AT3525" s="77"/>
      <c r="AU3525" s="77"/>
      <c r="AV3525" s="80" t="str">
        <f>HYPERLINK("https://pbs.twimg.com/profile_images/1241147984924082183/gZgx_hL-_normal.jpg")</f>
        <v>https://pbs.twimg.com/profile_images/1241147984924082183/gZgx_hL-_normal.jpg</v>
      </c>
      <c r="AW3525" s="82" t="s">
        <v>15121</v>
      </c>
      <c r="AX3525" s="82" t="s">
        <v>15121</v>
      </c>
      <c r="AY3525" s="77"/>
      <c r="AZ3525" s="82" t="s">
        <v>15984</v>
      </c>
      <c r="BA3525" s="82" t="s">
        <v>15984</v>
      </c>
      <c r="BB3525" s="82" t="s">
        <v>15984</v>
      </c>
      <c r="BC3525" s="82" t="s">
        <v>15121</v>
      </c>
      <c r="BD3525" s="82" t="s">
        <v>15979</v>
      </c>
      <c r="BE3525" s="77"/>
      <c r="BF3525" s="77"/>
      <c r="BG3525" s="77"/>
      <c r="BH3525" s="77"/>
      <c r="BI3525" s="77"/>
    </row>
    <row r="3526" spans="1:61" x14ac:dyDescent="0.25">
      <c r="A3526" s="62" t="s">
        <v>387</v>
      </c>
      <c r="B3526" s="62" t="s">
        <v>387</v>
      </c>
      <c r="C3526" s="63"/>
      <c r="D3526" s="64"/>
      <c r="E3526" s="65"/>
      <c r="F3526" s="66"/>
      <c r="G3526" s="63"/>
      <c r="H3526" s="67"/>
      <c r="I3526" s="68"/>
      <c r="J3526" s="68"/>
      <c r="K3526" s="32"/>
      <c r="L3526" s="75">
        <v>3526</v>
      </c>
      <c r="M3526" s="75"/>
      <c r="N3526" s="70"/>
      <c r="O3526" s="77" t="s">
        <v>179</v>
      </c>
      <c r="P3526" s="79">
        <v>45139.03125</v>
      </c>
      <c r="Q3526" s="77" t="s">
        <v>4196</v>
      </c>
      <c r="R3526" s="77">
        <v>0</v>
      </c>
      <c r="S3526" s="77">
        <v>1</v>
      </c>
      <c r="T3526" s="77">
        <v>0</v>
      </c>
      <c r="U3526" s="77">
        <v>0</v>
      </c>
      <c r="V3526" s="77">
        <v>820</v>
      </c>
      <c r="W3526" s="82" t="s">
        <v>4833</v>
      </c>
      <c r="X3526" s="80" t="str">
        <f>HYPERLINK("https://mla.bs/761b3206")</f>
        <v>https://mla.bs/761b3206</v>
      </c>
      <c r="Y3526" s="77" t="s">
        <v>6506</v>
      </c>
      <c r="Z3526" s="77"/>
      <c r="AA3526" s="77"/>
      <c r="AB3526" s="77"/>
      <c r="AC3526" s="82" t="s">
        <v>7754</v>
      </c>
      <c r="AD3526" s="77" t="s">
        <v>7788</v>
      </c>
      <c r="AE3526" s="80" t="str">
        <f>HYPERLINK("https://twitter.com/einvestidor/status/1686176165646503936")</f>
        <v>https://twitter.com/einvestidor/status/1686176165646503936</v>
      </c>
      <c r="AF3526" s="79">
        <v>45139.03125</v>
      </c>
      <c r="AG3526" s="85">
        <v>45139</v>
      </c>
      <c r="AH3526" s="82" t="s">
        <v>9602</v>
      </c>
      <c r="AI3526" s="77" t="b">
        <v>0</v>
      </c>
      <c r="AJ3526" s="77"/>
      <c r="AK3526" s="77"/>
      <c r="AL3526" s="77"/>
      <c r="AM3526" s="77"/>
      <c r="AN3526" s="77"/>
      <c r="AO3526" s="77"/>
      <c r="AP3526" s="77"/>
      <c r="AQ3526" s="77"/>
      <c r="AR3526" s="77"/>
      <c r="AS3526" s="77"/>
      <c r="AT3526" s="77"/>
      <c r="AU3526" s="77"/>
      <c r="AV3526" s="80" t="str">
        <f>HYPERLINK("https://pbs.twimg.com/profile_images/1241147984924082183/gZgx_hL-_normal.jpg")</f>
        <v>https://pbs.twimg.com/profile_images/1241147984924082183/gZgx_hL-_normal.jpg</v>
      </c>
      <c r="AW3526" s="82" t="s">
        <v>15122</v>
      </c>
      <c r="AX3526" s="82" t="s">
        <v>15122</v>
      </c>
      <c r="AY3526" s="77"/>
      <c r="AZ3526" s="82" t="s">
        <v>15984</v>
      </c>
      <c r="BA3526" s="82" t="s">
        <v>15984</v>
      </c>
      <c r="BB3526" s="82" t="s">
        <v>15984</v>
      </c>
      <c r="BC3526" s="82" t="s">
        <v>15122</v>
      </c>
      <c r="BD3526" s="82" t="s">
        <v>15979</v>
      </c>
      <c r="BE3526" s="77"/>
      <c r="BF3526" s="77"/>
      <c r="BG3526" s="77"/>
      <c r="BH3526" s="77"/>
      <c r="BI3526" s="77"/>
    </row>
    <row r="3527" spans="1:61" x14ac:dyDescent="0.25">
      <c r="A3527" s="62" t="s">
        <v>387</v>
      </c>
      <c r="B3527" s="62" t="s">
        <v>387</v>
      </c>
      <c r="C3527" s="63"/>
      <c r="D3527" s="64"/>
      <c r="E3527" s="65"/>
      <c r="F3527" s="66"/>
      <c r="G3527" s="63"/>
      <c r="H3527" s="67"/>
      <c r="I3527" s="68"/>
      <c r="J3527" s="68"/>
      <c r="K3527" s="32"/>
      <c r="L3527" s="75">
        <v>3527</v>
      </c>
      <c r="M3527" s="75"/>
      <c r="N3527" s="70"/>
      <c r="O3527" s="77" t="s">
        <v>179</v>
      </c>
      <c r="P3527" s="79">
        <v>45139.020833333336</v>
      </c>
      <c r="Q3527" s="77" t="s">
        <v>4197</v>
      </c>
      <c r="R3527" s="77">
        <v>1</v>
      </c>
      <c r="S3527" s="77">
        <v>1</v>
      </c>
      <c r="T3527" s="77">
        <v>0</v>
      </c>
      <c r="U3527" s="77">
        <v>0</v>
      </c>
      <c r="V3527" s="77">
        <v>697</v>
      </c>
      <c r="W3527" s="82" t="s">
        <v>4833</v>
      </c>
      <c r="X3527" s="80" t="str">
        <f>HYPERLINK("https://mla.bs/5f24016b")</f>
        <v>https://mla.bs/5f24016b</v>
      </c>
      <c r="Y3527" s="77" t="s">
        <v>6506</v>
      </c>
      <c r="Z3527" s="77"/>
      <c r="AA3527" s="77"/>
      <c r="AB3527" s="77"/>
      <c r="AC3527" s="82" t="s">
        <v>7754</v>
      </c>
      <c r="AD3527" s="77" t="s">
        <v>7788</v>
      </c>
      <c r="AE3527" s="80" t="str">
        <f>HYPERLINK("https://twitter.com/einvestidor/status/1686172391448461318")</f>
        <v>https://twitter.com/einvestidor/status/1686172391448461318</v>
      </c>
      <c r="AF3527" s="79">
        <v>45139.020833333336</v>
      </c>
      <c r="AG3527" s="85">
        <v>45139</v>
      </c>
      <c r="AH3527" s="82" t="s">
        <v>8088</v>
      </c>
      <c r="AI3527" s="77" t="b">
        <v>0</v>
      </c>
      <c r="AJ3527" s="77"/>
      <c r="AK3527" s="77"/>
      <c r="AL3527" s="77"/>
      <c r="AM3527" s="77"/>
      <c r="AN3527" s="77"/>
      <c r="AO3527" s="77"/>
      <c r="AP3527" s="77"/>
      <c r="AQ3527" s="77"/>
      <c r="AR3527" s="77"/>
      <c r="AS3527" s="77"/>
      <c r="AT3527" s="77"/>
      <c r="AU3527" s="77"/>
      <c r="AV3527" s="80" t="str">
        <f>HYPERLINK("https://pbs.twimg.com/profile_images/1241147984924082183/gZgx_hL-_normal.jpg")</f>
        <v>https://pbs.twimg.com/profile_images/1241147984924082183/gZgx_hL-_normal.jpg</v>
      </c>
      <c r="AW3527" s="82" t="s">
        <v>15123</v>
      </c>
      <c r="AX3527" s="82" t="s">
        <v>15123</v>
      </c>
      <c r="AY3527" s="77"/>
      <c r="AZ3527" s="82" t="s">
        <v>15984</v>
      </c>
      <c r="BA3527" s="82" t="s">
        <v>15984</v>
      </c>
      <c r="BB3527" s="82" t="s">
        <v>15984</v>
      </c>
      <c r="BC3527" s="82" t="s">
        <v>15123</v>
      </c>
      <c r="BD3527" s="82" t="s">
        <v>15979</v>
      </c>
      <c r="BE3527" s="77"/>
      <c r="BF3527" s="77"/>
      <c r="BG3527" s="77"/>
      <c r="BH3527" s="77"/>
      <c r="BI3527" s="77"/>
    </row>
    <row r="3528" spans="1:61" x14ac:dyDescent="0.25">
      <c r="A3528" s="62" t="s">
        <v>387</v>
      </c>
      <c r="B3528" s="62" t="s">
        <v>387</v>
      </c>
      <c r="C3528" s="63"/>
      <c r="D3528" s="64"/>
      <c r="E3528" s="65"/>
      <c r="F3528" s="66"/>
      <c r="G3528" s="63"/>
      <c r="H3528" s="67"/>
      <c r="I3528" s="68"/>
      <c r="J3528" s="68"/>
      <c r="K3528" s="32"/>
      <c r="L3528" s="75">
        <v>3528</v>
      </c>
      <c r="M3528" s="75"/>
      <c r="N3528" s="70"/>
      <c r="O3528" s="77" t="s">
        <v>179</v>
      </c>
      <c r="P3528" s="79">
        <v>45139.010416666664</v>
      </c>
      <c r="Q3528" s="77" t="s">
        <v>4198</v>
      </c>
      <c r="R3528" s="77">
        <v>0</v>
      </c>
      <c r="S3528" s="77">
        <v>1</v>
      </c>
      <c r="T3528" s="77">
        <v>0</v>
      </c>
      <c r="U3528" s="77">
        <v>0</v>
      </c>
      <c r="V3528" s="77">
        <v>705</v>
      </c>
      <c r="W3528" s="82" t="s">
        <v>4833</v>
      </c>
      <c r="X3528" s="80" t="str">
        <f>HYPERLINK("https://mla.bs/f5c63057")</f>
        <v>https://mla.bs/f5c63057</v>
      </c>
      <c r="Y3528" s="77" t="s">
        <v>6506</v>
      </c>
      <c r="Z3528" s="77"/>
      <c r="AA3528" s="77"/>
      <c r="AB3528" s="77"/>
      <c r="AC3528" s="82" t="s">
        <v>7754</v>
      </c>
      <c r="AD3528" s="77" t="s">
        <v>7788</v>
      </c>
      <c r="AE3528" s="80" t="str">
        <f>HYPERLINK("https://twitter.com/einvestidor/status/1686168615882477568")</f>
        <v>https://twitter.com/einvestidor/status/1686168615882477568</v>
      </c>
      <c r="AF3528" s="79">
        <v>45139.010416666664</v>
      </c>
      <c r="AG3528" s="85">
        <v>45139</v>
      </c>
      <c r="AH3528" s="82" t="s">
        <v>8119</v>
      </c>
      <c r="AI3528" s="77" t="b">
        <v>0</v>
      </c>
      <c r="AJ3528" s="77"/>
      <c r="AK3528" s="77"/>
      <c r="AL3528" s="77"/>
      <c r="AM3528" s="77"/>
      <c r="AN3528" s="77"/>
      <c r="AO3528" s="77"/>
      <c r="AP3528" s="77"/>
      <c r="AQ3528" s="77"/>
      <c r="AR3528" s="77"/>
      <c r="AS3528" s="77"/>
      <c r="AT3528" s="77"/>
      <c r="AU3528" s="77"/>
      <c r="AV3528" s="80" t="str">
        <f>HYPERLINK("https://pbs.twimg.com/profile_images/1241147984924082183/gZgx_hL-_normal.jpg")</f>
        <v>https://pbs.twimg.com/profile_images/1241147984924082183/gZgx_hL-_normal.jpg</v>
      </c>
      <c r="AW3528" s="82" t="s">
        <v>15124</v>
      </c>
      <c r="AX3528" s="82" t="s">
        <v>15124</v>
      </c>
      <c r="AY3528" s="77"/>
      <c r="AZ3528" s="82" t="s">
        <v>15984</v>
      </c>
      <c r="BA3528" s="82" t="s">
        <v>15984</v>
      </c>
      <c r="BB3528" s="82" t="s">
        <v>15984</v>
      </c>
      <c r="BC3528" s="82" t="s">
        <v>15124</v>
      </c>
      <c r="BD3528" s="82" t="s">
        <v>15979</v>
      </c>
      <c r="BE3528" s="77"/>
      <c r="BF3528" s="77"/>
      <c r="BG3528" s="77"/>
      <c r="BH3528" s="77"/>
      <c r="BI3528" s="77"/>
    </row>
    <row r="3529" spans="1:61" x14ac:dyDescent="0.25">
      <c r="A3529" s="62" t="s">
        <v>387</v>
      </c>
      <c r="B3529" s="62" t="s">
        <v>387</v>
      </c>
      <c r="C3529" s="63"/>
      <c r="D3529" s="64"/>
      <c r="E3529" s="65"/>
      <c r="F3529" s="66"/>
      <c r="G3529" s="63"/>
      <c r="H3529" s="67"/>
      <c r="I3529" s="68"/>
      <c r="J3529" s="68"/>
      <c r="K3529" s="32"/>
      <c r="L3529" s="75">
        <v>3529</v>
      </c>
      <c r="M3529" s="75"/>
      <c r="N3529" s="70"/>
      <c r="O3529" s="77" t="s">
        <v>179</v>
      </c>
      <c r="P3529" s="79">
        <v>45139.000011574077</v>
      </c>
      <c r="Q3529" s="77" t="s">
        <v>4199</v>
      </c>
      <c r="R3529" s="77">
        <v>1</v>
      </c>
      <c r="S3529" s="77">
        <v>3</v>
      </c>
      <c r="T3529" s="77">
        <v>0</v>
      </c>
      <c r="U3529" s="77">
        <v>0</v>
      </c>
      <c r="V3529" s="77">
        <v>814</v>
      </c>
      <c r="W3529" s="82" t="s">
        <v>5961</v>
      </c>
      <c r="X3529" s="80" t="str">
        <f>HYPERLINK("https://mla.bs/2a2493b6")</f>
        <v>https://mla.bs/2a2493b6</v>
      </c>
      <c r="Y3529" s="77" t="s">
        <v>6506</v>
      </c>
      <c r="Z3529" s="77"/>
      <c r="AA3529" s="77"/>
      <c r="AB3529" s="77"/>
      <c r="AC3529" s="82" t="s">
        <v>7754</v>
      </c>
      <c r="AD3529" s="77" t="s">
        <v>7788</v>
      </c>
      <c r="AE3529" s="80" t="str">
        <f>HYPERLINK("https://twitter.com/einvestidor/status/1686164844645605376")</f>
        <v>https://twitter.com/einvestidor/status/1686164844645605376</v>
      </c>
      <c r="AF3529" s="79">
        <v>45139.000011574077</v>
      </c>
      <c r="AG3529" s="85">
        <v>45139</v>
      </c>
      <c r="AH3529" s="82" t="s">
        <v>7883</v>
      </c>
      <c r="AI3529" s="77" t="b">
        <v>0</v>
      </c>
      <c r="AJ3529" s="77"/>
      <c r="AK3529" s="77"/>
      <c r="AL3529" s="77"/>
      <c r="AM3529" s="77"/>
      <c r="AN3529" s="77"/>
      <c r="AO3529" s="77"/>
      <c r="AP3529" s="77"/>
      <c r="AQ3529" s="77"/>
      <c r="AR3529" s="77"/>
      <c r="AS3529" s="77"/>
      <c r="AT3529" s="77"/>
      <c r="AU3529" s="77"/>
      <c r="AV3529" s="80" t="str">
        <f>HYPERLINK("https://pbs.twimg.com/profile_images/1241147984924082183/gZgx_hL-_normal.jpg")</f>
        <v>https://pbs.twimg.com/profile_images/1241147984924082183/gZgx_hL-_normal.jpg</v>
      </c>
      <c r="AW3529" s="82" t="s">
        <v>15125</v>
      </c>
      <c r="AX3529" s="82" t="s">
        <v>15125</v>
      </c>
      <c r="AY3529" s="77"/>
      <c r="AZ3529" s="82" t="s">
        <v>15984</v>
      </c>
      <c r="BA3529" s="82" t="s">
        <v>15984</v>
      </c>
      <c r="BB3529" s="82" t="s">
        <v>15984</v>
      </c>
      <c r="BC3529" s="82" t="s">
        <v>15125</v>
      </c>
      <c r="BD3529" s="82" t="s">
        <v>15979</v>
      </c>
      <c r="BE3529" s="77"/>
      <c r="BF3529" s="77"/>
      <c r="BG3529" s="77"/>
      <c r="BH3529" s="77"/>
      <c r="BI3529" s="77"/>
    </row>
    <row r="3530" spans="1:61" x14ac:dyDescent="0.25">
      <c r="A3530" s="62" t="s">
        <v>387</v>
      </c>
      <c r="B3530" s="62" t="s">
        <v>387</v>
      </c>
      <c r="C3530" s="63"/>
      <c r="D3530" s="64"/>
      <c r="E3530" s="65"/>
      <c r="F3530" s="66"/>
      <c r="G3530" s="63"/>
      <c r="H3530" s="67"/>
      <c r="I3530" s="68"/>
      <c r="J3530" s="68"/>
      <c r="K3530" s="32"/>
      <c r="L3530" s="75">
        <v>3530</v>
      </c>
      <c r="M3530" s="75"/>
      <c r="N3530" s="70"/>
      <c r="O3530" s="77" t="s">
        <v>179</v>
      </c>
      <c r="P3530" s="79">
        <v>45138.989583333336</v>
      </c>
      <c r="Q3530" s="77" t="s">
        <v>4200</v>
      </c>
      <c r="R3530" s="77">
        <v>0</v>
      </c>
      <c r="S3530" s="77">
        <v>0</v>
      </c>
      <c r="T3530" s="77">
        <v>0</v>
      </c>
      <c r="U3530" s="77">
        <v>0</v>
      </c>
      <c r="V3530" s="77">
        <v>678</v>
      </c>
      <c r="W3530" s="82" t="s">
        <v>6181</v>
      </c>
      <c r="X3530" s="80" t="str">
        <f>HYPERLINK("https://mla.bs/4fd09f8b")</f>
        <v>https://mla.bs/4fd09f8b</v>
      </c>
      <c r="Y3530" s="77" t="s">
        <v>6506</v>
      </c>
      <c r="Z3530" s="77"/>
      <c r="AA3530" s="77"/>
      <c r="AB3530" s="77"/>
      <c r="AC3530" s="82" t="s">
        <v>7754</v>
      </c>
      <c r="AD3530" s="77" t="s">
        <v>7788</v>
      </c>
      <c r="AE3530" s="80" t="str">
        <f>HYPERLINK("https://twitter.com/einvestidor/status/1686161066211098636")</f>
        <v>https://twitter.com/einvestidor/status/1686161066211098636</v>
      </c>
      <c r="AF3530" s="79">
        <v>45138.989583333336</v>
      </c>
      <c r="AG3530" s="85">
        <v>45138</v>
      </c>
      <c r="AH3530" s="82" t="s">
        <v>9620</v>
      </c>
      <c r="AI3530" s="77" t="b">
        <v>0</v>
      </c>
      <c r="AJ3530" s="77"/>
      <c r="AK3530" s="77"/>
      <c r="AL3530" s="77"/>
      <c r="AM3530" s="77"/>
      <c r="AN3530" s="77"/>
      <c r="AO3530" s="77"/>
      <c r="AP3530" s="77"/>
      <c r="AQ3530" s="77"/>
      <c r="AR3530" s="77"/>
      <c r="AS3530" s="77"/>
      <c r="AT3530" s="77"/>
      <c r="AU3530" s="77"/>
      <c r="AV3530" s="80" t="str">
        <f>HYPERLINK("https://pbs.twimg.com/profile_images/1241147984924082183/gZgx_hL-_normal.jpg")</f>
        <v>https://pbs.twimg.com/profile_images/1241147984924082183/gZgx_hL-_normal.jpg</v>
      </c>
      <c r="AW3530" s="82" t="s">
        <v>15126</v>
      </c>
      <c r="AX3530" s="82" t="s">
        <v>15126</v>
      </c>
      <c r="AY3530" s="77"/>
      <c r="AZ3530" s="82" t="s">
        <v>15984</v>
      </c>
      <c r="BA3530" s="82" t="s">
        <v>15984</v>
      </c>
      <c r="BB3530" s="82" t="s">
        <v>15984</v>
      </c>
      <c r="BC3530" s="82" t="s">
        <v>15126</v>
      </c>
      <c r="BD3530" s="82" t="s">
        <v>15979</v>
      </c>
      <c r="BE3530" s="77"/>
      <c r="BF3530" s="77"/>
      <c r="BG3530" s="77"/>
      <c r="BH3530" s="77"/>
      <c r="BI3530" s="77"/>
    </row>
    <row r="3531" spans="1:61" x14ac:dyDescent="0.25">
      <c r="A3531" s="62" t="s">
        <v>387</v>
      </c>
      <c r="B3531" s="62" t="s">
        <v>387</v>
      </c>
      <c r="C3531" s="63"/>
      <c r="D3531" s="64"/>
      <c r="E3531" s="65"/>
      <c r="F3531" s="66"/>
      <c r="G3531" s="63"/>
      <c r="H3531" s="67"/>
      <c r="I3531" s="68"/>
      <c r="J3531" s="68"/>
      <c r="K3531" s="32"/>
      <c r="L3531" s="75">
        <v>3531</v>
      </c>
      <c r="M3531" s="75"/>
      <c r="N3531" s="70"/>
      <c r="O3531" s="77" t="s">
        <v>179</v>
      </c>
      <c r="P3531" s="79">
        <v>45138.979166666664</v>
      </c>
      <c r="Q3531" s="77" t="s">
        <v>4201</v>
      </c>
      <c r="R3531" s="77">
        <v>0</v>
      </c>
      <c r="S3531" s="77">
        <v>0</v>
      </c>
      <c r="T3531" s="77">
        <v>0</v>
      </c>
      <c r="U3531" s="77">
        <v>0</v>
      </c>
      <c r="V3531" s="77">
        <v>668</v>
      </c>
      <c r="W3531" s="82" t="s">
        <v>4833</v>
      </c>
      <c r="X3531" s="80" t="str">
        <f>HYPERLINK("https://mla.bs/f299720a")</f>
        <v>https://mla.bs/f299720a</v>
      </c>
      <c r="Y3531" s="77" t="s">
        <v>6506</v>
      </c>
      <c r="Z3531" s="77"/>
      <c r="AA3531" s="77"/>
      <c r="AB3531" s="77"/>
      <c r="AC3531" s="82" t="s">
        <v>7754</v>
      </c>
      <c r="AD3531" s="77" t="s">
        <v>7788</v>
      </c>
      <c r="AE3531" s="80" t="str">
        <f>HYPERLINK("https://twitter.com/einvestidor/status/1686157293120020481")</f>
        <v>https://twitter.com/einvestidor/status/1686157293120020481</v>
      </c>
      <c r="AF3531" s="79">
        <v>45138.979166666664</v>
      </c>
      <c r="AG3531" s="85">
        <v>45138</v>
      </c>
      <c r="AH3531" s="82" t="s">
        <v>7928</v>
      </c>
      <c r="AI3531" s="77" t="b">
        <v>0</v>
      </c>
      <c r="AJ3531" s="77"/>
      <c r="AK3531" s="77"/>
      <c r="AL3531" s="77"/>
      <c r="AM3531" s="77"/>
      <c r="AN3531" s="77"/>
      <c r="AO3531" s="77"/>
      <c r="AP3531" s="77"/>
      <c r="AQ3531" s="77"/>
      <c r="AR3531" s="77"/>
      <c r="AS3531" s="77"/>
      <c r="AT3531" s="77"/>
      <c r="AU3531" s="77"/>
      <c r="AV3531" s="80" t="str">
        <f>HYPERLINK("https://pbs.twimg.com/profile_images/1241147984924082183/gZgx_hL-_normal.jpg")</f>
        <v>https://pbs.twimg.com/profile_images/1241147984924082183/gZgx_hL-_normal.jpg</v>
      </c>
      <c r="AW3531" s="82" t="s">
        <v>15127</v>
      </c>
      <c r="AX3531" s="82" t="s">
        <v>15127</v>
      </c>
      <c r="AY3531" s="77"/>
      <c r="AZ3531" s="82" t="s">
        <v>15984</v>
      </c>
      <c r="BA3531" s="82" t="s">
        <v>15984</v>
      </c>
      <c r="BB3531" s="82" t="s">
        <v>15984</v>
      </c>
      <c r="BC3531" s="82" t="s">
        <v>15127</v>
      </c>
      <c r="BD3531" s="82" t="s">
        <v>15979</v>
      </c>
      <c r="BE3531" s="77"/>
      <c r="BF3531" s="77"/>
      <c r="BG3531" s="77"/>
      <c r="BH3531" s="77"/>
      <c r="BI3531" s="77"/>
    </row>
    <row r="3532" spans="1:61" x14ac:dyDescent="0.25">
      <c r="A3532" s="62" t="s">
        <v>387</v>
      </c>
      <c r="B3532" s="62" t="s">
        <v>387</v>
      </c>
      <c r="C3532" s="63"/>
      <c r="D3532" s="64"/>
      <c r="E3532" s="65"/>
      <c r="F3532" s="66"/>
      <c r="G3532" s="63"/>
      <c r="H3532" s="67"/>
      <c r="I3532" s="68"/>
      <c r="J3532" s="68"/>
      <c r="K3532" s="32"/>
      <c r="L3532" s="75">
        <v>3532</v>
      </c>
      <c r="M3532" s="75"/>
      <c r="N3532" s="70"/>
      <c r="O3532" s="77" t="s">
        <v>179</v>
      </c>
      <c r="P3532" s="79">
        <v>45138.96875</v>
      </c>
      <c r="Q3532" s="77" t="s">
        <v>4202</v>
      </c>
      <c r="R3532" s="77">
        <v>0</v>
      </c>
      <c r="S3532" s="77">
        <v>1</v>
      </c>
      <c r="T3532" s="77">
        <v>0</v>
      </c>
      <c r="U3532" s="77">
        <v>0</v>
      </c>
      <c r="V3532" s="77">
        <v>728</v>
      </c>
      <c r="W3532" s="82" t="s">
        <v>4833</v>
      </c>
      <c r="X3532" s="80" t="str">
        <f>HYPERLINK("https://mla.bs/d77554a7")</f>
        <v>https://mla.bs/d77554a7</v>
      </c>
      <c r="Y3532" s="77" t="s">
        <v>6506</v>
      </c>
      <c r="Z3532" s="77"/>
      <c r="AA3532" s="77"/>
      <c r="AB3532" s="77"/>
      <c r="AC3532" s="82" t="s">
        <v>7754</v>
      </c>
      <c r="AD3532" s="77" t="s">
        <v>7788</v>
      </c>
      <c r="AE3532" s="80" t="str">
        <f>HYPERLINK("https://twitter.com/einvestidor/status/1686153516434538503")</f>
        <v>https://twitter.com/einvestidor/status/1686153516434538503</v>
      </c>
      <c r="AF3532" s="79">
        <v>45138.96875</v>
      </c>
      <c r="AG3532" s="85">
        <v>45138</v>
      </c>
      <c r="AH3532" s="82" t="s">
        <v>9621</v>
      </c>
      <c r="AI3532" s="77" t="b">
        <v>0</v>
      </c>
      <c r="AJ3532" s="77"/>
      <c r="AK3532" s="77"/>
      <c r="AL3532" s="77"/>
      <c r="AM3532" s="77"/>
      <c r="AN3532" s="77"/>
      <c r="AO3532" s="77"/>
      <c r="AP3532" s="77"/>
      <c r="AQ3532" s="77"/>
      <c r="AR3532" s="77"/>
      <c r="AS3532" s="77"/>
      <c r="AT3532" s="77"/>
      <c r="AU3532" s="77"/>
      <c r="AV3532" s="80" t="str">
        <f>HYPERLINK("https://pbs.twimg.com/profile_images/1241147984924082183/gZgx_hL-_normal.jpg")</f>
        <v>https://pbs.twimg.com/profile_images/1241147984924082183/gZgx_hL-_normal.jpg</v>
      </c>
      <c r="AW3532" s="82" t="s">
        <v>15128</v>
      </c>
      <c r="AX3532" s="82" t="s">
        <v>15128</v>
      </c>
      <c r="AY3532" s="77"/>
      <c r="AZ3532" s="82" t="s">
        <v>15984</v>
      </c>
      <c r="BA3532" s="82" t="s">
        <v>15984</v>
      </c>
      <c r="BB3532" s="82" t="s">
        <v>15984</v>
      </c>
      <c r="BC3532" s="82" t="s">
        <v>15128</v>
      </c>
      <c r="BD3532" s="82" t="s">
        <v>15979</v>
      </c>
      <c r="BE3532" s="77"/>
      <c r="BF3532" s="77"/>
      <c r="BG3532" s="77"/>
      <c r="BH3532" s="77"/>
      <c r="BI3532" s="77"/>
    </row>
    <row r="3533" spans="1:61" x14ac:dyDescent="0.25">
      <c r="A3533" s="62" t="s">
        <v>387</v>
      </c>
      <c r="B3533" s="62" t="s">
        <v>387</v>
      </c>
      <c r="C3533" s="63"/>
      <c r="D3533" s="64"/>
      <c r="E3533" s="65"/>
      <c r="F3533" s="66"/>
      <c r="G3533" s="63"/>
      <c r="H3533" s="67"/>
      <c r="I3533" s="68"/>
      <c r="J3533" s="68"/>
      <c r="K3533" s="32"/>
      <c r="L3533" s="75">
        <v>3533</v>
      </c>
      <c r="M3533" s="75"/>
      <c r="N3533" s="70"/>
      <c r="O3533" s="77" t="s">
        <v>179</v>
      </c>
      <c r="P3533" s="79">
        <v>45138.958344907405</v>
      </c>
      <c r="Q3533" s="77" t="s">
        <v>4203</v>
      </c>
      <c r="R3533" s="77">
        <v>0</v>
      </c>
      <c r="S3533" s="77">
        <v>4</v>
      </c>
      <c r="T3533" s="77">
        <v>0</v>
      </c>
      <c r="U3533" s="77">
        <v>0</v>
      </c>
      <c r="V3533" s="77">
        <v>669</v>
      </c>
      <c r="W3533" s="82" t="s">
        <v>4833</v>
      </c>
      <c r="X3533" s="80" t="str">
        <f>HYPERLINK("https://mla.bs/6f65711e")</f>
        <v>https://mla.bs/6f65711e</v>
      </c>
      <c r="Y3533" s="77" t="s">
        <v>6506</v>
      </c>
      <c r="Z3533" s="77"/>
      <c r="AA3533" s="77"/>
      <c r="AB3533" s="77"/>
      <c r="AC3533" s="82" t="s">
        <v>7754</v>
      </c>
      <c r="AD3533" s="77" t="s">
        <v>7788</v>
      </c>
      <c r="AE3533" s="80" t="str">
        <f>HYPERLINK("https://twitter.com/einvestidor/status/1686149748586328064")</f>
        <v>https://twitter.com/einvestidor/status/1686149748586328064</v>
      </c>
      <c r="AF3533" s="79">
        <v>45138.958344907405</v>
      </c>
      <c r="AG3533" s="85">
        <v>45138</v>
      </c>
      <c r="AH3533" s="82" t="s">
        <v>9241</v>
      </c>
      <c r="AI3533" s="77" t="b">
        <v>0</v>
      </c>
      <c r="AJ3533" s="77"/>
      <c r="AK3533" s="77"/>
      <c r="AL3533" s="77"/>
      <c r="AM3533" s="77"/>
      <c r="AN3533" s="77"/>
      <c r="AO3533" s="77"/>
      <c r="AP3533" s="77"/>
      <c r="AQ3533" s="77"/>
      <c r="AR3533" s="77"/>
      <c r="AS3533" s="77"/>
      <c r="AT3533" s="77"/>
      <c r="AU3533" s="77"/>
      <c r="AV3533" s="80" t="str">
        <f>HYPERLINK("https://pbs.twimg.com/profile_images/1241147984924082183/gZgx_hL-_normal.jpg")</f>
        <v>https://pbs.twimg.com/profile_images/1241147984924082183/gZgx_hL-_normal.jpg</v>
      </c>
      <c r="AW3533" s="82" t="s">
        <v>15129</v>
      </c>
      <c r="AX3533" s="82" t="s">
        <v>15129</v>
      </c>
      <c r="AY3533" s="77"/>
      <c r="AZ3533" s="82" t="s">
        <v>15984</v>
      </c>
      <c r="BA3533" s="82" t="s">
        <v>15984</v>
      </c>
      <c r="BB3533" s="82" t="s">
        <v>15984</v>
      </c>
      <c r="BC3533" s="82" t="s">
        <v>15129</v>
      </c>
      <c r="BD3533" s="82" t="s">
        <v>15979</v>
      </c>
      <c r="BE3533" s="77"/>
      <c r="BF3533" s="77"/>
      <c r="BG3533" s="77"/>
      <c r="BH3533" s="77"/>
      <c r="BI3533" s="77"/>
    </row>
    <row r="3534" spans="1:61" x14ac:dyDescent="0.25">
      <c r="A3534" s="62" t="s">
        <v>387</v>
      </c>
      <c r="B3534" s="62" t="s">
        <v>387</v>
      </c>
      <c r="C3534" s="63"/>
      <c r="D3534" s="64"/>
      <c r="E3534" s="65"/>
      <c r="F3534" s="66"/>
      <c r="G3534" s="63"/>
      <c r="H3534" s="67"/>
      <c r="I3534" s="68"/>
      <c r="J3534" s="68"/>
      <c r="K3534" s="32"/>
      <c r="L3534" s="75">
        <v>3534</v>
      </c>
      <c r="M3534" s="75"/>
      <c r="N3534" s="70"/>
      <c r="O3534" s="77" t="s">
        <v>179</v>
      </c>
      <c r="P3534" s="79">
        <v>45138.947916666664</v>
      </c>
      <c r="Q3534" s="77" t="s">
        <v>4204</v>
      </c>
      <c r="R3534" s="77">
        <v>0</v>
      </c>
      <c r="S3534" s="77">
        <v>0</v>
      </c>
      <c r="T3534" s="77">
        <v>0</v>
      </c>
      <c r="U3534" s="77">
        <v>0</v>
      </c>
      <c r="V3534" s="77">
        <v>550</v>
      </c>
      <c r="W3534" s="82" t="s">
        <v>4833</v>
      </c>
      <c r="X3534" s="80" t="str">
        <f>HYPERLINK("https://mla.bs/5afce9dd")</f>
        <v>https://mla.bs/5afce9dd</v>
      </c>
      <c r="Y3534" s="77" t="s">
        <v>6506</v>
      </c>
      <c r="Z3534" s="77"/>
      <c r="AA3534" s="77"/>
      <c r="AB3534" s="77"/>
      <c r="AC3534" s="82" t="s">
        <v>7754</v>
      </c>
      <c r="AD3534" s="77" t="s">
        <v>7788</v>
      </c>
      <c r="AE3534" s="80" t="str">
        <f>HYPERLINK("https://twitter.com/einvestidor/status/1686145966817116160")</f>
        <v>https://twitter.com/einvestidor/status/1686145966817116160</v>
      </c>
      <c r="AF3534" s="79">
        <v>45138.947916666664</v>
      </c>
      <c r="AG3534" s="85">
        <v>45138</v>
      </c>
      <c r="AH3534" s="82" t="s">
        <v>9595</v>
      </c>
      <c r="AI3534" s="77" t="b">
        <v>0</v>
      </c>
      <c r="AJ3534" s="77"/>
      <c r="AK3534" s="77"/>
      <c r="AL3534" s="77"/>
      <c r="AM3534" s="77"/>
      <c r="AN3534" s="77"/>
      <c r="AO3534" s="77"/>
      <c r="AP3534" s="77"/>
      <c r="AQ3534" s="77"/>
      <c r="AR3534" s="77"/>
      <c r="AS3534" s="77"/>
      <c r="AT3534" s="77"/>
      <c r="AU3534" s="77"/>
      <c r="AV3534" s="80" t="str">
        <f>HYPERLINK("https://pbs.twimg.com/profile_images/1241147984924082183/gZgx_hL-_normal.jpg")</f>
        <v>https://pbs.twimg.com/profile_images/1241147984924082183/gZgx_hL-_normal.jpg</v>
      </c>
      <c r="AW3534" s="82" t="s">
        <v>15130</v>
      </c>
      <c r="AX3534" s="82" t="s">
        <v>15130</v>
      </c>
      <c r="AY3534" s="77"/>
      <c r="AZ3534" s="82" t="s">
        <v>15984</v>
      </c>
      <c r="BA3534" s="82" t="s">
        <v>15984</v>
      </c>
      <c r="BB3534" s="82" t="s">
        <v>15984</v>
      </c>
      <c r="BC3534" s="82" t="s">
        <v>15130</v>
      </c>
      <c r="BD3534" s="82" t="s">
        <v>15979</v>
      </c>
      <c r="BE3534" s="77"/>
      <c r="BF3534" s="77"/>
      <c r="BG3534" s="77"/>
      <c r="BH3534" s="77"/>
      <c r="BI3534" s="77"/>
    </row>
    <row r="3535" spans="1:61" x14ac:dyDescent="0.25">
      <c r="A3535" s="62" t="s">
        <v>387</v>
      </c>
      <c r="B3535" s="62" t="s">
        <v>387</v>
      </c>
      <c r="C3535" s="63"/>
      <c r="D3535" s="64"/>
      <c r="E3535" s="65"/>
      <c r="F3535" s="66"/>
      <c r="G3535" s="63"/>
      <c r="H3535" s="67"/>
      <c r="I3535" s="68"/>
      <c r="J3535" s="68"/>
      <c r="K3535" s="32"/>
      <c r="L3535" s="75">
        <v>3535</v>
      </c>
      <c r="M3535" s="75"/>
      <c r="N3535" s="70"/>
      <c r="O3535" s="77" t="s">
        <v>179</v>
      </c>
      <c r="P3535" s="79">
        <v>45138.9375</v>
      </c>
      <c r="Q3535" s="77" t="s">
        <v>4205</v>
      </c>
      <c r="R3535" s="77">
        <v>0</v>
      </c>
      <c r="S3535" s="77">
        <v>1</v>
      </c>
      <c r="T3535" s="77">
        <v>0</v>
      </c>
      <c r="U3535" s="77">
        <v>0</v>
      </c>
      <c r="V3535" s="77">
        <v>629</v>
      </c>
      <c r="W3535" s="82" t="s">
        <v>4833</v>
      </c>
      <c r="X3535" s="80" t="str">
        <f>HYPERLINK("https://mla.bs/c7b06b8d")</f>
        <v>https://mla.bs/c7b06b8d</v>
      </c>
      <c r="Y3535" s="77" t="s">
        <v>6506</v>
      </c>
      <c r="Z3535" s="77"/>
      <c r="AA3535" s="77"/>
      <c r="AB3535" s="77"/>
      <c r="AC3535" s="82" t="s">
        <v>7754</v>
      </c>
      <c r="AD3535" s="77" t="s">
        <v>7788</v>
      </c>
      <c r="AE3535" s="80" t="str">
        <f>HYPERLINK("https://twitter.com/einvestidor/status/1686142192018968576")</f>
        <v>https://twitter.com/einvestidor/status/1686142192018968576</v>
      </c>
      <c r="AF3535" s="79">
        <v>45138.9375</v>
      </c>
      <c r="AG3535" s="85">
        <v>45138</v>
      </c>
      <c r="AH3535" s="82" t="s">
        <v>7926</v>
      </c>
      <c r="AI3535" s="77" t="b">
        <v>0</v>
      </c>
      <c r="AJ3535" s="77"/>
      <c r="AK3535" s="77"/>
      <c r="AL3535" s="77"/>
      <c r="AM3535" s="77"/>
      <c r="AN3535" s="77"/>
      <c r="AO3535" s="77"/>
      <c r="AP3535" s="77"/>
      <c r="AQ3535" s="77"/>
      <c r="AR3535" s="77"/>
      <c r="AS3535" s="77"/>
      <c r="AT3535" s="77"/>
      <c r="AU3535" s="77"/>
      <c r="AV3535" s="80" t="str">
        <f>HYPERLINK("https://pbs.twimg.com/profile_images/1241147984924082183/gZgx_hL-_normal.jpg")</f>
        <v>https://pbs.twimg.com/profile_images/1241147984924082183/gZgx_hL-_normal.jpg</v>
      </c>
      <c r="AW3535" s="82" t="s">
        <v>15131</v>
      </c>
      <c r="AX3535" s="82" t="s">
        <v>15131</v>
      </c>
      <c r="AY3535" s="77"/>
      <c r="AZ3535" s="82" t="s">
        <v>15984</v>
      </c>
      <c r="BA3535" s="82" t="s">
        <v>15984</v>
      </c>
      <c r="BB3535" s="82" t="s">
        <v>15984</v>
      </c>
      <c r="BC3535" s="82" t="s">
        <v>15131</v>
      </c>
      <c r="BD3535" s="82" t="s">
        <v>15979</v>
      </c>
      <c r="BE3535" s="77"/>
      <c r="BF3535" s="77"/>
      <c r="BG3535" s="77"/>
      <c r="BH3535" s="77"/>
      <c r="BI3535" s="77"/>
    </row>
    <row r="3536" spans="1:61" x14ac:dyDescent="0.25">
      <c r="A3536" s="62" t="s">
        <v>387</v>
      </c>
      <c r="B3536" s="62" t="s">
        <v>387</v>
      </c>
      <c r="C3536" s="63"/>
      <c r="D3536" s="64"/>
      <c r="E3536" s="65"/>
      <c r="F3536" s="66"/>
      <c r="G3536" s="63"/>
      <c r="H3536" s="67"/>
      <c r="I3536" s="68"/>
      <c r="J3536" s="68"/>
      <c r="K3536" s="32"/>
      <c r="L3536" s="75">
        <v>3536</v>
      </c>
      <c r="M3536" s="75"/>
      <c r="N3536" s="70"/>
      <c r="O3536" s="77" t="s">
        <v>179</v>
      </c>
      <c r="P3536" s="79">
        <v>45138.927083333336</v>
      </c>
      <c r="Q3536" s="77" t="s">
        <v>4206</v>
      </c>
      <c r="R3536" s="77">
        <v>0</v>
      </c>
      <c r="S3536" s="77">
        <v>2</v>
      </c>
      <c r="T3536" s="77">
        <v>1</v>
      </c>
      <c r="U3536" s="77">
        <v>0</v>
      </c>
      <c r="V3536" s="77">
        <v>674</v>
      </c>
      <c r="W3536" s="82" t="s">
        <v>4833</v>
      </c>
      <c r="X3536" s="80" t="str">
        <f>HYPERLINK("https://mla.bs/e3976c48")</f>
        <v>https://mla.bs/e3976c48</v>
      </c>
      <c r="Y3536" s="77" t="s">
        <v>6506</v>
      </c>
      <c r="Z3536" s="77"/>
      <c r="AA3536" s="77"/>
      <c r="AB3536" s="77"/>
      <c r="AC3536" s="82" t="s">
        <v>7754</v>
      </c>
      <c r="AD3536" s="77" t="s">
        <v>7788</v>
      </c>
      <c r="AE3536" s="80" t="str">
        <f>HYPERLINK("https://twitter.com/einvestidor/status/1686138417363763207")</f>
        <v>https://twitter.com/einvestidor/status/1686138417363763207</v>
      </c>
      <c r="AF3536" s="79">
        <v>45138.927083333336</v>
      </c>
      <c r="AG3536" s="85">
        <v>45138</v>
      </c>
      <c r="AH3536" s="82" t="s">
        <v>9576</v>
      </c>
      <c r="AI3536" s="77" t="b">
        <v>0</v>
      </c>
      <c r="AJ3536" s="77"/>
      <c r="AK3536" s="77"/>
      <c r="AL3536" s="77"/>
      <c r="AM3536" s="77"/>
      <c r="AN3536" s="77"/>
      <c r="AO3536" s="77"/>
      <c r="AP3536" s="77"/>
      <c r="AQ3536" s="77"/>
      <c r="AR3536" s="77"/>
      <c r="AS3536" s="77"/>
      <c r="AT3536" s="77"/>
      <c r="AU3536" s="77"/>
      <c r="AV3536" s="80" t="str">
        <f>HYPERLINK("https://pbs.twimg.com/profile_images/1241147984924082183/gZgx_hL-_normal.jpg")</f>
        <v>https://pbs.twimg.com/profile_images/1241147984924082183/gZgx_hL-_normal.jpg</v>
      </c>
      <c r="AW3536" s="82" t="s">
        <v>15132</v>
      </c>
      <c r="AX3536" s="82" t="s">
        <v>15132</v>
      </c>
      <c r="AY3536" s="77"/>
      <c r="AZ3536" s="82" t="s">
        <v>15984</v>
      </c>
      <c r="BA3536" s="82" t="s">
        <v>15984</v>
      </c>
      <c r="BB3536" s="82" t="s">
        <v>15984</v>
      </c>
      <c r="BC3536" s="82" t="s">
        <v>15132</v>
      </c>
      <c r="BD3536" s="82" t="s">
        <v>15979</v>
      </c>
      <c r="BE3536" s="77"/>
      <c r="BF3536" s="77"/>
      <c r="BG3536" s="77"/>
      <c r="BH3536" s="77"/>
      <c r="BI3536" s="77"/>
    </row>
    <row r="3537" spans="1:61" x14ac:dyDescent="0.25">
      <c r="A3537" s="62" t="s">
        <v>387</v>
      </c>
      <c r="B3537" s="62" t="s">
        <v>387</v>
      </c>
      <c r="C3537" s="63"/>
      <c r="D3537" s="64"/>
      <c r="E3537" s="65"/>
      <c r="F3537" s="66"/>
      <c r="G3537" s="63"/>
      <c r="H3537" s="67"/>
      <c r="I3537" s="68"/>
      <c r="J3537" s="68"/>
      <c r="K3537" s="32"/>
      <c r="L3537" s="75">
        <v>3537</v>
      </c>
      <c r="M3537" s="75"/>
      <c r="N3537" s="70"/>
      <c r="O3537" s="77" t="s">
        <v>179</v>
      </c>
      <c r="P3537" s="79">
        <v>45138.916666666664</v>
      </c>
      <c r="Q3537" s="77" t="s">
        <v>4207</v>
      </c>
      <c r="R3537" s="77">
        <v>0</v>
      </c>
      <c r="S3537" s="77">
        <v>1</v>
      </c>
      <c r="T3537" s="77">
        <v>0</v>
      </c>
      <c r="U3537" s="77">
        <v>0</v>
      </c>
      <c r="V3537" s="77">
        <v>515</v>
      </c>
      <c r="W3537" s="82" t="s">
        <v>4833</v>
      </c>
      <c r="X3537" s="80" t="str">
        <f>HYPERLINK("https://mla.bs/6c7ff3fb")</f>
        <v>https://mla.bs/6c7ff3fb</v>
      </c>
      <c r="Y3537" s="77" t="s">
        <v>6506</v>
      </c>
      <c r="Z3537" s="77"/>
      <c r="AA3537" s="77"/>
      <c r="AB3537" s="77"/>
      <c r="AC3537" s="82" t="s">
        <v>7754</v>
      </c>
      <c r="AD3537" s="77" t="s">
        <v>7788</v>
      </c>
      <c r="AE3537" s="80" t="str">
        <f>HYPERLINK("https://twitter.com/einvestidor/status/1686134643677184000")</f>
        <v>https://twitter.com/einvestidor/status/1686134643677184000</v>
      </c>
      <c r="AF3537" s="79">
        <v>45138.916666666664</v>
      </c>
      <c r="AG3537" s="85">
        <v>45138</v>
      </c>
      <c r="AH3537" s="82" t="s">
        <v>9577</v>
      </c>
      <c r="AI3537" s="77" t="b">
        <v>0</v>
      </c>
      <c r="AJ3537" s="77"/>
      <c r="AK3537" s="77"/>
      <c r="AL3537" s="77"/>
      <c r="AM3537" s="77"/>
      <c r="AN3537" s="77"/>
      <c r="AO3537" s="77"/>
      <c r="AP3537" s="77"/>
      <c r="AQ3537" s="77"/>
      <c r="AR3537" s="77"/>
      <c r="AS3537" s="77"/>
      <c r="AT3537" s="77"/>
      <c r="AU3537" s="77"/>
      <c r="AV3537" s="80" t="str">
        <f>HYPERLINK("https://pbs.twimg.com/profile_images/1241147984924082183/gZgx_hL-_normal.jpg")</f>
        <v>https://pbs.twimg.com/profile_images/1241147984924082183/gZgx_hL-_normal.jpg</v>
      </c>
      <c r="AW3537" s="82" t="s">
        <v>15133</v>
      </c>
      <c r="AX3537" s="82" t="s">
        <v>15133</v>
      </c>
      <c r="AY3537" s="77"/>
      <c r="AZ3537" s="82" t="s">
        <v>15984</v>
      </c>
      <c r="BA3537" s="82" t="s">
        <v>15984</v>
      </c>
      <c r="BB3537" s="82" t="s">
        <v>15984</v>
      </c>
      <c r="BC3537" s="82" t="s">
        <v>15133</v>
      </c>
      <c r="BD3537" s="82" t="s">
        <v>15979</v>
      </c>
      <c r="BE3537" s="77"/>
      <c r="BF3537" s="77"/>
      <c r="BG3537" s="77"/>
      <c r="BH3537" s="77"/>
      <c r="BI3537" s="77"/>
    </row>
    <row r="3538" spans="1:61" x14ac:dyDescent="0.25">
      <c r="A3538" s="62" t="s">
        <v>387</v>
      </c>
      <c r="B3538" s="62" t="s">
        <v>387</v>
      </c>
      <c r="C3538" s="63"/>
      <c r="D3538" s="64"/>
      <c r="E3538" s="65"/>
      <c r="F3538" s="66"/>
      <c r="G3538" s="63"/>
      <c r="H3538" s="67"/>
      <c r="I3538" s="68"/>
      <c r="J3538" s="68"/>
      <c r="K3538" s="32"/>
      <c r="L3538" s="75">
        <v>3538</v>
      </c>
      <c r="M3538" s="75"/>
      <c r="N3538" s="70"/>
      <c r="O3538" s="77" t="s">
        <v>179</v>
      </c>
      <c r="P3538" s="79">
        <v>45138.90625</v>
      </c>
      <c r="Q3538" s="77" t="s">
        <v>4208</v>
      </c>
      <c r="R3538" s="77">
        <v>1</v>
      </c>
      <c r="S3538" s="77">
        <v>2</v>
      </c>
      <c r="T3538" s="77">
        <v>0</v>
      </c>
      <c r="U3538" s="77">
        <v>0</v>
      </c>
      <c r="V3538" s="77">
        <v>602</v>
      </c>
      <c r="W3538" s="82" t="s">
        <v>6333</v>
      </c>
      <c r="X3538" s="80" t="str">
        <f>HYPERLINK("https://mla.bs/76a56518")</f>
        <v>https://mla.bs/76a56518</v>
      </c>
      <c r="Y3538" s="77" t="s">
        <v>6506</v>
      </c>
      <c r="Z3538" s="77"/>
      <c r="AA3538" s="77"/>
      <c r="AB3538" s="77"/>
      <c r="AC3538" s="82" t="s">
        <v>7754</v>
      </c>
      <c r="AD3538" s="77" t="s">
        <v>7788</v>
      </c>
      <c r="AE3538" s="80" t="str">
        <f>HYPERLINK("https://twitter.com/einvestidor/status/1686130867129966592")</f>
        <v>https://twitter.com/einvestidor/status/1686130867129966592</v>
      </c>
      <c r="AF3538" s="79">
        <v>45138.90625</v>
      </c>
      <c r="AG3538" s="85">
        <v>45138</v>
      </c>
      <c r="AH3538" s="82" t="s">
        <v>9578</v>
      </c>
      <c r="AI3538" s="77" t="b">
        <v>0</v>
      </c>
      <c r="AJ3538" s="77"/>
      <c r="AK3538" s="77"/>
      <c r="AL3538" s="77"/>
      <c r="AM3538" s="77"/>
      <c r="AN3538" s="77"/>
      <c r="AO3538" s="77"/>
      <c r="AP3538" s="77"/>
      <c r="AQ3538" s="77"/>
      <c r="AR3538" s="77"/>
      <c r="AS3538" s="77"/>
      <c r="AT3538" s="77"/>
      <c r="AU3538" s="77"/>
      <c r="AV3538" s="80" t="str">
        <f>HYPERLINK("https://pbs.twimg.com/profile_images/1241147984924082183/gZgx_hL-_normal.jpg")</f>
        <v>https://pbs.twimg.com/profile_images/1241147984924082183/gZgx_hL-_normal.jpg</v>
      </c>
      <c r="AW3538" s="82" t="s">
        <v>15134</v>
      </c>
      <c r="AX3538" s="82" t="s">
        <v>15134</v>
      </c>
      <c r="AY3538" s="77"/>
      <c r="AZ3538" s="82" t="s">
        <v>15984</v>
      </c>
      <c r="BA3538" s="82" t="s">
        <v>15984</v>
      </c>
      <c r="BB3538" s="82" t="s">
        <v>15984</v>
      </c>
      <c r="BC3538" s="82" t="s">
        <v>15134</v>
      </c>
      <c r="BD3538" s="82" t="s">
        <v>15979</v>
      </c>
      <c r="BE3538" s="77"/>
      <c r="BF3538" s="77"/>
      <c r="BG3538" s="77"/>
      <c r="BH3538" s="77"/>
      <c r="BI3538" s="77"/>
    </row>
    <row r="3539" spans="1:61" x14ac:dyDescent="0.25">
      <c r="A3539" s="62" t="s">
        <v>387</v>
      </c>
      <c r="B3539" s="62" t="s">
        <v>387</v>
      </c>
      <c r="C3539" s="63"/>
      <c r="D3539" s="64"/>
      <c r="E3539" s="65"/>
      <c r="F3539" s="66"/>
      <c r="G3539" s="63"/>
      <c r="H3539" s="67"/>
      <c r="I3539" s="68"/>
      <c r="J3539" s="68"/>
      <c r="K3539" s="32"/>
      <c r="L3539" s="75">
        <v>3539</v>
      </c>
      <c r="M3539" s="75"/>
      <c r="N3539" s="70"/>
      <c r="O3539" s="77" t="s">
        <v>179</v>
      </c>
      <c r="P3539" s="79">
        <v>45138.895833333336</v>
      </c>
      <c r="Q3539" s="77" t="s">
        <v>4209</v>
      </c>
      <c r="R3539" s="77">
        <v>0</v>
      </c>
      <c r="S3539" s="77">
        <v>1</v>
      </c>
      <c r="T3539" s="77">
        <v>0</v>
      </c>
      <c r="U3539" s="77">
        <v>0</v>
      </c>
      <c r="V3539" s="77">
        <v>557</v>
      </c>
      <c r="W3539" s="82" t="s">
        <v>4833</v>
      </c>
      <c r="X3539" s="80" t="str">
        <f>HYPERLINK("https://mla.bs/1d0d11e1")</f>
        <v>https://mla.bs/1d0d11e1</v>
      </c>
      <c r="Y3539" s="77" t="s">
        <v>6506</v>
      </c>
      <c r="Z3539" s="77"/>
      <c r="AA3539" s="77"/>
      <c r="AB3539" s="77"/>
      <c r="AC3539" s="82" t="s">
        <v>7754</v>
      </c>
      <c r="AD3539" s="77" t="s">
        <v>7788</v>
      </c>
      <c r="AE3539" s="80" t="str">
        <f>HYPERLINK("https://twitter.com/einvestidor/status/1686127093204045824")</f>
        <v>https://twitter.com/einvestidor/status/1686127093204045824</v>
      </c>
      <c r="AF3539" s="79">
        <v>45138.895833333336</v>
      </c>
      <c r="AG3539" s="85">
        <v>45138</v>
      </c>
      <c r="AH3539" s="82" t="s">
        <v>8089</v>
      </c>
      <c r="AI3539" s="77" t="b">
        <v>0</v>
      </c>
      <c r="AJ3539" s="77"/>
      <c r="AK3539" s="77"/>
      <c r="AL3539" s="77"/>
      <c r="AM3539" s="77"/>
      <c r="AN3539" s="77"/>
      <c r="AO3539" s="77"/>
      <c r="AP3539" s="77"/>
      <c r="AQ3539" s="77"/>
      <c r="AR3539" s="77"/>
      <c r="AS3539" s="77"/>
      <c r="AT3539" s="77"/>
      <c r="AU3539" s="77"/>
      <c r="AV3539" s="80" t="str">
        <f>HYPERLINK("https://pbs.twimg.com/profile_images/1241147984924082183/gZgx_hL-_normal.jpg")</f>
        <v>https://pbs.twimg.com/profile_images/1241147984924082183/gZgx_hL-_normal.jpg</v>
      </c>
      <c r="AW3539" s="82" t="s">
        <v>15135</v>
      </c>
      <c r="AX3539" s="82" t="s">
        <v>15135</v>
      </c>
      <c r="AY3539" s="77"/>
      <c r="AZ3539" s="82" t="s">
        <v>15984</v>
      </c>
      <c r="BA3539" s="82" t="s">
        <v>15984</v>
      </c>
      <c r="BB3539" s="82" t="s">
        <v>15984</v>
      </c>
      <c r="BC3539" s="82" t="s">
        <v>15135</v>
      </c>
      <c r="BD3539" s="82" t="s">
        <v>15979</v>
      </c>
      <c r="BE3539" s="77"/>
      <c r="BF3539" s="77"/>
      <c r="BG3539" s="77"/>
      <c r="BH3539" s="77"/>
      <c r="BI3539" s="77"/>
    </row>
    <row r="3540" spans="1:61" x14ac:dyDescent="0.25">
      <c r="A3540" s="62" t="s">
        <v>387</v>
      </c>
      <c r="B3540" s="62" t="s">
        <v>387</v>
      </c>
      <c r="C3540" s="63"/>
      <c r="D3540" s="64"/>
      <c r="E3540" s="65"/>
      <c r="F3540" s="66"/>
      <c r="G3540" s="63"/>
      <c r="H3540" s="67"/>
      <c r="I3540" s="68"/>
      <c r="J3540" s="68"/>
      <c r="K3540" s="32"/>
      <c r="L3540" s="75">
        <v>3540</v>
      </c>
      <c r="M3540" s="75"/>
      <c r="N3540" s="70"/>
      <c r="O3540" s="77" t="s">
        <v>179</v>
      </c>
      <c r="P3540" s="79">
        <v>45138.894409722219</v>
      </c>
      <c r="Q3540" s="77" t="s">
        <v>4210</v>
      </c>
      <c r="R3540" s="77">
        <v>0</v>
      </c>
      <c r="S3540" s="77">
        <v>1</v>
      </c>
      <c r="T3540" s="77">
        <v>0</v>
      </c>
      <c r="U3540" s="77">
        <v>0</v>
      </c>
      <c r="V3540" s="77">
        <v>544</v>
      </c>
      <c r="W3540" s="82" t="s">
        <v>4833</v>
      </c>
      <c r="X3540" s="80" t="str">
        <f>HYPERLINK("https://mla.bs/a6b6d5ab")</f>
        <v>https://mla.bs/a6b6d5ab</v>
      </c>
      <c r="Y3540" s="77" t="s">
        <v>6506</v>
      </c>
      <c r="Z3540" s="77"/>
      <c r="AA3540" s="77"/>
      <c r="AB3540" s="77"/>
      <c r="AC3540" s="82" t="s">
        <v>7754</v>
      </c>
      <c r="AD3540" s="77" t="s">
        <v>7788</v>
      </c>
      <c r="AE3540" s="80" t="str">
        <f>HYPERLINK("https://twitter.com/einvestidor/status/1686126576155475968")</f>
        <v>https://twitter.com/einvestidor/status/1686126576155475968</v>
      </c>
      <c r="AF3540" s="79">
        <v>45138.894409722219</v>
      </c>
      <c r="AG3540" s="85">
        <v>45138</v>
      </c>
      <c r="AH3540" s="82" t="s">
        <v>10071</v>
      </c>
      <c r="AI3540" s="77" t="b">
        <v>0</v>
      </c>
      <c r="AJ3540" s="77"/>
      <c r="AK3540" s="77"/>
      <c r="AL3540" s="77"/>
      <c r="AM3540" s="77"/>
      <c r="AN3540" s="77"/>
      <c r="AO3540" s="77"/>
      <c r="AP3540" s="77"/>
      <c r="AQ3540" s="77"/>
      <c r="AR3540" s="77"/>
      <c r="AS3540" s="77"/>
      <c r="AT3540" s="77"/>
      <c r="AU3540" s="77"/>
      <c r="AV3540" s="80" t="str">
        <f>HYPERLINK("https://pbs.twimg.com/profile_images/1241147984924082183/gZgx_hL-_normal.jpg")</f>
        <v>https://pbs.twimg.com/profile_images/1241147984924082183/gZgx_hL-_normal.jpg</v>
      </c>
      <c r="AW3540" s="82" t="s">
        <v>15136</v>
      </c>
      <c r="AX3540" s="82" t="s">
        <v>15136</v>
      </c>
      <c r="AY3540" s="77"/>
      <c r="AZ3540" s="82" t="s">
        <v>15984</v>
      </c>
      <c r="BA3540" s="82" t="s">
        <v>15984</v>
      </c>
      <c r="BB3540" s="82" t="s">
        <v>15984</v>
      </c>
      <c r="BC3540" s="82" t="s">
        <v>15136</v>
      </c>
      <c r="BD3540" s="82" t="s">
        <v>15979</v>
      </c>
      <c r="BE3540" s="77"/>
      <c r="BF3540" s="77"/>
      <c r="BG3540" s="77"/>
      <c r="BH3540" s="77"/>
      <c r="BI3540" s="77"/>
    </row>
    <row r="3541" spans="1:61" x14ac:dyDescent="0.25">
      <c r="A3541" s="62" t="s">
        <v>387</v>
      </c>
      <c r="B3541" s="62" t="s">
        <v>387</v>
      </c>
      <c r="C3541" s="63"/>
      <c r="D3541" s="64"/>
      <c r="E3541" s="65"/>
      <c r="F3541" s="66"/>
      <c r="G3541" s="63"/>
      <c r="H3541" s="67"/>
      <c r="I3541" s="68"/>
      <c r="J3541" s="68"/>
      <c r="K3541" s="32"/>
      <c r="L3541" s="75">
        <v>3541</v>
      </c>
      <c r="M3541" s="75"/>
      <c r="N3541" s="70"/>
      <c r="O3541" s="77" t="s">
        <v>179</v>
      </c>
      <c r="P3541" s="79">
        <v>45197.484722222223</v>
      </c>
      <c r="Q3541" s="77" t="s">
        <v>4211</v>
      </c>
      <c r="R3541" s="77">
        <v>0</v>
      </c>
      <c r="S3541" s="77">
        <v>1</v>
      </c>
      <c r="T3541" s="77">
        <v>0</v>
      </c>
      <c r="U3541" s="77">
        <v>0</v>
      </c>
      <c r="V3541" s="77">
        <v>368</v>
      </c>
      <c r="W3541" s="82" t="s">
        <v>4839</v>
      </c>
      <c r="X3541" s="80" t="str">
        <f>HYPERLINK("https://einvestidor.estadao.com.br/mercado/mercado-hoje-falas-campos-neto-jerome-powell-dados-economias-eua-brasil/?utm_source=twitter&amp;utm_medium=organic&amp;utm_campaign=mercado-hoje&amp;utm_content=materia")</f>
        <v>https://einvestidor.estadao.com.br/mercado/mercado-hoje-falas-campos-neto-jerome-powell-dados-economias-eua-brasil/?utm_source=twitter&amp;utm_medium=organic&amp;utm_campaign=mercado-hoje&amp;utm_content=materia</v>
      </c>
      <c r="Y3541" s="77" t="s">
        <v>6470</v>
      </c>
      <c r="Z3541" s="77"/>
      <c r="AA3541" s="77" t="s">
        <v>7664</v>
      </c>
      <c r="AB3541" s="77" t="s">
        <v>7742</v>
      </c>
      <c r="AC3541" s="82" t="s">
        <v>7750</v>
      </c>
      <c r="AD3541" s="77" t="s">
        <v>7788</v>
      </c>
      <c r="AE3541" s="80" t="str">
        <f>HYPERLINK("https://twitter.com/einvestidor/status/1707358995520827889")</f>
        <v>https://twitter.com/einvestidor/status/1707358995520827889</v>
      </c>
      <c r="AF3541" s="79">
        <v>45197.484722222223</v>
      </c>
      <c r="AG3541" s="85">
        <v>45197</v>
      </c>
      <c r="AH3541" s="82" t="s">
        <v>10072</v>
      </c>
      <c r="AI3541" s="77" t="b">
        <v>0</v>
      </c>
      <c r="AJ3541" s="77"/>
      <c r="AK3541" s="77"/>
      <c r="AL3541" s="77"/>
      <c r="AM3541" s="77"/>
      <c r="AN3541" s="77"/>
      <c r="AO3541" s="77"/>
      <c r="AP3541" s="77"/>
      <c r="AQ3541" s="77" t="s">
        <v>11636</v>
      </c>
      <c r="AR3541" s="77"/>
      <c r="AS3541" s="77"/>
      <c r="AT3541" s="77"/>
      <c r="AU3541" s="77"/>
      <c r="AV3541" s="80" t="str">
        <f>HYPERLINK("https://pbs.twimg.com/media/F7HB8UrW0AEwrpW.png")</f>
        <v>https://pbs.twimg.com/media/F7HB8UrW0AEwrpW.png</v>
      </c>
      <c r="AW3541" s="82" t="s">
        <v>15137</v>
      </c>
      <c r="AX3541" s="82" t="s">
        <v>15137</v>
      </c>
      <c r="AY3541" s="77"/>
      <c r="AZ3541" s="82" t="s">
        <v>15984</v>
      </c>
      <c r="BA3541" s="82" t="s">
        <v>15984</v>
      </c>
      <c r="BB3541" s="82" t="s">
        <v>15984</v>
      </c>
      <c r="BC3541" s="82" t="s">
        <v>15137</v>
      </c>
      <c r="BD3541" s="82" t="s">
        <v>15979</v>
      </c>
      <c r="BE3541" s="77"/>
      <c r="BF3541" s="77"/>
      <c r="BG3541" s="77"/>
      <c r="BH3541" s="77"/>
      <c r="BI3541" s="77"/>
    </row>
    <row r="3542" spans="1:61" x14ac:dyDescent="0.25">
      <c r="A3542" s="62" t="s">
        <v>387</v>
      </c>
      <c r="B3542" s="62" t="s">
        <v>387</v>
      </c>
      <c r="C3542" s="63"/>
      <c r="D3542" s="64"/>
      <c r="E3542" s="65"/>
      <c r="F3542" s="66"/>
      <c r="G3542" s="63"/>
      <c r="H3542" s="67"/>
      <c r="I3542" s="68"/>
      <c r="J3542" s="68"/>
      <c r="K3542" s="32"/>
      <c r="L3542" s="75">
        <v>3542</v>
      </c>
      <c r="M3542" s="75"/>
      <c r="N3542" s="70"/>
      <c r="O3542" s="77" t="s">
        <v>179</v>
      </c>
      <c r="P3542" s="79">
        <v>45195.947916666664</v>
      </c>
      <c r="Q3542" s="77" t="s">
        <v>4212</v>
      </c>
      <c r="R3542" s="77">
        <v>0</v>
      </c>
      <c r="S3542" s="77">
        <v>1</v>
      </c>
      <c r="T3542" s="77">
        <v>0</v>
      </c>
      <c r="U3542" s="77">
        <v>0</v>
      </c>
      <c r="V3542" s="77">
        <v>568</v>
      </c>
      <c r="W3542" s="82" t="s">
        <v>6223</v>
      </c>
      <c r="X3542" s="80" t="str">
        <f>HYPERLINK("https://einvestidor.estadao.com.br/ultimas/irbr3-irb-acoes-fecham-leve-alta//?utm_source=twitter&amp;utm_medium=organic&amp;utm_campaign=&amp;utm_content=materia")</f>
        <v>https://einvestidor.estadao.com.br/ultimas/irbr3-irb-acoes-fecham-leve-alta//?utm_source=twitter&amp;utm_medium=organic&amp;utm_campaign=&amp;utm_content=materia</v>
      </c>
      <c r="Y3542" s="77" t="s">
        <v>6470</v>
      </c>
      <c r="Z3542" s="77"/>
      <c r="AA3542" s="77"/>
      <c r="AB3542" s="77"/>
      <c r="AC3542" s="82" t="s">
        <v>7750</v>
      </c>
      <c r="AD3542" s="77" t="s">
        <v>7788</v>
      </c>
      <c r="AE3542" s="80" t="str">
        <f>HYPERLINK("https://twitter.com/einvestidor/status/1706802075408191810")</f>
        <v>https://twitter.com/einvestidor/status/1706802075408191810</v>
      </c>
      <c r="AF3542" s="79">
        <v>45195.947916666664</v>
      </c>
      <c r="AG3542" s="85">
        <v>45195</v>
      </c>
      <c r="AH3542" s="82" t="s">
        <v>9595</v>
      </c>
      <c r="AI3542" s="77" t="b">
        <v>0</v>
      </c>
      <c r="AJ3542" s="77"/>
      <c r="AK3542" s="77"/>
      <c r="AL3542" s="77"/>
      <c r="AM3542" s="77"/>
      <c r="AN3542" s="77"/>
      <c r="AO3542" s="77"/>
      <c r="AP3542" s="77"/>
      <c r="AQ3542" s="77"/>
      <c r="AR3542" s="77"/>
      <c r="AS3542" s="77"/>
      <c r="AT3542" s="77"/>
      <c r="AU3542" s="77"/>
      <c r="AV3542" s="80" t="str">
        <f>HYPERLINK("https://pbs.twimg.com/profile_images/1241147984924082183/gZgx_hL-_normal.jpg")</f>
        <v>https://pbs.twimg.com/profile_images/1241147984924082183/gZgx_hL-_normal.jpg</v>
      </c>
      <c r="AW3542" s="82" t="s">
        <v>15138</v>
      </c>
      <c r="AX3542" s="82" t="s">
        <v>15138</v>
      </c>
      <c r="AY3542" s="77"/>
      <c r="AZ3542" s="82" t="s">
        <v>15984</v>
      </c>
      <c r="BA3542" s="82" t="s">
        <v>15984</v>
      </c>
      <c r="BB3542" s="82" t="s">
        <v>15984</v>
      </c>
      <c r="BC3542" s="82" t="s">
        <v>15138</v>
      </c>
      <c r="BD3542" s="82" t="s">
        <v>15979</v>
      </c>
      <c r="BE3542" s="77"/>
      <c r="BF3542" s="77"/>
      <c r="BG3542" s="77"/>
      <c r="BH3542" s="77"/>
      <c r="BI3542" s="77"/>
    </row>
    <row r="3543" spans="1:61" x14ac:dyDescent="0.25">
      <c r="A3543" s="62" t="s">
        <v>387</v>
      </c>
      <c r="B3543" s="62" t="s">
        <v>387</v>
      </c>
      <c r="C3543" s="63"/>
      <c r="D3543" s="64"/>
      <c r="E3543" s="65"/>
      <c r="F3543" s="66"/>
      <c r="G3543" s="63"/>
      <c r="H3543" s="67"/>
      <c r="I3543" s="68"/>
      <c r="J3543" s="68"/>
      <c r="K3543" s="32"/>
      <c r="L3543" s="75">
        <v>3543</v>
      </c>
      <c r="M3543" s="75"/>
      <c r="N3543" s="70"/>
      <c r="O3543" s="77" t="s">
        <v>179</v>
      </c>
      <c r="P3543" s="79">
        <v>45195.927083333336</v>
      </c>
      <c r="Q3543" s="77" t="s">
        <v>4213</v>
      </c>
      <c r="R3543" s="77">
        <v>0</v>
      </c>
      <c r="S3543" s="77">
        <v>1</v>
      </c>
      <c r="T3543" s="77">
        <v>0</v>
      </c>
      <c r="U3543" s="77">
        <v>0</v>
      </c>
      <c r="V3543" s="77">
        <v>584</v>
      </c>
      <c r="W3543" s="82" t="s">
        <v>4833</v>
      </c>
      <c r="X3543" s="80" t="str">
        <f>HYPERLINK("https://einvestidor.estadao.com.br/ultimas/cvm-reforma-tributaria-desafio-fundo-investimento//?utm_source=twitter&amp;utm_medium=organic&amp;utm_campaign=&amp;utm_content=materia")</f>
        <v>https://einvestidor.estadao.com.br/ultimas/cvm-reforma-tributaria-desafio-fundo-investimento//?utm_source=twitter&amp;utm_medium=organic&amp;utm_campaign=&amp;utm_content=materia</v>
      </c>
      <c r="Y3543" s="77" t="s">
        <v>6470</v>
      </c>
      <c r="Z3543" s="77"/>
      <c r="AA3543" s="77" t="s">
        <v>7665</v>
      </c>
      <c r="AB3543" s="77" t="s">
        <v>7742</v>
      </c>
      <c r="AC3543" s="82" t="s">
        <v>7750</v>
      </c>
      <c r="AD3543" s="77" t="s">
        <v>7788</v>
      </c>
      <c r="AE3543" s="80" t="str">
        <f>HYPERLINK("https://twitter.com/einvestidor/status/1706794525434290390")</f>
        <v>https://twitter.com/einvestidor/status/1706794525434290390</v>
      </c>
      <c r="AF3543" s="79">
        <v>45195.927083333336</v>
      </c>
      <c r="AG3543" s="85">
        <v>45195</v>
      </c>
      <c r="AH3543" s="82" t="s">
        <v>9576</v>
      </c>
      <c r="AI3543" s="77" t="b">
        <v>0</v>
      </c>
      <c r="AJ3543" s="77"/>
      <c r="AK3543" s="77"/>
      <c r="AL3543" s="77"/>
      <c r="AM3543" s="77"/>
      <c r="AN3543" s="77"/>
      <c r="AO3543" s="77"/>
      <c r="AP3543" s="77"/>
      <c r="AQ3543" s="77" t="s">
        <v>11637</v>
      </c>
      <c r="AR3543" s="77"/>
      <c r="AS3543" s="77"/>
      <c r="AT3543" s="77"/>
      <c r="AU3543" s="77"/>
      <c r="AV3543" s="80" t="str">
        <f>HYPERLINK("https://pbs.twimg.com/media/F6-6G9SWkAAXruV.jpg")</f>
        <v>https://pbs.twimg.com/media/F6-6G9SWkAAXruV.jpg</v>
      </c>
      <c r="AW3543" s="82" t="s">
        <v>15139</v>
      </c>
      <c r="AX3543" s="82" t="s">
        <v>15139</v>
      </c>
      <c r="AY3543" s="77"/>
      <c r="AZ3543" s="82" t="s">
        <v>15984</v>
      </c>
      <c r="BA3543" s="82" t="s">
        <v>15984</v>
      </c>
      <c r="BB3543" s="82" t="s">
        <v>15984</v>
      </c>
      <c r="BC3543" s="82" t="s">
        <v>15139</v>
      </c>
      <c r="BD3543" s="82" t="s">
        <v>15979</v>
      </c>
      <c r="BE3543" s="77"/>
      <c r="BF3543" s="77"/>
      <c r="BG3543" s="77"/>
      <c r="BH3543" s="77"/>
      <c r="BI3543" s="77"/>
    </row>
    <row r="3544" spans="1:61" x14ac:dyDescent="0.25">
      <c r="A3544" s="62" t="s">
        <v>387</v>
      </c>
      <c r="B3544" s="62" t="s">
        <v>387</v>
      </c>
      <c r="C3544" s="63"/>
      <c r="D3544" s="64"/>
      <c r="E3544" s="65"/>
      <c r="F3544" s="66"/>
      <c r="G3544" s="63"/>
      <c r="H3544" s="67"/>
      <c r="I3544" s="68"/>
      <c r="J3544" s="68"/>
      <c r="K3544" s="32"/>
      <c r="L3544" s="75">
        <v>3544</v>
      </c>
      <c r="M3544" s="75"/>
      <c r="N3544" s="70"/>
      <c r="O3544" s="77" t="s">
        <v>179</v>
      </c>
      <c r="P3544" s="79">
        <v>45195.900972222225</v>
      </c>
      <c r="Q3544" s="77" t="s">
        <v>4214</v>
      </c>
      <c r="R3544" s="77">
        <v>0</v>
      </c>
      <c r="S3544" s="77">
        <v>0</v>
      </c>
      <c r="T3544" s="77">
        <v>0</v>
      </c>
      <c r="U3544" s="77">
        <v>0</v>
      </c>
      <c r="V3544" s="77">
        <v>529</v>
      </c>
      <c r="W3544" s="82" t="s">
        <v>6334</v>
      </c>
      <c r="X3544" s="80" t="str">
        <f>HYPERLINK("https://einvestidor.estadao.com.br/noticias/ibovespa-hoje-acoes-baixa-petz-petz3-gpa-pcar3-locaweb-lwsa3/?utm_source=twitter&amp;utm_medium=organic&amp;utm_campaign=&amp;utm_content=materia")</f>
        <v>https://einvestidor.estadao.com.br/noticias/ibovespa-hoje-acoes-baixa-petz-petz3-gpa-pcar3-locaweb-lwsa3/?utm_source=twitter&amp;utm_medium=organic&amp;utm_campaign=&amp;utm_content=materia</v>
      </c>
      <c r="Y3544" s="77" t="s">
        <v>6470</v>
      </c>
      <c r="Z3544" s="77"/>
      <c r="AA3544" s="77" t="s">
        <v>7666</v>
      </c>
      <c r="AB3544" s="77" t="s">
        <v>7742</v>
      </c>
      <c r="AC3544" s="82" t="s">
        <v>7750</v>
      </c>
      <c r="AD3544" s="77" t="s">
        <v>7788</v>
      </c>
      <c r="AE3544" s="80" t="str">
        <f>HYPERLINK("https://twitter.com/einvestidor/status/1706785065512919365")</f>
        <v>https://twitter.com/einvestidor/status/1706785065512919365</v>
      </c>
      <c r="AF3544" s="79">
        <v>45195.900972222225</v>
      </c>
      <c r="AG3544" s="85">
        <v>45195</v>
      </c>
      <c r="AH3544" s="82" t="s">
        <v>10073</v>
      </c>
      <c r="AI3544" s="77" t="b">
        <v>0</v>
      </c>
      <c r="AJ3544" s="77"/>
      <c r="AK3544" s="77"/>
      <c r="AL3544" s="77"/>
      <c r="AM3544" s="77"/>
      <c r="AN3544" s="77"/>
      <c r="AO3544" s="77"/>
      <c r="AP3544" s="77"/>
      <c r="AQ3544" s="77" t="s">
        <v>11638</v>
      </c>
      <c r="AR3544" s="77"/>
      <c r="AS3544" s="77"/>
      <c r="AT3544" s="77"/>
      <c r="AU3544" s="77"/>
      <c r="AV3544" s="80" t="str">
        <f>HYPERLINK("https://pbs.twimg.com/media/F6-3-H6WAAAbPlx.jpg")</f>
        <v>https://pbs.twimg.com/media/F6-3-H6WAAAbPlx.jpg</v>
      </c>
      <c r="AW3544" s="82" t="s">
        <v>15140</v>
      </c>
      <c r="AX3544" s="82" t="s">
        <v>15140</v>
      </c>
      <c r="AY3544" s="77"/>
      <c r="AZ3544" s="82" t="s">
        <v>15984</v>
      </c>
      <c r="BA3544" s="82" t="s">
        <v>15984</v>
      </c>
      <c r="BB3544" s="82" t="s">
        <v>15984</v>
      </c>
      <c r="BC3544" s="82" t="s">
        <v>15140</v>
      </c>
      <c r="BD3544" s="82" t="s">
        <v>15979</v>
      </c>
      <c r="BE3544" s="77"/>
      <c r="BF3544" s="77"/>
      <c r="BG3544" s="77"/>
      <c r="BH3544" s="77"/>
      <c r="BI3544" s="77"/>
    </row>
    <row r="3545" spans="1:61" x14ac:dyDescent="0.25">
      <c r="A3545" s="62" t="s">
        <v>387</v>
      </c>
      <c r="B3545" s="62" t="s">
        <v>387</v>
      </c>
      <c r="C3545" s="63"/>
      <c r="D3545" s="64"/>
      <c r="E3545" s="65"/>
      <c r="F3545" s="66"/>
      <c r="G3545" s="63"/>
      <c r="H3545" s="67"/>
      <c r="I3545" s="68"/>
      <c r="J3545" s="68"/>
      <c r="K3545" s="32"/>
      <c r="L3545" s="75">
        <v>3545</v>
      </c>
      <c r="M3545" s="75"/>
      <c r="N3545" s="70"/>
      <c r="O3545" s="77" t="s">
        <v>179</v>
      </c>
      <c r="P3545" s="79">
        <v>45195.900243055556</v>
      </c>
      <c r="Q3545" s="77" t="s">
        <v>4215</v>
      </c>
      <c r="R3545" s="77">
        <v>0</v>
      </c>
      <c r="S3545" s="77">
        <v>1</v>
      </c>
      <c r="T3545" s="77">
        <v>0</v>
      </c>
      <c r="U3545" s="77">
        <v>0</v>
      </c>
      <c r="V3545" s="77">
        <v>486</v>
      </c>
      <c r="W3545" s="82" t="s">
        <v>6335</v>
      </c>
      <c r="X3545" s="80" t="str">
        <f>HYPERLINK("https://einvestidor.estadao.com.br/noticias/ibovespa-hoje-acoes-alta-brf-brfs3-eletrobras-pn-elet6-eletrobras/?utm_source=twitter&amp;utm_medium=organic&amp;utm_campaign=&amp;utm_content=materia")</f>
        <v>https://einvestidor.estadao.com.br/noticias/ibovespa-hoje-acoes-alta-brf-brfs3-eletrobras-pn-elet6-eletrobras/?utm_source=twitter&amp;utm_medium=organic&amp;utm_campaign=&amp;utm_content=materia</v>
      </c>
      <c r="Y3545" s="77" t="s">
        <v>6470</v>
      </c>
      <c r="Z3545" s="77"/>
      <c r="AA3545" s="77" t="s">
        <v>7667</v>
      </c>
      <c r="AB3545" s="77" t="s">
        <v>7742</v>
      </c>
      <c r="AC3545" s="82" t="s">
        <v>7750</v>
      </c>
      <c r="AD3545" s="77" t="s">
        <v>7788</v>
      </c>
      <c r="AE3545" s="80" t="str">
        <f>HYPERLINK("https://twitter.com/einvestidor/status/1706784801917940181")</f>
        <v>https://twitter.com/einvestidor/status/1706784801917940181</v>
      </c>
      <c r="AF3545" s="79">
        <v>45195.900243055556</v>
      </c>
      <c r="AG3545" s="85">
        <v>45195</v>
      </c>
      <c r="AH3545" s="82" t="s">
        <v>10074</v>
      </c>
      <c r="AI3545" s="77" t="b">
        <v>0</v>
      </c>
      <c r="AJ3545" s="77"/>
      <c r="AK3545" s="77"/>
      <c r="AL3545" s="77"/>
      <c r="AM3545" s="77"/>
      <c r="AN3545" s="77"/>
      <c r="AO3545" s="77"/>
      <c r="AP3545" s="77"/>
      <c r="AQ3545" s="77" t="s">
        <v>11639</v>
      </c>
      <c r="AR3545" s="77"/>
      <c r="AS3545" s="77"/>
      <c r="AT3545" s="77"/>
      <c r="AU3545" s="77"/>
      <c r="AV3545" s="80" t="str">
        <f>HYPERLINK("https://pbs.twimg.com/media/F6-3uBSWkAAK3GY.jpg")</f>
        <v>https://pbs.twimg.com/media/F6-3uBSWkAAK3GY.jpg</v>
      </c>
      <c r="AW3545" s="82" t="s">
        <v>15141</v>
      </c>
      <c r="AX3545" s="82" t="s">
        <v>15141</v>
      </c>
      <c r="AY3545" s="77"/>
      <c r="AZ3545" s="82" t="s">
        <v>15984</v>
      </c>
      <c r="BA3545" s="82" t="s">
        <v>15984</v>
      </c>
      <c r="BB3545" s="82" t="s">
        <v>15984</v>
      </c>
      <c r="BC3545" s="82" t="s">
        <v>15141</v>
      </c>
      <c r="BD3545" s="82" t="s">
        <v>15979</v>
      </c>
      <c r="BE3545" s="77"/>
      <c r="BF3545" s="77"/>
      <c r="BG3545" s="77"/>
      <c r="BH3545" s="77"/>
      <c r="BI3545" s="77"/>
    </row>
    <row r="3546" spans="1:61" x14ac:dyDescent="0.25">
      <c r="A3546" s="62" t="s">
        <v>387</v>
      </c>
      <c r="B3546" s="62" t="s">
        <v>387</v>
      </c>
      <c r="C3546" s="63"/>
      <c r="D3546" s="64"/>
      <c r="E3546" s="65"/>
      <c r="F3546" s="66"/>
      <c r="G3546" s="63"/>
      <c r="H3546" s="67"/>
      <c r="I3546" s="68"/>
      <c r="J3546" s="68"/>
      <c r="K3546" s="32"/>
      <c r="L3546" s="75">
        <v>3546</v>
      </c>
      <c r="M3546" s="75"/>
      <c r="N3546" s="70"/>
      <c r="O3546" s="77" t="s">
        <v>179</v>
      </c>
      <c r="P3546" s="79">
        <v>45195.542858796296</v>
      </c>
      <c r="Q3546" s="77" t="s">
        <v>4216</v>
      </c>
      <c r="R3546" s="77">
        <v>0</v>
      </c>
      <c r="S3546" s="77">
        <v>1</v>
      </c>
      <c r="T3546" s="77">
        <v>0</v>
      </c>
      <c r="U3546" s="77">
        <v>0</v>
      </c>
      <c r="V3546" s="77">
        <v>386</v>
      </c>
      <c r="W3546" s="82" t="s">
        <v>4839</v>
      </c>
      <c r="X3546" s="80" t="str">
        <f>HYPERLINK("https://einvestidor.estadao.com.br/mercado/abertura-de-mercado-26-09-2023/?utm_source=twitter&amp;utm_medium=organic&amp;utm_campaign=abertura-de-mercado&amp;utm_content=materia")</f>
        <v>https://einvestidor.estadao.com.br/mercado/abertura-de-mercado-26-09-2023/?utm_source=twitter&amp;utm_medium=organic&amp;utm_campaign=abertura-de-mercado&amp;utm_content=materia</v>
      </c>
      <c r="Y3546" s="77" t="s">
        <v>6470</v>
      </c>
      <c r="Z3546" s="77"/>
      <c r="AA3546" s="77" t="s">
        <v>7668</v>
      </c>
      <c r="AB3546" s="77" t="s">
        <v>7742</v>
      </c>
      <c r="AC3546" s="82" t="s">
        <v>7750</v>
      </c>
      <c r="AD3546" s="77" t="s">
        <v>7788</v>
      </c>
      <c r="AE3546" s="80" t="str">
        <f>HYPERLINK("https://twitter.com/einvestidor/status/1706655289695474036")</f>
        <v>https://twitter.com/einvestidor/status/1706655289695474036</v>
      </c>
      <c r="AF3546" s="79">
        <v>45195.542858796296</v>
      </c>
      <c r="AG3546" s="85">
        <v>45195</v>
      </c>
      <c r="AH3546" s="82" t="s">
        <v>10075</v>
      </c>
      <c r="AI3546" s="77" t="b">
        <v>0</v>
      </c>
      <c r="AJ3546" s="77"/>
      <c r="AK3546" s="77"/>
      <c r="AL3546" s="77"/>
      <c r="AM3546" s="77"/>
      <c r="AN3546" s="77"/>
      <c r="AO3546" s="77"/>
      <c r="AP3546" s="77"/>
      <c r="AQ3546" s="77" t="s">
        <v>11640</v>
      </c>
      <c r="AR3546" s="77"/>
      <c r="AS3546" s="77"/>
      <c r="AT3546" s="77"/>
      <c r="AU3546" s="77"/>
      <c r="AV3546" s="80" t="str">
        <f>HYPERLINK("https://pbs.twimg.com/media/F69B75lWAAAIQrS.png")</f>
        <v>https://pbs.twimg.com/media/F69B75lWAAAIQrS.png</v>
      </c>
      <c r="AW3546" s="82" t="s">
        <v>15142</v>
      </c>
      <c r="AX3546" s="82" t="s">
        <v>15142</v>
      </c>
      <c r="AY3546" s="77"/>
      <c r="AZ3546" s="82" t="s">
        <v>15984</v>
      </c>
      <c r="BA3546" s="82" t="s">
        <v>15984</v>
      </c>
      <c r="BB3546" s="82" t="s">
        <v>15984</v>
      </c>
      <c r="BC3546" s="82" t="s">
        <v>15142</v>
      </c>
      <c r="BD3546" s="82" t="s">
        <v>15979</v>
      </c>
      <c r="BE3546" s="77"/>
      <c r="BF3546" s="77"/>
      <c r="BG3546" s="77"/>
      <c r="BH3546" s="77"/>
      <c r="BI3546" s="77"/>
    </row>
    <row r="3547" spans="1:61" x14ac:dyDescent="0.25">
      <c r="A3547" s="62" t="s">
        <v>387</v>
      </c>
      <c r="B3547" s="62" t="s">
        <v>387</v>
      </c>
      <c r="C3547" s="63"/>
      <c r="D3547" s="64"/>
      <c r="E3547" s="65"/>
      <c r="F3547" s="66"/>
      <c r="G3547" s="63"/>
      <c r="H3547" s="67"/>
      <c r="I3547" s="68"/>
      <c r="J3547" s="68"/>
      <c r="K3547" s="32"/>
      <c r="L3547" s="75">
        <v>3547</v>
      </c>
      <c r="M3547" s="75"/>
      <c r="N3547" s="70"/>
      <c r="O3547" s="77" t="s">
        <v>179</v>
      </c>
      <c r="P3547" s="79">
        <v>45194.989583333336</v>
      </c>
      <c r="Q3547" s="77" t="s">
        <v>4217</v>
      </c>
      <c r="R3547" s="77">
        <v>0</v>
      </c>
      <c r="S3547" s="77">
        <v>4</v>
      </c>
      <c r="T3547" s="77">
        <v>0</v>
      </c>
      <c r="U3547" s="77">
        <v>0</v>
      </c>
      <c r="V3547" s="77">
        <v>852</v>
      </c>
      <c r="W3547" s="82" t="s">
        <v>5907</v>
      </c>
      <c r="X3547" s="80" t="str">
        <f>HYPERLINK("https://einvestidor.estadao.com.br/ultimas/vale3-vale-acoes-fecham-queda-anuncio-evergrande//?utm_source=twitter&amp;utm_medium=organic&amp;utm_campaign=&amp;utm_content=materia")</f>
        <v>https://einvestidor.estadao.com.br/ultimas/vale3-vale-acoes-fecham-queda-anuncio-evergrande//?utm_source=twitter&amp;utm_medium=organic&amp;utm_campaign=&amp;utm_content=materia</v>
      </c>
      <c r="Y3547" s="77" t="s">
        <v>6470</v>
      </c>
      <c r="Z3547" s="77"/>
      <c r="AA3547" s="77" t="s">
        <v>7669</v>
      </c>
      <c r="AB3547" s="77" t="s">
        <v>7742</v>
      </c>
      <c r="AC3547" s="82" t="s">
        <v>7750</v>
      </c>
      <c r="AD3547" s="77" t="s">
        <v>7788</v>
      </c>
      <c r="AE3547" s="80" t="str">
        <f>HYPERLINK("https://twitter.com/einvestidor/status/1706454786919575642")</f>
        <v>https://twitter.com/einvestidor/status/1706454786919575642</v>
      </c>
      <c r="AF3547" s="79">
        <v>45194.989583333336</v>
      </c>
      <c r="AG3547" s="85">
        <v>45194</v>
      </c>
      <c r="AH3547" s="82" t="s">
        <v>9620</v>
      </c>
      <c r="AI3547" s="77" t="b">
        <v>0</v>
      </c>
      <c r="AJ3547" s="77"/>
      <c r="AK3547" s="77"/>
      <c r="AL3547" s="77"/>
      <c r="AM3547" s="77"/>
      <c r="AN3547" s="77"/>
      <c r="AO3547" s="77"/>
      <c r="AP3547" s="77"/>
      <c r="AQ3547" s="77" t="s">
        <v>11641</v>
      </c>
      <c r="AR3547" s="77"/>
      <c r="AS3547" s="77"/>
      <c r="AT3547" s="77"/>
      <c r="AU3547" s="77"/>
      <c r="AV3547" s="80" t="str">
        <f>HYPERLINK("https://pbs.twimg.com/media/F65_yRuWUAAf7Pl.jpg")</f>
        <v>https://pbs.twimg.com/media/F65_yRuWUAAf7Pl.jpg</v>
      </c>
      <c r="AW3547" s="82" t="s">
        <v>15143</v>
      </c>
      <c r="AX3547" s="82" t="s">
        <v>15143</v>
      </c>
      <c r="AY3547" s="77"/>
      <c r="AZ3547" s="82" t="s">
        <v>15984</v>
      </c>
      <c r="BA3547" s="82" t="s">
        <v>15984</v>
      </c>
      <c r="BB3547" s="82" t="s">
        <v>15984</v>
      </c>
      <c r="BC3547" s="82" t="s">
        <v>15143</v>
      </c>
      <c r="BD3547" s="82" t="s">
        <v>15979</v>
      </c>
      <c r="BE3547" s="77"/>
      <c r="BF3547" s="77"/>
      <c r="BG3547" s="77"/>
      <c r="BH3547" s="77"/>
      <c r="BI3547" s="77"/>
    </row>
    <row r="3548" spans="1:61" x14ac:dyDescent="0.25">
      <c r="A3548" s="62" t="s">
        <v>387</v>
      </c>
      <c r="B3548" s="62" t="s">
        <v>387</v>
      </c>
      <c r="C3548" s="63"/>
      <c r="D3548" s="64"/>
      <c r="E3548" s="65"/>
      <c r="F3548" s="66"/>
      <c r="G3548" s="63"/>
      <c r="H3548" s="67"/>
      <c r="I3548" s="68"/>
      <c r="J3548" s="68"/>
      <c r="K3548" s="32"/>
      <c r="L3548" s="75">
        <v>3548</v>
      </c>
      <c r="M3548" s="75"/>
      <c r="N3548" s="70"/>
      <c r="O3548" s="77" t="s">
        <v>179</v>
      </c>
      <c r="P3548" s="79">
        <v>45194.979166666664</v>
      </c>
      <c r="Q3548" s="77" t="s">
        <v>4218</v>
      </c>
      <c r="R3548" s="77">
        <v>1</v>
      </c>
      <c r="S3548" s="77">
        <v>2</v>
      </c>
      <c r="T3548" s="77">
        <v>0</v>
      </c>
      <c r="U3548" s="77">
        <v>0</v>
      </c>
      <c r="V3548" s="77">
        <v>661</v>
      </c>
      <c r="W3548" s="82" t="s">
        <v>6022</v>
      </c>
      <c r="X3548" s="80" t="str">
        <f>HYPERLINK("https://einvestidor.estadao.com.br/ultimas/juros-alta-acompanhando-curva-treasuries//?utm_source=twitter&amp;utm_medium=organic&amp;utm_campaign=&amp;utm_content=materia")</f>
        <v>https://einvestidor.estadao.com.br/ultimas/juros-alta-acompanhando-curva-treasuries//?utm_source=twitter&amp;utm_medium=organic&amp;utm_campaign=&amp;utm_content=materia</v>
      </c>
      <c r="Y3548" s="77" t="s">
        <v>6470</v>
      </c>
      <c r="Z3548" s="77"/>
      <c r="AA3548" s="77" t="s">
        <v>7670</v>
      </c>
      <c r="AB3548" s="77" t="s">
        <v>7742</v>
      </c>
      <c r="AC3548" s="82" t="s">
        <v>7750</v>
      </c>
      <c r="AD3548" s="77" t="s">
        <v>7788</v>
      </c>
      <c r="AE3548" s="80" t="str">
        <f>HYPERLINK("https://twitter.com/einvestidor/status/1706451013648183743")</f>
        <v>https://twitter.com/einvestidor/status/1706451013648183743</v>
      </c>
      <c r="AF3548" s="79">
        <v>45194.979166666664</v>
      </c>
      <c r="AG3548" s="85">
        <v>45194</v>
      </c>
      <c r="AH3548" s="82" t="s">
        <v>7928</v>
      </c>
      <c r="AI3548" s="77" t="b">
        <v>0</v>
      </c>
      <c r="AJ3548" s="77"/>
      <c r="AK3548" s="77"/>
      <c r="AL3548" s="77"/>
      <c r="AM3548" s="77"/>
      <c r="AN3548" s="77"/>
      <c r="AO3548" s="77"/>
      <c r="AP3548" s="77"/>
      <c r="AQ3548" s="77" t="s">
        <v>11642</v>
      </c>
      <c r="AR3548" s="77"/>
      <c r="AS3548" s="77"/>
      <c r="AT3548" s="77"/>
      <c r="AU3548" s="77"/>
      <c r="AV3548" s="80" t="str">
        <f>HYPERLINK("https://pbs.twimg.com/media/F65_dAsXwAAil2P.jpg")</f>
        <v>https://pbs.twimg.com/media/F65_dAsXwAAil2P.jpg</v>
      </c>
      <c r="AW3548" s="82" t="s">
        <v>15144</v>
      </c>
      <c r="AX3548" s="82" t="s">
        <v>15144</v>
      </c>
      <c r="AY3548" s="77"/>
      <c r="AZ3548" s="82" t="s">
        <v>15984</v>
      </c>
      <c r="BA3548" s="82" t="s">
        <v>15984</v>
      </c>
      <c r="BB3548" s="82" t="s">
        <v>15984</v>
      </c>
      <c r="BC3548" s="82" t="s">
        <v>15144</v>
      </c>
      <c r="BD3548" s="82" t="s">
        <v>15979</v>
      </c>
      <c r="BE3548" s="77"/>
      <c r="BF3548" s="77"/>
      <c r="BG3548" s="77"/>
      <c r="BH3548" s="77"/>
      <c r="BI3548" s="77"/>
    </row>
    <row r="3549" spans="1:61" x14ac:dyDescent="0.25">
      <c r="A3549" s="62" t="s">
        <v>387</v>
      </c>
      <c r="B3549" s="62" t="s">
        <v>387</v>
      </c>
      <c r="C3549" s="63"/>
      <c r="D3549" s="64"/>
      <c r="E3549" s="65"/>
      <c r="F3549" s="66"/>
      <c r="G3549" s="63"/>
      <c r="H3549" s="67"/>
      <c r="I3549" s="68"/>
      <c r="J3549" s="68"/>
      <c r="K3549" s="32"/>
      <c r="L3549" s="75">
        <v>3549</v>
      </c>
      <c r="M3549" s="75"/>
      <c r="N3549" s="70"/>
      <c r="O3549" s="77" t="s">
        <v>179</v>
      </c>
      <c r="P3549" s="79">
        <v>45194.894097222219</v>
      </c>
      <c r="Q3549" s="77" t="s">
        <v>4219</v>
      </c>
      <c r="R3549" s="77">
        <v>0</v>
      </c>
      <c r="S3549" s="77">
        <v>2</v>
      </c>
      <c r="T3549" s="77">
        <v>0</v>
      </c>
      <c r="U3549" s="77">
        <v>0</v>
      </c>
      <c r="V3549" s="77">
        <v>519</v>
      </c>
      <c r="W3549" s="82" t="s">
        <v>4833</v>
      </c>
      <c r="X3549" s="80" t="str">
        <f>HYPERLINK("https://einvestidor.estadao.com.br/mercado/fechamento-de-mercado-25-09-2023/?utm_source=twitter&amp;utm_medium=organic&amp;utm_campaign=&amp;utm_content=materia")</f>
        <v>https://einvestidor.estadao.com.br/mercado/fechamento-de-mercado-25-09-2023/?utm_source=twitter&amp;utm_medium=organic&amp;utm_campaign=&amp;utm_content=materia</v>
      </c>
      <c r="Y3549" s="77" t="s">
        <v>6470</v>
      </c>
      <c r="Z3549" s="77"/>
      <c r="AA3549" s="77"/>
      <c r="AB3549" s="77"/>
      <c r="AC3549" s="82" t="s">
        <v>7750</v>
      </c>
      <c r="AD3549" s="77" t="s">
        <v>7788</v>
      </c>
      <c r="AE3549" s="80" t="str">
        <f>HYPERLINK("https://twitter.com/einvestidor/status/1706420185115017552")</f>
        <v>https://twitter.com/einvestidor/status/1706420185115017552</v>
      </c>
      <c r="AF3549" s="79">
        <v>45194.894097222219</v>
      </c>
      <c r="AG3549" s="85">
        <v>45194</v>
      </c>
      <c r="AH3549" s="82" t="s">
        <v>10076</v>
      </c>
      <c r="AI3549" s="77" t="b">
        <v>0</v>
      </c>
      <c r="AJ3549" s="77"/>
      <c r="AK3549" s="77"/>
      <c r="AL3549" s="77"/>
      <c r="AM3549" s="77"/>
      <c r="AN3549" s="77"/>
      <c r="AO3549" s="77"/>
      <c r="AP3549" s="77"/>
      <c r="AQ3549" s="77"/>
      <c r="AR3549" s="77"/>
      <c r="AS3549" s="77"/>
      <c r="AT3549" s="77"/>
      <c r="AU3549" s="77"/>
      <c r="AV3549" s="80" t="str">
        <f>HYPERLINK("https://pbs.twimg.com/profile_images/1241147984924082183/gZgx_hL-_normal.jpg")</f>
        <v>https://pbs.twimg.com/profile_images/1241147984924082183/gZgx_hL-_normal.jpg</v>
      </c>
      <c r="AW3549" s="82" t="s">
        <v>15145</v>
      </c>
      <c r="AX3549" s="82" t="s">
        <v>15145</v>
      </c>
      <c r="AY3549" s="77"/>
      <c r="AZ3549" s="82" t="s">
        <v>15984</v>
      </c>
      <c r="BA3549" s="82" t="s">
        <v>15984</v>
      </c>
      <c r="BB3549" s="82" t="s">
        <v>15984</v>
      </c>
      <c r="BC3549" s="82" t="s">
        <v>15145</v>
      </c>
      <c r="BD3549" s="82" t="s">
        <v>15979</v>
      </c>
      <c r="BE3549" s="77"/>
      <c r="BF3549" s="77"/>
      <c r="BG3549" s="77"/>
      <c r="BH3549" s="77"/>
      <c r="BI3549" s="77"/>
    </row>
    <row r="3550" spans="1:61" x14ac:dyDescent="0.25">
      <c r="A3550" s="62" t="s">
        <v>387</v>
      </c>
      <c r="B3550" s="62" t="s">
        <v>387</v>
      </c>
      <c r="C3550" s="63"/>
      <c r="D3550" s="64"/>
      <c r="E3550" s="65"/>
      <c r="F3550" s="66"/>
      <c r="G3550" s="63"/>
      <c r="H3550" s="67"/>
      <c r="I3550" s="68"/>
      <c r="J3550" s="68"/>
      <c r="K3550" s="32"/>
      <c r="L3550" s="75">
        <v>3550</v>
      </c>
      <c r="M3550" s="75"/>
      <c r="N3550" s="70"/>
      <c r="O3550" s="77" t="s">
        <v>179</v>
      </c>
      <c r="P3550" s="79">
        <v>45194.893622685187</v>
      </c>
      <c r="Q3550" s="77" t="s">
        <v>4220</v>
      </c>
      <c r="R3550" s="77">
        <v>0</v>
      </c>
      <c r="S3550" s="77">
        <v>1</v>
      </c>
      <c r="T3550" s="77">
        <v>1</v>
      </c>
      <c r="U3550" s="77">
        <v>0</v>
      </c>
      <c r="V3550" s="77">
        <v>593</v>
      </c>
      <c r="W3550" s="82" t="s">
        <v>6336</v>
      </c>
      <c r="X3550" s="80" t="str">
        <f>HYPERLINK("https://einvestidor.estadao.com.br/mercado/ibovespa-hoje-acoes-baixa-magazine-luiza-mglu3-gol-goll4-azul-azul4/?utm_source=twitter&amp;utm_medium=organic&amp;utm_campaign=&amp;utm_content=materia")</f>
        <v>https://einvestidor.estadao.com.br/mercado/ibovespa-hoje-acoes-baixa-magazine-luiza-mglu3-gol-goll4-azul-azul4/?utm_source=twitter&amp;utm_medium=organic&amp;utm_campaign=&amp;utm_content=materia</v>
      </c>
      <c r="Y3550" s="77" t="s">
        <v>6470</v>
      </c>
      <c r="Z3550" s="77"/>
      <c r="AA3550" s="77"/>
      <c r="AB3550" s="77"/>
      <c r="AC3550" s="82" t="s">
        <v>7750</v>
      </c>
      <c r="AD3550" s="77" t="s">
        <v>7788</v>
      </c>
      <c r="AE3550" s="80" t="str">
        <f>HYPERLINK("https://twitter.com/einvestidor/status/1706420012829835341")</f>
        <v>https://twitter.com/einvestidor/status/1706420012829835341</v>
      </c>
      <c r="AF3550" s="79">
        <v>45194.893622685187</v>
      </c>
      <c r="AG3550" s="85">
        <v>45194</v>
      </c>
      <c r="AH3550" s="82" t="s">
        <v>10077</v>
      </c>
      <c r="AI3550" s="77" t="b">
        <v>0</v>
      </c>
      <c r="AJ3550" s="77"/>
      <c r="AK3550" s="77"/>
      <c r="AL3550" s="77"/>
      <c r="AM3550" s="77"/>
      <c r="AN3550" s="77"/>
      <c r="AO3550" s="77"/>
      <c r="AP3550" s="77"/>
      <c r="AQ3550" s="77"/>
      <c r="AR3550" s="77"/>
      <c r="AS3550" s="77"/>
      <c r="AT3550" s="77"/>
      <c r="AU3550" s="77"/>
      <c r="AV3550" s="80" t="str">
        <f>HYPERLINK("https://pbs.twimg.com/profile_images/1241147984924082183/gZgx_hL-_normal.jpg")</f>
        <v>https://pbs.twimg.com/profile_images/1241147984924082183/gZgx_hL-_normal.jpg</v>
      </c>
      <c r="AW3550" s="82" t="s">
        <v>15146</v>
      </c>
      <c r="AX3550" s="82" t="s">
        <v>15146</v>
      </c>
      <c r="AY3550" s="77"/>
      <c r="AZ3550" s="82" t="s">
        <v>15984</v>
      </c>
      <c r="BA3550" s="82" t="s">
        <v>15984</v>
      </c>
      <c r="BB3550" s="82" t="s">
        <v>15984</v>
      </c>
      <c r="BC3550" s="82" t="s">
        <v>15146</v>
      </c>
      <c r="BD3550" s="82" t="s">
        <v>15979</v>
      </c>
      <c r="BE3550" s="77"/>
      <c r="BF3550" s="77"/>
      <c r="BG3550" s="77"/>
      <c r="BH3550" s="77"/>
      <c r="BI3550" s="77"/>
    </row>
    <row r="3551" spans="1:61" x14ac:dyDescent="0.25">
      <c r="A3551" s="62" t="s">
        <v>387</v>
      </c>
      <c r="B3551" s="62" t="s">
        <v>387</v>
      </c>
      <c r="C3551" s="63"/>
      <c r="D3551" s="64"/>
      <c r="E3551" s="65"/>
      <c r="F3551" s="66"/>
      <c r="G3551" s="63"/>
      <c r="H3551" s="67"/>
      <c r="I3551" s="68"/>
      <c r="J3551" s="68"/>
      <c r="K3551" s="32"/>
      <c r="L3551" s="75">
        <v>3551</v>
      </c>
      <c r="M3551" s="75"/>
      <c r="N3551" s="70"/>
      <c r="O3551" s="77" t="s">
        <v>179</v>
      </c>
      <c r="P3551" s="79">
        <v>45194.89271990741</v>
      </c>
      <c r="Q3551" s="77" t="s">
        <v>4221</v>
      </c>
      <c r="R3551" s="77">
        <v>0</v>
      </c>
      <c r="S3551" s="77">
        <v>2</v>
      </c>
      <c r="T3551" s="77">
        <v>0</v>
      </c>
      <c r="U3551" s="77">
        <v>1</v>
      </c>
      <c r="V3551" s="77">
        <v>575</v>
      </c>
      <c r="W3551" s="82" t="s">
        <v>6337</v>
      </c>
      <c r="X3551" s="80" t="str">
        <f>HYPERLINK("https://einvestidor.estadao.com.br/mercado/ibovespa-hoje-acoes-alta-cvc-cvcb3-weg-wege3-irb-irbr3/?utm_source=twitter&amp;utm_medium=organic&amp;utm_campaign=&amp;utm_content=materia")</f>
        <v>https://einvestidor.estadao.com.br/mercado/ibovespa-hoje-acoes-alta-cvc-cvcb3-weg-wege3-irb-irbr3/?utm_source=twitter&amp;utm_medium=organic&amp;utm_campaign=&amp;utm_content=materia</v>
      </c>
      <c r="Y3551" s="77" t="s">
        <v>6470</v>
      </c>
      <c r="Z3551" s="77"/>
      <c r="AA3551" s="77"/>
      <c r="AB3551" s="77"/>
      <c r="AC3551" s="82" t="s">
        <v>7750</v>
      </c>
      <c r="AD3551" s="77" t="s">
        <v>7788</v>
      </c>
      <c r="AE3551" s="80" t="str">
        <f>HYPERLINK("https://twitter.com/einvestidor/status/1706419687788011737")</f>
        <v>https://twitter.com/einvestidor/status/1706419687788011737</v>
      </c>
      <c r="AF3551" s="79">
        <v>45194.89271990741</v>
      </c>
      <c r="AG3551" s="85">
        <v>45194</v>
      </c>
      <c r="AH3551" s="82" t="s">
        <v>10078</v>
      </c>
      <c r="AI3551" s="77" t="b">
        <v>0</v>
      </c>
      <c r="AJ3551" s="77"/>
      <c r="AK3551" s="77"/>
      <c r="AL3551" s="77"/>
      <c r="AM3551" s="77"/>
      <c r="AN3551" s="77"/>
      <c r="AO3551" s="77"/>
      <c r="AP3551" s="77"/>
      <c r="AQ3551" s="77"/>
      <c r="AR3551" s="77"/>
      <c r="AS3551" s="77"/>
      <c r="AT3551" s="77"/>
      <c r="AU3551" s="77"/>
      <c r="AV3551" s="80" t="str">
        <f>HYPERLINK("https://pbs.twimg.com/profile_images/1241147984924082183/gZgx_hL-_normal.jpg")</f>
        <v>https://pbs.twimg.com/profile_images/1241147984924082183/gZgx_hL-_normal.jpg</v>
      </c>
      <c r="AW3551" s="82" t="s">
        <v>15147</v>
      </c>
      <c r="AX3551" s="82" t="s">
        <v>15147</v>
      </c>
      <c r="AY3551" s="77"/>
      <c r="AZ3551" s="82" t="s">
        <v>15984</v>
      </c>
      <c r="BA3551" s="82" t="s">
        <v>15984</v>
      </c>
      <c r="BB3551" s="82" t="s">
        <v>15984</v>
      </c>
      <c r="BC3551" s="82" t="s">
        <v>15147</v>
      </c>
      <c r="BD3551" s="82" t="s">
        <v>15979</v>
      </c>
      <c r="BE3551" s="77"/>
      <c r="BF3551" s="77"/>
      <c r="BG3551" s="77"/>
      <c r="BH3551" s="77"/>
      <c r="BI3551" s="77"/>
    </row>
    <row r="3552" spans="1:61" x14ac:dyDescent="0.25">
      <c r="A3552" s="62" t="s">
        <v>387</v>
      </c>
      <c r="B3552" s="62" t="s">
        <v>387</v>
      </c>
      <c r="C3552" s="63"/>
      <c r="D3552" s="64"/>
      <c r="E3552" s="65"/>
      <c r="F3552" s="66"/>
      <c r="G3552" s="63"/>
      <c r="H3552" s="67"/>
      <c r="I3552" s="68"/>
      <c r="J3552" s="68"/>
      <c r="K3552" s="32"/>
      <c r="L3552" s="75">
        <v>3552</v>
      </c>
      <c r="M3552" s="75"/>
      <c r="N3552" s="70"/>
      <c r="O3552" s="77" t="s">
        <v>179</v>
      </c>
      <c r="P3552" s="79">
        <v>45194.486215277779</v>
      </c>
      <c r="Q3552" s="77" t="s">
        <v>4222</v>
      </c>
      <c r="R3552" s="77">
        <v>0</v>
      </c>
      <c r="S3552" s="77">
        <v>3</v>
      </c>
      <c r="T3552" s="77">
        <v>0</v>
      </c>
      <c r="U3552" s="77">
        <v>0</v>
      </c>
      <c r="V3552" s="77">
        <v>492</v>
      </c>
      <c r="W3552" s="82" t="s">
        <v>4839</v>
      </c>
      <c r="X3552" s="80" t="str">
        <f>HYPERLINK("https://einvestidor.estadao.com.br/mercado/mercado-hoje-palestra-haddad-fgv-falas-bce-semana-agenda-robusta/?utm_source=twitter&amp;utm_medium=organic&amp;utm_campaign=mercado-hoje&amp;utm_content=materia")</f>
        <v>https://einvestidor.estadao.com.br/mercado/mercado-hoje-palestra-haddad-fgv-falas-bce-semana-agenda-robusta/?utm_source=twitter&amp;utm_medium=organic&amp;utm_campaign=mercado-hoje&amp;utm_content=materia</v>
      </c>
      <c r="Y3552" s="77" t="s">
        <v>6470</v>
      </c>
      <c r="Z3552" s="77"/>
      <c r="AA3552" s="77" t="s">
        <v>7671</v>
      </c>
      <c r="AB3552" s="77" t="s">
        <v>7742</v>
      </c>
      <c r="AC3552" s="82" t="s">
        <v>7750</v>
      </c>
      <c r="AD3552" s="77" t="s">
        <v>7788</v>
      </c>
      <c r="AE3552" s="80" t="str">
        <f>HYPERLINK("https://twitter.com/einvestidor/status/1706272374851534930")</f>
        <v>https://twitter.com/einvestidor/status/1706272374851534930</v>
      </c>
      <c r="AF3552" s="79">
        <v>45194.486215277779</v>
      </c>
      <c r="AG3552" s="85">
        <v>45194</v>
      </c>
      <c r="AH3552" s="82" t="s">
        <v>10079</v>
      </c>
      <c r="AI3552" s="77" t="b">
        <v>0</v>
      </c>
      <c r="AJ3552" s="77"/>
      <c r="AK3552" s="77"/>
      <c r="AL3552" s="77"/>
      <c r="AM3552" s="77"/>
      <c r="AN3552" s="77"/>
      <c r="AO3552" s="77"/>
      <c r="AP3552" s="77"/>
      <c r="AQ3552" s="77" t="s">
        <v>11643</v>
      </c>
      <c r="AR3552" s="77"/>
      <c r="AS3552" s="77"/>
      <c r="AT3552" s="77"/>
      <c r="AU3552" s="77"/>
      <c r="AV3552" s="80" t="str">
        <f>HYPERLINK("https://pbs.twimg.com/media/F63lqgbXYAAmky0.png")</f>
        <v>https://pbs.twimg.com/media/F63lqgbXYAAmky0.png</v>
      </c>
      <c r="AW3552" s="82" t="s">
        <v>15148</v>
      </c>
      <c r="AX3552" s="82" t="s">
        <v>15148</v>
      </c>
      <c r="AY3552" s="77"/>
      <c r="AZ3552" s="82" t="s">
        <v>15984</v>
      </c>
      <c r="BA3552" s="82" t="s">
        <v>15984</v>
      </c>
      <c r="BB3552" s="82" t="s">
        <v>15984</v>
      </c>
      <c r="BC3552" s="82" t="s">
        <v>15148</v>
      </c>
      <c r="BD3552" s="82" t="s">
        <v>15979</v>
      </c>
      <c r="BE3552" s="77"/>
      <c r="BF3552" s="77"/>
      <c r="BG3552" s="77"/>
      <c r="BH3552" s="77"/>
      <c r="BI3552" s="77"/>
    </row>
    <row r="3553" spans="1:61" x14ac:dyDescent="0.25">
      <c r="A3553" s="62" t="s">
        <v>387</v>
      </c>
      <c r="B3553" s="62" t="s">
        <v>387</v>
      </c>
      <c r="C3553" s="63"/>
      <c r="D3553" s="64"/>
      <c r="E3553" s="65"/>
      <c r="F3553" s="66"/>
      <c r="G3553" s="63"/>
      <c r="H3553" s="67"/>
      <c r="I3553" s="68"/>
      <c r="J3553" s="68"/>
      <c r="K3553" s="32"/>
      <c r="L3553" s="75">
        <v>3553</v>
      </c>
      <c r="M3553" s="75"/>
      <c r="N3553" s="70"/>
      <c r="O3553" s="77" t="s">
        <v>179</v>
      </c>
      <c r="P3553" s="79">
        <v>45194.448518518519</v>
      </c>
      <c r="Q3553" s="77" t="s">
        <v>4223</v>
      </c>
      <c r="R3553" s="77">
        <v>0</v>
      </c>
      <c r="S3553" s="77">
        <v>2</v>
      </c>
      <c r="T3553" s="77">
        <v>0</v>
      </c>
      <c r="U3553" s="77">
        <v>0</v>
      </c>
      <c r="V3553" s="77">
        <v>546</v>
      </c>
      <c r="W3553" s="82" t="s">
        <v>4839</v>
      </c>
      <c r="X3553" s="80" t="str">
        <f>HYPERLINK("https://einvestidor.estadao.com.br/ultimas/bolsas-da-asia-fechamento-setor-imobiliario-chines/?utm_source=twitter&amp;utm_medium=organic&amp;utm_campaign=asia&amp;utm_content=materia")</f>
        <v>https://einvestidor.estadao.com.br/ultimas/bolsas-da-asia-fechamento-setor-imobiliario-chines/?utm_source=twitter&amp;utm_medium=organic&amp;utm_campaign=asia&amp;utm_content=materia</v>
      </c>
      <c r="Y3553" s="77" t="s">
        <v>6470</v>
      </c>
      <c r="Z3553" s="77"/>
      <c r="AA3553" s="77" t="s">
        <v>7672</v>
      </c>
      <c r="AB3553" s="77" t="s">
        <v>7742</v>
      </c>
      <c r="AC3553" s="82" t="s">
        <v>7750</v>
      </c>
      <c r="AD3553" s="77" t="s">
        <v>7788</v>
      </c>
      <c r="AE3553" s="80" t="str">
        <f>HYPERLINK("https://twitter.com/einvestidor/status/1706258711948259589")</f>
        <v>https://twitter.com/einvestidor/status/1706258711948259589</v>
      </c>
      <c r="AF3553" s="79">
        <v>45194.448518518519</v>
      </c>
      <c r="AG3553" s="85">
        <v>45194</v>
      </c>
      <c r="AH3553" s="82" t="s">
        <v>10080</v>
      </c>
      <c r="AI3553" s="77" t="b">
        <v>0</v>
      </c>
      <c r="AJ3553" s="77"/>
      <c r="AK3553" s="77"/>
      <c r="AL3553" s="77"/>
      <c r="AM3553" s="77"/>
      <c r="AN3553" s="77"/>
      <c r="AO3553" s="77"/>
      <c r="AP3553" s="77"/>
      <c r="AQ3553" s="77" t="s">
        <v>11644</v>
      </c>
      <c r="AR3553" s="77"/>
      <c r="AS3553" s="77"/>
      <c r="AT3553" s="77"/>
      <c r="AU3553" s="77"/>
      <c r="AV3553" s="80" t="str">
        <f>HYPERLINK("https://pbs.twimg.com/media/F63ZPwdXMAA9Lpu.png")</f>
        <v>https://pbs.twimg.com/media/F63ZPwdXMAA9Lpu.png</v>
      </c>
      <c r="AW3553" s="82" t="s">
        <v>15149</v>
      </c>
      <c r="AX3553" s="82" t="s">
        <v>15149</v>
      </c>
      <c r="AY3553" s="77"/>
      <c r="AZ3553" s="82" t="s">
        <v>15984</v>
      </c>
      <c r="BA3553" s="82" t="s">
        <v>15984</v>
      </c>
      <c r="BB3553" s="82" t="s">
        <v>15984</v>
      </c>
      <c r="BC3553" s="82" t="s">
        <v>15149</v>
      </c>
      <c r="BD3553" s="82" t="s">
        <v>15979</v>
      </c>
      <c r="BE3553" s="77"/>
      <c r="BF3553" s="77"/>
      <c r="BG3553" s="77"/>
      <c r="BH3553" s="77"/>
      <c r="BI3553" s="77"/>
    </row>
    <row r="3554" spans="1:61" x14ac:dyDescent="0.25">
      <c r="A3554" s="62" t="s">
        <v>387</v>
      </c>
      <c r="B3554" s="62" t="s">
        <v>387</v>
      </c>
      <c r="C3554" s="63"/>
      <c r="D3554" s="64"/>
      <c r="E3554" s="65"/>
      <c r="F3554" s="66"/>
      <c r="G3554" s="63"/>
      <c r="H3554" s="67"/>
      <c r="I3554" s="68"/>
      <c r="J3554" s="68"/>
      <c r="K3554" s="32"/>
      <c r="L3554" s="75">
        <v>3554</v>
      </c>
      <c r="M3554" s="75"/>
      <c r="N3554" s="70"/>
      <c r="O3554" s="77" t="s">
        <v>179</v>
      </c>
      <c r="P3554" s="79">
        <v>45192.833333333336</v>
      </c>
      <c r="Q3554" s="77" t="s">
        <v>4224</v>
      </c>
      <c r="R3554" s="77">
        <v>0</v>
      </c>
      <c r="S3554" s="77">
        <v>0</v>
      </c>
      <c r="T3554" s="77">
        <v>0</v>
      </c>
      <c r="U3554" s="77">
        <v>0</v>
      </c>
      <c r="V3554" s="77">
        <v>619</v>
      </c>
      <c r="W3554" s="82" t="s">
        <v>5992</v>
      </c>
      <c r="X3554" s="80" t="str">
        <f>HYPERLINK("https://einvestidor.estadao.com.br/comportamento/a-historia-5-bilionarios-mais-ricos-do-mundo/?utm_source=twitter&amp;utm_medium=organic&amp;utm_campaign=&amp;utm_content=materia")</f>
        <v>https://einvestidor.estadao.com.br/comportamento/a-historia-5-bilionarios-mais-ricos-do-mundo/?utm_source=twitter&amp;utm_medium=organic&amp;utm_campaign=&amp;utm_content=materia</v>
      </c>
      <c r="Y3554" s="77" t="s">
        <v>6470</v>
      </c>
      <c r="Z3554" s="77"/>
      <c r="AA3554" s="77"/>
      <c r="AB3554" s="77"/>
      <c r="AC3554" s="82" t="s">
        <v>7750</v>
      </c>
      <c r="AD3554" s="77" t="s">
        <v>7801</v>
      </c>
      <c r="AE3554" s="80" t="str">
        <f>HYPERLINK("https://twitter.com/einvestidor/status/1705673388713263154")</f>
        <v>https://twitter.com/einvestidor/status/1705673388713263154</v>
      </c>
      <c r="AF3554" s="79">
        <v>45192.833333333336</v>
      </c>
      <c r="AG3554" s="85">
        <v>45192</v>
      </c>
      <c r="AH3554" s="82" t="s">
        <v>8381</v>
      </c>
      <c r="AI3554" s="77" t="b">
        <v>0</v>
      </c>
      <c r="AJ3554" s="77"/>
      <c r="AK3554" s="77"/>
      <c r="AL3554" s="77"/>
      <c r="AM3554" s="77"/>
      <c r="AN3554" s="77"/>
      <c r="AO3554" s="77"/>
      <c r="AP3554" s="77"/>
      <c r="AQ3554" s="77"/>
      <c r="AR3554" s="77"/>
      <c r="AS3554" s="77"/>
      <c r="AT3554" s="77"/>
      <c r="AU3554" s="77"/>
      <c r="AV3554" s="80" t="str">
        <f>HYPERLINK("https://pbs.twimg.com/profile_images/1241147984924082183/gZgx_hL-_normal.jpg")</f>
        <v>https://pbs.twimg.com/profile_images/1241147984924082183/gZgx_hL-_normal.jpg</v>
      </c>
      <c r="AW3554" s="82" t="s">
        <v>15150</v>
      </c>
      <c r="AX3554" s="82" t="s">
        <v>15150</v>
      </c>
      <c r="AY3554" s="77"/>
      <c r="AZ3554" s="82" t="s">
        <v>15984</v>
      </c>
      <c r="BA3554" s="82" t="s">
        <v>15984</v>
      </c>
      <c r="BB3554" s="82" t="s">
        <v>15984</v>
      </c>
      <c r="BC3554" s="82" t="s">
        <v>15150</v>
      </c>
      <c r="BD3554" s="82" t="s">
        <v>15979</v>
      </c>
      <c r="BE3554" s="77"/>
      <c r="BF3554" s="77"/>
      <c r="BG3554" s="77"/>
      <c r="BH3554" s="77"/>
      <c r="BI3554" s="77"/>
    </row>
    <row r="3555" spans="1:61" x14ac:dyDescent="0.25">
      <c r="A3555" s="62" t="s">
        <v>387</v>
      </c>
      <c r="B3555" s="62" t="s">
        <v>387</v>
      </c>
      <c r="C3555" s="63"/>
      <c r="D3555" s="64"/>
      <c r="E3555" s="65"/>
      <c r="F3555" s="66"/>
      <c r="G3555" s="63"/>
      <c r="H3555" s="67"/>
      <c r="I3555" s="68"/>
      <c r="J3555" s="68"/>
      <c r="K3555" s="32"/>
      <c r="L3555" s="75">
        <v>3555</v>
      </c>
      <c r="M3555" s="75"/>
      <c r="N3555" s="70"/>
      <c r="O3555" s="77" t="s">
        <v>179</v>
      </c>
      <c r="P3555" s="79">
        <v>45191</v>
      </c>
      <c r="Q3555" s="77" t="s">
        <v>4225</v>
      </c>
      <c r="R3555" s="77">
        <v>0</v>
      </c>
      <c r="S3555" s="77">
        <v>1</v>
      </c>
      <c r="T3555" s="77">
        <v>0</v>
      </c>
      <c r="U3555" s="77">
        <v>0</v>
      </c>
      <c r="V3555" s="77">
        <v>783</v>
      </c>
      <c r="W3555" s="82" t="s">
        <v>6282</v>
      </c>
      <c r="X3555" s="80" t="str">
        <f>HYPERLINK("https://einvestidor.estadao.com.br/comportamento/virus-do-pix-ataca-financas-como-se-proteger/?utm_source=twitter&amp;utm_medium=organic&amp;utm_campaign=&amp;utm_content=materia")</f>
        <v>https://einvestidor.estadao.com.br/comportamento/virus-do-pix-ataca-financas-como-se-proteger/?utm_source=twitter&amp;utm_medium=organic&amp;utm_campaign=&amp;utm_content=materia</v>
      </c>
      <c r="Y3555" s="77" t="s">
        <v>6470</v>
      </c>
      <c r="Z3555" s="77"/>
      <c r="AA3555" s="77" t="s">
        <v>7673</v>
      </c>
      <c r="AB3555" s="77" t="s">
        <v>7742</v>
      </c>
      <c r="AC3555" s="82" t="s">
        <v>7750</v>
      </c>
      <c r="AD3555" s="77" t="s">
        <v>7788</v>
      </c>
      <c r="AE3555" s="80" t="str">
        <f>HYPERLINK("https://twitter.com/einvestidor/status/1705009013228757050")</f>
        <v>https://twitter.com/einvestidor/status/1705009013228757050</v>
      </c>
      <c r="AF3555" s="79">
        <v>45191</v>
      </c>
      <c r="AG3555" s="85">
        <v>45191</v>
      </c>
      <c r="AH3555" s="82" t="s">
        <v>9300</v>
      </c>
      <c r="AI3555" s="77" t="b">
        <v>0</v>
      </c>
      <c r="AJ3555" s="77"/>
      <c r="AK3555" s="77"/>
      <c r="AL3555" s="77"/>
      <c r="AM3555" s="77"/>
      <c r="AN3555" s="77"/>
      <c r="AO3555" s="77"/>
      <c r="AP3555" s="77"/>
      <c r="AQ3555" s="77" t="s">
        <v>11645</v>
      </c>
      <c r="AR3555" s="77"/>
      <c r="AS3555" s="77"/>
      <c r="AT3555" s="77"/>
      <c r="AU3555" s="77"/>
      <c r="AV3555" s="80" t="str">
        <f>HYPERLINK("https://pbs.twimg.com/media/F6lOUzXXAAA_njR.jpg")</f>
        <v>https://pbs.twimg.com/media/F6lOUzXXAAA_njR.jpg</v>
      </c>
      <c r="AW3555" s="82" t="s">
        <v>15151</v>
      </c>
      <c r="AX3555" s="82" t="s">
        <v>15151</v>
      </c>
      <c r="AY3555" s="77"/>
      <c r="AZ3555" s="82" t="s">
        <v>15984</v>
      </c>
      <c r="BA3555" s="82" t="s">
        <v>15984</v>
      </c>
      <c r="BB3555" s="82" t="s">
        <v>15984</v>
      </c>
      <c r="BC3555" s="82" t="s">
        <v>15151</v>
      </c>
      <c r="BD3555" s="82" t="s">
        <v>15979</v>
      </c>
      <c r="BE3555" s="77"/>
      <c r="BF3555" s="77"/>
      <c r="BG3555" s="77"/>
      <c r="BH3555" s="77"/>
      <c r="BI3555" s="77"/>
    </row>
    <row r="3556" spans="1:61" x14ac:dyDescent="0.25">
      <c r="A3556" s="62" t="s">
        <v>387</v>
      </c>
      <c r="B3556" s="62" t="s">
        <v>387</v>
      </c>
      <c r="C3556" s="63"/>
      <c r="D3556" s="64"/>
      <c r="E3556" s="65"/>
      <c r="F3556" s="66"/>
      <c r="G3556" s="63"/>
      <c r="H3556" s="67"/>
      <c r="I3556" s="68"/>
      <c r="J3556" s="68"/>
      <c r="K3556" s="32"/>
      <c r="L3556" s="75">
        <v>3556</v>
      </c>
      <c r="M3556" s="75"/>
      <c r="N3556" s="70"/>
      <c r="O3556" s="77" t="s">
        <v>179</v>
      </c>
      <c r="P3556" s="79">
        <v>45190.989583333336</v>
      </c>
      <c r="Q3556" s="77" t="s">
        <v>4226</v>
      </c>
      <c r="R3556" s="77">
        <v>0</v>
      </c>
      <c r="S3556" s="77">
        <v>0</v>
      </c>
      <c r="T3556" s="77">
        <v>0</v>
      </c>
      <c r="U3556" s="77">
        <v>0</v>
      </c>
      <c r="V3556" s="77">
        <v>521</v>
      </c>
      <c r="W3556" s="82" t="s">
        <v>5902</v>
      </c>
      <c r="X3556" s="80" t="str">
        <f>HYPERLINK("https://einvestidor.estadao.com.br/ultimas/dolar-hoje-fecha-alta-perspectiva-juro-alto-periodo-longo-eua/?utm_source=twitter&amp;utm_medium=organic&amp;utm_campaign=&amp;utm_content=materia")</f>
        <v>https://einvestidor.estadao.com.br/ultimas/dolar-hoje-fecha-alta-perspectiva-juro-alto-periodo-longo-eua/?utm_source=twitter&amp;utm_medium=organic&amp;utm_campaign=&amp;utm_content=materia</v>
      </c>
      <c r="Y3556" s="77" t="s">
        <v>6470</v>
      </c>
      <c r="Z3556" s="77"/>
      <c r="AA3556" s="77"/>
      <c r="AB3556" s="77"/>
      <c r="AC3556" s="82" t="s">
        <v>7750</v>
      </c>
      <c r="AD3556" s="77" t="s">
        <v>7788</v>
      </c>
      <c r="AE3556" s="80" t="str">
        <f>HYPERLINK("https://twitter.com/einvestidor/status/1705005235406868684")</f>
        <v>https://twitter.com/einvestidor/status/1705005235406868684</v>
      </c>
      <c r="AF3556" s="79">
        <v>45190.989583333336</v>
      </c>
      <c r="AG3556" s="85">
        <v>45190</v>
      </c>
      <c r="AH3556" s="82" t="s">
        <v>9620</v>
      </c>
      <c r="AI3556" s="77" t="b">
        <v>0</v>
      </c>
      <c r="AJ3556" s="77"/>
      <c r="AK3556" s="77"/>
      <c r="AL3556" s="77"/>
      <c r="AM3556" s="77"/>
      <c r="AN3556" s="77"/>
      <c r="AO3556" s="77"/>
      <c r="AP3556" s="77"/>
      <c r="AQ3556" s="77"/>
      <c r="AR3556" s="77"/>
      <c r="AS3556" s="77"/>
      <c r="AT3556" s="77"/>
      <c r="AU3556" s="77"/>
      <c r="AV3556" s="80" t="str">
        <f>HYPERLINK("https://pbs.twimg.com/profile_images/1241147984924082183/gZgx_hL-_normal.jpg")</f>
        <v>https://pbs.twimg.com/profile_images/1241147984924082183/gZgx_hL-_normal.jpg</v>
      </c>
      <c r="AW3556" s="82" t="s">
        <v>15152</v>
      </c>
      <c r="AX3556" s="82" t="s">
        <v>15152</v>
      </c>
      <c r="AY3556" s="77"/>
      <c r="AZ3556" s="82" t="s">
        <v>15984</v>
      </c>
      <c r="BA3556" s="82" t="s">
        <v>15984</v>
      </c>
      <c r="BB3556" s="82" t="s">
        <v>15984</v>
      </c>
      <c r="BC3556" s="82" t="s">
        <v>15152</v>
      </c>
      <c r="BD3556" s="82" t="s">
        <v>15979</v>
      </c>
      <c r="BE3556" s="77"/>
      <c r="BF3556" s="77"/>
      <c r="BG3556" s="77"/>
      <c r="BH3556" s="77"/>
      <c r="BI3556" s="77"/>
    </row>
    <row r="3557" spans="1:61" x14ac:dyDescent="0.25">
      <c r="A3557" s="62" t="s">
        <v>387</v>
      </c>
      <c r="B3557" s="62" t="s">
        <v>387</v>
      </c>
      <c r="C3557" s="63"/>
      <c r="D3557" s="64"/>
      <c r="E3557" s="65"/>
      <c r="F3557" s="66"/>
      <c r="G3557" s="63"/>
      <c r="H3557" s="67"/>
      <c r="I3557" s="68"/>
      <c r="J3557" s="68"/>
      <c r="K3557" s="32"/>
      <c r="L3557" s="75">
        <v>3557</v>
      </c>
      <c r="M3557" s="75"/>
      <c r="N3557" s="70"/>
      <c r="O3557" s="77" t="s">
        <v>179</v>
      </c>
      <c r="P3557" s="79">
        <v>45190.979166666664</v>
      </c>
      <c r="Q3557" s="77" t="s">
        <v>4227</v>
      </c>
      <c r="R3557" s="77">
        <v>0</v>
      </c>
      <c r="S3557" s="77">
        <v>0</v>
      </c>
      <c r="T3557" s="77">
        <v>0</v>
      </c>
      <c r="U3557" s="77">
        <v>0</v>
      </c>
      <c r="V3557" s="77">
        <v>551</v>
      </c>
      <c r="W3557" s="82" t="s">
        <v>6064</v>
      </c>
      <c r="X3557" s="80" t="str">
        <f>HYPERLINK("https://einvestidor.estadao.com.br/ultimas/petr4-petrobras-acoes-preferenciais-encerram-pregao-petroleo/?utm_source=twitter&amp;utm_medium=organic&amp;utm_campaign=&amp;utm_content=materia")</f>
        <v>https://einvestidor.estadao.com.br/ultimas/petr4-petrobras-acoes-preferenciais-encerram-pregao-petroleo/?utm_source=twitter&amp;utm_medium=organic&amp;utm_campaign=&amp;utm_content=materia</v>
      </c>
      <c r="Y3557" s="77" t="s">
        <v>6470</v>
      </c>
      <c r="Z3557" s="77"/>
      <c r="AA3557" s="77"/>
      <c r="AB3557" s="77"/>
      <c r="AC3557" s="82" t="s">
        <v>7750</v>
      </c>
      <c r="AD3557" s="77" t="s">
        <v>7788</v>
      </c>
      <c r="AE3557" s="80" t="str">
        <f>HYPERLINK("https://twitter.com/einvestidor/status/1705001461351075870")</f>
        <v>https://twitter.com/einvestidor/status/1705001461351075870</v>
      </c>
      <c r="AF3557" s="79">
        <v>45190.979166666664</v>
      </c>
      <c r="AG3557" s="85">
        <v>45190</v>
      </c>
      <c r="AH3557" s="82" t="s">
        <v>7928</v>
      </c>
      <c r="AI3557" s="77" t="b">
        <v>0</v>
      </c>
      <c r="AJ3557" s="77"/>
      <c r="AK3557" s="77"/>
      <c r="AL3557" s="77"/>
      <c r="AM3557" s="77"/>
      <c r="AN3557" s="77"/>
      <c r="AO3557" s="77"/>
      <c r="AP3557" s="77"/>
      <c r="AQ3557" s="77"/>
      <c r="AR3557" s="77"/>
      <c r="AS3557" s="77"/>
      <c r="AT3557" s="77"/>
      <c r="AU3557" s="77"/>
      <c r="AV3557" s="80" t="str">
        <f>HYPERLINK("https://pbs.twimg.com/profile_images/1241147984924082183/gZgx_hL-_normal.jpg")</f>
        <v>https://pbs.twimg.com/profile_images/1241147984924082183/gZgx_hL-_normal.jpg</v>
      </c>
      <c r="AW3557" s="82" t="s">
        <v>15153</v>
      </c>
      <c r="AX3557" s="82" t="s">
        <v>15153</v>
      </c>
      <c r="AY3557" s="77"/>
      <c r="AZ3557" s="82" t="s">
        <v>15984</v>
      </c>
      <c r="BA3557" s="82" t="s">
        <v>15984</v>
      </c>
      <c r="BB3557" s="82" t="s">
        <v>15984</v>
      </c>
      <c r="BC3557" s="82" t="s">
        <v>15153</v>
      </c>
      <c r="BD3557" s="82" t="s">
        <v>15979</v>
      </c>
      <c r="BE3557" s="77"/>
      <c r="BF3557" s="77"/>
      <c r="BG3557" s="77"/>
      <c r="BH3557" s="77"/>
      <c r="BI3557" s="77"/>
    </row>
    <row r="3558" spans="1:61" x14ac:dyDescent="0.25">
      <c r="A3558" s="62" t="s">
        <v>387</v>
      </c>
      <c r="B3558" s="62" t="s">
        <v>387</v>
      </c>
      <c r="C3558" s="63"/>
      <c r="D3558" s="64"/>
      <c r="E3558" s="65"/>
      <c r="F3558" s="66"/>
      <c r="G3558" s="63"/>
      <c r="H3558" s="67"/>
      <c r="I3558" s="68"/>
      <c r="J3558" s="68"/>
      <c r="K3558" s="32"/>
      <c r="L3558" s="75">
        <v>3558</v>
      </c>
      <c r="M3558" s="75"/>
      <c r="N3558" s="70"/>
      <c r="O3558" s="77" t="s">
        <v>179</v>
      </c>
      <c r="P3558" s="79">
        <v>45190.96875</v>
      </c>
      <c r="Q3558" s="77" t="s">
        <v>4228</v>
      </c>
      <c r="R3558" s="77">
        <v>0</v>
      </c>
      <c r="S3558" s="77">
        <v>0</v>
      </c>
      <c r="T3558" s="77">
        <v>0</v>
      </c>
      <c r="U3558" s="77">
        <v>0</v>
      </c>
      <c r="V3558" s="77">
        <v>499</v>
      </c>
      <c r="W3558" s="82" t="s">
        <v>4833</v>
      </c>
      <c r="X3558" s="80" t="str">
        <f>HYPERLINK("https://einvestidor.estadao.com.br/ultimas/bolsas-nova-york-fecham-queda-juros-altos-mais-tempo-eua//?utm_source=twitter&amp;utm_medium=organic&amp;utm_campaign=&amp;utm_content=materia")</f>
        <v>https://einvestidor.estadao.com.br/ultimas/bolsas-nova-york-fecham-queda-juros-altos-mais-tempo-eua//?utm_source=twitter&amp;utm_medium=organic&amp;utm_campaign=&amp;utm_content=materia</v>
      </c>
      <c r="Y3558" s="77" t="s">
        <v>6470</v>
      </c>
      <c r="Z3558" s="77"/>
      <c r="AA3558" s="77" t="s">
        <v>7674</v>
      </c>
      <c r="AB3558" s="77" t="s">
        <v>7742</v>
      </c>
      <c r="AC3558" s="82" t="s">
        <v>7750</v>
      </c>
      <c r="AD3558" s="77" t="s">
        <v>7788</v>
      </c>
      <c r="AE3558" s="80" t="str">
        <f>HYPERLINK("https://twitter.com/einvestidor/status/1704997686083289519")</f>
        <v>https://twitter.com/einvestidor/status/1704997686083289519</v>
      </c>
      <c r="AF3558" s="79">
        <v>45190.96875</v>
      </c>
      <c r="AG3558" s="85">
        <v>45190</v>
      </c>
      <c r="AH3558" s="82" t="s">
        <v>9621</v>
      </c>
      <c r="AI3558" s="77" t="b">
        <v>0</v>
      </c>
      <c r="AJ3558" s="77"/>
      <c r="AK3558" s="77"/>
      <c r="AL3558" s="77"/>
      <c r="AM3558" s="77"/>
      <c r="AN3558" s="77"/>
      <c r="AO3558" s="77"/>
      <c r="AP3558" s="77"/>
      <c r="AQ3558" s="77" t="s">
        <v>11646</v>
      </c>
      <c r="AR3558" s="77"/>
      <c r="AS3558" s="77"/>
      <c r="AT3558" s="77"/>
      <c r="AU3558" s="77"/>
      <c r="AV3558" s="80" t="str">
        <f>HYPERLINK("https://pbs.twimg.com/media/F6lM0_BXcAAzAC1.jpg")</f>
        <v>https://pbs.twimg.com/media/F6lM0_BXcAAzAC1.jpg</v>
      </c>
      <c r="AW3558" s="82" t="s">
        <v>15154</v>
      </c>
      <c r="AX3558" s="82" t="s">
        <v>15154</v>
      </c>
      <c r="AY3558" s="77"/>
      <c r="AZ3558" s="82" t="s">
        <v>15984</v>
      </c>
      <c r="BA3558" s="82" t="s">
        <v>15984</v>
      </c>
      <c r="BB3558" s="82" t="s">
        <v>15984</v>
      </c>
      <c r="BC3558" s="82" t="s">
        <v>15154</v>
      </c>
      <c r="BD3558" s="82" t="s">
        <v>15979</v>
      </c>
      <c r="BE3558" s="77"/>
      <c r="BF3558" s="77"/>
      <c r="BG3558" s="77"/>
      <c r="BH3558" s="77"/>
      <c r="BI3558" s="77"/>
    </row>
    <row r="3559" spans="1:61" x14ac:dyDescent="0.25">
      <c r="A3559" s="62" t="s">
        <v>387</v>
      </c>
      <c r="B3559" s="62" t="s">
        <v>387</v>
      </c>
      <c r="C3559" s="63"/>
      <c r="D3559" s="64"/>
      <c r="E3559" s="65"/>
      <c r="F3559" s="66"/>
      <c r="G3559" s="63"/>
      <c r="H3559" s="67"/>
      <c r="I3559" s="68"/>
      <c r="J3559" s="68"/>
      <c r="K3559" s="32"/>
      <c r="L3559" s="75">
        <v>3559</v>
      </c>
      <c r="M3559" s="75"/>
      <c r="N3559" s="70"/>
      <c r="O3559" s="77" t="s">
        <v>179</v>
      </c>
      <c r="P3559" s="79">
        <v>45189.75</v>
      </c>
      <c r="Q3559" s="77" t="s">
        <v>4229</v>
      </c>
      <c r="R3559" s="77">
        <v>0</v>
      </c>
      <c r="S3559" s="77">
        <v>0</v>
      </c>
      <c r="T3559" s="77">
        <v>0</v>
      </c>
      <c r="U3559" s="77">
        <v>0</v>
      </c>
      <c r="V3559" s="77">
        <v>325</v>
      </c>
      <c r="W3559" s="82" t="s">
        <v>6338</v>
      </c>
      <c r="X3559" s="80" t="str">
        <f>HYPERLINK("https://einvestidor.estadao.com.br/ultimas/btg-pactual-bpac11-rebaixa-recomendacao-braskem-brkm5-confira/?utm_source=twitter&amp;utm_medium=organic&amp;utm_campaign=&amp;utm_content=materia")</f>
        <v>https://einvestidor.estadao.com.br/ultimas/btg-pactual-bpac11-rebaixa-recomendacao-braskem-brkm5-confira/?utm_source=twitter&amp;utm_medium=organic&amp;utm_campaign=&amp;utm_content=materia</v>
      </c>
      <c r="Y3559" s="77" t="s">
        <v>6470</v>
      </c>
      <c r="Z3559" s="77"/>
      <c r="AA3559" s="77"/>
      <c r="AB3559" s="77"/>
      <c r="AC3559" s="82" t="s">
        <v>7750</v>
      </c>
      <c r="AD3559" s="77" t="s">
        <v>7788</v>
      </c>
      <c r="AE3559" s="80" t="str">
        <f>HYPERLINK("https://twitter.com/einvestidor/status/1704556028401172536")</f>
        <v>https://twitter.com/einvestidor/status/1704556028401172536</v>
      </c>
      <c r="AF3559" s="79">
        <v>45189.75</v>
      </c>
      <c r="AG3559" s="85">
        <v>45189</v>
      </c>
      <c r="AH3559" s="82" t="s">
        <v>7934</v>
      </c>
      <c r="AI3559" s="77" t="b">
        <v>0</v>
      </c>
      <c r="AJ3559" s="77"/>
      <c r="AK3559" s="77"/>
      <c r="AL3559" s="77"/>
      <c r="AM3559" s="77"/>
      <c r="AN3559" s="77"/>
      <c r="AO3559" s="77"/>
      <c r="AP3559" s="77"/>
      <c r="AQ3559" s="77"/>
      <c r="AR3559" s="77"/>
      <c r="AS3559" s="77"/>
      <c r="AT3559" s="77"/>
      <c r="AU3559" s="77"/>
      <c r="AV3559" s="80" t="str">
        <f>HYPERLINK("https://pbs.twimg.com/profile_images/1241147984924082183/gZgx_hL-_normal.jpg")</f>
        <v>https://pbs.twimg.com/profile_images/1241147984924082183/gZgx_hL-_normal.jpg</v>
      </c>
      <c r="AW3559" s="82" t="s">
        <v>15155</v>
      </c>
      <c r="AX3559" s="82" t="s">
        <v>15155</v>
      </c>
      <c r="AY3559" s="77"/>
      <c r="AZ3559" s="82" t="s">
        <v>15984</v>
      </c>
      <c r="BA3559" s="82" t="s">
        <v>15984</v>
      </c>
      <c r="BB3559" s="82" t="s">
        <v>15984</v>
      </c>
      <c r="BC3559" s="82" t="s">
        <v>15155</v>
      </c>
      <c r="BD3559" s="82" t="s">
        <v>15979</v>
      </c>
      <c r="BE3559" s="77"/>
      <c r="BF3559" s="77"/>
      <c r="BG3559" s="77"/>
      <c r="BH3559" s="77"/>
      <c r="BI3559" s="77"/>
    </row>
    <row r="3560" spans="1:61" x14ac:dyDescent="0.25">
      <c r="A3560" s="62" t="s">
        <v>387</v>
      </c>
      <c r="B3560" s="62" t="s">
        <v>387</v>
      </c>
      <c r="C3560" s="63"/>
      <c r="D3560" s="64"/>
      <c r="E3560" s="65"/>
      <c r="F3560" s="66"/>
      <c r="G3560" s="63"/>
      <c r="H3560" s="67"/>
      <c r="I3560" s="68"/>
      <c r="J3560" s="68"/>
      <c r="K3560" s="32"/>
      <c r="L3560" s="75">
        <v>3560</v>
      </c>
      <c r="M3560" s="75"/>
      <c r="N3560" s="70"/>
      <c r="O3560" s="77" t="s">
        <v>179</v>
      </c>
      <c r="P3560" s="79">
        <v>45189.729166666664</v>
      </c>
      <c r="Q3560" s="77" t="s">
        <v>4230</v>
      </c>
      <c r="R3560" s="77">
        <v>0</v>
      </c>
      <c r="S3560" s="77">
        <v>0</v>
      </c>
      <c r="T3560" s="77">
        <v>0</v>
      </c>
      <c r="U3560" s="77">
        <v>0</v>
      </c>
      <c r="V3560" s="77">
        <v>305</v>
      </c>
      <c r="W3560" s="82" t="s">
        <v>4833</v>
      </c>
      <c r="X3560" s="80" t="str">
        <f>HYPERLINK("https://einvestidor.estadao.com.br/comportamento/milionaria-conheca-essa-loteria-da-caixa/?utm_source=twitter&amp;utm_medium=organic&amp;utm_campaign=&amp;utm_content=materia")</f>
        <v>https://einvestidor.estadao.com.br/comportamento/milionaria-conheca-essa-loteria-da-caixa/?utm_source=twitter&amp;utm_medium=organic&amp;utm_campaign=&amp;utm_content=materia</v>
      </c>
      <c r="Y3560" s="77" t="s">
        <v>6470</v>
      </c>
      <c r="Z3560" s="77"/>
      <c r="AA3560" s="77"/>
      <c r="AB3560" s="77"/>
      <c r="AC3560" s="82" t="s">
        <v>7750</v>
      </c>
      <c r="AD3560" s="77" t="s">
        <v>7788</v>
      </c>
      <c r="AE3560" s="80" t="str">
        <f>HYPERLINK("https://twitter.com/einvestidor/status/1704548478276493778")</f>
        <v>https://twitter.com/einvestidor/status/1704548478276493778</v>
      </c>
      <c r="AF3560" s="79">
        <v>45189.729166666664</v>
      </c>
      <c r="AG3560" s="85">
        <v>45189</v>
      </c>
      <c r="AH3560" s="82" t="s">
        <v>8091</v>
      </c>
      <c r="AI3560" s="77" t="b">
        <v>0</v>
      </c>
      <c r="AJ3560" s="77"/>
      <c r="AK3560" s="77"/>
      <c r="AL3560" s="77"/>
      <c r="AM3560" s="77"/>
      <c r="AN3560" s="77"/>
      <c r="AO3560" s="77"/>
      <c r="AP3560" s="77"/>
      <c r="AQ3560" s="77"/>
      <c r="AR3560" s="77"/>
      <c r="AS3560" s="77"/>
      <c r="AT3560" s="77"/>
      <c r="AU3560" s="77"/>
      <c r="AV3560" s="80" t="str">
        <f>HYPERLINK("https://pbs.twimg.com/profile_images/1241147984924082183/gZgx_hL-_normal.jpg")</f>
        <v>https://pbs.twimg.com/profile_images/1241147984924082183/gZgx_hL-_normal.jpg</v>
      </c>
      <c r="AW3560" s="82" t="s">
        <v>15156</v>
      </c>
      <c r="AX3560" s="82" t="s">
        <v>15156</v>
      </c>
      <c r="AY3560" s="77"/>
      <c r="AZ3560" s="82" t="s">
        <v>15984</v>
      </c>
      <c r="BA3560" s="82" t="s">
        <v>15984</v>
      </c>
      <c r="BB3560" s="82" t="s">
        <v>15984</v>
      </c>
      <c r="BC3560" s="82" t="s">
        <v>15156</v>
      </c>
      <c r="BD3560" s="82" t="s">
        <v>15979</v>
      </c>
      <c r="BE3560" s="77"/>
      <c r="BF3560" s="77"/>
      <c r="BG3560" s="77"/>
      <c r="BH3560" s="77"/>
      <c r="BI3560" s="77"/>
    </row>
    <row r="3561" spans="1:61" x14ac:dyDescent="0.25">
      <c r="A3561" s="62" t="s">
        <v>387</v>
      </c>
      <c r="B3561" s="62" t="s">
        <v>387</v>
      </c>
      <c r="C3561" s="63"/>
      <c r="D3561" s="64"/>
      <c r="E3561" s="65"/>
      <c r="F3561" s="66"/>
      <c r="G3561" s="63"/>
      <c r="H3561" s="67"/>
      <c r="I3561" s="68"/>
      <c r="J3561" s="68"/>
      <c r="K3561" s="32"/>
      <c r="L3561" s="75">
        <v>3561</v>
      </c>
      <c r="M3561" s="75"/>
      <c r="N3561" s="70"/>
      <c r="O3561" s="77" t="s">
        <v>179</v>
      </c>
      <c r="P3561" s="79">
        <v>45189.539606481485</v>
      </c>
      <c r="Q3561" s="77" t="s">
        <v>4231</v>
      </c>
      <c r="R3561" s="77">
        <v>0</v>
      </c>
      <c r="S3561" s="77">
        <v>1</v>
      </c>
      <c r="T3561" s="77">
        <v>0</v>
      </c>
      <c r="U3561" s="77">
        <v>0</v>
      </c>
      <c r="V3561" s="77">
        <v>306</v>
      </c>
      <c r="W3561" s="82" t="s">
        <v>4839</v>
      </c>
      <c r="X3561" s="80" t="str">
        <f>HYPERLINK("https://einvestidor.estadao.com.br/mercado/abertura-de-mercado-20-09-2023/?utm_source=twitter&amp;utm_medium=organic&amp;utm_campaign=abertura-de-mercado&amp;utm_content=materia")</f>
        <v>https://einvestidor.estadao.com.br/mercado/abertura-de-mercado-20-09-2023/?utm_source=twitter&amp;utm_medium=organic&amp;utm_campaign=abertura-de-mercado&amp;utm_content=materia</v>
      </c>
      <c r="Y3561" s="77" t="s">
        <v>6470</v>
      </c>
      <c r="Z3561" s="77"/>
      <c r="AA3561" s="77" t="s">
        <v>7675</v>
      </c>
      <c r="AB3561" s="77" t="s">
        <v>7742</v>
      </c>
      <c r="AC3561" s="82" t="s">
        <v>7750</v>
      </c>
      <c r="AD3561" s="77" t="s">
        <v>7788</v>
      </c>
      <c r="AE3561" s="80" t="str">
        <f>HYPERLINK("https://twitter.com/einvestidor/status/1704479784493879761")</f>
        <v>https://twitter.com/einvestidor/status/1704479784493879761</v>
      </c>
      <c r="AF3561" s="79">
        <v>45189.539606481485</v>
      </c>
      <c r="AG3561" s="85">
        <v>45189</v>
      </c>
      <c r="AH3561" s="82" t="s">
        <v>10081</v>
      </c>
      <c r="AI3561" s="77" t="b">
        <v>0</v>
      </c>
      <c r="AJ3561" s="77"/>
      <c r="AK3561" s="77"/>
      <c r="AL3561" s="77"/>
      <c r="AM3561" s="77"/>
      <c r="AN3561" s="77"/>
      <c r="AO3561" s="77"/>
      <c r="AP3561" s="77"/>
      <c r="AQ3561" s="77" t="s">
        <v>11647</v>
      </c>
      <c r="AR3561" s="77"/>
      <c r="AS3561" s="77"/>
      <c r="AT3561" s="77"/>
      <c r="AU3561" s="77"/>
      <c r="AV3561" s="80" t="str">
        <f>HYPERLINK("https://pbs.twimg.com/media/F6eHM8iXUAAV11i.png")</f>
        <v>https://pbs.twimg.com/media/F6eHM8iXUAAV11i.png</v>
      </c>
      <c r="AW3561" s="82" t="s">
        <v>15157</v>
      </c>
      <c r="AX3561" s="82" t="s">
        <v>15157</v>
      </c>
      <c r="AY3561" s="77"/>
      <c r="AZ3561" s="82" t="s">
        <v>15984</v>
      </c>
      <c r="BA3561" s="82" t="s">
        <v>15984</v>
      </c>
      <c r="BB3561" s="82" t="s">
        <v>15984</v>
      </c>
      <c r="BC3561" s="82" t="s">
        <v>15157</v>
      </c>
      <c r="BD3561" s="82" t="s">
        <v>15979</v>
      </c>
      <c r="BE3561" s="77"/>
      <c r="BF3561" s="77"/>
      <c r="BG3561" s="77"/>
      <c r="BH3561" s="77"/>
      <c r="BI3561" s="77"/>
    </row>
    <row r="3562" spans="1:61" x14ac:dyDescent="0.25">
      <c r="A3562" s="62" t="s">
        <v>387</v>
      </c>
      <c r="B3562" s="62" t="s">
        <v>387</v>
      </c>
      <c r="C3562" s="63"/>
      <c r="D3562" s="64"/>
      <c r="E3562" s="65"/>
      <c r="F3562" s="66"/>
      <c r="G3562" s="63"/>
      <c r="H3562" s="67"/>
      <c r="I3562" s="68"/>
      <c r="J3562" s="68"/>
      <c r="K3562" s="32"/>
      <c r="L3562" s="75">
        <v>3562</v>
      </c>
      <c r="M3562" s="75"/>
      <c r="N3562" s="70"/>
      <c r="O3562" s="77" t="s">
        <v>179</v>
      </c>
      <c r="P3562" s="79">
        <v>45184.729166666664</v>
      </c>
      <c r="Q3562" s="77" t="s">
        <v>4232</v>
      </c>
      <c r="R3562" s="77">
        <v>0</v>
      </c>
      <c r="S3562" s="77">
        <v>2</v>
      </c>
      <c r="T3562" s="77">
        <v>0</v>
      </c>
      <c r="U3562" s="77">
        <v>0</v>
      </c>
      <c r="V3562" s="77">
        <v>441</v>
      </c>
      <c r="W3562" s="82" t="s">
        <v>4833</v>
      </c>
      <c r="X3562" s="80" t="str">
        <f>HYPERLINK("https://einvestidor.estadao.com.br/ultimas/fed-vai-subir-juros-veja-analise-cme-group/?utm_source=twitter&amp;utm_medium=organic&amp;utm_campaign=&amp;utm_content=materia")</f>
        <v>https://einvestidor.estadao.com.br/ultimas/fed-vai-subir-juros-veja-analise-cme-group/?utm_source=twitter&amp;utm_medium=organic&amp;utm_campaign=&amp;utm_content=materia</v>
      </c>
      <c r="Y3562" s="77" t="s">
        <v>6470</v>
      </c>
      <c r="Z3562" s="77"/>
      <c r="AA3562" s="77"/>
      <c r="AB3562" s="77"/>
      <c r="AC3562" s="82" t="s">
        <v>7750</v>
      </c>
      <c r="AD3562" s="77" t="s">
        <v>7788</v>
      </c>
      <c r="AE3562" s="80" t="str">
        <f>HYPERLINK("https://twitter.com/einvestidor/status/1702736537253978157")</f>
        <v>https://twitter.com/einvestidor/status/1702736537253978157</v>
      </c>
      <c r="AF3562" s="79">
        <v>45184.729166666664</v>
      </c>
      <c r="AG3562" s="85">
        <v>45184</v>
      </c>
      <c r="AH3562" s="82" t="s">
        <v>8091</v>
      </c>
      <c r="AI3562" s="77" t="b">
        <v>0</v>
      </c>
      <c r="AJ3562" s="77"/>
      <c r="AK3562" s="77"/>
      <c r="AL3562" s="77"/>
      <c r="AM3562" s="77"/>
      <c r="AN3562" s="77"/>
      <c r="AO3562" s="77"/>
      <c r="AP3562" s="77"/>
      <c r="AQ3562" s="77"/>
      <c r="AR3562" s="77"/>
      <c r="AS3562" s="77"/>
      <c r="AT3562" s="77"/>
      <c r="AU3562" s="77"/>
      <c r="AV3562" s="80" t="str">
        <f>HYPERLINK("https://pbs.twimg.com/profile_images/1241147984924082183/gZgx_hL-_normal.jpg")</f>
        <v>https://pbs.twimg.com/profile_images/1241147984924082183/gZgx_hL-_normal.jpg</v>
      </c>
      <c r="AW3562" s="82" t="s">
        <v>15158</v>
      </c>
      <c r="AX3562" s="82" t="s">
        <v>15158</v>
      </c>
      <c r="AY3562" s="77"/>
      <c r="AZ3562" s="82" t="s">
        <v>15984</v>
      </c>
      <c r="BA3562" s="82" t="s">
        <v>15984</v>
      </c>
      <c r="BB3562" s="82" t="s">
        <v>15984</v>
      </c>
      <c r="BC3562" s="82" t="s">
        <v>15158</v>
      </c>
      <c r="BD3562" s="82" t="s">
        <v>15979</v>
      </c>
      <c r="BE3562" s="77"/>
      <c r="BF3562" s="77"/>
      <c r="BG3562" s="77"/>
      <c r="BH3562" s="77"/>
      <c r="BI3562" s="77"/>
    </row>
    <row r="3563" spans="1:61" x14ac:dyDescent="0.25">
      <c r="A3563" s="62" t="s">
        <v>387</v>
      </c>
      <c r="B3563" s="62" t="s">
        <v>387</v>
      </c>
      <c r="C3563" s="63"/>
      <c r="D3563" s="64"/>
      <c r="E3563" s="65"/>
      <c r="F3563" s="66"/>
      <c r="G3563" s="63"/>
      <c r="H3563" s="67"/>
      <c r="I3563" s="68"/>
      <c r="J3563" s="68"/>
      <c r="K3563" s="32"/>
      <c r="L3563" s="75">
        <v>3563</v>
      </c>
      <c r="M3563" s="75"/>
      <c r="N3563" s="70"/>
      <c r="O3563" s="77" t="s">
        <v>179</v>
      </c>
      <c r="P3563" s="79">
        <v>45184.726770833331</v>
      </c>
      <c r="Q3563" s="77" t="s">
        <v>4233</v>
      </c>
      <c r="R3563" s="77">
        <v>0</v>
      </c>
      <c r="S3563" s="77">
        <v>2</v>
      </c>
      <c r="T3563" s="77">
        <v>0</v>
      </c>
      <c r="U3563" s="77">
        <v>0</v>
      </c>
      <c r="V3563" s="77">
        <v>465</v>
      </c>
      <c r="W3563" s="82" t="s">
        <v>4833</v>
      </c>
      <c r="X3563" s="80" t="str">
        <f>HYPERLINK("https://einvestidor.estadao.com.br/mercado/mercado-intraday-15-09-2023/?utm_source=twitter&amp;utm_medium=organic&amp;utm_campaign=&amp;utm_content=materia")</f>
        <v>https://einvestidor.estadao.com.br/mercado/mercado-intraday-15-09-2023/?utm_source=twitter&amp;utm_medium=organic&amp;utm_campaign=&amp;utm_content=materia</v>
      </c>
      <c r="Y3563" s="77" t="s">
        <v>6470</v>
      </c>
      <c r="Z3563" s="77"/>
      <c r="AA3563" s="77"/>
      <c r="AB3563" s="77"/>
      <c r="AC3563" s="82" t="s">
        <v>7750</v>
      </c>
      <c r="AD3563" s="77" t="s">
        <v>7788</v>
      </c>
      <c r="AE3563" s="80" t="str">
        <f>HYPERLINK("https://twitter.com/einvestidor/status/1702735670446359026")</f>
        <v>https://twitter.com/einvestidor/status/1702735670446359026</v>
      </c>
      <c r="AF3563" s="79">
        <v>45184.726770833331</v>
      </c>
      <c r="AG3563" s="85">
        <v>45184</v>
      </c>
      <c r="AH3563" s="82" t="s">
        <v>7846</v>
      </c>
      <c r="AI3563" s="77" t="b">
        <v>0</v>
      </c>
      <c r="AJ3563" s="77"/>
      <c r="AK3563" s="77"/>
      <c r="AL3563" s="77"/>
      <c r="AM3563" s="77"/>
      <c r="AN3563" s="77"/>
      <c r="AO3563" s="77"/>
      <c r="AP3563" s="77"/>
      <c r="AQ3563" s="77"/>
      <c r="AR3563" s="77"/>
      <c r="AS3563" s="77"/>
      <c r="AT3563" s="77"/>
      <c r="AU3563" s="77"/>
      <c r="AV3563" s="80" t="str">
        <f>HYPERLINK("https://pbs.twimg.com/profile_images/1241147984924082183/gZgx_hL-_normal.jpg")</f>
        <v>https://pbs.twimg.com/profile_images/1241147984924082183/gZgx_hL-_normal.jpg</v>
      </c>
      <c r="AW3563" s="82" t="s">
        <v>15159</v>
      </c>
      <c r="AX3563" s="82" t="s">
        <v>15159</v>
      </c>
      <c r="AY3563" s="77"/>
      <c r="AZ3563" s="82" t="s">
        <v>15984</v>
      </c>
      <c r="BA3563" s="82" t="s">
        <v>15984</v>
      </c>
      <c r="BB3563" s="82" t="s">
        <v>15984</v>
      </c>
      <c r="BC3563" s="82" t="s">
        <v>15159</v>
      </c>
      <c r="BD3563" s="82" t="s">
        <v>15979</v>
      </c>
      <c r="BE3563" s="77"/>
      <c r="BF3563" s="77"/>
      <c r="BG3563" s="77"/>
      <c r="BH3563" s="77"/>
      <c r="BI3563" s="77"/>
    </row>
    <row r="3564" spans="1:61" x14ac:dyDescent="0.25">
      <c r="A3564" s="62" t="s">
        <v>387</v>
      </c>
      <c r="B3564" s="62" t="s">
        <v>387</v>
      </c>
      <c r="C3564" s="63"/>
      <c r="D3564" s="64"/>
      <c r="E3564" s="65"/>
      <c r="F3564" s="66"/>
      <c r="G3564" s="63"/>
      <c r="H3564" s="67"/>
      <c r="I3564" s="68"/>
      <c r="J3564" s="68"/>
      <c r="K3564" s="32"/>
      <c r="L3564" s="75">
        <v>3564</v>
      </c>
      <c r="M3564" s="75"/>
      <c r="N3564" s="70"/>
      <c r="O3564" s="77" t="s">
        <v>179</v>
      </c>
      <c r="P3564" s="79">
        <v>45184.71875</v>
      </c>
      <c r="Q3564" s="77" t="s">
        <v>4234</v>
      </c>
      <c r="R3564" s="77">
        <v>0</v>
      </c>
      <c r="S3564" s="77">
        <v>1</v>
      </c>
      <c r="T3564" s="77">
        <v>1</v>
      </c>
      <c r="U3564" s="77">
        <v>0</v>
      </c>
      <c r="V3564" s="77">
        <v>727</v>
      </c>
      <c r="W3564" s="82" t="s">
        <v>4833</v>
      </c>
      <c r="X3564" s="80" t="str">
        <f>HYPERLINK("https://einvestidor.estadao.com.br/investimentos/carteiras-fiis-ganhar-1-mil-por-mes-dividendos/?utm_source=twitter&amp;utm_medium=organic&amp;utm_campaign=&amp;utm_content=materia")</f>
        <v>https://einvestidor.estadao.com.br/investimentos/carteiras-fiis-ganhar-1-mil-por-mes-dividendos/?utm_source=twitter&amp;utm_medium=organic&amp;utm_campaign=&amp;utm_content=materia</v>
      </c>
      <c r="Y3564" s="77" t="s">
        <v>6470</v>
      </c>
      <c r="Z3564" s="77"/>
      <c r="AA3564" s="77"/>
      <c r="AB3564" s="77"/>
      <c r="AC3564" s="82" t="s">
        <v>7750</v>
      </c>
      <c r="AD3564" s="77" t="s">
        <v>7788</v>
      </c>
      <c r="AE3564" s="80" t="str">
        <f>HYPERLINK("https://twitter.com/einvestidor/status/1702732761747063261")</f>
        <v>https://twitter.com/einvestidor/status/1702732761747063261</v>
      </c>
      <c r="AF3564" s="79">
        <v>45184.71875</v>
      </c>
      <c r="AG3564" s="85">
        <v>45184</v>
      </c>
      <c r="AH3564" s="82" t="s">
        <v>10022</v>
      </c>
      <c r="AI3564" s="77" t="b">
        <v>0</v>
      </c>
      <c r="AJ3564" s="77"/>
      <c r="AK3564" s="77"/>
      <c r="AL3564" s="77"/>
      <c r="AM3564" s="77"/>
      <c r="AN3564" s="77"/>
      <c r="AO3564" s="77"/>
      <c r="AP3564" s="77"/>
      <c r="AQ3564" s="77"/>
      <c r="AR3564" s="77"/>
      <c r="AS3564" s="77"/>
      <c r="AT3564" s="77"/>
      <c r="AU3564" s="77"/>
      <c r="AV3564" s="80" t="str">
        <f>HYPERLINK("https://pbs.twimg.com/profile_images/1241147984924082183/gZgx_hL-_normal.jpg")</f>
        <v>https://pbs.twimg.com/profile_images/1241147984924082183/gZgx_hL-_normal.jpg</v>
      </c>
      <c r="AW3564" s="82" t="s">
        <v>15160</v>
      </c>
      <c r="AX3564" s="82" t="s">
        <v>15160</v>
      </c>
      <c r="AY3564" s="77"/>
      <c r="AZ3564" s="82" t="s">
        <v>15984</v>
      </c>
      <c r="BA3564" s="82" t="s">
        <v>15984</v>
      </c>
      <c r="BB3564" s="82" t="s">
        <v>15984</v>
      </c>
      <c r="BC3564" s="82" t="s">
        <v>15160</v>
      </c>
      <c r="BD3564" s="82" t="s">
        <v>15979</v>
      </c>
      <c r="BE3564" s="77"/>
      <c r="BF3564" s="77"/>
      <c r="BG3564" s="77"/>
      <c r="BH3564" s="77"/>
      <c r="BI3564" s="77"/>
    </row>
    <row r="3565" spans="1:61" x14ac:dyDescent="0.25">
      <c r="A3565" s="62" t="s">
        <v>387</v>
      </c>
      <c r="B3565" s="62" t="s">
        <v>387</v>
      </c>
      <c r="C3565" s="63"/>
      <c r="D3565" s="64"/>
      <c r="E3565" s="65"/>
      <c r="F3565" s="66"/>
      <c r="G3565" s="63"/>
      <c r="H3565" s="67"/>
      <c r="I3565" s="68"/>
      <c r="J3565" s="68"/>
      <c r="K3565" s="32"/>
      <c r="L3565" s="75">
        <v>3565</v>
      </c>
      <c r="M3565" s="75"/>
      <c r="N3565" s="70"/>
      <c r="O3565" s="77" t="s">
        <v>179</v>
      </c>
      <c r="P3565" s="79">
        <v>45184.583356481482</v>
      </c>
      <c r="Q3565" s="77" t="s">
        <v>4235</v>
      </c>
      <c r="R3565" s="77">
        <v>1</v>
      </c>
      <c r="S3565" s="77">
        <v>0</v>
      </c>
      <c r="T3565" s="77">
        <v>0</v>
      </c>
      <c r="U3565" s="77">
        <v>0</v>
      </c>
      <c r="V3565" s="77">
        <v>526</v>
      </c>
      <c r="W3565" s="82" t="s">
        <v>6339</v>
      </c>
      <c r="X3565" s="80" t="str">
        <f>HYPERLINK("https://einvestidor.estadao.com.br/mercado/antiga-via-viia3-vira-penny-stock/?utm_source=twitter&amp;utm_medium=organic&amp;utm_campaign=viia3&amp;utm_content=materia")</f>
        <v>https://einvestidor.estadao.com.br/mercado/antiga-via-viia3-vira-penny-stock/?utm_source=twitter&amp;utm_medium=organic&amp;utm_campaign=viia3&amp;utm_content=materia</v>
      </c>
      <c r="Y3565" s="77" t="s">
        <v>6470</v>
      </c>
      <c r="Z3565" s="77"/>
      <c r="AA3565" s="77"/>
      <c r="AB3565" s="77"/>
      <c r="AC3565" s="82" t="s">
        <v>7750</v>
      </c>
      <c r="AD3565" s="77" t="s">
        <v>7788</v>
      </c>
      <c r="AE3565" s="80" t="str">
        <f>HYPERLINK("https://twitter.com/einvestidor/status/1702683698141786456")</f>
        <v>https://twitter.com/einvestidor/status/1702683698141786456</v>
      </c>
      <c r="AF3565" s="79">
        <v>45184.583356481482</v>
      </c>
      <c r="AG3565" s="85">
        <v>45184</v>
      </c>
      <c r="AH3565" s="82" t="s">
        <v>10082</v>
      </c>
      <c r="AI3565" s="77" t="b">
        <v>0</v>
      </c>
      <c r="AJ3565" s="77"/>
      <c r="AK3565" s="77"/>
      <c r="AL3565" s="77"/>
      <c r="AM3565" s="77"/>
      <c r="AN3565" s="77"/>
      <c r="AO3565" s="77"/>
      <c r="AP3565" s="77"/>
      <c r="AQ3565" s="77"/>
      <c r="AR3565" s="77"/>
      <c r="AS3565" s="77"/>
      <c r="AT3565" s="77"/>
      <c r="AU3565" s="77"/>
      <c r="AV3565" s="80" t="str">
        <f>HYPERLINK("https://pbs.twimg.com/profile_images/1241147984924082183/gZgx_hL-_normal.jpg")</f>
        <v>https://pbs.twimg.com/profile_images/1241147984924082183/gZgx_hL-_normal.jpg</v>
      </c>
      <c r="AW3565" s="82" t="s">
        <v>15161</v>
      </c>
      <c r="AX3565" s="82" t="s">
        <v>15161</v>
      </c>
      <c r="AY3565" s="77"/>
      <c r="AZ3565" s="82" t="s">
        <v>15984</v>
      </c>
      <c r="BA3565" s="82" t="s">
        <v>15984</v>
      </c>
      <c r="BB3565" s="82" t="s">
        <v>15984</v>
      </c>
      <c r="BC3565" s="82" t="s">
        <v>15161</v>
      </c>
      <c r="BD3565" s="82" t="s">
        <v>15979</v>
      </c>
      <c r="BE3565" s="77"/>
      <c r="BF3565" s="77"/>
      <c r="BG3565" s="77"/>
      <c r="BH3565" s="77"/>
      <c r="BI3565" s="77"/>
    </row>
    <row r="3566" spans="1:61" x14ac:dyDescent="0.25">
      <c r="A3566" s="62" t="s">
        <v>387</v>
      </c>
      <c r="B3566" s="62" t="s">
        <v>387</v>
      </c>
      <c r="C3566" s="63"/>
      <c r="D3566" s="64"/>
      <c r="E3566" s="65"/>
      <c r="F3566" s="66"/>
      <c r="G3566" s="63"/>
      <c r="H3566" s="67"/>
      <c r="I3566" s="68"/>
      <c r="J3566" s="68"/>
      <c r="K3566" s="32"/>
      <c r="L3566" s="75">
        <v>3566</v>
      </c>
      <c r="M3566" s="75"/>
      <c r="N3566" s="70"/>
      <c r="O3566" s="77" t="s">
        <v>179</v>
      </c>
      <c r="P3566" s="79">
        <v>45184.572916666664</v>
      </c>
      <c r="Q3566" s="77" t="s">
        <v>4236</v>
      </c>
      <c r="R3566" s="77">
        <v>0</v>
      </c>
      <c r="S3566" s="77">
        <v>0</v>
      </c>
      <c r="T3566" s="77">
        <v>0</v>
      </c>
      <c r="U3566" s="77">
        <v>0</v>
      </c>
      <c r="V3566" s="77">
        <v>444</v>
      </c>
      <c r="W3566" s="82" t="s">
        <v>6340</v>
      </c>
      <c r="X3566" s="80" t="str">
        <f>HYPERLINK("https://einvestidor.estadao.com.br/ultimas/cvm-decisao-br-properties-brpr3-bolsa/?utm_source=twitter&amp;utm_medium=organic&amp;utm_campaign=brpr3&amp;utm_content=materia")</f>
        <v>https://einvestidor.estadao.com.br/ultimas/cvm-decisao-br-properties-brpr3-bolsa/?utm_source=twitter&amp;utm_medium=organic&amp;utm_campaign=brpr3&amp;utm_content=materia</v>
      </c>
      <c r="Y3566" s="77" t="s">
        <v>6470</v>
      </c>
      <c r="Z3566" s="77"/>
      <c r="AA3566" s="77"/>
      <c r="AB3566" s="77"/>
      <c r="AC3566" s="82" t="s">
        <v>7750</v>
      </c>
      <c r="AD3566" s="77" t="s">
        <v>7788</v>
      </c>
      <c r="AE3566" s="80" t="str">
        <f>HYPERLINK("https://twitter.com/einvestidor/status/1702679913390625187")</f>
        <v>https://twitter.com/einvestidor/status/1702679913390625187</v>
      </c>
      <c r="AF3566" s="79">
        <v>45184.572916666664</v>
      </c>
      <c r="AG3566" s="85">
        <v>45184</v>
      </c>
      <c r="AH3566" s="82" t="s">
        <v>10083</v>
      </c>
      <c r="AI3566" s="77" t="b">
        <v>0</v>
      </c>
      <c r="AJ3566" s="77"/>
      <c r="AK3566" s="77"/>
      <c r="AL3566" s="77"/>
      <c r="AM3566" s="77"/>
      <c r="AN3566" s="77"/>
      <c r="AO3566" s="77"/>
      <c r="AP3566" s="77"/>
      <c r="AQ3566" s="77"/>
      <c r="AR3566" s="77"/>
      <c r="AS3566" s="77"/>
      <c r="AT3566" s="77"/>
      <c r="AU3566" s="77"/>
      <c r="AV3566" s="80" t="str">
        <f>HYPERLINK("https://pbs.twimg.com/profile_images/1241147984924082183/gZgx_hL-_normal.jpg")</f>
        <v>https://pbs.twimg.com/profile_images/1241147984924082183/gZgx_hL-_normal.jpg</v>
      </c>
      <c r="AW3566" s="82" t="s">
        <v>15162</v>
      </c>
      <c r="AX3566" s="82" t="s">
        <v>15162</v>
      </c>
      <c r="AY3566" s="77"/>
      <c r="AZ3566" s="82" t="s">
        <v>15984</v>
      </c>
      <c r="BA3566" s="82" t="s">
        <v>15984</v>
      </c>
      <c r="BB3566" s="82" t="s">
        <v>15984</v>
      </c>
      <c r="BC3566" s="82" t="s">
        <v>15162</v>
      </c>
      <c r="BD3566" s="82" t="s">
        <v>15979</v>
      </c>
      <c r="BE3566" s="77"/>
      <c r="BF3566" s="77"/>
      <c r="BG3566" s="77"/>
      <c r="BH3566" s="77"/>
      <c r="BI3566" s="77"/>
    </row>
    <row r="3567" spans="1:61" x14ac:dyDescent="0.25">
      <c r="A3567" s="62" t="s">
        <v>387</v>
      </c>
      <c r="B3567" s="62" t="s">
        <v>387</v>
      </c>
      <c r="C3567" s="63"/>
      <c r="D3567" s="64"/>
      <c r="E3567" s="65"/>
      <c r="F3567" s="66"/>
      <c r="G3567" s="63"/>
      <c r="H3567" s="67"/>
      <c r="I3567" s="68"/>
      <c r="J3567" s="68"/>
      <c r="K3567" s="32"/>
      <c r="L3567" s="75">
        <v>3567</v>
      </c>
      <c r="M3567" s="75"/>
      <c r="N3567" s="70"/>
      <c r="O3567" s="77" t="s">
        <v>179</v>
      </c>
      <c r="P3567" s="79">
        <v>45184.566932870373</v>
      </c>
      <c r="Q3567" s="77" t="s">
        <v>4237</v>
      </c>
      <c r="R3567" s="77">
        <v>0</v>
      </c>
      <c r="S3567" s="77">
        <v>0</v>
      </c>
      <c r="T3567" s="77">
        <v>0</v>
      </c>
      <c r="U3567" s="77">
        <v>0</v>
      </c>
      <c r="V3567" s="77">
        <v>432</v>
      </c>
      <c r="W3567" s="82" t="s">
        <v>5574</v>
      </c>
      <c r="X3567" s="80" t="str">
        <f>HYPERLINK("https://einvestidor.estadao.com.br/ultimas/ibovespa-hoje-alta-juros-china-varejo/?utm_source=twitter&amp;utm_medium=organic&amp;utm_campaign=ibovespa-hoje&amp;utm_content=materia")</f>
        <v>https://einvestidor.estadao.com.br/ultimas/ibovespa-hoje-alta-juros-china-varejo/?utm_source=twitter&amp;utm_medium=organic&amp;utm_campaign=ibovespa-hoje&amp;utm_content=materia</v>
      </c>
      <c r="Y3567" s="77" t="s">
        <v>6470</v>
      </c>
      <c r="Z3567" s="77"/>
      <c r="AA3567" s="77"/>
      <c r="AB3567" s="77"/>
      <c r="AC3567" s="82" t="s">
        <v>7750</v>
      </c>
      <c r="AD3567" s="77" t="s">
        <v>7788</v>
      </c>
      <c r="AE3567" s="80" t="str">
        <f>HYPERLINK("https://twitter.com/einvestidor/status/1702677744021115143")</f>
        <v>https://twitter.com/einvestidor/status/1702677744021115143</v>
      </c>
      <c r="AF3567" s="79">
        <v>45184.566932870373</v>
      </c>
      <c r="AG3567" s="85">
        <v>45184</v>
      </c>
      <c r="AH3567" s="82" t="s">
        <v>10084</v>
      </c>
      <c r="AI3567" s="77" t="b">
        <v>0</v>
      </c>
      <c r="AJ3567" s="77"/>
      <c r="AK3567" s="77"/>
      <c r="AL3567" s="77"/>
      <c r="AM3567" s="77"/>
      <c r="AN3567" s="77"/>
      <c r="AO3567" s="77"/>
      <c r="AP3567" s="77"/>
      <c r="AQ3567" s="77"/>
      <c r="AR3567" s="77"/>
      <c r="AS3567" s="77"/>
      <c r="AT3567" s="77"/>
      <c r="AU3567" s="77"/>
      <c r="AV3567" s="80" t="str">
        <f>HYPERLINK("https://pbs.twimg.com/profile_images/1241147984924082183/gZgx_hL-_normal.jpg")</f>
        <v>https://pbs.twimg.com/profile_images/1241147984924082183/gZgx_hL-_normal.jpg</v>
      </c>
      <c r="AW3567" s="82" t="s">
        <v>15163</v>
      </c>
      <c r="AX3567" s="82" t="s">
        <v>15163</v>
      </c>
      <c r="AY3567" s="77"/>
      <c r="AZ3567" s="82" t="s">
        <v>15984</v>
      </c>
      <c r="BA3567" s="82" t="s">
        <v>15984</v>
      </c>
      <c r="BB3567" s="82" t="s">
        <v>15984</v>
      </c>
      <c r="BC3567" s="82" t="s">
        <v>15163</v>
      </c>
      <c r="BD3567" s="82" t="s">
        <v>15979</v>
      </c>
      <c r="BE3567" s="77"/>
      <c r="BF3567" s="77"/>
      <c r="BG3567" s="77"/>
      <c r="BH3567" s="77"/>
      <c r="BI3567" s="77"/>
    </row>
    <row r="3568" spans="1:61" x14ac:dyDescent="0.25">
      <c r="A3568" s="62" t="s">
        <v>387</v>
      </c>
      <c r="B3568" s="62" t="s">
        <v>387</v>
      </c>
      <c r="C3568" s="63"/>
      <c r="D3568" s="64"/>
      <c r="E3568" s="65"/>
      <c r="F3568" s="66"/>
      <c r="G3568" s="63"/>
      <c r="H3568" s="67"/>
      <c r="I3568" s="68"/>
      <c r="J3568" s="68"/>
      <c r="K3568" s="32"/>
      <c r="L3568" s="75">
        <v>3568</v>
      </c>
      <c r="M3568" s="75"/>
      <c r="N3568" s="70"/>
      <c r="O3568" s="77" t="s">
        <v>179</v>
      </c>
      <c r="P3568" s="79">
        <v>45184.520590277774</v>
      </c>
      <c r="Q3568" s="77" t="s">
        <v>4238</v>
      </c>
      <c r="R3568" s="77">
        <v>0</v>
      </c>
      <c r="S3568" s="77">
        <v>1</v>
      </c>
      <c r="T3568" s="77">
        <v>0</v>
      </c>
      <c r="U3568" s="77">
        <v>0</v>
      </c>
      <c r="V3568" s="77">
        <v>434</v>
      </c>
      <c r="W3568" s="82" t="s">
        <v>4839</v>
      </c>
      <c r="X3568" s="80" t="str">
        <f>HYPERLINK("https://einvestidor.estadao.com.br/mercado/abertura-de-mercado-15-09-2023/?utm_source=twitter&amp;utm_medium=organic&amp;utm_campaign=abertura-de-mercado&amp;utm_content=materia")</f>
        <v>https://einvestidor.estadao.com.br/mercado/abertura-de-mercado-15-09-2023/?utm_source=twitter&amp;utm_medium=organic&amp;utm_campaign=abertura-de-mercado&amp;utm_content=materia</v>
      </c>
      <c r="Y3568" s="77" t="s">
        <v>6470</v>
      </c>
      <c r="Z3568" s="77"/>
      <c r="AA3568" s="77"/>
      <c r="AB3568" s="77"/>
      <c r="AC3568" s="82" t="s">
        <v>7750</v>
      </c>
      <c r="AD3568" s="77" t="s">
        <v>7788</v>
      </c>
      <c r="AE3568" s="80" t="str">
        <f>HYPERLINK("https://twitter.com/einvestidor/status/1702660951843934603")</f>
        <v>https://twitter.com/einvestidor/status/1702660951843934603</v>
      </c>
      <c r="AF3568" s="79">
        <v>45184.520590277774</v>
      </c>
      <c r="AG3568" s="85">
        <v>45184</v>
      </c>
      <c r="AH3568" s="82" t="s">
        <v>10085</v>
      </c>
      <c r="AI3568" s="77" t="b">
        <v>0</v>
      </c>
      <c r="AJ3568" s="77"/>
      <c r="AK3568" s="77"/>
      <c r="AL3568" s="77"/>
      <c r="AM3568" s="77"/>
      <c r="AN3568" s="77"/>
      <c r="AO3568" s="77"/>
      <c r="AP3568" s="77"/>
      <c r="AQ3568" s="77"/>
      <c r="AR3568" s="77"/>
      <c r="AS3568" s="77"/>
      <c r="AT3568" s="77"/>
      <c r="AU3568" s="77"/>
      <c r="AV3568" s="80" t="str">
        <f>HYPERLINK("https://pbs.twimg.com/profile_images/1241147984924082183/gZgx_hL-_normal.jpg")</f>
        <v>https://pbs.twimg.com/profile_images/1241147984924082183/gZgx_hL-_normal.jpg</v>
      </c>
      <c r="AW3568" s="82" t="s">
        <v>15164</v>
      </c>
      <c r="AX3568" s="82" t="s">
        <v>15164</v>
      </c>
      <c r="AY3568" s="77"/>
      <c r="AZ3568" s="82" t="s">
        <v>15984</v>
      </c>
      <c r="BA3568" s="82" t="s">
        <v>15984</v>
      </c>
      <c r="BB3568" s="82" t="s">
        <v>15984</v>
      </c>
      <c r="BC3568" s="82" t="s">
        <v>15164</v>
      </c>
      <c r="BD3568" s="82" t="s">
        <v>15979</v>
      </c>
      <c r="BE3568" s="77"/>
      <c r="BF3568" s="77"/>
      <c r="BG3568" s="77"/>
      <c r="BH3568" s="77"/>
      <c r="BI3568" s="77"/>
    </row>
    <row r="3569" spans="1:61" x14ac:dyDescent="0.25">
      <c r="A3569" s="62" t="s">
        <v>387</v>
      </c>
      <c r="B3569" s="62" t="s">
        <v>387</v>
      </c>
      <c r="C3569" s="63"/>
      <c r="D3569" s="64"/>
      <c r="E3569" s="65"/>
      <c r="F3569" s="66"/>
      <c r="G3569" s="63"/>
      <c r="H3569" s="67"/>
      <c r="I3569" s="68"/>
      <c r="J3569" s="68"/>
      <c r="K3569" s="32"/>
      <c r="L3569" s="75">
        <v>3569</v>
      </c>
      <c r="M3569" s="75"/>
      <c r="N3569" s="70"/>
      <c r="O3569" s="77" t="s">
        <v>179</v>
      </c>
      <c r="P3569" s="79">
        <v>45174.041678240741</v>
      </c>
      <c r="Q3569" s="77" t="s">
        <v>4239</v>
      </c>
      <c r="R3569" s="77">
        <v>1</v>
      </c>
      <c r="S3569" s="77">
        <v>2</v>
      </c>
      <c r="T3569" s="77">
        <v>0</v>
      </c>
      <c r="U3569" s="77">
        <v>0</v>
      </c>
      <c r="V3569" s="77">
        <v>760</v>
      </c>
      <c r="W3569" s="82" t="s">
        <v>4833</v>
      </c>
      <c r="X3569" s="80" t="str">
        <f>HYPERLINK("https://einvestidor.estadao.com.br/ultimas/planos-de-saude-bradesco-sinistros/?utm_source=twitter&amp;utm_medium=organic&amp;utm_campaign=&amp;utm_content=materia")</f>
        <v>https://einvestidor.estadao.com.br/ultimas/planos-de-saude-bradesco-sinistros/?utm_source=twitter&amp;utm_medium=organic&amp;utm_campaign=&amp;utm_content=materia</v>
      </c>
      <c r="Y3569" s="77" t="s">
        <v>6470</v>
      </c>
      <c r="Z3569" s="77"/>
      <c r="AA3569" s="77"/>
      <c r="AB3569" s="77"/>
      <c r="AC3569" s="82" t="s">
        <v>7750</v>
      </c>
      <c r="AD3569" s="77" t="s">
        <v>7788</v>
      </c>
      <c r="AE3569" s="80" t="str">
        <f>HYPERLINK("https://twitter.com/einvestidor/status/1698863521386356781")</f>
        <v>https://twitter.com/einvestidor/status/1698863521386356781</v>
      </c>
      <c r="AF3569" s="79">
        <v>45174.041678240741</v>
      </c>
      <c r="AG3569" s="85">
        <v>45174</v>
      </c>
      <c r="AH3569" s="82" t="s">
        <v>9601</v>
      </c>
      <c r="AI3569" s="77" t="b">
        <v>0</v>
      </c>
      <c r="AJ3569" s="77"/>
      <c r="AK3569" s="77"/>
      <c r="AL3569" s="77"/>
      <c r="AM3569" s="77"/>
      <c r="AN3569" s="77"/>
      <c r="AO3569" s="77"/>
      <c r="AP3569" s="77"/>
      <c r="AQ3569" s="77"/>
      <c r="AR3569" s="77"/>
      <c r="AS3569" s="77"/>
      <c r="AT3569" s="77"/>
      <c r="AU3569" s="77"/>
      <c r="AV3569" s="80" t="str">
        <f>HYPERLINK("https://pbs.twimg.com/profile_images/1241147984924082183/gZgx_hL-_normal.jpg")</f>
        <v>https://pbs.twimg.com/profile_images/1241147984924082183/gZgx_hL-_normal.jpg</v>
      </c>
      <c r="AW3569" s="82" t="s">
        <v>15165</v>
      </c>
      <c r="AX3569" s="82" t="s">
        <v>15165</v>
      </c>
      <c r="AY3569" s="77"/>
      <c r="AZ3569" s="82" t="s">
        <v>15984</v>
      </c>
      <c r="BA3569" s="82" t="s">
        <v>15984</v>
      </c>
      <c r="BB3569" s="82" t="s">
        <v>15984</v>
      </c>
      <c r="BC3569" s="82" t="s">
        <v>15165</v>
      </c>
      <c r="BD3569" s="82" t="s">
        <v>15979</v>
      </c>
      <c r="BE3569" s="77"/>
      <c r="BF3569" s="77"/>
      <c r="BG3569" s="77"/>
      <c r="BH3569" s="77"/>
      <c r="BI3569" s="77"/>
    </row>
    <row r="3570" spans="1:61" x14ac:dyDescent="0.25">
      <c r="A3570" s="62" t="s">
        <v>387</v>
      </c>
      <c r="B3570" s="62" t="s">
        <v>387</v>
      </c>
      <c r="C3570" s="63"/>
      <c r="D3570" s="64"/>
      <c r="E3570" s="65"/>
      <c r="F3570" s="66"/>
      <c r="G3570" s="63"/>
      <c r="H3570" s="67"/>
      <c r="I3570" s="68"/>
      <c r="J3570" s="68"/>
      <c r="K3570" s="32"/>
      <c r="L3570" s="75">
        <v>3570</v>
      </c>
      <c r="M3570" s="75"/>
      <c r="N3570" s="70"/>
      <c r="O3570" s="77" t="s">
        <v>179</v>
      </c>
      <c r="P3570" s="79">
        <v>45174.03125</v>
      </c>
      <c r="Q3570" s="77" t="s">
        <v>4240</v>
      </c>
      <c r="R3570" s="77">
        <v>0</v>
      </c>
      <c r="S3570" s="77">
        <v>0</v>
      </c>
      <c r="T3570" s="77">
        <v>0</v>
      </c>
      <c r="U3570" s="77">
        <v>0</v>
      </c>
      <c r="V3570" s="77">
        <v>585</v>
      </c>
      <c r="W3570" s="82" t="s">
        <v>6124</v>
      </c>
      <c r="X3570" s="80" t="str">
        <f>HYPERLINK("https://einvestidor.estadao.com.br/ultimas/americanas-amer3-cpi-relatorio-final/?utm_source=twitter&amp;utm_medium=organic&amp;utm_campaign=&amp;utm_content=materia")</f>
        <v>https://einvestidor.estadao.com.br/ultimas/americanas-amer3-cpi-relatorio-final/?utm_source=twitter&amp;utm_medium=organic&amp;utm_campaign=&amp;utm_content=materia</v>
      </c>
      <c r="Y3570" s="77" t="s">
        <v>6470</v>
      </c>
      <c r="Z3570" s="77"/>
      <c r="AA3570" s="77"/>
      <c r="AB3570" s="77"/>
      <c r="AC3570" s="82" t="s">
        <v>7750</v>
      </c>
      <c r="AD3570" s="77" t="s">
        <v>7788</v>
      </c>
      <c r="AE3570" s="80" t="str">
        <f>HYPERLINK("https://twitter.com/einvestidor/status/1698859740959535585")</f>
        <v>https://twitter.com/einvestidor/status/1698859740959535585</v>
      </c>
      <c r="AF3570" s="79">
        <v>45174.03125</v>
      </c>
      <c r="AG3570" s="85">
        <v>45174</v>
      </c>
      <c r="AH3570" s="82" t="s">
        <v>9602</v>
      </c>
      <c r="AI3570" s="77" t="b">
        <v>0</v>
      </c>
      <c r="AJ3570" s="77"/>
      <c r="AK3570" s="77"/>
      <c r="AL3570" s="77"/>
      <c r="AM3570" s="77"/>
      <c r="AN3570" s="77"/>
      <c r="AO3570" s="77"/>
      <c r="AP3570" s="77"/>
      <c r="AQ3570" s="77"/>
      <c r="AR3570" s="77"/>
      <c r="AS3570" s="77"/>
      <c r="AT3570" s="77"/>
      <c r="AU3570" s="77"/>
      <c r="AV3570" s="80" t="str">
        <f>HYPERLINK("https://pbs.twimg.com/profile_images/1241147984924082183/gZgx_hL-_normal.jpg")</f>
        <v>https://pbs.twimg.com/profile_images/1241147984924082183/gZgx_hL-_normal.jpg</v>
      </c>
      <c r="AW3570" s="82" t="s">
        <v>15166</v>
      </c>
      <c r="AX3570" s="82" t="s">
        <v>15166</v>
      </c>
      <c r="AY3570" s="77"/>
      <c r="AZ3570" s="82" t="s">
        <v>15984</v>
      </c>
      <c r="BA3570" s="82" t="s">
        <v>15984</v>
      </c>
      <c r="BB3570" s="82" t="s">
        <v>15984</v>
      </c>
      <c r="BC3570" s="82" t="s">
        <v>15166</v>
      </c>
      <c r="BD3570" s="82" t="s">
        <v>15979</v>
      </c>
      <c r="BE3570" s="77"/>
      <c r="BF3570" s="77"/>
      <c r="BG3570" s="77"/>
      <c r="BH3570" s="77"/>
      <c r="BI3570" s="77"/>
    </row>
    <row r="3571" spans="1:61" x14ac:dyDescent="0.25">
      <c r="A3571" s="62" t="s">
        <v>387</v>
      </c>
      <c r="B3571" s="62" t="s">
        <v>387</v>
      </c>
      <c r="C3571" s="63"/>
      <c r="D3571" s="64"/>
      <c r="E3571" s="65"/>
      <c r="F3571" s="66"/>
      <c r="G3571" s="63"/>
      <c r="H3571" s="67"/>
      <c r="I3571" s="68"/>
      <c r="J3571" s="68"/>
      <c r="K3571" s="32"/>
      <c r="L3571" s="75">
        <v>3571</v>
      </c>
      <c r="M3571" s="75"/>
      <c r="N3571" s="70"/>
      <c r="O3571" s="77" t="s">
        <v>179</v>
      </c>
      <c r="P3571" s="79">
        <v>45174.020833333336</v>
      </c>
      <c r="Q3571" s="77" t="s">
        <v>4241</v>
      </c>
      <c r="R3571" s="77">
        <v>0</v>
      </c>
      <c r="S3571" s="77">
        <v>1</v>
      </c>
      <c r="T3571" s="77">
        <v>0</v>
      </c>
      <c r="U3571" s="77">
        <v>0</v>
      </c>
      <c r="V3571" s="77">
        <v>564</v>
      </c>
      <c r="W3571" s="82" t="s">
        <v>6184</v>
      </c>
      <c r="X3571" s="80" t="str">
        <f>HYPERLINK("https://einvestidor.estadao.com.br/ultimas/juros-vies-alta-risco-fiscal-radar/?utm_source=twitter&amp;utm_medium=organic&amp;utm_campaign=&amp;utm_content=materia")</f>
        <v>https://einvestidor.estadao.com.br/ultimas/juros-vies-alta-risco-fiscal-radar/?utm_source=twitter&amp;utm_medium=organic&amp;utm_campaign=&amp;utm_content=materia</v>
      </c>
      <c r="Y3571" s="77" t="s">
        <v>6470</v>
      </c>
      <c r="Z3571" s="77"/>
      <c r="AA3571" s="77"/>
      <c r="AB3571" s="77"/>
      <c r="AC3571" s="82" t="s">
        <v>7750</v>
      </c>
      <c r="AD3571" s="77" t="s">
        <v>7788</v>
      </c>
      <c r="AE3571" s="80" t="str">
        <f>HYPERLINK("https://twitter.com/einvestidor/status/1698855967822057680")</f>
        <v>https://twitter.com/einvestidor/status/1698855967822057680</v>
      </c>
      <c r="AF3571" s="79">
        <v>45174.020833333336</v>
      </c>
      <c r="AG3571" s="85">
        <v>45174</v>
      </c>
      <c r="AH3571" s="82" t="s">
        <v>8088</v>
      </c>
      <c r="AI3571" s="77" t="b">
        <v>0</v>
      </c>
      <c r="AJ3571" s="77"/>
      <c r="AK3571" s="77"/>
      <c r="AL3571" s="77"/>
      <c r="AM3571" s="77"/>
      <c r="AN3571" s="77"/>
      <c r="AO3571" s="77"/>
      <c r="AP3571" s="77"/>
      <c r="AQ3571" s="77"/>
      <c r="AR3571" s="77"/>
      <c r="AS3571" s="77"/>
      <c r="AT3571" s="77"/>
      <c r="AU3571" s="77"/>
      <c r="AV3571" s="80" t="str">
        <f>HYPERLINK("https://pbs.twimg.com/profile_images/1241147984924082183/gZgx_hL-_normal.jpg")</f>
        <v>https://pbs.twimg.com/profile_images/1241147984924082183/gZgx_hL-_normal.jpg</v>
      </c>
      <c r="AW3571" s="82" t="s">
        <v>15167</v>
      </c>
      <c r="AX3571" s="82" t="s">
        <v>15167</v>
      </c>
      <c r="AY3571" s="77"/>
      <c r="AZ3571" s="82" t="s">
        <v>15984</v>
      </c>
      <c r="BA3571" s="82" t="s">
        <v>15984</v>
      </c>
      <c r="BB3571" s="82" t="s">
        <v>15984</v>
      </c>
      <c r="BC3571" s="82" t="s">
        <v>15167</v>
      </c>
      <c r="BD3571" s="82" t="s">
        <v>15979</v>
      </c>
      <c r="BE3571" s="77"/>
      <c r="BF3571" s="77"/>
      <c r="BG3571" s="77"/>
      <c r="BH3571" s="77"/>
      <c r="BI3571" s="77"/>
    </row>
    <row r="3572" spans="1:61" x14ac:dyDescent="0.25">
      <c r="A3572" s="62" t="s">
        <v>387</v>
      </c>
      <c r="B3572" s="62" t="s">
        <v>387</v>
      </c>
      <c r="C3572" s="63"/>
      <c r="D3572" s="64"/>
      <c r="E3572" s="65"/>
      <c r="F3572" s="66"/>
      <c r="G3572" s="63"/>
      <c r="H3572" s="67"/>
      <c r="I3572" s="68"/>
      <c r="J3572" s="68"/>
      <c r="K3572" s="32"/>
      <c r="L3572" s="75">
        <v>3572</v>
      </c>
      <c r="M3572" s="75"/>
      <c r="N3572" s="70"/>
      <c r="O3572" s="77" t="s">
        <v>179</v>
      </c>
      <c r="P3572" s="79">
        <v>45174.020833333336</v>
      </c>
      <c r="Q3572" s="77" t="s">
        <v>4242</v>
      </c>
      <c r="R3572" s="77">
        <v>0</v>
      </c>
      <c r="S3572" s="77">
        <v>1</v>
      </c>
      <c r="T3572" s="77">
        <v>0</v>
      </c>
      <c r="U3572" s="77">
        <v>0</v>
      </c>
      <c r="V3572" s="77">
        <v>606</v>
      </c>
      <c r="W3572" s="82" t="s">
        <v>4833</v>
      </c>
      <c r="X3572" s="80" t="str">
        <f>HYPERLINK("https://einvestidor.estadao.com.br/investimentos/renda-fixa-melhores-cdb-lci-lca/?utm_source=twitter&amp;utm_medium=organic&amp;utm_campaign=&amp;utm_content=materia")</f>
        <v>https://einvestidor.estadao.com.br/investimentos/renda-fixa-melhores-cdb-lci-lca/?utm_source=twitter&amp;utm_medium=organic&amp;utm_campaign=&amp;utm_content=materia</v>
      </c>
      <c r="Y3572" s="77" t="s">
        <v>6470</v>
      </c>
      <c r="Z3572" s="77"/>
      <c r="AA3572" s="77"/>
      <c r="AB3572" s="77"/>
      <c r="AC3572" s="82" t="s">
        <v>7750</v>
      </c>
      <c r="AD3572" s="77" t="s">
        <v>7788</v>
      </c>
      <c r="AE3572" s="80" t="str">
        <f>HYPERLINK("https://twitter.com/einvestidor/status/1698855966790594973")</f>
        <v>https://twitter.com/einvestidor/status/1698855966790594973</v>
      </c>
      <c r="AF3572" s="79">
        <v>45174.020833333336</v>
      </c>
      <c r="AG3572" s="85">
        <v>45174</v>
      </c>
      <c r="AH3572" s="82" t="s">
        <v>8088</v>
      </c>
      <c r="AI3572" s="77" t="b">
        <v>0</v>
      </c>
      <c r="AJ3572" s="77"/>
      <c r="AK3572" s="77"/>
      <c r="AL3572" s="77"/>
      <c r="AM3572" s="77"/>
      <c r="AN3572" s="77"/>
      <c r="AO3572" s="77"/>
      <c r="AP3572" s="77"/>
      <c r="AQ3572" s="77"/>
      <c r="AR3572" s="77"/>
      <c r="AS3572" s="77"/>
      <c r="AT3572" s="77"/>
      <c r="AU3572" s="77"/>
      <c r="AV3572" s="80" t="str">
        <f>HYPERLINK("https://pbs.twimg.com/profile_images/1241147984924082183/gZgx_hL-_normal.jpg")</f>
        <v>https://pbs.twimg.com/profile_images/1241147984924082183/gZgx_hL-_normal.jpg</v>
      </c>
      <c r="AW3572" s="82" t="s">
        <v>15168</v>
      </c>
      <c r="AX3572" s="82" t="s">
        <v>15168</v>
      </c>
      <c r="AY3572" s="77"/>
      <c r="AZ3572" s="82" t="s">
        <v>15984</v>
      </c>
      <c r="BA3572" s="82" t="s">
        <v>15984</v>
      </c>
      <c r="BB3572" s="82" t="s">
        <v>15984</v>
      </c>
      <c r="BC3572" s="82" t="s">
        <v>15168</v>
      </c>
      <c r="BD3572" s="82" t="s">
        <v>15979</v>
      </c>
      <c r="BE3572" s="77"/>
      <c r="BF3572" s="77"/>
      <c r="BG3572" s="77"/>
      <c r="BH3572" s="77"/>
      <c r="BI3572" s="77"/>
    </row>
    <row r="3573" spans="1:61" x14ac:dyDescent="0.25">
      <c r="A3573" s="62" t="s">
        <v>387</v>
      </c>
      <c r="B3573" s="62" t="s">
        <v>387</v>
      </c>
      <c r="C3573" s="63"/>
      <c r="D3573" s="64"/>
      <c r="E3573" s="65"/>
      <c r="F3573" s="66"/>
      <c r="G3573" s="63"/>
      <c r="H3573" s="67"/>
      <c r="I3573" s="68"/>
      <c r="J3573" s="68"/>
      <c r="K3573" s="32"/>
      <c r="L3573" s="75">
        <v>3573</v>
      </c>
      <c r="M3573" s="75"/>
      <c r="N3573" s="70"/>
      <c r="O3573" s="77" t="s">
        <v>179</v>
      </c>
      <c r="P3573" s="79">
        <v>45174</v>
      </c>
      <c r="Q3573" s="77" t="s">
        <v>4243</v>
      </c>
      <c r="R3573" s="77">
        <v>0</v>
      </c>
      <c r="S3573" s="77">
        <v>1</v>
      </c>
      <c r="T3573" s="77">
        <v>0</v>
      </c>
      <c r="U3573" s="77">
        <v>0</v>
      </c>
      <c r="V3573" s="77">
        <v>537</v>
      </c>
      <c r="W3573" s="82" t="s">
        <v>4833</v>
      </c>
      <c r="X3573" s="80" t="str">
        <f>HYPERLINK("https://einvestidor.estadao.com.br/ultimas/dolar-cai-ante-euro-libra-mas-sobe-entre-emergentes/?utm_source=twitter&amp;utm_medium=organic&amp;utm_campaign=&amp;utm_content=materia")</f>
        <v>https://einvestidor.estadao.com.br/ultimas/dolar-cai-ante-euro-libra-mas-sobe-entre-emergentes/?utm_source=twitter&amp;utm_medium=organic&amp;utm_campaign=&amp;utm_content=materia</v>
      </c>
      <c r="Y3573" s="77" t="s">
        <v>6470</v>
      </c>
      <c r="Z3573" s="77"/>
      <c r="AA3573" s="77"/>
      <c r="AB3573" s="77"/>
      <c r="AC3573" s="82" t="s">
        <v>7750</v>
      </c>
      <c r="AD3573" s="77" t="s">
        <v>7788</v>
      </c>
      <c r="AE3573" s="80" t="str">
        <f>HYPERLINK("https://twitter.com/einvestidor/status/1698848419555483842")</f>
        <v>https://twitter.com/einvestidor/status/1698848419555483842</v>
      </c>
      <c r="AF3573" s="79">
        <v>45174</v>
      </c>
      <c r="AG3573" s="85">
        <v>45174</v>
      </c>
      <c r="AH3573" s="82" t="s">
        <v>9300</v>
      </c>
      <c r="AI3573" s="77" t="b">
        <v>0</v>
      </c>
      <c r="AJ3573" s="77"/>
      <c r="AK3573" s="77"/>
      <c r="AL3573" s="77"/>
      <c r="AM3573" s="77"/>
      <c r="AN3573" s="77"/>
      <c r="AO3573" s="77"/>
      <c r="AP3573" s="77"/>
      <c r="AQ3573" s="77"/>
      <c r="AR3573" s="77"/>
      <c r="AS3573" s="77"/>
      <c r="AT3573" s="77"/>
      <c r="AU3573" s="77"/>
      <c r="AV3573" s="80" t="str">
        <f>HYPERLINK("https://pbs.twimg.com/profile_images/1241147984924082183/gZgx_hL-_normal.jpg")</f>
        <v>https://pbs.twimg.com/profile_images/1241147984924082183/gZgx_hL-_normal.jpg</v>
      </c>
      <c r="AW3573" s="82" t="s">
        <v>15169</v>
      </c>
      <c r="AX3573" s="82" t="s">
        <v>15169</v>
      </c>
      <c r="AY3573" s="77"/>
      <c r="AZ3573" s="82" t="s">
        <v>15984</v>
      </c>
      <c r="BA3573" s="82" t="s">
        <v>15984</v>
      </c>
      <c r="BB3573" s="82" t="s">
        <v>15984</v>
      </c>
      <c r="BC3573" s="82" t="s">
        <v>15169</v>
      </c>
      <c r="BD3573" s="82" t="s">
        <v>15979</v>
      </c>
      <c r="BE3573" s="77"/>
      <c r="BF3573" s="77"/>
      <c r="BG3573" s="77"/>
      <c r="BH3573" s="77"/>
      <c r="BI3573" s="77"/>
    </row>
    <row r="3574" spans="1:61" x14ac:dyDescent="0.25">
      <c r="A3574" s="62" t="s">
        <v>387</v>
      </c>
      <c r="B3574" s="62" t="s">
        <v>387</v>
      </c>
      <c r="C3574" s="63"/>
      <c r="D3574" s="64"/>
      <c r="E3574" s="65"/>
      <c r="F3574" s="66"/>
      <c r="G3574" s="63"/>
      <c r="H3574" s="67"/>
      <c r="I3574" s="68"/>
      <c r="J3574" s="68"/>
      <c r="K3574" s="32"/>
      <c r="L3574" s="75">
        <v>3574</v>
      </c>
      <c r="M3574" s="75"/>
      <c r="N3574" s="70"/>
      <c r="O3574" s="77" t="s">
        <v>179</v>
      </c>
      <c r="P3574" s="79">
        <v>45173.989583333336</v>
      </c>
      <c r="Q3574" s="77" t="s">
        <v>4244</v>
      </c>
      <c r="R3574" s="77">
        <v>1</v>
      </c>
      <c r="S3574" s="77">
        <v>1</v>
      </c>
      <c r="T3574" s="77">
        <v>0</v>
      </c>
      <c r="U3574" s="77">
        <v>0</v>
      </c>
      <c r="V3574" s="77">
        <v>561</v>
      </c>
      <c r="W3574" s="82" t="s">
        <v>5902</v>
      </c>
      <c r="X3574" s="80" t="str">
        <f>HYPERLINK("https://einvestidor.estadao.com.br/ultimas/dolar-hoje-fecha-queda-feriado-estados-unidos//?utm_source=twitter&amp;utm_medium=organic&amp;utm_campaign=&amp;utm_content=materia")</f>
        <v>https://einvestidor.estadao.com.br/ultimas/dolar-hoje-fecha-queda-feriado-estados-unidos//?utm_source=twitter&amp;utm_medium=organic&amp;utm_campaign=&amp;utm_content=materia</v>
      </c>
      <c r="Y3574" s="77" t="s">
        <v>6470</v>
      </c>
      <c r="Z3574" s="77"/>
      <c r="AA3574" s="77"/>
      <c r="AB3574" s="77"/>
      <c r="AC3574" s="82" t="s">
        <v>7750</v>
      </c>
      <c r="AD3574" s="77" t="s">
        <v>7788</v>
      </c>
      <c r="AE3574" s="80" t="str">
        <f>HYPERLINK("https://twitter.com/einvestidor/status/1698844641800646965")</f>
        <v>https://twitter.com/einvestidor/status/1698844641800646965</v>
      </c>
      <c r="AF3574" s="79">
        <v>45173.989583333336</v>
      </c>
      <c r="AG3574" s="85">
        <v>45173</v>
      </c>
      <c r="AH3574" s="82" t="s">
        <v>9620</v>
      </c>
      <c r="AI3574" s="77" t="b">
        <v>0</v>
      </c>
      <c r="AJ3574" s="77"/>
      <c r="AK3574" s="77"/>
      <c r="AL3574" s="77"/>
      <c r="AM3574" s="77"/>
      <c r="AN3574" s="77"/>
      <c r="AO3574" s="77"/>
      <c r="AP3574" s="77"/>
      <c r="AQ3574" s="77"/>
      <c r="AR3574" s="77"/>
      <c r="AS3574" s="77"/>
      <c r="AT3574" s="77"/>
      <c r="AU3574" s="77"/>
      <c r="AV3574" s="80" t="str">
        <f>HYPERLINK("https://pbs.twimg.com/profile_images/1241147984924082183/gZgx_hL-_normal.jpg")</f>
        <v>https://pbs.twimg.com/profile_images/1241147984924082183/gZgx_hL-_normal.jpg</v>
      </c>
      <c r="AW3574" s="82" t="s">
        <v>15170</v>
      </c>
      <c r="AX3574" s="82" t="s">
        <v>15170</v>
      </c>
      <c r="AY3574" s="77"/>
      <c r="AZ3574" s="82" t="s">
        <v>15984</v>
      </c>
      <c r="BA3574" s="82" t="s">
        <v>15984</v>
      </c>
      <c r="BB3574" s="82" t="s">
        <v>15984</v>
      </c>
      <c r="BC3574" s="82" t="s">
        <v>15170</v>
      </c>
      <c r="BD3574" s="82" t="s">
        <v>15979</v>
      </c>
      <c r="BE3574" s="77"/>
      <c r="BF3574" s="77"/>
      <c r="BG3574" s="77"/>
      <c r="BH3574" s="77"/>
      <c r="BI3574" s="77"/>
    </row>
    <row r="3575" spans="1:61" x14ac:dyDescent="0.25">
      <c r="A3575" s="62" t="s">
        <v>387</v>
      </c>
      <c r="B3575" s="62" t="s">
        <v>387</v>
      </c>
      <c r="C3575" s="63"/>
      <c r="D3575" s="64"/>
      <c r="E3575" s="65"/>
      <c r="F3575" s="66"/>
      <c r="G3575" s="63"/>
      <c r="H3575" s="67"/>
      <c r="I3575" s="68"/>
      <c r="J3575" s="68"/>
      <c r="K3575" s="32"/>
      <c r="L3575" s="75">
        <v>3575</v>
      </c>
      <c r="M3575" s="75"/>
      <c r="N3575" s="70"/>
      <c r="O3575" s="77" t="s">
        <v>179</v>
      </c>
      <c r="P3575" s="79">
        <v>45173.979166666664</v>
      </c>
      <c r="Q3575" s="77" t="s">
        <v>4245</v>
      </c>
      <c r="R3575" s="77">
        <v>0</v>
      </c>
      <c r="S3575" s="77">
        <v>1</v>
      </c>
      <c r="T3575" s="77">
        <v>0</v>
      </c>
      <c r="U3575" s="77">
        <v>0</v>
      </c>
      <c r="V3575" s="77">
        <v>623</v>
      </c>
      <c r="W3575" s="82" t="s">
        <v>6341</v>
      </c>
      <c r="X3575" s="80" t="str">
        <f>HYPERLINK("https://einvestidor.estadao.com.br/radar-einvestidor/eletrobras-elet3-encerra-oferta-milionaria-acoes-fecham-queda/?utm_source=twitter&amp;utm_medium=organic&amp;utm_campaign=&amp;utm_content=materia")</f>
        <v>https://einvestidor.estadao.com.br/radar-einvestidor/eletrobras-elet3-encerra-oferta-milionaria-acoes-fecham-queda/?utm_source=twitter&amp;utm_medium=organic&amp;utm_campaign=&amp;utm_content=materia</v>
      </c>
      <c r="Y3575" s="77" t="s">
        <v>6470</v>
      </c>
      <c r="Z3575" s="77"/>
      <c r="AA3575" s="77"/>
      <c r="AB3575" s="77"/>
      <c r="AC3575" s="82" t="s">
        <v>7750</v>
      </c>
      <c r="AD3575" s="77" t="s">
        <v>7788</v>
      </c>
      <c r="AE3575" s="80" t="str">
        <f>HYPERLINK("https://twitter.com/einvestidor/status/1698840867480424914")</f>
        <v>https://twitter.com/einvestidor/status/1698840867480424914</v>
      </c>
      <c r="AF3575" s="79">
        <v>45173.979166666664</v>
      </c>
      <c r="AG3575" s="85">
        <v>45173</v>
      </c>
      <c r="AH3575" s="82" t="s">
        <v>7928</v>
      </c>
      <c r="AI3575" s="77" t="b">
        <v>0</v>
      </c>
      <c r="AJ3575" s="77"/>
      <c r="AK3575" s="77"/>
      <c r="AL3575" s="77"/>
      <c r="AM3575" s="77"/>
      <c r="AN3575" s="77"/>
      <c r="AO3575" s="77"/>
      <c r="AP3575" s="77"/>
      <c r="AQ3575" s="77"/>
      <c r="AR3575" s="77"/>
      <c r="AS3575" s="77"/>
      <c r="AT3575" s="77"/>
      <c r="AU3575" s="77"/>
      <c r="AV3575" s="80" t="str">
        <f>HYPERLINK("https://pbs.twimg.com/profile_images/1241147984924082183/gZgx_hL-_normal.jpg")</f>
        <v>https://pbs.twimg.com/profile_images/1241147984924082183/gZgx_hL-_normal.jpg</v>
      </c>
      <c r="AW3575" s="82" t="s">
        <v>15171</v>
      </c>
      <c r="AX3575" s="82" t="s">
        <v>15171</v>
      </c>
      <c r="AY3575" s="77"/>
      <c r="AZ3575" s="82" t="s">
        <v>15984</v>
      </c>
      <c r="BA3575" s="82" t="s">
        <v>15984</v>
      </c>
      <c r="BB3575" s="82" t="s">
        <v>15984</v>
      </c>
      <c r="BC3575" s="82" t="s">
        <v>15171</v>
      </c>
      <c r="BD3575" s="82" t="s">
        <v>15979</v>
      </c>
      <c r="BE3575" s="77"/>
      <c r="BF3575" s="77"/>
      <c r="BG3575" s="77"/>
      <c r="BH3575" s="77"/>
      <c r="BI3575" s="77"/>
    </row>
    <row r="3576" spans="1:61" x14ac:dyDescent="0.25">
      <c r="A3576" s="62" t="s">
        <v>387</v>
      </c>
      <c r="B3576" s="62" t="s">
        <v>387</v>
      </c>
      <c r="C3576" s="63"/>
      <c r="D3576" s="64"/>
      <c r="E3576" s="65"/>
      <c r="F3576" s="66"/>
      <c r="G3576" s="63"/>
      <c r="H3576" s="67"/>
      <c r="I3576" s="68"/>
      <c r="J3576" s="68"/>
      <c r="K3576" s="32"/>
      <c r="L3576" s="75">
        <v>3576</v>
      </c>
      <c r="M3576" s="75"/>
      <c r="N3576" s="70"/>
      <c r="O3576" s="77" t="s">
        <v>179</v>
      </c>
      <c r="P3576" s="79">
        <v>45173.96875</v>
      </c>
      <c r="Q3576" s="77" t="s">
        <v>4246</v>
      </c>
      <c r="R3576" s="77">
        <v>0</v>
      </c>
      <c r="S3576" s="77">
        <v>0</v>
      </c>
      <c r="T3576" s="77">
        <v>0</v>
      </c>
      <c r="U3576" s="77">
        <v>0</v>
      </c>
      <c r="V3576" s="77">
        <v>598</v>
      </c>
      <c r="W3576" s="82" t="s">
        <v>6342</v>
      </c>
      <c r="X3576" s="80" t="str">
        <f>HYPERLINK("https://einvestidor.estadao.com.br/radar-einvestidor/pagbank-carteira-tira-acoes-eletrobras-elet6-veja-nova-recomendacao/?utm_source=twitter&amp;utm_medium=organic&amp;utm_campaign=&amp;utm_content=materia")</f>
        <v>https://einvestidor.estadao.com.br/radar-einvestidor/pagbank-carteira-tira-acoes-eletrobras-elet6-veja-nova-recomendacao/?utm_source=twitter&amp;utm_medium=organic&amp;utm_campaign=&amp;utm_content=materia</v>
      </c>
      <c r="Y3576" s="77" t="s">
        <v>6470</v>
      </c>
      <c r="Z3576" s="77"/>
      <c r="AA3576" s="77"/>
      <c r="AB3576" s="77"/>
      <c r="AC3576" s="82" t="s">
        <v>7750</v>
      </c>
      <c r="AD3576" s="77" t="s">
        <v>7788</v>
      </c>
      <c r="AE3576" s="80" t="str">
        <f>HYPERLINK("https://twitter.com/einvestidor/status/1698837091826720799")</f>
        <v>https://twitter.com/einvestidor/status/1698837091826720799</v>
      </c>
      <c r="AF3576" s="79">
        <v>45173.96875</v>
      </c>
      <c r="AG3576" s="85">
        <v>45173</v>
      </c>
      <c r="AH3576" s="82" t="s">
        <v>9621</v>
      </c>
      <c r="AI3576" s="77" t="b">
        <v>0</v>
      </c>
      <c r="AJ3576" s="77"/>
      <c r="AK3576" s="77"/>
      <c r="AL3576" s="77"/>
      <c r="AM3576" s="77"/>
      <c r="AN3576" s="77"/>
      <c r="AO3576" s="77"/>
      <c r="AP3576" s="77"/>
      <c r="AQ3576" s="77"/>
      <c r="AR3576" s="77"/>
      <c r="AS3576" s="77"/>
      <c r="AT3576" s="77"/>
      <c r="AU3576" s="77"/>
      <c r="AV3576" s="80" t="str">
        <f>HYPERLINK("https://pbs.twimg.com/profile_images/1241147984924082183/gZgx_hL-_normal.jpg")</f>
        <v>https://pbs.twimg.com/profile_images/1241147984924082183/gZgx_hL-_normal.jpg</v>
      </c>
      <c r="AW3576" s="82" t="s">
        <v>15172</v>
      </c>
      <c r="AX3576" s="82" t="s">
        <v>15172</v>
      </c>
      <c r="AY3576" s="77"/>
      <c r="AZ3576" s="82" t="s">
        <v>15984</v>
      </c>
      <c r="BA3576" s="82" t="s">
        <v>15984</v>
      </c>
      <c r="BB3576" s="82" t="s">
        <v>15984</v>
      </c>
      <c r="BC3576" s="82" t="s">
        <v>15172</v>
      </c>
      <c r="BD3576" s="82" t="s">
        <v>15979</v>
      </c>
      <c r="BE3576" s="77"/>
      <c r="BF3576" s="77"/>
      <c r="BG3576" s="77"/>
      <c r="BH3576" s="77"/>
      <c r="BI3576" s="77"/>
    </row>
    <row r="3577" spans="1:61" x14ac:dyDescent="0.25">
      <c r="A3577" s="62" t="s">
        <v>387</v>
      </c>
      <c r="B3577" s="62" t="s">
        <v>387</v>
      </c>
      <c r="C3577" s="63"/>
      <c r="D3577" s="64"/>
      <c r="E3577" s="65"/>
      <c r="F3577" s="66"/>
      <c r="G3577" s="63"/>
      <c r="H3577" s="67"/>
      <c r="I3577" s="68"/>
      <c r="J3577" s="68"/>
      <c r="K3577" s="32"/>
      <c r="L3577" s="75">
        <v>3577</v>
      </c>
      <c r="M3577" s="75"/>
      <c r="N3577" s="70"/>
      <c r="O3577" s="77" t="s">
        <v>179</v>
      </c>
      <c r="P3577" s="79">
        <v>45173.958356481482</v>
      </c>
      <c r="Q3577" s="77" t="s">
        <v>4247</v>
      </c>
      <c r="R3577" s="77">
        <v>0</v>
      </c>
      <c r="S3577" s="77">
        <v>0</v>
      </c>
      <c r="T3577" s="77">
        <v>0</v>
      </c>
      <c r="U3577" s="77">
        <v>0</v>
      </c>
      <c r="V3577" s="77">
        <v>628</v>
      </c>
      <c r="W3577" s="82" t="s">
        <v>6343</v>
      </c>
      <c r="X3577" s="80" t="str">
        <f>HYPERLINK("https://einvestidor.estadao.com.br/radar-einvestidor/copel-cple6-petrobras-petr4-anuncio-ao-mercado-acoes-caem/?utm_source=twitter&amp;utm_medium=organic&amp;utm_campaign=&amp;utm_content=materia")</f>
        <v>https://einvestidor.estadao.com.br/radar-einvestidor/copel-cple6-petrobras-petr4-anuncio-ao-mercado-acoes-caem/?utm_source=twitter&amp;utm_medium=organic&amp;utm_campaign=&amp;utm_content=materia</v>
      </c>
      <c r="Y3577" s="77" t="s">
        <v>6470</v>
      </c>
      <c r="Z3577" s="77"/>
      <c r="AA3577" s="77"/>
      <c r="AB3577" s="77"/>
      <c r="AC3577" s="82" t="s">
        <v>7750</v>
      </c>
      <c r="AD3577" s="77" t="s">
        <v>7788</v>
      </c>
      <c r="AE3577" s="80" t="str">
        <f>HYPERLINK("https://twitter.com/einvestidor/status/1698833325110997213")</f>
        <v>https://twitter.com/einvestidor/status/1698833325110997213</v>
      </c>
      <c r="AF3577" s="79">
        <v>45173.958356481482</v>
      </c>
      <c r="AG3577" s="85">
        <v>45173</v>
      </c>
      <c r="AH3577" s="82" t="s">
        <v>9725</v>
      </c>
      <c r="AI3577" s="77" t="b">
        <v>0</v>
      </c>
      <c r="AJ3577" s="77"/>
      <c r="AK3577" s="77"/>
      <c r="AL3577" s="77"/>
      <c r="AM3577" s="77"/>
      <c r="AN3577" s="77"/>
      <c r="AO3577" s="77"/>
      <c r="AP3577" s="77"/>
      <c r="AQ3577" s="77"/>
      <c r="AR3577" s="77"/>
      <c r="AS3577" s="77"/>
      <c r="AT3577" s="77"/>
      <c r="AU3577" s="77"/>
      <c r="AV3577" s="80" t="str">
        <f>HYPERLINK("https://pbs.twimg.com/profile_images/1241147984924082183/gZgx_hL-_normal.jpg")</f>
        <v>https://pbs.twimg.com/profile_images/1241147984924082183/gZgx_hL-_normal.jpg</v>
      </c>
      <c r="AW3577" s="82" t="s">
        <v>15173</v>
      </c>
      <c r="AX3577" s="82" t="s">
        <v>15173</v>
      </c>
      <c r="AY3577" s="77"/>
      <c r="AZ3577" s="82" t="s">
        <v>15984</v>
      </c>
      <c r="BA3577" s="82" t="s">
        <v>15984</v>
      </c>
      <c r="BB3577" s="82" t="s">
        <v>15984</v>
      </c>
      <c r="BC3577" s="82" t="s">
        <v>15173</v>
      </c>
      <c r="BD3577" s="82" t="s">
        <v>15979</v>
      </c>
      <c r="BE3577" s="77"/>
      <c r="BF3577" s="77"/>
      <c r="BG3577" s="77"/>
      <c r="BH3577" s="77"/>
      <c r="BI3577" s="77"/>
    </row>
    <row r="3578" spans="1:61" x14ac:dyDescent="0.25">
      <c r="A3578" s="62" t="s">
        <v>387</v>
      </c>
      <c r="B3578" s="62" t="s">
        <v>387</v>
      </c>
      <c r="C3578" s="63"/>
      <c r="D3578" s="64"/>
      <c r="E3578" s="65"/>
      <c r="F3578" s="66"/>
      <c r="G3578" s="63"/>
      <c r="H3578" s="67"/>
      <c r="I3578" s="68"/>
      <c r="J3578" s="68"/>
      <c r="K3578" s="32"/>
      <c r="L3578" s="75">
        <v>3578</v>
      </c>
      <c r="M3578" s="75"/>
      <c r="N3578" s="70"/>
      <c r="O3578" s="77" t="s">
        <v>179</v>
      </c>
      <c r="P3578" s="79">
        <v>45173.947916666664</v>
      </c>
      <c r="Q3578" s="77" t="s">
        <v>4248</v>
      </c>
      <c r="R3578" s="77">
        <v>1</v>
      </c>
      <c r="S3578" s="77">
        <v>2</v>
      </c>
      <c r="T3578" s="77">
        <v>0</v>
      </c>
      <c r="U3578" s="77">
        <v>0</v>
      </c>
      <c r="V3578" s="77">
        <v>675</v>
      </c>
      <c r="W3578" s="82" t="s">
        <v>6344</v>
      </c>
      <c r="X3578" s="80" t="str">
        <f>HYPERLINK("https://einvestidor.estadao.com.br/radar-einvestidor/acoes-petrobras-petr4-em-queda-apos-anuncio-desinvestimento/?utm_source=twitter&amp;utm_medium=organic&amp;utm_campaign=&amp;utm_content=materia")</f>
        <v>https://einvestidor.estadao.com.br/radar-einvestidor/acoes-petrobras-petr4-em-queda-apos-anuncio-desinvestimento/?utm_source=twitter&amp;utm_medium=organic&amp;utm_campaign=&amp;utm_content=materia</v>
      </c>
      <c r="Y3578" s="77" t="s">
        <v>6470</v>
      </c>
      <c r="Z3578" s="77"/>
      <c r="AA3578" s="77"/>
      <c r="AB3578" s="77"/>
      <c r="AC3578" s="82" t="s">
        <v>7750</v>
      </c>
      <c r="AD3578" s="77" t="s">
        <v>7788</v>
      </c>
      <c r="AE3578" s="80" t="str">
        <f>HYPERLINK("https://twitter.com/einvestidor/status/1698829542079529029")</f>
        <v>https://twitter.com/einvestidor/status/1698829542079529029</v>
      </c>
      <c r="AF3578" s="79">
        <v>45173.947916666664</v>
      </c>
      <c r="AG3578" s="85">
        <v>45173</v>
      </c>
      <c r="AH3578" s="82" t="s">
        <v>9595</v>
      </c>
      <c r="AI3578" s="77" t="b">
        <v>0</v>
      </c>
      <c r="AJ3578" s="77"/>
      <c r="AK3578" s="77"/>
      <c r="AL3578" s="77"/>
      <c r="AM3578" s="77"/>
      <c r="AN3578" s="77"/>
      <c r="AO3578" s="77"/>
      <c r="AP3578" s="77"/>
      <c r="AQ3578" s="77"/>
      <c r="AR3578" s="77"/>
      <c r="AS3578" s="77"/>
      <c r="AT3578" s="77"/>
      <c r="AU3578" s="77"/>
      <c r="AV3578" s="80" t="str">
        <f>HYPERLINK("https://pbs.twimg.com/profile_images/1241147984924082183/gZgx_hL-_normal.jpg")</f>
        <v>https://pbs.twimg.com/profile_images/1241147984924082183/gZgx_hL-_normal.jpg</v>
      </c>
      <c r="AW3578" s="82" t="s">
        <v>15174</v>
      </c>
      <c r="AX3578" s="82" t="s">
        <v>15174</v>
      </c>
      <c r="AY3578" s="77"/>
      <c r="AZ3578" s="82" t="s">
        <v>15984</v>
      </c>
      <c r="BA3578" s="82" t="s">
        <v>15984</v>
      </c>
      <c r="BB3578" s="82" t="s">
        <v>15984</v>
      </c>
      <c r="BC3578" s="82" t="s">
        <v>15174</v>
      </c>
      <c r="BD3578" s="82" t="s">
        <v>15979</v>
      </c>
      <c r="BE3578" s="77"/>
      <c r="BF3578" s="77"/>
      <c r="BG3578" s="77"/>
      <c r="BH3578" s="77"/>
      <c r="BI3578" s="77"/>
    </row>
    <row r="3579" spans="1:61" x14ac:dyDescent="0.25">
      <c r="A3579" s="62" t="s">
        <v>387</v>
      </c>
      <c r="B3579" s="62" t="s">
        <v>387</v>
      </c>
      <c r="C3579" s="63"/>
      <c r="D3579" s="64"/>
      <c r="E3579" s="65"/>
      <c r="F3579" s="66"/>
      <c r="G3579" s="63"/>
      <c r="H3579" s="67"/>
      <c r="I3579" s="68"/>
      <c r="J3579" s="68"/>
      <c r="K3579" s="32"/>
      <c r="L3579" s="75">
        <v>3579</v>
      </c>
      <c r="M3579" s="75"/>
      <c r="N3579" s="70"/>
      <c r="O3579" s="77" t="s">
        <v>179</v>
      </c>
      <c r="P3579" s="79">
        <v>45163.745104166665</v>
      </c>
      <c r="Q3579" s="77" t="s">
        <v>4249</v>
      </c>
      <c r="R3579" s="77">
        <v>0</v>
      </c>
      <c r="S3579" s="77">
        <v>3</v>
      </c>
      <c r="T3579" s="77">
        <v>0</v>
      </c>
      <c r="U3579" s="77">
        <v>0</v>
      </c>
      <c r="V3579" s="77">
        <v>575</v>
      </c>
      <c r="W3579" s="82" t="s">
        <v>4833</v>
      </c>
      <c r="X3579" s="80" t="str">
        <f>HYPERLINK("https://einvestidor.estadao.com.br/mercado/mercado-intraday-25-08-2023/?utm_source=twitter&amp;utm_medium=organic&amp;utm_campaign=&amp;utm_content=materia")</f>
        <v>https://einvestidor.estadao.com.br/mercado/mercado-intraday-25-08-2023/?utm_source=twitter&amp;utm_medium=organic&amp;utm_campaign=&amp;utm_content=materia</v>
      </c>
      <c r="Y3579" s="77" t="s">
        <v>6470</v>
      </c>
      <c r="Z3579" s="77"/>
      <c r="AA3579" s="77"/>
      <c r="AB3579" s="77"/>
      <c r="AC3579" s="82" t="s">
        <v>7750</v>
      </c>
      <c r="AD3579" s="77" t="s">
        <v>7788</v>
      </c>
      <c r="AE3579" s="80" t="str">
        <f>HYPERLINK("https://twitter.com/einvestidor/status/1695132167796351265")</f>
        <v>https://twitter.com/einvestidor/status/1695132167796351265</v>
      </c>
      <c r="AF3579" s="79">
        <v>45163.745104166665</v>
      </c>
      <c r="AG3579" s="85">
        <v>45163</v>
      </c>
      <c r="AH3579" s="82" t="s">
        <v>10086</v>
      </c>
      <c r="AI3579" s="77" t="b">
        <v>0</v>
      </c>
      <c r="AJ3579" s="77"/>
      <c r="AK3579" s="77"/>
      <c r="AL3579" s="77"/>
      <c r="AM3579" s="77"/>
      <c r="AN3579" s="77"/>
      <c r="AO3579" s="77"/>
      <c r="AP3579" s="77"/>
      <c r="AQ3579" s="77"/>
      <c r="AR3579" s="77"/>
      <c r="AS3579" s="77"/>
      <c r="AT3579" s="77"/>
      <c r="AU3579" s="77"/>
      <c r="AV3579" s="80" t="str">
        <f>HYPERLINK("https://pbs.twimg.com/profile_images/1241147984924082183/gZgx_hL-_normal.jpg")</f>
        <v>https://pbs.twimg.com/profile_images/1241147984924082183/gZgx_hL-_normal.jpg</v>
      </c>
      <c r="AW3579" s="82" t="s">
        <v>15175</v>
      </c>
      <c r="AX3579" s="82" t="s">
        <v>15175</v>
      </c>
      <c r="AY3579" s="77"/>
      <c r="AZ3579" s="82" t="s">
        <v>15984</v>
      </c>
      <c r="BA3579" s="82" t="s">
        <v>15984</v>
      </c>
      <c r="BB3579" s="82" t="s">
        <v>15984</v>
      </c>
      <c r="BC3579" s="82" t="s">
        <v>15175</v>
      </c>
      <c r="BD3579" s="82" t="s">
        <v>15979</v>
      </c>
      <c r="BE3579" s="77"/>
      <c r="BF3579" s="77"/>
      <c r="BG3579" s="77"/>
      <c r="BH3579" s="77"/>
      <c r="BI3579" s="77"/>
    </row>
    <row r="3580" spans="1:61" x14ac:dyDescent="0.25">
      <c r="A3580" s="62" t="s">
        <v>387</v>
      </c>
      <c r="B3580" s="62" t="s">
        <v>387</v>
      </c>
      <c r="C3580" s="63"/>
      <c r="D3580" s="64"/>
      <c r="E3580" s="65"/>
      <c r="F3580" s="66"/>
      <c r="G3580" s="63"/>
      <c r="H3580" s="67"/>
      <c r="I3580" s="68"/>
      <c r="J3580" s="68"/>
      <c r="K3580" s="32"/>
      <c r="L3580" s="75">
        <v>3580</v>
      </c>
      <c r="M3580" s="75"/>
      <c r="N3580" s="70"/>
      <c r="O3580" s="77" t="s">
        <v>898</v>
      </c>
      <c r="P3580" s="79">
        <v>45163.539409722223</v>
      </c>
      <c r="Q3580" s="77" t="s">
        <v>4250</v>
      </c>
      <c r="R3580" s="77">
        <v>0</v>
      </c>
      <c r="S3580" s="77">
        <v>0</v>
      </c>
      <c r="T3580" s="77">
        <v>0</v>
      </c>
      <c r="U3580" s="77">
        <v>0</v>
      </c>
      <c r="V3580" s="77">
        <v>326</v>
      </c>
      <c r="W3580" s="82" t="s">
        <v>5574</v>
      </c>
      <c r="X3580" s="80" t="str">
        <f>HYPERLINK("https://einvestidor.estadao.com.br/ultimas/ibovespa-futuro-repercute-ipca-de-olho-jackson-hole/?utm_source=twitter&amp;utm_medium=organic&amp;utm_campaign=ibovespa&amp;utm_content=materia")</f>
        <v>https://einvestidor.estadao.com.br/ultimas/ibovespa-futuro-repercute-ipca-de-olho-jackson-hole/?utm_source=twitter&amp;utm_medium=organic&amp;utm_campaign=ibovespa&amp;utm_content=materia</v>
      </c>
      <c r="Y3580" s="77" t="s">
        <v>6470</v>
      </c>
      <c r="Z3580" s="77"/>
      <c r="AA3580" s="77"/>
      <c r="AB3580" s="77"/>
      <c r="AC3580" s="82" t="s">
        <v>7750</v>
      </c>
      <c r="AD3580" s="77" t="s">
        <v>7788</v>
      </c>
      <c r="AE3580" s="80" t="str">
        <f>HYPERLINK("https://twitter.com/einvestidor/status/1695057625816109508")</f>
        <v>https://twitter.com/einvestidor/status/1695057625816109508</v>
      </c>
      <c r="AF3580" s="79">
        <v>45163.539409722223</v>
      </c>
      <c r="AG3580" s="85">
        <v>45163</v>
      </c>
      <c r="AH3580" s="82" t="s">
        <v>10087</v>
      </c>
      <c r="AI3580" s="77" t="b">
        <v>0</v>
      </c>
      <c r="AJ3580" s="77"/>
      <c r="AK3580" s="77"/>
      <c r="AL3580" s="77"/>
      <c r="AM3580" s="77"/>
      <c r="AN3580" s="77"/>
      <c r="AO3580" s="77"/>
      <c r="AP3580" s="77"/>
      <c r="AQ3580" s="77"/>
      <c r="AR3580" s="77"/>
      <c r="AS3580" s="77"/>
      <c r="AT3580" s="77"/>
      <c r="AU3580" s="77"/>
      <c r="AV3580" s="80" t="str">
        <f>HYPERLINK("https://pbs.twimg.com/profile_images/1241147984924082183/gZgx_hL-_normal.jpg")</f>
        <v>https://pbs.twimg.com/profile_images/1241147984924082183/gZgx_hL-_normal.jpg</v>
      </c>
      <c r="AW3580" s="82" t="s">
        <v>15176</v>
      </c>
      <c r="AX3580" s="82" t="s">
        <v>15903</v>
      </c>
      <c r="AY3580" s="82" t="s">
        <v>15979</v>
      </c>
      <c r="AZ3580" s="82" t="s">
        <v>15903</v>
      </c>
      <c r="BA3580" s="82" t="s">
        <v>15984</v>
      </c>
      <c r="BB3580" s="82" t="s">
        <v>15984</v>
      </c>
      <c r="BC3580" s="82" t="s">
        <v>15903</v>
      </c>
      <c r="BD3580" s="82" t="s">
        <v>15979</v>
      </c>
      <c r="BE3580" s="77"/>
      <c r="BF3580" s="77"/>
      <c r="BG3580" s="77"/>
      <c r="BH3580" s="77"/>
      <c r="BI3580" s="77"/>
    </row>
    <row r="3581" spans="1:61" x14ac:dyDescent="0.25">
      <c r="A3581" s="62" t="s">
        <v>387</v>
      </c>
      <c r="B3581" s="62" t="s">
        <v>387</v>
      </c>
      <c r="C3581" s="63"/>
      <c r="D3581" s="64"/>
      <c r="E3581" s="65"/>
      <c r="F3581" s="66"/>
      <c r="G3581" s="63"/>
      <c r="H3581" s="67"/>
      <c r="I3581" s="68"/>
      <c r="J3581" s="68"/>
      <c r="K3581" s="32"/>
      <c r="L3581" s="75">
        <v>3581</v>
      </c>
      <c r="M3581" s="75"/>
      <c r="N3581" s="70"/>
      <c r="O3581" s="77" t="s">
        <v>179</v>
      </c>
      <c r="P3581" s="79">
        <v>45163.533495370371</v>
      </c>
      <c r="Q3581" s="77" t="s">
        <v>4251</v>
      </c>
      <c r="R3581" s="77">
        <v>0</v>
      </c>
      <c r="S3581" s="77">
        <v>0</v>
      </c>
      <c r="T3581" s="77">
        <v>1</v>
      </c>
      <c r="U3581" s="77">
        <v>1</v>
      </c>
      <c r="V3581" s="77">
        <v>747</v>
      </c>
      <c r="W3581" s="82" t="s">
        <v>4839</v>
      </c>
      <c r="X3581" s="80" t="str">
        <f>HYPERLINK("https://einvestidor.estadao.com.br/ultimas/pagbank-lucro-segundo-trimestre/?utm_source=twitter&amp;utm_medium=organic&amp;utm_campaign=pagbank&amp;utm_content=materia")</f>
        <v>https://einvestidor.estadao.com.br/ultimas/pagbank-lucro-segundo-trimestre/?utm_source=twitter&amp;utm_medium=organic&amp;utm_campaign=pagbank&amp;utm_content=materia</v>
      </c>
      <c r="Y3581" s="77" t="s">
        <v>6470</v>
      </c>
      <c r="Z3581" s="77"/>
      <c r="AA3581" s="77"/>
      <c r="AB3581" s="77"/>
      <c r="AC3581" s="82" t="s">
        <v>7750</v>
      </c>
      <c r="AD3581" s="77" t="s">
        <v>7788</v>
      </c>
      <c r="AE3581" s="80" t="str">
        <f>HYPERLINK("https://twitter.com/einvestidor/status/1695055483139149973")</f>
        <v>https://twitter.com/einvestidor/status/1695055483139149973</v>
      </c>
      <c r="AF3581" s="79">
        <v>45163.533495370371</v>
      </c>
      <c r="AG3581" s="85">
        <v>45163</v>
      </c>
      <c r="AH3581" s="82" t="s">
        <v>10088</v>
      </c>
      <c r="AI3581" s="77" t="b">
        <v>0</v>
      </c>
      <c r="AJ3581" s="77"/>
      <c r="AK3581" s="77"/>
      <c r="AL3581" s="77"/>
      <c r="AM3581" s="77"/>
      <c r="AN3581" s="77"/>
      <c r="AO3581" s="77"/>
      <c r="AP3581" s="77"/>
      <c r="AQ3581" s="77"/>
      <c r="AR3581" s="77"/>
      <c r="AS3581" s="77"/>
      <c r="AT3581" s="77"/>
      <c r="AU3581" s="77"/>
      <c r="AV3581" s="80" t="str">
        <f>HYPERLINK("https://pbs.twimg.com/profile_images/1241147984924082183/gZgx_hL-_normal.jpg")</f>
        <v>https://pbs.twimg.com/profile_images/1241147984924082183/gZgx_hL-_normal.jpg</v>
      </c>
      <c r="AW3581" s="82" t="s">
        <v>15177</v>
      </c>
      <c r="AX3581" s="82" t="s">
        <v>15177</v>
      </c>
      <c r="AY3581" s="77"/>
      <c r="AZ3581" s="82" t="s">
        <v>15984</v>
      </c>
      <c r="BA3581" s="82" t="s">
        <v>15984</v>
      </c>
      <c r="BB3581" s="82" t="s">
        <v>15984</v>
      </c>
      <c r="BC3581" s="82" t="s">
        <v>15177</v>
      </c>
      <c r="BD3581" s="82" t="s">
        <v>15979</v>
      </c>
      <c r="BE3581" s="77"/>
      <c r="BF3581" s="77"/>
      <c r="BG3581" s="77"/>
      <c r="BH3581" s="77"/>
      <c r="BI3581" s="77"/>
    </row>
    <row r="3582" spans="1:61" x14ac:dyDescent="0.25">
      <c r="A3582" s="62" t="s">
        <v>387</v>
      </c>
      <c r="B3582" s="62" t="s">
        <v>387</v>
      </c>
      <c r="C3582" s="63"/>
      <c r="D3582" s="64"/>
      <c r="E3582" s="65"/>
      <c r="F3582" s="66"/>
      <c r="G3582" s="63"/>
      <c r="H3582" s="67"/>
      <c r="I3582" s="68"/>
      <c r="J3582" s="68"/>
      <c r="K3582" s="32"/>
      <c r="L3582" s="75">
        <v>3582</v>
      </c>
      <c r="M3582" s="75"/>
      <c r="N3582" s="70"/>
      <c r="O3582" s="77" t="s">
        <v>179</v>
      </c>
      <c r="P3582" s="79">
        <v>45163.474062499998</v>
      </c>
      <c r="Q3582" s="77" t="s">
        <v>4252</v>
      </c>
      <c r="R3582" s="77">
        <v>0</v>
      </c>
      <c r="S3582" s="77">
        <v>1</v>
      </c>
      <c r="T3582" s="77">
        <v>0</v>
      </c>
      <c r="U3582" s="77">
        <v>0</v>
      </c>
      <c r="V3582" s="77">
        <v>596</v>
      </c>
      <c r="W3582" s="82" t="s">
        <v>4839</v>
      </c>
      <c r="X3582" s="80" t="str">
        <f>HYPERLINK("https://einvestidor.estadao.com.br/mercado/mercado-hoje-expectativa-fed-jackson-hole-ipca-brasil/?utm_source=twitter&amp;utm_medium=organic&amp;utm_campaign=mercado-hoje&amp;utm_content=materia")</f>
        <v>https://einvestidor.estadao.com.br/mercado/mercado-hoje-expectativa-fed-jackson-hole-ipca-brasil/?utm_source=twitter&amp;utm_medium=organic&amp;utm_campaign=mercado-hoje&amp;utm_content=materia</v>
      </c>
      <c r="Y3582" s="77" t="s">
        <v>6470</v>
      </c>
      <c r="Z3582" s="77"/>
      <c r="AA3582" s="77"/>
      <c r="AB3582" s="77"/>
      <c r="AC3582" s="82" t="s">
        <v>7750</v>
      </c>
      <c r="AD3582" s="77" t="s">
        <v>7788</v>
      </c>
      <c r="AE3582" s="80" t="str">
        <f>HYPERLINK("https://twitter.com/einvestidor/status/1695033947061706961")</f>
        <v>https://twitter.com/einvestidor/status/1695033947061706961</v>
      </c>
      <c r="AF3582" s="79">
        <v>45163.474062499998</v>
      </c>
      <c r="AG3582" s="85">
        <v>45163</v>
      </c>
      <c r="AH3582" s="82" t="s">
        <v>10089</v>
      </c>
      <c r="AI3582" s="77" t="b">
        <v>0</v>
      </c>
      <c r="AJ3582" s="77"/>
      <c r="AK3582" s="77"/>
      <c r="AL3582" s="77"/>
      <c r="AM3582" s="77"/>
      <c r="AN3582" s="77"/>
      <c r="AO3582" s="77"/>
      <c r="AP3582" s="77"/>
      <c r="AQ3582" s="77"/>
      <c r="AR3582" s="77"/>
      <c r="AS3582" s="77"/>
      <c r="AT3582" s="77"/>
      <c r="AU3582" s="77"/>
      <c r="AV3582" s="80" t="str">
        <f>HYPERLINK("https://pbs.twimg.com/profile_images/1241147984924082183/gZgx_hL-_normal.jpg")</f>
        <v>https://pbs.twimg.com/profile_images/1241147984924082183/gZgx_hL-_normal.jpg</v>
      </c>
      <c r="AW3582" s="82" t="s">
        <v>15178</v>
      </c>
      <c r="AX3582" s="82" t="s">
        <v>15178</v>
      </c>
      <c r="AY3582" s="77"/>
      <c r="AZ3582" s="82" t="s">
        <v>15984</v>
      </c>
      <c r="BA3582" s="82" t="s">
        <v>15984</v>
      </c>
      <c r="BB3582" s="82" t="s">
        <v>15984</v>
      </c>
      <c r="BC3582" s="82" t="s">
        <v>15178</v>
      </c>
      <c r="BD3582" s="82" t="s">
        <v>15979</v>
      </c>
      <c r="BE3582" s="77"/>
      <c r="BF3582" s="77"/>
      <c r="BG3582" s="77"/>
      <c r="BH3582" s="77"/>
      <c r="BI3582" s="77"/>
    </row>
    <row r="3583" spans="1:61" x14ac:dyDescent="0.25">
      <c r="A3583" s="62" t="s">
        <v>387</v>
      </c>
      <c r="B3583" s="62" t="s">
        <v>387</v>
      </c>
      <c r="C3583" s="63"/>
      <c r="D3583" s="64"/>
      <c r="E3583" s="65"/>
      <c r="F3583" s="66"/>
      <c r="G3583" s="63"/>
      <c r="H3583" s="67"/>
      <c r="I3583" s="68"/>
      <c r="J3583" s="68"/>
      <c r="K3583" s="32"/>
      <c r="L3583" s="75">
        <v>3583</v>
      </c>
      <c r="M3583" s="75"/>
      <c r="N3583" s="70"/>
      <c r="O3583" s="77" t="s">
        <v>179</v>
      </c>
      <c r="P3583" s="79">
        <v>45163.469872685186</v>
      </c>
      <c r="Q3583" s="77" t="s">
        <v>4253</v>
      </c>
      <c r="R3583" s="77">
        <v>0</v>
      </c>
      <c r="S3583" s="77">
        <v>5</v>
      </c>
      <c r="T3583" s="77">
        <v>0</v>
      </c>
      <c r="U3583" s="77">
        <v>0</v>
      </c>
      <c r="V3583" s="77">
        <v>445</v>
      </c>
      <c r="W3583" s="82" t="s">
        <v>4839</v>
      </c>
      <c r="X3583" s="80" t="str">
        <f>HYPERLINK("https://einvestidor.estadao.com.br/ultimas/bolsas-europeias-indicadores-fracos-alemanha/?utm_source=twitter&amp;utm_medium=organic&amp;utm_campaign=europa&amp;utm_content=materia")</f>
        <v>https://einvestidor.estadao.com.br/ultimas/bolsas-europeias-indicadores-fracos-alemanha/?utm_source=twitter&amp;utm_medium=organic&amp;utm_campaign=europa&amp;utm_content=materia</v>
      </c>
      <c r="Y3583" s="77" t="s">
        <v>6470</v>
      </c>
      <c r="Z3583" s="77"/>
      <c r="AA3583" s="77"/>
      <c r="AB3583" s="77"/>
      <c r="AC3583" s="82" t="s">
        <v>7750</v>
      </c>
      <c r="AD3583" s="77" t="s">
        <v>7788</v>
      </c>
      <c r="AE3583" s="80" t="str">
        <f>HYPERLINK("https://twitter.com/einvestidor/status/1695032428761362573")</f>
        <v>https://twitter.com/einvestidor/status/1695032428761362573</v>
      </c>
      <c r="AF3583" s="79">
        <v>45163.469872685186</v>
      </c>
      <c r="AG3583" s="85">
        <v>45163</v>
      </c>
      <c r="AH3583" s="82" t="s">
        <v>10090</v>
      </c>
      <c r="AI3583" s="77" t="b">
        <v>0</v>
      </c>
      <c r="AJ3583" s="77"/>
      <c r="AK3583" s="77"/>
      <c r="AL3583" s="77"/>
      <c r="AM3583" s="77"/>
      <c r="AN3583" s="77"/>
      <c r="AO3583" s="77"/>
      <c r="AP3583" s="77"/>
      <c r="AQ3583" s="77"/>
      <c r="AR3583" s="77"/>
      <c r="AS3583" s="77"/>
      <c r="AT3583" s="77"/>
      <c r="AU3583" s="77"/>
      <c r="AV3583" s="80" t="str">
        <f>HYPERLINK("https://pbs.twimg.com/profile_images/1241147984924082183/gZgx_hL-_normal.jpg")</f>
        <v>https://pbs.twimg.com/profile_images/1241147984924082183/gZgx_hL-_normal.jpg</v>
      </c>
      <c r="AW3583" s="82" t="s">
        <v>15179</v>
      </c>
      <c r="AX3583" s="82" t="s">
        <v>15179</v>
      </c>
      <c r="AY3583" s="77"/>
      <c r="AZ3583" s="82" t="s">
        <v>15984</v>
      </c>
      <c r="BA3583" s="82" t="s">
        <v>15984</v>
      </c>
      <c r="BB3583" s="82" t="s">
        <v>15984</v>
      </c>
      <c r="BC3583" s="82" t="s">
        <v>15179</v>
      </c>
      <c r="BD3583" s="82" t="s">
        <v>15979</v>
      </c>
      <c r="BE3583" s="77"/>
      <c r="BF3583" s="77"/>
      <c r="BG3583" s="77"/>
      <c r="BH3583" s="77"/>
      <c r="BI3583" s="77"/>
    </row>
    <row r="3584" spans="1:61" x14ac:dyDescent="0.25">
      <c r="A3584" s="62" t="s">
        <v>387</v>
      </c>
      <c r="B3584" s="62" t="s">
        <v>387</v>
      </c>
      <c r="C3584" s="63"/>
      <c r="D3584" s="64"/>
      <c r="E3584" s="65"/>
      <c r="F3584" s="66"/>
      <c r="G3584" s="63"/>
      <c r="H3584" s="67"/>
      <c r="I3584" s="68"/>
      <c r="J3584" s="68"/>
      <c r="K3584" s="32"/>
      <c r="L3584" s="75">
        <v>3584</v>
      </c>
      <c r="M3584" s="75"/>
      <c r="N3584" s="70"/>
      <c r="O3584" s="77" t="s">
        <v>179</v>
      </c>
      <c r="P3584" s="79">
        <v>45162.96875</v>
      </c>
      <c r="Q3584" s="77" t="s">
        <v>4254</v>
      </c>
      <c r="R3584" s="77">
        <v>0</v>
      </c>
      <c r="S3584" s="77">
        <v>0</v>
      </c>
      <c r="T3584" s="77">
        <v>0</v>
      </c>
      <c r="U3584" s="77">
        <v>0</v>
      </c>
      <c r="V3584" s="77">
        <v>818</v>
      </c>
      <c r="W3584" s="82" t="s">
        <v>6345</v>
      </c>
      <c r="X3584" s="80" t="str">
        <f>HYPERLINK("https://einvestidor.estadao.com.br/educacao-financeira/emprestimo-caixa-tem-e-possivel-veja-como/?utm_source=twitter&amp;utm_medium=organic&amp;utm_campaign=&amp;utm_content=materia")</f>
        <v>https://einvestidor.estadao.com.br/educacao-financeira/emprestimo-caixa-tem-e-possivel-veja-como/?utm_source=twitter&amp;utm_medium=organic&amp;utm_campaign=&amp;utm_content=materia</v>
      </c>
      <c r="Y3584" s="77" t="s">
        <v>6470</v>
      </c>
      <c r="Z3584" s="77"/>
      <c r="AA3584" s="77"/>
      <c r="AB3584" s="77"/>
      <c r="AC3584" s="82" t="s">
        <v>7750</v>
      </c>
      <c r="AD3584" s="77" t="s">
        <v>7788</v>
      </c>
      <c r="AE3584" s="80" t="str">
        <f>HYPERLINK("https://twitter.com/einvestidor/status/1694850825326363033")</f>
        <v>https://twitter.com/einvestidor/status/1694850825326363033</v>
      </c>
      <c r="AF3584" s="79">
        <v>45162.96875</v>
      </c>
      <c r="AG3584" s="85">
        <v>45162</v>
      </c>
      <c r="AH3584" s="82" t="s">
        <v>9621</v>
      </c>
      <c r="AI3584" s="77" t="b">
        <v>0</v>
      </c>
      <c r="AJ3584" s="77"/>
      <c r="AK3584" s="77"/>
      <c r="AL3584" s="77"/>
      <c r="AM3584" s="77"/>
      <c r="AN3584" s="77"/>
      <c r="AO3584" s="77"/>
      <c r="AP3584" s="77"/>
      <c r="AQ3584" s="77"/>
      <c r="AR3584" s="77"/>
      <c r="AS3584" s="77"/>
      <c r="AT3584" s="77"/>
      <c r="AU3584" s="77"/>
      <c r="AV3584" s="80" t="str">
        <f>HYPERLINK("https://pbs.twimg.com/profile_images/1241147984924082183/gZgx_hL-_normal.jpg")</f>
        <v>https://pbs.twimg.com/profile_images/1241147984924082183/gZgx_hL-_normal.jpg</v>
      </c>
      <c r="AW3584" s="82" t="s">
        <v>15180</v>
      </c>
      <c r="AX3584" s="82" t="s">
        <v>15180</v>
      </c>
      <c r="AY3584" s="77"/>
      <c r="AZ3584" s="82" t="s">
        <v>15984</v>
      </c>
      <c r="BA3584" s="82" t="s">
        <v>15984</v>
      </c>
      <c r="BB3584" s="82" t="s">
        <v>15984</v>
      </c>
      <c r="BC3584" s="82" t="s">
        <v>15180</v>
      </c>
      <c r="BD3584" s="82" t="s">
        <v>15979</v>
      </c>
      <c r="BE3584" s="77"/>
      <c r="BF3584" s="77"/>
      <c r="BG3584" s="77"/>
      <c r="BH3584" s="77"/>
      <c r="BI3584" s="77"/>
    </row>
    <row r="3585" spans="1:61" x14ac:dyDescent="0.25">
      <c r="A3585" s="62" t="s">
        <v>387</v>
      </c>
      <c r="B3585" s="62" t="s">
        <v>387</v>
      </c>
      <c r="C3585" s="63"/>
      <c r="D3585" s="64"/>
      <c r="E3585" s="65"/>
      <c r="F3585" s="66"/>
      <c r="G3585" s="63"/>
      <c r="H3585" s="67"/>
      <c r="I3585" s="68"/>
      <c r="J3585" s="68"/>
      <c r="K3585" s="32"/>
      <c r="L3585" s="75">
        <v>3585</v>
      </c>
      <c r="M3585" s="75"/>
      <c r="N3585" s="70"/>
      <c r="O3585" s="77" t="s">
        <v>179</v>
      </c>
      <c r="P3585" s="79">
        <v>45162.958333333336</v>
      </c>
      <c r="Q3585" s="77" t="s">
        <v>4255</v>
      </c>
      <c r="R3585" s="77">
        <v>1</v>
      </c>
      <c r="S3585" s="77">
        <v>1</v>
      </c>
      <c r="T3585" s="77">
        <v>0</v>
      </c>
      <c r="U3585" s="77">
        <v>1</v>
      </c>
      <c r="V3585" s="77">
        <v>773</v>
      </c>
      <c r="W3585" s="82" t="s">
        <v>6346</v>
      </c>
      <c r="X3585" s="80" t="str">
        <f>HYPERLINK("https://einvestidor.estadao.com.br/radar-einvestidor/caso-123-milhas-como-afeta-acoes-cvc-cvcb3/?utm_source=twitter&amp;utm_medium=organic&amp;utm_campaign=&amp;utm_content=materia")</f>
        <v>https://einvestidor.estadao.com.br/radar-einvestidor/caso-123-milhas-como-afeta-acoes-cvc-cvcb3/?utm_source=twitter&amp;utm_medium=organic&amp;utm_campaign=&amp;utm_content=materia</v>
      </c>
      <c r="Y3585" s="77" t="s">
        <v>6470</v>
      </c>
      <c r="Z3585" s="77"/>
      <c r="AA3585" s="77"/>
      <c r="AB3585" s="77"/>
      <c r="AC3585" s="82" t="s">
        <v>7750</v>
      </c>
      <c r="AD3585" s="77" t="s">
        <v>7788</v>
      </c>
      <c r="AE3585" s="80" t="str">
        <f>HYPERLINK("https://twitter.com/einvestidor/status/1694847052650586561")</f>
        <v>https://twitter.com/einvestidor/status/1694847052650586561</v>
      </c>
      <c r="AF3585" s="79">
        <v>45162.958333333336</v>
      </c>
      <c r="AG3585" s="85">
        <v>45162</v>
      </c>
      <c r="AH3585" s="82" t="s">
        <v>8279</v>
      </c>
      <c r="AI3585" s="77" t="b">
        <v>0</v>
      </c>
      <c r="AJ3585" s="77"/>
      <c r="AK3585" s="77"/>
      <c r="AL3585" s="77"/>
      <c r="AM3585" s="77"/>
      <c r="AN3585" s="77"/>
      <c r="AO3585" s="77"/>
      <c r="AP3585" s="77"/>
      <c r="AQ3585" s="77"/>
      <c r="AR3585" s="77"/>
      <c r="AS3585" s="77"/>
      <c r="AT3585" s="77"/>
      <c r="AU3585" s="77"/>
      <c r="AV3585" s="80" t="str">
        <f>HYPERLINK("https://pbs.twimg.com/profile_images/1241147984924082183/gZgx_hL-_normal.jpg")</f>
        <v>https://pbs.twimg.com/profile_images/1241147984924082183/gZgx_hL-_normal.jpg</v>
      </c>
      <c r="AW3585" s="82" t="s">
        <v>15181</v>
      </c>
      <c r="AX3585" s="82" t="s">
        <v>15181</v>
      </c>
      <c r="AY3585" s="77"/>
      <c r="AZ3585" s="82" t="s">
        <v>15984</v>
      </c>
      <c r="BA3585" s="82" t="s">
        <v>15984</v>
      </c>
      <c r="BB3585" s="82" t="s">
        <v>15984</v>
      </c>
      <c r="BC3585" s="82" t="s">
        <v>15181</v>
      </c>
      <c r="BD3585" s="82" t="s">
        <v>15979</v>
      </c>
      <c r="BE3585" s="77"/>
      <c r="BF3585" s="77"/>
      <c r="BG3585" s="77"/>
      <c r="BH3585" s="77"/>
      <c r="BI3585" s="77"/>
    </row>
    <row r="3586" spans="1:61" x14ac:dyDescent="0.25">
      <c r="A3586" s="62" t="s">
        <v>387</v>
      </c>
      <c r="B3586" s="62" t="s">
        <v>387</v>
      </c>
      <c r="C3586" s="63"/>
      <c r="D3586" s="64"/>
      <c r="E3586" s="65"/>
      <c r="F3586" s="66"/>
      <c r="G3586" s="63"/>
      <c r="H3586" s="67"/>
      <c r="I3586" s="68"/>
      <c r="J3586" s="68"/>
      <c r="K3586" s="32"/>
      <c r="L3586" s="75">
        <v>3586</v>
      </c>
      <c r="M3586" s="75"/>
      <c r="N3586" s="70"/>
      <c r="O3586" s="77" t="s">
        <v>179</v>
      </c>
      <c r="P3586" s="79">
        <v>45137.583344907405</v>
      </c>
      <c r="Q3586" s="77" t="s">
        <v>4256</v>
      </c>
      <c r="R3586" s="77">
        <v>1</v>
      </c>
      <c r="S3586" s="77">
        <v>9</v>
      </c>
      <c r="T3586" s="77">
        <v>0</v>
      </c>
      <c r="U3586" s="77">
        <v>0</v>
      </c>
      <c r="V3586" s="77">
        <v>1042</v>
      </c>
      <c r="W3586" s="82" t="s">
        <v>4833</v>
      </c>
      <c r="X3586" s="80" t="str">
        <f>HYPERLINK("https://einvestidor.estadao.com.br/ultimas/b3-negocia-novos-bdrs/?utm_source=twitter&amp;utm_medium=organic&amp;utm_campaign=b3-bdrs&amp;utm_content=materia")</f>
        <v>https://einvestidor.estadao.com.br/ultimas/b3-negocia-novos-bdrs/?utm_source=twitter&amp;utm_medium=organic&amp;utm_campaign=b3-bdrs&amp;utm_content=materia</v>
      </c>
      <c r="Y3586" s="77" t="s">
        <v>6470</v>
      </c>
      <c r="Z3586" s="77"/>
      <c r="AA3586" s="77"/>
      <c r="AB3586" s="77"/>
      <c r="AC3586" s="82" t="s">
        <v>7754</v>
      </c>
      <c r="AD3586" s="77" t="s">
        <v>7788</v>
      </c>
      <c r="AE3586" s="80" t="str">
        <f>HYPERLINK("https://twitter.com/einvestidor/status/1685651463706718208")</f>
        <v>https://twitter.com/einvestidor/status/1685651463706718208</v>
      </c>
      <c r="AF3586" s="79">
        <v>45137.583344907405</v>
      </c>
      <c r="AG3586" s="85">
        <v>45137</v>
      </c>
      <c r="AH3586" s="82" t="s">
        <v>7860</v>
      </c>
      <c r="AI3586" s="77" t="b">
        <v>0</v>
      </c>
      <c r="AJ3586" s="77"/>
      <c r="AK3586" s="77"/>
      <c r="AL3586" s="77"/>
      <c r="AM3586" s="77"/>
      <c r="AN3586" s="77"/>
      <c r="AO3586" s="77"/>
      <c r="AP3586" s="77"/>
      <c r="AQ3586" s="77"/>
      <c r="AR3586" s="77"/>
      <c r="AS3586" s="77"/>
      <c r="AT3586" s="77"/>
      <c r="AU3586" s="77"/>
      <c r="AV3586" s="80" t="str">
        <f>HYPERLINK("https://pbs.twimg.com/profile_images/1241147984924082183/gZgx_hL-_normal.jpg")</f>
        <v>https://pbs.twimg.com/profile_images/1241147984924082183/gZgx_hL-_normal.jpg</v>
      </c>
      <c r="AW3586" s="82" t="s">
        <v>15182</v>
      </c>
      <c r="AX3586" s="82" t="s">
        <v>15182</v>
      </c>
      <c r="AY3586" s="77"/>
      <c r="AZ3586" s="82" t="s">
        <v>15984</v>
      </c>
      <c r="BA3586" s="82" t="s">
        <v>15984</v>
      </c>
      <c r="BB3586" s="82" t="s">
        <v>15984</v>
      </c>
      <c r="BC3586" s="82" t="s">
        <v>15182</v>
      </c>
      <c r="BD3586" s="82" t="s">
        <v>15979</v>
      </c>
      <c r="BE3586" s="77"/>
      <c r="BF3586" s="77"/>
      <c r="BG3586" s="77"/>
      <c r="BH3586" s="77"/>
      <c r="BI3586" s="77"/>
    </row>
    <row r="3587" spans="1:61" x14ac:dyDescent="0.25">
      <c r="A3587" s="62" t="s">
        <v>387</v>
      </c>
      <c r="B3587" s="62" t="s">
        <v>387</v>
      </c>
      <c r="C3587" s="63"/>
      <c r="D3587" s="64"/>
      <c r="E3587" s="65"/>
      <c r="F3587" s="66"/>
      <c r="G3587" s="63"/>
      <c r="H3587" s="67"/>
      <c r="I3587" s="68"/>
      <c r="J3587" s="68"/>
      <c r="K3587" s="32"/>
      <c r="L3587" s="75">
        <v>3587</v>
      </c>
      <c r="M3587" s="75"/>
      <c r="N3587" s="70"/>
      <c r="O3587" s="77" t="s">
        <v>179</v>
      </c>
      <c r="P3587" s="79">
        <v>45137.500011574077</v>
      </c>
      <c r="Q3587" s="77" t="s">
        <v>4257</v>
      </c>
      <c r="R3587" s="77">
        <v>1</v>
      </c>
      <c r="S3587" s="77">
        <v>2</v>
      </c>
      <c r="T3587" s="77">
        <v>0</v>
      </c>
      <c r="U3587" s="77">
        <v>0</v>
      </c>
      <c r="V3587" s="77">
        <v>864</v>
      </c>
      <c r="W3587" s="82" t="s">
        <v>4833</v>
      </c>
      <c r="X3587" s="80" t="str">
        <f>HYPERLINK("https://mla.bs/4202a17b")</f>
        <v>https://mla.bs/4202a17b</v>
      </c>
      <c r="Y3587" s="77" t="s">
        <v>6506</v>
      </c>
      <c r="Z3587" s="77"/>
      <c r="AA3587" s="77"/>
      <c r="AB3587" s="77"/>
      <c r="AC3587" s="82" t="s">
        <v>7754</v>
      </c>
      <c r="AD3587" s="77" t="s">
        <v>7788</v>
      </c>
      <c r="AE3587" s="80" t="str">
        <f>HYPERLINK("https://twitter.com/einvestidor/status/1685621263971024896")</f>
        <v>https://twitter.com/einvestidor/status/1685621263971024896</v>
      </c>
      <c r="AF3587" s="79">
        <v>45137.500011574077</v>
      </c>
      <c r="AG3587" s="85">
        <v>45137</v>
      </c>
      <c r="AH3587" s="82" t="s">
        <v>9002</v>
      </c>
      <c r="AI3587" s="77" t="b">
        <v>0</v>
      </c>
      <c r="AJ3587" s="77"/>
      <c r="AK3587" s="77"/>
      <c r="AL3587" s="77"/>
      <c r="AM3587" s="77"/>
      <c r="AN3587" s="77"/>
      <c r="AO3587" s="77"/>
      <c r="AP3587" s="77"/>
      <c r="AQ3587" s="77"/>
      <c r="AR3587" s="77"/>
      <c r="AS3587" s="77"/>
      <c r="AT3587" s="77"/>
      <c r="AU3587" s="77"/>
      <c r="AV3587" s="80" t="str">
        <f>HYPERLINK("https://pbs.twimg.com/profile_images/1241147984924082183/gZgx_hL-_normal.jpg")</f>
        <v>https://pbs.twimg.com/profile_images/1241147984924082183/gZgx_hL-_normal.jpg</v>
      </c>
      <c r="AW3587" s="82" t="s">
        <v>15183</v>
      </c>
      <c r="AX3587" s="82" t="s">
        <v>15183</v>
      </c>
      <c r="AY3587" s="77"/>
      <c r="AZ3587" s="82" t="s">
        <v>15984</v>
      </c>
      <c r="BA3587" s="82" t="s">
        <v>15984</v>
      </c>
      <c r="BB3587" s="82" t="s">
        <v>15984</v>
      </c>
      <c r="BC3587" s="82" t="s">
        <v>15183</v>
      </c>
      <c r="BD3587" s="82" t="s">
        <v>15979</v>
      </c>
      <c r="BE3587" s="77"/>
      <c r="BF3587" s="77"/>
      <c r="BG3587" s="77"/>
      <c r="BH3587" s="77"/>
      <c r="BI3587" s="77"/>
    </row>
    <row r="3588" spans="1:61" x14ac:dyDescent="0.25">
      <c r="A3588" s="62" t="s">
        <v>387</v>
      </c>
      <c r="B3588" s="62" t="s">
        <v>387</v>
      </c>
      <c r="C3588" s="63"/>
      <c r="D3588" s="64"/>
      <c r="E3588" s="65"/>
      <c r="F3588" s="66"/>
      <c r="G3588" s="63"/>
      <c r="H3588" s="67"/>
      <c r="I3588" s="68"/>
      <c r="J3588" s="68"/>
      <c r="K3588" s="32"/>
      <c r="L3588" s="75">
        <v>3588</v>
      </c>
      <c r="M3588" s="75"/>
      <c r="N3588" s="70"/>
      <c r="O3588" s="77" t="s">
        <v>179</v>
      </c>
      <c r="P3588" s="79">
        <v>45136.875</v>
      </c>
      <c r="Q3588" s="77" t="s">
        <v>4258</v>
      </c>
      <c r="R3588" s="77">
        <v>0</v>
      </c>
      <c r="S3588" s="77">
        <v>3</v>
      </c>
      <c r="T3588" s="77">
        <v>0</v>
      </c>
      <c r="U3588" s="77">
        <v>0</v>
      </c>
      <c r="V3588" s="77">
        <v>970</v>
      </c>
      <c r="W3588" s="82" t="s">
        <v>4833</v>
      </c>
      <c r="X3588" s="80" t="str">
        <f>HYPERLINK("https://einvestidor.estadao.com.br/mercado/itau-estamos-quase-na-indiferenca-renda-fixa-acoes/?utm_source=twitter&amp;utm_medium=organic&amp;utm_campaign=&amp;utm_content=materia")</f>
        <v>https://einvestidor.estadao.com.br/mercado/itau-estamos-quase-na-indiferenca-renda-fixa-acoes/?utm_source=twitter&amp;utm_medium=organic&amp;utm_campaign=&amp;utm_content=materia</v>
      </c>
      <c r="Y3588" s="77" t="s">
        <v>6470</v>
      </c>
      <c r="Z3588" s="77"/>
      <c r="AA3588" s="77"/>
      <c r="AB3588" s="77"/>
      <c r="AC3588" s="82" t="s">
        <v>7754</v>
      </c>
      <c r="AD3588" s="77" t="s">
        <v>7788</v>
      </c>
      <c r="AE3588" s="80" t="str">
        <f>HYPERLINK("https://twitter.com/einvestidor/status/1685394768774438912")</f>
        <v>https://twitter.com/einvestidor/status/1685394768774438912</v>
      </c>
      <c r="AF3588" s="79">
        <v>45136.875</v>
      </c>
      <c r="AG3588" s="85">
        <v>45136</v>
      </c>
      <c r="AH3588" s="82" t="s">
        <v>9647</v>
      </c>
      <c r="AI3588" s="77" t="b">
        <v>0</v>
      </c>
      <c r="AJ3588" s="77"/>
      <c r="AK3588" s="77"/>
      <c r="AL3588" s="77"/>
      <c r="AM3588" s="77"/>
      <c r="AN3588" s="77"/>
      <c r="AO3588" s="77"/>
      <c r="AP3588" s="77"/>
      <c r="AQ3588" s="77"/>
      <c r="AR3588" s="77"/>
      <c r="AS3588" s="77"/>
      <c r="AT3588" s="77"/>
      <c r="AU3588" s="77"/>
      <c r="AV3588" s="80" t="str">
        <f>HYPERLINK("https://pbs.twimg.com/profile_images/1241147984924082183/gZgx_hL-_normal.jpg")</f>
        <v>https://pbs.twimg.com/profile_images/1241147984924082183/gZgx_hL-_normal.jpg</v>
      </c>
      <c r="AW3588" s="82" t="s">
        <v>15184</v>
      </c>
      <c r="AX3588" s="82" t="s">
        <v>15184</v>
      </c>
      <c r="AY3588" s="77"/>
      <c r="AZ3588" s="82" t="s">
        <v>15984</v>
      </c>
      <c r="BA3588" s="82" t="s">
        <v>15984</v>
      </c>
      <c r="BB3588" s="82" t="s">
        <v>15984</v>
      </c>
      <c r="BC3588" s="82" t="s">
        <v>15184</v>
      </c>
      <c r="BD3588" s="82" t="s">
        <v>15979</v>
      </c>
      <c r="BE3588" s="77"/>
      <c r="BF3588" s="77"/>
      <c r="BG3588" s="77"/>
      <c r="BH3588" s="77"/>
      <c r="BI3588" s="77"/>
    </row>
    <row r="3589" spans="1:61" x14ac:dyDescent="0.25">
      <c r="A3589" s="62" t="s">
        <v>387</v>
      </c>
      <c r="B3589" s="62" t="s">
        <v>387</v>
      </c>
      <c r="C3589" s="63"/>
      <c r="D3589" s="64"/>
      <c r="E3589" s="65"/>
      <c r="F3589" s="66"/>
      <c r="G3589" s="63"/>
      <c r="H3589" s="67"/>
      <c r="I3589" s="68"/>
      <c r="J3589" s="68"/>
      <c r="K3589" s="32"/>
      <c r="L3589" s="75">
        <v>3589</v>
      </c>
      <c r="M3589" s="75"/>
      <c r="N3589" s="70"/>
      <c r="O3589" s="77" t="s">
        <v>179</v>
      </c>
      <c r="P3589" s="79">
        <v>45136.708333333336</v>
      </c>
      <c r="Q3589" s="77" t="s">
        <v>4259</v>
      </c>
      <c r="R3589" s="77">
        <v>1</v>
      </c>
      <c r="S3589" s="77">
        <v>1</v>
      </c>
      <c r="T3589" s="77">
        <v>0</v>
      </c>
      <c r="U3589" s="77">
        <v>0</v>
      </c>
      <c r="V3589" s="77">
        <v>654</v>
      </c>
      <c r="W3589" s="82" t="s">
        <v>4833</v>
      </c>
      <c r="X3589" s="80" t="str">
        <f>HYPERLINK("https://einvestidor.estadao.com.br/ultimas/qual-criptomoeda-mais-negociada-brasileiros/?utm_source=twitter&amp;utm_medium=organic&amp;utm_campaign=criptomoedas&amp;utm_content=materia")</f>
        <v>https://einvestidor.estadao.com.br/ultimas/qual-criptomoeda-mais-negociada-brasileiros/?utm_source=twitter&amp;utm_medium=organic&amp;utm_campaign=criptomoedas&amp;utm_content=materia</v>
      </c>
      <c r="Y3589" s="77" t="s">
        <v>6470</v>
      </c>
      <c r="Z3589" s="77"/>
      <c r="AA3589" s="77"/>
      <c r="AB3589" s="77"/>
      <c r="AC3589" s="82" t="s">
        <v>7754</v>
      </c>
      <c r="AD3589" s="77" t="s">
        <v>7788</v>
      </c>
      <c r="AE3589" s="80" t="str">
        <f>HYPERLINK("https://twitter.com/einvestidor/status/1685334369789939712")</f>
        <v>https://twitter.com/einvestidor/status/1685334369789939712</v>
      </c>
      <c r="AF3589" s="79">
        <v>45136.708333333336</v>
      </c>
      <c r="AG3589" s="85">
        <v>45136</v>
      </c>
      <c r="AH3589" s="82" t="s">
        <v>9697</v>
      </c>
      <c r="AI3589" s="77" t="b">
        <v>0</v>
      </c>
      <c r="AJ3589" s="77"/>
      <c r="AK3589" s="77"/>
      <c r="AL3589" s="77"/>
      <c r="AM3589" s="77"/>
      <c r="AN3589" s="77"/>
      <c r="AO3589" s="77"/>
      <c r="AP3589" s="77"/>
      <c r="AQ3589" s="77"/>
      <c r="AR3589" s="77"/>
      <c r="AS3589" s="77"/>
      <c r="AT3589" s="77"/>
      <c r="AU3589" s="77"/>
      <c r="AV3589" s="80" t="str">
        <f>HYPERLINK("https://pbs.twimg.com/profile_images/1241147984924082183/gZgx_hL-_normal.jpg")</f>
        <v>https://pbs.twimg.com/profile_images/1241147984924082183/gZgx_hL-_normal.jpg</v>
      </c>
      <c r="AW3589" s="82" t="s">
        <v>15185</v>
      </c>
      <c r="AX3589" s="82" t="s">
        <v>15185</v>
      </c>
      <c r="AY3589" s="77"/>
      <c r="AZ3589" s="82" t="s">
        <v>15984</v>
      </c>
      <c r="BA3589" s="82" t="s">
        <v>15984</v>
      </c>
      <c r="BB3589" s="82" t="s">
        <v>15984</v>
      </c>
      <c r="BC3589" s="82" t="s">
        <v>15185</v>
      </c>
      <c r="BD3589" s="82" t="s">
        <v>15979</v>
      </c>
      <c r="BE3589" s="77"/>
      <c r="BF3589" s="77"/>
      <c r="BG3589" s="77"/>
      <c r="BH3589" s="77"/>
      <c r="BI3589" s="77"/>
    </row>
    <row r="3590" spans="1:61" x14ac:dyDescent="0.25">
      <c r="A3590" s="62" t="s">
        <v>387</v>
      </c>
      <c r="B3590" s="62" t="s">
        <v>387</v>
      </c>
      <c r="C3590" s="63"/>
      <c r="D3590" s="64"/>
      <c r="E3590" s="65"/>
      <c r="F3590" s="66"/>
      <c r="G3590" s="63"/>
      <c r="H3590" s="67"/>
      <c r="I3590" s="68"/>
      <c r="J3590" s="68"/>
      <c r="K3590" s="32"/>
      <c r="L3590" s="75">
        <v>3590</v>
      </c>
      <c r="M3590" s="75"/>
      <c r="N3590" s="70"/>
      <c r="O3590" s="77" t="s">
        <v>179</v>
      </c>
      <c r="P3590" s="79">
        <v>45136.666666666664</v>
      </c>
      <c r="Q3590" s="77" t="s">
        <v>4260</v>
      </c>
      <c r="R3590" s="77">
        <v>0</v>
      </c>
      <c r="S3590" s="77">
        <v>3</v>
      </c>
      <c r="T3590" s="77">
        <v>0</v>
      </c>
      <c r="U3590" s="77">
        <v>0</v>
      </c>
      <c r="V3590" s="77">
        <v>606</v>
      </c>
      <c r="W3590" s="82" t="s">
        <v>6347</v>
      </c>
      <c r="X3590" s="80" t="str">
        <f>HYPERLINK("https://mla.bs/33ff6916")</f>
        <v>https://mla.bs/33ff6916</v>
      </c>
      <c r="Y3590" s="77" t="s">
        <v>6506</v>
      </c>
      <c r="Z3590" s="77"/>
      <c r="AA3590" s="77"/>
      <c r="AB3590" s="77"/>
      <c r="AC3590" s="82" t="s">
        <v>7754</v>
      </c>
      <c r="AD3590" s="77" t="s">
        <v>7788</v>
      </c>
      <c r="AE3590" s="80" t="str">
        <f>HYPERLINK("https://twitter.com/einvestidor/status/1685319271445147648")</f>
        <v>https://twitter.com/einvestidor/status/1685319271445147648</v>
      </c>
      <c r="AF3590" s="79">
        <v>45136.666666666664</v>
      </c>
      <c r="AG3590" s="85">
        <v>45136</v>
      </c>
      <c r="AH3590" s="82" t="s">
        <v>8120</v>
      </c>
      <c r="AI3590" s="77" t="b">
        <v>0</v>
      </c>
      <c r="AJ3590" s="77"/>
      <c r="AK3590" s="77"/>
      <c r="AL3590" s="77"/>
      <c r="AM3590" s="77"/>
      <c r="AN3590" s="77"/>
      <c r="AO3590" s="77"/>
      <c r="AP3590" s="77"/>
      <c r="AQ3590" s="77"/>
      <c r="AR3590" s="77"/>
      <c r="AS3590" s="77"/>
      <c r="AT3590" s="77"/>
      <c r="AU3590" s="77"/>
      <c r="AV3590" s="80" t="str">
        <f>HYPERLINK("https://pbs.twimg.com/profile_images/1241147984924082183/gZgx_hL-_normal.jpg")</f>
        <v>https://pbs.twimg.com/profile_images/1241147984924082183/gZgx_hL-_normal.jpg</v>
      </c>
      <c r="AW3590" s="82" t="s">
        <v>15186</v>
      </c>
      <c r="AX3590" s="82" t="s">
        <v>15186</v>
      </c>
      <c r="AY3590" s="77"/>
      <c r="AZ3590" s="82" t="s">
        <v>15984</v>
      </c>
      <c r="BA3590" s="82" t="s">
        <v>15984</v>
      </c>
      <c r="BB3590" s="82" t="s">
        <v>15984</v>
      </c>
      <c r="BC3590" s="82" t="s">
        <v>15186</v>
      </c>
      <c r="BD3590" s="82" t="s">
        <v>15979</v>
      </c>
      <c r="BE3590" s="77"/>
      <c r="BF3590" s="77"/>
      <c r="BG3590" s="77"/>
      <c r="BH3590" s="77"/>
      <c r="BI3590" s="77"/>
    </row>
    <row r="3591" spans="1:61" x14ac:dyDescent="0.25">
      <c r="A3591" s="62" t="s">
        <v>387</v>
      </c>
      <c r="B3591" s="62" t="s">
        <v>387</v>
      </c>
      <c r="C3591" s="63"/>
      <c r="D3591" s="64"/>
      <c r="E3591" s="65"/>
      <c r="F3591" s="66"/>
      <c r="G3591" s="63"/>
      <c r="H3591" s="67"/>
      <c r="I3591" s="68"/>
      <c r="J3591" s="68"/>
      <c r="K3591" s="32"/>
      <c r="L3591" s="75">
        <v>3591</v>
      </c>
      <c r="M3591" s="75"/>
      <c r="N3591" s="70"/>
      <c r="O3591" s="77" t="s">
        <v>179</v>
      </c>
      <c r="P3591" s="79">
        <v>45136.583333333336</v>
      </c>
      <c r="Q3591" s="77" t="s">
        <v>4261</v>
      </c>
      <c r="R3591" s="77">
        <v>0</v>
      </c>
      <c r="S3591" s="77">
        <v>4</v>
      </c>
      <c r="T3591" s="77">
        <v>0</v>
      </c>
      <c r="U3591" s="77">
        <v>0</v>
      </c>
      <c r="V3591" s="77">
        <v>813</v>
      </c>
      <c r="W3591" s="82" t="s">
        <v>4833</v>
      </c>
      <c r="X3591" s="80" t="str">
        <f>HYPERLINK("https://einvestidor.estadao.com.br/ultimas/seis-acoes-preferidas-dos-bilionarios/?utm_source=twitter&amp;utm_medium=organic&amp;utm_campaign=bilionarios&amp;utm_content=materia")</f>
        <v>https://einvestidor.estadao.com.br/ultimas/seis-acoes-preferidas-dos-bilionarios/?utm_source=twitter&amp;utm_medium=organic&amp;utm_campaign=bilionarios&amp;utm_content=materia</v>
      </c>
      <c r="Y3591" s="77" t="s">
        <v>6470</v>
      </c>
      <c r="Z3591" s="77"/>
      <c r="AA3591" s="77"/>
      <c r="AB3591" s="77"/>
      <c r="AC3591" s="82" t="s">
        <v>7754</v>
      </c>
      <c r="AD3591" s="77" t="s">
        <v>7788</v>
      </c>
      <c r="AE3591" s="80" t="str">
        <f>HYPERLINK("https://twitter.com/einvestidor/status/1685289070413381632")</f>
        <v>https://twitter.com/einvestidor/status/1685289070413381632</v>
      </c>
      <c r="AF3591" s="79">
        <v>45136.583333333336</v>
      </c>
      <c r="AG3591" s="85">
        <v>45136</v>
      </c>
      <c r="AH3591" s="82" t="s">
        <v>10091</v>
      </c>
      <c r="AI3591" s="77" t="b">
        <v>0</v>
      </c>
      <c r="AJ3591" s="77"/>
      <c r="AK3591" s="77"/>
      <c r="AL3591" s="77"/>
      <c r="AM3591" s="77"/>
      <c r="AN3591" s="77"/>
      <c r="AO3591" s="77"/>
      <c r="AP3591" s="77"/>
      <c r="AQ3591" s="77"/>
      <c r="AR3591" s="77"/>
      <c r="AS3591" s="77"/>
      <c r="AT3591" s="77"/>
      <c r="AU3591" s="77"/>
      <c r="AV3591" s="80" t="str">
        <f>HYPERLINK("https://pbs.twimg.com/profile_images/1241147984924082183/gZgx_hL-_normal.jpg")</f>
        <v>https://pbs.twimg.com/profile_images/1241147984924082183/gZgx_hL-_normal.jpg</v>
      </c>
      <c r="AW3591" s="82" t="s">
        <v>15187</v>
      </c>
      <c r="AX3591" s="82" t="s">
        <v>15187</v>
      </c>
      <c r="AY3591" s="77"/>
      <c r="AZ3591" s="82" t="s">
        <v>15984</v>
      </c>
      <c r="BA3591" s="82" t="s">
        <v>15984</v>
      </c>
      <c r="BB3591" s="82" t="s">
        <v>15984</v>
      </c>
      <c r="BC3591" s="82" t="s">
        <v>15187</v>
      </c>
      <c r="BD3591" s="82" t="s">
        <v>15979</v>
      </c>
      <c r="BE3591" s="77"/>
      <c r="BF3591" s="77"/>
      <c r="BG3591" s="77"/>
      <c r="BH3591" s="77"/>
      <c r="BI3591" s="77"/>
    </row>
    <row r="3592" spans="1:61" x14ac:dyDescent="0.25">
      <c r="A3592" s="62" t="s">
        <v>387</v>
      </c>
      <c r="B3592" s="62" t="s">
        <v>387</v>
      </c>
      <c r="C3592" s="63"/>
      <c r="D3592" s="64"/>
      <c r="E3592" s="65"/>
      <c r="F3592" s="66"/>
      <c r="G3592" s="63"/>
      <c r="H3592" s="67"/>
      <c r="I3592" s="68"/>
      <c r="J3592" s="68"/>
      <c r="K3592" s="32"/>
      <c r="L3592" s="75">
        <v>3592</v>
      </c>
      <c r="M3592" s="75"/>
      <c r="N3592" s="70"/>
      <c r="O3592" s="77" t="s">
        <v>179</v>
      </c>
      <c r="P3592" s="79">
        <v>45136.500023148146</v>
      </c>
      <c r="Q3592" s="77" t="s">
        <v>4262</v>
      </c>
      <c r="R3592" s="77">
        <v>0</v>
      </c>
      <c r="S3592" s="77">
        <v>5</v>
      </c>
      <c r="T3592" s="77">
        <v>0</v>
      </c>
      <c r="U3592" s="77">
        <v>0</v>
      </c>
      <c r="V3592" s="77">
        <v>1028</v>
      </c>
      <c r="W3592" s="82" t="s">
        <v>6348</v>
      </c>
      <c r="X3592" s="80" t="str">
        <f>HYPERLINK("https://mla.bs/6b32a1c3")</f>
        <v>https://mla.bs/6b32a1c3</v>
      </c>
      <c r="Y3592" s="77" t="s">
        <v>6506</v>
      </c>
      <c r="Z3592" s="77"/>
      <c r="AA3592" s="77"/>
      <c r="AB3592" s="77"/>
      <c r="AC3592" s="82" t="s">
        <v>7754</v>
      </c>
      <c r="AD3592" s="77" t="s">
        <v>7788</v>
      </c>
      <c r="AE3592" s="80" t="str">
        <f>HYPERLINK("https://twitter.com/einvestidor/status/1685258881759371266")</f>
        <v>https://twitter.com/einvestidor/status/1685258881759371266</v>
      </c>
      <c r="AF3592" s="79">
        <v>45136.500023148146</v>
      </c>
      <c r="AG3592" s="85">
        <v>45136</v>
      </c>
      <c r="AH3592" s="82" t="s">
        <v>8525</v>
      </c>
      <c r="AI3592" s="77" t="b">
        <v>0</v>
      </c>
      <c r="AJ3592" s="77"/>
      <c r="AK3592" s="77"/>
      <c r="AL3592" s="77"/>
      <c r="AM3592" s="77"/>
      <c r="AN3592" s="77"/>
      <c r="AO3592" s="77"/>
      <c r="AP3592" s="77"/>
      <c r="AQ3592" s="77"/>
      <c r="AR3592" s="77"/>
      <c r="AS3592" s="77"/>
      <c r="AT3592" s="77"/>
      <c r="AU3592" s="77"/>
      <c r="AV3592" s="80" t="str">
        <f>HYPERLINK("https://pbs.twimg.com/profile_images/1241147984924082183/gZgx_hL-_normal.jpg")</f>
        <v>https://pbs.twimg.com/profile_images/1241147984924082183/gZgx_hL-_normal.jpg</v>
      </c>
      <c r="AW3592" s="82" t="s">
        <v>15188</v>
      </c>
      <c r="AX3592" s="82" t="s">
        <v>15188</v>
      </c>
      <c r="AY3592" s="77"/>
      <c r="AZ3592" s="82" t="s">
        <v>15984</v>
      </c>
      <c r="BA3592" s="82" t="s">
        <v>15984</v>
      </c>
      <c r="BB3592" s="82" t="s">
        <v>15984</v>
      </c>
      <c r="BC3592" s="82" t="s">
        <v>15188</v>
      </c>
      <c r="BD3592" s="82" t="s">
        <v>15979</v>
      </c>
      <c r="BE3592" s="77"/>
      <c r="BF3592" s="77"/>
      <c r="BG3592" s="77"/>
      <c r="BH3592" s="77"/>
      <c r="BI3592" s="77"/>
    </row>
    <row r="3593" spans="1:61" x14ac:dyDescent="0.25">
      <c r="A3593" s="62" t="s">
        <v>387</v>
      </c>
      <c r="B3593" s="62" t="s">
        <v>387</v>
      </c>
      <c r="C3593" s="63"/>
      <c r="D3593" s="64"/>
      <c r="E3593" s="65"/>
      <c r="F3593" s="66"/>
      <c r="G3593" s="63"/>
      <c r="H3593" s="67"/>
      <c r="I3593" s="68"/>
      <c r="J3593" s="68"/>
      <c r="K3593" s="32"/>
      <c r="L3593" s="75">
        <v>3593</v>
      </c>
      <c r="M3593" s="75"/>
      <c r="N3593" s="70"/>
      <c r="O3593" s="77" t="s">
        <v>179</v>
      </c>
      <c r="P3593" s="79">
        <v>45135.979166666664</v>
      </c>
      <c r="Q3593" s="77" t="s">
        <v>4263</v>
      </c>
      <c r="R3593" s="77">
        <v>0</v>
      </c>
      <c r="S3593" s="77">
        <v>1</v>
      </c>
      <c r="T3593" s="77">
        <v>0</v>
      </c>
      <c r="U3593" s="77">
        <v>0</v>
      </c>
      <c r="V3593" s="77">
        <v>865</v>
      </c>
      <c r="W3593" s="82" t="s">
        <v>5907</v>
      </c>
      <c r="X3593" s="80" t="str">
        <f>HYPERLINK("https://mla.bs/89eac4ed")</f>
        <v>https://mla.bs/89eac4ed</v>
      </c>
      <c r="Y3593" s="77" t="s">
        <v>6506</v>
      </c>
      <c r="Z3593" s="77"/>
      <c r="AA3593" s="77"/>
      <c r="AB3593" s="77"/>
      <c r="AC3593" s="82" t="s">
        <v>7754</v>
      </c>
      <c r="AD3593" s="77" t="s">
        <v>7788</v>
      </c>
      <c r="AE3593" s="80" t="str">
        <f>HYPERLINK("https://twitter.com/einvestidor/status/1685070129594269696")</f>
        <v>https://twitter.com/einvestidor/status/1685070129594269696</v>
      </c>
      <c r="AF3593" s="79">
        <v>45135.979166666664</v>
      </c>
      <c r="AG3593" s="85">
        <v>45135</v>
      </c>
      <c r="AH3593" s="82" t="s">
        <v>7928</v>
      </c>
      <c r="AI3593" s="77" t="b">
        <v>0</v>
      </c>
      <c r="AJ3593" s="77"/>
      <c r="AK3593" s="77"/>
      <c r="AL3593" s="77"/>
      <c r="AM3593" s="77"/>
      <c r="AN3593" s="77"/>
      <c r="AO3593" s="77"/>
      <c r="AP3593" s="77"/>
      <c r="AQ3593" s="77"/>
      <c r="AR3593" s="77"/>
      <c r="AS3593" s="77"/>
      <c r="AT3593" s="77"/>
      <c r="AU3593" s="77"/>
      <c r="AV3593" s="80" t="str">
        <f>HYPERLINK("https://pbs.twimg.com/profile_images/1241147984924082183/gZgx_hL-_normal.jpg")</f>
        <v>https://pbs.twimg.com/profile_images/1241147984924082183/gZgx_hL-_normal.jpg</v>
      </c>
      <c r="AW3593" s="82" t="s">
        <v>15189</v>
      </c>
      <c r="AX3593" s="82" t="s">
        <v>15189</v>
      </c>
      <c r="AY3593" s="77"/>
      <c r="AZ3593" s="82" t="s">
        <v>15984</v>
      </c>
      <c r="BA3593" s="82" t="s">
        <v>15984</v>
      </c>
      <c r="BB3593" s="82" t="s">
        <v>15984</v>
      </c>
      <c r="BC3593" s="82" t="s">
        <v>15189</v>
      </c>
      <c r="BD3593" s="82" t="s">
        <v>15979</v>
      </c>
      <c r="BE3593" s="77"/>
      <c r="BF3593" s="77"/>
      <c r="BG3593" s="77"/>
      <c r="BH3593" s="77"/>
      <c r="BI3593" s="77"/>
    </row>
    <row r="3594" spans="1:61" x14ac:dyDescent="0.25">
      <c r="A3594" s="62" t="s">
        <v>387</v>
      </c>
      <c r="B3594" s="62" t="s">
        <v>387</v>
      </c>
      <c r="C3594" s="63"/>
      <c r="D3594" s="64"/>
      <c r="E3594" s="65"/>
      <c r="F3594" s="66"/>
      <c r="G3594" s="63"/>
      <c r="H3594" s="67"/>
      <c r="I3594" s="68"/>
      <c r="J3594" s="68"/>
      <c r="K3594" s="32"/>
      <c r="L3594" s="75">
        <v>3594</v>
      </c>
      <c r="M3594" s="75"/>
      <c r="N3594" s="70"/>
      <c r="O3594" s="77" t="s">
        <v>179</v>
      </c>
      <c r="P3594" s="79">
        <v>45135.96875</v>
      </c>
      <c r="Q3594" s="77" t="s">
        <v>4264</v>
      </c>
      <c r="R3594" s="77">
        <v>0</v>
      </c>
      <c r="S3594" s="77">
        <v>0</v>
      </c>
      <c r="T3594" s="77">
        <v>0</v>
      </c>
      <c r="U3594" s="77">
        <v>0</v>
      </c>
      <c r="V3594" s="77">
        <v>694</v>
      </c>
      <c r="W3594" s="82" t="s">
        <v>4833</v>
      </c>
      <c r="X3594" s="80" t="str">
        <f>HYPERLINK("https://mla.bs/33e0a2ac")</f>
        <v>https://mla.bs/33e0a2ac</v>
      </c>
      <c r="Y3594" s="77" t="s">
        <v>6506</v>
      </c>
      <c r="Z3594" s="77"/>
      <c r="AA3594" s="77"/>
      <c r="AB3594" s="77"/>
      <c r="AC3594" s="82" t="s">
        <v>7754</v>
      </c>
      <c r="AD3594" s="77" t="s">
        <v>7788</v>
      </c>
      <c r="AE3594" s="80" t="str">
        <f>HYPERLINK("https://twitter.com/einvestidor/status/1685066353231757313")</f>
        <v>https://twitter.com/einvestidor/status/1685066353231757313</v>
      </c>
      <c r="AF3594" s="79">
        <v>45135.96875</v>
      </c>
      <c r="AG3594" s="85">
        <v>45135</v>
      </c>
      <c r="AH3594" s="82" t="s">
        <v>9621</v>
      </c>
      <c r="AI3594" s="77" t="b">
        <v>0</v>
      </c>
      <c r="AJ3594" s="77"/>
      <c r="AK3594" s="77"/>
      <c r="AL3594" s="77"/>
      <c r="AM3594" s="77"/>
      <c r="AN3594" s="77"/>
      <c r="AO3594" s="77"/>
      <c r="AP3594" s="77"/>
      <c r="AQ3594" s="77"/>
      <c r="AR3594" s="77"/>
      <c r="AS3594" s="77"/>
      <c r="AT3594" s="77"/>
      <c r="AU3594" s="77"/>
      <c r="AV3594" s="80" t="str">
        <f>HYPERLINK("https://pbs.twimg.com/profile_images/1241147984924082183/gZgx_hL-_normal.jpg")</f>
        <v>https://pbs.twimg.com/profile_images/1241147984924082183/gZgx_hL-_normal.jpg</v>
      </c>
      <c r="AW3594" s="82" t="s">
        <v>15190</v>
      </c>
      <c r="AX3594" s="82" t="s">
        <v>15190</v>
      </c>
      <c r="AY3594" s="77"/>
      <c r="AZ3594" s="82" t="s">
        <v>15984</v>
      </c>
      <c r="BA3594" s="82" t="s">
        <v>15984</v>
      </c>
      <c r="BB3594" s="82" t="s">
        <v>15984</v>
      </c>
      <c r="BC3594" s="82" t="s">
        <v>15190</v>
      </c>
      <c r="BD3594" s="82" t="s">
        <v>15979</v>
      </c>
      <c r="BE3594" s="77"/>
      <c r="BF3594" s="77"/>
      <c r="BG3594" s="77"/>
      <c r="BH3594" s="77"/>
      <c r="BI3594" s="77"/>
    </row>
    <row r="3595" spans="1:61" x14ac:dyDescent="0.25">
      <c r="A3595" s="62" t="s">
        <v>387</v>
      </c>
      <c r="B3595" s="62" t="s">
        <v>387</v>
      </c>
      <c r="C3595" s="63"/>
      <c r="D3595" s="64"/>
      <c r="E3595" s="65"/>
      <c r="F3595" s="66"/>
      <c r="G3595" s="63"/>
      <c r="H3595" s="67"/>
      <c r="I3595" s="68"/>
      <c r="J3595" s="68"/>
      <c r="K3595" s="32"/>
      <c r="L3595" s="75">
        <v>3595</v>
      </c>
      <c r="M3595" s="75"/>
      <c r="N3595" s="70"/>
      <c r="O3595" s="77" t="s">
        <v>179</v>
      </c>
      <c r="P3595" s="79">
        <v>45135.958356481482</v>
      </c>
      <c r="Q3595" s="77" t="s">
        <v>4265</v>
      </c>
      <c r="R3595" s="77">
        <v>0</v>
      </c>
      <c r="S3595" s="77">
        <v>0</v>
      </c>
      <c r="T3595" s="77">
        <v>0</v>
      </c>
      <c r="U3595" s="77">
        <v>0</v>
      </c>
      <c r="V3595" s="77">
        <v>691</v>
      </c>
      <c r="W3595" s="82" t="s">
        <v>4833</v>
      </c>
      <c r="X3595" s="80" t="str">
        <f>HYPERLINK("https://mla.bs/8fe45062")</f>
        <v>https://mla.bs/8fe45062</v>
      </c>
      <c r="Y3595" s="77" t="s">
        <v>6506</v>
      </c>
      <c r="Z3595" s="77"/>
      <c r="AA3595" s="77"/>
      <c r="AB3595" s="77"/>
      <c r="AC3595" s="82" t="s">
        <v>7754</v>
      </c>
      <c r="AD3595" s="77" t="s">
        <v>7788</v>
      </c>
      <c r="AE3595" s="80" t="str">
        <f>HYPERLINK("https://twitter.com/einvestidor/status/1685062585908158464")</f>
        <v>https://twitter.com/einvestidor/status/1685062585908158464</v>
      </c>
      <c r="AF3595" s="79">
        <v>45135.958356481482</v>
      </c>
      <c r="AG3595" s="85">
        <v>45135</v>
      </c>
      <c r="AH3595" s="82" t="s">
        <v>9725</v>
      </c>
      <c r="AI3595" s="77" t="b">
        <v>0</v>
      </c>
      <c r="AJ3595" s="77"/>
      <c r="AK3595" s="77"/>
      <c r="AL3595" s="77"/>
      <c r="AM3595" s="77"/>
      <c r="AN3595" s="77"/>
      <c r="AO3595" s="77"/>
      <c r="AP3595" s="77"/>
      <c r="AQ3595" s="77"/>
      <c r="AR3595" s="77"/>
      <c r="AS3595" s="77"/>
      <c r="AT3595" s="77"/>
      <c r="AU3595" s="77"/>
      <c r="AV3595" s="80" t="str">
        <f>HYPERLINK("https://pbs.twimg.com/profile_images/1241147984924082183/gZgx_hL-_normal.jpg")</f>
        <v>https://pbs.twimg.com/profile_images/1241147984924082183/gZgx_hL-_normal.jpg</v>
      </c>
      <c r="AW3595" s="82" t="s">
        <v>15191</v>
      </c>
      <c r="AX3595" s="82" t="s">
        <v>15191</v>
      </c>
      <c r="AY3595" s="77"/>
      <c r="AZ3595" s="82" t="s">
        <v>15984</v>
      </c>
      <c r="BA3595" s="82" t="s">
        <v>15984</v>
      </c>
      <c r="BB3595" s="82" t="s">
        <v>15984</v>
      </c>
      <c r="BC3595" s="82" t="s">
        <v>15191</v>
      </c>
      <c r="BD3595" s="82" t="s">
        <v>15979</v>
      </c>
      <c r="BE3595" s="77"/>
      <c r="BF3595" s="77"/>
      <c r="BG3595" s="77"/>
      <c r="BH3595" s="77"/>
      <c r="BI3595" s="77"/>
    </row>
    <row r="3596" spans="1:61" x14ac:dyDescent="0.25">
      <c r="A3596" s="62" t="s">
        <v>387</v>
      </c>
      <c r="B3596" s="62" t="s">
        <v>387</v>
      </c>
      <c r="C3596" s="63"/>
      <c r="D3596" s="64"/>
      <c r="E3596" s="65"/>
      <c r="F3596" s="66"/>
      <c r="G3596" s="63"/>
      <c r="H3596" s="67"/>
      <c r="I3596" s="68"/>
      <c r="J3596" s="68"/>
      <c r="K3596" s="32"/>
      <c r="L3596" s="75">
        <v>3596</v>
      </c>
      <c r="M3596" s="75"/>
      <c r="N3596" s="70"/>
      <c r="O3596" s="77" t="s">
        <v>179</v>
      </c>
      <c r="P3596" s="79">
        <v>45135.947916666664</v>
      </c>
      <c r="Q3596" s="77" t="s">
        <v>4266</v>
      </c>
      <c r="R3596" s="77">
        <v>0</v>
      </c>
      <c r="S3596" s="77">
        <v>3</v>
      </c>
      <c r="T3596" s="77">
        <v>0</v>
      </c>
      <c r="U3596" s="77">
        <v>0</v>
      </c>
      <c r="V3596" s="77">
        <v>668</v>
      </c>
      <c r="W3596" s="82" t="s">
        <v>4833</v>
      </c>
      <c r="X3596" s="80" t="str">
        <f>HYPERLINK("https://mla.bs/cc2cdbc1")</f>
        <v>https://mla.bs/cc2cdbc1</v>
      </c>
      <c r="Y3596" s="77" t="s">
        <v>6506</v>
      </c>
      <c r="Z3596" s="77"/>
      <c r="AA3596" s="77"/>
      <c r="AB3596" s="77"/>
      <c r="AC3596" s="82" t="s">
        <v>7754</v>
      </c>
      <c r="AD3596" s="77" t="s">
        <v>7788</v>
      </c>
      <c r="AE3596" s="80" t="str">
        <f>HYPERLINK("https://twitter.com/einvestidor/status/1685058803333808128")</f>
        <v>https://twitter.com/einvestidor/status/1685058803333808128</v>
      </c>
      <c r="AF3596" s="79">
        <v>45135.947916666664</v>
      </c>
      <c r="AG3596" s="85">
        <v>45135</v>
      </c>
      <c r="AH3596" s="82" t="s">
        <v>9595</v>
      </c>
      <c r="AI3596" s="77" t="b">
        <v>0</v>
      </c>
      <c r="AJ3596" s="77"/>
      <c r="AK3596" s="77"/>
      <c r="AL3596" s="77"/>
      <c r="AM3596" s="77"/>
      <c r="AN3596" s="77"/>
      <c r="AO3596" s="77"/>
      <c r="AP3596" s="77"/>
      <c r="AQ3596" s="77"/>
      <c r="AR3596" s="77"/>
      <c r="AS3596" s="77"/>
      <c r="AT3596" s="77"/>
      <c r="AU3596" s="77"/>
      <c r="AV3596" s="80" t="str">
        <f>HYPERLINK("https://pbs.twimg.com/profile_images/1241147984924082183/gZgx_hL-_normal.jpg")</f>
        <v>https://pbs.twimg.com/profile_images/1241147984924082183/gZgx_hL-_normal.jpg</v>
      </c>
      <c r="AW3596" s="82" t="s">
        <v>15192</v>
      </c>
      <c r="AX3596" s="82" t="s">
        <v>15192</v>
      </c>
      <c r="AY3596" s="77"/>
      <c r="AZ3596" s="82" t="s">
        <v>15984</v>
      </c>
      <c r="BA3596" s="82" t="s">
        <v>15984</v>
      </c>
      <c r="BB3596" s="82" t="s">
        <v>15984</v>
      </c>
      <c r="BC3596" s="82" t="s">
        <v>15192</v>
      </c>
      <c r="BD3596" s="82" t="s">
        <v>15979</v>
      </c>
      <c r="BE3596" s="77"/>
      <c r="BF3596" s="77"/>
      <c r="BG3596" s="77"/>
      <c r="BH3596" s="77"/>
      <c r="BI3596" s="77"/>
    </row>
    <row r="3597" spans="1:61" x14ac:dyDescent="0.25">
      <c r="A3597" s="62" t="s">
        <v>387</v>
      </c>
      <c r="B3597" s="62" t="s">
        <v>387</v>
      </c>
      <c r="C3597" s="63"/>
      <c r="D3597" s="64"/>
      <c r="E3597" s="65"/>
      <c r="F3597" s="66"/>
      <c r="G3597" s="63"/>
      <c r="H3597" s="67"/>
      <c r="I3597" s="68"/>
      <c r="J3597" s="68"/>
      <c r="K3597" s="32"/>
      <c r="L3597" s="75">
        <v>3597</v>
      </c>
      <c r="M3597" s="75"/>
      <c r="N3597" s="70"/>
      <c r="O3597" s="77" t="s">
        <v>179</v>
      </c>
      <c r="P3597" s="79">
        <v>45135.9375</v>
      </c>
      <c r="Q3597" s="77" t="s">
        <v>4267</v>
      </c>
      <c r="R3597" s="77">
        <v>0</v>
      </c>
      <c r="S3597" s="77">
        <v>0</v>
      </c>
      <c r="T3597" s="77">
        <v>0</v>
      </c>
      <c r="U3597" s="77">
        <v>0</v>
      </c>
      <c r="V3597" s="77">
        <v>627</v>
      </c>
      <c r="W3597" s="82" t="s">
        <v>4833</v>
      </c>
      <c r="X3597" s="80" t="str">
        <f>HYPERLINK("https://mla.bs/0469a817")</f>
        <v>https://mla.bs/0469a817</v>
      </c>
      <c r="Y3597" s="77" t="s">
        <v>6506</v>
      </c>
      <c r="Z3597" s="77"/>
      <c r="AA3597" s="77"/>
      <c r="AB3597" s="77"/>
      <c r="AC3597" s="82" t="s">
        <v>7754</v>
      </c>
      <c r="AD3597" s="77" t="s">
        <v>7788</v>
      </c>
      <c r="AE3597" s="80" t="str">
        <f>HYPERLINK("https://twitter.com/einvestidor/status/1685055028120158208")</f>
        <v>https://twitter.com/einvestidor/status/1685055028120158208</v>
      </c>
      <c r="AF3597" s="79">
        <v>45135.9375</v>
      </c>
      <c r="AG3597" s="85">
        <v>45135</v>
      </c>
      <c r="AH3597" s="82" t="s">
        <v>7926</v>
      </c>
      <c r="AI3597" s="77" t="b">
        <v>0</v>
      </c>
      <c r="AJ3597" s="77"/>
      <c r="AK3597" s="77"/>
      <c r="AL3597" s="77"/>
      <c r="AM3597" s="77"/>
      <c r="AN3597" s="77"/>
      <c r="AO3597" s="77"/>
      <c r="AP3597" s="77"/>
      <c r="AQ3597" s="77"/>
      <c r="AR3597" s="77"/>
      <c r="AS3597" s="77"/>
      <c r="AT3597" s="77"/>
      <c r="AU3597" s="77"/>
      <c r="AV3597" s="80" t="str">
        <f>HYPERLINK("https://pbs.twimg.com/profile_images/1241147984924082183/gZgx_hL-_normal.jpg")</f>
        <v>https://pbs.twimg.com/profile_images/1241147984924082183/gZgx_hL-_normal.jpg</v>
      </c>
      <c r="AW3597" s="82" t="s">
        <v>15193</v>
      </c>
      <c r="AX3597" s="82" t="s">
        <v>15193</v>
      </c>
      <c r="AY3597" s="77"/>
      <c r="AZ3597" s="82" t="s">
        <v>15984</v>
      </c>
      <c r="BA3597" s="82" t="s">
        <v>15984</v>
      </c>
      <c r="BB3597" s="82" t="s">
        <v>15984</v>
      </c>
      <c r="BC3597" s="82" t="s">
        <v>15193</v>
      </c>
      <c r="BD3597" s="82" t="s">
        <v>15979</v>
      </c>
      <c r="BE3597" s="77"/>
      <c r="BF3597" s="77"/>
      <c r="BG3597" s="77"/>
      <c r="BH3597" s="77"/>
      <c r="BI3597" s="77"/>
    </row>
    <row r="3598" spans="1:61" x14ac:dyDescent="0.25">
      <c r="A3598" s="62" t="s">
        <v>387</v>
      </c>
      <c r="B3598" s="62" t="s">
        <v>387</v>
      </c>
      <c r="C3598" s="63"/>
      <c r="D3598" s="64"/>
      <c r="E3598" s="65"/>
      <c r="F3598" s="66"/>
      <c r="G3598" s="63"/>
      <c r="H3598" s="67"/>
      <c r="I3598" s="68"/>
      <c r="J3598" s="68"/>
      <c r="K3598" s="32"/>
      <c r="L3598" s="75">
        <v>3598</v>
      </c>
      <c r="M3598" s="75"/>
      <c r="N3598" s="70"/>
      <c r="O3598" s="77" t="s">
        <v>179</v>
      </c>
      <c r="P3598" s="79">
        <v>45135.920231481483</v>
      </c>
      <c r="Q3598" s="77" t="s">
        <v>4268</v>
      </c>
      <c r="R3598" s="77">
        <v>0</v>
      </c>
      <c r="S3598" s="77">
        <v>5</v>
      </c>
      <c r="T3598" s="77">
        <v>0</v>
      </c>
      <c r="U3598" s="77">
        <v>0</v>
      </c>
      <c r="V3598" s="77">
        <v>766</v>
      </c>
      <c r="W3598" s="82" t="s">
        <v>4833</v>
      </c>
      <c r="X3598" s="80" t="str">
        <f>HYPERLINK("https://mla.bs/df14cc65")</f>
        <v>https://mla.bs/df14cc65</v>
      </c>
      <c r="Y3598" s="77" t="s">
        <v>6506</v>
      </c>
      <c r="Z3598" s="77"/>
      <c r="AA3598" s="77"/>
      <c r="AB3598" s="77"/>
      <c r="AC3598" s="82" t="s">
        <v>7754</v>
      </c>
      <c r="AD3598" s="77" t="s">
        <v>7788</v>
      </c>
      <c r="AE3598" s="80" t="str">
        <f>HYPERLINK("https://twitter.com/einvestidor/status/1685048772076720128")</f>
        <v>https://twitter.com/einvestidor/status/1685048772076720128</v>
      </c>
      <c r="AF3598" s="79">
        <v>45135.920231481483</v>
      </c>
      <c r="AG3598" s="85">
        <v>45135</v>
      </c>
      <c r="AH3598" s="82" t="s">
        <v>10092</v>
      </c>
      <c r="AI3598" s="77" t="b">
        <v>0</v>
      </c>
      <c r="AJ3598" s="77"/>
      <c r="AK3598" s="77"/>
      <c r="AL3598" s="77"/>
      <c r="AM3598" s="77"/>
      <c r="AN3598" s="77"/>
      <c r="AO3598" s="77"/>
      <c r="AP3598" s="77"/>
      <c r="AQ3598" s="77"/>
      <c r="AR3598" s="77"/>
      <c r="AS3598" s="77"/>
      <c r="AT3598" s="77"/>
      <c r="AU3598" s="77"/>
      <c r="AV3598" s="80" t="str">
        <f>HYPERLINK("https://pbs.twimg.com/profile_images/1241147984924082183/gZgx_hL-_normal.jpg")</f>
        <v>https://pbs.twimg.com/profile_images/1241147984924082183/gZgx_hL-_normal.jpg</v>
      </c>
      <c r="AW3598" s="82" t="s">
        <v>15194</v>
      </c>
      <c r="AX3598" s="82" t="s">
        <v>15194</v>
      </c>
      <c r="AY3598" s="77"/>
      <c r="AZ3598" s="82" t="s">
        <v>15984</v>
      </c>
      <c r="BA3598" s="82" t="s">
        <v>15984</v>
      </c>
      <c r="BB3598" s="82" t="s">
        <v>15984</v>
      </c>
      <c r="BC3598" s="82" t="s">
        <v>15194</v>
      </c>
      <c r="BD3598" s="82" t="s">
        <v>15979</v>
      </c>
      <c r="BE3598" s="77"/>
      <c r="BF3598" s="77"/>
      <c r="BG3598" s="77"/>
      <c r="BH3598" s="77"/>
      <c r="BI3598" s="77"/>
    </row>
    <row r="3599" spans="1:61" x14ac:dyDescent="0.25">
      <c r="A3599" s="62" t="s">
        <v>387</v>
      </c>
      <c r="B3599" s="62" t="s">
        <v>387</v>
      </c>
      <c r="C3599" s="63"/>
      <c r="D3599" s="64"/>
      <c r="E3599" s="65"/>
      <c r="F3599" s="66"/>
      <c r="G3599" s="63"/>
      <c r="H3599" s="67"/>
      <c r="I3599" s="68"/>
      <c r="J3599" s="68"/>
      <c r="K3599" s="32"/>
      <c r="L3599" s="75">
        <v>3599</v>
      </c>
      <c r="M3599" s="75"/>
      <c r="N3599" s="70"/>
      <c r="O3599" s="77" t="s">
        <v>179</v>
      </c>
      <c r="P3599" s="79">
        <v>45197.454479166663</v>
      </c>
      <c r="Q3599" s="77" t="s">
        <v>4269</v>
      </c>
      <c r="R3599" s="77">
        <v>0</v>
      </c>
      <c r="S3599" s="77">
        <v>1</v>
      </c>
      <c r="T3599" s="77">
        <v>1</v>
      </c>
      <c r="U3599" s="77">
        <v>0</v>
      </c>
      <c r="V3599" s="77">
        <v>500</v>
      </c>
      <c r="W3599" s="82" t="s">
        <v>4839</v>
      </c>
      <c r="X3599" s="80" t="str">
        <f>HYPERLINK("https://einvestidor.estadao.com.br/ultimas/bolsas-da-asia-fechamento-setor-imobiliario-china-2/?utm_source=twitter&amp;utm_medium=organic&amp;utm_campaign=asia&amp;utm_content=materia")</f>
        <v>https://einvestidor.estadao.com.br/ultimas/bolsas-da-asia-fechamento-setor-imobiliario-china-2/?utm_source=twitter&amp;utm_medium=organic&amp;utm_campaign=asia&amp;utm_content=materia</v>
      </c>
      <c r="Y3599" s="77" t="s">
        <v>6470</v>
      </c>
      <c r="Z3599" s="77"/>
      <c r="AA3599" s="77" t="s">
        <v>7676</v>
      </c>
      <c r="AB3599" s="77" t="s">
        <v>7742</v>
      </c>
      <c r="AC3599" s="82" t="s">
        <v>7750</v>
      </c>
      <c r="AD3599" s="77" t="s">
        <v>7788</v>
      </c>
      <c r="AE3599" s="80" t="str">
        <f>HYPERLINK("https://twitter.com/einvestidor/status/1707348036928614587")</f>
        <v>https://twitter.com/einvestidor/status/1707348036928614587</v>
      </c>
      <c r="AF3599" s="79">
        <v>45197.454479166663</v>
      </c>
      <c r="AG3599" s="85">
        <v>45197</v>
      </c>
      <c r="AH3599" s="82" t="s">
        <v>10093</v>
      </c>
      <c r="AI3599" s="77" t="b">
        <v>0</v>
      </c>
      <c r="AJ3599" s="77"/>
      <c r="AK3599" s="77"/>
      <c r="AL3599" s="77"/>
      <c r="AM3599" s="77"/>
      <c r="AN3599" s="77"/>
      <c r="AO3599" s="77"/>
      <c r="AP3599" s="77"/>
      <c r="AQ3599" s="77" t="s">
        <v>11648</v>
      </c>
      <c r="AR3599" s="77"/>
      <c r="AS3599" s="77"/>
      <c r="AT3599" s="77"/>
      <c r="AU3599" s="77"/>
      <c r="AV3599" s="80" t="str">
        <f>HYPERLINK("https://pbs.twimg.com/media/F7G39BOXYAAnFhv.png")</f>
        <v>https://pbs.twimg.com/media/F7G39BOXYAAnFhv.png</v>
      </c>
      <c r="AW3599" s="82" t="s">
        <v>15195</v>
      </c>
      <c r="AX3599" s="82" t="s">
        <v>15195</v>
      </c>
      <c r="AY3599" s="77"/>
      <c r="AZ3599" s="82" t="s">
        <v>15984</v>
      </c>
      <c r="BA3599" s="82" t="s">
        <v>15984</v>
      </c>
      <c r="BB3599" s="82" t="s">
        <v>15984</v>
      </c>
      <c r="BC3599" s="82" t="s">
        <v>15195</v>
      </c>
      <c r="BD3599" s="82" t="s">
        <v>15979</v>
      </c>
      <c r="BE3599" s="77"/>
      <c r="BF3599" s="77"/>
      <c r="BG3599" s="77"/>
      <c r="BH3599" s="77"/>
      <c r="BI3599" s="77"/>
    </row>
    <row r="3600" spans="1:61" x14ac:dyDescent="0.25">
      <c r="A3600" s="62" t="s">
        <v>387</v>
      </c>
      <c r="B3600" s="62" t="s">
        <v>387</v>
      </c>
      <c r="C3600" s="63"/>
      <c r="D3600" s="64"/>
      <c r="E3600" s="65"/>
      <c r="F3600" s="66"/>
      <c r="G3600" s="63"/>
      <c r="H3600" s="67"/>
      <c r="I3600" s="68"/>
      <c r="J3600" s="68"/>
      <c r="K3600" s="32"/>
      <c r="L3600" s="75">
        <v>3600</v>
      </c>
      <c r="M3600" s="75"/>
      <c r="N3600" s="70"/>
      <c r="O3600" s="77" t="s">
        <v>179</v>
      </c>
      <c r="P3600" s="79">
        <v>45196.947916666664</v>
      </c>
      <c r="Q3600" s="77" t="s">
        <v>4270</v>
      </c>
      <c r="R3600" s="77">
        <v>1</v>
      </c>
      <c r="S3600" s="77">
        <v>7</v>
      </c>
      <c r="T3600" s="77">
        <v>0</v>
      </c>
      <c r="U3600" s="77">
        <v>0</v>
      </c>
      <c r="V3600" s="77">
        <v>800</v>
      </c>
      <c r="W3600" s="82" t="s">
        <v>4833</v>
      </c>
      <c r="X3600" s="80" t="str">
        <f>HYPERLINK("https://einvestidor.estadao.com.br/ultimas/juros-treasuries-sobem-novas-indicacoes-federal-reserve//?utm_source=twitter&amp;utm_medium=organic&amp;utm_campaign=&amp;utm_content=materia")</f>
        <v>https://einvestidor.estadao.com.br/ultimas/juros-treasuries-sobem-novas-indicacoes-federal-reserve//?utm_source=twitter&amp;utm_medium=organic&amp;utm_campaign=&amp;utm_content=materia</v>
      </c>
      <c r="Y3600" s="77" t="s">
        <v>6470</v>
      </c>
      <c r="Z3600" s="77"/>
      <c r="AA3600" s="77"/>
      <c r="AB3600" s="77"/>
      <c r="AC3600" s="82" t="s">
        <v>7750</v>
      </c>
      <c r="AD3600" s="77" t="s">
        <v>7788</v>
      </c>
      <c r="AE3600" s="80" t="str">
        <f>HYPERLINK("https://twitter.com/einvestidor/status/1707164463126941714")</f>
        <v>https://twitter.com/einvestidor/status/1707164463126941714</v>
      </c>
      <c r="AF3600" s="79">
        <v>45196.947916666664</v>
      </c>
      <c r="AG3600" s="85">
        <v>45196</v>
      </c>
      <c r="AH3600" s="82" t="s">
        <v>9595</v>
      </c>
      <c r="AI3600" s="77" t="b">
        <v>0</v>
      </c>
      <c r="AJ3600" s="77"/>
      <c r="AK3600" s="77"/>
      <c r="AL3600" s="77"/>
      <c r="AM3600" s="77"/>
      <c r="AN3600" s="77"/>
      <c r="AO3600" s="77"/>
      <c r="AP3600" s="77"/>
      <c r="AQ3600" s="77"/>
      <c r="AR3600" s="77"/>
      <c r="AS3600" s="77"/>
      <c r="AT3600" s="77"/>
      <c r="AU3600" s="77"/>
      <c r="AV3600" s="80" t="str">
        <f>HYPERLINK("https://pbs.twimg.com/profile_images/1241147984924082183/gZgx_hL-_normal.jpg")</f>
        <v>https://pbs.twimg.com/profile_images/1241147984924082183/gZgx_hL-_normal.jpg</v>
      </c>
      <c r="AW3600" s="82" t="s">
        <v>15196</v>
      </c>
      <c r="AX3600" s="82" t="s">
        <v>15196</v>
      </c>
      <c r="AY3600" s="77"/>
      <c r="AZ3600" s="82" t="s">
        <v>15984</v>
      </c>
      <c r="BA3600" s="82" t="s">
        <v>15984</v>
      </c>
      <c r="BB3600" s="82" t="s">
        <v>15984</v>
      </c>
      <c r="BC3600" s="82" t="s">
        <v>15196</v>
      </c>
      <c r="BD3600" s="82" t="s">
        <v>15979</v>
      </c>
      <c r="BE3600" s="77"/>
      <c r="BF3600" s="77"/>
      <c r="BG3600" s="77"/>
      <c r="BH3600" s="77"/>
      <c r="BI3600" s="77"/>
    </row>
    <row r="3601" spans="1:61" x14ac:dyDescent="0.25">
      <c r="A3601" s="62" t="s">
        <v>387</v>
      </c>
      <c r="B3601" s="62" t="s">
        <v>387</v>
      </c>
      <c r="C3601" s="63"/>
      <c r="D3601" s="64"/>
      <c r="E3601" s="65"/>
      <c r="F3601" s="66"/>
      <c r="G3601" s="63"/>
      <c r="H3601" s="67"/>
      <c r="I3601" s="68"/>
      <c r="J3601" s="68"/>
      <c r="K3601" s="32"/>
      <c r="L3601" s="75">
        <v>3601</v>
      </c>
      <c r="M3601" s="75"/>
      <c r="N3601" s="70"/>
      <c r="O3601" s="77" t="s">
        <v>179</v>
      </c>
      <c r="P3601" s="79">
        <v>45196.958333333336</v>
      </c>
      <c r="Q3601" s="77" t="s">
        <v>4271</v>
      </c>
      <c r="R3601" s="77">
        <v>0</v>
      </c>
      <c r="S3601" s="77">
        <v>1</v>
      </c>
      <c r="T3601" s="77">
        <v>0</v>
      </c>
      <c r="U3601" s="77">
        <v>0</v>
      </c>
      <c r="V3601" s="77">
        <v>488</v>
      </c>
      <c r="W3601" s="82" t="s">
        <v>5908</v>
      </c>
      <c r="X3601" s="80" t="str">
        <f>HYPERLINK("https://einvestidor.estadao.com.br/ultimas/mglu3-magazine-luiza-acoes-queda-terceira-vez-consecutiva//?utm_source=twitter&amp;utm_medium=organic&amp;utm_campaign=&amp;utm_content=materia")</f>
        <v>https://einvestidor.estadao.com.br/ultimas/mglu3-magazine-luiza-acoes-queda-terceira-vez-consecutiva//?utm_source=twitter&amp;utm_medium=organic&amp;utm_campaign=&amp;utm_content=materia</v>
      </c>
      <c r="Y3601" s="77" t="s">
        <v>6470</v>
      </c>
      <c r="Z3601" s="77"/>
      <c r="AA3601" s="77" t="s">
        <v>7677</v>
      </c>
      <c r="AB3601" s="77" t="s">
        <v>7742</v>
      </c>
      <c r="AC3601" s="82" t="s">
        <v>7750</v>
      </c>
      <c r="AD3601" s="77" t="s">
        <v>7788</v>
      </c>
      <c r="AE3601" s="80" t="str">
        <f>HYPERLINK("https://twitter.com/einvestidor/status/1707168238826619027")</f>
        <v>https://twitter.com/einvestidor/status/1707168238826619027</v>
      </c>
      <c r="AF3601" s="79">
        <v>45196.958333333336</v>
      </c>
      <c r="AG3601" s="85">
        <v>45196</v>
      </c>
      <c r="AH3601" s="82" t="s">
        <v>8279</v>
      </c>
      <c r="AI3601" s="77" t="b">
        <v>0</v>
      </c>
      <c r="AJ3601" s="77"/>
      <c r="AK3601" s="77"/>
      <c r="AL3601" s="77"/>
      <c r="AM3601" s="77"/>
      <c r="AN3601" s="77"/>
      <c r="AO3601" s="77"/>
      <c r="AP3601" s="77"/>
      <c r="AQ3601" s="77" t="s">
        <v>11649</v>
      </c>
      <c r="AR3601" s="77"/>
      <c r="AS3601" s="77"/>
      <c r="AT3601" s="77"/>
      <c r="AU3601" s="77"/>
      <c r="AV3601" s="80" t="str">
        <f>HYPERLINK("https://pbs.twimg.com/media/F7EG412XwAANga-.jpg")</f>
        <v>https://pbs.twimg.com/media/F7EG412XwAANga-.jpg</v>
      </c>
      <c r="AW3601" s="82" t="s">
        <v>15197</v>
      </c>
      <c r="AX3601" s="82" t="s">
        <v>15197</v>
      </c>
      <c r="AY3601" s="77"/>
      <c r="AZ3601" s="82" t="s">
        <v>15984</v>
      </c>
      <c r="BA3601" s="82" t="s">
        <v>15984</v>
      </c>
      <c r="BB3601" s="82" t="s">
        <v>15984</v>
      </c>
      <c r="BC3601" s="82" t="s">
        <v>15197</v>
      </c>
      <c r="BD3601" s="82" t="s">
        <v>15979</v>
      </c>
      <c r="BE3601" s="77"/>
      <c r="BF3601" s="77"/>
      <c r="BG3601" s="77"/>
      <c r="BH3601" s="77"/>
      <c r="BI3601" s="77"/>
    </row>
    <row r="3602" spans="1:61" x14ac:dyDescent="0.25">
      <c r="A3602" s="62" t="s">
        <v>387</v>
      </c>
      <c r="B3602" s="62" t="s">
        <v>387</v>
      </c>
      <c r="C3602" s="63"/>
      <c r="D3602" s="64"/>
      <c r="E3602" s="65"/>
      <c r="F3602" s="66"/>
      <c r="G3602" s="63"/>
      <c r="H3602" s="67"/>
      <c r="I3602" s="68"/>
      <c r="J3602" s="68"/>
      <c r="K3602" s="32"/>
      <c r="L3602" s="75">
        <v>3602</v>
      </c>
      <c r="M3602" s="75"/>
      <c r="N3602" s="70"/>
      <c r="O3602" s="77" t="s">
        <v>179</v>
      </c>
      <c r="P3602" s="79">
        <v>45196.9375</v>
      </c>
      <c r="Q3602" s="77" t="s">
        <v>4272</v>
      </c>
      <c r="R3602" s="77">
        <v>0</v>
      </c>
      <c r="S3602" s="77">
        <v>1</v>
      </c>
      <c r="T3602" s="77">
        <v>0</v>
      </c>
      <c r="U3602" s="77">
        <v>0</v>
      </c>
      <c r="V3602" s="77">
        <v>442</v>
      </c>
      <c r="W3602" s="82" t="s">
        <v>6307</v>
      </c>
      <c r="X3602" s="80" t="str">
        <f>HYPERLINK("https://einvestidor.estadao.com.br/ultimas/csna3-csn-acoes-fecham-queda-ignorando-noticias-china//?utm_source=twitter&amp;utm_medium=organic&amp;utm_campaign=&amp;utm_content=materia")</f>
        <v>https://einvestidor.estadao.com.br/ultimas/csna3-csn-acoes-fecham-queda-ignorando-noticias-china//?utm_source=twitter&amp;utm_medium=organic&amp;utm_campaign=&amp;utm_content=materia</v>
      </c>
      <c r="Y3602" s="77" t="s">
        <v>6470</v>
      </c>
      <c r="Z3602" s="77"/>
      <c r="AA3602" s="77"/>
      <c r="AB3602" s="77"/>
      <c r="AC3602" s="82" t="s">
        <v>7750</v>
      </c>
      <c r="AD3602" s="77" t="s">
        <v>7788</v>
      </c>
      <c r="AE3602" s="80" t="str">
        <f>HYPERLINK("https://twitter.com/einvestidor/status/1707160688366334092")</f>
        <v>https://twitter.com/einvestidor/status/1707160688366334092</v>
      </c>
      <c r="AF3602" s="79">
        <v>45196.9375</v>
      </c>
      <c r="AG3602" s="85">
        <v>45196</v>
      </c>
      <c r="AH3602" s="82" t="s">
        <v>7926</v>
      </c>
      <c r="AI3602" s="77" t="b">
        <v>0</v>
      </c>
      <c r="AJ3602" s="77"/>
      <c r="AK3602" s="77"/>
      <c r="AL3602" s="77"/>
      <c r="AM3602" s="77"/>
      <c r="AN3602" s="77"/>
      <c r="AO3602" s="77"/>
      <c r="AP3602" s="77"/>
      <c r="AQ3602" s="77"/>
      <c r="AR3602" s="77"/>
      <c r="AS3602" s="77"/>
      <c r="AT3602" s="77"/>
      <c r="AU3602" s="77"/>
      <c r="AV3602" s="80" t="str">
        <f>HYPERLINK("https://pbs.twimg.com/profile_images/1241147984924082183/gZgx_hL-_normal.jpg")</f>
        <v>https://pbs.twimg.com/profile_images/1241147984924082183/gZgx_hL-_normal.jpg</v>
      </c>
      <c r="AW3602" s="82" t="s">
        <v>15198</v>
      </c>
      <c r="AX3602" s="82" t="s">
        <v>15198</v>
      </c>
      <c r="AY3602" s="77"/>
      <c r="AZ3602" s="82" t="s">
        <v>15984</v>
      </c>
      <c r="BA3602" s="82" t="s">
        <v>15984</v>
      </c>
      <c r="BB3602" s="82" t="s">
        <v>15984</v>
      </c>
      <c r="BC3602" s="82" t="s">
        <v>15198</v>
      </c>
      <c r="BD3602" s="82" t="s">
        <v>15979</v>
      </c>
      <c r="BE3602" s="77"/>
      <c r="BF3602" s="77"/>
      <c r="BG3602" s="77"/>
      <c r="BH3602" s="77"/>
      <c r="BI3602" s="77"/>
    </row>
    <row r="3603" spans="1:61" x14ac:dyDescent="0.25">
      <c r="A3603" s="62" t="s">
        <v>387</v>
      </c>
      <c r="B3603" s="62" t="s">
        <v>387</v>
      </c>
      <c r="C3603" s="63"/>
      <c r="D3603" s="64"/>
      <c r="E3603" s="65"/>
      <c r="F3603" s="66"/>
      <c r="G3603" s="63"/>
      <c r="H3603" s="67"/>
      <c r="I3603" s="68"/>
      <c r="J3603" s="68"/>
      <c r="K3603" s="32"/>
      <c r="L3603" s="75">
        <v>3603</v>
      </c>
      <c r="M3603" s="75"/>
      <c r="N3603" s="70"/>
      <c r="O3603" s="77" t="s">
        <v>179</v>
      </c>
      <c r="P3603" s="79">
        <v>45196.897824074076</v>
      </c>
      <c r="Q3603" s="77" t="s">
        <v>4273</v>
      </c>
      <c r="R3603" s="77">
        <v>0</v>
      </c>
      <c r="S3603" s="77">
        <v>0</v>
      </c>
      <c r="T3603" s="77">
        <v>0</v>
      </c>
      <c r="U3603" s="77">
        <v>0</v>
      </c>
      <c r="V3603" s="77">
        <v>481</v>
      </c>
      <c r="W3603" s="82" t="s">
        <v>4833</v>
      </c>
      <c r="X3603" s="80" t="str">
        <f>HYPERLINK("https://einvestidor.estadao.com.br/mercado/fechamento-de-mercado-27-09-2023/?utm_source=twitter&amp;utm_medium=organic&amp;utm_campaign=&amp;utm_content=materia")</f>
        <v>https://einvestidor.estadao.com.br/mercado/fechamento-de-mercado-27-09-2023/?utm_source=twitter&amp;utm_medium=organic&amp;utm_campaign=&amp;utm_content=materia</v>
      </c>
      <c r="Y3603" s="77" t="s">
        <v>6470</v>
      </c>
      <c r="Z3603" s="77"/>
      <c r="AA3603" s="77"/>
      <c r="AB3603" s="77"/>
      <c r="AC3603" s="82" t="s">
        <v>7750</v>
      </c>
      <c r="AD3603" s="77" t="s">
        <v>7788</v>
      </c>
      <c r="AE3603" s="80" t="str">
        <f>HYPERLINK("https://twitter.com/einvestidor/status/1707146311357673846")</f>
        <v>https://twitter.com/einvestidor/status/1707146311357673846</v>
      </c>
      <c r="AF3603" s="79">
        <v>45196.897824074076</v>
      </c>
      <c r="AG3603" s="85">
        <v>45196</v>
      </c>
      <c r="AH3603" s="82" t="s">
        <v>10094</v>
      </c>
      <c r="AI3603" s="77" t="b">
        <v>0</v>
      </c>
      <c r="AJ3603" s="77"/>
      <c r="AK3603" s="77"/>
      <c r="AL3603" s="77"/>
      <c r="AM3603" s="77"/>
      <c r="AN3603" s="77"/>
      <c r="AO3603" s="77"/>
      <c r="AP3603" s="77"/>
      <c r="AQ3603" s="77"/>
      <c r="AR3603" s="77"/>
      <c r="AS3603" s="77"/>
      <c r="AT3603" s="77"/>
      <c r="AU3603" s="77"/>
      <c r="AV3603" s="80" t="str">
        <f>HYPERLINK("https://pbs.twimg.com/profile_images/1241147984924082183/gZgx_hL-_normal.jpg")</f>
        <v>https://pbs.twimg.com/profile_images/1241147984924082183/gZgx_hL-_normal.jpg</v>
      </c>
      <c r="AW3603" s="82" t="s">
        <v>15199</v>
      </c>
      <c r="AX3603" s="82" t="s">
        <v>15199</v>
      </c>
      <c r="AY3603" s="77"/>
      <c r="AZ3603" s="82" t="s">
        <v>15984</v>
      </c>
      <c r="BA3603" s="82" t="s">
        <v>15984</v>
      </c>
      <c r="BB3603" s="82" t="s">
        <v>15984</v>
      </c>
      <c r="BC3603" s="82" t="s">
        <v>15199</v>
      </c>
      <c r="BD3603" s="82" t="s">
        <v>15979</v>
      </c>
      <c r="BE3603" s="77"/>
      <c r="BF3603" s="77"/>
      <c r="BG3603" s="77"/>
      <c r="BH3603" s="77"/>
      <c r="BI3603" s="77"/>
    </row>
    <row r="3604" spans="1:61" x14ac:dyDescent="0.25">
      <c r="A3604" s="62" t="s">
        <v>387</v>
      </c>
      <c r="B3604" s="62" t="s">
        <v>387</v>
      </c>
      <c r="C3604" s="63"/>
      <c r="D3604" s="64"/>
      <c r="E3604" s="65"/>
      <c r="F3604" s="66"/>
      <c r="G3604" s="63"/>
      <c r="H3604" s="67"/>
      <c r="I3604" s="68"/>
      <c r="J3604" s="68"/>
      <c r="K3604" s="32"/>
      <c r="L3604" s="75">
        <v>3604</v>
      </c>
      <c r="M3604" s="75"/>
      <c r="N3604" s="70"/>
      <c r="O3604" s="77" t="s">
        <v>179</v>
      </c>
      <c r="P3604" s="79">
        <v>45196.8125</v>
      </c>
      <c r="Q3604" s="77" t="s">
        <v>4274</v>
      </c>
      <c r="R3604" s="77">
        <v>0</v>
      </c>
      <c r="S3604" s="77">
        <v>0</v>
      </c>
      <c r="T3604" s="77">
        <v>0</v>
      </c>
      <c r="U3604" s="77">
        <v>0</v>
      </c>
      <c r="V3604" s="77">
        <v>347</v>
      </c>
      <c r="W3604" s="82" t="s">
        <v>4833</v>
      </c>
      <c r="X3604" s="80" t="str">
        <f>HYPERLINK("https://einvestidor.estadao.com.br/educacao-financeira/como-pagar-divida-na-serasa/?utm_source=twitter&amp;utm_medium=organic&amp;utm_campaign=&amp;utm_content=materia")</f>
        <v>https://einvestidor.estadao.com.br/educacao-financeira/como-pagar-divida-na-serasa/?utm_source=twitter&amp;utm_medium=organic&amp;utm_campaign=&amp;utm_content=materia</v>
      </c>
      <c r="Y3604" s="77" t="s">
        <v>6470</v>
      </c>
      <c r="Z3604" s="77"/>
      <c r="AA3604" s="77" t="s">
        <v>7678</v>
      </c>
      <c r="AB3604" s="77" t="s">
        <v>7742</v>
      </c>
      <c r="AC3604" s="82" t="s">
        <v>7750</v>
      </c>
      <c r="AD3604" s="77" t="s">
        <v>7788</v>
      </c>
      <c r="AE3604" s="80" t="str">
        <f>HYPERLINK("https://twitter.com/einvestidor/status/1707115389702856863")</f>
        <v>https://twitter.com/einvestidor/status/1707115389702856863</v>
      </c>
      <c r="AF3604" s="79">
        <v>45196.8125</v>
      </c>
      <c r="AG3604" s="85">
        <v>45196</v>
      </c>
      <c r="AH3604" s="82" t="s">
        <v>8281</v>
      </c>
      <c r="AI3604" s="77" t="b">
        <v>0</v>
      </c>
      <c r="AJ3604" s="77"/>
      <c r="AK3604" s="77"/>
      <c r="AL3604" s="77"/>
      <c r="AM3604" s="77"/>
      <c r="AN3604" s="77"/>
      <c r="AO3604" s="77"/>
      <c r="AP3604" s="77"/>
      <c r="AQ3604" s="77" t="s">
        <v>11650</v>
      </c>
      <c r="AR3604" s="77"/>
      <c r="AS3604" s="77"/>
      <c r="AT3604" s="77"/>
      <c r="AU3604" s="77"/>
      <c r="AV3604" s="80" t="str">
        <f>HYPERLINK("https://pbs.twimg.com/media/F7DgUxwXUAAoSBa.jpg")</f>
        <v>https://pbs.twimg.com/media/F7DgUxwXUAAoSBa.jpg</v>
      </c>
      <c r="AW3604" s="82" t="s">
        <v>15200</v>
      </c>
      <c r="AX3604" s="82" t="s">
        <v>15200</v>
      </c>
      <c r="AY3604" s="77"/>
      <c r="AZ3604" s="82" t="s">
        <v>15984</v>
      </c>
      <c r="BA3604" s="82" t="s">
        <v>15984</v>
      </c>
      <c r="BB3604" s="82" t="s">
        <v>15984</v>
      </c>
      <c r="BC3604" s="82" t="s">
        <v>15200</v>
      </c>
      <c r="BD3604" s="82" t="s">
        <v>15979</v>
      </c>
      <c r="BE3604" s="77"/>
      <c r="BF3604" s="77"/>
      <c r="BG3604" s="77"/>
      <c r="BH3604" s="77"/>
      <c r="BI3604" s="77"/>
    </row>
    <row r="3605" spans="1:61" x14ac:dyDescent="0.25">
      <c r="A3605" s="62" t="s">
        <v>387</v>
      </c>
      <c r="B3605" s="62" t="s">
        <v>387</v>
      </c>
      <c r="C3605" s="63"/>
      <c r="D3605" s="64"/>
      <c r="E3605" s="65"/>
      <c r="F3605" s="66"/>
      <c r="G3605" s="63"/>
      <c r="H3605" s="67"/>
      <c r="I3605" s="68"/>
      <c r="J3605" s="68"/>
      <c r="K3605" s="32"/>
      <c r="L3605" s="75">
        <v>3605</v>
      </c>
      <c r="M3605" s="75"/>
      <c r="N3605" s="70"/>
      <c r="O3605" s="77" t="s">
        <v>179</v>
      </c>
      <c r="P3605" s="79">
        <v>45196.791678240741</v>
      </c>
      <c r="Q3605" s="77" t="s">
        <v>4275</v>
      </c>
      <c r="R3605" s="77">
        <v>0</v>
      </c>
      <c r="S3605" s="77">
        <v>0</v>
      </c>
      <c r="T3605" s="77">
        <v>0</v>
      </c>
      <c r="U3605" s="77">
        <v>0</v>
      </c>
      <c r="V3605" s="77">
        <v>324</v>
      </c>
      <c r="W3605" s="82" t="s">
        <v>4833</v>
      </c>
      <c r="X3605" s="80" t="str">
        <f>HYPERLINK("https://einvestidor.estadao.com.br/colunas/bruno-funchal/o-projeto-de-lei-orcamentaria-nervosismo-mercado/?utm_source=twitter&amp;utm_medium=organic&amp;utm_campaign=&amp;utm_content=materia")</f>
        <v>https://einvestidor.estadao.com.br/colunas/bruno-funchal/o-projeto-de-lei-orcamentaria-nervosismo-mercado/?utm_source=twitter&amp;utm_medium=organic&amp;utm_campaign=&amp;utm_content=materia</v>
      </c>
      <c r="Y3605" s="77" t="s">
        <v>6470</v>
      </c>
      <c r="Z3605" s="77"/>
      <c r="AA3605" s="77" t="s">
        <v>7679</v>
      </c>
      <c r="AB3605" s="77" t="s">
        <v>7742</v>
      </c>
      <c r="AC3605" s="82" t="s">
        <v>7750</v>
      </c>
      <c r="AD3605" s="77" t="s">
        <v>7788</v>
      </c>
      <c r="AE3605" s="80" t="str">
        <f>HYPERLINK("https://twitter.com/einvestidor/status/1707107843776667694")</f>
        <v>https://twitter.com/einvestidor/status/1707107843776667694</v>
      </c>
      <c r="AF3605" s="79">
        <v>45196.791678240741</v>
      </c>
      <c r="AG3605" s="85">
        <v>45196</v>
      </c>
      <c r="AH3605" s="82" t="s">
        <v>7933</v>
      </c>
      <c r="AI3605" s="77" t="b">
        <v>0</v>
      </c>
      <c r="AJ3605" s="77"/>
      <c r="AK3605" s="77"/>
      <c r="AL3605" s="77"/>
      <c r="AM3605" s="77"/>
      <c r="AN3605" s="77"/>
      <c r="AO3605" s="77"/>
      <c r="AP3605" s="77"/>
      <c r="AQ3605" s="77" t="s">
        <v>11651</v>
      </c>
      <c r="AR3605" s="77"/>
      <c r="AS3605" s="77"/>
      <c r="AT3605" s="77"/>
      <c r="AU3605" s="77"/>
      <c r="AV3605" s="80" t="str">
        <f>HYPERLINK("https://pbs.twimg.com/media/F7DPHsXWsAAeKBr.jpg")</f>
        <v>https://pbs.twimg.com/media/F7DPHsXWsAAeKBr.jpg</v>
      </c>
      <c r="AW3605" s="82" t="s">
        <v>15201</v>
      </c>
      <c r="AX3605" s="82" t="s">
        <v>15201</v>
      </c>
      <c r="AY3605" s="77"/>
      <c r="AZ3605" s="82" t="s">
        <v>15984</v>
      </c>
      <c r="BA3605" s="82" t="s">
        <v>15984</v>
      </c>
      <c r="BB3605" s="82" t="s">
        <v>15984</v>
      </c>
      <c r="BC3605" s="82" t="s">
        <v>15201</v>
      </c>
      <c r="BD3605" s="82" t="s">
        <v>15979</v>
      </c>
      <c r="BE3605" s="77"/>
      <c r="BF3605" s="77"/>
      <c r="BG3605" s="77"/>
      <c r="BH3605" s="77"/>
      <c r="BI3605" s="77"/>
    </row>
    <row r="3606" spans="1:61" x14ac:dyDescent="0.25">
      <c r="A3606" s="62" t="s">
        <v>387</v>
      </c>
      <c r="B3606" s="62" t="s">
        <v>387</v>
      </c>
      <c r="C3606" s="63"/>
      <c r="D3606" s="64"/>
      <c r="E3606" s="65"/>
      <c r="F3606" s="66"/>
      <c r="G3606" s="63"/>
      <c r="H3606" s="67"/>
      <c r="I3606" s="68"/>
      <c r="J3606" s="68"/>
      <c r="K3606" s="32"/>
      <c r="L3606" s="75">
        <v>3606</v>
      </c>
      <c r="M3606" s="75"/>
      <c r="N3606" s="70"/>
      <c r="O3606" s="77" t="s">
        <v>179</v>
      </c>
      <c r="P3606" s="79">
        <v>45196.78125</v>
      </c>
      <c r="Q3606" s="77" t="s">
        <v>4276</v>
      </c>
      <c r="R3606" s="77">
        <v>0</v>
      </c>
      <c r="S3606" s="77">
        <v>1</v>
      </c>
      <c r="T3606" s="77">
        <v>0</v>
      </c>
      <c r="U3606" s="77">
        <v>0</v>
      </c>
      <c r="V3606" s="77">
        <v>466</v>
      </c>
      <c r="W3606" s="82" t="s">
        <v>6231</v>
      </c>
      <c r="X3606" s="80" t="str">
        <f>HYPERLINK("https://einvestidor.estadao.com.br/ultimas/grupo-casas-bahia-bhia3-acoes-sobem-demissao-executivo/?utm_source=twitter&amp;utm_medium=organic&amp;utm_campaign=&amp;utm_content=materia")</f>
        <v>https://einvestidor.estadao.com.br/ultimas/grupo-casas-bahia-bhia3-acoes-sobem-demissao-executivo/?utm_source=twitter&amp;utm_medium=organic&amp;utm_campaign=&amp;utm_content=materia</v>
      </c>
      <c r="Y3606" s="77" t="s">
        <v>6470</v>
      </c>
      <c r="Z3606" s="77"/>
      <c r="AA3606" s="77" t="s">
        <v>7680</v>
      </c>
      <c r="AB3606" s="77" t="s">
        <v>7742</v>
      </c>
      <c r="AC3606" s="82" t="s">
        <v>7750</v>
      </c>
      <c r="AD3606" s="77" t="s">
        <v>7788</v>
      </c>
      <c r="AE3606" s="80" t="str">
        <f>HYPERLINK("https://twitter.com/einvestidor/status/1707104065237246218")</f>
        <v>https://twitter.com/einvestidor/status/1707104065237246218</v>
      </c>
      <c r="AF3606" s="79">
        <v>45196.78125</v>
      </c>
      <c r="AG3606" s="85">
        <v>45196</v>
      </c>
      <c r="AH3606" s="82" t="s">
        <v>9581</v>
      </c>
      <c r="AI3606" s="77" t="b">
        <v>0</v>
      </c>
      <c r="AJ3606" s="77"/>
      <c r="AK3606" s="77"/>
      <c r="AL3606" s="77"/>
      <c r="AM3606" s="77"/>
      <c r="AN3606" s="77"/>
      <c r="AO3606" s="77"/>
      <c r="AP3606" s="77"/>
      <c r="AQ3606" s="77" t="s">
        <v>11652</v>
      </c>
      <c r="AR3606" s="77"/>
      <c r="AS3606" s="77"/>
      <c r="AT3606" s="77"/>
      <c r="AU3606" s="77"/>
      <c r="AV3606" s="80" t="str">
        <f>HYPERLINK("https://pbs.twimg.com/media/F7DLXhEWMAAY0jA.jpg")</f>
        <v>https://pbs.twimg.com/media/F7DLXhEWMAAY0jA.jpg</v>
      </c>
      <c r="AW3606" s="82" t="s">
        <v>15202</v>
      </c>
      <c r="AX3606" s="82" t="s">
        <v>15202</v>
      </c>
      <c r="AY3606" s="77"/>
      <c r="AZ3606" s="82" t="s">
        <v>15984</v>
      </c>
      <c r="BA3606" s="82" t="s">
        <v>15984</v>
      </c>
      <c r="BB3606" s="82" t="s">
        <v>15984</v>
      </c>
      <c r="BC3606" s="82" t="s">
        <v>15202</v>
      </c>
      <c r="BD3606" s="82" t="s">
        <v>15979</v>
      </c>
      <c r="BE3606" s="77"/>
      <c r="BF3606" s="77"/>
      <c r="BG3606" s="77"/>
      <c r="BH3606" s="77"/>
      <c r="BI3606" s="77"/>
    </row>
    <row r="3607" spans="1:61" x14ac:dyDescent="0.25">
      <c r="A3607" s="62" t="s">
        <v>387</v>
      </c>
      <c r="B3607" s="62" t="s">
        <v>387</v>
      </c>
      <c r="C3607" s="63"/>
      <c r="D3607" s="64"/>
      <c r="E3607" s="65"/>
      <c r="F3607" s="66"/>
      <c r="G3607" s="63"/>
      <c r="H3607" s="67"/>
      <c r="I3607" s="68"/>
      <c r="J3607" s="68"/>
      <c r="K3607" s="32"/>
      <c r="L3607" s="75">
        <v>3607</v>
      </c>
      <c r="M3607" s="75"/>
      <c r="N3607" s="70"/>
      <c r="O3607" s="77" t="s">
        <v>179</v>
      </c>
      <c r="P3607" s="79">
        <v>45196.439131944448</v>
      </c>
      <c r="Q3607" s="77" t="s">
        <v>4277</v>
      </c>
      <c r="R3607" s="77">
        <v>0</v>
      </c>
      <c r="S3607" s="77">
        <v>1</v>
      </c>
      <c r="T3607" s="77">
        <v>1</v>
      </c>
      <c r="U3607" s="77">
        <v>0</v>
      </c>
      <c r="V3607" s="77">
        <v>664</v>
      </c>
      <c r="W3607" s="82" t="s">
        <v>4839</v>
      </c>
      <c r="X3607" s="80" t="str">
        <f>HYPERLINK("https://einvestidor.estadao.com.br/ultimas/abertura-de-mercado-27-09-2023-2/?utm_source=twitter&amp;utm_medium=organic&amp;utm_campaign=asia&amp;utm_content=materia")</f>
        <v>https://einvestidor.estadao.com.br/ultimas/abertura-de-mercado-27-09-2023-2/?utm_source=twitter&amp;utm_medium=organic&amp;utm_campaign=asia&amp;utm_content=materia</v>
      </c>
      <c r="Y3607" s="77" t="s">
        <v>6470</v>
      </c>
      <c r="Z3607" s="77"/>
      <c r="AA3607" s="77" t="s">
        <v>7681</v>
      </c>
      <c r="AB3607" s="77" t="s">
        <v>7742</v>
      </c>
      <c r="AC3607" s="82" t="s">
        <v>7750</v>
      </c>
      <c r="AD3607" s="77" t="s">
        <v>7788</v>
      </c>
      <c r="AE3607" s="80" t="str">
        <f>HYPERLINK("https://twitter.com/einvestidor/status/1706980085524234732")</f>
        <v>https://twitter.com/einvestidor/status/1706980085524234732</v>
      </c>
      <c r="AF3607" s="79">
        <v>45196.439131944448</v>
      </c>
      <c r="AG3607" s="85">
        <v>45196</v>
      </c>
      <c r="AH3607" s="82" t="s">
        <v>10095</v>
      </c>
      <c r="AI3607" s="77" t="b">
        <v>0</v>
      </c>
      <c r="AJ3607" s="77"/>
      <c r="AK3607" s="77"/>
      <c r="AL3607" s="77"/>
      <c r="AM3607" s="77"/>
      <c r="AN3607" s="77"/>
      <c r="AO3607" s="77"/>
      <c r="AP3607" s="77"/>
      <c r="AQ3607" s="77" t="s">
        <v>11653</v>
      </c>
      <c r="AR3607" s="77"/>
      <c r="AS3607" s="77"/>
      <c r="AT3607" s="77"/>
      <c r="AU3607" s="77"/>
      <c r="AV3607" s="80" t="str">
        <f>HYPERLINK("https://pbs.twimg.com/media/F7BpVILXgAAp1w7.png")</f>
        <v>https://pbs.twimg.com/media/F7BpVILXgAAp1w7.png</v>
      </c>
      <c r="AW3607" s="82" t="s">
        <v>15203</v>
      </c>
      <c r="AX3607" s="82" t="s">
        <v>15203</v>
      </c>
      <c r="AY3607" s="77"/>
      <c r="AZ3607" s="82" t="s">
        <v>15984</v>
      </c>
      <c r="BA3607" s="82" t="s">
        <v>15984</v>
      </c>
      <c r="BB3607" s="82" t="s">
        <v>15984</v>
      </c>
      <c r="BC3607" s="82" t="s">
        <v>15203</v>
      </c>
      <c r="BD3607" s="82" t="s">
        <v>15979</v>
      </c>
      <c r="BE3607" s="77"/>
      <c r="BF3607" s="77"/>
      <c r="BG3607" s="77"/>
      <c r="BH3607" s="77"/>
      <c r="BI3607" s="77"/>
    </row>
    <row r="3608" spans="1:61" x14ac:dyDescent="0.25">
      <c r="A3608" s="62" t="s">
        <v>387</v>
      </c>
      <c r="B3608" s="62" t="s">
        <v>387</v>
      </c>
      <c r="C3608" s="63"/>
      <c r="D3608" s="64"/>
      <c r="E3608" s="65"/>
      <c r="F3608" s="66"/>
      <c r="G3608" s="63"/>
      <c r="H3608" s="67"/>
      <c r="I3608" s="68"/>
      <c r="J3608" s="68"/>
      <c r="K3608" s="32"/>
      <c r="L3608" s="75">
        <v>3608</v>
      </c>
      <c r="M3608" s="75"/>
      <c r="N3608" s="70"/>
      <c r="O3608" s="77" t="s">
        <v>179</v>
      </c>
      <c r="P3608" s="79">
        <v>45195.841435185182</v>
      </c>
      <c r="Q3608" s="77" t="s">
        <v>4278</v>
      </c>
      <c r="R3608" s="77">
        <v>0</v>
      </c>
      <c r="S3608" s="77">
        <v>0</v>
      </c>
      <c r="T3608" s="77">
        <v>0</v>
      </c>
      <c r="U3608" s="77">
        <v>0</v>
      </c>
      <c r="V3608" s="77">
        <v>434</v>
      </c>
      <c r="W3608" s="82" t="s">
        <v>4833</v>
      </c>
      <c r="X3608" s="80" t="str">
        <f>HYPERLINK("https://einvestidor.estadao.com.br/colunas/artigos-especialistas/potencial-previdencia-complementar-sustentavel/?utm_source=twitter&amp;utm_medium=organic&amp;utm_campaign=&amp;utm_content=materia")</f>
        <v>https://einvestidor.estadao.com.br/colunas/artigos-especialistas/potencial-previdencia-complementar-sustentavel/?utm_source=twitter&amp;utm_medium=organic&amp;utm_campaign=&amp;utm_content=materia</v>
      </c>
      <c r="Y3608" s="77" t="s">
        <v>6470</v>
      </c>
      <c r="Z3608" s="77"/>
      <c r="AA3608" s="77"/>
      <c r="AB3608" s="77"/>
      <c r="AC3608" s="82" t="s">
        <v>7750</v>
      </c>
      <c r="AD3608" s="77" t="s">
        <v>7788</v>
      </c>
      <c r="AE3608" s="80" t="str">
        <f>HYPERLINK("https://twitter.com/einvestidor/status/1706763490466181522")</f>
        <v>https://twitter.com/einvestidor/status/1706763490466181522</v>
      </c>
      <c r="AF3608" s="79">
        <v>45195.841435185182</v>
      </c>
      <c r="AG3608" s="85">
        <v>45195</v>
      </c>
      <c r="AH3608" s="82" t="s">
        <v>10096</v>
      </c>
      <c r="AI3608" s="77" t="b">
        <v>0</v>
      </c>
      <c r="AJ3608" s="77"/>
      <c r="AK3608" s="77"/>
      <c r="AL3608" s="77"/>
      <c r="AM3608" s="77"/>
      <c r="AN3608" s="77"/>
      <c r="AO3608" s="77"/>
      <c r="AP3608" s="77"/>
      <c r="AQ3608" s="77"/>
      <c r="AR3608" s="77"/>
      <c r="AS3608" s="77"/>
      <c r="AT3608" s="77"/>
      <c r="AU3608" s="77"/>
      <c r="AV3608" s="80" t="str">
        <f>HYPERLINK("https://pbs.twimg.com/profile_images/1241147984924082183/gZgx_hL-_normal.jpg")</f>
        <v>https://pbs.twimg.com/profile_images/1241147984924082183/gZgx_hL-_normal.jpg</v>
      </c>
      <c r="AW3608" s="82" t="s">
        <v>15204</v>
      </c>
      <c r="AX3608" s="82" t="s">
        <v>15204</v>
      </c>
      <c r="AY3608" s="77"/>
      <c r="AZ3608" s="82" t="s">
        <v>15984</v>
      </c>
      <c r="BA3608" s="82" t="s">
        <v>15984</v>
      </c>
      <c r="BB3608" s="82" t="s">
        <v>15984</v>
      </c>
      <c r="BC3608" s="82" t="s">
        <v>15204</v>
      </c>
      <c r="BD3608" s="82" t="s">
        <v>15979</v>
      </c>
      <c r="BE3608" s="77"/>
      <c r="BF3608" s="77"/>
      <c r="BG3608" s="77"/>
      <c r="BH3608" s="77"/>
      <c r="BI3608" s="77"/>
    </row>
    <row r="3609" spans="1:61" x14ac:dyDescent="0.25">
      <c r="A3609" s="62" t="s">
        <v>387</v>
      </c>
      <c r="B3609" s="62" t="s">
        <v>387</v>
      </c>
      <c r="C3609" s="63"/>
      <c r="D3609" s="64"/>
      <c r="E3609" s="65"/>
      <c r="F3609" s="66"/>
      <c r="G3609" s="63"/>
      <c r="H3609" s="67"/>
      <c r="I3609" s="68"/>
      <c r="J3609" s="68"/>
      <c r="K3609" s="32"/>
      <c r="L3609" s="75">
        <v>3609</v>
      </c>
      <c r="M3609" s="75"/>
      <c r="N3609" s="70"/>
      <c r="O3609" s="77" t="s">
        <v>179</v>
      </c>
      <c r="P3609" s="79">
        <v>45195.8125</v>
      </c>
      <c r="Q3609" s="77" t="s">
        <v>4279</v>
      </c>
      <c r="R3609" s="77">
        <v>0</v>
      </c>
      <c r="S3609" s="77">
        <v>0</v>
      </c>
      <c r="T3609" s="77">
        <v>0</v>
      </c>
      <c r="U3609" s="77">
        <v>0</v>
      </c>
      <c r="V3609" s="77">
        <v>418</v>
      </c>
      <c r="W3609" s="82" t="s">
        <v>6349</v>
      </c>
      <c r="X3609" s="80" t="str">
        <f>HYPERLINK("https://einvestidor.estadao.com.br/colunas/marilia-fontes/tesouro-direto-saiba-como-investir/?utm_source=twitter&amp;utm_medium=organic&amp;utm_campaign=&amp;utm_content=materia")</f>
        <v>https://einvestidor.estadao.com.br/colunas/marilia-fontes/tesouro-direto-saiba-como-investir/?utm_source=twitter&amp;utm_medium=organic&amp;utm_campaign=&amp;utm_content=materia</v>
      </c>
      <c r="Y3609" s="77" t="s">
        <v>6470</v>
      </c>
      <c r="Z3609" s="77"/>
      <c r="AA3609" s="77" t="s">
        <v>7682</v>
      </c>
      <c r="AB3609" s="77" t="s">
        <v>7742</v>
      </c>
      <c r="AC3609" s="82" t="s">
        <v>7750</v>
      </c>
      <c r="AD3609" s="77" t="s">
        <v>7788</v>
      </c>
      <c r="AE3609" s="80" t="str">
        <f>HYPERLINK("https://twitter.com/einvestidor/status/1706753003103899869")</f>
        <v>https://twitter.com/einvestidor/status/1706753003103899869</v>
      </c>
      <c r="AF3609" s="79">
        <v>45195.8125</v>
      </c>
      <c r="AG3609" s="85">
        <v>45195</v>
      </c>
      <c r="AH3609" s="82" t="s">
        <v>8281</v>
      </c>
      <c r="AI3609" s="77" t="b">
        <v>0</v>
      </c>
      <c r="AJ3609" s="77"/>
      <c r="AK3609" s="77"/>
      <c r="AL3609" s="77"/>
      <c r="AM3609" s="77"/>
      <c r="AN3609" s="77"/>
      <c r="AO3609" s="77"/>
      <c r="AP3609" s="77"/>
      <c r="AQ3609" s="77" t="s">
        <v>11654</v>
      </c>
      <c r="AR3609" s="77"/>
      <c r="AS3609" s="77"/>
      <c r="AT3609" s="77"/>
      <c r="AU3609" s="77"/>
      <c r="AV3609" s="80" t="str">
        <f>HYPERLINK("https://pbs.twimg.com/media/F6-OIsBXEAAUGU4.jpg")</f>
        <v>https://pbs.twimg.com/media/F6-OIsBXEAAUGU4.jpg</v>
      </c>
      <c r="AW3609" s="82" t="s">
        <v>15205</v>
      </c>
      <c r="AX3609" s="82" t="s">
        <v>15205</v>
      </c>
      <c r="AY3609" s="77"/>
      <c r="AZ3609" s="82" t="s">
        <v>15984</v>
      </c>
      <c r="BA3609" s="82" t="s">
        <v>15984</v>
      </c>
      <c r="BB3609" s="82" t="s">
        <v>15984</v>
      </c>
      <c r="BC3609" s="82" t="s">
        <v>15205</v>
      </c>
      <c r="BD3609" s="82" t="s">
        <v>15979</v>
      </c>
      <c r="BE3609" s="77"/>
      <c r="BF3609" s="77"/>
      <c r="BG3609" s="77"/>
      <c r="BH3609" s="77"/>
      <c r="BI3609" s="77"/>
    </row>
    <row r="3610" spans="1:61" x14ac:dyDescent="0.25">
      <c r="A3610" s="62" t="s">
        <v>387</v>
      </c>
      <c r="B3610" s="62" t="s">
        <v>387</v>
      </c>
      <c r="C3610" s="63"/>
      <c r="D3610" s="64"/>
      <c r="E3610" s="65"/>
      <c r="F3610" s="66"/>
      <c r="G3610" s="63"/>
      <c r="H3610" s="67"/>
      <c r="I3610" s="68"/>
      <c r="J3610" s="68"/>
      <c r="K3610" s="32"/>
      <c r="L3610" s="75">
        <v>3610</v>
      </c>
      <c r="M3610" s="75"/>
      <c r="N3610" s="70"/>
      <c r="O3610" s="77" t="s">
        <v>179</v>
      </c>
      <c r="P3610" s="79">
        <v>45195.802083333336</v>
      </c>
      <c r="Q3610" s="77" t="s">
        <v>4280</v>
      </c>
      <c r="R3610" s="77">
        <v>0</v>
      </c>
      <c r="S3610" s="77">
        <v>1</v>
      </c>
      <c r="T3610" s="77">
        <v>0</v>
      </c>
      <c r="U3610" s="77">
        <v>0</v>
      </c>
      <c r="V3610" s="77">
        <v>429</v>
      </c>
      <c r="W3610" s="82" t="s">
        <v>6350</v>
      </c>
      <c r="X3610" s="80" t="str">
        <f>HYPERLINK("https://einvestidor.estadao.com.br/ultimas/ambiente-piora-negocios-empresas-eua-china//?utm_source=twitter&amp;utm_medium=organic&amp;utm_campaign=&amp;utm_content=materia")</f>
        <v>https://einvestidor.estadao.com.br/ultimas/ambiente-piora-negocios-empresas-eua-china//?utm_source=twitter&amp;utm_medium=organic&amp;utm_campaign=&amp;utm_content=materia</v>
      </c>
      <c r="Y3610" s="77" t="s">
        <v>6470</v>
      </c>
      <c r="Z3610" s="77"/>
      <c r="AA3610" s="77"/>
      <c r="AB3610" s="77"/>
      <c r="AC3610" s="82" t="s">
        <v>7750</v>
      </c>
      <c r="AD3610" s="77" t="s">
        <v>7788</v>
      </c>
      <c r="AE3610" s="80" t="str">
        <f>HYPERLINK("https://twitter.com/einvestidor/status/1706749226883948892")</f>
        <v>https://twitter.com/einvestidor/status/1706749226883948892</v>
      </c>
      <c r="AF3610" s="79">
        <v>45195.802083333336</v>
      </c>
      <c r="AG3610" s="85">
        <v>45195</v>
      </c>
      <c r="AH3610" s="82" t="s">
        <v>7868</v>
      </c>
      <c r="AI3610" s="77" t="b">
        <v>0</v>
      </c>
      <c r="AJ3610" s="77"/>
      <c r="AK3610" s="77"/>
      <c r="AL3610" s="77"/>
      <c r="AM3610" s="77"/>
      <c r="AN3610" s="77"/>
      <c r="AO3610" s="77"/>
      <c r="AP3610" s="77"/>
      <c r="AQ3610" s="77"/>
      <c r="AR3610" s="77"/>
      <c r="AS3610" s="77"/>
      <c r="AT3610" s="77"/>
      <c r="AU3610" s="77"/>
      <c r="AV3610" s="80" t="str">
        <f>HYPERLINK("https://pbs.twimg.com/profile_images/1241147984924082183/gZgx_hL-_normal.jpg")</f>
        <v>https://pbs.twimg.com/profile_images/1241147984924082183/gZgx_hL-_normal.jpg</v>
      </c>
      <c r="AW3610" s="82" t="s">
        <v>15206</v>
      </c>
      <c r="AX3610" s="82" t="s">
        <v>15206</v>
      </c>
      <c r="AY3610" s="77"/>
      <c r="AZ3610" s="82" t="s">
        <v>15984</v>
      </c>
      <c r="BA3610" s="82" t="s">
        <v>15984</v>
      </c>
      <c r="BB3610" s="82" t="s">
        <v>15984</v>
      </c>
      <c r="BC3610" s="82" t="s">
        <v>15206</v>
      </c>
      <c r="BD3610" s="82" t="s">
        <v>15979</v>
      </c>
      <c r="BE3610" s="77"/>
      <c r="BF3610" s="77"/>
      <c r="BG3610" s="77"/>
      <c r="BH3610" s="77"/>
      <c r="BI3610" s="77"/>
    </row>
    <row r="3611" spans="1:61" x14ac:dyDescent="0.25">
      <c r="A3611" s="62" t="s">
        <v>387</v>
      </c>
      <c r="B3611" s="62" t="s">
        <v>387</v>
      </c>
      <c r="C3611" s="63"/>
      <c r="D3611" s="64"/>
      <c r="E3611" s="65"/>
      <c r="F3611" s="66"/>
      <c r="G3611" s="63"/>
      <c r="H3611" s="67"/>
      <c r="I3611" s="68"/>
      <c r="J3611" s="68"/>
      <c r="K3611" s="32"/>
      <c r="L3611" s="75">
        <v>3611</v>
      </c>
      <c r="M3611" s="75"/>
      <c r="N3611" s="70"/>
      <c r="O3611" s="77" t="s">
        <v>179</v>
      </c>
      <c r="P3611" s="79">
        <v>45195.433240740742</v>
      </c>
      <c r="Q3611" s="77" t="s">
        <v>4281</v>
      </c>
      <c r="R3611" s="77">
        <v>0</v>
      </c>
      <c r="S3611" s="77">
        <v>2</v>
      </c>
      <c r="T3611" s="77">
        <v>0</v>
      </c>
      <c r="U3611" s="77">
        <v>0</v>
      </c>
      <c r="V3611" s="77">
        <v>471</v>
      </c>
      <c r="W3611" s="82" t="s">
        <v>4839</v>
      </c>
      <c r="X3611" s="80" t="str">
        <f>HYPERLINK("https://einvestidor.estadao.com.br/ultimas/bolsas-da-asia-fechamento-26-09-2023/?utm_source=twitter&amp;utm_medium=organic&amp;utm_campaign=asia&amp;utm_content=materia")</f>
        <v>https://einvestidor.estadao.com.br/ultimas/bolsas-da-asia-fechamento-26-09-2023/?utm_source=twitter&amp;utm_medium=organic&amp;utm_campaign=asia&amp;utm_content=materia</v>
      </c>
      <c r="Y3611" s="77" t="s">
        <v>6470</v>
      </c>
      <c r="Z3611" s="77"/>
      <c r="AA3611" s="77" t="s">
        <v>7683</v>
      </c>
      <c r="AB3611" s="77" t="s">
        <v>7742</v>
      </c>
      <c r="AC3611" s="82" t="s">
        <v>7750</v>
      </c>
      <c r="AD3611" s="77" t="s">
        <v>7788</v>
      </c>
      <c r="AE3611" s="80" t="str">
        <f>HYPERLINK("https://twitter.com/einvestidor/status/1706615562896310523")</f>
        <v>https://twitter.com/einvestidor/status/1706615562896310523</v>
      </c>
      <c r="AF3611" s="79">
        <v>45195.433240740742</v>
      </c>
      <c r="AG3611" s="85">
        <v>45195</v>
      </c>
      <c r="AH3611" s="82" t="s">
        <v>10097</v>
      </c>
      <c r="AI3611" s="77" t="b">
        <v>0</v>
      </c>
      <c r="AJ3611" s="77"/>
      <c r="AK3611" s="77"/>
      <c r="AL3611" s="77"/>
      <c r="AM3611" s="77"/>
      <c r="AN3611" s="77"/>
      <c r="AO3611" s="77"/>
      <c r="AP3611" s="77"/>
      <c r="AQ3611" s="77" t="s">
        <v>11655</v>
      </c>
      <c r="AR3611" s="77"/>
      <c r="AS3611" s="77"/>
      <c r="AT3611" s="77"/>
      <c r="AU3611" s="77"/>
      <c r="AV3611" s="80" t="str">
        <f>HYPERLINK("https://pbs.twimg.com/media/F68dzPiWoAAIvAa.png")</f>
        <v>https://pbs.twimg.com/media/F68dzPiWoAAIvAa.png</v>
      </c>
      <c r="AW3611" s="82" t="s">
        <v>15207</v>
      </c>
      <c r="AX3611" s="82" t="s">
        <v>15207</v>
      </c>
      <c r="AY3611" s="77"/>
      <c r="AZ3611" s="82" t="s">
        <v>15984</v>
      </c>
      <c r="BA3611" s="82" t="s">
        <v>15984</v>
      </c>
      <c r="BB3611" s="82" t="s">
        <v>15984</v>
      </c>
      <c r="BC3611" s="82" t="s">
        <v>15207</v>
      </c>
      <c r="BD3611" s="82" t="s">
        <v>15979</v>
      </c>
      <c r="BE3611" s="77"/>
      <c r="BF3611" s="77"/>
      <c r="BG3611" s="77"/>
      <c r="BH3611" s="77"/>
      <c r="BI3611" s="77"/>
    </row>
    <row r="3612" spans="1:61" x14ac:dyDescent="0.25">
      <c r="A3612" s="62" t="s">
        <v>387</v>
      </c>
      <c r="B3612" s="62" t="s">
        <v>387</v>
      </c>
      <c r="C3612" s="63"/>
      <c r="D3612" s="64"/>
      <c r="E3612" s="65"/>
      <c r="F3612" s="66"/>
      <c r="G3612" s="63"/>
      <c r="H3612" s="67"/>
      <c r="I3612" s="68"/>
      <c r="J3612" s="68"/>
      <c r="K3612" s="32"/>
      <c r="L3612" s="75">
        <v>3612</v>
      </c>
      <c r="M3612" s="75"/>
      <c r="N3612" s="70"/>
      <c r="O3612" s="77" t="s">
        <v>179</v>
      </c>
      <c r="P3612" s="79">
        <v>45194.802083333336</v>
      </c>
      <c r="Q3612" s="77" t="s">
        <v>4282</v>
      </c>
      <c r="R3612" s="77">
        <v>0</v>
      </c>
      <c r="S3612" s="77">
        <v>3</v>
      </c>
      <c r="T3612" s="77">
        <v>0</v>
      </c>
      <c r="U3612" s="77">
        <v>0</v>
      </c>
      <c r="V3612" s="77">
        <v>672</v>
      </c>
      <c r="W3612" s="82" t="s">
        <v>6351</v>
      </c>
      <c r="X3612" s="80" t="str">
        <f>HYPERLINK("https://einvestidor.estadao.com.br/radar-einvestidor/sandy-relembre-tipos-de-divorcio/?utm_source=twitter&amp;utm_medium=organic&amp;utm_campaign=&amp;utm_content=materia")</f>
        <v>https://einvestidor.estadao.com.br/radar-einvestidor/sandy-relembre-tipos-de-divorcio/?utm_source=twitter&amp;utm_medium=organic&amp;utm_campaign=&amp;utm_content=materia</v>
      </c>
      <c r="Y3612" s="77" t="s">
        <v>6470</v>
      </c>
      <c r="Z3612" s="77"/>
      <c r="AA3612" s="77" t="s">
        <v>7684</v>
      </c>
      <c r="AB3612" s="77" t="s">
        <v>7742</v>
      </c>
      <c r="AC3612" s="82" t="s">
        <v>7750</v>
      </c>
      <c r="AD3612" s="77" t="s">
        <v>7788</v>
      </c>
      <c r="AE3612" s="80" t="str">
        <f>HYPERLINK("https://twitter.com/einvestidor/status/1706386839005958334")</f>
        <v>https://twitter.com/einvestidor/status/1706386839005958334</v>
      </c>
      <c r="AF3612" s="79">
        <v>45194.802083333336</v>
      </c>
      <c r="AG3612" s="85">
        <v>45194</v>
      </c>
      <c r="AH3612" s="82" t="s">
        <v>7868</v>
      </c>
      <c r="AI3612" s="77" t="b">
        <v>0</v>
      </c>
      <c r="AJ3612" s="77"/>
      <c r="AK3612" s="77"/>
      <c r="AL3612" s="77"/>
      <c r="AM3612" s="77"/>
      <c r="AN3612" s="77"/>
      <c r="AO3612" s="77"/>
      <c r="AP3612" s="77"/>
      <c r="AQ3612" s="77" t="s">
        <v>11656</v>
      </c>
      <c r="AR3612" s="77"/>
      <c r="AS3612" s="77"/>
      <c r="AT3612" s="77"/>
      <c r="AU3612" s="77"/>
      <c r="AV3612" s="80" t="str">
        <f>HYPERLINK("https://pbs.twimg.com/media/F65FvmeWEAAFj0g.jpg")</f>
        <v>https://pbs.twimg.com/media/F65FvmeWEAAFj0g.jpg</v>
      </c>
      <c r="AW3612" s="82" t="s">
        <v>15208</v>
      </c>
      <c r="AX3612" s="82" t="s">
        <v>15208</v>
      </c>
      <c r="AY3612" s="77"/>
      <c r="AZ3612" s="82" t="s">
        <v>15984</v>
      </c>
      <c r="BA3612" s="82" t="s">
        <v>15984</v>
      </c>
      <c r="BB3612" s="82" t="s">
        <v>15984</v>
      </c>
      <c r="BC3612" s="82" t="s">
        <v>15208</v>
      </c>
      <c r="BD3612" s="82" t="s">
        <v>15979</v>
      </c>
      <c r="BE3612" s="77"/>
      <c r="BF3612" s="77"/>
      <c r="BG3612" s="77"/>
      <c r="BH3612" s="77"/>
      <c r="BI3612" s="77"/>
    </row>
    <row r="3613" spans="1:61" x14ac:dyDescent="0.25">
      <c r="A3613" s="62" t="s">
        <v>387</v>
      </c>
      <c r="B3613" s="62" t="s">
        <v>387</v>
      </c>
      <c r="C3613" s="63"/>
      <c r="D3613" s="64"/>
      <c r="E3613" s="65"/>
      <c r="F3613" s="66"/>
      <c r="G3613" s="63"/>
      <c r="H3613" s="67"/>
      <c r="I3613" s="68"/>
      <c r="J3613" s="68"/>
      <c r="K3613" s="32"/>
      <c r="L3613" s="75">
        <v>3613</v>
      </c>
      <c r="M3613" s="75"/>
      <c r="N3613" s="70"/>
      <c r="O3613" s="77" t="s">
        <v>179</v>
      </c>
      <c r="P3613" s="79">
        <v>45194.791689814818</v>
      </c>
      <c r="Q3613" s="77" t="s">
        <v>4283</v>
      </c>
      <c r="R3613" s="77">
        <v>0</v>
      </c>
      <c r="S3613" s="77">
        <v>1</v>
      </c>
      <c r="T3613" s="77">
        <v>0</v>
      </c>
      <c r="U3613" s="77">
        <v>0</v>
      </c>
      <c r="V3613" s="77">
        <v>644</v>
      </c>
      <c r="W3613" s="82" t="s">
        <v>6352</v>
      </c>
      <c r="X3613" s="80" t="str">
        <f>HYPERLINK("https://einvestidor.estadao.com.br/ultimas/problema-pix-fora-do-ar-segunda-feira/?utm_source=twitter&amp;utm_medium=organic&amp;utm_campaign=&amp;utm_content=materia")</f>
        <v>https://einvestidor.estadao.com.br/ultimas/problema-pix-fora-do-ar-segunda-feira/?utm_source=twitter&amp;utm_medium=organic&amp;utm_campaign=&amp;utm_content=materia</v>
      </c>
      <c r="Y3613" s="77" t="s">
        <v>6470</v>
      </c>
      <c r="Z3613" s="77"/>
      <c r="AA3613" s="77" t="s">
        <v>7685</v>
      </c>
      <c r="AB3613" s="77" t="s">
        <v>7742</v>
      </c>
      <c r="AC3613" s="82" t="s">
        <v>7750</v>
      </c>
      <c r="AD3613" s="77" t="s">
        <v>7788</v>
      </c>
      <c r="AE3613" s="80" t="str">
        <f>HYPERLINK("https://twitter.com/einvestidor/status/1706383072076370196")</f>
        <v>https://twitter.com/einvestidor/status/1706383072076370196</v>
      </c>
      <c r="AF3613" s="79">
        <v>45194.791689814818</v>
      </c>
      <c r="AG3613" s="85">
        <v>45194</v>
      </c>
      <c r="AH3613" s="82" t="s">
        <v>9580</v>
      </c>
      <c r="AI3613" s="77" t="b">
        <v>0</v>
      </c>
      <c r="AJ3613" s="77"/>
      <c r="AK3613" s="77"/>
      <c r="AL3613" s="77"/>
      <c r="AM3613" s="77"/>
      <c r="AN3613" s="77"/>
      <c r="AO3613" s="77"/>
      <c r="AP3613" s="77"/>
      <c r="AQ3613" s="77" t="s">
        <v>11657</v>
      </c>
      <c r="AR3613" s="77"/>
      <c r="AS3613" s="77"/>
      <c r="AT3613" s="77"/>
      <c r="AU3613" s="77"/>
      <c r="AV3613" s="80" t="str">
        <f>HYPERLINK("https://pbs.twimg.com/media/F65E8H7WMAMe1Pp.jpg")</f>
        <v>https://pbs.twimg.com/media/F65E8H7WMAMe1Pp.jpg</v>
      </c>
      <c r="AW3613" s="82" t="s">
        <v>15209</v>
      </c>
      <c r="AX3613" s="82" t="s">
        <v>15209</v>
      </c>
      <c r="AY3613" s="77"/>
      <c r="AZ3613" s="82" t="s">
        <v>15984</v>
      </c>
      <c r="BA3613" s="82" t="s">
        <v>15984</v>
      </c>
      <c r="BB3613" s="82" t="s">
        <v>15984</v>
      </c>
      <c r="BC3613" s="82" t="s">
        <v>15209</v>
      </c>
      <c r="BD3613" s="82" t="s">
        <v>15979</v>
      </c>
      <c r="BE3613" s="77"/>
      <c r="BF3613" s="77"/>
      <c r="BG3613" s="77"/>
      <c r="BH3613" s="77"/>
      <c r="BI3613" s="77"/>
    </row>
    <row r="3614" spans="1:61" x14ac:dyDescent="0.25">
      <c r="A3614" s="62" t="s">
        <v>387</v>
      </c>
      <c r="B3614" s="62" t="s">
        <v>387</v>
      </c>
      <c r="C3614" s="63"/>
      <c r="D3614" s="64"/>
      <c r="E3614" s="65"/>
      <c r="F3614" s="66"/>
      <c r="G3614" s="63"/>
      <c r="H3614" s="67"/>
      <c r="I3614" s="68"/>
      <c r="J3614" s="68"/>
      <c r="K3614" s="32"/>
      <c r="L3614" s="75">
        <v>3614</v>
      </c>
      <c r="M3614" s="75"/>
      <c r="N3614" s="70"/>
      <c r="O3614" s="77" t="s">
        <v>179</v>
      </c>
      <c r="P3614" s="79">
        <v>45194.78125</v>
      </c>
      <c r="Q3614" s="77" t="s">
        <v>4284</v>
      </c>
      <c r="R3614" s="77">
        <v>0</v>
      </c>
      <c r="S3614" s="77">
        <v>1</v>
      </c>
      <c r="T3614" s="77">
        <v>0</v>
      </c>
      <c r="U3614" s="77">
        <v>0</v>
      </c>
      <c r="V3614" s="77">
        <v>539</v>
      </c>
      <c r="W3614" s="82" t="s">
        <v>4833</v>
      </c>
      <c r="X3614" s="80" t="str">
        <f>HYPERLINK("https://einvestidor.estadao.com.br/educacao-financeira/cartao-de-credito-dividas-falecimento-titular/?utm_source=twitter&amp;utm_medium=organic&amp;utm_campaign=&amp;utm_content=materia")</f>
        <v>https://einvestidor.estadao.com.br/educacao-financeira/cartao-de-credito-dividas-falecimento-titular/?utm_source=twitter&amp;utm_medium=organic&amp;utm_campaign=&amp;utm_content=materia</v>
      </c>
      <c r="Y3614" s="77" t="s">
        <v>6470</v>
      </c>
      <c r="Z3614" s="77"/>
      <c r="AA3614" s="77"/>
      <c r="AB3614" s="77"/>
      <c r="AC3614" s="82" t="s">
        <v>7750</v>
      </c>
      <c r="AD3614" s="77" t="s">
        <v>7788</v>
      </c>
      <c r="AE3614" s="80" t="str">
        <f>HYPERLINK("https://twitter.com/einvestidor/status/1706379289866686631")</f>
        <v>https://twitter.com/einvestidor/status/1706379289866686631</v>
      </c>
      <c r="AF3614" s="79">
        <v>45194.78125</v>
      </c>
      <c r="AG3614" s="85">
        <v>45194</v>
      </c>
      <c r="AH3614" s="82" t="s">
        <v>9581</v>
      </c>
      <c r="AI3614" s="77" t="b">
        <v>0</v>
      </c>
      <c r="AJ3614" s="77"/>
      <c r="AK3614" s="77"/>
      <c r="AL3614" s="77"/>
      <c r="AM3614" s="77"/>
      <c r="AN3614" s="77"/>
      <c r="AO3614" s="77"/>
      <c r="AP3614" s="77"/>
      <c r="AQ3614" s="77"/>
      <c r="AR3614" s="77"/>
      <c r="AS3614" s="77"/>
      <c r="AT3614" s="77"/>
      <c r="AU3614" s="77"/>
      <c r="AV3614" s="80" t="str">
        <f>HYPERLINK("https://pbs.twimg.com/profile_images/1241147984924082183/gZgx_hL-_normal.jpg")</f>
        <v>https://pbs.twimg.com/profile_images/1241147984924082183/gZgx_hL-_normal.jpg</v>
      </c>
      <c r="AW3614" s="82" t="s">
        <v>15210</v>
      </c>
      <c r="AX3614" s="82" t="s">
        <v>15210</v>
      </c>
      <c r="AY3614" s="77"/>
      <c r="AZ3614" s="82" t="s">
        <v>15984</v>
      </c>
      <c r="BA3614" s="82" t="s">
        <v>15984</v>
      </c>
      <c r="BB3614" s="82" t="s">
        <v>15984</v>
      </c>
      <c r="BC3614" s="82" t="s">
        <v>15210</v>
      </c>
      <c r="BD3614" s="82" t="s">
        <v>15979</v>
      </c>
      <c r="BE3614" s="77"/>
      <c r="BF3614" s="77"/>
      <c r="BG3614" s="77"/>
      <c r="BH3614" s="77"/>
      <c r="BI3614" s="77"/>
    </row>
    <row r="3615" spans="1:61" x14ac:dyDescent="0.25">
      <c r="A3615" s="62" t="s">
        <v>387</v>
      </c>
      <c r="B3615" s="62" t="s">
        <v>387</v>
      </c>
      <c r="C3615" s="63"/>
      <c r="D3615" s="64"/>
      <c r="E3615" s="65"/>
      <c r="F3615" s="66"/>
      <c r="G3615" s="63"/>
      <c r="H3615" s="67"/>
      <c r="I3615" s="68"/>
      <c r="J3615" s="68"/>
      <c r="K3615" s="32"/>
      <c r="L3615" s="75">
        <v>3615</v>
      </c>
      <c r="M3615" s="75"/>
      <c r="N3615" s="70"/>
      <c r="O3615" s="77" t="s">
        <v>179</v>
      </c>
      <c r="P3615" s="79">
        <v>45194.770833333336</v>
      </c>
      <c r="Q3615" s="77" t="s">
        <v>4285</v>
      </c>
      <c r="R3615" s="77">
        <v>0</v>
      </c>
      <c r="S3615" s="77">
        <v>0</v>
      </c>
      <c r="T3615" s="77">
        <v>0</v>
      </c>
      <c r="U3615" s="77">
        <v>0</v>
      </c>
      <c r="V3615" s="77">
        <v>409</v>
      </c>
      <c r="W3615" s="82" t="s">
        <v>4833</v>
      </c>
      <c r="X3615" s="80" t="str">
        <f>HYPERLINK("https://einvestidor.estadao.com.br/comportamento/iene-japao-moeda-brasil/?utm_source=twitter&amp;utm_medium=organic&amp;utm_campaign=&amp;utm_content=materia")</f>
        <v>https://einvestidor.estadao.com.br/comportamento/iene-japao-moeda-brasil/?utm_source=twitter&amp;utm_medium=organic&amp;utm_campaign=&amp;utm_content=materia</v>
      </c>
      <c r="Y3615" s="77" t="s">
        <v>6470</v>
      </c>
      <c r="Z3615" s="77"/>
      <c r="AA3615" s="77"/>
      <c r="AB3615" s="77"/>
      <c r="AC3615" s="82" t="s">
        <v>7750</v>
      </c>
      <c r="AD3615" s="77" t="s">
        <v>7788</v>
      </c>
      <c r="AE3615" s="80" t="str">
        <f>HYPERLINK("https://twitter.com/einvestidor/status/1706375514343031043")</f>
        <v>https://twitter.com/einvestidor/status/1706375514343031043</v>
      </c>
      <c r="AF3615" s="79">
        <v>45194.770833333336</v>
      </c>
      <c r="AG3615" s="85">
        <v>45194</v>
      </c>
      <c r="AH3615" s="82" t="s">
        <v>7930</v>
      </c>
      <c r="AI3615" s="77" t="b">
        <v>0</v>
      </c>
      <c r="AJ3615" s="77"/>
      <c r="AK3615" s="77"/>
      <c r="AL3615" s="77"/>
      <c r="AM3615" s="77"/>
      <c r="AN3615" s="77"/>
      <c r="AO3615" s="77"/>
      <c r="AP3615" s="77"/>
      <c r="AQ3615" s="77"/>
      <c r="AR3615" s="77"/>
      <c r="AS3615" s="77"/>
      <c r="AT3615" s="77"/>
      <c r="AU3615" s="77"/>
      <c r="AV3615" s="80" t="str">
        <f>HYPERLINK("https://pbs.twimg.com/profile_images/1241147984924082183/gZgx_hL-_normal.jpg")</f>
        <v>https://pbs.twimg.com/profile_images/1241147984924082183/gZgx_hL-_normal.jpg</v>
      </c>
      <c r="AW3615" s="82" t="s">
        <v>15211</v>
      </c>
      <c r="AX3615" s="82" t="s">
        <v>15211</v>
      </c>
      <c r="AY3615" s="77"/>
      <c r="AZ3615" s="82" t="s">
        <v>15984</v>
      </c>
      <c r="BA3615" s="82" t="s">
        <v>15984</v>
      </c>
      <c r="BB3615" s="82" t="s">
        <v>15984</v>
      </c>
      <c r="BC3615" s="82" t="s">
        <v>15211</v>
      </c>
      <c r="BD3615" s="82" t="s">
        <v>15979</v>
      </c>
      <c r="BE3615" s="77"/>
      <c r="BF3615" s="77"/>
      <c r="BG3615" s="77"/>
      <c r="BH3615" s="77"/>
      <c r="BI3615" s="77"/>
    </row>
    <row r="3616" spans="1:61" x14ac:dyDescent="0.25">
      <c r="A3616" s="62" t="s">
        <v>387</v>
      </c>
      <c r="B3616" s="62" t="s">
        <v>387</v>
      </c>
      <c r="C3616" s="63"/>
      <c r="D3616" s="64"/>
      <c r="E3616" s="65"/>
      <c r="F3616" s="66"/>
      <c r="G3616" s="63"/>
      <c r="H3616" s="67"/>
      <c r="I3616" s="68"/>
      <c r="J3616" s="68"/>
      <c r="K3616" s="32"/>
      <c r="L3616" s="75">
        <v>3616</v>
      </c>
      <c r="M3616" s="75"/>
      <c r="N3616" s="70"/>
      <c r="O3616" s="77" t="s">
        <v>179</v>
      </c>
      <c r="P3616" s="79">
        <v>45194.72351851852</v>
      </c>
      <c r="Q3616" s="77" t="s">
        <v>4286</v>
      </c>
      <c r="R3616" s="77">
        <v>1</v>
      </c>
      <c r="S3616" s="77">
        <v>1</v>
      </c>
      <c r="T3616" s="77">
        <v>0</v>
      </c>
      <c r="U3616" s="77">
        <v>0</v>
      </c>
      <c r="V3616" s="77">
        <v>737</v>
      </c>
      <c r="W3616" s="82" t="s">
        <v>6353</v>
      </c>
      <c r="X3616" s="80" t="str">
        <f>HYPERLINK("https://einvestidor.estadao.com.br/mercado/mercado-intraday-25-09-2023/?utm_source=twitter&amp;utm_medium=organic&amp;utm_campaign=&amp;utm_content=materia")</f>
        <v>https://einvestidor.estadao.com.br/mercado/mercado-intraday-25-09-2023/?utm_source=twitter&amp;utm_medium=organic&amp;utm_campaign=&amp;utm_content=materia</v>
      </c>
      <c r="Y3616" s="77" t="s">
        <v>6470</v>
      </c>
      <c r="Z3616" s="77"/>
      <c r="AA3616" s="77"/>
      <c r="AB3616" s="77"/>
      <c r="AC3616" s="82" t="s">
        <v>7750</v>
      </c>
      <c r="AD3616" s="77" t="s">
        <v>7788</v>
      </c>
      <c r="AE3616" s="80" t="str">
        <f>HYPERLINK("https://twitter.com/einvestidor/status/1706358369743757480")</f>
        <v>https://twitter.com/einvestidor/status/1706358369743757480</v>
      </c>
      <c r="AF3616" s="79">
        <v>45194.72351851852</v>
      </c>
      <c r="AG3616" s="85">
        <v>45194</v>
      </c>
      <c r="AH3616" s="82" t="s">
        <v>9950</v>
      </c>
      <c r="AI3616" s="77" t="b">
        <v>0</v>
      </c>
      <c r="AJ3616" s="77"/>
      <c r="AK3616" s="77"/>
      <c r="AL3616" s="77"/>
      <c r="AM3616" s="77"/>
      <c r="AN3616" s="77"/>
      <c r="AO3616" s="77"/>
      <c r="AP3616" s="77"/>
      <c r="AQ3616" s="77"/>
      <c r="AR3616" s="77"/>
      <c r="AS3616" s="77"/>
      <c r="AT3616" s="77"/>
      <c r="AU3616" s="77"/>
      <c r="AV3616" s="80" t="str">
        <f>HYPERLINK("https://pbs.twimg.com/profile_images/1241147984924082183/gZgx_hL-_normal.jpg")</f>
        <v>https://pbs.twimg.com/profile_images/1241147984924082183/gZgx_hL-_normal.jpg</v>
      </c>
      <c r="AW3616" s="82" t="s">
        <v>15212</v>
      </c>
      <c r="AX3616" s="82" t="s">
        <v>15212</v>
      </c>
      <c r="AY3616" s="77"/>
      <c r="AZ3616" s="82" t="s">
        <v>15984</v>
      </c>
      <c r="BA3616" s="82" t="s">
        <v>15984</v>
      </c>
      <c r="BB3616" s="82" t="s">
        <v>15984</v>
      </c>
      <c r="BC3616" s="82" t="s">
        <v>15212</v>
      </c>
      <c r="BD3616" s="82" t="s">
        <v>15979</v>
      </c>
      <c r="BE3616" s="77"/>
      <c r="BF3616" s="77"/>
      <c r="BG3616" s="77"/>
      <c r="BH3616" s="77"/>
      <c r="BI3616" s="77"/>
    </row>
    <row r="3617" spans="1:61" x14ac:dyDescent="0.25">
      <c r="A3617" s="62" t="s">
        <v>387</v>
      </c>
      <c r="B3617" s="62" t="s">
        <v>387</v>
      </c>
      <c r="C3617" s="63"/>
      <c r="D3617" s="64"/>
      <c r="E3617" s="65"/>
      <c r="F3617" s="66"/>
      <c r="G3617" s="63"/>
      <c r="H3617" s="67"/>
      <c r="I3617" s="68"/>
      <c r="J3617" s="68"/>
      <c r="K3617" s="32"/>
      <c r="L3617" s="75">
        <v>3617</v>
      </c>
      <c r="M3617" s="75"/>
      <c r="N3617" s="70"/>
      <c r="O3617" s="77" t="s">
        <v>179</v>
      </c>
      <c r="P3617" s="79">
        <v>45191.9375</v>
      </c>
      <c r="Q3617" s="77" t="s">
        <v>4287</v>
      </c>
      <c r="R3617" s="77">
        <v>0</v>
      </c>
      <c r="S3617" s="77">
        <v>0</v>
      </c>
      <c r="T3617" s="77">
        <v>0</v>
      </c>
      <c r="U3617" s="77">
        <v>0</v>
      </c>
      <c r="V3617" s="77">
        <v>616</v>
      </c>
      <c r="W3617" s="82" t="s">
        <v>6354</v>
      </c>
      <c r="X3617" s="80" t="str">
        <f>HYPERLINK("https://einvestidor.estadao.com.br/mercado/irb-irbr3-acoes-registram-maior-alta-do-ano/?utm_source=twitter&amp;utm_medium=organic&amp;utm_campaign=&amp;utm_content=materia")</f>
        <v>https://einvestidor.estadao.com.br/mercado/irb-irbr3-acoes-registram-maior-alta-do-ano/?utm_source=twitter&amp;utm_medium=organic&amp;utm_campaign=&amp;utm_content=materia</v>
      </c>
      <c r="Y3617" s="77" t="s">
        <v>6470</v>
      </c>
      <c r="Z3617" s="77"/>
      <c r="AA3617" s="77" t="s">
        <v>7686</v>
      </c>
      <c r="AB3617" s="77" t="s">
        <v>7742</v>
      </c>
      <c r="AC3617" s="82" t="s">
        <v>7750</v>
      </c>
      <c r="AD3617" s="77" t="s">
        <v>7788</v>
      </c>
      <c r="AE3617" s="80" t="str">
        <f>HYPERLINK("https://twitter.com/einvestidor/status/1705348750871335066")</f>
        <v>https://twitter.com/einvestidor/status/1705348750871335066</v>
      </c>
      <c r="AF3617" s="79">
        <v>45191.9375</v>
      </c>
      <c r="AG3617" s="85">
        <v>45191</v>
      </c>
      <c r="AH3617" s="82" t="s">
        <v>7926</v>
      </c>
      <c r="AI3617" s="77" t="b">
        <v>0</v>
      </c>
      <c r="AJ3617" s="77"/>
      <c r="AK3617" s="77"/>
      <c r="AL3617" s="77"/>
      <c r="AM3617" s="77"/>
      <c r="AN3617" s="77"/>
      <c r="AO3617" s="77"/>
      <c r="AP3617" s="77"/>
      <c r="AQ3617" s="77" t="s">
        <v>11658</v>
      </c>
      <c r="AR3617" s="77"/>
      <c r="AS3617" s="77"/>
      <c r="AT3617" s="77"/>
      <c r="AU3617" s="77"/>
      <c r="AV3617" s="80" t="str">
        <f>HYPERLINK("https://pbs.twimg.com/media/F6qQMQdW4AENoZi.jpg")</f>
        <v>https://pbs.twimg.com/media/F6qQMQdW4AENoZi.jpg</v>
      </c>
      <c r="AW3617" s="82" t="s">
        <v>15213</v>
      </c>
      <c r="AX3617" s="82" t="s">
        <v>15213</v>
      </c>
      <c r="AY3617" s="77"/>
      <c r="AZ3617" s="82" t="s">
        <v>15984</v>
      </c>
      <c r="BA3617" s="82" t="s">
        <v>15984</v>
      </c>
      <c r="BB3617" s="82" t="s">
        <v>15984</v>
      </c>
      <c r="BC3617" s="82" t="s">
        <v>15213</v>
      </c>
      <c r="BD3617" s="82" t="s">
        <v>15979</v>
      </c>
      <c r="BE3617" s="77"/>
      <c r="BF3617" s="77"/>
      <c r="BG3617" s="77"/>
      <c r="BH3617" s="77"/>
      <c r="BI3617" s="77"/>
    </row>
    <row r="3618" spans="1:61" x14ac:dyDescent="0.25">
      <c r="A3618" s="62" t="s">
        <v>387</v>
      </c>
      <c r="B3618" s="62" t="s">
        <v>387</v>
      </c>
      <c r="C3618" s="63"/>
      <c r="D3618" s="64"/>
      <c r="E3618" s="65"/>
      <c r="F3618" s="66"/>
      <c r="G3618" s="63"/>
      <c r="H3618" s="67"/>
      <c r="I3618" s="68"/>
      <c r="J3618" s="68"/>
      <c r="K3618" s="32"/>
      <c r="L3618" s="75">
        <v>3618</v>
      </c>
      <c r="M3618" s="75"/>
      <c r="N3618" s="70"/>
      <c r="O3618" s="77" t="s">
        <v>179</v>
      </c>
      <c r="P3618" s="79">
        <v>45191.927083333336</v>
      </c>
      <c r="Q3618" s="77" t="s">
        <v>4288</v>
      </c>
      <c r="R3618" s="77">
        <v>0</v>
      </c>
      <c r="S3618" s="77">
        <v>0</v>
      </c>
      <c r="T3618" s="77">
        <v>0</v>
      </c>
      <c r="U3618" s="77">
        <v>0</v>
      </c>
      <c r="V3618" s="77">
        <v>600</v>
      </c>
      <c r="W3618" s="82" t="s">
        <v>6355</v>
      </c>
      <c r="X3618" s="80" t="str">
        <f>HYPERLINK("https://einvestidor.estadao.com.br/colunas/carol-paiffer/copom-corta-taxa-juros-onde-investir/?utm_source=twitter&amp;utm_medium=organic&amp;utm_campaign=&amp;utm_content=materia")</f>
        <v>https://einvestidor.estadao.com.br/colunas/carol-paiffer/copom-corta-taxa-juros-onde-investir/?utm_source=twitter&amp;utm_medium=organic&amp;utm_campaign=&amp;utm_content=materia</v>
      </c>
      <c r="Y3618" s="77" t="s">
        <v>6470</v>
      </c>
      <c r="Z3618" s="77"/>
      <c r="AA3618" s="77" t="s">
        <v>7687</v>
      </c>
      <c r="AB3618" s="77" t="s">
        <v>7742</v>
      </c>
      <c r="AC3618" s="82" t="s">
        <v>7750</v>
      </c>
      <c r="AD3618" s="77" t="s">
        <v>7788</v>
      </c>
      <c r="AE3618" s="80" t="str">
        <f>HYPERLINK("https://twitter.com/einvestidor/status/1705344974353842405")</f>
        <v>https://twitter.com/einvestidor/status/1705344974353842405</v>
      </c>
      <c r="AF3618" s="79">
        <v>45191.927083333336</v>
      </c>
      <c r="AG3618" s="85">
        <v>45191</v>
      </c>
      <c r="AH3618" s="82" t="s">
        <v>9576</v>
      </c>
      <c r="AI3618" s="77" t="b">
        <v>0</v>
      </c>
      <c r="AJ3618" s="77"/>
      <c r="AK3618" s="77"/>
      <c r="AL3618" s="77"/>
      <c r="AM3618" s="77"/>
      <c r="AN3618" s="77"/>
      <c r="AO3618" s="77"/>
      <c r="AP3618" s="77"/>
      <c r="AQ3618" s="77" t="s">
        <v>11659</v>
      </c>
      <c r="AR3618" s="77"/>
      <c r="AS3618" s="77"/>
      <c r="AT3618" s="77"/>
      <c r="AU3618" s="77"/>
      <c r="AV3618" s="80" t="str">
        <f>HYPERLINK("https://pbs.twimg.com/media/F6qMX-1WEAE0WKv.jpg")</f>
        <v>https://pbs.twimg.com/media/F6qMX-1WEAE0WKv.jpg</v>
      </c>
      <c r="AW3618" s="82" t="s">
        <v>15214</v>
      </c>
      <c r="AX3618" s="82" t="s">
        <v>15214</v>
      </c>
      <c r="AY3618" s="77"/>
      <c r="AZ3618" s="82" t="s">
        <v>15984</v>
      </c>
      <c r="BA3618" s="82" t="s">
        <v>15984</v>
      </c>
      <c r="BB3618" s="82" t="s">
        <v>15984</v>
      </c>
      <c r="BC3618" s="82" t="s">
        <v>15214</v>
      </c>
      <c r="BD3618" s="82" t="s">
        <v>15979</v>
      </c>
      <c r="BE3618" s="77"/>
      <c r="BF3618" s="77"/>
      <c r="BG3618" s="77"/>
      <c r="BH3618" s="77"/>
      <c r="BI3618" s="77"/>
    </row>
    <row r="3619" spans="1:61" x14ac:dyDescent="0.25">
      <c r="A3619" s="62" t="s">
        <v>387</v>
      </c>
      <c r="B3619" s="62" t="s">
        <v>387</v>
      </c>
      <c r="C3619" s="63"/>
      <c r="D3619" s="64"/>
      <c r="E3619" s="65"/>
      <c r="F3619" s="66"/>
      <c r="G3619" s="63"/>
      <c r="H3619" s="67"/>
      <c r="I3619" s="68"/>
      <c r="J3619" s="68"/>
      <c r="K3619" s="32"/>
      <c r="L3619" s="75">
        <v>3619</v>
      </c>
      <c r="M3619" s="75"/>
      <c r="N3619" s="70"/>
      <c r="O3619" s="77" t="s">
        <v>179</v>
      </c>
      <c r="P3619" s="79">
        <v>45191.916666666664</v>
      </c>
      <c r="Q3619" s="77" t="s">
        <v>4289</v>
      </c>
      <c r="R3619" s="77">
        <v>0</v>
      </c>
      <c r="S3619" s="77">
        <v>2</v>
      </c>
      <c r="T3619" s="77">
        <v>0</v>
      </c>
      <c r="U3619" s="77">
        <v>0</v>
      </c>
      <c r="V3619" s="77">
        <v>573</v>
      </c>
      <c r="W3619" s="82" t="s">
        <v>6356</v>
      </c>
      <c r="X3619" s="80" t="str">
        <f>HYPERLINK("https://einvestidor.estadao.com.br/radar-einvestidor/b3-b3sa3-reajuste-dividendos-segundo-trimestre/?utm_source=twitter&amp;utm_medium=organic&amp;utm_campaign=&amp;utm_content=materia")</f>
        <v>https://einvestidor.estadao.com.br/radar-einvestidor/b3-b3sa3-reajuste-dividendos-segundo-trimestre/?utm_source=twitter&amp;utm_medium=organic&amp;utm_campaign=&amp;utm_content=materia</v>
      </c>
      <c r="Y3619" s="77" t="s">
        <v>6470</v>
      </c>
      <c r="Z3619" s="77"/>
      <c r="AA3619" s="77"/>
      <c r="AB3619" s="77"/>
      <c r="AC3619" s="82" t="s">
        <v>7750</v>
      </c>
      <c r="AD3619" s="77" t="s">
        <v>7788</v>
      </c>
      <c r="AE3619" s="80" t="str">
        <f>HYPERLINK("https://twitter.com/einvestidor/status/1705341200125878646")</f>
        <v>https://twitter.com/einvestidor/status/1705341200125878646</v>
      </c>
      <c r="AF3619" s="79">
        <v>45191.916666666664</v>
      </c>
      <c r="AG3619" s="85">
        <v>45191</v>
      </c>
      <c r="AH3619" s="82" t="s">
        <v>9577</v>
      </c>
      <c r="AI3619" s="77" t="b">
        <v>0</v>
      </c>
      <c r="AJ3619" s="77"/>
      <c r="AK3619" s="77"/>
      <c r="AL3619" s="77"/>
      <c r="AM3619" s="77"/>
      <c r="AN3619" s="77"/>
      <c r="AO3619" s="77"/>
      <c r="AP3619" s="77"/>
      <c r="AQ3619" s="77"/>
      <c r="AR3619" s="77"/>
      <c r="AS3619" s="77"/>
      <c r="AT3619" s="77"/>
      <c r="AU3619" s="77"/>
      <c r="AV3619" s="80" t="str">
        <f>HYPERLINK("https://pbs.twimg.com/profile_images/1241147984924082183/gZgx_hL-_normal.jpg")</f>
        <v>https://pbs.twimg.com/profile_images/1241147984924082183/gZgx_hL-_normal.jpg</v>
      </c>
      <c r="AW3619" s="82" t="s">
        <v>15215</v>
      </c>
      <c r="AX3619" s="82" t="s">
        <v>15215</v>
      </c>
      <c r="AY3619" s="77"/>
      <c r="AZ3619" s="82" t="s">
        <v>15984</v>
      </c>
      <c r="BA3619" s="82" t="s">
        <v>15984</v>
      </c>
      <c r="BB3619" s="82" t="s">
        <v>15984</v>
      </c>
      <c r="BC3619" s="82" t="s">
        <v>15215</v>
      </c>
      <c r="BD3619" s="82" t="s">
        <v>15979</v>
      </c>
      <c r="BE3619" s="77"/>
      <c r="BF3619" s="77"/>
      <c r="BG3619" s="77"/>
      <c r="BH3619" s="77"/>
      <c r="BI3619" s="77"/>
    </row>
    <row r="3620" spans="1:61" x14ac:dyDescent="0.25">
      <c r="A3620" s="62" t="s">
        <v>387</v>
      </c>
      <c r="B3620" s="62" t="s">
        <v>387</v>
      </c>
      <c r="C3620" s="63"/>
      <c r="D3620" s="64"/>
      <c r="E3620" s="65"/>
      <c r="F3620" s="66"/>
      <c r="G3620" s="63"/>
      <c r="H3620" s="67"/>
      <c r="I3620" s="68"/>
      <c r="J3620" s="68"/>
      <c r="K3620" s="32"/>
      <c r="L3620" s="75">
        <v>3620</v>
      </c>
      <c r="M3620" s="75"/>
      <c r="N3620" s="70"/>
      <c r="O3620" s="77" t="s">
        <v>179</v>
      </c>
      <c r="P3620" s="79">
        <v>45191.907951388886</v>
      </c>
      <c r="Q3620" s="77" t="s">
        <v>4290</v>
      </c>
      <c r="R3620" s="77">
        <v>0</v>
      </c>
      <c r="S3620" s="77">
        <v>0</v>
      </c>
      <c r="T3620" s="77">
        <v>0</v>
      </c>
      <c r="U3620" s="77">
        <v>0</v>
      </c>
      <c r="V3620" s="77">
        <v>471</v>
      </c>
      <c r="W3620" s="82" t="s">
        <v>4833</v>
      </c>
      <c r="X3620" s="80" t="str">
        <f>HYPERLINK("https://einvestidor.estadao.com.br/mercado/fechamento-de-mercado-22-09-2023/?utm_source=twitter&amp;utm_medium=organic&amp;utm_campaign=&amp;utm_content=materia")</f>
        <v>https://einvestidor.estadao.com.br/mercado/fechamento-de-mercado-22-09-2023/?utm_source=twitter&amp;utm_medium=organic&amp;utm_campaign=&amp;utm_content=materia</v>
      </c>
      <c r="Y3620" s="77" t="s">
        <v>6470</v>
      </c>
      <c r="Z3620" s="77"/>
      <c r="AA3620" s="77"/>
      <c r="AB3620" s="77"/>
      <c r="AC3620" s="82" t="s">
        <v>7750</v>
      </c>
      <c r="AD3620" s="77" t="s">
        <v>7788</v>
      </c>
      <c r="AE3620" s="80" t="str">
        <f>HYPERLINK("https://twitter.com/einvestidor/status/1705338043412963668")</f>
        <v>https://twitter.com/einvestidor/status/1705338043412963668</v>
      </c>
      <c r="AF3620" s="79">
        <v>45191.907951388886</v>
      </c>
      <c r="AG3620" s="85">
        <v>45191</v>
      </c>
      <c r="AH3620" s="82" t="s">
        <v>10098</v>
      </c>
      <c r="AI3620" s="77" t="b">
        <v>0</v>
      </c>
      <c r="AJ3620" s="77"/>
      <c r="AK3620" s="77"/>
      <c r="AL3620" s="77"/>
      <c r="AM3620" s="77"/>
      <c r="AN3620" s="77"/>
      <c r="AO3620" s="77"/>
      <c r="AP3620" s="77"/>
      <c r="AQ3620" s="77"/>
      <c r="AR3620" s="77"/>
      <c r="AS3620" s="77"/>
      <c r="AT3620" s="77"/>
      <c r="AU3620" s="77"/>
      <c r="AV3620" s="80" t="str">
        <f>HYPERLINK("https://pbs.twimg.com/profile_images/1241147984924082183/gZgx_hL-_normal.jpg")</f>
        <v>https://pbs.twimg.com/profile_images/1241147984924082183/gZgx_hL-_normal.jpg</v>
      </c>
      <c r="AW3620" s="82" t="s">
        <v>15216</v>
      </c>
      <c r="AX3620" s="82" t="s">
        <v>15216</v>
      </c>
      <c r="AY3620" s="77"/>
      <c r="AZ3620" s="82" t="s">
        <v>15984</v>
      </c>
      <c r="BA3620" s="82" t="s">
        <v>15984</v>
      </c>
      <c r="BB3620" s="82" t="s">
        <v>15984</v>
      </c>
      <c r="BC3620" s="82" t="s">
        <v>15216</v>
      </c>
      <c r="BD3620" s="82" t="s">
        <v>15979</v>
      </c>
      <c r="BE3620" s="77"/>
      <c r="BF3620" s="77"/>
      <c r="BG3620" s="77"/>
      <c r="BH3620" s="77"/>
      <c r="BI3620" s="77"/>
    </row>
    <row r="3621" spans="1:61" x14ac:dyDescent="0.25">
      <c r="A3621" s="62" t="s">
        <v>387</v>
      </c>
      <c r="B3621" s="62" t="s">
        <v>387</v>
      </c>
      <c r="C3621" s="63"/>
      <c r="D3621" s="64"/>
      <c r="E3621" s="65"/>
      <c r="F3621" s="66"/>
      <c r="G3621" s="63"/>
      <c r="H3621" s="67"/>
      <c r="I3621" s="68"/>
      <c r="J3621" s="68"/>
      <c r="K3621" s="32"/>
      <c r="L3621" s="75">
        <v>3621</v>
      </c>
      <c r="M3621" s="75"/>
      <c r="N3621" s="70"/>
      <c r="O3621" s="77" t="s">
        <v>179</v>
      </c>
      <c r="P3621" s="79">
        <v>45191.90625</v>
      </c>
      <c r="Q3621" s="77" t="s">
        <v>4291</v>
      </c>
      <c r="R3621" s="77">
        <v>0</v>
      </c>
      <c r="S3621" s="77">
        <v>0</v>
      </c>
      <c r="T3621" s="77">
        <v>0</v>
      </c>
      <c r="U3621" s="77">
        <v>0</v>
      </c>
      <c r="V3621" s="77">
        <v>465</v>
      </c>
      <c r="W3621" s="82" t="s">
        <v>6357</v>
      </c>
      <c r="X3621" s="80" t="str">
        <f>HYPERLINK("https://einvestidor.estadao.com.br/noticias/csu-digital-csud3-jcp-r7-milhoes/?utm_source=twitter&amp;utm_medium=organic&amp;utm_campaign=&amp;utm_content=materia")</f>
        <v>https://einvestidor.estadao.com.br/noticias/csu-digital-csud3-jcp-r7-milhoes/?utm_source=twitter&amp;utm_medium=organic&amp;utm_campaign=&amp;utm_content=materia</v>
      </c>
      <c r="Y3621" s="77" t="s">
        <v>6470</v>
      </c>
      <c r="Z3621" s="77"/>
      <c r="AA3621" s="77" t="s">
        <v>7688</v>
      </c>
      <c r="AB3621" s="77" t="s">
        <v>7742</v>
      </c>
      <c r="AC3621" s="82" t="s">
        <v>7750</v>
      </c>
      <c r="AD3621" s="77" t="s">
        <v>7788</v>
      </c>
      <c r="AE3621" s="80" t="str">
        <f>HYPERLINK("https://twitter.com/einvestidor/status/1705337424518468091")</f>
        <v>https://twitter.com/einvestidor/status/1705337424518468091</v>
      </c>
      <c r="AF3621" s="79">
        <v>45191.90625</v>
      </c>
      <c r="AG3621" s="85">
        <v>45191</v>
      </c>
      <c r="AH3621" s="82" t="s">
        <v>9578</v>
      </c>
      <c r="AI3621" s="77" t="b">
        <v>0</v>
      </c>
      <c r="AJ3621" s="77"/>
      <c r="AK3621" s="77"/>
      <c r="AL3621" s="77"/>
      <c r="AM3621" s="77"/>
      <c r="AN3621" s="77"/>
      <c r="AO3621" s="77"/>
      <c r="AP3621" s="77"/>
      <c r="AQ3621" s="77" t="s">
        <v>11660</v>
      </c>
      <c r="AR3621" s="77"/>
      <c r="AS3621" s="77"/>
      <c r="AT3621" s="77"/>
      <c r="AU3621" s="77"/>
      <c r="AV3621" s="80" t="str">
        <f>HYPERLINK("https://pbs.twimg.com/media/F6qLUkFWwAAWbgI.jpg")</f>
        <v>https://pbs.twimg.com/media/F6qLUkFWwAAWbgI.jpg</v>
      </c>
      <c r="AW3621" s="82" t="s">
        <v>15217</v>
      </c>
      <c r="AX3621" s="82" t="s">
        <v>15217</v>
      </c>
      <c r="AY3621" s="77"/>
      <c r="AZ3621" s="82" t="s">
        <v>15984</v>
      </c>
      <c r="BA3621" s="82" t="s">
        <v>15984</v>
      </c>
      <c r="BB3621" s="82" t="s">
        <v>15984</v>
      </c>
      <c r="BC3621" s="82" t="s">
        <v>15217</v>
      </c>
      <c r="BD3621" s="82" t="s">
        <v>15979</v>
      </c>
      <c r="BE3621" s="77"/>
      <c r="BF3621" s="77"/>
      <c r="BG3621" s="77"/>
      <c r="BH3621" s="77"/>
      <c r="BI3621" s="77"/>
    </row>
    <row r="3622" spans="1:61" x14ac:dyDescent="0.25">
      <c r="A3622" s="62" t="s">
        <v>387</v>
      </c>
      <c r="B3622" s="62" t="s">
        <v>387</v>
      </c>
      <c r="C3622" s="63"/>
      <c r="D3622" s="64"/>
      <c r="E3622" s="65"/>
      <c r="F3622" s="66"/>
      <c r="G3622" s="63"/>
      <c r="H3622" s="67"/>
      <c r="I3622" s="68"/>
      <c r="J3622" s="68"/>
      <c r="K3622" s="32"/>
      <c r="L3622" s="75">
        <v>3622</v>
      </c>
      <c r="M3622" s="75"/>
      <c r="N3622" s="70"/>
      <c r="O3622" s="77" t="s">
        <v>179</v>
      </c>
      <c r="P3622" s="79">
        <v>45191.895833333336</v>
      </c>
      <c r="Q3622" s="77" t="s">
        <v>4292</v>
      </c>
      <c r="R3622" s="77">
        <v>0</v>
      </c>
      <c r="S3622" s="77">
        <v>0</v>
      </c>
      <c r="T3622" s="77">
        <v>0</v>
      </c>
      <c r="U3622" s="77">
        <v>0</v>
      </c>
      <c r="V3622" s="77">
        <v>491</v>
      </c>
      <c r="W3622" s="82" t="s">
        <v>6358</v>
      </c>
      <c r="X3622" s="80" t="str">
        <f>HYPERLINK("https://einvestidor.estadao.com.br/radar-einvestidor/mills-mils3-jcp-milionario-veja-data-corte/?utm_source=twitter&amp;utm_medium=organic&amp;utm_campaign=&amp;utm_content=materia")</f>
        <v>https://einvestidor.estadao.com.br/radar-einvestidor/mills-mils3-jcp-milionario-veja-data-corte/?utm_source=twitter&amp;utm_medium=organic&amp;utm_campaign=&amp;utm_content=materia</v>
      </c>
      <c r="Y3622" s="77" t="s">
        <v>6470</v>
      </c>
      <c r="Z3622" s="77"/>
      <c r="AA3622" s="77"/>
      <c r="AB3622" s="77"/>
      <c r="AC3622" s="82" t="s">
        <v>7750</v>
      </c>
      <c r="AD3622" s="77" t="s">
        <v>7788</v>
      </c>
      <c r="AE3622" s="80" t="str">
        <f>HYPERLINK("https://twitter.com/einvestidor/status/1705333651003580500")</f>
        <v>https://twitter.com/einvestidor/status/1705333651003580500</v>
      </c>
      <c r="AF3622" s="79">
        <v>45191.895833333336</v>
      </c>
      <c r="AG3622" s="85">
        <v>45191</v>
      </c>
      <c r="AH3622" s="82" t="s">
        <v>8089</v>
      </c>
      <c r="AI3622" s="77" t="b">
        <v>0</v>
      </c>
      <c r="AJ3622" s="77"/>
      <c r="AK3622" s="77"/>
      <c r="AL3622" s="77"/>
      <c r="AM3622" s="77"/>
      <c r="AN3622" s="77"/>
      <c r="AO3622" s="77"/>
      <c r="AP3622" s="77"/>
      <c r="AQ3622" s="77"/>
      <c r="AR3622" s="77"/>
      <c r="AS3622" s="77"/>
      <c r="AT3622" s="77"/>
      <c r="AU3622" s="77"/>
      <c r="AV3622" s="80" t="str">
        <f>HYPERLINK("https://pbs.twimg.com/profile_images/1241147984924082183/gZgx_hL-_normal.jpg")</f>
        <v>https://pbs.twimg.com/profile_images/1241147984924082183/gZgx_hL-_normal.jpg</v>
      </c>
      <c r="AW3622" s="82" t="s">
        <v>15218</v>
      </c>
      <c r="AX3622" s="82" t="s">
        <v>15218</v>
      </c>
      <c r="AY3622" s="77"/>
      <c r="AZ3622" s="82" t="s">
        <v>15984</v>
      </c>
      <c r="BA3622" s="82" t="s">
        <v>15984</v>
      </c>
      <c r="BB3622" s="82" t="s">
        <v>15984</v>
      </c>
      <c r="BC3622" s="82" t="s">
        <v>15218</v>
      </c>
      <c r="BD3622" s="82" t="s">
        <v>15979</v>
      </c>
      <c r="BE3622" s="77"/>
      <c r="BF3622" s="77"/>
      <c r="BG3622" s="77"/>
      <c r="BH3622" s="77"/>
      <c r="BI3622" s="77"/>
    </row>
    <row r="3623" spans="1:61" x14ac:dyDescent="0.25">
      <c r="A3623" s="62" t="s">
        <v>387</v>
      </c>
      <c r="B3623" s="62" t="s">
        <v>387</v>
      </c>
      <c r="C3623" s="63"/>
      <c r="D3623" s="64"/>
      <c r="E3623" s="65"/>
      <c r="F3623" s="66"/>
      <c r="G3623" s="63"/>
      <c r="H3623" s="67"/>
      <c r="I3623" s="68"/>
      <c r="J3623" s="68"/>
      <c r="K3623" s="32"/>
      <c r="L3623" s="75">
        <v>3623</v>
      </c>
      <c r="M3623" s="75"/>
      <c r="N3623" s="70"/>
      <c r="O3623" s="77" t="s">
        <v>179</v>
      </c>
      <c r="P3623" s="79">
        <v>45191.894849537035</v>
      </c>
      <c r="Q3623" s="77" t="s">
        <v>4293</v>
      </c>
      <c r="R3623" s="77">
        <v>0</v>
      </c>
      <c r="S3623" s="77">
        <v>0</v>
      </c>
      <c r="T3623" s="77">
        <v>0</v>
      </c>
      <c r="U3623" s="77">
        <v>0</v>
      </c>
      <c r="V3623" s="77">
        <v>562</v>
      </c>
      <c r="W3623" s="82" t="s">
        <v>6359</v>
      </c>
      <c r="X3623" s="80" t="str">
        <f>HYPERLINK("https://einvestidor.estadao.com.br/mercado/piores-acoes-ibovespa-semana-paodeacucar-pcra3-gruposoma-soma3-petz-petz3/?utm_source=twitter&amp;utm_medium=organic&amp;utm_campaign=&amp;utm_content=materia")</f>
        <v>https://einvestidor.estadao.com.br/mercado/piores-acoes-ibovespa-semana-paodeacucar-pcra3-gruposoma-soma3-petz-petz3/?utm_source=twitter&amp;utm_medium=organic&amp;utm_campaign=&amp;utm_content=materia</v>
      </c>
      <c r="Y3623" s="77" t="s">
        <v>6470</v>
      </c>
      <c r="Z3623" s="77"/>
      <c r="AA3623" s="77"/>
      <c r="AB3623" s="77"/>
      <c r="AC3623" s="82" t="s">
        <v>7750</v>
      </c>
      <c r="AD3623" s="77" t="s">
        <v>7788</v>
      </c>
      <c r="AE3623" s="80" t="str">
        <f>HYPERLINK("https://twitter.com/einvestidor/status/1705333292369682885")</f>
        <v>https://twitter.com/einvestidor/status/1705333292369682885</v>
      </c>
      <c r="AF3623" s="79">
        <v>45191.894849537035</v>
      </c>
      <c r="AG3623" s="85">
        <v>45191</v>
      </c>
      <c r="AH3623" s="82" t="s">
        <v>10099</v>
      </c>
      <c r="AI3623" s="77" t="b">
        <v>0</v>
      </c>
      <c r="AJ3623" s="77"/>
      <c r="AK3623" s="77"/>
      <c r="AL3623" s="77"/>
      <c r="AM3623" s="77"/>
      <c r="AN3623" s="77"/>
      <c r="AO3623" s="77"/>
      <c r="AP3623" s="77"/>
      <c r="AQ3623" s="77"/>
      <c r="AR3623" s="77"/>
      <c r="AS3623" s="77"/>
      <c r="AT3623" s="77"/>
      <c r="AU3623" s="77"/>
      <c r="AV3623" s="80" t="str">
        <f>HYPERLINK("https://pbs.twimg.com/profile_images/1241147984924082183/gZgx_hL-_normal.jpg")</f>
        <v>https://pbs.twimg.com/profile_images/1241147984924082183/gZgx_hL-_normal.jpg</v>
      </c>
      <c r="AW3623" s="82" t="s">
        <v>15219</v>
      </c>
      <c r="AX3623" s="82" t="s">
        <v>15219</v>
      </c>
      <c r="AY3623" s="77"/>
      <c r="AZ3623" s="82" t="s">
        <v>15984</v>
      </c>
      <c r="BA3623" s="82" t="s">
        <v>15984</v>
      </c>
      <c r="BB3623" s="82" t="s">
        <v>15984</v>
      </c>
      <c r="BC3623" s="82" t="s">
        <v>15219</v>
      </c>
      <c r="BD3623" s="82" t="s">
        <v>15979</v>
      </c>
      <c r="BE3623" s="77"/>
      <c r="BF3623" s="77"/>
      <c r="BG3623" s="77"/>
      <c r="BH3623" s="77"/>
      <c r="BI3623" s="77"/>
    </row>
    <row r="3624" spans="1:61" x14ac:dyDescent="0.25">
      <c r="A3624" s="62" t="s">
        <v>387</v>
      </c>
      <c r="B3624" s="62" t="s">
        <v>387</v>
      </c>
      <c r="C3624" s="63"/>
      <c r="D3624" s="64"/>
      <c r="E3624" s="65"/>
      <c r="F3624" s="66"/>
      <c r="G3624" s="63"/>
      <c r="H3624" s="67"/>
      <c r="I3624" s="68"/>
      <c r="J3624" s="68"/>
      <c r="K3624" s="32"/>
      <c r="L3624" s="75">
        <v>3624</v>
      </c>
      <c r="M3624" s="75"/>
      <c r="N3624" s="70"/>
      <c r="O3624" s="77" t="s">
        <v>179</v>
      </c>
      <c r="P3624" s="79">
        <v>45191.893946759257</v>
      </c>
      <c r="Q3624" s="77" t="s">
        <v>4294</v>
      </c>
      <c r="R3624" s="77">
        <v>0</v>
      </c>
      <c r="S3624" s="77">
        <v>0</v>
      </c>
      <c r="T3624" s="77">
        <v>0</v>
      </c>
      <c r="U3624" s="77">
        <v>0</v>
      </c>
      <c r="V3624" s="77">
        <v>514</v>
      </c>
      <c r="W3624" s="82" t="s">
        <v>6360</v>
      </c>
      <c r="X3624" s="80" t="str">
        <f>HYPERLINK("https://einvestidor.estadao.com.br/mercado/melhores-acoes-ibovespa-semana-brf-brfs3-azul-azul4-suzano-suzb3/?utm_source=twitter&amp;utm_medium=organic&amp;utm_campaign=&amp;utm_content=materia")</f>
        <v>https://einvestidor.estadao.com.br/mercado/melhores-acoes-ibovespa-semana-brf-brfs3-azul-azul4-suzano-suzb3/?utm_source=twitter&amp;utm_medium=organic&amp;utm_campaign=&amp;utm_content=materia</v>
      </c>
      <c r="Y3624" s="77" t="s">
        <v>6470</v>
      </c>
      <c r="Z3624" s="77"/>
      <c r="AA3624" s="77"/>
      <c r="AB3624" s="77"/>
      <c r="AC3624" s="82" t="s">
        <v>7750</v>
      </c>
      <c r="AD3624" s="77" t="s">
        <v>7788</v>
      </c>
      <c r="AE3624" s="80" t="str">
        <f>HYPERLINK("https://twitter.com/einvestidor/status/1705332968116351339")</f>
        <v>https://twitter.com/einvestidor/status/1705332968116351339</v>
      </c>
      <c r="AF3624" s="79">
        <v>45191.893946759257</v>
      </c>
      <c r="AG3624" s="85">
        <v>45191</v>
      </c>
      <c r="AH3624" s="82" t="s">
        <v>10100</v>
      </c>
      <c r="AI3624" s="77" t="b">
        <v>0</v>
      </c>
      <c r="AJ3624" s="77"/>
      <c r="AK3624" s="77"/>
      <c r="AL3624" s="77"/>
      <c r="AM3624" s="77"/>
      <c r="AN3624" s="77"/>
      <c r="AO3624" s="77"/>
      <c r="AP3624" s="77"/>
      <c r="AQ3624" s="77"/>
      <c r="AR3624" s="77"/>
      <c r="AS3624" s="77"/>
      <c r="AT3624" s="77"/>
      <c r="AU3624" s="77"/>
      <c r="AV3624" s="80" t="str">
        <f>HYPERLINK("https://pbs.twimg.com/profile_images/1241147984924082183/gZgx_hL-_normal.jpg")</f>
        <v>https://pbs.twimg.com/profile_images/1241147984924082183/gZgx_hL-_normal.jpg</v>
      </c>
      <c r="AW3624" s="82" t="s">
        <v>15220</v>
      </c>
      <c r="AX3624" s="82" t="s">
        <v>15220</v>
      </c>
      <c r="AY3624" s="77"/>
      <c r="AZ3624" s="82" t="s">
        <v>15984</v>
      </c>
      <c r="BA3624" s="82" t="s">
        <v>15984</v>
      </c>
      <c r="BB3624" s="82" t="s">
        <v>15984</v>
      </c>
      <c r="BC3624" s="82" t="s">
        <v>15220</v>
      </c>
      <c r="BD3624" s="82" t="s">
        <v>15979</v>
      </c>
      <c r="BE3624" s="77"/>
      <c r="BF3624" s="77"/>
      <c r="BG3624" s="77"/>
      <c r="BH3624" s="77"/>
      <c r="BI3624" s="77"/>
    </row>
    <row r="3625" spans="1:61" x14ac:dyDescent="0.25">
      <c r="A3625" s="62" t="s">
        <v>387</v>
      </c>
      <c r="B3625" s="62" t="s">
        <v>387</v>
      </c>
      <c r="C3625" s="63"/>
      <c r="D3625" s="64"/>
      <c r="E3625" s="65"/>
      <c r="F3625" s="66"/>
      <c r="G3625" s="63"/>
      <c r="H3625" s="67"/>
      <c r="I3625" s="68"/>
      <c r="J3625" s="68"/>
      <c r="K3625" s="32"/>
      <c r="L3625" s="75">
        <v>3625</v>
      </c>
      <c r="M3625" s="75"/>
      <c r="N3625" s="70"/>
      <c r="O3625" s="77" t="s">
        <v>179</v>
      </c>
      <c r="P3625" s="79">
        <v>45189.451493055552</v>
      </c>
      <c r="Q3625" s="77" t="s">
        <v>4295</v>
      </c>
      <c r="R3625" s="77">
        <v>0</v>
      </c>
      <c r="S3625" s="77">
        <v>3</v>
      </c>
      <c r="T3625" s="77">
        <v>0</v>
      </c>
      <c r="U3625" s="77">
        <v>0</v>
      </c>
      <c r="V3625" s="77">
        <v>435</v>
      </c>
      <c r="W3625" s="82" t="s">
        <v>4839</v>
      </c>
      <c r="X3625" s="80" t="str">
        <f>HYPERLINK("https://einvestidor.estadao.com.br/ultimas/bolsas-da-asia-fechamento-espera-fed/?utm_source=twitter&amp;utm_medium=organic&amp;utm_campaign=asia&amp;utm_content=materia")</f>
        <v>https://einvestidor.estadao.com.br/ultimas/bolsas-da-asia-fechamento-espera-fed/?utm_source=twitter&amp;utm_medium=organic&amp;utm_campaign=asia&amp;utm_content=materia</v>
      </c>
      <c r="Y3625" s="77" t="s">
        <v>6470</v>
      </c>
      <c r="Z3625" s="77"/>
      <c r="AA3625" s="77" t="s">
        <v>7689</v>
      </c>
      <c r="AB3625" s="77" t="s">
        <v>7742</v>
      </c>
      <c r="AC3625" s="82" t="s">
        <v>7750</v>
      </c>
      <c r="AD3625" s="77" t="s">
        <v>7788</v>
      </c>
      <c r="AE3625" s="80" t="str">
        <f>HYPERLINK("https://twitter.com/einvestidor/status/1704447852758343707")</f>
        <v>https://twitter.com/einvestidor/status/1704447852758343707</v>
      </c>
      <c r="AF3625" s="79">
        <v>45189.451493055552</v>
      </c>
      <c r="AG3625" s="85">
        <v>45189</v>
      </c>
      <c r="AH3625" s="82" t="s">
        <v>10101</v>
      </c>
      <c r="AI3625" s="77" t="b">
        <v>0</v>
      </c>
      <c r="AJ3625" s="77"/>
      <c r="AK3625" s="77"/>
      <c r="AL3625" s="77"/>
      <c r="AM3625" s="77"/>
      <c r="AN3625" s="77"/>
      <c r="AO3625" s="77"/>
      <c r="AP3625" s="77"/>
      <c r="AQ3625" s="77" t="s">
        <v>11661</v>
      </c>
      <c r="AR3625" s="77"/>
      <c r="AS3625" s="77"/>
      <c r="AT3625" s="77"/>
      <c r="AU3625" s="77"/>
      <c r="AV3625" s="80" t="str">
        <f>HYPERLINK("https://pbs.twimg.com/media/F6doF-EXUAAGmJ9.png")</f>
        <v>https://pbs.twimg.com/media/F6doF-EXUAAGmJ9.png</v>
      </c>
      <c r="AW3625" s="82" t="s">
        <v>15221</v>
      </c>
      <c r="AX3625" s="82" t="s">
        <v>15221</v>
      </c>
      <c r="AY3625" s="77"/>
      <c r="AZ3625" s="82" t="s">
        <v>15984</v>
      </c>
      <c r="BA3625" s="82" t="s">
        <v>15984</v>
      </c>
      <c r="BB3625" s="82" t="s">
        <v>15984</v>
      </c>
      <c r="BC3625" s="82" t="s">
        <v>15221</v>
      </c>
      <c r="BD3625" s="82" t="s">
        <v>15979</v>
      </c>
      <c r="BE3625" s="77"/>
      <c r="BF3625" s="77"/>
      <c r="BG3625" s="77"/>
      <c r="BH3625" s="77"/>
      <c r="BI3625" s="77"/>
    </row>
    <row r="3626" spans="1:61" x14ac:dyDescent="0.25">
      <c r="A3626" s="62" t="s">
        <v>387</v>
      </c>
      <c r="B3626" s="62" t="s">
        <v>387</v>
      </c>
      <c r="C3626" s="63"/>
      <c r="D3626" s="64"/>
      <c r="E3626" s="65"/>
      <c r="F3626" s="66"/>
      <c r="G3626" s="63"/>
      <c r="H3626" s="67"/>
      <c r="I3626" s="68"/>
      <c r="J3626" s="68"/>
      <c r="K3626" s="32"/>
      <c r="L3626" s="75">
        <v>3626</v>
      </c>
      <c r="M3626" s="75"/>
      <c r="N3626" s="70"/>
      <c r="O3626" s="77" t="s">
        <v>179</v>
      </c>
      <c r="P3626" s="79">
        <v>45183.833333333336</v>
      </c>
      <c r="Q3626" s="77" t="s">
        <v>4296</v>
      </c>
      <c r="R3626" s="77">
        <v>0</v>
      </c>
      <c r="S3626" s="77">
        <v>0</v>
      </c>
      <c r="T3626" s="77">
        <v>2</v>
      </c>
      <c r="U3626" s="77">
        <v>1</v>
      </c>
      <c r="V3626" s="77">
        <v>540</v>
      </c>
      <c r="W3626" s="82" t="s">
        <v>4833</v>
      </c>
      <c r="X3626" s="80" t="str">
        <f>HYPERLINK("https://einvestidor.estadao.com.br/educacao-financeira/preco-file-mignon-seu-bolso-pode-sofrer/?utm_source=twitter&amp;utm_medium=organic&amp;utm_campaign=&amp;utm_content=materia")</f>
        <v>https://einvestidor.estadao.com.br/educacao-financeira/preco-file-mignon-seu-bolso-pode-sofrer/?utm_source=twitter&amp;utm_medium=organic&amp;utm_campaign=&amp;utm_content=materia</v>
      </c>
      <c r="Y3626" s="77" t="s">
        <v>6470</v>
      </c>
      <c r="Z3626" s="77"/>
      <c r="AA3626" s="77"/>
      <c r="AB3626" s="77"/>
      <c r="AC3626" s="82" t="s">
        <v>7750</v>
      </c>
      <c r="AD3626" s="77" t="s">
        <v>7788</v>
      </c>
      <c r="AE3626" s="80" t="str">
        <f>HYPERLINK("https://twitter.com/einvestidor/status/1702411897729888552")</f>
        <v>https://twitter.com/einvestidor/status/1702411897729888552</v>
      </c>
      <c r="AF3626" s="79">
        <v>45183.833333333336</v>
      </c>
      <c r="AG3626" s="85">
        <v>45183</v>
      </c>
      <c r="AH3626" s="82" t="s">
        <v>8381</v>
      </c>
      <c r="AI3626" s="77" t="b">
        <v>0</v>
      </c>
      <c r="AJ3626" s="77"/>
      <c r="AK3626" s="77"/>
      <c r="AL3626" s="77"/>
      <c r="AM3626" s="77"/>
      <c r="AN3626" s="77"/>
      <c r="AO3626" s="77"/>
      <c r="AP3626" s="77"/>
      <c r="AQ3626" s="77"/>
      <c r="AR3626" s="77"/>
      <c r="AS3626" s="77"/>
      <c r="AT3626" s="77"/>
      <c r="AU3626" s="77"/>
      <c r="AV3626" s="80" t="str">
        <f>HYPERLINK("https://pbs.twimg.com/profile_images/1241147984924082183/gZgx_hL-_normal.jpg")</f>
        <v>https://pbs.twimg.com/profile_images/1241147984924082183/gZgx_hL-_normal.jpg</v>
      </c>
      <c r="AW3626" s="82" t="s">
        <v>15222</v>
      </c>
      <c r="AX3626" s="82" t="s">
        <v>15222</v>
      </c>
      <c r="AY3626" s="77"/>
      <c r="AZ3626" s="82" t="s">
        <v>15984</v>
      </c>
      <c r="BA3626" s="82" t="s">
        <v>15984</v>
      </c>
      <c r="BB3626" s="82" t="s">
        <v>15984</v>
      </c>
      <c r="BC3626" s="82" t="s">
        <v>15222</v>
      </c>
      <c r="BD3626" s="82" t="s">
        <v>15979</v>
      </c>
      <c r="BE3626" s="77"/>
      <c r="BF3626" s="77"/>
      <c r="BG3626" s="77"/>
      <c r="BH3626" s="77"/>
      <c r="BI3626" s="77"/>
    </row>
    <row r="3627" spans="1:61" x14ac:dyDescent="0.25">
      <c r="A3627" s="62" t="s">
        <v>387</v>
      </c>
      <c r="B3627" s="62" t="s">
        <v>387</v>
      </c>
      <c r="C3627" s="63"/>
      <c r="D3627" s="64"/>
      <c r="E3627" s="65"/>
      <c r="F3627" s="66"/>
      <c r="G3627" s="63"/>
      <c r="H3627" s="67"/>
      <c r="I3627" s="68"/>
      <c r="J3627" s="68"/>
      <c r="K3627" s="32"/>
      <c r="L3627" s="75">
        <v>3627</v>
      </c>
      <c r="M3627" s="75"/>
      <c r="N3627" s="70"/>
      <c r="O3627" s="77" t="s">
        <v>179</v>
      </c>
      <c r="P3627" s="79">
        <v>45183.822916666664</v>
      </c>
      <c r="Q3627" s="77" t="s">
        <v>4297</v>
      </c>
      <c r="R3627" s="77">
        <v>1</v>
      </c>
      <c r="S3627" s="77">
        <v>3</v>
      </c>
      <c r="T3627" s="77">
        <v>0</v>
      </c>
      <c r="U3627" s="77">
        <v>0</v>
      </c>
      <c r="V3627" s="77">
        <v>550</v>
      </c>
      <c r="W3627" s="82" t="s">
        <v>6361</v>
      </c>
      <c r="X3627" s="80" t="str">
        <f>HYPERLINK("https://einvestidor.estadao.com.br/radar-einvestidor/casas-bahia-viia3-derrete-na-bolsa/?utm_source=twitter&amp;utm_medium=organic&amp;utm_campaign=&amp;utm_content=materia")</f>
        <v>https://einvestidor.estadao.com.br/radar-einvestidor/casas-bahia-viia3-derrete-na-bolsa/?utm_source=twitter&amp;utm_medium=organic&amp;utm_campaign=&amp;utm_content=materia</v>
      </c>
      <c r="Y3627" s="77" t="s">
        <v>6470</v>
      </c>
      <c r="Z3627" s="77"/>
      <c r="AA3627" s="77"/>
      <c r="AB3627" s="77"/>
      <c r="AC3627" s="82" t="s">
        <v>7750</v>
      </c>
      <c r="AD3627" s="77" t="s">
        <v>7788</v>
      </c>
      <c r="AE3627" s="80" t="str">
        <f>HYPERLINK("https://twitter.com/einvestidor/status/1702408122441019664")</f>
        <v>https://twitter.com/einvestidor/status/1702408122441019664</v>
      </c>
      <c r="AF3627" s="79">
        <v>45183.822916666664</v>
      </c>
      <c r="AG3627" s="85">
        <v>45183</v>
      </c>
      <c r="AH3627" s="82" t="s">
        <v>9579</v>
      </c>
      <c r="AI3627" s="77" t="b">
        <v>0</v>
      </c>
      <c r="AJ3627" s="77"/>
      <c r="AK3627" s="77"/>
      <c r="AL3627" s="77"/>
      <c r="AM3627" s="77"/>
      <c r="AN3627" s="77"/>
      <c r="AO3627" s="77"/>
      <c r="AP3627" s="77"/>
      <c r="AQ3627" s="77"/>
      <c r="AR3627" s="77"/>
      <c r="AS3627" s="77"/>
      <c r="AT3627" s="77"/>
      <c r="AU3627" s="77"/>
      <c r="AV3627" s="80" t="str">
        <f>HYPERLINK("https://pbs.twimg.com/profile_images/1241147984924082183/gZgx_hL-_normal.jpg")</f>
        <v>https://pbs.twimg.com/profile_images/1241147984924082183/gZgx_hL-_normal.jpg</v>
      </c>
      <c r="AW3627" s="82" t="s">
        <v>15223</v>
      </c>
      <c r="AX3627" s="82" t="s">
        <v>15223</v>
      </c>
      <c r="AY3627" s="77"/>
      <c r="AZ3627" s="82" t="s">
        <v>15984</v>
      </c>
      <c r="BA3627" s="82" t="s">
        <v>15984</v>
      </c>
      <c r="BB3627" s="82" t="s">
        <v>15984</v>
      </c>
      <c r="BC3627" s="82" t="s">
        <v>15223</v>
      </c>
      <c r="BD3627" s="82" t="s">
        <v>15979</v>
      </c>
      <c r="BE3627" s="77"/>
      <c r="BF3627" s="77"/>
      <c r="BG3627" s="77"/>
      <c r="BH3627" s="77"/>
      <c r="BI3627" s="77"/>
    </row>
    <row r="3628" spans="1:61" x14ac:dyDescent="0.25">
      <c r="A3628" s="62" t="s">
        <v>387</v>
      </c>
      <c r="B3628" s="62" t="s">
        <v>387</v>
      </c>
      <c r="C3628" s="63"/>
      <c r="D3628" s="64"/>
      <c r="E3628" s="65"/>
      <c r="F3628" s="66"/>
      <c r="G3628" s="63"/>
      <c r="H3628" s="67"/>
      <c r="I3628" s="68"/>
      <c r="J3628" s="68"/>
      <c r="K3628" s="32"/>
      <c r="L3628" s="75">
        <v>3628</v>
      </c>
      <c r="M3628" s="75"/>
      <c r="N3628" s="70"/>
      <c r="O3628" s="77" t="s">
        <v>179</v>
      </c>
      <c r="P3628" s="79">
        <v>45183.8125</v>
      </c>
      <c r="Q3628" s="77" t="s">
        <v>4298</v>
      </c>
      <c r="R3628" s="77">
        <v>0</v>
      </c>
      <c r="S3628" s="77">
        <v>1</v>
      </c>
      <c r="T3628" s="77">
        <v>1</v>
      </c>
      <c r="U3628" s="77">
        <v>0</v>
      </c>
      <c r="V3628" s="77">
        <v>494</v>
      </c>
      <c r="W3628" s="82" t="s">
        <v>6190</v>
      </c>
      <c r="X3628" s="80" t="str">
        <f>HYPERLINK("https://einvestidor.estadao.com.br/radar-einvestidor/btg-pactual-avalia-acoes-eletrobras-elet6/?utm_source=twitter&amp;utm_medium=organic&amp;utm_campaign=&amp;utm_content=materia")</f>
        <v>https://einvestidor.estadao.com.br/radar-einvestidor/btg-pactual-avalia-acoes-eletrobras-elet6/?utm_source=twitter&amp;utm_medium=organic&amp;utm_campaign=&amp;utm_content=materia</v>
      </c>
      <c r="Y3628" s="77" t="s">
        <v>6470</v>
      </c>
      <c r="Z3628" s="77"/>
      <c r="AA3628" s="77"/>
      <c r="AB3628" s="77"/>
      <c r="AC3628" s="82" t="s">
        <v>7750</v>
      </c>
      <c r="AD3628" s="77" t="s">
        <v>7788</v>
      </c>
      <c r="AE3628" s="80" t="str">
        <f>HYPERLINK("https://twitter.com/einvestidor/status/1702404348951568392")</f>
        <v>https://twitter.com/einvestidor/status/1702404348951568392</v>
      </c>
      <c r="AF3628" s="79">
        <v>45183.8125</v>
      </c>
      <c r="AG3628" s="85">
        <v>45183</v>
      </c>
      <c r="AH3628" s="82" t="s">
        <v>8281</v>
      </c>
      <c r="AI3628" s="77" t="b">
        <v>0</v>
      </c>
      <c r="AJ3628" s="77"/>
      <c r="AK3628" s="77"/>
      <c r="AL3628" s="77"/>
      <c r="AM3628" s="77"/>
      <c r="AN3628" s="77"/>
      <c r="AO3628" s="77"/>
      <c r="AP3628" s="77"/>
      <c r="AQ3628" s="77"/>
      <c r="AR3628" s="77"/>
      <c r="AS3628" s="77"/>
      <c r="AT3628" s="77"/>
      <c r="AU3628" s="77"/>
      <c r="AV3628" s="80" t="str">
        <f>HYPERLINK("https://pbs.twimg.com/profile_images/1241147984924082183/gZgx_hL-_normal.jpg")</f>
        <v>https://pbs.twimg.com/profile_images/1241147984924082183/gZgx_hL-_normal.jpg</v>
      </c>
      <c r="AW3628" s="82" t="s">
        <v>15224</v>
      </c>
      <c r="AX3628" s="82" t="s">
        <v>15224</v>
      </c>
      <c r="AY3628" s="77"/>
      <c r="AZ3628" s="82" t="s">
        <v>15984</v>
      </c>
      <c r="BA3628" s="82" t="s">
        <v>15984</v>
      </c>
      <c r="BB3628" s="82" t="s">
        <v>15984</v>
      </c>
      <c r="BC3628" s="82" t="s">
        <v>15224</v>
      </c>
      <c r="BD3628" s="82" t="s">
        <v>15979</v>
      </c>
      <c r="BE3628" s="77"/>
      <c r="BF3628" s="77"/>
      <c r="BG3628" s="77"/>
      <c r="BH3628" s="77"/>
      <c r="BI3628" s="77"/>
    </row>
    <row r="3629" spans="1:61" x14ac:dyDescent="0.25">
      <c r="A3629" s="62" t="s">
        <v>387</v>
      </c>
      <c r="B3629" s="62" t="s">
        <v>387</v>
      </c>
      <c r="C3629" s="63"/>
      <c r="D3629" s="64"/>
      <c r="E3629" s="65"/>
      <c r="F3629" s="66"/>
      <c r="G3629" s="63"/>
      <c r="H3629" s="67"/>
      <c r="I3629" s="68"/>
      <c r="J3629" s="68"/>
      <c r="K3629" s="32"/>
      <c r="L3629" s="75">
        <v>3629</v>
      </c>
      <c r="M3629" s="75"/>
      <c r="N3629" s="70"/>
      <c r="O3629" s="77" t="s">
        <v>179</v>
      </c>
      <c r="P3629" s="79">
        <v>45183.802083333336</v>
      </c>
      <c r="Q3629" s="77" t="s">
        <v>4299</v>
      </c>
      <c r="R3629" s="77">
        <v>1</v>
      </c>
      <c r="S3629" s="77">
        <v>3</v>
      </c>
      <c r="T3629" s="77">
        <v>0</v>
      </c>
      <c r="U3629" s="77">
        <v>0</v>
      </c>
      <c r="V3629" s="77">
        <v>482</v>
      </c>
      <c r="W3629" s="82" t="s">
        <v>6362</v>
      </c>
      <c r="X3629" s="80" t="str">
        <f>HYPERLINK("https://einvestidor.estadao.com.br/ultimas/oi-justica-aprova-prorrogacao-stay-period/?utm_source=twitter&amp;utm_medium=organic&amp;utm_campaign=&amp;utm_content=materia")</f>
        <v>https://einvestidor.estadao.com.br/ultimas/oi-justica-aprova-prorrogacao-stay-period/?utm_source=twitter&amp;utm_medium=organic&amp;utm_campaign=&amp;utm_content=materia</v>
      </c>
      <c r="Y3629" s="77" t="s">
        <v>6470</v>
      </c>
      <c r="Z3629" s="77"/>
      <c r="AA3629" s="77"/>
      <c r="AB3629" s="77"/>
      <c r="AC3629" s="82" t="s">
        <v>7750</v>
      </c>
      <c r="AD3629" s="77" t="s">
        <v>7788</v>
      </c>
      <c r="AE3629" s="80" t="str">
        <f>HYPERLINK("https://twitter.com/einvestidor/status/1702400572756721819")</f>
        <v>https://twitter.com/einvestidor/status/1702400572756721819</v>
      </c>
      <c r="AF3629" s="79">
        <v>45183.802083333336</v>
      </c>
      <c r="AG3629" s="85">
        <v>45183</v>
      </c>
      <c r="AH3629" s="82" t="s">
        <v>7868</v>
      </c>
      <c r="AI3629" s="77" t="b">
        <v>0</v>
      </c>
      <c r="AJ3629" s="77"/>
      <c r="AK3629" s="77"/>
      <c r="AL3629" s="77"/>
      <c r="AM3629" s="77"/>
      <c r="AN3629" s="77"/>
      <c r="AO3629" s="77"/>
      <c r="AP3629" s="77"/>
      <c r="AQ3629" s="77"/>
      <c r="AR3629" s="77"/>
      <c r="AS3629" s="77"/>
      <c r="AT3629" s="77"/>
      <c r="AU3629" s="77"/>
      <c r="AV3629" s="80" t="str">
        <f>HYPERLINK("https://pbs.twimg.com/profile_images/1241147984924082183/gZgx_hL-_normal.jpg")</f>
        <v>https://pbs.twimg.com/profile_images/1241147984924082183/gZgx_hL-_normal.jpg</v>
      </c>
      <c r="AW3629" s="82" t="s">
        <v>15225</v>
      </c>
      <c r="AX3629" s="82" t="s">
        <v>15225</v>
      </c>
      <c r="AY3629" s="77"/>
      <c r="AZ3629" s="82" t="s">
        <v>15984</v>
      </c>
      <c r="BA3629" s="82" t="s">
        <v>15984</v>
      </c>
      <c r="BB3629" s="82" t="s">
        <v>15984</v>
      </c>
      <c r="BC3629" s="82" t="s">
        <v>15225</v>
      </c>
      <c r="BD3629" s="82" t="s">
        <v>15979</v>
      </c>
      <c r="BE3629" s="77"/>
      <c r="BF3629" s="77"/>
      <c r="BG3629" s="77"/>
      <c r="BH3629" s="77"/>
      <c r="BI3629" s="77"/>
    </row>
    <row r="3630" spans="1:61" x14ac:dyDescent="0.25">
      <c r="A3630" s="62" t="s">
        <v>387</v>
      </c>
      <c r="B3630" s="62" t="s">
        <v>387</v>
      </c>
      <c r="C3630" s="63"/>
      <c r="D3630" s="64"/>
      <c r="E3630" s="65"/>
      <c r="F3630" s="66"/>
      <c r="G3630" s="63"/>
      <c r="H3630" s="67"/>
      <c r="I3630" s="68"/>
      <c r="J3630" s="68"/>
      <c r="K3630" s="32"/>
      <c r="L3630" s="75">
        <v>3630</v>
      </c>
      <c r="M3630" s="75"/>
      <c r="N3630" s="70"/>
      <c r="O3630" s="77" t="s">
        <v>179</v>
      </c>
      <c r="P3630" s="79">
        <v>45183.791666666664</v>
      </c>
      <c r="Q3630" s="77" t="s">
        <v>4300</v>
      </c>
      <c r="R3630" s="77">
        <v>0</v>
      </c>
      <c r="S3630" s="77">
        <v>0</v>
      </c>
      <c r="T3630" s="77">
        <v>0</v>
      </c>
      <c r="U3630" s="77">
        <v>0</v>
      </c>
      <c r="V3630" s="77">
        <v>378</v>
      </c>
      <c r="W3630" s="82" t="s">
        <v>4833</v>
      </c>
      <c r="X3630" s="80" t="str">
        <f>HYPERLINK("https://einvestidor.estadao.com.br/ultimas/tecnisa-novo-diretor-finaneiro-ri/?utm_source=twitter&amp;utm_medium=organic&amp;utm_campaign=&amp;utm_content=materia")</f>
        <v>https://einvestidor.estadao.com.br/ultimas/tecnisa-novo-diretor-finaneiro-ri/?utm_source=twitter&amp;utm_medium=organic&amp;utm_campaign=&amp;utm_content=materia</v>
      </c>
      <c r="Y3630" s="77" t="s">
        <v>6470</v>
      </c>
      <c r="Z3630" s="77"/>
      <c r="AA3630" s="77"/>
      <c r="AB3630" s="77"/>
      <c r="AC3630" s="82" t="s">
        <v>7750</v>
      </c>
      <c r="AD3630" s="77" t="s">
        <v>7788</v>
      </c>
      <c r="AE3630" s="80" t="str">
        <f>HYPERLINK("https://twitter.com/einvestidor/status/1702396800425140378")</f>
        <v>https://twitter.com/einvestidor/status/1702396800425140378</v>
      </c>
      <c r="AF3630" s="79">
        <v>45183.791666666664</v>
      </c>
      <c r="AG3630" s="85">
        <v>45183</v>
      </c>
      <c r="AH3630" s="82" t="s">
        <v>9299</v>
      </c>
      <c r="AI3630" s="77" t="b">
        <v>0</v>
      </c>
      <c r="AJ3630" s="77"/>
      <c r="AK3630" s="77"/>
      <c r="AL3630" s="77"/>
      <c r="AM3630" s="77"/>
      <c r="AN3630" s="77"/>
      <c r="AO3630" s="77"/>
      <c r="AP3630" s="77"/>
      <c r="AQ3630" s="77"/>
      <c r="AR3630" s="77"/>
      <c r="AS3630" s="77"/>
      <c r="AT3630" s="77"/>
      <c r="AU3630" s="77"/>
      <c r="AV3630" s="80" t="str">
        <f>HYPERLINK("https://pbs.twimg.com/profile_images/1241147984924082183/gZgx_hL-_normal.jpg")</f>
        <v>https://pbs.twimg.com/profile_images/1241147984924082183/gZgx_hL-_normal.jpg</v>
      </c>
      <c r="AW3630" s="82" t="s">
        <v>15226</v>
      </c>
      <c r="AX3630" s="82" t="s">
        <v>15226</v>
      </c>
      <c r="AY3630" s="77"/>
      <c r="AZ3630" s="82" t="s">
        <v>15984</v>
      </c>
      <c r="BA3630" s="82" t="s">
        <v>15984</v>
      </c>
      <c r="BB3630" s="82" t="s">
        <v>15984</v>
      </c>
      <c r="BC3630" s="82" t="s">
        <v>15226</v>
      </c>
      <c r="BD3630" s="82" t="s">
        <v>15979</v>
      </c>
      <c r="BE3630" s="77"/>
      <c r="BF3630" s="77"/>
      <c r="BG3630" s="77"/>
      <c r="BH3630" s="77"/>
      <c r="BI3630" s="77"/>
    </row>
    <row r="3631" spans="1:61" x14ac:dyDescent="0.25">
      <c r="A3631" s="62" t="s">
        <v>387</v>
      </c>
      <c r="B3631" s="62" t="s">
        <v>387</v>
      </c>
      <c r="C3631" s="63"/>
      <c r="D3631" s="64"/>
      <c r="E3631" s="65"/>
      <c r="F3631" s="66"/>
      <c r="G3631" s="63"/>
      <c r="H3631" s="67"/>
      <c r="I3631" s="68"/>
      <c r="J3631" s="68"/>
      <c r="K3631" s="32"/>
      <c r="L3631" s="75">
        <v>3631</v>
      </c>
      <c r="M3631" s="75"/>
      <c r="N3631" s="70"/>
      <c r="O3631" s="77" t="s">
        <v>179</v>
      </c>
      <c r="P3631" s="79">
        <v>45183.78125</v>
      </c>
      <c r="Q3631" s="77" t="s">
        <v>4301</v>
      </c>
      <c r="R3631" s="77">
        <v>0</v>
      </c>
      <c r="S3631" s="77">
        <v>1</v>
      </c>
      <c r="T3631" s="77">
        <v>0</v>
      </c>
      <c r="U3631" s="77">
        <v>0</v>
      </c>
      <c r="V3631" s="77">
        <v>377</v>
      </c>
      <c r="W3631" s="82" t="s">
        <v>4833</v>
      </c>
      <c r="X3631" s="80" t="str">
        <f>HYPERLINK("https://einvestidor.estadao.com.br/colunas/fabrizio-gueratto/valor-iphone-pro-max-investimento/?utm_source=twitter&amp;utm_medium=organic&amp;utm_campaign=&amp;utm_content=materia")</f>
        <v>https://einvestidor.estadao.com.br/colunas/fabrizio-gueratto/valor-iphone-pro-max-investimento/?utm_source=twitter&amp;utm_medium=organic&amp;utm_campaign=&amp;utm_content=materia</v>
      </c>
      <c r="Y3631" s="77" t="s">
        <v>6470</v>
      </c>
      <c r="Z3631" s="77"/>
      <c r="AA3631" s="77"/>
      <c r="AB3631" s="77"/>
      <c r="AC3631" s="82" t="s">
        <v>7750</v>
      </c>
      <c r="AD3631" s="77" t="s">
        <v>7788</v>
      </c>
      <c r="AE3631" s="80" t="str">
        <f>HYPERLINK("https://twitter.com/einvestidor/status/1702393022699414024")</f>
        <v>https://twitter.com/einvestidor/status/1702393022699414024</v>
      </c>
      <c r="AF3631" s="79">
        <v>45183.78125</v>
      </c>
      <c r="AG3631" s="85">
        <v>45183</v>
      </c>
      <c r="AH3631" s="82" t="s">
        <v>9581</v>
      </c>
      <c r="AI3631" s="77" t="b">
        <v>0</v>
      </c>
      <c r="AJ3631" s="77"/>
      <c r="AK3631" s="77"/>
      <c r="AL3631" s="77"/>
      <c r="AM3631" s="77"/>
      <c r="AN3631" s="77"/>
      <c r="AO3631" s="77"/>
      <c r="AP3631" s="77"/>
      <c r="AQ3631" s="77"/>
      <c r="AR3631" s="77"/>
      <c r="AS3631" s="77"/>
      <c r="AT3631" s="77"/>
      <c r="AU3631" s="77"/>
      <c r="AV3631" s="80" t="str">
        <f>HYPERLINK("https://pbs.twimg.com/profile_images/1241147984924082183/gZgx_hL-_normal.jpg")</f>
        <v>https://pbs.twimg.com/profile_images/1241147984924082183/gZgx_hL-_normal.jpg</v>
      </c>
      <c r="AW3631" s="82" t="s">
        <v>15227</v>
      </c>
      <c r="AX3631" s="82" t="s">
        <v>15227</v>
      </c>
      <c r="AY3631" s="77"/>
      <c r="AZ3631" s="82" t="s">
        <v>15984</v>
      </c>
      <c r="BA3631" s="82" t="s">
        <v>15984</v>
      </c>
      <c r="BB3631" s="82" t="s">
        <v>15984</v>
      </c>
      <c r="BC3631" s="82" t="s">
        <v>15227</v>
      </c>
      <c r="BD3631" s="82" t="s">
        <v>15979</v>
      </c>
      <c r="BE3631" s="77"/>
      <c r="BF3631" s="77"/>
      <c r="BG3631" s="77"/>
      <c r="BH3631" s="77"/>
      <c r="BI3631" s="77"/>
    </row>
    <row r="3632" spans="1:61" x14ac:dyDescent="0.25">
      <c r="A3632" s="62" t="s">
        <v>387</v>
      </c>
      <c r="B3632" s="62" t="s">
        <v>387</v>
      </c>
      <c r="C3632" s="63"/>
      <c r="D3632" s="64"/>
      <c r="E3632" s="65"/>
      <c r="F3632" s="66"/>
      <c r="G3632" s="63"/>
      <c r="H3632" s="67"/>
      <c r="I3632" s="68"/>
      <c r="J3632" s="68"/>
      <c r="K3632" s="32"/>
      <c r="L3632" s="75">
        <v>3632</v>
      </c>
      <c r="M3632" s="75"/>
      <c r="N3632" s="70"/>
      <c r="O3632" s="77" t="s">
        <v>179</v>
      </c>
      <c r="P3632" s="79">
        <v>45183.720925925925</v>
      </c>
      <c r="Q3632" s="77" t="s">
        <v>4302</v>
      </c>
      <c r="R3632" s="77">
        <v>0</v>
      </c>
      <c r="S3632" s="77">
        <v>1</v>
      </c>
      <c r="T3632" s="77">
        <v>0</v>
      </c>
      <c r="U3632" s="77">
        <v>0</v>
      </c>
      <c r="V3632" s="77">
        <v>403</v>
      </c>
      <c r="W3632" s="82" t="s">
        <v>4833</v>
      </c>
      <c r="X3632" s="80" t="str">
        <f>HYPERLINK("https://einvestidor.estadao.com.br/mercado/mercado-intraday-14-09-2023/?utm_source=twitter&amp;utm_medium=organic&amp;utm_campaign=&amp;utm_content=materia")</f>
        <v>https://einvestidor.estadao.com.br/mercado/mercado-intraday-14-09-2023/?utm_source=twitter&amp;utm_medium=organic&amp;utm_campaign=&amp;utm_content=materia</v>
      </c>
      <c r="Y3632" s="77" t="s">
        <v>6470</v>
      </c>
      <c r="Z3632" s="77"/>
      <c r="AA3632" s="77"/>
      <c r="AB3632" s="77"/>
      <c r="AC3632" s="82" t="s">
        <v>7750</v>
      </c>
      <c r="AD3632" s="77" t="s">
        <v>7788</v>
      </c>
      <c r="AE3632" s="80" t="str">
        <f>HYPERLINK("https://twitter.com/einvestidor/status/1702371163085697292")</f>
        <v>https://twitter.com/einvestidor/status/1702371163085697292</v>
      </c>
      <c r="AF3632" s="79">
        <v>45183.720925925925</v>
      </c>
      <c r="AG3632" s="85">
        <v>45183</v>
      </c>
      <c r="AH3632" s="82" t="s">
        <v>10102</v>
      </c>
      <c r="AI3632" s="77" t="b">
        <v>0</v>
      </c>
      <c r="AJ3632" s="77"/>
      <c r="AK3632" s="77"/>
      <c r="AL3632" s="77"/>
      <c r="AM3632" s="77"/>
      <c r="AN3632" s="77"/>
      <c r="AO3632" s="77"/>
      <c r="AP3632" s="77"/>
      <c r="AQ3632" s="77"/>
      <c r="AR3632" s="77"/>
      <c r="AS3632" s="77"/>
      <c r="AT3632" s="77"/>
      <c r="AU3632" s="77"/>
      <c r="AV3632" s="80" t="str">
        <f>HYPERLINK("https://pbs.twimg.com/profile_images/1241147984924082183/gZgx_hL-_normal.jpg")</f>
        <v>https://pbs.twimg.com/profile_images/1241147984924082183/gZgx_hL-_normal.jpg</v>
      </c>
      <c r="AW3632" s="82" t="s">
        <v>15228</v>
      </c>
      <c r="AX3632" s="82" t="s">
        <v>15228</v>
      </c>
      <c r="AY3632" s="77"/>
      <c r="AZ3632" s="82" t="s">
        <v>15984</v>
      </c>
      <c r="BA3632" s="82" t="s">
        <v>15984</v>
      </c>
      <c r="BB3632" s="82" t="s">
        <v>15984</v>
      </c>
      <c r="BC3632" s="82" t="s">
        <v>15228</v>
      </c>
      <c r="BD3632" s="82" t="s">
        <v>15979</v>
      </c>
      <c r="BE3632" s="77"/>
      <c r="BF3632" s="77"/>
      <c r="BG3632" s="77"/>
      <c r="BH3632" s="77"/>
      <c r="BI3632" s="77"/>
    </row>
    <row r="3633" spans="1:61" x14ac:dyDescent="0.25">
      <c r="A3633" s="62" t="s">
        <v>387</v>
      </c>
      <c r="B3633" s="62" t="s">
        <v>387</v>
      </c>
      <c r="C3633" s="63"/>
      <c r="D3633" s="64"/>
      <c r="E3633" s="65"/>
      <c r="F3633" s="66"/>
      <c r="G3633" s="63"/>
      <c r="H3633" s="67"/>
      <c r="I3633" s="68"/>
      <c r="J3633" s="68"/>
      <c r="K3633" s="32"/>
      <c r="L3633" s="75">
        <v>3633</v>
      </c>
      <c r="M3633" s="75"/>
      <c r="N3633" s="70"/>
      <c r="O3633" s="77" t="s">
        <v>179</v>
      </c>
      <c r="P3633" s="79">
        <v>45172.666666666664</v>
      </c>
      <c r="Q3633" s="77" t="s">
        <v>4303</v>
      </c>
      <c r="R3633" s="77">
        <v>1</v>
      </c>
      <c r="S3633" s="77">
        <v>1</v>
      </c>
      <c r="T3633" s="77">
        <v>0</v>
      </c>
      <c r="U3633" s="77">
        <v>0</v>
      </c>
      <c r="V3633" s="77">
        <v>759</v>
      </c>
      <c r="W3633" s="82" t="s">
        <v>4833</v>
      </c>
      <c r="X3633" s="80" t="str">
        <f>HYPERLINK("https://einvestidor.estadao.com.br/colunas/evandro-mello/5-habitos-que-prejudicam-seu-bolso/?utm_source=twitter&amp;utm_medium=organic&amp;utm_campaign=&amp;utm_content=materia")</f>
        <v>https://einvestidor.estadao.com.br/colunas/evandro-mello/5-habitos-que-prejudicam-seu-bolso/?utm_source=twitter&amp;utm_medium=organic&amp;utm_campaign=&amp;utm_content=materia</v>
      </c>
      <c r="Y3633" s="77" t="s">
        <v>6470</v>
      </c>
      <c r="Z3633" s="77"/>
      <c r="AA3633" s="77"/>
      <c r="AB3633" s="77"/>
      <c r="AC3633" s="82" t="s">
        <v>7750</v>
      </c>
      <c r="AD3633" s="77" t="s">
        <v>7788</v>
      </c>
      <c r="AE3633" s="80" t="str">
        <f>HYPERLINK("https://twitter.com/einvestidor/status/1698365235227160695")</f>
        <v>https://twitter.com/einvestidor/status/1698365235227160695</v>
      </c>
      <c r="AF3633" s="79">
        <v>45172.666666666664</v>
      </c>
      <c r="AG3633" s="85">
        <v>45172</v>
      </c>
      <c r="AH3633" s="82" t="s">
        <v>8120</v>
      </c>
      <c r="AI3633" s="77" t="b">
        <v>0</v>
      </c>
      <c r="AJ3633" s="77"/>
      <c r="AK3633" s="77"/>
      <c r="AL3633" s="77"/>
      <c r="AM3633" s="77"/>
      <c r="AN3633" s="77"/>
      <c r="AO3633" s="77"/>
      <c r="AP3633" s="77"/>
      <c r="AQ3633" s="77"/>
      <c r="AR3633" s="77"/>
      <c r="AS3633" s="77"/>
      <c r="AT3633" s="77"/>
      <c r="AU3633" s="77"/>
      <c r="AV3633" s="80" t="str">
        <f>HYPERLINK("https://pbs.twimg.com/profile_images/1241147984924082183/gZgx_hL-_normal.jpg")</f>
        <v>https://pbs.twimg.com/profile_images/1241147984924082183/gZgx_hL-_normal.jpg</v>
      </c>
      <c r="AW3633" s="82" t="s">
        <v>15229</v>
      </c>
      <c r="AX3633" s="82" t="s">
        <v>15229</v>
      </c>
      <c r="AY3633" s="77"/>
      <c r="AZ3633" s="82" t="s">
        <v>15984</v>
      </c>
      <c r="BA3633" s="82" t="s">
        <v>15984</v>
      </c>
      <c r="BB3633" s="82" t="s">
        <v>15984</v>
      </c>
      <c r="BC3633" s="82" t="s">
        <v>15229</v>
      </c>
      <c r="BD3633" s="82" t="s">
        <v>15979</v>
      </c>
      <c r="BE3633" s="77"/>
      <c r="BF3633" s="77"/>
      <c r="BG3633" s="77"/>
      <c r="BH3633" s="77"/>
      <c r="BI3633" s="77"/>
    </row>
    <row r="3634" spans="1:61" x14ac:dyDescent="0.25">
      <c r="A3634" s="62" t="s">
        <v>387</v>
      </c>
      <c r="B3634" s="62" t="s">
        <v>387</v>
      </c>
      <c r="C3634" s="63"/>
      <c r="D3634" s="64"/>
      <c r="E3634" s="65"/>
      <c r="F3634" s="66"/>
      <c r="G3634" s="63"/>
      <c r="H3634" s="67"/>
      <c r="I3634" s="68"/>
      <c r="J3634" s="68"/>
      <c r="K3634" s="32"/>
      <c r="L3634" s="75">
        <v>3634</v>
      </c>
      <c r="M3634" s="75"/>
      <c r="N3634" s="70"/>
      <c r="O3634" s="77" t="s">
        <v>179</v>
      </c>
      <c r="P3634" s="79">
        <v>45171.782430555555</v>
      </c>
      <c r="Q3634" s="77" t="s">
        <v>4304</v>
      </c>
      <c r="R3634" s="77">
        <v>0</v>
      </c>
      <c r="S3634" s="77">
        <v>0</v>
      </c>
      <c r="T3634" s="77">
        <v>0</v>
      </c>
      <c r="U3634" s="77">
        <v>0</v>
      </c>
      <c r="V3634" s="77">
        <v>538</v>
      </c>
      <c r="W3634" s="82" t="s">
        <v>5189</v>
      </c>
      <c r="X3634" s="80" t="str">
        <f>HYPERLINK("https://einvestidor.estadao.com.br/ultimas/gestor-precisa-ter-sucesso/?utm_source=estadao&amp;utm_medium=home&amp;utm_campaign=direto_estadao/?utm_source=twitter&amp;utm_medium=organic&amp;utm_campaign=&amp;utm_content=materia")</f>
        <v>https://einvestidor.estadao.com.br/ultimas/gestor-precisa-ter-sucesso/?utm_source=estadao&amp;utm_medium=home&amp;utm_campaign=direto_estadao/?utm_source=twitter&amp;utm_medium=organic&amp;utm_campaign=&amp;utm_content=materia</v>
      </c>
      <c r="Y3634" s="77" t="s">
        <v>6470</v>
      </c>
      <c r="Z3634" s="77"/>
      <c r="AA3634" s="77"/>
      <c r="AB3634" s="77"/>
      <c r="AC3634" s="82" t="s">
        <v>7750</v>
      </c>
      <c r="AD3634" s="77" t="s">
        <v>7788</v>
      </c>
      <c r="AE3634" s="80" t="str">
        <f>HYPERLINK("https://twitter.com/einvestidor/status/1698044797313757621")</f>
        <v>https://twitter.com/einvestidor/status/1698044797313757621</v>
      </c>
      <c r="AF3634" s="79">
        <v>45171.782430555555</v>
      </c>
      <c r="AG3634" s="85">
        <v>45171</v>
      </c>
      <c r="AH3634" s="82" t="s">
        <v>10103</v>
      </c>
      <c r="AI3634" s="77" t="b">
        <v>0</v>
      </c>
      <c r="AJ3634" s="77"/>
      <c r="AK3634" s="77"/>
      <c r="AL3634" s="77"/>
      <c r="AM3634" s="77"/>
      <c r="AN3634" s="77"/>
      <c r="AO3634" s="77"/>
      <c r="AP3634" s="77"/>
      <c r="AQ3634" s="77"/>
      <c r="AR3634" s="77"/>
      <c r="AS3634" s="77"/>
      <c r="AT3634" s="77"/>
      <c r="AU3634" s="77"/>
      <c r="AV3634" s="80" t="str">
        <f>HYPERLINK("https://pbs.twimg.com/profile_images/1241147984924082183/gZgx_hL-_normal.jpg")</f>
        <v>https://pbs.twimg.com/profile_images/1241147984924082183/gZgx_hL-_normal.jpg</v>
      </c>
      <c r="AW3634" s="82" t="s">
        <v>15230</v>
      </c>
      <c r="AX3634" s="82" t="s">
        <v>15230</v>
      </c>
      <c r="AY3634" s="77"/>
      <c r="AZ3634" s="82" t="s">
        <v>15984</v>
      </c>
      <c r="BA3634" s="82" t="s">
        <v>15984</v>
      </c>
      <c r="BB3634" s="82" t="s">
        <v>15984</v>
      </c>
      <c r="BC3634" s="82" t="s">
        <v>15230</v>
      </c>
      <c r="BD3634" s="82" t="s">
        <v>15979</v>
      </c>
      <c r="BE3634" s="77"/>
      <c r="BF3634" s="77"/>
      <c r="BG3634" s="77"/>
      <c r="BH3634" s="77"/>
      <c r="BI3634" s="77"/>
    </row>
    <row r="3635" spans="1:61" x14ac:dyDescent="0.25">
      <c r="A3635" s="62" t="s">
        <v>387</v>
      </c>
      <c r="B3635" s="62" t="s">
        <v>387</v>
      </c>
      <c r="C3635" s="63"/>
      <c r="D3635" s="64"/>
      <c r="E3635" s="65"/>
      <c r="F3635" s="66"/>
      <c r="G3635" s="63"/>
      <c r="H3635" s="67"/>
      <c r="I3635" s="68"/>
      <c r="J3635" s="68"/>
      <c r="K3635" s="32"/>
      <c r="L3635" s="75">
        <v>3635</v>
      </c>
      <c r="M3635" s="75"/>
      <c r="N3635" s="70"/>
      <c r="O3635" s="77" t="s">
        <v>179</v>
      </c>
      <c r="P3635" s="79">
        <v>45171.666678240741</v>
      </c>
      <c r="Q3635" s="77" t="s">
        <v>4305</v>
      </c>
      <c r="R3635" s="77">
        <v>1</v>
      </c>
      <c r="S3635" s="77">
        <v>1</v>
      </c>
      <c r="T3635" s="77">
        <v>0</v>
      </c>
      <c r="U3635" s="77">
        <v>0</v>
      </c>
      <c r="V3635" s="77">
        <v>472</v>
      </c>
      <c r="W3635" s="82" t="s">
        <v>4833</v>
      </c>
      <c r="X3635" s="80" t="str">
        <f>HYPERLINK("https://einvestidor.estadao.com.br/colunas/renato-indica/shows-alternativos-the-town-ate-90-reais/?utm_source=twitter&amp;utm_medium=organic&amp;utm_campaign=&amp;utm_content=materia")</f>
        <v>https://einvestidor.estadao.com.br/colunas/renato-indica/shows-alternativos-the-town-ate-90-reais/?utm_source=twitter&amp;utm_medium=organic&amp;utm_campaign=&amp;utm_content=materia</v>
      </c>
      <c r="Y3635" s="77" t="s">
        <v>6470</v>
      </c>
      <c r="Z3635" s="77"/>
      <c r="AA3635" s="77"/>
      <c r="AB3635" s="77"/>
      <c r="AC3635" s="82" t="s">
        <v>7750</v>
      </c>
      <c r="AD3635" s="77" t="s">
        <v>7788</v>
      </c>
      <c r="AE3635" s="80" t="str">
        <f>HYPERLINK("https://twitter.com/einvestidor/status/1698002849136079015")</f>
        <v>https://twitter.com/einvestidor/status/1698002849136079015</v>
      </c>
      <c r="AF3635" s="79">
        <v>45171.666678240741</v>
      </c>
      <c r="AG3635" s="85">
        <v>45171</v>
      </c>
      <c r="AH3635" s="82" t="s">
        <v>9639</v>
      </c>
      <c r="AI3635" s="77" t="b">
        <v>0</v>
      </c>
      <c r="AJ3635" s="77"/>
      <c r="AK3635" s="77"/>
      <c r="AL3635" s="77"/>
      <c r="AM3635" s="77"/>
      <c r="AN3635" s="77"/>
      <c r="AO3635" s="77"/>
      <c r="AP3635" s="77"/>
      <c r="AQ3635" s="77"/>
      <c r="AR3635" s="77"/>
      <c r="AS3635" s="77"/>
      <c r="AT3635" s="77"/>
      <c r="AU3635" s="77"/>
      <c r="AV3635" s="80" t="str">
        <f>HYPERLINK("https://pbs.twimg.com/profile_images/1241147984924082183/gZgx_hL-_normal.jpg")</f>
        <v>https://pbs.twimg.com/profile_images/1241147984924082183/gZgx_hL-_normal.jpg</v>
      </c>
      <c r="AW3635" s="82" t="s">
        <v>15231</v>
      </c>
      <c r="AX3635" s="82" t="s">
        <v>15231</v>
      </c>
      <c r="AY3635" s="77"/>
      <c r="AZ3635" s="82" t="s">
        <v>15984</v>
      </c>
      <c r="BA3635" s="82" t="s">
        <v>15984</v>
      </c>
      <c r="BB3635" s="82" t="s">
        <v>15984</v>
      </c>
      <c r="BC3635" s="82" t="s">
        <v>15231</v>
      </c>
      <c r="BD3635" s="82" t="s">
        <v>15979</v>
      </c>
      <c r="BE3635" s="77"/>
      <c r="BF3635" s="77"/>
      <c r="BG3635" s="77"/>
      <c r="BH3635" s="77"/>
      <c r="BI3635" s="77"/>
    </row>
    <row r="3636" spans="1:61" x14ac:dyDescent="0.25">
      <c r="A3636" s="62" t="s">
        <v>387</v>
      </c>
      <c r="B3636" s="62" t="s">
        <v>387</v>
      </c>
      <c r="C3636" s="63"/>
      <c r="D3636" s="64"/>
      <c r="E3636" s="65"/>
      <c r="F3636" s="66"/>
      <c r="G3636" s="63"/>
      <c r="H3636" s="67"/>
      <c r="I3636" s="68"/>
      <c r="J3636" s="68"/>
      <c r="K3636" s="32"/>
      <c r="L3636" s="75">
        <v>3636</v>
      </c>
      <c r="M3636" s="75"/>
      <c r="N3636" s="70"/>
      <c r="O3636" s="77" t="s">
        <v>179</v>
      </c>
      <c r="P3636" s="79">
        <v>45171.5</v>
      </c>
      <c r="Q3636" s="77" t="s">
        <v>4306</v>
      </c>
      <c r="R3636" s="77">
        <v>0</v>
      </c>
      <c r="S3636" s="77">
        <v>1</v>
      </c>
      <c r="T3636" s="77">
        <v>0</v>
      </c>
      <c r="U3636" s="77">
        <v>0</v>
      </c>
      <c r="V3636" s="77">
        <v>584</v>
      </c>
      <c r="W3636" s="82" t="s">
        <v>6363</v>
      </c>
      <c r="X3636" s="80" t="str">
        <f>HYPERLINK("https://einvestidor.estadao.com.br/educacao-financeira/cashback-dicas-como-economizar-aplicativos/?utm_source=twitter&amp;utm_medium=organic&amp;utm_campaign=&amp;utm_content=materia")</f>
        <v>https://einvestidor.estadao.com.br/educacao-financeira/cashback-dicas-como-economizar-aplicativos/?utm_source=twitter&amp;utm_medium=organic&amp;utm_campaign=&amp;utm_content=materia</v>
      </c>
      <c r="Y3636" s="77" t="s">
        <v>6470</v>
      </c>
      <c r="Z3636" s="77"/>
      <c r="AA3636" s="77"/>
      <c r="AB3636" s="77"/>
      <c r="AC3636" s="82" t="s">
        <v>7750</v>
      </c>
      <c r="AD3636" s="77" t="s">
        <v>7788</v>
      </c>
      <c r="AE3636" s="80" t="str">
        <f>HYPERLINK("https://twitter.com/einvestidor/status/1697942448020881567")</f>
        <v>https://twitter.com/einvestidor/status/1697942448020881567</v>
      </c>
      <c r="AF3636" s="79">
        <v>45171.5</v>
      </c>
      <c r="AG3636" s="85">
        <v>45171</v>
      </c>
      <c r="AH3636" s="82" t="s">
        <v>7872</v>
      </c>
      <c r="AI3636" s="77" t="b">
        <v>0</v>
      </c>
      <c r="AJ3636" s="77"/>
      <c r="AK3636" s="77"/>
      <c r="AL3636" s="77"/>
      <c r="AM3636" s="77"/>
      <c r="AN3636" s="77"/>
      <c r="AO3636" s="77"/>
      <c r="AP3636" s="77"/>
      <c r="AQ3636" s="77"/>
      <c r="AR3636" s="77"/>
      <c r="AS3636" s="77"/>
      <c r="AT3636" s="77"/>
      <c r="AU3636" s="77"/>
      <c r="AV3636" s="80" t="str">
        <f>HYPERLINK("https://pbs.twimg.com/profile_images/1241147984924082183/gZgx_hL-_normal.jpg")</f>
        <v>https://pbs.twimg.com/profile_images/1241147984924082183/gZgx_hL-_normal.jpg</v>
      </c>
      <c r="AW3636" s="82" t="s">
        <v>15232</v>
      </c>
      <c r="AX3636" s="82" t="s">
        <v>15232</v>
      </c>
      <c r="AY3636" s="77"/>
      <c r="AZ3636" s="82" t="s">
        <v>15984</v>
      </c>
      <c r="BA3636" s="82" t="s">
        <v>15984</v>
      </c>
      <c r="BB3636" s="82" t="s">
        <v>15984</v>
      </c>
      <c r="BC3636" s="82" t="s">
        <v>15232</v>
      </c>
      <c r="BD3636" s="82" t="s">
        <v>15979</v>
      </c>
      <c r="BE3636" s="77"/>
      <c r="BF3636" s="77"/>
      <c r="BG3636" s="77"/>
      <c r="BH3636" s="77"/>
      <c r="BI3636" s="77"/>
    </row>
    <row r="3637" spans="1:61" x14ac:dyDescent="0.25">
      <c r="A3637" s="62" t="s">
        <v>387</v>
      </c>
      <c r="B3637" s="62" t="s">
        <v>387</v>
      </c>
      <c r="C3637" s="63"/>
      <c r="D3637" s="64"/>
      <c r="E3637" s="65"/>
      <c r="F3637" s="66"/>
      <c r="G3637" s="63"/>
      <c r="H3637" s="67"/>
      <c r="I3637" s="68"/>
      <c r="J3637" s="68"/>
      <c r="K3637" s="32"/>
      <c r="L3637" s="75">
        <v>3637</v>
      </c>
      <c r="M3637" s="75"/>
      <c r="N3637" s="70"/>
      <c r="O3637" s="77" t="s">
        <v>179</v>
      </c>
      <c r="P3637" s="79">
        <v>45170.958333333336</v>
      </c>
      <c r="Q3637" s="77" t="s">
        <v>4307</v>
      </c>
      <c r="R3637" s="77">
        <v>0</v>
      </c>
      <c r="S3637" s="77">
        <v>7</v>
      </c>
      <c r="T3637" s="77">
        <v>0</v>
      </c>
      <c r="U3637" s="77">
        <v>0</v>
      </c>
      <c r="V3637" s="77">
        <v>987</v>
      </c>
      <c r="W3637" s="82" t="s">
        <v>5992</v>
      </c>
      <c r="X3637" s="80" t="str">
        <f>HYPERLINK("https://einvestidor.estadao.com.br/ultimas/warren-buffett-nao-seria-famoso-brasil/?utm_source=twitter&amp;utm_medium=organic&amp;utm_campaign=&amp;utm_content=materia")</f>
        <v>https://einvestidor.estadao.com.br/ultimas/warren-buffett-nao-seria-famoso-brasil/?utm_source=twitter&amp;utm_medium=organic&amp;utm_campaign=&amp;utm_content=materia</v>
      </c>
      <c r="Y3637" s="77" t="s">
        <v>6470</v>
      </c>
      <c r="Z3637" s="77"/>
      <c r="AA3637" s="77"/>
      <c r="AB3637" s="77"/>
      <c r="AC3637" s="82" t="s">
        <v>7750</v>
      </c>
      <c r="AD3637" s="77" t="s">
        <v>7788</v>
      </c>
      <c r="AE3637" s="80" t="str">
        <f>HYPERLINK("https://twitter.com/einvestidor/status/1697746153234735272")</f>
        <v>https://twitter.com/einvestidor/status/1697746153234735272</v>
      </c>
      <c r="AF3637" s="79">
        <v>45170.958333333336</v>
      </c>
      <c r="AG3637" s="85">
        <v>45170</v>
      </c>
      <c r="AH3637" s="82" t="s">
        <v>8279</v>
      </c>
      <c r="AI3637" s="77" t="b">
        <v>0</v>
      </c>
      <c r="AJ3637" s="77"/>
      <c r="AK3637" s="77"/>
      <c r="AL3637" s="77"/>
      <c r="AM3637" s="77"/>
      <c r="AN3637" s="77"/>
      <c r="AO3637" s="77"/>
      <c r="AP3637" s="77"/>
      <c r="AQ3637" s="77"/>
      <c r="AR3637" s="77"/>
      <c r="AS3637" s="77"/>
      <c r="AT3637" s="77"/>
      <c r="AU3637" s="77"/>
      <c r="AV3637" s="80" t="str">
        <f>HYPERLINK("https://pbs.twimg.com/profile_images/1241147984924082183/gZgx_hL-_normal.jpg")</f>
        <v>https://pbs.twimg.com/profile_images/1241147984924082183/gZgx_hL-_normal.jpg</v>
      </c>
      <c r="AW3637" s="82" t="s">
        <v>15233</v>
      </c>
      <c r="AX3637" s="82" t="s">
        <v>15233</v>
      </c>
      <c r="AY3637" s="77"/>
      <c r="AZ3637" s="82" t="s">
        <v>15984</v>
      </c>
      <c r="BA3637" s="82" t="s">
        <v>15984</v>
      </c>
      <c r="BB3637" s="82" t="s">
        <v>15984</v>
      </c>
      <c r="BC3637" s="82" t="s">
        <v>15233</v>
      </c>
      <c r="BD3637" s="82" t="s">
        <v>15979</v>
      </c>
      <c r="BE3637" s="77"/>
      <c r="BF3637" s="77"/>
      <c r="BG3637" s="77"/>
      <c r="BH3637" s="77"/>
      <c r="BI3637" s="77"/>
    </row>
    <row r="3638" spans="1:61" x14ac:dyDescent="0.25">
      <c r="A3638" s="62" t="s">
        <v>387</v>
      </c>
      <c r="B3638" s="62" t="s">
        <v>387</v>
      </c>
      <c r="C3638" s="63"/>
      <c r="D3638" s="64"/>
      <c r="E3638" s="65"/>
      <c r="F3638" s="66"/>
      <c r="G3638" s="63"/>
      <c r="H3638" s="67"/>
      <c r="I3638" s="68"/>
      <c r="J3638" s="68"/>
      <c r="K3638" s="32"/>
      <c r="L3638" s="75">
        <v>3638</v>
      </c>
      <c r="M3638" s="75"/>
      <c r="N3638" s="70"/>
      <c r="O3638" s="77" t="s">
        <v>179</v>
      </c>
      <c r="P3638" s="79">
        <v>45170.947916666664</v>
      </c>
      <c r="Q3638" s="77" t="s">
        <v>4308</v>
      </c>
      <c r="R3638" s="77">
        <v>0</v>
      </c>
      <c r="S3638" s="77">
        <v>2</v>
      </c>
      <c r="T3638" s="77">
        <v>0</v>
      </c>
      <c r="U3638" s="77">
        <v>0</v>
      </c>
      <c r="V3638" s="77">
        <v>746</v>
      </c>
      <c r="W3638" s="82" t="s">
        <v>6364</v>
      </c>
      <c r="X3638" s="80" t="str">
        <f>HYPERLINK("https://einvestidor.estadao.com.br/negocios/melhor-assessoria-investimentos-xp-brasil/?utm_source=twitter&amp;utm_medium=organic&amp;utm_campaign=&amp;utm_content=materia")</f>
        <v>https://einvestidor.estadao.com.br/negocios/melhor-assessoria-investimentos-xp-brasil/?utm_source=twitter&amp;utm_medium=organic&amp;utm_campaign=&amp;utm_content=materia</v>
      </c>
      <c r="Y3638" s="77" t="s">
        <v>6470</v>
      </c>
      <c r="Z3638" s="77"/>
      <c r="AA3638" s="77"/>
      <c r="AB3638" s="77"/>
      <c r="AC3638" s="82" t="s">
        <v>7750</v>
      </c>
      <c r="AD3638" s="77" t="s">
        <v>7788</v>
      </c>
      <c r="AE3638" s="80" t="str">
        <f>HYPERLINK("https://twitter.com/einvestidor/status/1697742378491101458")</f>
        <v>https://twitter.com/einvestidor/status/1697742378491101458</v>
      </c>
      <c r="AF3638" s="79">
        <v>45170.947916666664</v>
      </c>
      <c r="AG3638" s="85">
        <v>45170</v>
      </c>
      <c r="AH3638" s="82" t="s">
        <v>9595</v>
      </c>
      <c r="AI3638" s="77" t="b">
        <v>0</v>
      </c>
      <c r="AJ3638" s="77"/>
      <c r="AK3638" s="77"/>
      <c r="AL3638" s="77"/>
      <c r="AM3638" s="77"/>
      <c r="AN3638" s="77"/>
      <c r="AO3638" s="77"/>
      <c r="AP3638" s="77"/>
      <c r="AQ3638" s="77"/>
      <c r="AR3638" s="77"/>
      <c r="AS3638" s="77"/>
      <c r="AT3638" s="77"/>
      <c r="AU3638" s="77"/>
      <c r="AV3638" s="80" t="str">
        <f>HYPERLINK("https://pbs.twimg.com/profile_images/1241147984924082183/gZgx_hL-_normal.jpg")</f>
        <v>https://pbs.twimg.com/profile_images/1241147984924082183/gZgx_hL-_normal.jpg</v>
      </c>
      <c r="AW3638" s="82" t="s">
        <v>15234</v>
      </c>
      <c r="AX3638" s="82" t="s">
        <v>15234</v>
      </c>
      <c r="AY3638" s="77"/>
      <c r="AZ3638" s="82" t="s">
        <v>15984</v>
      </c>
      <c r="BA3638" s="82" t="s">
        <v>15984</v>
      </c>
      <c r="BB3638" s="82" t="s">
        <v>15984</v>
      </c>
      <c r="BC3638" s="82" t="s">
        <v>15234</v>
      </c>
      <c r="BD3638" s="82" t="s">
        <v>15979</v>
      </c>
      <c r="BE3638" s="77"/>
      <c r="BF3638" s="77"/>
      <c r="BG3638" s="77"/>
      <c r="BH3638" s="77"/>
      <c r="BI3638" s="77"/>
    </row>
    <row r="3639" spans="1:61" x14ac:dyDescent="0.25">
      <c r="A3639" s="62" t="s">
        <v>387</v>
      </c>
      <c r="B3639" s="62" t="s">
        <v>387</v>
      </c>
      <c r="C3639" s="63"/>
      <c r="D3639" s="64"/>
      <c r="E3639" s="65"/>
      <c r="F3639" s="66"/>
      <c r="G3639" s="63"/>
      <c r="H3639" s="67"/>
      <c r="I3639" s="68"/>
      <c r="J3639" s="68"/>
      <c r="K3639" s="32"/>
      <c r="L3639" s="75">
        <v>3639</v>
      </c>
      <c r="M3639" s="75"/>
      <c r="N3639" s="70"/>
      <c r="O3639" s="77" t="s">
        <v>179</v>
      </c>
      <c r="P3639" s="79">
        <v>45170.9375</v>
      </c>
      <c r="Q3639" s="77" t="s">
        <v>4309</v>
      </c>
      <c r="R3639" s="77">
        <v>0</v>
      </c>
      <c r="S3639" s="77">
        <v>1</v>
      </c>
      <c r="T3639" s="77">
        <v>0</v>
      </c>
      <c r="U3639" s="77">
        <v>0</v>
      </c>
      <c r="V3639" s="77">
        <v>692</v>
      </c>
      <c r="W3639" s="82" t="s">
        <v>4833</v>
      </c>
      <c r="X3639" s="80" t="str">
        <f>HYPERLINK("https://einvestidor.estadao.com.br/ultimas/louise-barsi-indica-acoes-expert-xp/?utm_source=twitter&amp;utm_medium=organic&amp;utm_campaign=&amp;utm_content=materia")</f>
        <v>https://einvestidor.estadao.com.br/ultimas/louise-barsi-indica-acoes-expert-xp/?utm_source=twitter&amp;utm_medium=organic&amp;utm_campaign=&amp;utm_content=materia</v>
      </c>
      <c r="Y3639" s="77" t="s">
        <v>6470</v>
      </c>
      <c r="Z3639" s="77"/>
      <c r="AA3639" s="77"/>
      <c r="AB3639" s="77"/>
      <c r="AC3639" s="82" t="s">
        <v>7750</v>
      </c>
      <c r="AD3639" s="77" t="s">
        <v>7788</v>
      </c>
      <c r="AE3639" s="80" t="str">
        <f>HYPERLINK("https://twitter.com/einvestidor/status/1697738603517108489")</f>
        <v>https://twitter.com/einvestidor/status/1697738603517108489</v>
      </c>
      <c r="AF3639" s="79">
        <v>45170.9375</v>
      </c>
      <c r="AG3639" s="85">
        <v>45170</v>
      </c>
      <c r="AH3639" s="82" t="s">
        <v>7926</v>
      </c>
      <c r="AI3639" s="77" t="b">
        <v>0</v>
      </c>
      <c r="AJ3639" s="77"/>
      <c r="AK3639" s="77"/>
      <c r="AL3639" s="77"/>
      <c r="AM3639" s="77"/>
      <c r="AN3639" s="77"/>
      <c r="AO3639" s="77"/>
      <c r="AP3639" s="77"/>
      <c r="AQ3639" s="77"/>
      <c r="AR3639" s="77"/>
      <c r="AS3639" s="77"/>
      <c r="AT3639" s="77"/>
      <c r="AU3639" s="77"/>
      <c r="AV3639" s="80" t="str">
        <f>HYPERLINK("https://pbs.twimg.com/profile_images/1241147984924082183/gZgx_hL-_normal.jpg")</f>
        <v>https://pbs.twimg.com/profile_images/1241147984924082183/gZgx_hL-_normal.jpg</v>
      </c>
      <c r="AW3639" s="82" t="s">
        <v>15235</v>
      </c>
      <c r="AX3639" s="82" t="s">
        <v>15235</v>
      </c>
      <c r="AY3639" s="77"/>
      <c r="AZ3639" s="82" t="s">
        <v>15984</v>
      </c>
      <c r="BA3639" s="82" t="s">
        <v>15984</v>
      </c>
      <c r="BB3639" s="82" t="s">
        <v>15984</v>
      </c>
      <c r="BC3639" s="82" t="s">
        <v>15235</v>
      </c>
      <c r="BD3639" s="82" t="s">
        <v>15979</v>
      </c>
      <c r="BE3639" s="77"/>
      <c r="BF3639" s="77"/>
      <c r="BG3639" s="77"/>
      <c r="BH3639" s="77"/>
      <c r="BI3639" s="77"/>
    </row>
    <row r="3640" spans="1:61" x14ac:dyDescent="0.25">
      <c r="A3640" s="62" t="s">
        <v>387</v>
      </c>
      <c r="B3640" s="62" t="s">
        <v>387</v>
      </c>
      <c r="C3640" s="63"/>
      <c r="D3640" s="64"/>
      <c r="E3640" s="65"/>
      <c r="F3640" s="66"/>
      <c r="G3640" s="63"/>
      <c r="H3640" s="67"/>
      <c r="I3640" s="68"/>
      <c r="J3640" s="68"/>
      <c r="K3640" s="32"/>
      <c r="L3640" s="75">
        <v>3640</v>
      </c>
      <c r="M3640" s="75"/>
      <c r="N3640" s="70"/>
      <c r="O3640" s="77" t="s">
        <v>179</v>
      </c>
      <c r="P3640" s="79">
        <v>45170.927083333336</v>
      </c>
      <c r="Q3640" s="77" t="s">
        <v>4310</v>
      </c>
      <c r="R3640" s="77">
        <v>0</v>
      </c>
      <c r="S3640" s="77">
        <v>1</v>
      </c>
      <c r="T3640" s="77">
        <v>0</v>
      </c>
      <c r="U3640" s="77">
        <v>0</v>
      </c>
      <c r="V3640" s="77">
        <v>765</v>
      </c>
      <c r="W3640" s="82" t="s">
        <v>4833</v>
      </c>
      <c r="X3640" s="80" t="str">
        <f>HYPERLINK("https://einvestidor.estadao.com.br/educacao-financeira/o-que-e-cvv-credito-debito/?utm_source=twitter&amp;utm_medium=organic&amp;utm_campaign=&amp;utm_content=materia")</f>
        <v>https://einvestidor.estadao.com.br/educacao-financeira/o-que-e-cvv-credito-debito/?utm_source=twitter&amp;utm_medium=organic&amp;utm_campaign=&amp;utm_content=materia</v>
      </c>
      <c r="Y3640" s="77" t="s">
        <v>6470</v>
      </c>
      <c r="Z3640" s="77"/>
      <c r="AA3640" s="77"/>
      <c r="AB3640" s="77"/>
      <c r="AC3640" s="82" t="s">
        <v>7750</v>
      </c>
      <c r="AD3640" s="77" t="s">
        <v>7788</v>
      </c>
      <c r="AE3640" s="80" t="str">
        <f>HYPERLINK("https://twitter.com/einvestidor/status/1697734828765094058")</f>
        <v>https://twitter.com/einvestidor/status/1697734828765094058</v>
      </c>
      <c r="AF3640" s="79">
        <v>45170.927083333336</v>
      </c>
      <c r="AG3640" s="85">
        <v>45170</v>
      </c>
      <c r="AH3640" s="82" t="s">
        <v>9576</v>
      </c>
      <c r="AI3640" s="77" t="b">
        <v>0</v>
      </c>
      <c r="AJ3640" s="77"/>
      <c r="AK3640" s="77"/>
      <c r="AL3640" s="77"/>
      <c r="AM3640" s="77"/>
      <c r="AN3640" s="77"/>
      <c r="AO3640" s="77"/>
      <c r="AP3640" s="77"/>
      <c r="AQ3640" s="77"/>
      <c r="AR3640" s="77"/>
      <c r="AS3640" s="77"/>
      <c r="AT3640" s="77"/>
      <c r="AU3640" s="77"/>
      <c r="AV3640" s="80" t="str">
        <f>HYPERLINK("https://pbs.twimg.com/profile_images/1241147984924082183/gZgx_hL-_normal.jpg")</f>
        <v>https://pbs.twimg.com/profile_images/1241147984924082183/gZgx_hL-_normal.jpg</v>
      </c>
      <c r="AW3640" s="82" t="s">
        <v>15236</v>
      </c>
      <c r="AX3640" s="82" t="s">
        <v>15236</v>
      </c>
      <c r="AY3640" s="77"/>
      <c r="AZ3640" s="82" t="s">
        <v>15984</v>
      </c>
      <c r="BA3640" s="82" t="s">
        <v>15984</v>
      </c>
      <c r="BB3640" s="82" t="s">
        <v>15984</v>
      </c>
      <c r="BC3640" s="82" t="s">
        <v>15236</v>
      </c>
      <c r="BD3640" s="82" t="s">
        <v>15979</v>
      </c>
      <c r="BE3640" s="77"/>
      <c r="BF3640" s="77"/>
      <c r="BG3640" s="77"/>
      <c r="BH3640" s="77"/>
      <c r="BI3640" s="77"/>
    </row>
    <row r="3641" spans="1:61" x14ac:dyDescent="0.25">
      <c r="A3641" s="62" t="s">
        <v>387</v>
      </c>
      <c r="B3641" s="62" t="s">
        <v>387</v>
      </c>
      <c r="C3641" s="63"/>
      <c r="D3641" s="64"/>
      <c r="E3641" s="65"/>
      <c r="F3641" s="66"/>
      <c r="G3641" s="63"/>
      <c r="H3641" s="67"/>
      <c r="I3641" s="68"/>
      <c r="J3641" s="68"/>
      <c r="K3641" s="32"/>
      <c r="L3641" s="75">
        <v>3641</v>
      </c>
      <c r="M3641" s="75"/>
      <c r="N3641" s="70"/>
      <c r="O3641" s="77" t="s">
        <v>179</v>
      </c>
      <c r="P3641" s="79">
        <v>45170.895833333336</v>
      </c>
      <c r="Q3641" s="77" t="s">
        <v>4311</v>
      </c>
      <c r="R3641" s="77">
        <v>0</v>
      </c>
      <c r="S3641" s="77">
        <v>0</v>
      </c>
      <c r="T3641" s="77">
        <v>0</v>
      </c>
      <c r="U3641" s="77">
        <v>0</v>
      </c>
      <c r="V3641" s="77">
        <v>680</v>
      </c>
      <c r="W3641" s="82" t="s">
        <v>4833</v>
      </c>
      <c r="X3641" s="80" t="str">
        <f>HYPERLINK("https://einvestidor.estadao.com.br/ultimas/drex-real-digital-oportunidades-especialistas/?utm_source=twitter&amp;utm_medium=organic&amp;utm_campaign=&amp;utm_content=materia")</f>
        <v>https://einvestidor.estadao.com.br/ultimas/drex-real-digital-oportunidades-especialistas/?utm_source=twitter&amp;utm_medium=organic&amp;utm_campaign=&amp;utm_content=materia</v>
      </c>
      <c r="Y3641" s="77" t="s">
        <v>6470</v>
      </c>
      <c r="Z3641" s="77"/>
      <c r="AA3641" s="77"/>
      <c r="AB3641" s="77"/>
      <c r="AC3641" s="82" t="s">
        <v>7750</v>
      </c>
      <c r="AD3641" s="77" t="s">
        <v>7788</v>
      </c>
      <c r="AE3641" s="80" t="str">
        <f>HYPERLINK("https://twitter.com/einvestidor/status/1697723504664379438")</f>
        <v>https://twitter.com/einvestidor/status/1697723504664379438</v>
      </c>
      <c r="AF3641" s="79">
        <v>45170.895833333336</v>
      </c>
      <c r="AG3641" s="85">
        <v>45170</v>
      </c>
      <c r="AH3641" s="82" t="s">
        <v>8089</v>
      </c>
      <c r="AI3641" s="77" t="b">
        <v>0</v>
      </c>
      <c r="AJ3641" s="77"/>
      <c r="AK3641" s="77"/>
      <c r="AL3641" s="77"/>
      <c r="AM3641" s="77"/>
      <c r="AN3641" s="77"/>
      <c r="AO3641" s="77"/>
      <c r="AP3641" s="77"/>
      <c r="AQ3641" s="77"/>
      <c r="AR3641" s="77"/>
      <c r="AS3641" s="77"/>
      <c r="AT3641" s="77"/>
      <c r="AU3641" s="77"/>
      <c r="AV3641" s="80" t="str">
        <f>HYPERLINK("https://pbs.twimg.com/profile_images/1241147984924082183/gZgx_hL-_normal.jpg")</f>
        <v>https://pbs.twimg.com/profile_images/1241147984924082183/gZgx_hL-_normal.jpg</v>
      </c>
      <c r="AW3641" s="82" t="s">
        <v>15237</v>
      </c>
      <c r="AX3641" s="82" t="s">
        <v>15237</v>
      </c>
      <c r="AY3641" s="77"/>
      <c r="AZ3641" s="82" t="s">
        <v>15984</v>
      </c>
      <c r="BA3641" s="82" t="s">
        <v>15984</v>
      </c>
      <c r="BB3641" s="82" t="s">
        <v>15984</v>
      </c>
      <c r="BC3641" s="82" t="s">
        <v>15237</v>
      </c>
      <c r="BD3641" s="82" t="s">
        <v>15979</v>
      </c>
      <c r="BE3641" s="77"/>
      <c r="BF3641" s="77"/>
      <c r="BG3641" s="77"/>
      <c r="BH3641" s="77"/>
      <c r="BI3641" s="77"/>
    </row>
    <row r="3642" spans="1:61" x14ac:dyDescent="0.25">
      <c r="A3642" s="62" t="s">
        <v>387</v>
      </c>
      <c r="B3642" s="62" t="s">
        <v>387</v>
      </c>
      <c r="C3642" s="63"/>
      <c r="D3642" s="64"/>
      <c r="E3642" s="65"/>
      <c r="F3642" s="66"/>
      <c r="G3642" s="63"/>
      <c r="H3642" s="67"/>
      <c r="I3642" s="68"/>
      <c r="J3642" s="68"/>
      <c r="K3642" s="32"/>
      <c r="L3642" s="75">
        <v>3642</v>
      </c>
      <c r="M3642" s="75"/>
      <c r="N3642" s="70"/>
      <c r="O3642" s="77" t="s">
        <v>179</v>
      </c>
      <c r="P3642" s="79">
        <v>45170.882361111115</v>
      </c>
      <c r="Q3642" s="77" t="s">
        <v>4312</v>
      </c>
      <c r="R3642" s="77">
        <v>0</v>
      </c>
      <c r="S3642" s="77">
        <v>1</v>
      </c>
      <c r="T3642" s="77">
        <v>0</v>
      </c>
      <c r="U3642" s="77">
        <v>0</v>
      </c>
      <c r="V3642" s="77">
        <v>562</v>
      </c>
      <c r="W3642" s="82" t="s">
        <v>4833</v>
      </c>
      <c r="X3642" s="80" t="str">
        <f>HYPERLINK("https://einvestidor.estadao.com.br/colunas/eduardo-mira/brics-reflexos-na-sua-carteira-de-investimentos/?utm_source=twitter&amp;utm_medium=organic&amp;utm_campaign=&amp;utm_content=materia")</f>
        <v>https://einvestidor.estadao.com.br/colunas/eduardo-mira/brics-reflexos-na-sua-carteira-de-investimentos/?utm_source=twitter&amp;utm_medium=organic&amp;utm_campaign=&amp;utm_content=materia</v>
      </c>
      <c r="Y3642" s="77" t="s">
        <v>6470</v>
      </c>
      <c r="Z3642" s="77"/>
      <c r="AA3642" s="77"/>
      <c r="AB3642" s="77"/>
      <c r="AC3642" s="82" t="s">
        <v>7750</v>
      </c>
      <c r="AD3642" s="77" t="s">
        <v>7788</v>
      </c>
      <c r="AE3642" s="80" t="str">
        <f>HYPERLINK("https://twitter.com/einvestidor/status/1697718624729878829")</f>
        <v>https://twitter.com/einvestidor/status/1697718624729878829</v>
      </c>
      <c r="AF3642" s="79">
        <v>45170.882361111115</v>
      </c>
      <c r="AG3642" s="85">
        <v>45170</v>
      </c>
      <c r="AH3642" s="82" t="s">
        <v>10104</v>
      </c>
      <c r="AI3642" s="77" t="b">
        <v>0</v>
      </c>
      <c r="AJ3642" s="77"/>
      <c r="AK3642" s="77"/>
      <c r="AL3642" s="77"/>
      <c r="AM3642" s="77"/>
      <c r="AN3642" s="77"/>
      <c r="AO3642" s="77"/>
      <c r="AP3642" s="77"/>
      <c r="AQ3642" s="77"/>
      <c r="AR3642" s="77"/>
      <c r="AS3642" s="77"/>
      <c r="AT3642" s="77"/>
      <c r="AU3642" s="77"/>
      <c r="AV3642" s="80" t="str">
        <f>HYPERLINK("https://pbs.twimg.com/profile_images/1241147984924082183/gZgx_hL-_normal.jpg")</f>
        <v>https://pbs.twimg.com/profile_images/1241147984924082183/gZgx_hL-_normal.jpg</v>
      </c>
      <c r="AW3642" s="82" t="s">
        <v>15238</v>
      </c>
      <c r="AX3642" s="82" t="s">
        <v>15238</v>
      </c>
      <c r="AY3642" s="77"/>
      <c r="AZ3642" s="82" t="s">
        <v>15984</v>
      </c>
      <c r="BA3642" s="82" t="s">
        <v>15984</v>
      </c>
      <c r="BB3642" s="82" t="s">
        <v>15984</v>
      </c>
      <c r="BC3642" s="82" t="s">
        <v>15238</v>
      </c>
      <c r="BD3642" s="82" t="s">
        <v>15979</v>
      </c>
      <c r="BE3642" s="77"/>
      <c r="BF3642" s="77"/>
      <c r="BG3642" s="77"/>
      <c r="BH3642" s="77"/>
      <c r="BI3642" s="77"/>
    </row>
    <row r="3643" spans="1:61" x14ac:dyDescent="0.25">
      <c r="A3643" s="62" t="s">
        <v>387</v>
      </c>
      <c r="B3643" s="62" t="s">
        <v>387</v>
      </c>
      <c r="C3643" s="63"/>
      <c r="D3643" s="64"/>
      <c r="E3643" s="65"/>
      <c r="F3643" s="66"/>
      <c r="G3643" s="63"/>
      <c r="H3643" s="67"/>
      <c r="I3643" s="68"/>
      <c r="J3643" s="68"/>
      <c r="K3643" s="32"/>
      <c r="L3643" s="75">
        <v>3643</v>
      </c>
      <c r="M3643" s="75"/>
      <c r="N3643" s="70"/>
      <c r="O3643" s="77" t="s">
        <v>179</v>
      </c>
      <c r="P3643" s="79">
        <v>45149.791666666664</v>
      </c>
      <c r="Q3643" s="77" t="s">
        <v>4313</v>
      </c>
      <c r="R3643" s="77">
        <v>0</v>
      </c>
      <c r="S3643" s="77">
        <v>1</v>
      </c>
      <c r="T3643" s="77">
        <v>0</v>
      </c>
      <c r="U3643" s="77">
        <v>0</v>
      </c>
      <c r="V3643" s="77">
        <v>417</v>
      </c>
      <c r="W3643" s="82" t="s">
        <v>5968</v>
      </c>
      <c r="X3643" s="80" t="str">
        <f>HYPERLINK("https://mla.bs/c1484cdf")</f>
        <v>https://mla.bs/c1484cdf</v>
      </c>
      <c r="Y3643" s="77" t="s">
        <v>6506</v>
      </c>
      <c r="Z3643" s="77"/>
      <c r="AA3643" s="77"/>
      <c r="AB3643" s="77"/>
      <c r="AC3643" s="82" t="s">
        <v>7754</v>
      </c>
      <c r="AD3643" s="77" t="s">
        <v>7788</v>
      </c>
      <c r="AE3643" s="80" t="str">
        <f>HYPERLINK("https://twitter.com/einvestidor/status/1690075610121666561")</f>
        <v>https://twitter.com/einvestidor/status/1690075610121666561</v>
      </c>
      <c r="AF3643" s="79">
        <v>45149.791666666664</v>
      </c>
      <c r="AG3643" s="85">
        <v>45149</v>
      </c>
      <c r="AH3643" s="82" t="s">
        <v>9299</v>
      </c>
      <c r="AI3643" s="77" t="b">
        <v>0</v>
      </c>
      <c r="AJ3643" s="77"/>
      <c r="AK3643" s="77"/>
      <c r="AL3643" s="77"/>
      <c r="AM3643" s="77"/>
      <c r="AN3643" s="77"/>
      <c r="AO3643" s="77"/>
      <c r="AP3643" s="77"/>
      <c r="AQ3643" s="77"/>
      <c r="AR3643" s="77"/>
      <c r="AS3643" s="77"/>
      <c r="AT3643" s="77"/>
      <c r="AU3643" s="77"/>
      <c r="AV3643" s="80" t="str">
        <f>HYPERLINK("https://pbs.twimg.com/profile_images/1241147984924082183/gZgx_hL-_normal.jpg")</f>
        <v>https://pbs.twimg.com/profile_images/1241147984924082183/gZgx_hL-_normal.jpg</v>
      </c>
      <c r="AW3643" s="82" t="s">
        <v>15239</v>
      </c>
      <c r="AX3643" s="82" t="s">
        <v>15239</v>
      </c>
      <c r="AY3643" s="77"/>
      <c r="AZ3643" s="82" t="s">
        <v>15984</v>
      </c>
      <c r="BA3643" s="82" t="s">
        <v>15984</v>
      </c>
      <c r="BB3643" s="82" t="s">
        <v>15984</v>
      </c>
      <c r="BC3643" s="82" t="s">
        <v>15239</v>
      </c>
      <c r="BD3643" s="82" t="s">
        <v>15979</v>
      </c>
      <c r="BE3643" s="77"/>
      <c r="BF3643" s="77"/>
      <c r="BG3643" s="77"/>
      <c r="BH3643" s="77"/>
      <c r="BI3643" s="77"/>
    </row>
    <row r="3644" spans="1:61" x14ac:dyDescent="0.25">
      <c r="A3644" s="62" t="s">
        <v>387</v>
      </c>
      <c r="B3644" s="62" t="s">
        <v>387</v>
      </c>
      <c r="C3644" s="63"/>
      <c r="D3644" s="64"/>
      <c r="E3644" s="65"/>
      <c r="F3644" s="66"/>
      <c r="G3644" s="63"/>
      <c r="H3644" s="67"/>
      <c r="I3644" s="68"/>
      <c r="J3644" s="68"/>
      <c r="K3644" s="32"/>
      <c r="L3644" s="75">
        <v>3644</v>
      </c>
      <c r="M3644" s="75"/>
      <c r="N3644" s="70"/>
      <c r="O3644" s="77" t="s">
        <v>179</v>
      </c>
      <c r="P3644" s="79">
        <v>45149.78125</v>
      </c>
      <c r="Q3644" s="77" t="s">
        <v>4314</v>
      </c>
      <c r="R3644" s="77">
        <v>0</v>
      </c>
      <c r="S3644" s="77">
        <v>0</v>
      </c>
      <c r="T3644" s="77">
        <v>0</v>
      </c>
      <c r="U3644" s="77">
        <v>0</v>
      </c>
      <c r="V3644" s="77">
        <v>491</v>
      </c>
      <c r="W3644" s="82" t="s">
        <v>4833</v>
      </c>
      <c r="X3644" s="80" t="str">
        <f>HYPERLINK("https://mla.bs/05d2d36d")</f>
        <v>https://mla.bs/05d2d36d</v>
      </c>
      <c r="Y3644" s="77" t="s">
        <v>6506</v>
      </c>
      <c r="Z3644" s="77"/>
      <c r="AA3644" s="77"/>
      <c r="AB3644" s="77"/>
      <c r="AC3644" s="82" t="s">
        <v>7754</v>
      </c>
      <c r="AD3644" s="77" t="s">
        <v>7788</v>
      </c>
      <c r="AE3644" s="80" t="str">
        <f>HYPERLINK("https://twitter.com/einvestidor/status/1690071835331764224")</f>
        <v>https://twitter.com/einvestidor/status/1690071835331764224</v>
      </c>
      <c r="AF3644" s="79">
        <v>45149.78125</v>
      </c>
      <c r="AG3644" s="85">
        <v>45149</v>
      </c>
      <c r="AH3644" s="82" t="s">
        <v>9581</v>
      </c>
      <c r="AI3644" s="77" t="b">
        <v>0</v>
      </c>
      <c r="AJ3644" s="77"/>
      <c r="AK3644" s="77"/>
      <c r="AL3644" s="77"/>
      <c r="AM3644" s="77"/>
      <c r="AN3644" s="77"/>
      <c r="AO3644" s="77"/>
      <c r="AP3644" s="77"/>
      <c r="AQ3644" s="77"/>
      <c r="AR3644" s="77"/>
      <c r="AS3644" s="77"/>
      <c r="AT3644" s="77"/>
      <c r="AU3644" s="77"/>
      <c r="AV3644" s="80" t="str">
        <f>HYPERLINK("https://pbs.twimg.com/profile_images/1241147984924082183/gZgx_hL-_normal.jpg")</f>
        <v>https://pbs.twimg.com/profile_images/1241147984924082183/gZgx_hL-_normal.jpg</v>
      </c>
      <c r="AW3644" s="82" t="s">
        <v>15240</v>
      </c>
      <c r="AX3644" s="82" t="s">
        <v>15240</v>
      </c>
      <c r="AY3644" s="77"/>
      <c r="AZ3644" s="82" t="s">
        <v>15984</v>
      </c>
      <c r="BA3644" s="82" t="s">
        <v>15984</v>
      </c>
      <c r="BB3644" s="82" t="s">
        <v>15984</v>
      </c>
      <c r="BC3644" s="82" t="s">
        <v>15240</v>
      </c>
      <c r="BD3644" s="82" t="s">
        <v>15979</v>
      </c>
      <c r="BE3644" s="77"/>
      <c r="BF3644" s="77"/>
      <c r="BG3644" s="77"/>
      <c r="BH3644" s="77"/>
      <c r="BI3644" s="77"/>
    </row>
    <row r="3645" spans="1:61" x14ac:dyDescent="0.25">
      <c r="A3645" s="62" t="s">
        <v>387</v>
      </c>
      <c r="B3645" s="62" t="s">
        <v>387</v>
      </c>
      <c r="C3645" s="63"/>
      <c r="D3645" s="64"/>
      <c r="E3645" s="65"/>
      <c r="F3645" s="66"/>
      <c r="G3645" s="63"/>
      <c r="H3645" s="67"/>
      <c r="I3645" s="68"/>
      <c r="J3645" s="68"/>
      <c r="K3645" s="32"/>
      <c r="L3645" s="75">
        <v>3645</v>
      </c>
      <c r="M3645" s="75"/>
      <c r="N3645" s="70"/>
      <c r="O3645" s="77" t="s">
        <v>179</v>
      </c>
      <c r="P3645" s="79">
        <v>45149.750011574077</v>
      </c>
      <c r="Q3645" s="77" t="s">
        <v>4315</v>
      </c>
      <c r="R3645" s="77">
        <v>1</v>
      </c>
      <c r="S3645" s="77">
        <v>2</v>
      </c>
      <c r="T3645" s="77">
        <v>0</v>
      </c>
      <c r="U3645" s="77">
        <v>0</v>
      </c>
      <c r="V3645" s="77">
        <v>504</v>
      </c>
      <c r="W3645" s="82" t="s">
        <v>4833</v>
      </c>
      <c r="X3645" s="80" t="str">
        <f>HYPERLINK("https://einvestidor.estadao.com.br/educacao-financeira/ouro-18k-quanto-custa-grama-hoje/?utm_source=twitter&amp;utm_medium=organic&amp;utm_campaign=ouro-18k&amp;utm_content=materia")</f>
        <v>https://einvestidor.estadao.com.br/educacao-financeira/ouro-18k-quanto-custa-grama-hoje/?utm_source=twitter&amp;utm_medium=organic&amp;utm_campaign=ouro-18k&amp;utm_content=materia</v>
      </c>
      <c r="Y3645" s="77" t="s">
        <v>6470</v>
      </c>
      <c r="Z3645" s="77"/>
      <c r="AA3645" s="77" t="s">
        <v>7690</v>
      </c>
      <c r="AB3645" s="77" t="s">
        <v>7742</v>
      </c>
      <c r="AC3645" s="82" t="s">
        <v>7754</v>
      </c>
      <c r="AD3645" s="77" t="s">
        <v>7788</v>
      </c>
      <c r="AE3645" s="80" t="str">
        <f>HYPERLINK("https://twitter.com/einvestidor/status/1690060516884922368")</f>
        <v>https://twitter.com/einvestidor/status/1690060516884922368</v>
      </c>
      <c r="AF3645" s="79">
        <v>45149.750011574077</v>
      </c>
      <c r="AG3645" s="85">
        <v>45149</v>
      </c>
      <c r="AH3645" s="82" t="s">
        <v>9625</v>
      </c>
      <c r="AI3645" s="77" t="b">
        <v>0</v>
      </c>
      <c r="AJ3645" s="77"/>
      <c r="AK3645" s="77"/>
      <c r="AL3645" s="77"/>
      <c r="AM3645" s="77"/>
      <c r="AN3645" s="77"/>
      <c r="AO3645" s="77"/>
      <c r="AP3645" s="77"/>
      <c r="AQ3645" s="77" t="s">
        <v>11662</v>
      </c>
      <c r="AR3645" s="77"/>
      <c r="AS3645" s="77"/>
      <c r="AT3645" s="77"/>
      <c r="AU3645" s="77"/>
      <c r="AV3645" s="80" t="str">
        <f>HYPERLINK("https://pbs.twimg.com/media/F3QoWFmXkAELAjv.png")</f>
        <v>https://pbs.twimg.com/media/F3QoWFmXkAELAjv.png</v>
      </c>
      <c r="AW3645" s="82" t="s">
        <v>15241</v>
      </c>
      <c r="AX3645" s="82" t="s">
        <v>15241</v>
      </c>
      <c r="AY3645" s="77"/>
      <c r="AZ3645" s="82" t="s">
        <v>15984</v>
      </c>
      <c r="BA3645" s="82" t="s">
        <v>15984</v>
      </c>
      <c r="BB3645" s="82" t="s">
        <v>15984</v>
      </c>
      <c r="BC3645" s="82" t="s">
        <v>15241</v>
      </c>
      <c r="BD3645" s="82" t="s">
        <v>15979</v>
      </c>
      <c r="BE3645" s="77"/>
      <c r="BF3645" s="77"/>
      <c r="BG3645" s="77"/>
      <c r="BH3645" s="77"/>
      <c r="BI3645" s="77"/>
    </row>
    <row r="3646" spans="1:61" x14ac:dyDescent="0.25">
      <c r="A3646" s="62" t="s">
        <v>387</v>
      </c>
      <c r="B3646" s="62" t="s">
        <v>387</v>
      </c>
      <c r="C3646" s="63"/>
      <c r="D3646" s="64"/>
      <c r="E3646" s="65"/>
      <c r="F3646" s="66"/>
      <c r="G3646" s="63"/>
      <c r="H3646" s="67"/>
      <c r="I3646" s="68"/>
      <c r="J3646" s="68"/>
      <c r="K3646" s="32"/>
      <c r="L3646" s="75">
        <v>3646</v>
      </c>
      <c r="M3646" s="75"/>
      <c r="N3646" s="70"/>
      <c r="O3646" s="77" t="s">
        <v>179</v>
      </c>
      <c r="P3646" s="79">
        <v>45149.742245370369</v>
      </c>
      <c r="Q3646" s="77" t="s">
        <v>4316</v>
      </c>
      <c r="R3646" s="77">
        <v>0</v>
      </c>
      <c r="S3646" s="77">
        <v>0</v>
      </c>
      <c r="T3646" s="77">
        <v>1</v>
      </c>
      <c r="U3646" s="77">
        <v>0</v>
      </c>
      <c r="V3646" s="77">
        <v>441</v>
      </c>
      <c r="W3646" s="82" t="s">
        <v>4833</v>
      </c>
      <c r="X3646" s="80" t="str">
        <f>HYPERLINK("https://mla.bs/4849bf9d")</f>
        <v>https://mla.bs/4849bf9d</v>
      </c>
      <c r="Y3646" s="77" t="s">
        <v>6506</v>
      </c>
      <c r="Z3646" s="77"/>
      <c r="AA3646" s="77"/>
      <c r="AB3646" s="77"/>
      <c r="AC3646" s="82" t="s">
        <v>7754</v>
      </c>
      <c r="AD3646" s="77" t="s">
        <v>7788</v>
      </c>
      <c r="AE3646" s="80" t="str">
        <f>HYPERLINK("https://twitter.com/einvestidor/status/1690057703714889748")</f>
        <v>https://twitter.com/einvestidor/status/1690057703714889748</v>
      </c>
      <c r="AF3646" s="79">
        <v>45149.742245370369</v>
      </c>
      <c r="AG3646" s="85">
        <v>45149</v>
      </c>
      <c r="AH3646" s="82" t="s">
        <v>10105</v>
      </c>
      <c r="AI3646" s="77" t="b">
        <v>0</v>
      </c>
      <c r="AJ3646" s="77"/>
      <c r="AK3646" s="77"/>
      <c r="AL3646" s="77"/>
      <c r="AM3646" s="77"/>
      <c r="AN3646" s="77"/>
      <c r="AO3646" s="77"/>
      <c r="AP3646" s="77"/>
      <c r="AQ3646" s="77"/>
      <c r="AR3646" s="77"/>
      <c r="AS3646" s="77"/>
      <c r="AT3646" s="77"/>
      <c r="AU3646" s="77"/>
      <c r="AV3646" s="80" t="str">
        <f>HYPERLINK("https://pbs.twimg.com/profile_images/1241147984924082183/gZgx_hL-_normal.jpg")</f>
        <v>https://pbs.twimg.com/profile_images/1241147984924082183/gZgx_hL-_normal.jpg</v>
      </c>
      <c r="AW3646" s="82" t="s">
        <v>15242</v>
      </c>
      <c r="AX3646" s="82" t="s">
        <v>15242</v>
      </c>
      <c r="AY3646" s="77"/>
      <c r="AZ3646" s="82" t="s">
        <v>15984</v>
      </c>
      <c r="BA3646" s="82" t="s">
        <v>15984</v>
      </c>
      <c r="BB3646" s="82" t="s">
        <v>15984</v>
      </c>
      <c r="BC3646" s="82" t="s">
        <v>15242</v>
      </c>
      <c r="BD3646" s="82" t="s">
        <v>15979</v>
      </c>
      <c r="BE3646" s="77"/>
      <c r="BF3646" s="77"/>
      <c r="BG3646" s="77"/>
      <c r="BH3646" s="77"/>
      <c r="BI3646" s="77"/>
    </row>
    <row r="3647" spans="1:61" x14ac:dyDescent="0.25">
      <c r="A3647" s="62" t="s">
        <v>387</v>
      </c>
      <c r="B3647" s="62" t="s">
        <v>387</v>
      </c>
      <c r="C3647" s="63"/>
      <c r="D3647" s="64"/>
      <c r="E3647" s="65"/>
      <c r="F3647" s="66"/>
      <c r="G3647" s="63"/>
      <c r="H3647" s="67"/>
      <c r="I3647" s="68"/>
      <c r="J3647" s="68"/>
      <c r="K3647" s="32"/>
      <c r="L3647" s="75">
        <v>3647</v>
      </c>
      <c r="M3647" s="75"/>
      <c r="N3647" s="70"/>
      <c r="O3647" s="77" t="s">
        <v>179</v>
      </c>
      <c r="P3647" s="79">
        <v>45149.427164351851</v>
      </c>
      <c r="Q3647" s="77" t="s">
        <v>4317</v>
      </c>
      <c r="R3647" s="77">
        <v>0</v>
      </c>
      <c r="S3647" s="77">
        <v>4</v>
      </c>
      <c r="T3647" s="77">
        <v>0</v>
      </c>
      <c r="U3647" s="77">
        <v>0</v>
      </c>
      <c r="V3647" s="77">
        <v>765</v>
      </c>
      <c r="W3647" s="82" t="s">
        <v>6365</v>
      </c>
      <c r="X3647" s="80" t="str">
        <f>HYPERLINK("https://einvestidor.estadao.com.br/investimentos/bolsa-investidor-estrangeiro-corte-selic/?utm_source=twitter&amp;utm_medium=organic&amp;utm_campaign=estrangeiros&amp;utm_content=materia")</f>
        <v>https://einvestidor.estadao.com.br/investimentos/bolsa-investidor-estrangeiro-corte-selic/?utm_source=twitter&amp;utm_medium=organic&amp;utm_campaign=estrangeiros&amp;utm_content=materia</v>
      </c>
      <c r="Y3647" s="77" t="s">
        <v>6470</v>
      </c>
      <c r="Z3647" s="77"/>
      <c r="AA3647" s="77"/>
      <c r="AB3647" s="77"/>
      <c r="AC3647" s="82" t="s">
        <v>7754</v>
      </c>
      <c r="AD3647" s="77" t="s">
        <v>7788</v>
      </c>
      <c r="AE3647" s="80" t="str">
        <f>HYPERLINK("https://twitter.com/einvestidor/status/1689943522147790849")</f>
        <v>https://twitter.com/einvestidor/status/1689943522147790849</v>
      </c>
      <c r="AF3647" s="79">
        <v>45149.427164351851</v>
      </c>
      <c r="AG3647" s="85">
        <v>45149</v>
      </c>
      <c r="AH3647" s="82" t="s">
        <v>10106</v>
      </c>
      <c r="AI3647" s="77" t="b">
        <v>0</v>
      </c>
      <c r="AJ3647" s="77"/>
      <c r="AK3647" s="77"/>
      <c r="AL3647" s="77"/>
      <c r="AM3647" s="77"/>
      <c r="AN3647" s="77"/>
      <c r="AO3647" s="77"/>
      <c r="AP3647" s="77"/>
      <c r="AQ3647" s="77"/>
      <c r="AR3647" s="77"/>
      <c r="AS3647" s="77"/>
      <c r="AT3647" s="77"/>
      <c r="AU3647" s="77"/>
      <c r="AV3647" s="80" t="str">
        <f>HYPERLINK("https://pbs.twimg.com/profile_images/1241147984924082183/gZgx_hL-_normal.jpg")</f>
        <v>https://pbs.twimg.com/profile_images/1241147984924082183/gZgx_hL-_normal.jpg</v>
      </c>
      <c r="AW3647" s="82" t="s">
        <v>15243</v>
      </c>
      <c r="AX3647" s="82" t="s">
        <v>15243</v>
      </c>
      <c r="AY3647" s="77"/>
      <c r="AZ3647" s="82" t="s">
        <v>15984</v>
      </c>
      <c r="BA3647" s="82" t="s">
        <v>15984</v>
      </c>
      <c r="BB3647" s="82" t="s">
        <v>15984</v>
      </c>
      <c r="BC3647" s="82" t="s">
        <v>15243</v>
      </c>
      <c r="BD3647" s="82" t="s">
        <v>15979</v>
      </c>
      <c r="BE3647" s="77"/>
      <c r="BF3647" s="77"/>
      <c r="BG3647" s="77"/>
      <c r="BH3647" s="77"/>
      <c r="BI3647" s="77"/>
    </row>
    <row r="3648" spans="1:61" x14ac:dyDescent="0.25">
      <c r="A3648" s="62" t="s">
        <v>387</v>
      </c>
      <c r="B3648" s="62" t="s">
        <v>387</v>
      </c>
      <c r="C3648" s="63"/>
      <c r="D3648" s="64"/>
      <c r="E3648" s="65"/>
      <c r="F3648" s="66"/>
      <c r="G3648" s="63"/>
      <c r="H3648" s="67"/>
      <c r="I3648" s="68"/>
      <c r="J3648" s="68"/>
      <c r="K3648" s="32"/>
      <c r="L3648" s="75">
        <v>3648</v>
      </c>
      <c r="M3648" s="75"/>
      <c r="N3648" s="70"/>
      <c r="O3648" s="77" t="s">
        <v>179</v>
      </c>
      <c r="P3648" s="79">
        <v>45149.09375</v>
      </c>
      <c r="Q3648" s="77" t="s">
        <v>4318</v>
      </c>
      <c r="R3648" s="77">
        <v>0</v>
      </c>
      <c r="S3648" s="77">
        <v>0</v>
      </c>
      <c r="T3648" s="77">
        <v>0</v>
      </c>
      <c r="U3648" s="77">
        <v>0</v>
      </c>
      <c r="V3648" s="77">
        <v>720</v>
      </c>
      <c r="W3648" s="82" t="s">
        <v>4833</v>
      </c>
      <c r="X3648" s="80" t="str">
        <f>HYPERLINK("https://mla.bs/a148cc38")</f>
        <v>https://mla.bs/a148cc38</v>
      </c>
      <c r="Y3648" s="77" t="s">
        <v>6506</v>
      </c>
      <c r="Z3648" s="77"/>
      <c r="AA3648" s="77"/>
      <c r="AB3648" s="77"/>
      <c r="AC3648" s="82" t="s">
        <v>7754</v>
      </c>
      <c r="AD3648" s="77" t="s">
        <v>7788</v>
      </c>
      <c r="AE3648" s="80" t="str">
        <f>HYPERLINK("https://twitter.com/einvestidor/status/1689822693573459968")</f>
        <v>https://twitter.com/einvestidor/status/1689822693573459968</v>
      </c>
      <c r="AF3648" s="79">
        <v>45149.09375</v>
      </c>
      <c r="AG3648" s="85">
        <v>45149</v>
      </c>
      <c r="AH3648" s="82" t="s">
        <v>9808</v>
      </c>
      <c r="AI3648" s="77" t="b">
        <v>0</v>
      </c>
      <c r="AJ3648" s="77"/>
      <c r="AK3648" s="77"/>
      <c r="AL3648" s="77"/>
      <c r="AM3648" s="77"/>
      <c r="AN3648" s="77"/>
      <c r="AO3648" s="77"/>
      <c r="AP3648" s="77"/>
      <c r="AQ3648" s="77"/>
      <c r="AR3648" s="77"/>
      <c r="AS3648" s="77"/>
      <c r="AT3648" s="77"/>
      <c r="AU3648" s="77"/>
      <c r="AV3648" s="80" t="str">
        <f>HYPERLINK("https://pbs.twimg.com/profile_images/1241147984924082183/gZgx_hL-_normal.jpg")</f>
        <v>https://pbs.twimg.com/profile_images/1241147984924082183/gZgx_hL-_normal.jpg</v>
      </c>
      <c r="AW3648" s="82" t="s">
        <v>15244</v>
      </c>
      <c r="AX3648" s="82" t="s">
        <v>15244</v>
      </c>
      <c r="AY3648" s="77"/>
      <c r="AZ3648" s="82" t="s">
        <v>15984</v>
      </c>
      <c r="BA3648" s="82" t="s">
        <v>15984</v>
      </c>
      <c r="BB3648" s="82" t="s">
        <v>15984</v>
      </c>
      <c r="BC3648" s="82" t="s">
        <v>15244</v>
      </c>
      <c r="BD3648" s="82" t="s">
        <v>15979</v>
      </c>
      <c r="BE3648" s="77"/>
      <c r="BF3648" s="77"/>
      <c r="BG3648" s="77"/>
      <c r="BH3648" s="77"/>
      <c r="BI3648" s="77"/>
    </row>
    <row r="3649" spans="1:61" x14ac:dyDescent="0.25">
      <c r="A3649" s="62" t="s">
        <v>387</v>
      </c>
      <c r="B3649" s="62" t="s">
        <v>387</v>
      </c>
      <c r="C3649" s="63"/>
      <c r="D3649" s="64"/>
      <c r="E3649" s="65"/>
      <c r="F3649" s="66"/>
      <c r="G3649" s="63"/>
      <c r="H3649" s="67"/>
      <c r="I3649" s="68"/>
      <c r="J3649" s="68"/>
      <c r="K3649" s="32"/>
      <c r="L3649" s="75">
        <v>3649</v>
      </c>
      <c r="M3649" s="75"/>
      <c r="N3649" s="70"/>
      <c r="O3649" s="77" t="s">
        <v>179</v>
      </c>
      <c r="P3649" s="79">
        <v>45149.083344907405</v>
      </c>
      <c r="Q3649" s="77" t="s">
        <v>4319</v>
      </c>
      <c r="R3649" s="77">
        <v>0</v>
      </c>
      <c r="S3649" s="77">
        <v>0</v>
      </c>
      <c r="T3649" s="77">
        <v>0</v>
      </c>
      <c r="U3649" s="77">
        <v>0</v>
      </c>
      <c r="V3649" s="77">
        <v>736</v>
      </c>
      <c r="W3649" s="82" t="s">
        <v>4833</v>
      </c>
      <c r="X3649" s="80" t="str">
        <f>HYPERLINK("https://mla.bs/bd7b97c3")</f>
        <v>https://mla.bs/bd7b97c3</v>
      </c>
      <c r="Y3649" s="77" t="s">
        <v>6506</v>
      </c>
      <c r="Z3649" s="77"/>
      <c r="AA3649" s="77"/>
      <c r="AB3649" s="77"/>
      <c r="AC3649" s="82" t="s">
        <v>7754</v>
      </c>
      <c r="AD3649" s="77" t="s">
        <v>7788</v>
      </c>
      <c r="AE3649" s="80" t="str">
        <f>HYPERLINK("https://twitter.com/einvestidor/status/1689818925779816448")</f>
        <v>https://twitter.com/einvestidor/status/1689818925779816448</v>
      </c>
      <c r="AF3649" s="79">
        <v>45149.083344907405</v>
      </c>
      <c r="AG3649" s="85">
        <v>45149</v>
      </c>
      <c r="AH3649" s="82" t="s">
        <v>9637</v>
      </c>
      <c r="AI3649" s="77" t="b">
        <v>0</v>
      </c>
      <c r="AJ3649" s="77"/>
      <c r="AK3649" s="77"/>
      <c r="AL3649" s="77"/>
      <c r="AM3649" s="77"/>
      <c r="AN3649" s="77"/>
      <c r="AO3649" s="77"/>
      <c r="AP3649" s="77"/>
      <c r="AQ3649" s="77"/>
      <c r="AR3649" s="77"/>
      <c r="AS3649" s="77"/>
      <c r="AT3649" s="77"/>
      <c r="AU3649" s="77"/>
      <c r="AV3649" s="80" t="str">
        <f>HYPERLINK("https://pbs.twimg.com/profile_images/1241147984924082183/gZgx_hL-_normal.jpg")</f>
        <v>https://pbs.twimg.com/profile_images/1241147984924082183/gZgx_hL-_normal.jpg</v>
      </c>
      <c r="AW3649" s="82" t="s">
        <v>15245</v>
      </c>
      <c r="AX3649" s="82" t="s">
        <v>15245</v>
      </c>
      <c r="AY3649" s="77"/>
      <c r="AZ3649" s="82" t="s">
        <v>15984</v>
      </c>
      <c r="BA3649" s="82" t="s">
        <v>15984</v>
      </c>
      <c r="BB3649" s="82" t="s">
        <v>15984</v>
      </c>
      <c r="BC3649" s="82" t="s">
        <v>15245</v>
      </c>
      <c r="BD3649" s="82" t="s">
        <v>15979</v>
      </c>
      <c r="BE3649" s="77"/>
      <c r="BF3649" s="77"/>
      <c r="BG3649" s="77"/>
      <c r="BH3649" s="77"/>
      <c r="BI3649" s="77"/>
    </row>
    <row r="3650" spans="1:61" x14ac:dyDescent="0.25">
      <c r="A3650" s="62" t="s">
        <v>387</v>
      </c>
      <c r="B3650" s="62" t="s">
        <v>387</v>
      </c>
      <c r="C3650" s="63"/>
      <c r="D3650" s="64"/>
      <c r="E3650" s="65"/>
      <c r="F3650" s="66"/>
      <c r="G3650" s="63"/>
      <c r="H3650" s="67"/>
      <c r="I3650" s="68"/>
      <c r="J3650" s="68"/>
      <c r="K3650" s="32"/>
      <c r="L3650" s="75">
        <v>3650</v>
      </c>
      <c r="M3650" s="75"/>
      <c r="N3650" s="70"/>
      <c r="O3650" s="77" t="s">
        <v>179</v>
      </c>
      <c r="P3650" s="79">
        <v>45131.947916666664</v>
      </c>
      <c r="Q3650" s="77" t="s">
        <v>4320</v>
      </c>
      <c r="R3650" s="77">
        <v>1</v>
      </c>
      <c r="S3650" s="77">
        <v>1</v>
      </c>
      <c r="T3650" s="77">
        <v>0</v>
      </c>
      <c r="U3650" s="77">
        <v>0</v>
      </c>
      <c r="V3650" s="77">
        <v>770</v>
      </c>
      <c r="W3650" s="82" t="s">
        <v>4833</v>
      </c>
      <c r="X3650" s="80" t="str">
        <f>HYPERLINK("https://mla.bs/4c58e6b3")</f>
        <v>https://mla.bs/4c58e6b3</v>
      </c>
      <c r="Y3650" s="77" t="s">
        <v>6506</v>
      </c>
      <c r="Z3650" s="77"/>
      <c r="AA3650" s="77"/>
      <c r="AB3650" s="77"/>
      <c r="AC3650" s="82" t="s">
        <v>7754</v>
      </c>
      <c r="AD3650" s="77" t="s">
        <v>7788</v>
      </c>
      <c r="AE3650" s="80" t="str">
        <f>HYPERLINK("https://twitter.com/einvestidor/status/1683609251917230080")</f>
        <v>https://twitter.com/einvestidor/status/1683609251917230080</v>
      </c>
      <c r="AF3650" s="79">
        <v>45131.947916666664</v>
      </c>
      <c r="AG3650" s="85">
        <v>45131</v>
      </c>
      <c r="AH3650" s="82" t="s">
        <v>9595</v>
      </c>
      <c r="AI3650" s="77" t="b">
        <v>0</v>
      </c>
      <c r="AJ3650" s="77"/>
      <c r="AK3650" s="77"/>
      <c r="AL3650" s="77"/>
      <c r="AM3650" s="77"/>
      <c r="AN3650" s="77"/>
      <c r="AO3650" s="77"/>
      <c r="AP3650" s="77"/>
      <c r="AQ3650" s="77"/>
      <c r="AR3650" s="77"/>
      <c r="AS3650" s="77"/>
      <c r="AT3650" s="77"/>
      <c r="AU3650" s="77"/>
      <c r="AV3650" s="80" t="str">
        <f>HYPERLINK("https://pbs.twimg.com/profile_images/1241147984924082183/gZgx_hL-_normal.jpg")</f>
        <v>https://pbs.twimg.com/profile_images/1241147984924082183/gZgx_hL-_normal.jpg</v>
      </c>
      <c r="AW3650" s="82" t="s">
        <v>15246</v>
      </c>
      <c r="AX3650" s="82" t="s">
        <v>15246</v>
      </c>
      <c r="AY3650" s="77"/>
      <c r="AZ3650" s="82" t="s">
        <v>15984</v>
      </c>
      <c r="BA3650" s="82" t="s">
        <v>15984</v>
      </c>
      <c r="BB3650" s="82" t="s">
        <v>15984</v>
      </c>
      <c r="BC3650" s="82" t="s">
        <v>15246</v>
      </c>
      <c r="BD3650" s="82" t="s">
        <v>15979</v>
      </c>
      <c r="BE3650" s="77"/>
      <c r="BF3650" s="77"/>
      <c r="BG3650" s="77"/>
      <c r="BH3650" s="77"/>
      <c r="BI3650" s="77"/>
    </row>
    <row r="3651" spans="1:61" x14ac:dyDescent="0.25">
      <c r="A3651" s="62" t="s">
        <v>387</v>
      </c>
      <c r="B3651" s="62" t="s">
        <v>387</v>
      </c>
      <c r="C3651" s="63"/>
      <c r="D3651" s="64"/>
      <c r="E3651" s="65"/>
      <c r="F3651" s="66"/>
      <c r="G3651" s="63"/>
      <c r="H3651" s="67"/>
      <c r="I3651" s="68"/>
      <c r="J3651" s="68"/>
      <c r="K3651" s="32"/>
      <c r="L3651" s="75">
        <v>3651</v>
      </c>
      <c r="M3651" s="75"/>
      <c r="N3651" s="70"/>
      <c r="O3651" s="77" t="s">
        <v>179</v>
      </c>
      <c r="P3651" s="79">
        <v>45131.9375</v>
      </c>
      <c r="Q3651" s="77" t="s">
        <v>4321</v>
      </c>
      <c r="R3651" s="77">
        <v>0</v>
      </c>
      <c r="S3651" s="77">
        <v>7</v>
      </c>
      <c r="T3651" s="77">
        <v>0</v>
      </c>
      <c r="U3651" s="77">
        <v>0</v>
      </c>
      <c r="V3651" s="77">
        <v>863</v>
      </c>
      <c r="W3651" s="82" t="s">
        <v>4833</v>
      </c>
      <c r="X3651" s="80" t="str">
        <f>HYPERLINK("https://mla.bs/50c89b52")</f>
        <v>https://mla.bs/50c89b52</v>
      </c>
      <c r="Y3651" s="77" t="s">
        <v>6506</v>
      </c>
      <c r="Z3651" s="77"/>
      <c r="AA3651" s="77"/>
      <c r="AB3651" s="77"/>
      <c r="AC3651" s="82" t="s">
        <v>7754</v>
      </c>
      <c r="AD3651" s="77" t="s">
        <v>7788</v>
      </c>
      <c r="AE3651" s="80" t="str">
        <f>HYPERLINK("https://twitter.com/einvestidor/status/1683605478826446850")</f>
        <v>https://twitter.com/einvestidor/status/1683605478826446850</v>
      </c>
      <c r="AF3651" s="79">
        <v>45131.9375</v>
      </c>
      <c r="AG3651" s="85">
        <v>45131</v>
      </c>
      <c r="AH3651" s="82" t="s">
        <v>7926</v>
      </c>
      <c r="AI3651" s="77" t="b">
        <v>0</v>
      </c>
      <c r="AJ3651" s="77"/>
      <c r="AK3651" s="77"/>
      <c r="AL3651" s="77"/>
      <c r="AM3651" s="77"/>
      <c r="AN3651" s="77"/>
      <c r="AO3651" s="77"/>
      <c r="AP3651" s="77"/>
      <c r="AQ3651" s="77"/>
      <c r="AR3651" s="77"/>
      <c r="AS3651" s="77"/>
      <c r="AT3651" s="77"/>
      <c r="AU3651" s="77"/>
      <c r="AV3651" s="80" t="str">
        <f>HYPERLINK("https://pbs.twimg.com/profile_images/1241147984924082183/gZgx_hL-_normal.jpg")</f>
        <v>https://pbs.twimg.com/profile_images/1241147984924082183/gZgx_hL-_normal.jpg</v>
      </c>
      <c r="AW3651" s="82" t="s">
        <v>15247</v>
      </c>
      <c r="AX3651" s="82" t="s">
        <v>15247</v>
      </c>
      <c r="AY3651" s="77"/>
      <c r="AZ3651" s="82" t="s">
        <v>15984</v>
      </c>
      <c r="BA3651" s="82" t="s">
        <v>15984</v>
      </c>
      <c r="BB3651" s="82" t="s">
        <v>15984</v>
      </c>
      <c r="BC3651" s="82" t="s">
        <v>15247</v>
      </c>
      <c r="BD3651" s="82" t="s">
        <v>15979</v>
      </c>
      <c r="BE3651" s="77"/>
      <c r="BF3651" s="77"/>
      <c r="BG3651" s="77"/>
      <c r="BH3651" s="77"/>
      <c r="BI3651" s="77"/>
    </row>
    <row r="3652" spans="1:61" x14ac:dyDescent="0.25">
      <c r="A3652" s="62" t="s">
        <v>387</v>
      </c>
      <c r="B3652" s="62" t="s">
        <v>387</v>
      </c>
      <c r="C3652" s="63"/>
      <c r="D3652" s="64"/>
      <c r="E3652" s="65"/>
      <c r="F3652" s="66"/>
      <c r="G3652" s="63"/>
      <c r="H3652" s="67"/>
      <c r="I3652" s="68"/>
      <c r="J3652" s="68"/>
      <c r="K3652" s="32"/>
      <c r="L3652" s="75">
        <v>3652</v>
      </c>
      <c r="M3652" s="75"/>
      <c r="N3652" s="70"/>
      <c r="O3652" s="77" t="s">
        <v>179</v>
      </c>
      <c r="P3652" s="79">
        <v>45131.927083333336</v>
      </c>
      <c r="Q3652" s="77" t="s">
        <v>4322</v>
      </c>
      <c r="R3652" s="77">
        <v>0</v>
      </c>
      <c r="S3652" s="77">
        <v>2</v>
      </c>
      <c r="T3652" s="77">
        <v>0</v>
      </c>
      <c r="U3652" s="77">
        <v>0</v>
      </c>
      <c r="V3652" s="77">
        <v>882</v>
      </c>
      <c r="W3652" s="82" t="s">
        <v>4833</v>
      </c>
      <c r="X3652" s="80" t="str">
        <f>HYPERLINK("https://mla.bs/70d0027a")</f>
        <v>https://mla.bs/70d0027a</v>
      </c>
      <c r="Y3652" s="77" t="s">
        <v>6506</v>
      </c>
      <c r="Z3652" s="77"/>
      <c r="AA3652" s="77"/>
      <c r="AB3652" s="77"/>
      <c r="AC3652" s="82" t="s">
        <v>7754</v>
      </c>
      <c r="AD3652" s="77" t="s">
        <v>7790</v>
      </c>
      <c r="AE3652" s="80" t="str">
        <f>HYPERLINK("https://twitter.com/einvestidor/status/1683601701901590529")</f>
        <v>https://twitter.com/einvestidor/status/1683601701901590529</v>
      </c>
      <c r="AF3652" s="79">
        <v>45131.927083333336</v>
      </c>
      <c r="AG3652" s="85">
        <v>45131</v>
      </c>
      <c r="AH3652" s="82" t="s">
        <v>9576</v>
      </c>
      <c r="AI3652" s="77" t="b">
        <v>0</v>
      </c>
      <c r="AJ3652" s="77"/>
      <c r="AK3652" s="77"/>
      <c r="AL3652" s="77"/>
      <c r="AM3652" s="77"/>
      <c r="AN3652" s="77"/>
      <c r="AO3652" s="77"/>
      <c r="AP3652" s="77"/>
      <c r="AQ3652" s="77"/>
      <c r="AR3652" s="77"/>
      <c r="AS3652" s="77"/>
      <c r="AT3652" s="77"/>
      <c r="AU3652" s="77"/>
      <c r="AV3652" s="80" t="str">
        <f>HYPERLINK("https://pbs.twimg.com/profile_images/1241147984924082183/gZgx_hL-_normal.jpg")</f>
        <v>https://pbs.twimg.com/profile_images/1241147984924082183/gZgx_hL-_normal.jpg</v>
      </c>
      <c r="AW3652" s="82" t="s">
        <v>15248</v>
      </c>
      <c r="AX3652" s="82" t="s">
        <v>15248</v>
      </c>
      <c r="AY3652" s="77"/>
      <c r="AZ3652" s="82" t="s">
        <v>15984</v>
      </c>
      <c r="BA3652" s="82" t="s">
        <v>15984</v>
      </c>
      <c r="BB3652" s="82" t="s">
        <v>15984</v>
      </c>
      <c r="BC3652" s="82" t="s">
        <v>15248</v>
      </c>
      <c r="BD3652" s="82" t="s">
        <v>15979</v>
      </c>
      <c r="BE3652" s="77"/>
      <c r="BF3652" s="77"/>
      <c r="BG3652" s="77"/>
      <c r="BH3652" s="77"/>
      <c r="BI3652" s="77"/>
    </row>
    <row r="3653" spans="1:61" x14ac:dyDescent="0.25">
      <c r="A3653" s="62" t="s">
        <v>387</v>
      </c>
      <c r="B3653" s="62" t="s">
        <v>387</v>
      </c>
      <c r="C3653" s="63"/>
      <c r="D3653" s="64"/>
      <c r="E3653" s="65"/>
      <c r="F3653" s="66"/>
      <c r="G3653" s="63"/>
      <c r="H3653" s="67"/>
      <c r="I3653" s="68"/>
      <c r="J3653" s="68"/>
      <c r="K3653" s="32"/>
      <c r="L3653" s="75">
        <v>3653</v>
      </c>
      <c r="M3653" s="75"/>
      <c r="N3653" s="70"/>
      <c r="O3653" s="77" t="s">
        <v>179</v>
      </c>
      <c r="P3653" s="79">
        <v>45131.916666666664</v>
      </c>
      <c r="Q3653" s="77" t="s">
        <v>4323</v>
      </c>
      <c r="R3653" s="77">
        <v>0</v>
      </c>
      <c r="S3653" s="77">
        <v>1</v>
      </c>
      <c r="T3653" s="77">
        <v>0</v>
      </c>
      <c r="U3653" s="77">
        <v>0</v>
      </c>
      <c r="V3653" s="77">
        <v>576</v>
      </c>
      <c r="W3653" s="82" t="s">
        <v>4833</v>
      </c>
      <c r="X3653" s="80" t="str">
        <f>HYPERLINK("https://mla.bs/04fb4ce7")</f>
        <v>https://mla.bs/04fb4ce7</v>
      </c>
      <c r="Y3653" s="77" t="s">
        <v>6506</v>
      </c>
      <c r="Z3653" s="77"/>
      <c r="AA3653" s="77"/>
      <c r="AB3653" s="77"/>
      <c r="AC3653" s="82" t="s">
        <v>7754</v>
      </c>
      <c r="AD3653" s="77" t="s">
        <v>7788</v>
      </c>
      <c r="AE3653" s="80" t="str">
        <f>HYPERLINK("https://twitter.com/einvestidor/status/1683597927053250564")</f>
        <v>https://twitter.com/einvestidor/status/1683597927053250564</v>
      </c>
      <c r="AF3653" s="79">
        <v>45131.916666666664</v>
      </c>
      <c r="AG3653" s="85">
        <v>45131</v>
      </c>
      <c r="AH3653" s="82" t="s">
        <v>9577</v>
      </c>
      <c r="AI3653" s="77" t="b">
        <v>0</v>
      </c>
      <c r="AJ3653" s="77"/>
      <c r="AK3653" s="77"/>
      <c r="AL3653" s="77"/>
      <c r="AM3653" s="77"/>
      <c r="AN3653" s="77"/>
      <c r="AO3653" s="77"/>
      <c r="AP3653" s="77"/>
      <c r="AQ3653" s="77"/>
      <c r="AR3653" s="77"/>
      <c r="AS3653" s="77"/>
      <c r="AT3653" s="77"/>
      <c r="AU3653" s="77"/>
      <c r="AV3653" s="80" t="str">
        <f>HYPERLINK("https://pbs.twimg.com/profile_images/1241147984924082183/gZgx_hL-_normal.jpg")</f>
        <v>https://pbs.twimg.com/profile_images/1241147984924082183/gZgx_hL-_normal.jpg</v>
      </c>
      <c r="AW3653" s="82" t="s">
        <v>15249</v>
      </c>
      <c r="AX3653" s="82" t="s">
        <v>15249</v>
      </c>
      <c r="AY3653" s="77"/>
      <c r="AZ3653" s="82" t="s">
        <v>15984</v>
      </c>
      <c r="BA3653" s="82" t="s">
        <v>15984</v>
      </c>
      <c r="BB3653" s="82" t="s">
        <v>15984</v>
      </c>
      <c r="BC3653" s="82" t="s">
        <v>15249</v>
      </c>
      <c r="BD3653" s="82" t="s">
        <v>15979</v>
      </c>
      <c r="BE3653" s="77"/>
      <c r="BF3653" s="77"/>
      <c r="BG3653" s="77"/>
      <c r="BH3653" s="77"/>
      <c r="BI3653" s="77"/>
    </row>
    <row r="3654" spans="1:61" x14ac:dyDescent="0.25">
      <c r="A3654" s="62" t="s">
        <v>387</v>
      </c>
      <c r="B3654" s="62" t="s">
        <v>387</v>
      </c>
      <c r="C3654" s="63"/>
      <c r="D3654" s="64"/>
      <c r="E3654" s="65"/>
      <c r="F3654" s="66"/>
      <c r="G3654" s="63"/>
      <c r="H3654" s="67"/>
      <c r="I3654" s="68"/>
      <c r="J3654" s="68"/>
      <c r="K3654" s="32"/>
      <c r="L3654" s="75">
        <v>3654</v>
      </c>
      <c r="M3654" s="75"/>
      <c r="N3654" s="70"/>
      <c r="O3654" s="77" t="s">
        <v>179</v>
      </c>
      <c r="P3654" s="79">
        <v>45131.912743055553</v>
      </c>
      <c r="Q3654" s="77" t="s">
        <v>4324</v>
      </c>
      <c r="R3654" s="77">
        <v>0</v>
      </c>
      <c r="S3654" s="77">
        <v>2</v>
      </c>
      <c r="T3654" s="77">
        <v>0</v>
      </c>
      <c r="U3654" s="77">
        <v>0</v>
      </c>
      <c r="V3654" s="77">
        <v>826</v>
      </c>
      <c r="W3654" s="82" t="s">
        <v>4833</v>
      </c>
      <c r="X3654" s="80" t="str">
        <f>HYPERLINK("https://mla.bs/875e79d0")</f>
        <v>https://mla.bs/875e79d0</v>
      </c>
      <c r="Y3654" s="77" t="s">
        <v>6506</v>
      </c>
      <c r="Z3654" s="77"/>
      <c r="AA3654" s="77"/>
      <c r="AB3654" s="77"/>
      <c r="AC3654" s="82" t="s">
        <v>7754</v>
      </c>
      <c r="AD3654" s="77" t="s">
        <v>7788</v>
      </c>
      <c r="AE3654" s="80" t="str">
        <f>HYPERLINK("https://twitter.com/einvestidor/status/1683596505528016896")</f>
        <v>https://twitter.com/einvestidor/status/1683596505528016896</v>
      </c>
      <c r="AF3654" s="79">
        <v>45131.912743055553</v>
      </c>
      <c r="AG3654" s="85">
        <v>45131</v>
      </c>
      <c r="AH3654" s="82" t="s">
        <v>10107</v>
      </c>
      <c r="AI3654" s="77" t="b">
        <v>0</v>
      </c>
      <c r="AJ3654" s="77"/>
      <c r="AK3654" s="77"/>
      <c r="AL3654" s="77"/>
      <c r="AM3654" s="77"/>
      <c r="AN3654" s="77"/>
      <c r="AO3654" s="77"/>
      <c r="AP3654" s="77"/>
      <c r="AQ3654" s="77"/>
      <c r="AR3654" s="77"/>
      <c r="AS3654" s="77"/>
      <c r="AT3654" s="77"/>
      <c r="AU3654" s="77"/>
      <c r="AV3654" s="80" t="str">
        <f>HYPERLINK("https://pbs.twimg.com/profile_images/1241147984924082183/gZgx_hL-_normal.jpg")</f>
        <v>https://pbs.twimg.com/profile_images/1241147984924082183/gZgx_hL-_normal.jpg</v>
      </c>
      <c r="AW3654" s="82" t="s">
        <v>15250</v>
      </c>
      <c r="AX3654" s="82" t="s">
        <v>15250</v>
      </c>
      <c r="AY3654" s="77"/>
      <c r="AZ3654" s="82" t="s">
        <v>15984</v>
      </c>
      <c r="BA3654" s="82" t="s">
        <v>15984</v>
      </c>
      <c r="BB3654" s="82" t="s">
        <v>15984</v>
      </c>
      <c r="BC3654" s="82" t="s">
        <v>15250</v>
      </c>
      <c r="BD3654" s="82" t="s">
        <v>15979</v>
      </c>
      <c r="BE3654" s="77"/>
      <c r="BF3654" s="77"/>
      <c r="BG3654" s="77"/>
      <c r="BH3654" s="77"/>
      <c r="BI3654" s="77"/>
    </row>
    <row r="3655" spans="1:61" x14ac:dyDescent="0.25">
      <c r="A3655" s="62" t="s">
        <v>387</v>
      </c>
      <c r="B3655" s="62" t="s">
        <v>387</v>
      </c>
      <c r="C3655" s="63"/>
      <c r="D3655" s="64"/>
      <c r="E3655" s="65"/>
      <c r="F3655" s="66"/>
      <c r="G3655" s="63"/>
      <c r="H3655" s="67"/>
      <c r="I3655" s="68"/>
      <c r="J3655" s="68"/>
      <c r="K3655" s="32"/>
      <c r="L3655" s="75">
        <v>3655</v>
      </c>
      <c r="M3655" s="75"/>
      <c r="N3655" s="70"/>
      <c r="O3655" s="77" t="s">
        <v>179</v>
      </c>
      <c r="P3655" s="79">
        <v>45131.90625</v>
      </c>
      <c r="Q3655" s="77" t="s">
        <v>4325</v>
      </c>
      <c r="R3655" s="77">
        <v>1</v>
      </c>
      <c r="S3655" s="77">
        <v>6</v>
      </c>
      <c r="T3655" s="77">
        <v>0</v>
      </c>
      <c r="U3655" s="77">
        <v>0</v>
      </c>
      <c r="V3655" s="77">
        <v>1025</v>
      </c>
      <c r="W3655" s="82" t="s">
        <v>4833</v>
      </c>
      <c r="X3655" s="80" t="str">
        <f>HYPERLINK("https://mla.bs/d05dda1b")</f>
        <v>https://mla.bs/d05dda1b</v>
      </c>
      <c r="Y3655" s="77" t="s">
        <v>6506</v>
      </c>
      <c r="Z3655" s="77"/>
      <c r="AA3655" s="77"/>
      <c r="AB3655" s="77"/>
      <c r="AC3655" s="82" t="s">
        <v>7754</v>
      </c>
      <c r="AD3655" s="77" t="s">
        <v>7788</v>
      </c>
      <c r="AE3655" s="80" t="str">
        <f>HYPERLINK("https://twitter.com/einvestidor/status/1683594152221503488")</f>
        <v>https://twitter.com/einvestidor/status/1683594152221503488</v>
      </c>
      <c r="AF3655" s="79">
        <v>45131.90625</v>
      </c>
      <c r="AG3655" s="85">
        <v>45131</v>
      </c>
      <c r="AH3655" s="82" t="s">
        <v>9578</v>
      </c>
      <c r="AI3655" s="77" t="b">
        <v>0</v>
      </c>
      <c r="AJ3655" s="77"/>
      <c r="AK3655" s="77"/>
      <c r="AL3655" s="77"/>
      <c r="AM3655" s="77"/>
      <c r="AN3655" s="77"/>
      <c r="AO3655" s="77"/>
      <c r="AP3655" s="77"/>
      <c r="AQ3655" s="77"/>
      <c r="AR3655" s="77"/>
      <c r="AS3655" s="77"/>
      <c r="AT3655" s="77"/>
      <c r="AU3655" s="77"/>
      <c r="AV3655" s="80" t="str">
        <f>HYPERLINK("https://pbs.twimg.com/profile_images/1241147984924082183/gZgx_hL-_normal.jpg")</f>
        <v>https://pbs.twimg.com/profile_images/1241147984924082183/gZgx_hL-_normal.jpg</v>
      </c>
      <c r="AW3655" s="82" t="s">
        <v>15251</v>
      </c>
      <c r="AX3655" s="82" t="s">
        <v>15251</v>
      </c>
      <c r="AY3655" s="77"/>
      <c r="AZ3655" s="82" t="s">
        <v>15984</v>
      </c>
      <c r="BA3655" s="82" t="s">
        <v>15984</v>
      </c>
      <c r="BB3655" s="82" t="s">
        <v>15984</v>
      </c>
      <c r="BC3655" s="82" t="s">
        <v>15251</v>
      </c>
      <c r="BD3655" s="82" t="s">
        <v>15979</v>
      </c>
      <c r="BE3655" s="77"/>
      <c r="BF3655" s="77"/>
      <c r="BG3655" s="77"/>
      <c r="BH3655" s="77"/>
      <c r="BI3655" s="77"/>
    </row>
    <row r="3656" spans="1:61" x14ac:dyDescent="0.25">
      <c r="A3656" s="62" t="s">
        <v>387</v>
      </c>
      <c r="B3656" s="62" t="s">
        <v>387</v>
      </c>
      <c r="C3656" s="63"/>
      <c r="D3656" s="64"/>
      <c r="E3656" s="65"/>
      <c r="F3656" s="66"/>
      <c r="G3656" s="63"/>
      <c r="H3656" s="67"/>
      <c r="I3656" s="68"/>
      <c r="J3656" s="68"/>
      <c r="K3656" s="32"/>
      <c r="L3656" s="75">
        <v>3656</v>
      </c>
      <c r="M3656" s="75"/>
      <c r="N3656" s="70"/>
      <c r="O3656" s="77" t="s">
        <v>179</v>
      </c>
      <c r="P3656" s="79">
        <v>45131.895833333336</v>
      </c>
      <c r="Q3656" s="77" t="s">
        <v>4326</v>
      </c>
      <c r="R3656" s="77">
        <v>0</v>
      </c>
      <c r="S3656" s="77">
        <v>1</v>
      </c>
      <c r="T3656" s="77">
        <v>0</v>
      </c>
      <c r="U3656" s="77">
        <v>0</v>
      </c>
      <c r="V3656" s="77">
        <v>525</v>
      </c>
      <c r="W3656" s="82" t="s">
        <v>4833</v>
      </c>
      <c r="X3656" s="80" t="str">
        <f>HYPERLINK("https://mla.bs/a088f7ac")</f>
        <v>https://mla.bs/a088f7ac</v>
      </c>
      <c r="Y3656" s="77" t="s">
        <v>6506</v>
      </c>
      <c r="Z3656" s="77"/>
      <c r="AA3656" s="77"/>
      <c r="AB3656" s="77"/>
      <c r="AC3656" s="82" t="s">
        <v>7754</v>
      </c>
      <c r="AD3656" s="77" t="s">
        <v>7788</v>
      </c>
      <c r="AE3656" s="80" t="str">
        <f>HYPERLINK("https://twitter.com/einvestidor/status/1683590377251700739")</f>
        <v>https://twitter.com/einvestidor/status/1683590377251700739</v>
      </c>
      <c r="AF3656" s="79">
        <v>45131.895833333336</v>
      </c>
      <c r="AG3656" s="85">
        <v>45131</v>
      </c>
      <c r="AH3656" s="82" t="s">
        <v>8089</v>
      </c>
      <c r="AI3656" s="77" t="b">
        <v>0</v>
      </c>
      <c r="AJ3656" s="77"/>
      <c r="AK3656" s="77"/>
      <c r="AL3656" s="77"/>
      <c r="AM3656" s="77"/>
      <c r="AN3656" s="77"/>
      <c r="AO3656" s="77"/>
      <c r="AP3656" s="77"/>
      <c r="AQ3656" s="77"/>
      <c r="AR3656" s="77"/>
      <c r="AS3656" s="77"/>
      <c r="AT3656" s="77"/>
      <c r="AU3656" s="77"/>
      <c r="AV3656" s="80" t="str">
        <f>HYPERLINK("https://pbs.twimg.com/profile_images/1241147984924082183/gZgx_hL-_normal.jpg")</f>
        <v>https://pbs.twimg.com/profile_images/1241147984924082183/gZgx_hL-_normal.jpg</v>
      </c>
      <c r="AW3656" s="82" t="s">
        <v>15252</v>
      </c>
      <c r="AX3656" s="82" t="s">
        <v>15252</v>
      </c>
      <c r="AY3656" s="77"/>
      <c r="AZ3656" s="82" t="s">
        <v>15984</v>
      </c>
      <c r="BA3656" s="82" t="s">
        <v>15984</v>
      </c>
      <c r="BB3656" s="82" t="s">
        <v>15984</v>
      </c>
      <c r="BC3656" s="82" t="s">
        <v>15252</v>
      </c>
      <c r="BD3656" s="82" t="s">
        <v>15979</v>
      </c>
      <c r="BE3656" s="77"/>
      <c r="BF3656" s="77"/>
      <c r="BG3656" s="77"/>
      <c r="BH3656" s="77"/>
      <c r="BI3656" s="77"/>
    </row>
    <row r="3657" spans="1:61" x14ac:dyDescent="0.25">
      <c r="A3657" s="62" t="s">
        <v>387</v>
      </c>
      <c r="B3657" s="62" t="s">
        <v>387</v>
      </c>
      <c r="C3657" s="63"/>
      <c r="D3657" s="64"/>
      <c r="E3657" s="65"/>
      <c r="F3657" s="66"/>
      <c r="G3657" s="63"/>
      <c r="H3657" s="67"/>
      <c r="I3657" s="68"/>
      <c r="J3657" s="68"/>
      <c r="K3657" s="32"/>
      <c r="L3657" s="75">
        <v>3657</v>
      </c>
      <c r="M3657" s="75"/>
      <c r="N3657" s="70"/>
      <c r="O3657" s="77" t="s">
        <v>179</v>
      </c>
      <c r="P3657" s="79">
        <v>45131.891932870371</v>
      </c>
      <c r="Q3657" s="77" t="s">
        <v>4327</v>
      </c>
      <c r="R3657" s="77">
        <v>0</v>
      </c>
      <c r="S3657" s="77">
        <v>1</v>
      </c>
      <c r="T3657" s="77">
        <v>0</v>
      </c>
      <c r="U3657" s="77">
        <v>0</v>
      </c>
      <c r="V3657" s="77">
        <v>815</v>
      </c>
      <c r="W3657" s="82" t="s">
        <v>6366</v>
      </c>
      <c r="X3657" s="80" t="str">
        <f>HYPERLINK("https://mla.bs/d07fb6e0")</f>
        <v>https://mla.bs/d07fb6e0</v>
      </c>
      <c r="Y3657" s="77" t="s">
        <v>6506</v>
      </c>
      <c r="Z3657" s="77"/>
      <c r="AA3657" s="77"/>
      <c r="AB3657" s="77"/>
      <c r="AC3657" s="82" t="s">
        <v>7754</v>
      </c>
      <c r="AD3657" s="77" t="s">
        <v>7788</v>
      </c>
      <c r="AE3657" s="80" t="str">
        <f>HYPERLINK("https://twitter.com/einvestidor/status/1683588965050327042")</f>
        <v>https://twitter.com/einvestidor/status/1683588965050327042</v>
      </c>
      <c r="AF3657" s="79">
        <v>45131.891932870371</v>
      </c>
      <c r="AG3657" s="85">
        <v>45131</v>
      </c>
      <c r="AH3657" s="82" t="s">
        <v>10108</v>
      </c>
      <c r="AI3657" s="77" t="b">
        <v>0</v>
      </c>
      <c r="AJ3657" s="77"/>
      <c r="AK3657" s="77"/>
      <c r="AL3657" s="77"/>
      <c r="AM3657" s="77"/>
      <c r="AN3657" s="77"/>
      <c r="AO3657" s="77"/>
      <c r="AP3657" s="77"/>
      <c r="AQ3657" s="77"/>
      <c r="AR3657" s="77"/>
      <c r="AS3657" s="77"/>
      <c r="AT3657" s="77"/>
      <c r="AU3657" s="77"/>
      <c r="AV3657" s="80" t="str">
        <f>HYPERLINK("https://pbs.twimg.com/profile_images/1241147984924082183/gZgx_hL-_normal.jpg")</f>
        <v>https://pbs.twimg.com/profile_images/1241147984924082183/gZgx_hL-_normal.jpg</v>
      </c>
      <c r="AW3657" s="82" t="s">
        <v>15253</v>
      </c>
      <c r="AX3657" s="82" t="s">
        <v>15253</v>
      </c>
      <c r="AY3657" s="77"/>
      <c r="AZ3657" s="82" t="s">
        <v>15984</v>
      </c>
      <c r="BA3657" s="82" t="s">
        <v>15984</v>
      </c>
      <c r="BB3657" s="82" t="s">
        <v>15984</v>
      </c>
      <c r="BC3657" s="82" t="s">
        <v>15253</v>
      </c>
      <c r="BD3657" s="82" t="s">
        <v>15979</v>
      </c>
      <c r="BE3657" s="77"/>
      <c r="BF3657" s="77"/>
      <c r="BG3657" s="77"/>
      <c r="BH3657" s="77"/>
      <c r="BI3657" s="77"/>
    </row>
    <row r="3658" spans="1:61" x14ac:dyDescent="0.25">
      <c r="A3658" s="62" t="s">
        <v>387</v>
      </c>
      <c r="B3658" s="62" t="s">
        <v>387</v>
      </c>
      <c r="C3658" s="63"/>
      <c r="D3658" s="64"/>
      <c r="E3658" s="65"/>
      <c r="F3658" s="66"/>
      <c r="G3658" s="63"/>
      <c r="H3658" s="67"/>
      <c r="I3658" s="68"/>
      <c r="J3658" s="68"/>
      <c r="K3658" s="32"/>
      <c r="L3658" s="75">
        <v>3658</v>
      </c>
      <c r="M3658" s="75"/>
      <c r="N3658" s="70"/>
      <c r="O3658" s="77" t="s">
        <v>179</v>
      </c>
      <c r="P3658" s="79">
        <v>45131.891284722224</v>
      </c>
      <c r="Q3658" s="77" t="s">
        <v>4328</v>
      </c>
      <c r="R3658" s="77">
        <v>0</v>
      </c>
      <c r="S3658" s="77">
        <v>2</v>
      </c>
      <c r="T3658" s="77">
        <v>1</v>
      </c>
      <c r="U3658" s="77">
        <v>0</v>
      </c>
      <c r="V3658" s="77">
        <v>674</v>
      </c>
      <c r="W3658" s="82" t="s">
        <v>6367</v>
      </c>
      <c r="X3658" s="80" t="str">
        <f>HYPERLINK("https://mla.bs/b0ba9fef")</f>
        <v>https://mla.bs/b0ba9fef</v>
      </c>
      <c r="Y3658" s="77" t="s">
        <v>6506</v>
      </c>
      <c r="Z3658" s="77"/>
      <c r="AA3658" s="77"/>
      <c r="AB3658" s="77"/>
      <c r="AC3658" s="82" t="s">
        <v>7754</v>
      </c>
      <c r="AD3658" s="77" t="s">
        <v>7788</v>
      </c>
      <c r="AE3658" s="80" t="str">
        <f>HYPERLINK("https://twitter.com/einvestidor/status/1683588730487963648")</f>
        <v>https://twitter.com/einvestidor/status/1683588730487963648</v>
      </c>
      <c r="AF3658" s="79">
        <v>45131.891284722224</v>
      </c>
      <c r="AG3658" s="85">
        <v>45131</v>
      </c>
      <c r="AH3658" s="82" t="s">
        <v>10109</v>
      </c>
      <c r="AI3658" s="77" t="b">
        <v>0</v>
      </c>
      <c r="AJ3658" s="77"/>
      <c r="AK3658" s="77"/>
      <c r="AL3658" s="77"/>
      <c r="AM3658" s="77"/>
      <c r="AN3658" s="77"/>
      <c r="AO3658" s="77"/>
      <c r="AP3658" s="77"/>
      <c r="AQ3658" s="77"/>
      <c r="AR3658" s="77"/>
      <c r="AS3658" s="77"/>
      <c r="AT3658" s="77"/>
      <c r="AU3658" s="77"/>
      <c r="AV3658" s="80" t="str">
        <f>HYPERLINK("https://pbs.twimg.com/profile_images/1241147984924082183/gZgx_hL-_normal.jpg")</f>
        <v>https://pbs.twimg.com/profile_images/1241147984924082183/gZgx_hL-_normal.jpg</v>
      </c>
      <c r="AW3658" s="82" t="s">
        <v>15254</v>
      </c>
      <c r="AX3658" s="82" t="s">
        <v>15254</v>
      </c>
      <c r="AY3658" s="77"/>
      <c r="AZ3658" s="82" t="s">
        <v>15984</v>
      </c>
      <c r="BA3658" s="82" t="s">
        <v>15984</v>
      </c>
      <c r="BB3658" s="82" t="s">
        <v>15984</v>
      </c>
      <c r="BC3658" s="82" t="s">
        <v>15254</v>
      </c>
      <c r="BD3658" s="82" t="s">
        <v>15979</v>
      </c>
      <c r="BE3658" s="77"/>
      <c r="BF3658" s="77"/>
      <c r="BG3658" s="77"/>
      <c r="BH3658" s="77"/>
      <c r="BI3658" s="77"/>
    </row>
    <row r="3659" spans="1:61" x14ac:dyDescent="0.25">
      <c r="A3659" s="62" t="s">
        <v>387</v>
      </c>
      <c r="B3659" s="62" t="s">
        <v>387</v>
      </c>
      <c r="C3659" s="63"/>
      <c r="D3659" s="64"/>
      <c r="E3659" s="65"/>
      <c r="F3659" s="66"/>
      <c r="G3659" s="63"/>
      <c r="H3659" s="67"/>
      <c r="I3659" s="68"/>
      <c r="J3659" s="68"/>
      <c r="K3659" s="32"/>
      <c r="L3659" s="75">
        <v>3659</v>
      </c>
      <c r="M3659" s="75"/>
      <c r="N3659" s="70"/>
      <c r="O3659" s="77" t="s">
        <v>179</v>
      </c>
      <c r="P3659" s="79">
        <v>45131.885416666664</v>
      </c>
      <c r="Q3659" s="77" t="s">
        <v>4329</v>
      </c>
      <c r="R3659" s="77">
        <v>0</v>
      </c>
      <c r="S3659" s="77">
        <v>1</v>
      </c>
      <c r="T3659" s="77">
        <v>0</v>
      </c>
      <c r="U3659" s="77">
        <v>0</v>
      </c>
      <c r="V3659" s="77">
        <v>532</v>
      </c>
      <c r="W3659" s="82" t="s">
        <v>4833</v>
      </c>
      <c r="X3659" s="80" t="str">
        <f>HYPERLINK("https://mla.bs/16bbc59a")</f>
        <v>https://mla.bs/16bbc59a</v>
      </c>
      <c r="Y3659" s="77" t="s">
        <v>6506</v>
      </c>
      <c r="Z3659" s="77"/>
      <c r="AA3659" s="77"/>
      <c r="AB3659" s="77"/>
      <c r="AC3659" s="82" t="s">
        <v>7754</v>
      </c>
      <c r="AD3659" s="77" t="s">
        <v>7788</v>
      </c>
      <c r="AE3659" s="80" t="str">
        <f>HYPERLINK("https://twitter.com/einvestidor/status/1683586602394697730")</f>
        <v>https://twitter.com/einvestidor/status/1683586602394697730</v>
      </c>
      <c r="AF3659" s="79">
        <v>45131.885416666664</v>
      </c>
      <c r="AG3659" s="85">
        <v>45131</v>
      </c>
      <c r="AH3659" s="82" t="s">
        <v>8206</v>
      </c>
      <c r="AI3659" s="77" t="b">
        <v>0</v>
      </c>
      <c r="AJ3659" s="77"/>
      <c r="AK3659" s="77"/>
      <c r="AL3659" s="77"/>
      <c r="AM3659" s="77"/>
      <c r="AN3659" s="77"/>
      <c r="AO3659" s="77"/>
      <c r="AP3659" s="77"/>
      <c r="AQ3659" s="77"/>
      <c r="AR3659" s="77"/>
      <c r="AS3659" s="77"/>
      <c r="AT3659" s="77"/>
      <c r="AU3659" s="77"/>
      <c r="AV3659" s="80" t="str">
        <f>HYPERLINK("https://pbs.twimg.com/profile_images/1241147984924082183/gZgx_hL-_normal.jpg")</f>
        <v>https://pbs.twimg.com/profile_images/1241147984924082183/gZgx_hL-_normal.jpg</v>
      </c>
      <c r="AW3659" s="82" t="s">
        <v>15255</v>
      </c>
      <c r="AX3659" s="82" t="s">
        <v>15255</v>
      </c>
      <c r="AY3659" s="77"/>
      <c r="AZ3659" s="82" t="s">
        <v>15984</v>
      </c>
      <c r="BA3659" s="82" t="s">
        <v>15984</v>
      </c>
      <c r="BB3659" s="82" t="s">
        <v>15984</v>
      </c>
      <c r="BC3659" s="82" t="s">
        <v>15255</v>
      </c>
      <c r="BD3659" s="82" t="s">
        <v>15979</v>
      </c>
      <c r="BE3659" s="77"/>
      <c r="BF3659" s="77"/>
      <c r="BG3659" s="77"/>
      <c r="BH3659" s="77"/>
      <c r="BI3659" s="77"/>
    </row>
    <row r="3660" spans="1:61" x14ac:dyDescent="0.25">
      <c r="A3660" s="62" t="s">
        <v>387</v>
      </c>
      <c r="B3660" s="62" t="s">
        <v>387</v>
      </c>
      <c r="C3660" s="63"/>
      <c r="D3660" s="64"/>
      <c r="E3660" s="65"/>
      <c r="F3660" s="66"/>
      <c r="G3660" s="63"/>
      <c r="H3660" s="67"/>
      <c r="I3660" s="68"/>
      <c r="J3660" s="68"/>
      <c r="K3660" s="32"/>
      <c r="L3660" s="75">
        <v>3660</v>
      </c>
      <c r="M3660" s="75"/>
      <c r="N3660" s="70"/>
      <c r="O3660" s="77" t="s">
        <v>179</v>
      </c>
      <c r="P3660" s="79">
        <v>45131.875023148146</v>
      </c>
      <c r="Q3660" s="77" t="s">
        <v>4330</v>
      </c>
      <c r="R3660" s="77">
        <v>1</v>
      </c>
      <c r="S3660" s="77">
        <v>2</v>
      </c>
      <c r="T3660" s="77">
        <v>0</v>
      </c>
      <c r="U3660" s="77">
        <v>0</v>
      </c>
      <c r="V3660" s="77">
        <v>556</v>
      </c>
      <c r="W3660" s="82" t="s">
        <v>6368</v>
      </c>
      <c r="X3660" s="80" t="str">
        <f>HYPERLINK("https://mla.bs/087c4eec")</f>
        <v>https://mla.bs/087c4eec</v>
      </c>
      <c r="Y3660" s="77" t="s">
        <v>6506</v>
      </c>
      <c r="Z3660" s="77"/>
      <c r="AA3660" s="77"/>
      <c r="AB3660" s="77"/>
      <c r="AC3660" s="82" t="s">
        <v>7754</v>
      </c>
      <c r="AD3660" s="77" t="s">
        <v>7788</v>
      </c>
      <c r="AE3660" s="80" t="str">
        <f>HYPERLINK("https://twitter.com/einvestidor/status/1683582835339440128")</f>
        <v>https://twitter.com/einvestidor/status/1683582835339440128</v>
      </c>
      <c r="AF3660" s="79">
        <v>45131.875023148146</v>
      </c>
      <c r="AG3660" s="85">
        <v>45131</v>
      </c>
      <c r="AH3660" s="82" t="s">
        <v>10110</v>
      </c>
      <c r="AI3660" s="77" t="b">
        <v>0</v>
      </c>
      <c r="AJ3660" s="77"/>
      <c r="AK3660" s="77"/>
      <c r="AL3660" s="77"/>
      <c r="AM3660" s="77"/>
      <c r="AN3660" s="77"/>
      <c r="AO3660" s="77"/>
      <c r="AP3660" s="77"/>
      <c r="AQ3660" s="77"/>
      <c r="AR3660" s="77"/>
      <c r="AS3660" s="77"/>
      <c r="AT3660" s="77"/>
      <c r="AU3660" s="77"/>
      <c r="AV3660" s="80" t="str">
        <f>HYPERLINK("https://pbs.twimg.com/profile_images/1241147984924082183/gZgx_hL-_normal.jpg")</f>
        <v>https://pbs.twimg.com/profile_images/1241147984924082183/gZgx_hL-_normal.jpg</v>
      </c>
      <c r="AW3660" s="82" t="s">
        <v>15256</v>
      </c>
      <c r="AX3660" s="82" t="s">
        <v>15256</v>
      </c>
      <c r="AY3660" s="77"/>
      <c r="AZ3660" s="82" t="s">
        <v>15984</v>
      </c>
      <c r="BA3660" s="82" t="s">
        <v>15984</v>
      </c>
      <c r="BB3660" s="82" t="s">
        <v>15984</v>
      </c>
      <c r="BC3660" s="82" t="s">
        <v>15256</v>
      </c>
      <c r="BD3660" s="82" t="s">
        <v>15979</v>
      </c>
      <c r="BE3660" s="77"/>
      <c r="BF3660" s="77"/>
      <c r="BG3660" s="77"/>
      <c r="BH3660" s="77"/>
      <c r="BI3660" s="77"/>
    </row>
    <row r="3661" spans="1:61" x14ac:dyDescent="0.25">
      <c r="A3661" s="62" t="s">
        <v>387</v>
      </c>
      <c r="B3661" s="62" t="s">
        <v>387</v>
      </c>
      <c r="C3661" s="63"/>
      <c r="D3661" s="64"/>
      <c r="E3661" s="65"/>
      <c r="F3661" s="66"/>
      <c r="G3661" s="63"/>
      <c r="H3661" s="67"/>
      <c r="I3661" s="68"/>
      <c r="J3661" s="68"/>
      <c r="K3661" s="32"/>
      <c r="L3661" s="75">
        <v>3661</v>
      </c>
      <c r="M3661" s="75"/>
      <c r="N3661" s="70"/>
      <c r="O3661" s="77" t="s">
        <v>179</v>
      </c>
      <c r="P3661" s="79">
        <v>45131.864583333336</v>
      </c>
      <c r="Q3661" s="77" t="s">
        <v>4331</v>
      </c>
      <c r="R3661" s="77">
        <v>0</v>
      </c>
      <c r="S3661" s="77">
        <v>1</v>
      </c>
      <c r="T3661" s="77">
        <v>0</v>
      </c>
      <c r="U3661" s="77">
        <v>0</v>
      </c>
      <c r="V3661" s="77">
        <v>611</v>
      </c>
      <c r="W3661" s="82" t="s">
        <v>4833</v>
      </c>
      <c r="X3661" s="80" t="str">
        <f>HYPERLINK("https://mla.bs/2506e2f8")</f>
        <v>https://mla.bs/2506e2f8</v>
      </c>
      <c r="Y3661" s="77" t="s">
        <v>6506</v>
      </c>
      <c r="Z3661" s="77"/>
      <c r="AA3661" s="77"/>
      <c r="AB3661" s="77"/>
      <c r="AC3661" s="82" t="s">
        <v>7754</v>
      </c>
      <c r="AD3661" s="77" t="s">
        <v>7788</v>
      </c>
      <c r="AE3661" s="80" t="str">
        <f>HYPERLINK("https://twitter.com/einvestidor/status/1683579053012406273")</f>
        <v>https://twitter.com/einvestidor/status/1683579053012406273</v>
      </c>
      <c r="AF3661" s="79">
        <v>45131.864583333336</v>
      </c>
      <c r="AG3661" s="85">
        <v>45131</v>
      </c>
      <c r="AH3661" s="82" t="s">
        <v>9596</v>
      </c>
      <c r="AI3661" s="77" t="b">
        <v>0</v>
      </c>
      <c r="AJ3661" s="77"/>
      <c r="AK3661" s="77"/>
      <c r="AL3661" s="77"/>
      <c r="AM3661" s="77"/>
      <c r="AN3661" s="77"/>
      <c r="AO3661" s="77"/>
      <c r="AP3661" s="77"/>
      <c r="AQ3661" s="77"/>
      <c r="AR3661" s="77"/>
      <c r="AS3661" s="77"/>
      <c r="AT3661" s="77"/>
      <c r="AU3661" s="77"/>
      <c r="AV3661" s="80" t="str">
        <f>HYPERLINK("https://pbs.twimg.com/profile_images/1241147984924082183/gZgx_hL-_normal.jpg")</f>
        <v>https://pbs.twimg.com/profile_images/1241147984924082183/gZgx_hL-_normal.jpg</v>
      </c>
      <c r="AW3661" s="82" t="s">
        <v>15257</v>
      </c>
      <c r="AX3661" s="82" t="s">
        <v>15257</v>
      </c>
      <c r="AY3661" s="77"/>
      <c r="AZ3661" s="82" t="s">
        <v>15984</v>
      </c>
      <c r="BA3661" s="82" t="s">
        <v>15984</v>
      </c>
      <c r="BB3661" s="82" t="s">
        <v>15984</v>
      </c>
      <c r="BC3661" s="82" t="s">
        <v>15257</v>
      </c>
      <c r="BD3661" s="82" t="s">
        <v>15979</v>
      </c>
      <c r="BE3661" s="77"/>
      <c r="BF3661" s="77"/>
      <c r="BG3661" s="77"/>
      <c r="BH3661" s="77"/>
      <c r="BI3661" s="77"/>
    </row>
    <row r="3662" spans="1:61" x14ac:dyDescent="0.25">
      <c r="A3662" s="62" t="s">
        <v>387</v>
      </c>
      <c r="B3662" s="62" t="s">
        <v>387</v>
      </c>
      <c r="C3662" s="63"/>
      <c r="D3662" s="64"/>
      <c r="E3662" s="65"/>
      <c r="F3662" s="66"/>
      <c r="G3662" s="63"/>
      <c r="H3662" s="67"/>
      <c r="I3662" s="68"/>
      <c r="J3662" s="68"/>
      <c r="K3662" s="32"/>
      <c r="L3662" s="75">
        <v>3662</v>
      </c>
      <c r="M3662" s="75"/>
      <c r="N3662" s="70"/>
      <c r="O3662" s="77" t="s">
        <v>179</v>
      </c>
      <c r="P3662" s="79">
        <v>45131.854166666664</v>
      </c>
      <c r="Q3662" s="77" t="s">
        <v>4332</v>
      </c>
      <c r="R3662" s="77">
        <v>0</v>
      </c>
      <c r="S3662" s="77">
        <v>0</v>
      </c>
      <c r="T3662" s="77">
        <v>0</v>
      </c>
      <c r="U3662" s="77">
        <v>0</v>
      </c>
      <c r="V3662" s="77">
        <v>625</v>
      </c>
      <c r="W3662" s="82" t="s">
        <v>6145</v>
      </c>
      <c r="X3662" s="80" t="str">
        <f>HYPERLINK("https://mla.bs/1de51540")</f>
        <v>https://mla.bs/1de51540</v>
      </c>
      <c r="Y3662" s="77" t="s">
        <v>6506</v>
      </c>
      <c r="Z3662" s="77"/>
      <c r="AA3662" s="77"/>
      <c r="AB3662" s="77"/>
      <c r="AC3662" s="82" t="s">
        <v>7754</v>
      </c>
      <c r="AD3662" s="77" t="s">
        <v>7788</v>
      </c>
      <c r="AE3662" s="80" t="str">
        <f>HYPERLINK("https://twitter.com/einvestidor/status/1683575279334326277")</f>
        <v>https://twitter.com/einvestidor/status/1683575279334326277</v>
      </c>
      <c r="AF3662" s="79">
        <v>45131.854166666664</v>
      </c>
      <c r="AG3662" s="85">
        <v>45131</v>
      </c>
      <c r="AH3662" s="82" t="s">
        <v>8090</v>
      </c>
      <c r="AI3662" s="77" t="b">
        <v>0</v>
      </c>
      <c r="AJ3662" s="77"/>
      <c r="AK3662" s="77"/>
      <c r="AL3662" s="77"/>
      <c r="AM3662" s="77"/>
      <c r="AN3662" s="77"/>
      <c r="AO3662" s="77"/>
      <c r="AP3662" s="77"/>
      <c r="AQ3662" s="77"/>
      <c r="AR3662" s="77"/>
      <c r="AS3662" s="77"/>
      <c r="AT3662" s="77"/>
      <c r="AU3662" s="77"/>
      <c r="AV3662" s="80" t="str">
        <f>HYPERLINK("https://pbs.twimg.com/profile_images/1241147984924082183/gZgx_hL-_normal.jpg")</f>
        <v>https://pbs.twimg.com/profile_images/1241147984924082183/gZgx_hL-_normal.jpg</v>
      </c>
      <c r="AW3662" s="82" t="s">
        <v>15258</v>
      </c>
      <c r="AX3662" s="82" t="s">
        <v>15258</v>
      </c>
      <c r="AY3662" s="77"/>
      <c r="AZ3662" s="82" t="s">
        <v>15984</v>
      </c>
      <c r="BA3662" s="82" t="s">
        <v>15984</v>
      </c>
      <c r="BB3662" s="82" t="s">
        <v>15984</v>
      </c>
      <c r="BC3662" s="82" t="s">
        <v>15258</v>
      </c>
      <c r="BD3662" s="82" t="s">
        <v>15979</v>
      </c>
      <c r="BE3662" s="77"/>
      <c r="BF3662" s="77"/>
      <c r="BG3662" s="77"/>
      <c r="BH3662" s="77"/>
      <c r="BI3662" s="77"/>
    </row>
    <row r="3663" spans="1:61" x14ac:dyDescent="0.25">
      <c r="A3663" s="62" t="s">
        <v>387</v>
      </c>
      <c r="B3663" s="62" t="s">
        <v>387</v>
      </c>
      <c r="C3663" s="63"/>
      <c r="D3663" s="64"/>
      <c r="E3663" s="65"/>
      <c r="F3663" s="66"/>
      <c r="G3663" s="63"/>
      <c r="H3663" s="67"/>
      <c r="I3663" s="68"/>
      <c r="J3663" s="68"/>
      <c r="K3663" s="32"/>
      <c r="L3663" s="75">
        <v>3663</v>
      </c>
      <c r="M3663" s="75"/>
      <c r="N3663" s="70"/>
      <c r="O3663" s="77" t="s">
        <v>179</v>
      </c>
      <c r="P3663" s="79">
        <v>45131.84375</v>
      </c>
      <c r="Q3663" s="77" t="s">
        <v>4333</v>
      </c>
      <c r="R3663" s="77">
        <v>0</v>
      </c>
      <c r="S3663" s="77">
        <v>0</v>
      </c>
      <c r="T3663" s="77">
        <v>0</v>
      </c>
      <c r="U3663" s="77">
        <v>0</v>
      </c>
      <c r="V3663" s="77">
        <v>543</v>
      </c>
      <c r="W3663" s="82" t="s">
        <v>4833</v>
      </c>
      <c r="X3663" s="80" t="str">
        <f>HYPERLINK("https://mla.bs/785f70ef")</f>
        <v>https://mla.bs/785f70ef</v>
      </c>
      <c r="Y3663" s="77" t="s">
        <v>6506</v>
      </c>
      <c r="Z3663" s="77"/>
      <c r="AA3663" s="77"/>
      <c r="AB3663" s="77"/>
      <c r="AC3663" s="82" t="s">
        <v>7754</v>
      </c>
      <c r="AD3663" s="77" t="s">
        <v>7788</v>
      </c>
      <c r="AE3663" s="80" t="str">
        <f>HYPERLINK("https://twitter.com/einvestidor/status/1683571502996934656")</f>
        <v>https://twitter.com/einvestidor/status/1683571502996934656</v>
      </c>
      <c r="AF3663" s="79">
        <v>45131.84375</v>
      </c>
      <c r="AG3663" s="85">
        <v>45131</v>
      </c>
      <c r="AH3663" s="82" t="s">
        <v>9296</v>
      </c>
      <c r="AI3663" s="77" t="b">
        <v>0</v>
      </c>
      <c r="AJ3663" s="77"/>
      <c r="AK3663" s="77"/>
      <c r="AL3663" s="77"/>
      <c r="AM3663" s="77"/>
      <c r="AN3663" s="77"/>
      <c r="AO3663" s="77"/>
      <c r="AP3663" s="77"/>
      <c r="AQ3663" s="77"/>
      <c r="AR3663" s="77"/>
      <c r="AS3663" s="77"/>
      <c r="AT3663" s="77"/>
      <c r="AU3663" s="77"/>
      <c r="AV3663" s="80" t="str">
        <f>HYPERLINK("https://pbs.twimg.com/profile_images/1241147984924082183/gZgx_hL-_normal.jpg")</f>
        <v>https://pbs.twimg.com/profile_images/1241147984924082183/gZgx_hL-_normal.jpg</v>
      </c>
      <c r="AW3663" s="82" t="s">
        <v>15259</v>
      </c>
      <c r="AX3663" s="82" t="s">
        <v>15259</v>
      </c>
      <c r="AY3663" s="77"/>
      <c r="AZ3663" s="82" t="s">
        <v>15984</v>
      </c>
      <c r="BA3663" s="82" t="s">
        <v>15984</v>
      </c>
      <c r="BB3663" s="82" t="s">
        <v>15984</v>
      </c>
      <c r="BC3663" s="82" t="s">
        <v>15259</v>
      </c>
      <c r="BD3663" s="82" t="s">
        <v>15979</v>
      </c>
      <c r="BE3663" s="77"/>
      <c r="BF3663" s="77"/>
      <c r="BG3663" s="77"/>
      <c r="BH3663" s="77"/>
      <c r="BI3663" s="77"/>
    </row>
    <row r="3664" spans="1:61" x14ac:dyDescent="0.25">
      <c r="A3664" s="62" t="s">
        <v>387</v>
      </c>
      <c r="B3664" s="62" t="s">
        <v>387</v>
      </c>
      <c r="C3664" s="63"/>
      <c r="D3664" s="64"/>
      <c r="E3664" s="65"/>
      <c r="F3664" s="66"/>
      <c r="G3664" s="63"/>
      <c r="H3664" s="67"/>
      <c r="I3664" s="68"/>
      <c r="J3664" s="68"/>
      <c r="K3664" s="32"/>
      <c r="L3664" s="75">
        <v>3664</v>
      </c>
      <c r="M3664" s="75"/>
      <c r="N3664" s="70"/>
      <c r="O3664" s="77" t="s">
        <v>179</v>
      </c>
      <c r="P3664" s="79">
        <v>45131.84375</v>
      </c>
      <c r="Q3664" s="77" t="s">
        <v>4334</v>
      </c>
      <c r="R3664" s="77">
        <v>1</v>
      </c>
      <c r="S3664" s="77">
        <v>1</v>
      </c>
      <c r="T3664" s="77">
        <v>0</v>
      </c>
      <c r="U3664" s="77">
        <v>0</v>
      </c>
      <c r="V3664" s="77">
        <v>553</v>
      </c>
      <c r="W3664" s="82" t="s">
        <v>4833</v>
      </c>
      <c r="X3664" s="80" t="str">
        <f>HYPERLINK("https://mla.bs/cb3cbe0e")</f>
        <v>https://mla.bs/cb3cbe0e</v>
      </c>
      <c r="Y3664" s="77" t="s">
        <v>6506</v>
      </c>
      <c r="Z3664" s="77"/>
      <c r="AA3664" s="77"/>
      <c r="AB3664" s="77"/>
      <c r="AC3664" s="82" t="s">
        <v>7754</v>
      </c>
      <c r="AD3664" s="77" t="s">
        <v>7788</v>
      </c>
      <c r="AE3664" s="80" t="str">
        <f>HYPERLINK("https://twitter.com/einvestidor/status/1683571502866653184")</f>
        <v>https://twitter.com/einvestidor/status/1683571502866653184</v>
      </c>
      <c r="AF3664" s="79">
        <v>45131.84375</v>
      </c>
      <c r="AG3664" s="85">
        <v>45131</v>
      </c>
      <c r="AH3664" s="82" t="s">
        <v>9296</v>
      </c>
      <c r="AI3664" s="77" t="b">
        <v>0</v>
      </c>
      <c r="AJ3664" s="77"/>
      <c r="AK3664" s="77"/>
      <c r="AL3664" s="77"/>
      <c r="AM3664" s="77"/>
      <c r="AN3664" s="77"/>
      <c r="AO3664" s="77"/>
      <c r="AP3664" s="77"/>
      <c r="AQ3664" s="77"/>
      <c r="AR3664" s="77"/>
      <c r="AS3664" s="77"/>
      <c r="AT3664" s="77"/>
      <c r="AU3664" s="77"/>
      <c r="AV3664" s="80" t="str">
        <f>HYPERLINK("https://pbs.twimg.com/profile_images/1241147984924082183/gZgx_hL-_normal.jpg")</f>
        <v>https://pbs.twimg.com/profile_images/1241147984924082183/gZgx_hL-_normal.jpg</v>
      </c>
      <c r="AW3664" s="82" t="s">
        <v>15260</v>
      </c>
      <c r="AX3664" s="82" t="s">
        <v>15260</v>
      </c>
      <c r="AY3664" s="77"/>
      <c r="AZ3664" s="82" t="s">
        <v>15984</v>
      </c>
      <c r="BA3664" s="82" t="s">
        <v>15984</v>
      </c>
      <c r="BB3664" s="82" t="s">
        <v>15984</v>
      </c>
      <c r="BC3664" s="82" t="s">
        <v>15260</v>
      </c>
      <c r="BD3664" s="82" t="s">
        <v>15979</v>
      </c>
      <c r="BE3664" s="77"/>
      <c r="BF3664" s="77"/>
      <c r="BG3664" s="77"/>
      <c r="BH3664" s="77"/>
      <c r="BI3664" s="77"/>
    </row>
    <row r="3665" spans="1:61" x14ac:dyDescent="0.25">
      <c r="A3665" s="62" t="s">
        <v>387</v>
      </c>
      <c r="B3665" s="62" t="s">
        <v>387</v>
      </c>
      <c r="C3665" s="63"/>
      <c r="D3665" s="64"/>
      <c r="E3665" s="65"/>
      <c r="F3665" s="66"/>
      <c r="G3665" s="63"/>
      <c r="H3665" s="67"/>
      <c r="I3665" s="68"/>
      <c r="J3665" s="68"/>
      <c r="K3665" s="32"/>
      <c r="L3665" s="75">
        <v>3665</v>
      </c>
      <c r="M3665" s="75"/>
      <c r="N3665" s="70"/>
      <c r="O3665" s="77" t="s">
        <v>898</v>
      </c>
      <c r="P3665" s="79">
        <v>45131.836122685185</v>
      </c>
      <c r="Q3665" s="77" t="s">
        <v>4335</v>
      </c>
      <c r="R3665" s="77">
        <v>0</v>
      </c>
      <c r="S3665" s="77">
        <v>0</v>
      </c>
      <c r="T3665" s="77">
        <v>1</v>
      </c>
      <c r="U3665" s="77">
        <v>0</v>
      </c>
      <c r="V3665" s="77">
        <v>678</v>
      </c>
      <c r="W3665" s="82" t="s">
        <v>4833</v>
      </c>
      <c r="X3665" s="80" t="str">
        <f>HYPERLINK("https://mla.bs/02ffdc12")</f>
        <v>https://mla.bs/02ffdc12</v>
      </c>
      <c r="Y3665" s="77" t="s">
        <v>6506</v>
      </c>
      <c r="Z3665" s="77"/>
      <c r="AA3665" s="77"/>
      <c r="AB3665" s="77"/>
      <c r="AC3665" s="82" t="s">
        <v>7752</v>
      </c>
      <c r="AD3665" s="77" t="s">
        <v>7788</v>
      </c>
      <c r="AE3665" s="80" t="str">
        <f>HYPERLINK("https://twitter.com/einvestidor/status/1683568741928370199")</f>
        <v>https://twitter.com/einvestidor/status/1683568741928370199</v>
      </c>
      <c r="AF3665" s="79">
        <v>45131.836122685185</v>
      </c>
      <c r="AG3665" s="85">
        <v>45131</v>
      </c>
      <c r="AH3665" s="82" t="s">
        <v>10111</v>
      </c>
      <c r="AI3665" s="77" t="b">
        <v>0</v>
      </c>
      <c r="AJ3665" s="77"/>
      <c r="AK3665" s="77"/>
      <c r="AL3665" s="77"/>
      <c r="AM3665" s="77"/>
      <c r="AN3665" s="77"/>
      <c r="AO3665" s="77"/>
      <c r="AP3665" s="77"/>
      <c r="AQ3665" s="77"/>
      <c r="AR3665" s="77"/>
      <c r="AS3665" s="77"/>
      <c r="AT3665" s="77"/>
      <c r="AU3665" s="77"/>
      <c r="AV3665" s="80" t="str">
        <f>HYPERLINK("https://pbs.twimg.com/profile_images/1241147984924082183/gZgx_hL-_normal.jpg")</f>
        <v>https://pbs.twimg.com/profile_images/1241147984924082183/gZgx_hL-_normal.jpg</v>
      </c>
      <c r="AW3665" s="82" t="s">
        <v>15261</v>
      </c>
      <c r="AX3665" s="82" t="s">
        <v>14436</v>
      </c>
      <c r="AY3665" s="82" t="s">
        <v>15979</v>
      </c>
      <c r="AZ3665" s="82" t="s">
        <v>15263</v>
      </c>
      <c r="BA3665" s="82" t="s">
        <v>15984</v>
      </c>
      <c r="BB3665" s="82" t="s">
        <v>15984</v>
      </c>
      <c r="BC3665" s="82" t="s">
        <v>15263</v>
      </c>
      <c r="BD3665" s="82" t="s">
        <v>15979</v>
      </c>
      <c r="BE3665" s="77"/>
      <c r="BF3665" s="77"/>
      <c r="BG3665" s="77"/>
      <c r="BH3665" s="77"/>
      <c r="BI3665" s="77"/>
    </row>
    <row r="3666" spans="1:61" x14ac:dyDescent="0.25">
      <c r="A3666" s="62" t="s">
        <v>387</v>
      </c>
      <c r="B3666" s="62" t="s">
        <v>387</v>
      </c>
      <c r="C3666" s="63"/>
      <c r="D3666" s="64"/>
      <c r="E3666" s="65"/>
      <c r="F3666" s="66"/>
      <c r="G3666" s="63"/>
      <c r="H3666" s="67"/>
      <c r="I3666" s="68"/>
      <c r="J3666" s="68"/>
      <c r="K3666" s="32"/>
      <c r="L3666" s="75">
        <v>3666</v>
      </c>
      <c r="M3666" s="75"/>
      <c r="N3666" s="70"/>
      <c r="O3666" s="77" t="s">
        <v>179</v>
      </c>
      <c r="P3666" s="79">
        <v>45131.833344907405</v>
      </c>
      <c r="Q3666" s="77" t="s">
        <v>4336</v>
      </c>
      <c r="R3666" s="77">
        <v>0</v>
      </c>
      <c r="S3666" s="77">
        <v>0</v>
      </c>
      <c r="T3666" s="77">
        <v>0</v>
      </c>
      <c r="U3666" s="77">
        <v>0</v>
      </c>
      <c r="V3666" s="77">
        <v>520</v>
      </c>
      <c r="W3666" s="82" t="s">
        <v>4833</v>
      </c>
      <c r="X3666" s="80" t="str">
        <f>HYPERLINK("https://mla.bs/741ea8b2")</f>
        <v>https://mla.bs/741ea8b2</v>
      </c>
      <c r="Y3666" s="77" t="s">
        <v>6506</v>
      </c>
      <c r="Z3666" s="77"/>
      <c r="AA3666" s="77"/>
      <c r="AB3666" s="77"/>
      <c r="AC3666" s="82" t="s">
        <v>7754</v>
      </c>
      <c r="AD3666" s="77" t="s">
        <v>7788</v>
      </c>
      <c r="AE3666" s="80" t="str">
        <f>HYPERLINK("https://twitter.com/einvestidor/status/1683567732288045056")</f>
        <v>https://twitter.com/einvestidor/status/1683567732288045056</v>
      </c>
      <c r="AF3666" s="79">
        <v>45131.833344907405</v>
      </c>
      <c r="AG3666" s="85">
        <v>45131</v>
      </c>
      <c r="AH3666" s="82" t="s">
        <v>8284</v>
      </c>
      <c r="AI3666" s="77" t="b">
        <v>0</v>
      </c>
      <c r="AJ3666" s="77"/>
      <c r="AK3666" s="77"/>
      <c r="AL3666" s="77"/>
      <c r="AM3666" s="77"/>
      <c r="AN3666" s="77"/>
      <c r="AO3666" s="77"/>
      <c r="AP3666" s="77"/>
      <c r="AQ3666" s="77"/>
      <c r="AR3666" s="77"/>
      <c r="AS3666" s="77"/>
      <c r="AT3666" s="77"/>
      <c r="AU3666" s="77"/>
      <c r="AV3666" s="80" t="str">
        <f>HYPERLINK("https://pbs.twimg.com/profile_images/1241147984924082183/gZgx_hL-_normal.jpg")</f>
        <v>https://pbs.twimg.com/profile_images/1241147984924082183/gZgx_hL-_normal.jpg</v>
      </c>
      <c r="AW3666" s="82" t="s">
        <v>15262</v>
      </c>
      <c r="AX3666" s="82" t="s">
        <v>15262</v>
      </c>
      <c r="AY3666" s="77"/>
      <c r="AZ3666" s="82" t="s">
        <v>15984</v>
      </c>
      <c r="BA3666" s="82" t="s">
        <v>15984</v>
      </c>
      <c r="BB3666" s="82" t="s">
        <v>15984</v>
      </c>
      <c r="BC3666" s="82" t="s">
        <v>15262</v>
      </c>
      <c r="BD3666" s="82" t="s">
        <v>15979</v>
      </c>
      <c r="BE3666" s="77"/>
      <c r="BF3666" s="77"/>
      <c r="BG3666" s="77"/>
      <c r="BH3666" s="77"/>
      <c r="BI3666" s="77"/>
    </row>
    <row r="3667" spans="1:61" x14ac:dyDescent="0.25">
      <c r="A3667" s="62" t="s">
        <v>387</v>
      </c>
      <c r="B3667" s="62" t="s">
        <v>387</v>
      </c>
      <c r="C3667" s="63"/>
      <c r="D3667" s="64"/>
      <c r="E3667" s="65"/>
      <c r="F3667" s="66"/>
      <c r="G3667" s="63"/>
      <c r="H3667" s="67"/>
      <c r="I3667" s="68"/>
      <c r="J3667" s="68"/>
      <c r="K3667" s="32"/>
      <c r="L3667" s="75">
        <v>3667</v>
      </c>
      <c r="M3667" s="75"/>
      <c r="N3667" s="70"/>
      <c r="O3667" s="77" t="s">
        <v>898</v>
      </c>
      <c r="P3667" s="79">
        <v>45131.8125</v>
      </c>
      <c r="Q3667" s="77" t="s">
        <v>4337</v>
      </c>
      <c r="R3667" s="77">
        <v>0</v>
      </c>
      <c r="S3667" s="77">
        <v>0</v>
      </c>
      <c r="T3667" s="77">
        <v>1</v>
      </c>
      <c r="U3667" s="77">
        <v>0</v>
      </c>
      <c r="V3667" s="77">
        <v>814</v>
      </c>
      <c r="W3667" s="82" t="s">
        <v>4833</v>
      </c>
      <c r="X3667" s="80" t="str">
        <f>HYPERLINK("https://mla.bs/0ee42bfe")</f>
        <v>https://mla.bs/0ee42bfe</v>
      </c>
      <c r="Y3667" s="77" t="s">
        <v>6506</v>
      </c>
      <c r="Z3667" s="77"/>
      <c r="AA3667" s="77"/>
      <c r="AB3667" s="77"/>
      <c r="AC3667" s="82" t="s">
        <v>7750</v>
      </c>
      <c r="AD3667" s="77" t="s">
        <v>7788</v>
      </c>
      <c r="AE3667" s="80" t="str">
        <f>HYPERLINK("https://twitter.com/einvestidor/status/1683560179097280513")</f>
        <v>https://twitter.com/einvestidor/status/1683560179097280513</v>
      </c>
      <c r="AF3667" s="79">
        <v>45131.8125</v>
      </c>
      <c r="AG3667" s="85">
        <v>45131</v>
      </c>
      <c r="AH3667" s="82" t="s">
        <v>8281</v>
      </c>
      <c r="AI3667" s="77" t="b">
        <v>0</v>
      </c>
      <c r="AJ3667" s="77"/>
      <c r="AK3667" s="77"/>
      <c r="AL3667" s="77"/>
      <c r="AM3667" s="77"/>
      <c r="AN3667" s="77"/>
      <c r="AO3667" s="77"/>
      <c r="AP3667" s="77"/>
      <c r="AQ3667" s="77"/>
      <c r="AR3667" s="77"/>
      <c r="AS3667" s="77"/>
      <c r="AT3667" s="77"/>
      <c r="AU3667" s="77"/>
      <c r="AV3667" s="80" t="str">
        <f>HYPERLINK("https://pbs.twimg.com/profile_images/1241147984924082183/gZgx_hL-_normal.jpg")</f>
        <v>https://pbs.twimg.com/profile_images/1241147984924082183/gZgx_hL-_normal.jpg</v>
      </c>
      <c r="AW3667" s="82" t="s">
        <v>15263</v>
      </c>
      <c r="AX3667" s="82" t="s">
        <v>14436</v>
      </c>
      <c r="AY3667" s="82" t="s">
        <v>15979</v>
      </c>
      <c r="AZ3667" s="82" t="s">
        <v>13950</v>
      </c>
      <c r="BA3667" s="82" t="s">
        <v>15984</v>
      </c>
      <c r="BB3667" s="82" t="s">
        <v>15984</v>
      </c>
      <c r="BC3667" s="82" t="s">
        <v>13950</v>
      </c>
      <c r="BD3667" s="82" t="s">
        <v>15979</v>
      </c>
      <c r="BE3667" s="77"/>
      <c r="BF3667" s="77"/>
      <c r="BG3667" s="77"/>
      <c r="BH3667" s="77"/>
      <c r="BI3667" s="77"/>
    </row>
    <row r="3668" spans="1:61" x14ac:dyDescent="0.25">
      <c r="A3668" s="62" t="s">
        <v>724</v>
      </c>
      <c r="B3668" s="62" t="s">
        <v>387</v>
      </c>
      <c r="C3668" s="63"/>
      <c r="D3668" s="64"/>
      <c r="E3668" s="65"/>
      <c r="F3668" s="66"/>
      <c r="G3668" s="63"/>
      <c r="H3668" s="67"/>
      <c r="I3668" s="68"/>
      <c r="J3668" s="68"/>
      <c r="K3668" s="32"/>
      <c r="L3668" s="75">
        <v>3668</v>
      </c>
      <c r="M3668" s="75"/>
      <c r="N3668" s="70"/>
      <c r="O3668" s="77" t="s">
        <v>897</v>
      </c>
      <c r="P3668" s="79">
        <v>45195.489710648151</v>
      </c>
      <c r="Q3668" s="77" t="s">
        <v>4338</v>
      </c>
      <c r="R3668" s="77">
        <v>1</v>
      </c>
      <c r="S3668" s="77">
        <v>0</v>
      </c>
      <c r="T3668" s="77">
        <v>0</v>
      </c>
      <c r="U3668" s="77">
        <v>0</v>
      </c>
      <c r="V3668" s="77"/>
      <c r="W3668" s="82" t="s">
        <v>6239</v>
      </c>
      <c r="X3668" s="77"/>
      <c r="Y3668" s="77"/>
      <c r="Z3668" s="77" t="s">
        <v>387</v>
      </c>
      <c r="AA3668" s="77"/>
      <c r="AB3668" s="77"/>
      <c r="AC3668" s="82" t="s">
        <v>7751</v>
      </c>
      <c r="AD3668" s="77" t="s">
        <v>7788</v>
      </c>
      <c r="AE3668" s="80" t="str">
        <f>HYPERLINK("https://twitter.com/1nverpersona1/status/1706636028360941964")</f>
        <v>https://twitter.com/1nverpersona1/status/1706636028360941964</v>
      </c>
      <c r="AF3668" s="79">
        <v>45195.489710648151</v>
      </c>
      <c r="AG3668" s="85">
        <v>45195</v>
      </c>
      <c r="AH3668" s="82" t="s">
        <v>10112</v>
      </c>
      <c r="AI3668" s="77" t="b">
        <v>0</v>
      </c>
      <c r="AJ3668" s="77"/>
      <c r="AK3668" s="77"/>
      <c r="AL3668" s="77"/>
      <c r="AM3668" s="77"/>
      <c r="AN3668" s="77"/>
      <c r="AO3668" s="77"/>
      <c r="AP3668" s="77"/>
      <c r="AQ3668" s="77"/>
      <c r="AR3668" s="77"/>
      <c r="AS3668" s="77"/>
      <c r="AT3668" s="77"/>
      <c r="AU3668" s="77"/>
      <c r="AV3668" s="80" t="str">
        <f>HYPERLINK("https://pbs.twimg.com/profile_images/1518050919375458304/rcx-bjDW_normal.jpg")</f>
        <v>https://pbs.twimg.com/profile_images/1518050919375458304/rcx-bjDW_normal.jpg</v>
      </c>
      <c r="AW3668" s="82" t="s">
        <v>15264</v>
      </c>
      <c r="AX3668" s="82" t="s">
        <v>15264</v>
      </c>
      <c r="AY3668" s="77"/>
      <c r="AZ3668" s="82" t="s">
        <v>15984</v>
      </c>
      <c r="BA3668" s="82" t="s">
        <v>15984</v>
      </c>
      <c r="BB3668" s="82" t="s">
        <v>14777</v>
      </c>
      <c r="BC3668" s="82" t="s">
        <v>14777</v>
      </c>
      <c r="BD3668" s="82" t="s">
        <v>16392</v>
      </c>
      <c r="BE3668" s="77"/>
      <c r="BF3668" s="77"/>
      <c r="BG3668" s="77"/>
      <c r="BH3668" s="77"/>
      <c r="BI3668" s="77"/>
    </row>
    <row r="3669" spans="1:61" x14ac:dyDescent="0.25">
      <c r="A3669" s="62" t="s">
        <v>725</v>
      </c>
      <c r="B3669" s="62" t="s">
        <v>725</v>
      </c>
      <c r="C3669" s="63"/>
      <c r="D3669" s="64"/>
      <c r="E3669" s="65"/>
      <c r="F3669" s="66"/>
      <c r="G3669" s="63"/>
      <c r="H3669" s="67"/>
      <c r="I3669" s="68"/>
      <c r="J3669" s="68"/>
      <c r="K3669" s="32"/>
      <c r="L3669" s="75">
        <v>3669</v>
      </c>
      <c r="M3669" s="75"/>
      <c r="N3669" s="70"/>
      <c r="O3669" s="77" t="s">
        <v>179</v>
      </c>
      <c r="P3669" s="79">
        <v>45138.911874999998</v>
      </c>
      <c r="Q3669" s="77" t="s">
        <v>4339</v>
      </c>
      <c r="R3669" s="77">
        <v>0</v>
      </c>
      <c r="S3669" s="77">
        <v>2</v>
      </c>
      <c r="T3669" s="77">
        <v>2</v>
      </c>
      <c r="U3669" s="77">
        <v>0</v>
      </c>
      <c r="V3669" s="77">
        <v>22</v>
      </c>
      <c r="W3669" s="82" t="s">
        <v>6369</v>
      </c>
      <c r="X3669" s="77"/>
      <c r="Y3669" s="77"/>
      <c r="Z3669" s="77"/>
      <c r="AA3669" s="77" t="s">
        <v>7691</v>
      </c>
      <c r="AB3669" s="77" t="s">
        <v>7742</v>
      </c>
      <c r="AC3669" s="82" t="s">
        <v>7750</v>
      </c>
      <c r="AD3669" s="77" t="s">
        <v>7788</v>
      </c>
      <c r="AE3669" s="80" t="str">
        <f>HYPERLINK("https://twitter.com/renatarhicci/status/1686132907285303296")</f>
        <v>https://twitter.com/renatarhicci/status/1686132907285303296</v>
      </c>
      <c r="AF3669" s="79">
        <v>45138.911874999998</v>
      </c>
      <c r="AG3669" s="85">
        <v>45138</v>
      </c>
      <c r="AH3669" s="82" t="s">
        <v>10113</v>
      </c>
      <c r="AI3669" s="77" t="b">
        <v>0</v>
      </c>
      <c r="AJ3669" s="77"/>
      <c r="AK3669" s="77"/>
      <c r="AL3669" s="77"/>
      <c r="AM3669" s="77"/>
      <c r="AN3669" s="77"/>
      <c r="AO3669" s="77"/>
      <c r="AP3669" s="77"/>
      <c r="AQ3669" s="77" t="s">
        <v>11663</v>
      </c>
      <c r="AR3669" s="77"/>
      <c r="AS3669" s="77"/>
      <c r="AT3669" s="77"/>
      <c r="AU3669" s="77"/>
      <c r="AV3669" s="80" t="str">
        <f>HYPERLINK("https://pbs.twimg.com/media/F2ZY5dqXcAIzkHA.jpg")</f>
        <v>https://pbs.twimg.com/media/F2ZY5dqXcAIzkHA.jpg</v>
      </c>
      <c r="AW3669" s="82" t="s">
        <v>15265</v>
      </c>
      <c r="AX3669" s="82" t="s">
        <v>15265</v>
      </c>
      <c r="AY3669" s="77"/>
      <c r="AZ3669" s="82" t="s">
        <v>15984</v>
      </c>
      <c r="BA3669" s="82" t="s">
        <v>15984</v>
      </c>
      <c r="BB3669" s="82" t="s">
        <v>15984</v>
      </c>
      <c r="BC3669" s="82" t="s">
        <v>15265</v>
      </c>
      <c r="BD3669" s="82" t="s">
        <v>16393</v>
      </c>
      <c r="BE3669" s="77"/>
      <c r="BF3669" s="77"/>
      <c r="BG3669" s="77"/>
      <c r="BH3669" s="77"/>
      <c r="BI3669" s="77"/>
    </row>
    <row r="3670" spans="1:61" x14ac:dyDescent="0.25">
      <c r="A3670" s="62" t="s">
        <v>725</v>
      </c>
      <c r="B3670" s="62" t="s">
        <v>725</v>
      </c>
      <c r="C3670" s="63"/>
      <c r="D3670" s="64"/>
      <c r="E3670" s="65"/>
      <c r="F3670" s="66"/>
      <c r="G3670" s="63"/>
      <c r="H3670" s="67"/>
      <c r="I3670" s="68"/>
      <c r="J3670" s="68"/>
      <c r="K3670" s="32"/>
      <c r="L3670" s="75">
        <v>3670</v>
      </c>
      <c r="M3670" s="75"/>
      <c r="N3670" s="70"/>
      <c r="O3670" s="77" t="s">
        <v>179</v>
      </c>
      <c r="P3670" s="79">
        <v>45147.688425925924</v>
      </c>
      <c r="Q3670" s="77" t="s">
        <v>4340</v>
      </c>
      <c r="R3670" s="77">
        <v>0</v>
      </c>
      <c r="S3670" s="77">
        <v>2</v>
      </c>
      <c r="T3670" s="77">
        <v>2</v>
      </c>
      <c r="U3670" s="77">
        <v>0</v>
      </c>
      <c r="V3670" s="77">
        <v>21</v>
      </c>
      <c r="W3670" s="82" t="s">
        <v>6370</v>
      </c>
      <c r="X3670" s="77"/>
      <c r="Y3670" s="77"/>
      <c r="Z3670" s="77"/>
      <c r="AA3670" s="77" t="s">
        <v>7692</v>
      </c>
      <c r="AB3670" s="77" t="s">
        <v>7742</v>
      </c>
      <c r="AC3670" s="82" t="s">
        <v>7750</v>
      </c>
      <c r="AD3670" s="77" t="s">
        <v>7788</v>
      </c>
      <c r="AE3670" s="80" t="str">
        <f>HYPERLINK("https://twitter.com/renatarhicci/status/1689313423878701056")</f>
        <v>https://twitter.com/renatarhicci/status/1689313423878701056</v>
      </c>
      <c r="AF3670" s="79">
        <v>45147.688425925924</v>
      </c>
      <c r="AG3670" s="85">
        <v>45147</v>
      </c>
      <c r="AH3670" s="82" t="s">
        <v>10114</v>
      </c>
      <c r="AI3670" s="77" t="b">
        <v>0</v>
      </c>
      <c r="AJ3670" s="77"/>
      <c r="AK3670" s="77"/>
      <c r="AL3670" s="77"/>
      <c r="AM3670" s="77"/>
      <c r="AN3670" s="77"/>
      <c r="AO3670" s="77"/>
      <c r="AP3670" s="77"/>
      <c r="AQ3670" s="77" t="s">
        <v>11664</v>
      </c>
      <c r="AR3670" s="77"/>
      <c r="AS3670" s="77"/>
      <c r="AT3670" s="77"/>
      <c r="AU3670" s="77"/>
      <c r="AV3670" s="80" t="str">
        <f>HYPERLINK("https://pbs.twimg.com/media/F3GlmebXoAcSRiQ.png")</f>
        <v>https://pbs.twimg.com/media/F3GlmebXoAcSRiQ.png</v>
      </c>
      <c r="AW3670" s="82" t="s">
        <v>15266</v>
      </c>
      <c r="AX3670" s="82" t="s">
        <v>15266</v>
      </c>
      <c r="AY3670" s="77"/>
      <c r="AZ3670" s="82" t="s">
        <v>15984</v>
      </c>
      <c r="BA3670" s="82" t="s">
        <v>15984</v>
      </c>
      <c r="BB3670" s="82" t="s">
        <v>15984</v>
      </c>
      <c r="BC3670" s="82" t="s">
        <v>15266</v>
      </c>
      <c r="BD3670" s="82" t="s">
        <v>16393</v>
      </c>
      <c r="BE3670" s="77"/>
      <c r="BF3670" s="77"/>
      <c r="BG3670" s="77"/>
      <c r="BH3670" s="77"/>
      <c r="BI3670" s="77"/>
    </row>
    <row r="3671" spans="1:61" x14ac:dyDescent="0.25">
      <c r="A3671" s="62" t="s">
        <v>726</v>
      </c>
      <c r="B3671" s="62" t="s">
        <v>726</v>
      </c>
      <c r="C3671" s="63"/>
      <c r="D3671" s="64"/>
      <c r="E3671" s="65"/>
      <c r="F3671" s="66"/>
      <c r="G3671" s="63"/>
      <c r="H3671" s="67"/>
      <c r="I3671" s="68"/>
      <c r="J3671" s="68"/>
      <c r="K3671" s="32"/>
      <c r="L3671" s="75">
        <v>3671</v>
      </c>
      <c r="M3671" s="75"/>
      <c r="N3671" s="70"/>
      <c r="O3671" s="77" t="s">
        <v>179</v>
      </c>
      <c r="P3671" s="79">
        <v>45127.866087962961</v>
      </c>
      <c r="Q3671" s="77" t="s">
        <v>4341</v>
      </c>
      <c r="R3671" s="77">
        <v>0</v>
      </c>
      <c r="S3671" s="77">
        <v>1</v>
      </c>
      <c r="T3671" s="77">
        <v>0</v>
      </c>
      <c r="U3671" s="77">
        <v>0</v>
      </c>
      <c r="V3671" s="77">
        <v>49</v>
      </c>
      <c r="W3671" s="82" t="s">
        <v>6371</v>
      </c>
      <c r="X3671" s="77"/>
      <c r="Y3671" s="77"/>
      <c r="Z3671" s="77"/>
      <c r="AA3671" s="77" t="s">
        <v>7693</v>
      </c>
      <c r="AB3671" s="77" t="s">
        <v>7742</v>
      </c>
      <c r="AC3671" s="82" t="s">
        <v>7751</v>
      </c>
      <c r="AD3671" s="77" t="s">
        <v>7788</v>
      </c>
      <c r="AE3671" s="80" t="str">
        <f>HYPERLINK("https://twitter.com/mecfin/status/1682130045794500616")</f>
        <v>https://twitter.com/mecfin/status/1682130045794500616</v>
      </c>
      <c r="AF3671" s="79">
        <v>45127.866087962961</v>
      </c>
      <c r="AG3671" s="85">
        <v>45127</v>
      </c>
      <c r="AH3671" s="82" t="s">
        <v>10115</v>
      </c>
      <c r="AI3671" s="77" t="b">
        <v>0</v>
      </c>
      <c r="AJ3671" s="77"/>
      <c r="AK3671" s="77"/>
      <c r="AL3671" s="77"/>
      <c r="AM3671" s="77"/>
      <c r="AN3671" s="77"/>
      <c r="AO3671" s="77"/>
      <c r="AP3671" s="77"/>
      <c r="AQ3671" s="77" t="s">
        <v>11665</v>
      </c>
      <c r="AR3671" s="77"/>
      <c r="AS3671" s="77"/>
      <c r="AT3671" s="77"/>
      <c r="AU3671" s="77"/>
      <c r="AV3671" s="80" t="str">
        <f>HYPERLINK("https://pbs.twimg.com/media/F1ggXL_XoAAWu1i.jpg")</f>
        <v>https://pbs.twimg.com/media/F1ggXL_XoAAWu1i.jpg</v>
      </c>
      <c r="AW3671" s="82" t="s">
        <v>15267</v>
      </c>
      <c r="AX3671" s="82" t="s">
        <v>15267</v>
      </c>
      <c r="AY3671" s="77"/>
      <c r="AZ3671" s="82" t="s">
        <v>15984</v>
      </c>
      <c r="BA3671" s="82" t="s">
        <v>15984</v>
      </c>
      <c r="BB3671" s="82" t="s">
        <v>15984</v>
      </c>
      <c r="BC3671" s="82" t="s">
        <v>15267</v>
      </c>
      <c r="BD3671" s="82" t="s">
        <v>15980</v>
      </c>
      <c r="BE3671" s="77"/>
      <c r="BF3671" s="77"/>
      <c r="BG3671" s="77"/>
      <c r="BH3671" s="77"/>
      <c r="BI3671" s="77"/>
    </row>
    <row r="3672" spans="1:61" x14ac:dyDescent="0.25">
      <c r="A3672" s="62" t="s">
        <v>726</v>
      </c>
      <c r="B3672" s="62" t="s">
        <v>726</v>
      </c>
      <c r="C3672" s="63"/>
      <c r="D3672" s="64"/>
      <c r="E3672" s="65"/>
      <c r="F3672" s="66"/>
      <c r="G3672" s="63"/>
      <c r="H3672" s="67"/>
      <c r="I3672" s="68"/>
      <c r="J3672" s="68"/>
      <c r="K3672" s="32"/>
      <c r="L3672" s="75">
        <v>3672</v>
      </c>
      <c r="M3672" s="75"/>
      <c r="N3672" s="70"/>
      <c r="O3672" s="77" t="s">
        <v>179</v>
      </c>
      <c r="P3672" s="79">
        <v>45127.863900462966</v>
      </c>
      <c r="Q3672" s="77" t="s">
        <v>4342</v>
      </c>
      <c r="R3672" s="77">
        <v>0</v>
      </c>
      <c r="S3672" s="77">
        <v>0</v>
      </c>
      <c r="T3672" s="77">
        <v>0</v>
      </c>
      <c r="U3672" s="77">
        <v>0</v>
      </c>
      <c r="V3672" s="77">
        <v>37</v>
      </c>
      <c r="W3672" s="82" t="s">
        <v>6372</v>
      </c>
      <c r="X3672" s="77"/>
      <c r="Y3672" s="77"/>
      <c r="Z3672" s="77"/>
      <c r="AA3672" s="77" t="s">
        <v>7694</v>
      </c>
      <c r="AB3672" s="77" t="s">
        <v>7742</v>
      </c>
      <c r="AC3672" s="82" t="s">
        <v>7751</v>
      </c>
      <c r="AD3672" s="77" t="s">
        <v>7788</v>
      </c>
      <c r="AE3672" s="80" t="str">
        <f>HYPERLINK("https://twitter.com/mecfin/status/1682129256858492928")</f>
        <v>https://twitter.com/mecfin/status/1682129256858492928</v>
      </c>
      <c r="AF3672" s="79">
        <v>45127.863900462966</v>
      </c>
      <c r="AG3672" s="85">
        <v>45127</v>
      </c>
      <c r="AH3672" s="82" t="s">
        <v>10116</v>
      </c>
      <c r="AI3672" s="77" t="b">
        <v>0</v>
      </c>
      <c r="AJ3672" s="77"/>
      <c r="AK3672" s="77"/>
      <c r="AL3672" s="77"/>
      <c r="AM3672" s="77"/>
      <c r="AN3672" s="77"/>
      <c r="AO3672" s="77"/>
      <c r="AP3672" s="77"/>
      <c r="AQ3672" s="77" t="s">
        <v>11666</v>
      </c>
      <c r="AR3672" s="77"/>
      <c r="AS3672" s="77"/>
      <c r="AT3672" s="77"/>
      <c r="AU3672" s="77"/>
      <c r="AV3672" s="80" t="str">
        <f>HYPERLINK("https://pbs.twimg.com/media/F1gfpRpWYAEHYhw.jpg")</f>
        <v>https://pbs.twimg.com/media/F1gfpRpWYAEHYhw.jpg</v>
      </c>
      <c r="AW3672" s="82" t="s">
        <v>15268</v>
      </c>
      <c r="AX3672" s="82" t="s">
        <v>15268</v>
      </c>
      <c r="AY3672" s="77"/>
      <c r="AZ3672" s="82" t="s">
        <v>15984</v>
      </c>
      <c r="BA3672" s="82" t="s">
        <v>15984</v>
      </c>
      <c r="BB3672" s="82" t="s">
        <v>15984</v>
      </c>
      <c r="BC3672" s="82" t="s">
        <v>15268</v>
      </c>
      <c r="BD3672" s="82" t="s">
        <v>15980</v>
      </c>
      <c r="BE3672" s="77"/>
      <c r="BF3672" s="77"/>
      <c r="BG3672" s="77"/>
      <c r="BH3672" s="77"/>
      <c r="BI3672" s="77"/>
    </row>
    <row r="3673" spans="1:61" x14ac:dyDescent="0.25">
      <c r="A3673" s="62" t="s">
        <v>726</v>
      </c>
      <c r="B3673" s="62" t="s">
        <v>726</v>
      </c>
      <c r="C3673" s="63"/>
      <c r="D3673" s="64"/>
      <c r="E3673" s="65"/>
      <c r="F3673" s="66"/>
      <c r="G3673" s="63"/>
      <c r="H3673" s="67"/>
      <c r="I3673" s="68"/>
      <c r="J3673" s="68"/>
      <c r="K3673" s="32"/>
      <c r="L3673" s="75">
        <v>3673</v>
      </c>
      <c r="M3673" s="75"/>
      <c r="N3673" s="70"/>
      <c r="O3673" s="77" t="s">
        <v>179</v>
      </c>
      <c r="P3673" s="79">
        <v>45118.255914351852</v>
      </c>
      <c r="Q3673" s="77" t="s">
        <v>4343</v>
      </c>
      <c r="R3673" s="77">
        <v>0</v>
      </c>
      <c r="S3673" s="77">
        <v>0</v>
      </c>
      <c r="T3673" s="77">
        <v>0</v>
      </c>
      <c r="U3673" s="77">
        <v>0</v>
      </c>
      <c r="V3673" s="77">
        <v>42</v>
      </c>
      <c r="W3673" s="82" t="s">
        <v>6373</v>
      </c>
      <c r="X3673" s="77"/>
      <c r="Y3673" s="77"/>
      <c r="Z3673" s="77"/>
      <c r="AA3673" s="77" t="s">
        <v>7695</v>
      </c>
      <c r="AB3673" s="77" t="s">
        <v>7742</v>
      </c>
      <c r="AC3673" s="82" t="s">
        <v>7751</v>
      </c>
      <c r="AD3673" s="77" t="s">
        <v>7790</v>
      </c>
      <c r="AE3673" s="80" t="str">
        <f>HYPERLINK("https://twitter.com/mecfin/status/1678647438087708672")</f>
        <v>https://twitter.com/mecfin/status/1678647438087708672</v>
      </c>
      <c r="AF3673" s="79">
        <v>45118.255914351852</v>
      </c>
      <c r="AG3673" s="85">
        <v>45118</v>
      </c>
      <c r="AH3673" s="82" t="s">
        <v>10117</v>
      </c>
      <c r="AI3673" s="77" t="b">
        <v>0</v>
      </c>
      <c r="AJ3673" s="77"/>
      <c r="AK3673" s="77"/>
      <c r="AL3673" s="77"/>
      <c r="AM3673" s="77"/>
      <c r="AN3673" s="77"/>
      <c r="AO3673" s="77"/>
      <c r="AP3673" s="77"/>
      <c r="AQ3673" s="77" t="s">
        <v>11667</v>
      </c>
      <c r="AR3673" s="77"/>
      <c r="AS3673" s="77"/>
      <c r="AT3673" s="77"/>
      <c r="AU3673" s="77"/>
      <c r="AV3673" s="80" t="str">
        <f>HYPERLINK("https://pbs.twimg.com/media/F0vA8upXwAEIOpp.jpg")</f>
        <v>https://pbs.twimg.com/media/F0vA8upXwAEIOpp.jpg</v>
      </c>
      <c r="AW3673" s="82" t="s">
        <v>15269</v>
      </c>
      <c r="AX3673" s="82" t="s">
        <v>15269</v>
      </c>
      <c r="AY3673" s="77"/>
      <c r="AZ3673" s="82" t="s">
        <v>15984</v>
      </c>
      <c r="BA3673" s="82" t="s">
        <v>15984</v>
      </c>
      <c r="BB3673" s="82" t="s">
        <v>15984</v>
      </c>
      <c r="BC3673" s="82" t="s">
        <v>15269</v>
      </c>
      <c r="BD3673" s="82" t="s">
        <v>15980</v>
      </c>
      <c r="BE3673" s="77"/>
      <c r="BF3673" s="77"/>
      <c r="BG3673" s="77"/>
      <c r="BH3673" s="77"/>
      <c r="BI3673" s="77"/>
    </row>
    <row r="3674" spans="1:61" x14ac:dyDescent="0.25">
      <c r="A3674" s="62" t="s">
        <v>726</v>
      </c>
      <c r="B3674" s="62" t="s">
        <v>726</v>
      </c>
      <c r="C3674" s="63"/>
      <c r="D3674" s="64"/>
      <c r="E3674" s="65"/>
      <c r="F3674" s="66"/>
      <c r="G3674" s="63"/>
      <c r="H3674" s="67"/>
      <c r="I3674" s="68"/>
      <c r="J3674" s="68"/>
      <c r="K3674" s="32"/>
      <c r="L3674" s="75">
        <v>3674</v>
      </c>
      <c r="M3674" s="75"/>
      <c r="N3674" s="70"/>
      <c r="O3674" s="77" t="s">
        <v>179</v>
      </c>
      <c r="P3674" s="79">
        <v>45125.390960648147</v>
      </c>
      <c r="Q3674" s="77" t="s">
        <v>4344</v>
      </c>
      <c r="R3674" s="77">
        <v>0</v>
      </c>
      <c r="S3674" s="77">
        <v>1</v>
      </c>
      <c r="T3674" s="77">
        <v>0</v>
      </c>
      <c r="U3674" s="77">
        <v>0</v>
      </c>
      <c r="V3674" s="77">
        <v>56</v>
      </c>
      <c r="W3674" s="82" t="s">
        <v>6374</v>
      </c>
      <c r="X3674" s="77"/>
      <c r="Y3674" s="77"/>
      <c r="Z3674" s="77"/>
      <c r="AA3674" s="77" t="s">
        <v>7696</v>
      </c>
      <c r="AB3674" s="77" t="s">
        <v>7742</v>
      </c>
      <c r="AC3674" s="82" t="s">
        <v>7751</v>
      </c>
      <c r="AD3674" s="77" t="s">
        <v>7788</v>
      </c>
      <c r="AE3674" s="80" t="str">
        <f>HYPERLINK("https://twitter.com/mecfin/status/1681233091149418496")</f>
        <v>https://twitter.com/mecfin/status/1681233091149418496</v>
      </c>
      <c r="AF3674" s="79">
        <v>45125.390960648147</v>
      </c>
      <c r="AG3674" s="85">
        <v>45125</v>
      </c>
      <c r="AH3674" s="82" t="s">
        <v>10118</v>
      </c>
      <c r="AI3674" s="77" t="b">
        <v>0</v>
      </c>
      <c r="AJ3674" s="77"/>
      <c r="AK3674" s="77"/>
      <c r="AL3674" s="77"/>
      <c r="AM3674" s="77"/>
      <c r="AN3674" s="77"/>
      <c r="AO3674" s="77"/>
      <c r="AP3674" s="77"/>
      <c r="AQ3674" s="77" t="s">
        <v>11668</v>
      </c>
      <c r="AR3674" s="77"/>
      <c r="AS3674" s="77"/>
      <c r="AT3674" s="77"/>
      <c r="AU3674" s="77"/>
      <c r="AV3674" s="80" t="str">
        <f>HYPERLINK("https://pbs.twimg.com/media/F1TwliDXoAAgWaZ.jpg")</f>
        <v>https://pbs.twimg.com/media/F1TwliDXoAAgWaZ.jpg</v>
      </c>
      <c r="AW3674" s="82" t="s">
        <v>15270</v>
      </c>
      <c r="AX3674" s="82" t="s">
        <v>15270</v>
      </c>
      <c r="AY3674" s="77"/>
      <c r="AZ3674" s="82" t="s">
        <v>15984</v>
      </c>
      <c r="BA3674" s="82" t="s">
        <v>15984</v>
      </c>
      <c r="BB3674" s="82" t="s">
        <v>15984</v>
      </c>
      <c r="BC3674" s="82" t="s">
        <v>15270</v>
      </c>
      <c r="BD3674" s="82" t="s">
        <v>15980</v>
      </c>
      <c r="BE3674" s="77"/>
      <c r="BF3674" s="77"/>
      <c r="BG3674" s="77"/>
      <c r="BH3674" s="77"/>
      <c r="BI3674" s="77"/>
    </row>
    <row r="3675" spans="1:61" x14ac:dyDescent="0.25">
      <c r="A3675" s="62" t="s">
        <v>726</v>
      </c>
      <c r="B3675" s="62" t="s">
        <v>726</v>
      </c>
      <c r="C3675" s="63"/>
      <c r="D3675" s="64"/>
      <c r="E3675" s="65"/>
      <c r="F3675" s="66"/>
      <c r="G3675" s="63"/>
      <c r="H3675" s="67"/>
      <c r="I3675" s="68"/>
      <c r="J3675" s="68"/>
      <c r="K3675" s="32"/>
      <c r="L3675" s="75">
        <v>3675</v>
      </c>
      <c r="M3675" s="75"/>
      <c r="N3675" s="70"/>
      <c r="O3675" s="77" t="s">
        <v>179</v>
      </c>
      <c r="P3675" s="79">
        <v>45125.190428240741</v>
      </c>
      <c r="Q3675" s="77" t="s">
        <v>4345</v>
      </c>
      <c r="R3675" s="77">
        <v>0</v>
      </c>
      <c r="S3675" s="77">
        <v>0</v>
      </c>
      <c r="T3675" s="77">
        <v>0</v>
      </c>
      <c r="U3675" s="77">
        <v>0</v>
      </c>
      <c r="V3675" s="77">
        <v>27</v>
      </c>
      <c r="W3675" s="82" t="s">
        <v>6375</v>
      </c>
      <c r="X3675" s="77"/>
      <c r="Y3675" s="77"/>
      <c r="Z3675" s="77"/>
      <c r="AA3675" s="77" t="s">
        <v>7697</v>
      </c>
      <c r="AB3675" s="77" t="s">
        <v>7742</v>
      </c>
      <c r="AC3675" s="82" t="s">
        <v>7751</v>
      </c>
      <c r="AD3675" s="77" t="s">
        <v>7788</v>
      </c>
      <c r="AE3675" s="80" t="str">
        <f>HYPERLINK("https://twitter.com/mecfin/status/1681160421732917248")</f>
        <v>https://twitter.com/mecfin/status/1681160421732917248</v>
      </c>
      <c r="AF3675" s="79">
        <v>45125.190428240741</v>
      </c>
      <c r="AG3675" s="85">
        <v>45125</v>
      </c>
      <c r="AH3675" s="82" t="s">
        <v>10119</v>
      </c>
      <c r="AI3675" s="77" t="b">
        <v>0</v>
      </c>
      <c r="AJ3675" s="77"/>
      <c r="AK3675" s="77"/>
      <c r="AL3675" s="77"/>
      <c r="AM3675" s="77"/>
      <c r="AN3675" s="77"/>
      <c r="AO3675" s="77"/>
      <c r="AP3675" s="77"/>
      <c r="AQ3675" s="77" t="s">
        <v>11669</v>
      </c>
      <c r="AR3675" s="77"/>
      <c r="AS3675" s="77"/>
      <c r="AT3675" s="77"/>
      <c r="AU3675" s="77"/>
      <c r="AV3675" s="80" t="str">
        <f>HYPERLINK("https://pbs.twimg.com/media/F1SufmNXwAEdkp6.jpg")</f>
        <v>https://pbs.twimg.com/media/F1SufmNXwAEdkp6.jpg</v>
      </c>
      <c r="AW3675" s="82" t="s">
        <v>15271</v>
      </c>
      <c r="AX3675" s="82" t="s">
        <v>15271</v>
      </c>
      <c r="AY3675" s="77"/>
      <c r="AZ3675" s="82" t="s">
        <v>15984</v>
      </c>
      <c r="BA3675" s="82" t="s">
        <v>15984</v>
      </c>
      <c r="BB3675" s="82" t="s">
        <v>15984</v>
      </c>
      <c r="BC3675" s="82" t="s">
        <v>15271</v>
      </c>
      <c r="BD3675" s="82" t="s">
        <v>15980</v>
      </c>
      <c r="BE3675" s="77"/>
      <c r="BF3675" s="77"/>
      <c r="BG3675" s="77"/>
      <c r="BH3675" s="77"/>
      <c r="BI3675" s="77"/>
    </row>
    <row r="3676" spans="1:61" x14ac:dyDescent="0.25">
      <c r="A3676" s="62" t="s">
        <v>726</v>
      </c>
      <c r="B3676" s="62" t="s">
        <v>726</v>
      </c>
      <c r="C3676" s="63"/>
      <c r="D3676" s="64"/>
      <c r="E3676" s="65"/>
      <c r="F3676" s="66"/>
      <c r="G3676" s="63"/>
      <c r="H3676" s="67"/>
      <c r="I3676" s="68"/>
      <c r="J3676" s="68"/>
      <c r="K3676" s="32"/>
      <c r="L3676" s="75">
        <v>3676</v>
      </c>
      <c r="M3676" s="75"/>
      <c r="N3676" s="70"/>
      <c r="O3676" s="77" t="s">
        <v>179</v>
      </c>
      <c r="P3676" s="79">
        <v>45125.187604166669</v>
      </c>
      <c r="Q3676" s="77" t="s">
        <v>4346</v>
      </c>
      <c r="R3676" s="77">
        <v>0</v>
      </c>
      <c r="S3676" s="77">
        <v>0</v>
      </c>
      <c r="T3676" s="77">
        <v>0</v>
      </c>
      <c r="U3676" s="77">
        <v>0</v>
      </c>
      <c r="V3676" s="77">
        <v>19</v>
      </c>
      <c r="W3676" s="82" t="s">
        <v>5574</v>
      </c>
      <c r="X3676" s="77"/>
      <c r="Y3676" s="77"/>
      <c r="Z3676" s="77"/>
      <c r="AA3676" s="77" t="s">
        <v>7698</v>
      </c>
      <c r="AB3676" s="77" t="s">
        <v>7742</v>
      </c>
      <c r="AC3676" s="82" t="s">
        <v>7751</v>
      </c>
      <c r="AD3676" s="77" t="s">
        <v>7788</v>
      </c>
      <c r="AE3676" s="80" t="str">
        <f>HYPERLINK("https://twitter.com/mecfin/status/1681159398528372737")</f>
        <v>https://twitter.com/mecfin/status/1681159398528372737</v>
      </c>
      <c r="AF3676" s="79">
        <v>45125.187604166669</v>
      </c>
      <c r="AG3676" s="85">
        <v>45125</v>
      </c>
      <c r="AH3676" s="82" t="s">
        <v>10120</v>
      </c>
      <c r="AI3676" s="77" t="b">
        <v>0</v>
      </c>
      <c r="AJ3676" s="77"/>
      <c r="AK3676" s="77"/>
      <c r="AL3676" s="77"/>
      <c r="AM3676" s="77"/>
      <c r="AN3676" s="77"/>
      <c r="AO3676" s="77"/>
      <c r="AP3676" s="77"/>
      <c r="AQ3676" s="77" t="s">
        <v>11670</v>
      </c>
      <c r="AR3676" s="77"/>
      <c r="AS3676" s="77"/>
      <c r="AT3676" s="77"/>
      <c r="AU3676" s="77"/>
      <c r="AV3676" s="80" t="str">
        <f>HYPERLINK("https://pbs.twimg.com/media/F1StkEyXgAAJ_sI.jpg")</f>
        <v>https://pbs.twimg.com/media/F1StkEyXgAAJ_sI.jpg</v>
      </c>
      <c r="AW3676" s="82" t="s">
        <v>15272</v>
      </c>
      <c r="AX3676" s="82" t="s">
        <v>15272</v>
      </c>
      <c r="AY3676" s="77"/>
      <c r="AZ3676" s="82" t="s">
        <v>15984</v>
      </c>
      <c r="BA3676" s="82" t="s">
        <v>15984</v>
      </c>
      <c r="BB3676" s="82" t="s">
        <v>15984</v>
      </c>
      <c r="BC3676" s="82" t="s">
        <v>15272</v>
      </c>
      <c r="BD3676" s="82" t="s">
        <v>15980</v>
      </c>
      <c r="BE3676" s="77"/>
      <c r="BF3676" s="77"/>
      <c r="BG3676" s="77"/>
      <c r="BH3676" s="77"/>
      <c r="BI3676" s="77"/>
    </row>
    <row r="3677" spans="1:61" x14ac:dyDescent="0.25">
      <c r="A3677" s="62" t="s">
        <v>726</v>
      </c>
      <c r="B3677" s="62" t="s">
        <v>726</v>
      </c>
      <c r="C3677" s="63"/>
      <c r="D3677" s="64"/>
      <c r="E3677" s="65"/>
      <c r="F3677" s="66"/>
      <c r="G3677" s="63"/>
      <c r="H3677" s="67"/>
      <c r="I3677" s="68"/>
      <c r="J3677" s="68"/>
      <c r="K3677" s="32"/>
      <c r="L3677" s="75">
        <v>3677</v>
      </c>
      <c r="M3677" s="75"/>
      <c r="N3677" s="70"/>
      <c r="O3677" s="77" t="s">
        <v>179</v>
      </c>
      <c r="P3677" s="79">
        <v>45120.435740740744</v>
      </c>
      <c r="Q3677" s="77" t="s">
        <v>4347</v>
      </c>
      <c r="R3677" s="77">
        <v>0</v>
      </c>
      <c r="S3677" s="77">
        <v>1</v>
      </c>
      <c r="T3677" s="77">
        <v>1</v>
      </c>
      <c r="U3677" s="77">
        <v>0</v>
      </c>
      <c r="V3677" s="77">
        <v>34</v>
      </c>
      <c r="W3677" s="82" t="s">
        <v>6376</v>
      </c>
      <c r="X3677" s="77"/>
      <c r="Y3677" s="77"/>
      <c r="Z3677" s="77"/>
      <c r="AA3677" s="77" t="s">
        <v>7699</v>
      </c>
      <c r="AB3677" s="77" t="s">
        <v>7742</v>
      </c>
      <c r="AC3677" s="82" t="s">
        <v>7751</v>
      </c>
      <c r="AD3677" s="77" t="s">
        <v>7788</v>
      </c>
      <c r="AE3677" s="80" t="str">
        <f>HYPERLINK("https://twitter.com/mecfin/status/1679437380820819977")</f>
        <v>https://twitter.com/mecfin/status/1679437380820819977</v>
      </c>
      <c r="AF3677" s="79">
        <v>45120.435740740744</v>
      </c>
      <c r="AG3677" s="85">
        <v>45120</v>
      </c>
      <c r="AH3677" s="82" t="s">
        <v>10121</v>
      </c>
      <c r="AI3677" s="77" t="b">
        <v>0</v>
      </c>
      <c r="AJ3677" s="77"/>
      <c r="AK3677" s="77"/>
      <c r="AL3677" s="77"/>
      <c r="AM3677" s="77"/>
      <c r="AN3677" s="77"/>
      <c r="AO3677" s="77"/>
      <c r="AP3677" s="77"/>
      <c r="AQ3677" s="77" t="s">
        <v>11671</v>
      </c>
      <c r="AR3677" s="77"/>
      <c r="AS3677" s="77"/>
      <c r="AT3677" s="77"/>
      <c r="AU3677" s="77"/>
      <c r="AV3677" s="80" t="str">
        <f>HYPERLINK("https://pbs.twimg.com/media/F06PZZdXgAAQGYh.jpg")</f>
        <v>https://pbs.twimg.com/media/F06PZZdXgAAQGYh.jpg</v>
      </c>
      <c r="AW3677" s="82" t="s">
        <v>15273</v>
      </c>
      <c r="AX3677" s="82" t="s">
        <v>15273</v>
      </c>
      <c r="AY3677" s="77"/>
      <c r="AZ3677" s="82" t="s">
        <v>15984</v>
      </c>
      <c r="BA3677" s="82" t="s">
        <v>15984</v>
      </c>
      <c r="BB3677" s="82" t="s">
        <v>15984</v>
      </c>
      <c r="BC3677" s="82" t="s">
        <v>15273</v>
      </c>
      <c r="BD3677" s="82" t="s">
        <v>15980</v>
      </c>
      <c r="BE3677" s="77"/>
      <c r="BF3677" s="77"/>
      <c r="BG3677" s="77"/>
      <c r="BH3677" s="77"/>
      <c r="BI3677" s="77"/>
    </row>
    <row r="3678" spans="1:61" x14ac:dyDescent="0.25">
      <c r="A3678" s="62" t="s">
        <v>726</v>
      </c>
      <c r="B3678" s="62" t="s">
        <v>726</v>
      </c>
      <c r="C3678" s="63"/>
      <c r="D3678" s="64"/>
      <c r="E3678" s="65"/>
      <c r="F3678" s="66"/>
      <c r="G3678" s="63"/>
      <c r="H3678" s="67"/>
      <c r="I3678" s="68"/>
      <c r="J3678" s="68"/>
      <c r="K3678" s="32"/>
      <c r="L3678" s="75">
        <v>3678</v>
      </c>
      <c r="M3678" s="75"/>
      <c r="N3678" s="70"/>
      <c r="O3678" s="77" t="s">
        <v>179</v>
      </c>
      <c r="P3678" s="79">
        <v>45120.050821759258</v>
      </c>
      <c r="Q3678" s="77" t="s">
        <v>4348</v>
      </c>
      <c r="R3678" s="77">
        <v>0</v>
      </c>
      <c r="S3678" s="77">
        <v>0</v>
      </c>
      <c r="T3678" s="77">
        <v>0</v>
      </c>
      <c r="U3678" s="77">
        <v>0</v>
      </c>
      <c r="V3678" s="77">
        <v>30</v>
      </c>
      <c r="W3678" s="82" t="s">
        <v>5574</v>
      </c>
      <c r="X3678" s="77"/>
      <c r="Y3678" s="77"/>
      <c r="Z3678" s="77"/>
      <c r="AA3678" s="77" t="s">
        <v>7700</v>
      </c>
      <c r="AB3678" s="77" t="s">
        <v>7742</v>
      </c>
      <c r="AC3678" s="82" t="s">
        <v>7751</v>
      </c>
      <c r="AD3678" s="77" t="s">
        <v>7788</v>
      </c>
      <c r="AE3678" s="80" t="str">
        <f>HYPERLINK("https://twitter.com/mecfin/status/1679297888692609024")</f>
        <v>https://twitter.com/mecfin/status/1679297888692609024</v>
      </c>
      <c r="AF3678" s="79">
        <v>45120.050821759258</v>
      </c>
      <c r="AG3678" s="85">
        <v>45120</v>
      </c>
      <c r="AH3678" s="82" t="s">
        <v>10122</v>
      </c>
      <c r="AI3678" s="77" t="b">
        <v>0</v>
      </c>
      <c r="AJ3678" s="77"/>
      <c r="AK3678" s="77"/>
      <c r="AL3678" s="77"/>
      <c r="AM3678" s="77"/>
      <c r="AN3678" s="77"/>
      <c r="AO3678" s="77"/>
      <c r="AP3678" s="77"/>
      <c r="AQ3678" s="77" t="s">
        <v>11672</v>
      </c>
      <c r="AR3678" s="77"/>
      <c r="AS3678" s="77"/>
      <c r="AT3678" s="77"/>
      <c r="AU3678" s="77"/>
      <c r="AV3678" s="80" t="str">
        <f>HYPERLINK("https://pbs.twimg.com/media/F04Qh9XWYAEjrwI.jpg")</f>
        <v>https://pbs.twimg.com/media/F04Qh9XWYAEjrwI.jpg</v>
      </c>
      <c r="AW3678" s="82" t="s">
        <v>15274</v>
      </c>
      <c r="AX3678" s="82" t="s">
        <v>15274</v>
      </c>
      <c r="AY3678" s="77"/>
      <c r="AZ3678" s="82" t="s">
        <v>15984</v>
      </c>
      <c r="BA3678" s="82" t="s">
        <v>15984</v>
      </c>
      <c r="BB3678" s="82" t="s">
        <v>15984</v>
      </c>
      <c r="BC3678" s="82" t="s">
        <v>15274</v>
      </c>
      <c r="BD3678" s="82" t="s">
        <v>15980</v>
      </c>
      <c r="BE3678" s="77"/>
      <c r="BF3678" s="77"/>
      <c r="BG3678" s="77"/>
      <c r="BH3678" s="77"/>
      <c r="BI3678" s="77"/>
    </row>
    <row r="3679" spans="1:61" x14ac:dyDescent="0.25">
      <c r="A3679" s="62" t="s">
        <v>726</v>
      </c>
      <c r="B3679" s="62" t="s">
        <v>726</v>
      </c>
      <c r="C3679" s="63"/>
      <c r="D3679" s="64"/>
      <c r="E3679" s="65"/>
      <c r="F3679" s="66"/>
      <c r="G3679" s="63"/>
      <c r="H3679" s="67"/>
      <c r="I3679" s="68"/>
      <c r="J3679" s="68"/>
      <c r="K3679" s="32"/>
      <c r="L3679" s="75">
        <v>3679</v>
      </c>
      <c r="M3679" s="75"/>
      <c r="N3679" s="70"/>
      <c r="O3679" s="77" t="s">
        <v>179</v>
      </c>
      <c r="P3679" s="79">
        <v>45131.438819444447</v>
      </c>
      <c r="Q3679" s="77" t="s">
        <v>4349</v>
      </c>
      <c r="R3679" s="77">
        <v>0</v>
      </c>
      <c r="S3679" s="77">
        <v>0</v>
      </c>
      <c r="T3679" s="77">
        <v>0</v>
      </c>
      <c r="U3679" s="77">
        <v>0</v>
      </c>
      <c r="V3679" s="77">
        <v>42</v>
      </c>
      <c r="W3679" s="82" t="s">
        <v>6377</v>
      </c>
      <c r="X3679" s="77"/>
      <c r="Y3679" s="77"/>
      <c r="Z3679" s="77"/>
      <c r="AA3679" s="77" t="s">
        <v>7701</v>
      </c>
      <c r="AB3679" s="77" t="s">
        <v>7742</v>
      </c>
      <c r="AC3679" s="82" t="s">
        <v>7751</v>
      </c>
      <c r="AD3679" s="77" t="s">
        <v>7788</v>
      </c>
      <c r="AE3679" s="80" t="str">
        <f>HYPERLINK("https://twitter.com/mecfin/status/1683424760842133504")</f>
        <v>https://twitter.com/mecfin/status/1683424760842133504</v>
      </c>
      <c r="AF3679" s="79">
        <v>45131.438819444447</v>
      </c>
      <c r="AG3679" s="85">
        <v>45131</v>
      </c>
      <c r="AH3679" s="82" t="s">
        <v>10123</v>
      </c>
      <c r="AI3679" s="77" t="b">
        <v>0</v>
      </c>
      <c r="AJ3679" s="77"/>
      <c r="AK3679" s="77"/>
      <c r="AL3679" s="77"/>
      <c r="AM3679" s="77"/>
      <c r="AN3679" s="77"/>
      <c r="AO3679" s="77"/>
      <c r="AP3679" s="77"/>
      <c r="AQ3679" s="77" t="s">
        <v>11673</v>
      </c>
      <c r="AR3679" s="77"/>
      <c r="AS3679" s="77"/>
      <c r="AT3679" s="77"/>
      <c r="AU3679" s="77"/>
      <c r="AV3679" s="80" t="str">
        <f>HYPERLINK("https://pbs.twimg.com/media/F1y55eoWcAAZdgo.jpg")</f>
        <v>https://pbs.twimg.com/media/F1y55eoWcAAZdgo.jpg</v>
      </c>
      <c r="AW3679" s="82" t="s">
        <v>15275</v>
      </c>
      <c r="AX3679" s="82" t="s">
        <v>15275</v>
      </c>
      <c r="AY3679" s="77"/>
      <c r="AZ3679" s="82" t="s">
        <v>15984</v>
      </c>
      <c r="BA3679" s="82" t="s">
        <v>15984</v>
      </c>
      <c r="BB3679" s="82" t="s">
        <v>15984</v>
      </c>
      <c r="BC3679" s="82" t="s">
        <v>15275</v>
      </c>
      <c r="BD3679" s="82" t="s">
        <v>15980</v>
      </c>
      <c r="BE3679" s="77"/>
      <c r="BF3679" s="77"/>
      <c r="BG3679" s="77"/>
      <c r="BH3679" s="77"/>
      <c r="BI3679" s="77"/>
    </row>
    <row r="3680" spans="1:61" x14ac:dyDescent="0.25">
      <c r="A3680" s="62" t="s">
        <v>726</v>
      </c>
      <c r="B3680" s="62" t="s">
        <v>726</v>
      </c>
      <c r="C3680" s="63"/>
      <c r="D3680" s="64"/>
      <c r="E3680" s="65"/>
      <c r="F3680" s="66"/>
      <c r="G3680" s="63"/>
      <c r="H3680" s="67"/>
      <c r="I3680" s="68"/>
      <c r="J3680" s="68"/>
      <c r="K3680" s="32"/>
      <c r="L3680" s="75">
        <v>3680</v>
      </c>
      <c r="M3680" s="75"/>
      <c r="N3680" s="70"/>
      <c r="O3680" s="77" t="s">
        <v>179</v>
      </c>
      <c r="P3680" s="79">
        <v>45135.414421296293</v>
      </c>
      <c r="Q3680" s="77" t="s">
        <v>4350</v>
      </c>
      <c r="R3680" s="77">
        <v>0</v>
      </c>
      <c r="S3680" s="77">
        <v>0</v>
      </c>
      <c r="T3680" s="77">
        <v>0</v>
      </c>
      <c r="U3680" s="77">
        <v>0</v>
      </c>
      <c r="V3680" s="77">
        <v>33</v>
      </c>
      <c r="W3680" s="82" t="s">
        <v>6378</v>
      </c>
      <c r="X3680" s="77"/>
      <c r="Y3680" s="77"/>
      <c r="Z3680" s="77"/>
      <c r="AA3680" s="77" t="s">
        <v>7702</v>
      </c>
      <c r="AB3680" s="77" t="s">
        <v>7742</v>
      </c>
      <c r="AC3680" s="82" t="s">
        <v>7751</v>
      </c>
      <c r="AD3680" s="77" t="s">
        <v>7788</v>
      </c>
      <c r="AE3680" s="80" t="str">
        <f>HYPERLINK("https://twitter.com/mecfin/status/1684865474000027648")</f>
        <v>https://twitter.com/mecfin/status/1684865474000027648</v>
      </c>
      <c r="AF3680" s="79">
        <v>45135.414421296293</v>
      </c>
      <c r="AG3680" s="85">
        <v>45135</v>
      </c>
      <c r="AH3680" s="82" t="s">
        <v>10124</v>
      </c>
      <c r="AI3680" s="77" t="b">
        <v>0</v>
      </c>
      <c r="AJ3680" s="77"/>
      <c r="AK3680" s="77"/>
      <c r="AL3680" s="77"/>
      <c r="AM3680" s="77"/>
      <c r="AN3680" s="77"/>
      <c r="AO3680" s="77"/>
      <c r="AP3680" s="77"/>
      <c r="AQ3680" s="77" t="s">
        <v>11674</v>
      </c>
      <c r="AR3680" s="77"/>
      <c r="AS3680" s="77"/>
      <c r="AT3680" s="77"/>
      <c r="AU3680" s="77"/>
      <c r="AV3680" s="80" t="str">
        <f>HYPERLINK("https://pbs.twimg.com/media/F2HYOArWQAAjqk2.jpg")</f>
        <v>https://pbs.twimg.com/media/F2HYOArWQAAjqk2.jpg</v>
      </c>
      <c r="AW3680" s="82" t="s">
        <v>15276</v>
      </c>
      <c r="AX3680" s="82" t="s">
        <v>15276</v>
      </c>
      <c r="AY3680" s="77"/>
      <c r="AZ3680" s="82" t="s">
        <v>15984</v>
      </c>
      <c r="BA3680" s="82" t="s">
        <v>15984</v>
      </c>
      <c r="BB3680" s="82" t="s">
        <v>15984</v>
      </c>
      <c r="BC3680" s="82" t="s">
        <v>15276</v>
      </c>
      <c r="BD3680" s="82" t="s">
        <v>15980</v>
      </c>
      <c r="BE3680" s="77"/>
      <c r="BF3680" s="77"/>
      <c r="BG3680" s="77"/>
      <c r="BH3680" s="77"/>
      <c r="BI3680" s="77"/>
    </row>
    <row r="3681" spans="1:61" x14ac:dyDescent="0.25">
      <c r="A3681" s="62" t="s">
        <v>726</v>
      </c>
      <c r="B3681" s="62" t="s">
        <v>726</v>
      </c>
      <c r="C3681" s="63"/>
      <c r="D3681" s="64"/>
      <c r="E3681" s="65"/>
      <c r="F3681" s="66"/>
      <c r="G3681" s="63"/>
      <c r="H3681" s="67"/>
      <c r="I3681" s="68"/>
      <c r="J3681" s="68"/>
      <c r="K3681" s="32"/>
      <c r="L3681" s="75">
        <v>3681</v>
      </c>
      <c r="M3681" s="75"/>
      <c r="N3681" s="70"/>
      <c r="O3681" s="77" t="s">
        <v>179</v>
      </c>
      <c r="P3681" s="79">
        <v>45142.356979166667</v>
      </c>
      <c r="Q3681" s="77" t="s">
        <v>4351</v>
      </c>
      <c r="R3681" s="77">
        <v>0</v>
      </c>
      <c r="S3681" s="77">
        <v>0</v>
      </c>
      <c r="T3681" s="77">
        <v>0</v>
      </c>
      <c r="U3681" s="77">
        <v>0</v>
      </c>
      <c r="V3681" s="77">
        <v>26</v>
      </c>
      <c r="W3681" s="82" t="s">
        <v>6379</v>
      </c>
      <c r="X3681" s="77"/>
      <c r="Y3681" s="77"/>
      <c r="Z3681" s="77"/>
      <c r="AA3681" s="77" t="s">
        <v>7703</v>
      </c>
      <c r="AB3681" s="77" t="s">
        <v>7742</v>
      </c>
      <c r="AC3681" s="82" t="s">
        <v>7751</v>
      </c>
      <c r="AD3681" s="77" t="s">
        <v>7788</v>
      </c>
      <c r="AE3681" s="80" t="str">
        <f>HYPERLINK("https://twitter.com/mecfin/status/1687381370413232129")</f>
        <v>https://twitter.com/mecfin/status/1687381370413232129</v>
      </c>
      <c r="AF3681" s="79">
        <v>45142.356979166667</v>
      </c>
      <c r="AG3681" s="85">
        <v>45142</v>
      </c>
      <c r="AH3681" s="82" t="s">
        <v>10125</v>
      </c>
      <c r="AI3681" s="77" t="b">
        <v>0</v>
      </c>
      <c r="AJ3681" s="77"/>
      <c r="AK3681" s="77"/>
      <c r="AL3681" s="77"/>
      <c r="AM3681" s="77"/>
      <c r="AN3681" s="77"/>
      <c r="AO3681" s="77"/>
      <c r="AP3681" s="77"/>
      <c r="AQ3681" s="77" t="s">
        <v>11675</v>
      </c>
      <c r="AR3681" s="77"/>
      <c r="AS3681" s="77"/>
      <c r="AT3681" s="77"/>
      <c r="AU3681" s="77"/>
      <c r="AV3681" s="80" t="str">
        <f>HYPERLINK("https://pbs.twimg.com/media/F2rIaRQXEAAeZHe.jpg")</f>
        <v>https://pbs.twimg.com/media/F2rIaRQXEAAeZHe.jpg</v>
      </c>
      <c r="AW3681" s="82" t="s">
        <v>15277</v>
      </c>
      <c r="AX3681" s="82" t="s">
        <v>15277</v>
      </c>
      <c r="AY3681" s="77"/>
      <c r="AZ3681" s="82" t="s">
        <v>15984</v>
      </c>
      <c r="BA3681" s="82" t="s">
        <v>15984</v>
      </c>
      <c r="BB3681" s="82" t="s">
        <v>15984</v>
      </c>
      <c r="BC3681" s="82" t="s">
        <v>15277</v>
      </c>
      <c r="BD3681" s="82" t="s">
        <v>15980</v>
      </c>
      <c r="BE3681" s="77"/>
      <c r="BF3681" s="77"/>
      <c r="BG3681" s="77"/>
      <c r="BH3681" s="77"/>
      <c r="BI3681" s="77"/>
    </row>
    <row r="3682" spans="1:61" x14ac:dyDescent="0.25">
      <c r="A3682" s="62" t="s">
        <v>726</v>
      </c>
      <c r="B3682" s="62" t="s">
        <v>726</v>
      </c>
      <c r="C3682" s="63"/>
      <c r="D3682" s="64"/>
      <c r="E3682" s="65"/>
      <c r="F3682" s="66"/>
      <c r="G3682" s="63"/>
      <c r="H3682" s="67"/>
      <c r="I3682" s="68"/>
      <c r="J3682" s="68"/>
      <c r="K3682" s="32"/>
      <c r="L3682" s="75">
        <v>3682</v>
      </c>
      <c r="M3682" s="75"/>
      <c r="N3682" s="70"/>
      <c r="O3682" s="77" t="s">
        <v>179</v>
      </c>
      <c r="P3682" s="79">
        <v>45134.389444444445</v>
      </c>
      <c r="Q3682" s="77" t="s">
        <v>4352</v>
      </c>
      <c r="R3682" s="77">
        <v>0</v>
      </c>
      <c r="S3682" s="77">
        <v>0</v>
      </c>
      <c r="T3682" s="77">
        <v>0</v>
      </c>
      <c r="U3682" s="77">
        <v>0</v>
      </c>
      <c r="V3682" s="77">
        <v>20</v>
      </c>
      <c r="W3682" s="82" t="s">
        <v>5196</v>
      </c>
      <c r="X3682" s="77"/>
      <c r="Y3682" s="77"/>
      <c r="Z3682" s="77"/>
      <c r="AA3682" s="77" t="s">
        <v>7704</v>
      </c>
      <c r="AB3682" s="77" t="s">
        <v>7742</v>
      </c>
      <c r="AC3682" s="82" t="s">
        <v>7751</v>
      </c>
      <c r="AD3682" s="77" t="s">
        <v>7788</v>
      </c>
      <c r="AE3682" s="80" t="str">
        <f>HYPERLINK("https://twitter.com/mecfin/status/1684494031307390977")</f>
        <v>https://twitter.com/mecfin/status/1684494031307390977</v>
      </c>
      <c r="AF3682" s="79">
        <v>45134.389444444445</v>
      </c>
      <c r="AG3682" s="85">
        <v>45134</v>
      </c>
      <c r="AH3682" s="82" t="s">
        <v>10126</v>
      </c>
      <c r="AI3682" s="77" t="b">
        <v>0</v>
      </c>
      <c r="AJ3682" s="77"/>
      <c r="AK3682" s="77"/>
      <c r="AL3682" s="77"/>
      <c r="AM3682" s="77"/>
      <c r="AN3682" s="77"/>
      <c r="AO3682" s="77"/>
      <c r="AP3682" s="77"/>
      <c r="AQ3682" s="77" t="s">
        <v>11676</v>
      </c>
      <c r="AR3682" s="77"/>
      <c r="AS3682" s="77"/>
      <c r="AT3682" s="77"/>
      <c r="AU3682" s="77"/>
      <c r="AV3682" s="80" t="str">
        <f>HYPERLINK("https://pbs.twimg.com/media/F2CGZQNWUAI1Kp0.jpg")</f>
        <v>https://pbs.twimg.com/media/F2CGZQNWUAI1Kp0.jpg</v>
      </c>
      <c r="AW3682" s="82" t="s">
        <v>15278</v>
      </c>
      <c r="AX3682" s="82" t="s">
        <v>15278</v>
      </c>
      <c r="AY3682" s="77"/>
      <c r="AZ3682" s="82" t="s">
        <v>15984</v>
      </c>
      <c r="BA3682" s="82" t="s">
        <v>15984</v>
      </c>
      <c r="BB3682" s="82" t="s">
        <v>15984</v>
      </c>
      <c r="BC3682" s="82" t="s">
        <v>15278</v>
      </c>
      <c r="BD3682" s="82" t="s">
        <v>15980</v>
      </c>
      <c r="BE3682" s="77"/>
      <c r="BF3682" s="77"/>
      <c r="BG3682" s="77"/>
      <c r="BH3682" s="77"/>
      <c r="BI3682" s="77"/>
    </row>
    <row r="3683" spans="1:61" x14ac:dyDescent="0.25">
      <c r="A3683" s="62" t="s">
        <v>726</v>
      </c>
      <c r="B3683" s="62" t="s">
        <v>726</v>
      </c>
      <c r="C3683" s="63"/>
      <c r="D3683" s="64"/>
      <c r="E3683" s="65"/>
      <c r="F3683" s="66"/>
      <c r="G3683" s="63"/>
      <c r="H3683" s="67"/>
      <c r="I3683" s="68"/>
      <c r="J3683" s="68"/>
      <c r="K3683" s="32"/>
      <c r="L3683" s="75">
        <v>3683</v>
      </c>
      <c r="M3683" s="75"/>
      <c r="N3683" s="70"/>
      <c r="O3683" s="77" t="s">
        <v>179</v>
      </c>
      <c r="P3683" s="79">
        <v>45134.162141203706</v>
      </c>
      <c r="Q3683" s="77" t="s">
        <v>4353</v>
      </c>
      <c r="R3683" s="77">
        <v>0</v>
      </c>
      <c r="S3683" s="77">
        <v>0</v>
      </c>
      <c r="T3683" s="77">
        <v>0</v>
      </c>
      <c r="U3683" s="77">
        <v>0</v>
      </c>
      <c r="V3683" s="77">
        <v>55</v>
      </c>
      <c r="W3683" s="82" t="s">
        <v>6380</v>
      </c>
      <c r="X3683" s="77"/>
      <c r="Y3683" s="77"/>
      <c r="Z3683" s="77"/>
      <c r="AA3683" s="77" t="s">
        <v>7705</v>
      </c>
      <c r="AB3683" s="77" t="s">
        <v>7742</v>
      </c>
      <c r="AC3683" s="82" t="s">
        <v>7751</v>
      </c>
      <c r="AD3683" s="77" t="s">
        <v>7788</v>
      </c>
      <c r="AE3683" s="80" t="str">
        <f>HYPERLINK("https://twitter.com/mecfin/status/1684411660386160640")</f>
        <v>https://twitter.com/mecfin/status/1684411660386160640</v>
      </c>
      <c r="AF3683" s="79">
        <v>45134.162141203706</v>
      </c>
      <c r="AG3683" s="85">
        <v>45134</v>
      </c>
      <c r="AH3683" s="82" t="s">
        <v>10127</v>
      </c>
      <c r="AI3683" s="77" t="b">
        <v>0</v>
      </c>
      <c r="AJ3683" s="77"/>
      <c r="AK3683" s="77"/>
      <c r="AL3683" s="77"/>
      <c r="AM3683" s="77"/>
      <c r="AN3683" s="77"/>
      <c r="AO3683" s="77"/>
      <c r="AP3683" s="77"/>
      <c r="AQ3683" s="77" t="s">
        <v>11677</v>
      </c>
      <c r="AR3683" s="77"/>
      <c r="AS3683" s="77"/>
      <c r="AT3683" s="77"/>
      <c r="AU3683" s="77"/>
      <c r="AV3683" s="80" t="str">
        <f>HYPERLINK("https://pbs.twimg.com/media/F2A7ekvX0AAUNEb.jpg")</f>
        <v>https://pbs.twimg.com/media/F2A7ekvX0AAUNEb.jpg</v>
      </c>
      <c r="AW3683" s="82" t="s">
        <v>15279</v>
      </c>
      <c r="AX3683" s="82" t="s">
        <v>15279</v>
      </c>
      <c r="AY3683" s="77"/>
      <c r="AZ3683" s="82" t="s">
        <v>15984</v>
      </c>
      <c r="BA3683" s="82" t="s">
        <v>15984</v>
      </c>
      <c r="BB3683" s="82" t="s">
        <v>15984</v>
      </c>
      <c r="BC3683" s="82" t="s">
        <v>15279</v>
      </c>
      <c r="BD3683" s="82" t="s">
        <v>15980</v>
      </c>
      <c r="BE3683" s="77"/>
      <c r="BF3683" s="77"/>
      <c r="BG3683" s="77"/>
      <c r="BH3683" s="77"/>
      <c r="BI3683" s="77"/>
    </row>
    <row r="3684" spans="1:61" x14ac:dyDescent="0.25">
      <c r="A3684" s="62" t="s">
        <v>726</v>
      </c>
      <c r="B3684" s="62" t="s">
        <v>726</v>
      </c>
      <c r="C3684" s="63"/>
      <c r="D3684" s="64"/>
      <c r="E3684" s="65"/>
      <c r="F3684" s="66"/>
      <c r="G3684" s="63"/>
      <c r="H3684" s="67"/>
      <c r="I3684" s="68"/>
      <c r="J3684" s="68"/>
      <c r="K3684" s="32"/>
      <c r="L3684" s="75">
        <v>3684</v>
      </c>
      <c r="M3684" s="75"/>
      <c r="N3684" s="70"/>
      <c r="O3684" s="77" t="s">
        <v>179</v>
      </c>
      <c r="P3684" s="79">
        <v>45134.155057870368</v>
      </c>
      <c r="Q3684" s="77" t="s">
        <v>4354</v>
      </c>
      <c r="R3684" s="77">
        <v>0</v>
      </c>
      <c r="S3684" s="77">
        <v>0</v>
      </c>
      <c r="T3684" s="77">
        <v>1</v>
      </c>
      <c r="U3684" s="77">
        <v>0</v>
      </c>
      <c r="V3684" s="77">
        <v>31</v>
      </c>
      <c r="W3684" s="82" t="s">
        <v>6381</v>
      </c>
      <c r="X3684" s="77"/>
      <c r="Y3684" s="77"/>
      <c r="Z3684" s="77"/>
      <c r="AA3684" s="77" t="s">
        <v>7706</v>
      </c>
      <c r="AB3684" s="77" t="s">
        <v>7742</v>
      </c>
      <c r="AC3684" s="82" t="s">
        <v>7751</v>
      </c>
      <c r="AD3684" s="77" t="s">
        <v>7788</v>
      </c>
      <c r="AE3684" s="80" t="str">
        <f>HYPERLINK("https://twitter.com/mecfin/status/1684409094508011522")</f>
        <v>https://twitter.com/mecfin/status/1684409094508011522</v>
      </c>
      <c r="AF3684" s="79">
        <v>45134.155057870368</v>
      </c>
      <c r="AG3684" s="85">
        <v>45134</v>
      </c>
      <c r="AH3684" s="82" t="s">
        <v>10128</v>
      </c>
      <c r="AI3684" s="77" t="b">
        <v>0</v>
      </c>
      <c r="AJ3684" s="77"/>
      <c r="AK3684" s="77"/>
      <c r="AL3684" s="77"/>
      <c r="AM3684" s="77"/>
      <c r="AN3684" s="77"/>
      <c r="AO3684" s="77"/>
      <c r="AP3684" s="77"/>
      <c r="AQ3684" s="77" t="s">
        <v>11678</v>
      </c>
      <c r="AR3684" s="77"/>
      <c r="AS3684" s="77"/>
      <c r="AT3684" s="77"/>
      <c r="AU3684" s="77"/>
      <c r="AV3684" s="80" t="str">
        <f>HYPERLINK("https://pbs.twimg.com/media/F2A5JKiWYAEHenm.jpg")</f>
        <v>https://pbs.twimg.com/media/F2A5JKiWYAEHenm.jpg</v>
      </c>
      <c r="AW3684" s="82" t="s">
        <v>15280</v>
      </c>
      <c r="AX3684" s="82" t="s">
        <v>15280</v>
      </c>
      <c r="AY3684" s="77"/>
      <c r="AZ3684" s="82" t="s">
        <v>15984</v>
      </c>
      <c r="BA3684" s="82" t="s">
        <v>15984</v>
      </c>
      <c r="BB3684" s="82" t="s">
        <v>15984</v>
      </c>
      <c r="BC3684" s="82" t="s">
        <v>15280</v>
      </c>
      <c r="BD3684" s="82" t="s">
        <v>15980</v>
      </c>
      <c r="BE3684" s="77"/>
      <c r="BF3684" s="77"/>
      <c r="BG3684" s="77"/>
      <c r="BH3684" s="77"/>
      <c r="BI3684" s="77"/>
    </row>
    <row r="3685" spans="1:61" x14ac:dyDescent="0.25">
      <c r="A3685" s="62" t="s">
        <v>726</v>
      </c>
      <c r="B3685" s="62" t="s">
        <v>726</v>
      </c>
      <c r="C3685" s="63"/>
      <c r="D3685" s="64"/>
      <c r="E3685" s="65"/>
      <c r="F3685" s="66"/>
      <c r="G3685" s="63"/>
      <c r="H3685" s="67"/>
      <c r="I3685" s="68"/>
      <c r="J3685" s="68"/>
      <c r="K3685" s="32"/>
      <c r="L3685" s="75">
        <v>3685</v>
      </c>
      <c r="M3685" s="75"/>
      <c r="N3685" s="70"/>
      <c r="O3685" s="77" t="s">
        <v>179</v>
      </c>
      <c r="P3685" s="79">
        <v>45132.959641203706</v>
      </c>
      <c r="Q3685" s="77" t="s">
        <v>4355</v>
      </c>
      <c r="R3685" s="77">
        <v>0</v>
      </c>
      <c r="S3685" s="77">
        <v>1</v>
      </c>
      <c r="T3685" s="77">
        <v>0</v>
      </c>
      <c r="U3685" s="77">
        <v>0</v>
      </c>
      <c r="V3685" s="77">
        <v>37</v>
      </c>
      <c r="W3685" s="82" t="s">
        <v>6382</v>
      </c>
      <c r="X3685" s="77"/>
      <c r="Y3685" s="77"/>
      <c r="Z3685" s="77"/>
      <c r="AA3685" s="77" t="s">
        <v>7707</v>
      </c>
      <c r="AB3685" s="77" t="s">
        <v>7742</v>
      </c>
      <c r="AC3685" s="82" t="s">
        <v>7751</v>
      </c>
      <c r="AD3685" s="77" t="s">
        <v>7788</v>
      </c>
      <c r="AE3685" s="80" t="str">
        <f>HYPERLINK("https://twitter.com/mecfin/status/1683975891066716160")</f>
        <v>https://twitter.com/mecfin/status/1683975891066716160</v>
      </c>
      <c r="AF3685" s="79">
        <v>45132.959641203706</v>
      </c>
      <c r="AG3685" s="85">
        <v>45132</v>
      </c>
      <c r="AH3685" s="82" t="s">
        <v>10129</v>
      </c>
      <c r="AI3685" s="77" t="b">
        <v>0</v>
      </c>
      <c r="AJ3685" s="77"/>
      <c r="AK3685" s="77"/>
      <c r="AL3685" s="77"/>
      <c r="AM3685" s="77"/>
      <c r="AN3685" s="77"/>
      <c r="AO3685" s="77"/>
      <c r="AP3685" s="77"/>
      <c r="AQ3685" s="77" t="s">
        <v>11679</v>
      </c>
      <c r="AR3685" s="77"/>
      <c r="AS3685" s="77"/>
      <c r="AT3685" s="77"/>
      <c r="AU3685" s="77"/>
      <c r="AV3685" s="80" t="str">
        <f>HYPERLINK("https://pbs.twimg.com/media/F16vJYlX0AIZPF_.jpg")</f>
        <v>https://pbs.twimg.com/media/F16vJYlX0AIZPF_.jpg</v>
      </c>
      <c r="AW3685" s="82" t="s">
        <v>15281</v>
      </c>
      <c r="AX3685" s="82" t="s">
        <v>15281</v>
      </c>
      <c r="AY3685" s="77"/>
      <c r="AZ3685" s="82" t="s">
        <v>15984</v>
      </c>
      <c r="BA3685" s="82" t="s">
        <v>15984</v>
      </c>
      <c r="BB3685" s="82" t="s">
        <v>15984</v>
      </c>
      <c r="BC3685" s="82" t="s">
        <v>15281</v>
      </c>
      <c r="BD3685" s="82" t="s">
        <v>15980</v>
      </c>
      <c r="BE3685" s="77"/>
      <c r="BF3685" s="77"/>
      <c r="BG3685" s="77"/>
      <c r="BH3685" s="77"/>
      <c r="BI3685" s="77"/>
    </row>
    <row r="3686" spans="1:61" x14ac:dyDescent="0.25">
      <c r="A3686" s="62" t="s">
        <v>726</v>
      </c>
      <c r="B3686" s="62" t="s">
        <v>726</v>
      </c>
      <c r="C3686" s="63"/>
      <c r="D3686" s="64"/>
      <c r="E3686" s="65"/>
      <c r="F3686" s="66"/>
      <c r="G3686" s="63"/>
      <c r="H3686" s="67"/>
      <c r="I3686" s="68"/>
      <c r="J3686" s="68"/>
      <c r="K3686" s="32"/>
      <c r="L3686" s="75">
        <v>3686</v>
      </c>
      <c r="M3686" s="75"/>
      <c r="N3686" s="70"/>
      <c r="O3686" s="77" t="s">
        <v>179</v>
      </c>
      <c r="P3686" s="79">
        <v>45132.935613425929</v>
      </c>
      <c r="Q3686" s="77" t="s">
        <v>4356</v>
      </c>
      <c r="R3686" s="77">
        <v>0</v>
      </c>
      <c r="S3686" s="77">
        <v>0</v>
      </c>
      <c r="T3686" s="77">
        <v>0</v>
      </c>
      <c r="U3686" s="77">
        <v>0</v>
      </c>
      <c r="V3686" s="77">
        <v>24</v>
      </c>
      <c r="W3686" s="82" t="s">
        <v>6383</v>
      </c>
      <c r="X3686" s="77"/>
      <c r="Y3686" s="77"/>
      <c r="Z3686" s="77"/>
      <c r="AA3686" s="77" t="s">
        <v>7708</v>
      </c>
      <c r="AB3686" s="77" t="s">
        <v>7742</v>
      </c>
      <c r="AC3686" s="82" t="s">
        <v>7751</v>
      </c>
      <c r="AD3686" s="77" t="s">
        <v>7788</v>
      </c>
      <c r="AE3686" s="80" t="str">
        <f>HYPERLINK("https://twitter.com/mecfin/status/1683967181560709120")</f>
        <v>https://twitter.com/mecfin/status/1683967181560709120</v>
      </c>
      <c r="AF3686" s="79">
        <v>45132.935613425929</v>
      </c>
      <c r="AG3686" s="85">
        <v>45132</v>
      </c>
      <c r="AH3686" s="82" t="s">
        <v>10130</v>
      </c>
      <c r="AI3686" s="77" t="b">
        <v>0</v>
      </c>
      <c r="AJ3686" s="77"/>
      <c r="AK3686" s="77"/>
      <c r="AL3686" s="77"/>
      <c r="AM3686" s="77"/>
      <c r="AN3686" s="77"/>
      <c r="AO3686" s="77"/>
      <c r="AP3686" s="77"/>
      <c r="AQ3686" s="77" t="s">
        <v>11680</v>
      </c>
      <c r="AR3686" s="77"/>
      <c r="AS3686" s="77"/>
      <c r="AT3686" s="77"/>
      <c r="AU3686" s="77"/>
      <c r="AV3686" s="80" t="str">
        <f>HYPERLINK("https://pbs.twimg.com/media/F16nOheWEAAJKQj.jpg")</f>
        <v>https://pbs.twimg.com/media/F16nOheWEAAJKQj.jpg</v>
      </c>
      <c r="AW3686" s="82" t="s">
        <v>15282</v>
      </c>
      <c r="AX3686" s="82" t="s">
        <v>15282</v>
      </c>
      <c r="AY3686" s="77"/>
      <c r="AZ3686" s="82" t="s">
        <v>15984</v>
      </c>
      <c r="BA3686" s="82" t="s">
        <v>15984</v>
      </c>
      <c r="BB3686" s="82" t="s">
        <v>15984</v>
      </c>
      <c r="BC3686" s="82" t="s">
        <v>15282</v>
      </c>
      <c r="BD3686" s="82" t="s">
        <v>15980</v>
      </c>
      <c r="BE3686" s="77"/>
      <c r="BF3686" s="77"/>
      <c r="BG3686" s="77"/>
      <c r="BH3686" s="77"/>
      <c r="BI3686" s="77"/>
    </row>
    <row r="3687" spans="1:61" x14ac:dyDescent="0.25">
      <c r="A3687" s="62" t="s">
        <v>726</v>
      </c>
      <c r="B3687" s="62" t="s">
        <v>726</v>
      </c>
      <c r="C3687" s="63"/>
      <c r="D3687" s="64"/>
      <c r="E3687" s="65"/>
      <c r="F3687" s="66"/>
      <c r="G3687" s="63"/>
      <c r="H3687" s="67"/>
      <c r="I3687" s="68"/>
      <c r="J3687" s="68"/>
      <c r="K3687" s="32"/>
      <c r="L3687" s="75">
        <v>3687</v>
      </c>
      <c r="M3687" s="75"/>
      <c r="N3687" s="70"/>
      <c r="O3687" s="77" t="s">
        <v>179</v>
      </c>
      <c r="P3687" s="79">
        <v>45146.453414351854</v>
      </c>
      <c r="Q3687" s="77" t="s">
        <v>4357</v>
      </c>
      <c r="R3687" s="77">
        <v>0</v>
      </c>
      <c r="S3687" s="77">
        <v>0</v>
      </c>
      <c r="T3687" s="77">
        <v>0</v>
      </c>
      <c r="U3687" s="77">
        <v>0</v>
      </c>
      <c r="V3687" s="77">
        <v>47</v>
      </c>
      <c r="W3687" s="82" t="s">
        <v>6384</v>
      </c>
      <c r="X3687" s="77"/>
      <c r="Y3687" s="77"/>
      <c r="Z3687" s="77"/>
      <c r="AA3687" s="77" t="s">
        <v>7709</v>
      </c>
      <c r="AB3687" s="77" t="s">
        <v>7742</v>
      </c>
      <c r="AC3687" s="82" t="s">
        <v>7751</v>
      </c>
      <c r="AD3687" s="77" t="s">
        <v>7788</v>
      </c>
      <c r="AE3687" s="80" t="str">
        <f>HYPERLINK("https://twitter.com/mecfin/status/1688865868774559744")</f>
        <v>https://twitter.com/mecfin/status/1688865868774559744</v>
      </c>
      <c r="AF3687" s="79">
        <v>45146.453414351854</v>
      </c>
      <c r="AG3687" s="85">
        <v>45146</v>
      </c>
      <c r="AH3687" s="82" t="s">
        <v>10131</v>
      </c>
      <c r="AI3687" s="77" t="b">
        <v>0</v>
      </c>
      <c r="AJ3687" s="77"/>
      <c r="AK3687" s="77"/>
      <c r="AL3687" s="77"/>
      <c r="AM3687" s="77"/>
      <c r="AN3687" s="77"/>
      <c r="AO3687" s="77"/>
      <c r="AP3687" s="77"/>
      <c r="AQ3687" s="77" t="s">
        <v>11681</v>
      </c>
      <c r="AR3687" s="77"/>
      <c r="AS3687" s="77"/>
      <c r="AT3687" s="77"/>
      <c r="AU3687" s="77"/>
      <c r="AV3687" s="80" t="str">
        <f>HYPERLINK("https://pbs.twimg.com/media/F3AOjQwWwAE0M7f.jpg")</f>
        <v>https://pbs.twimg.com/media/F3AOjQwWwAE0M7f.jpg</v>
      </c>
      <c r="AW3687" s="82" t="s">
        <v>15283</v>
      </c>
      <c r="AX3687" s="82" t="s">
        <v>15283</v>
      </c>
      <c r="AY3687" s="77"/>
      <c r="AZ3687" s="82" t="s">
        <v>15984</v>
      </c>
      <c r="BA3687" s="82" t="s">
        <v>15984</v>
      </c>
      <c r="BB3687" s="82" t="s">
        <v>15984</v>
      </c>
      <c r="BC3687" s="82" t="s">
        <v>15283</v>
      </c>
      <c r="BD3687" s="82" t="s">
        <v>15980</v>
      </c>
      <c r="BE3687" s="77"/>
      <c r="BF3687" s="77"/>
      <c r="BG3687" s="77"/>
      <c r="BH3687" s="77"/>
      <c r="BI3687" s="77"/>
    </row>
    <row r="3688" spans="1:61" x14ac:dyDescent="0.25">
      <c r="A3688" s="62" t="s">
        <v>726</v>
      </c>
      <c r="B3688" s="62" t="s">
        <v>726</v>
      </c>
      <c r="C3688" s="63"/>
      <c r="D3688" s="64"/>
      <c r="E3688" s="65"/>
      <c r="F3688" s="66"/>
      <c r="G3688" s="63"/>
      <c r="H3688" s="67"/>
      <c r="I3688" s="68"/>
      <c r="J3688" s="68"/>
      <c r="K3688" s="32"/>
      <c r="L3688" s="75">
        <v>3688</v>
      </c>
      <c r="M3688" s="75"/>
      <c r="N3688" s="70"/>
      <c r="O3688" s="77" t="s">
        <v>179</v>
      </c>
      <c r="P3688" s="79">
        <v>45155.450729166667</v>
      </c>
      <c r="Q3688" s="77" t="s">
        <v>4358</v>
      </c>
      <c r="R3688" s="77">
        <v>0</v>
      </c>
      <c r="S3688" s="77">
        <v>0</v>
      </c>
      <c r="T3688" s="77">
        <v>0</v>
      </c>
      <c r="U3688" s="77">
        <v>0</v>
      </c>
      <c r="V3688" s="77">
        <v>26</v>
      </c>
      <c r="W3688" s="82" t="s">
        <v>6385</v>
      </c>
      <c r="X3688" s="77"/>
      <c r="Y3688" s="77"/>
      <c r="Z3688" s="77"/>
      <c r="AA3688" s="77" t="s">
        <v>7710</v>
      </c>
      <c r="AB3688" s="77" t="s">
        <v>7742</v>
      </c>
      <c r="AC3688" s="82" t="s">
        <v>7751</v>
      </c>
      <c r="AD3688" s="77" t="s">
        <v>7788</v>
      </c>
      <c r="AE3688" s="80" t="str">
        <f>HYPERLINK("https://twitter.com/mecfin/status/1692126389061759444")</f>
        <v>https://twitter.com/mecfin/status/1692126389061759444</v>
      </c>
      <c r="AF3688" s="79">
        <v>45155.450729166667</v>
      </c>
      <c r="AG3688" s="85">
        <v>45155</v>
      </c>
      <c r="AH3688" s="82" t="s">
        <v>10132</v>
      </c>
      <c r="AI3688" s="77" t="b">
        <v>0</v>
      </c>
      <c r="AJ3688" s="77"/>
      <c r="AK3688" s="77"/>
      <c r="AL3688" s="77"/>
      <c r="AM3688" s="77"/>
      <c r="AN3688" s="77"/>
      <c r="AO3688" s="77"/>
      <c r="AP3688" s="77"/>
      <c r="AQ3688" s="77" t="s">
        <v>11682</v>
      </c>
      <c r="AR3688" s="77"/>
      <c r="AS3688" s="77"/>
      <c r="AT3688" s="77"/>
      <c r="AU3688" s="77"/>
      <c r="AV3688" s="80" t="str">
        <f>HYPERLINK("https://pbs.twimg.com/media/F3uj-9QXgAAgF7C.jpg")</f>
        <v>https://pbs.twimg.com/media/F3uj-9QXgAAgF7C.jpg</v>
      </c>
      <c r="AW3688" s="82" t="s">
        <v>15284</v>
      </c>
      <c r="AX3688" s="82" t="s">
        <v>15284</v>
      </c>
      <c r="AY3688" s="77"/>
      <c r="AZ3688" s="82" t="s">
        <v>15984</v>
      </c>
      <c r="BA3688" s="82" t="s">
        <v>15984</v>
      </c>
      <c r="BB3688" s="82" t="s">
        <v>15984</v>
      </c>
      <c r="BC3688" s="82" t="s">
        <v>15284</v>
      </c>
      <c r="BD3688" s="82" t="s">
        <v>15980</v>
      </c>
      <c r="BE3688" s="77"/>
      <c r="BF3688" s="77"/>
      <c r="BG3688" s="77"/>
      <c r="BH3688" s="77"/>
      <c r="BI3688" s="77"/>
    </row>
    <row r="3689" spans="1:61" x14ac:dyDescent="0.25">
      <c r="A3689" s="62" t="s">
        <v>726</v>
      </c>
      <c r="B3689" s="62" t="s">
        <v>726</v>
      </c>
      <c r="C3689" s="63"/>
      <c r="D3689" s="64"/>
      <c r="E3689" s="65"/>
      <c r="F3689" s="66"/>
      <c r="G3689" s="63"/>
      <c r="H3689" s="67"/>
      <c r="I3689" s="68"/>
      <c r="J3689" s="68"/>
      <c r="K3689" s="32"/>
      <c r="L3689" s="75">
        <v>3689</v>
      </c>
      <c r="M3689" s="75"/>
      <c r="N3689" s="70"/>
      <c r="O3689" s="77" t="s">
        <v>179</v>
      </c>
      <c r="P3689" s="79">
        <v>45155.445023148146</v>
      </c>
      <c r="Q3689" s="77" t="s">
        <v>4359</v>
      </c>
      <c r="R3689" s="77">
        <v>0</v>
      </c>
      <c r="S3689" s="77">
        <v>0</v>
      </c>
      <c r="T3689" s="77">
        <v>0</v>
      </c>
      <c r="U3689" s="77">
        <v>0</v>
      </c>
      <c r="V3689" s="77">
        <v>35</v>
      </c>
      <c r="W3689" s="82" t="s">
        <v>6386</v>
      </c>
      <c r="X3689" s="77"/>
      <c r="Y3689" s="77"/>
      <c r="Z3689" s="77"/>
      <c r="AA3689" s="77" t="s">
        <v>7711</v>
      </c>
      <c r="AB3689" s="77" t="s">
        <v>7742</v>
      </c>
      <c r="AC3689" s="82" t="s">
        <v>7751</v>
      </c>
      <c r="AD3689" s="77" t="s">
        <v>7788</v>
      </c>
      <c r="AE3689" s="80" t="str">
        <f>HYPERLINK("https://twitter.com/mecfin/status/1692124318396788881")</f>
        <v>https://twitter.com/mecfin/status/1692124318396788881</v>
      </c>
      <c r="AF3689" s="79">
        <v>45155.445023148146</v>
      </c>
      <c r="AG3689" s="85">
        <v>45155</v>
      </c>
      <c r="AH3689" s="82" t="s">
        <v>10133</v>
      </c>
      <c r="AI3689" s="77" t="b">
        <v>0</v>
      </c>
      <c r="AJ3689" s="77"/>
      <c r="AK3689" s="77"/>
      <c r="AL3689" s="77"/>
      <c r="AM3689" s="77"/>
      <c r="AN3689" s="77"/>
      <c r="AO3689" s="77"/>
      <c r="AP3689" s="77"/>
      <c r="AQ3689" s="77" t="s">
        <v>11683</v>
      </c>
      <c r="AR3689" s="77"/>
      <c r="AS3689" s="77"/>
      <c r="AT3689" s="77"/>
      <c r="AU3689" s="77"/>
      <c r="AV3689" s="80" t="str">
        <f>HYPERLINK("https://pbs.twimg.com/media/F3uiE5bW0AAxSUF.jpg")</f>
        <v>https://pbs.twimg.com/media/F3uiE5bW0AAxSUF.jpg</v>
      </c>
      <c r="AW3689" s="82" t="s">
        <v>15285</v>
      </c>
      <c r="AX3689" s="82" t="s">
        <v>15285</v>
      </c>
      <c r="AY3689" s="77"/>
      <c r="AZ3689" s="82" t="s">
        <v>15984</v>
      </c>
      <c r="BA3689" s="82" t="s">
        <v>15984</v>
      </c>
      <c r="BB3689" s="82" t="s">
        <v>15984</v>
      </c>
      <c r="BC3689" s="82" t="s">
        <v>15285</v>
      </c>
      <c r="BD3689" s="82" t="s">
        <v>15980</v>
      </c>
      <c r="BE3689" s="77"/>
      <c r="BF3689" s="77"/>
      <c r="BG3689" s="77"/>
      <c r="BH3689" s="77"/>
      <c r="BI3689" s="77"/>
    </row>
    <row r="3690" spans="1:61" x14ac:dyDescent="0.25">
      <c r="A3690" s="62" t="s">
        <v>726</v>
      </c>
      <c r="B3690" s="62" t="s">
        <v>726</v>
      </c>
      <c r="C3690" s="63"/>
      <c r="D3690" s="64"/>
      <c r="E3690" s="65"/>
      <c r="F3690" s="66"/>
      <c r="G3690" s="63"/>
      <c r="H3690" s="67"/>
      <c r="I3690" s="68"/>
      <c r="J3690" s="68"/>
      <c r="K3690" s="32"/>
      <c r="L3690" s="75">
        <v>3690</v>
      </c>
      <c r="M3690" s="75"/>
      <c r="N3690" s="70"/>
      <c r="O3690" s="77" t="s">
        <v>179</v>
      </c>
      <c r="P3690" s="79">
        <v>45153.439583333333</v>
      </c>
      <c r="Q3690" s="77" t="s">
        <v>4360</v>
      </c>
      <c r="R3690" s="77">
        <v>0</v>
      </c>
      <c r="S3690" s="77">
        <v>1</v>
      </c>
      <c r="T3690" s="77">
        <v>0</v>
      </c>
      <c r="U3690" s="77">
        <v>0</v>
      </c>
      <c r="V3690" s="77">
        <v>22</v>
      </c>
      <c r="W3690" s="82" t="s">
        <v>6387</v>
      </c>
      <c r="X3690" s="77"/>
      <c r="Y3690" s="77"/>
      <c r="Z3690" s="77"/>
      <c r="AA3690" s="77" t="s">
        <v>7712</v>
      </c>
      <c r="AB3690" s="77" t="s">
        <v>7742</v>
      </c>
      <c r="AC3690" s="82" t="s">
        <v>7751</v>
      </c>
      <c r="AD3690" s="77" t="s">
        <v>7788</v>
      </c>
      <c r="AE3690" s="80" t="str">
        <f>HYPERLINK("https://twitter.com/mecfin/status/1691397570088534016")</f>
        <v>https://twitter.com/mecfin/status/1691397570088534016</v>
      </c>
      <c r="AF3690" s="79">
        <v>45153.439583333333</v>
      </c>
      <c r="AG3690" s="85">
        <v>45153</v>
      </c>
      <c r="AH3690" s="82" t="s">
        <v>10134</v>
      </c>
      <c r="AI3690" s="77" t="b">
        <v>0</v>
      </c>
      <c r="AJ3690" s="77"/>
      <c r="AK3690" s="77"/>
      <c r="AL3690" s="77"/>
      <c r="AM3690" s="77"/>
      <c r="AN3690" s="77"/>
      <c r="AO3690" s="77"/>
      <c r="AP3690" s="77"/>
      <c r="AQ3690" s="77" t="s">
        <v>11684</v>
      </c>
      <c r="AR3690" s="77"/>
      <c r="AS3690" s="77"/>
      <c r="AT3690" s="77"/>
      <c r="AU3690" s="77"/>
      <c r="AV3690" s="80" t="str">
        <f>HYPERLINK("https://pbs.twimg.com/media/F3kNIGMXMAArUc4.jpg")</f>
        <v>https://pbs.twimg.com/media/F3kNIGMXMAArUc4.jpg</v>
      </c>
      <c r="AW3690" s="82" t="s">
        <v>15286</v>
      </c>
      <c r="AX3690" s="82" t="s">
        <v>15286</v>
      </c>
      <c r="AY3690" s="77"/>
      <c r="AZ3690" s="82" t="s">
        <v>15984</v>
      </c>
      <c r="BA3690" s="82" t="s">
        <v>15984</v>
      </c>
      <c r="BB3690" s="82" t="s">
        <v>15984</v>
      </c>
      <c r="BC3690" s="82" t="s">
        <v>15286</v>
      </c>
      <c r="BD3690" s="82" t="s">
        <v>15980</v>
      </c>
      <c r="BE3690" s="77"/>
      <c r="BF3690" s="77"/>
      <c r="BG3690" s="77"/>
      <c r="BH3690" s="77"/>
      <c r="BI3690" s="77"/>
    </row>
    <row r="3691" spans="1:61" x14ac:dyDescent="0.25">
      <c r="A3691" s="62" t="s">
        <v>726</v>
      </c>
      <c r="B3691" s="62" t="s">
        <v>726</v>
      </c>
      <c r="C3691" s="63"/>
      <c r="D3691" s="64"/>
      <c r="E3691" s="65"/>
      <c r="F3691" s="66"/>
      <c r="G3691" s="63"/>
      <c r="H3691" s="67"/>
      <c r="I3691" s="68"/>
      <c r="J3691" s="68"/>
      <c r="K3691" s="32"/>
      <c r="L3691" s="75">
        <v>3691</v>
      </c>
      <c r="M3691" s="75"/>
      <c r="N3691" s="70"/>
      <c r="O3691" s="77" t="s">
        <v>179</v>
      </c>
      <c r="P3691" s="79">
        <v>45132.175636574073</v>
      </c>
      <c r="Q3691" s="77" t="s">
        <v>4361</v>
      </c>
      <c r="R3691" s="77">
        <v>0</v>
      </c>
      <c r="S3691" s="77">
        <v>0</v>
      </c>
      <c r="T3691" s="77">
        <v>1</v>
      </c>
      <c r="U3691" s="77">
        <v>0</v>
      </c>
      <c r="V3691" s="77">
        <v>26</v>
      </c>
      <c r="W3691" s="82" t="s">
        <v>6388</v>
      </c>
      <c r="X3691" s="77"/>
      <c r="Y3691" s="77"/>
      <c r="Z3691" s="77"/>
      <c r="AA3691" s="77" t="s">
        <v>7713</v>
      </c>
      <c r="AB3691" s="77" t="s">
        <v>7742</v>
      </c>
      <c r="AC3691" s="82" t="s">
        <v>7751</v>
      </c>
      <c r="AD3691" s="77" t="s">
        <v>7788</v>
      </c>
      <c r="AE3691" s="80" t="str">
        <f>HYPERLINK("https://twitter.com/mecfin/status/1683691776819752961")</f>
        <v>https://twitter.com/mecfin/status/1683691776819752961</v>
      </c>
      <c r="AF3691" s="79">
        <v>45132.175636574073</v>
      </c>
      <c r="AG3691" s="85">
        <v>45132</v>
      </c>
      <c r="AH3691" s="82" t="s">
        <v>10135</v>
      </c>
      <c r="AI3691" s="77" t="b">
        <v>0</v>
      </c>
      <c r="AJ3691" s="77"/>
      <c r="AK3691" s="77"/>
      <c r="AL3691" s="77"/>
      <c r="AM3691" s="77"/>
      <c r="AN3691" s="77"/>
      <c r="AO3691" s="77"/>
      <c r="AP3691" s="77"/>
      <c r="AQ3691" s="77" t="s">
        <v>11685</v>
      </c>
      <c r="AR3691" s="77"/>
      <c r="AS3691" s="77"/>
      <c r="AT3691" s="77"/>
      <c r="AU3691" s="77"/>
      <c r="AV3691" s="80" t="str">
        <f>HYPERLINK("https://pbs.twimg.com/media/F12sv3kWIAEYqHd.jpg")</f>
        <v>https://pbs.twimg.com/media/F12sv3kWIAEYqHd.jpg</v>
      </c>
      <c r="AW3691" s="82" t="s">
        <v>15287</v>
      </c>
      <c r="AX3691" s="82" t="s">
        <v>15287</v>
      </c>
      <c r="AY3691" s="77"/>
      <c r="AZ3691" s="82" t="s">
        <v>15984</v>
      </c>
      <c r="BA3691" s="82" t="s">
        <v>15984</v>
      </c>
      <c r="BB3691" s="82" t="s">
        <v>15984</v>
      </c>
      <c r="BC3691" s="82" t="s">
        <v>15287</v>
      </c>
      <c r="BD3691" s="82" t="s">
        <v>15980</v>
      </c>
      <c r="BE3691" s="77"/>
      <c r="BF3691" s="77"/>
      <c r="BG3691" s="77"/>
      <c r="BH3691" s="77"/>
      <c r="BI3691" s="77"/>
    </row>
    <row r="3692" spans="1:61" x14ac:dyDescent="0.25">
      <c r="A3692" s="62" t="s">
        <v>726</v>
      </c>
      <c r="B3692" s="62" t="s">
        <v>726</v>
      </c>
      <c r="C3692" s="63"/>
      <c r="D3692" s="64"/>
      <c r="E3692" s="65"/>
      <c r="F3692" s="66"/>
      <c r="G3692" s="63"/>
      <c r="H3692" s="67"/>
      <c r="I3692" s="68"/>
      <c r="J3692" s="68"/>
      <c r="K3692" s="32"/>
      <c r="L3692" s="75">
        <v>3692</v>
      </c>
      <c r="M3692" s="75"/>
      <c r="N3692" s="70"/>
      <c r="O3692" s="77" t="s">
        <v>179</v>
      </c>
      <c r="P3692" s="79">
        <v>45153.039386574077</v>
      </c>
      <c r="Q3692" s="77" t="s">
        <v>4362</v>
      </c>
      <c r="R3692" s="77">
        <v>0</v>
      </c>
      <c r="S3692" s="77">
        <v>0</v>
      </c>
      <c r="T3692" s="77">
        <v>0</v>
      </c>
      <c r="U3692" s="77">
        <v>0</v>
      </c>
      <c r="V3692" s="77">
        <v>51</v>
      </c>
      <c r="W3692" s="82" t="s">
        <v>4839</v>
      </c>
      <c r="X3692" s="77"/>
      <c r="Y3692" s="77"/>
      <c r="Z3692" s="77"/>
      <c r="AA3692" s="77" t="s">
        <v>7714</v>
      </c>
      <c r="AB3692" s="77" t="s">
        <v>7742</v>
      </c>
      <c r="AC3692" s="82" t="s">
        <v>7751</v>
      </c>
      <c r="AD3692" s="77" t="s">
        <v>7788</v>
      </c>
      <c r="AE3692" s="80" t="str">
        <f>HYPERLINK("https://twitter.com/mecfin/status/1691252544054468608")</f>
        <v>https://twitter.com/mecfin/status/1691252544054468608</v>
      </c>
      <c r="AF3692" s="79">
        <v>45153.039386574077</v>
      </c>
      <c r="AG3692" s="85">
        <v>45153</v>
      </c>
      <c r="AH3692" s="82" t="s">
        <v>10136</v>
      </c>
      <c r="AI3692" s="77" t="b">
        <v>0</v>
      </c>
      <c r="AJ3692" s="77"/>
      <c r="AK3692" s="77"/>
      <c r="AL3692" s="77"/>
      <c r="AM3692" s="77"/>
      <c r="AN3692" s="77"/>
      <c r="AO3692" s="77"/>
      <c r="AP3692" s="77"/>
      <c r="AQ3692" s="77" t="s">
        <v>11686</v>
      </c>
      <c r="AR3692" s="77"/>
      <c r="AS3692" s="77"/>
      <c r="AT3692" s="77"/>
      <c r="AU3692" s="77"/>
      <c r="AV3692" s="80" t="str">
        <f>HYPERLINK("https://pbs.twimg.com/media/F3iJOe3XoAAKZkl.jpg")</f>
        <v>https://pbs.twimg.com/media/F3iJOe3XoAAKZkl.jpg</v>
      </c>
      <c r="AW3692" s="82" t="s">
        <v>15288</v>
      </c>
      <c r="AX3692" s="82" t="s">
        <v>15288</v>
      </c>
      <c r="AY3692" s="77"/>
      <c r="AZ3692" s="82" t="s">
        <v>15984</v>
      </c>
      <c r="BA3692" s="82" t="s">
        <v>15984</v>
      </c>
      <c r="BB3692" s="82" t="s">
        <v>15984</v>
      </c>
      <c r="BC3692" s="82" t="s">
        <v>15288</v>
      </c>
      <c r="BD3692" s="82" t="s">
        <v>15980</v>
      </c>
      <c r="BE3692" s="77"/>
      <c r="BF3692" s="77"/>
      <c r="BG3692" s="77"/>
      <c r="BH3692" s="77"/>
      <c r="BI3692" s="77"/>
    </row>
    <row r="3693" spans="1:61" x14ac:dyDescent="0.25">
      <c r="A3693" s="62" t="s">
        <v>726</v>
      </c>
      <c r="B3693" s="62" t="s">
        <v>726</v>
      </c>
      <c r="C3693" s="63"/>
      <c r="D3693" s="64"/>
      <c r="E3693" s="65"/>
      <c r="F3693" s="66"/>
      <c r="G3693" s="63"/>
      <c r="H3693" s="67"/>
      <c r="I3693" s="68"/>
      <c r="J3693" s="68"/>
      <c r="K3693" s="32"/>
      <c r="L3693" s="75">
        <v>3693</v>
      </c>
      <c r="M3693" s="75"/>
      <c r="N3693" s="70"/>
      <c r="O3693" s="77" t="s">
        <v>179</v>
      </c>
      <c r="P3693" s="79">
        <v>45138.46502314815</v>
      </c>
      <c r="Q3693" s="77" t="s">
        <v>4363</v>
      </c>
      <c r="R3693" s="77">
        <v>0</v>
      </c>
      <c r="S3693" s="77">
        <v>0</v>
      </c>
      <c r="T3693" s="77">
        <v>0</v>
      </c>
      <c r="U3693" s="77">
        <v>0</v>
      </c>
      <c r="V3693" s="77">
        <v>41</v>
      </c>
      <c r="W3693" s="82" t="s">
        <v>6389</v>
      </c>
      <c r="X3693" s="77"/>
      <c r="Y3693" s="77"/>
      <c r="Z3693" s="77"/>
      <c r="AA3693" s="77" t="s">
        <v>7715</v>
      </c>
      <c r="AB3693" s="77" t="s">
        <v>7742</v>
      </c>
      <c r="AC3693" s="82" t="s">
        <v>7751</v>
      </c>
      <c r="AD3693" s="77" t="s">
        <v>7788</v>
      </c>
      <c r="AE3693" s="80" t="str">
        <f>HYPERLINK("https://twitter.com/mecfin/status/1685970973244207104")</f>
        <v>https://twitter.com/mecfin/status/1685970973244207104</v>
      </c>
      <c r="AF3693" s="79">
        <v>45138.46502314815</v>
      </c>
      <c r="AG3693" s="85">
        <v>45138</v>
      </c>
      <c r="AH3693" s="82" t="s">
        <v>10137</v>
      </c>
      <c r="AI3693" s="77" t="b">
        <v>0</v>
      </c>
      <c r="AJ3693" s="77"/>
      <c r="AK3693" s="77"/>
      <c r="AL3693" s="77"/>
      <c r="AM3693" s="77"/>
      <c r="AN3693" s="77"/>
      <c r="AO3693" s="77"/>
      <c r="AP3693" s="77"/>
      <c r="AQ3693" s="77" t="s">
        <v>11687</v>
      </c>
      <c r="AR3693" s="77"/>
      <c r="AS3693" s="77"/>
      <c r="AT3693" s="77"/>
      <c r="AU3693" s="77"/>
      <c r="AV3693" s="80" t="str">
        <f>HYPERLINK("https://pbs.twimg.com/media/F2XFqjaXkAEO5iX.jpg")</f>
        <v>https://pbs.twimg.com/media/F2XFqjaXkAEO5iX.jpg</v>
      </c>
      <c r="AW3693" s="82" t="s">
        <v>15289</v>
      </c>
      <c r="AX3693" s="82" t="s">
        <v>15289</v>
      </c>
      <c r="AY3693" s="77"/>
      <c r="AZ3693" s="82" t="s">
        <v>15984</v>
      </c>
      <c r="BA3693" s="82" t="s">
        <v>15984</v>
      </c>
      <c r="BB3693" s="82" t="s">
        <v>15984</v>
      </c>
      <c r="BC3693" s="82" t="s">
        <v>15289</v>
      </c>
      <c r="BD3693" s="82" t="s">
        <v>15980</v>
      </c>
      <c r="BE3693" s="77"/>
      <c r="BF3693" s="77"/>
      <c r="BG3693" s="77"/>
      <c r="BH3693" s="77"/>
      <c r="BI3693" s="77"/>
    </row>
    <row r="3694" spans="1:61" x14ac:dyDescent="0.25">
      <c r="A3694" s="62" t="s">
        <v>726</v>
      </c>
      <c r="B3694" s="62" t="s">
        <v>726</v>
      </c>
      <c r="C3694" s="63"/>
      <c r="D3694" s="64"/>
      <c r="E3694" s="65"/>
      <c r="F3694" s="66"/>
      <c r="G3694" s="63"/>
      <c r="H3694" s="67"/>
      <c r="I3694" s="68"/>
      <c r="J3694" s="68"/>
      <c r="K3694" s="32"/>
      <c r="L3694" s="75">
        <v>3694</v>
      </c>
      <c r="M3694" s="75"/>
      <c r="N3694" s="70"/>
      <c r="O3694" s="77" t="s">
        <v>179</v>
      </c>
      <c r="P3694" s="79">
        <v>45129.465509259258</v>
      </c>
      <c r="Q3694" s="77" t="s">
        <v>4364</v>
      </c>
      <c r="R3694" s="77">
        <v>0</v>
      </c>
      <c r="S3694" s="77">
        <v>0</v>
      </c>
      <c r="T3694" s="77">
        <v>0</v>
      </c>
      <c r="U3694" s="77">
        <v>0</v>
      </c>
      <c r="V3694" s="77">
        <v>24</v>
      </c>
      <c r="W3694" s="82" t="s">
        <v>5580</v>
      </c>
      <c r="X3694" s="77"/>
      <c r="Y3694" s="77"/>
      <c r="Z3694" s="77"/>
      <c r="AA3694" s="77" t="s">
        <v>7716</v>
      </c>
      <c r="AB3694" s="77" t="s">
        <v>7742</v>
      </c>
      <c r="AC3694" s="82" t="s">
        <v>7751</v>
      </c>
      <c r="AD3694" s="77" t="s">
        <v>7788</v>
      </c>
      <c r="AE3694" s="80" t="str">
        <f>HYPERLINK("https://twitter.com/mecfin/status/1682709658467745796")</f>
        <v>https://twitter.com/mecfin/status/1682709658467745796</v>
      </c>
      <c r="AF3694" s="79">
        <v>45129.465509259258</v>
      </c>
      <c r="AG3694" s="85">
        <v>45129</v>
      </c>
      <c r="AH3694" s="82" t="s">
        <v>10138</v>
      </c>
      <c r="AI3694" s="77" t="b">
        <v>0</v>
      </c>
      <c r="AJ3694" s="77"/>
      <c r="AK3694" s="77"/>
      <c r="AL3694" s="77"/>
      <c r="AM3694" s="77"/>
      <c r="AN3694" s="77"/>
      <c r="AO3694" s="77"/>
      <c r="AP3694" s="77"/>
      <c r="AQ3694" s="77" t="s">
        <v>11688</v>
      </c>
      <c r="AR3694" s="77"/>
      <c r="AS3694" s="77"/>
      <c r="AT3694" s="77"/>
      <c r="AU3694" s="77"/>
      <c r="AV3694" s="80" t="str">
        <f>HYPERLINK("https://pbs.twimg.com/media/F1ovhFwWYAA8uOF.jpg")</f>
        <v>https://pbs.twimg.com/media/F1ovhFwWYAA8uOF.jpg</v>
      </c>
      <c r="AW3694" s="82" t="s">
        <v>15290</v>
      </c>
      <c r="AX3694" s="82" t="s">
        <v>15290</v>
      </c>
      <c r="AY3694" s="77"/>
      <c r="AZ3694" s="82" t="s">
        <v>15984</v>
      </c>
      <c r="BA3694" s="82" t="s">
        <v>15984</v>
      </c>
      <c r="BB3694" s="82" t="s">
        <v>15984</v>
      </c>
      <c r="BC3694" s="82" t="s">
        <v>15290</v>
      </c>
      <c r="BD3694" s="82" t="s">
        <v>15980</v>
      </c>
      <c r="BE3694" s="77"/>
      <c r="BF3694" s="77"/>
      <c r="BG3694" s="77"/>
      <c r="BH3694" s="77"/>
      <c r="BI3694" s="77"/>
    </row>
    <row r="3695" spans="1:61" x14ac:dyDescent="0.25">
      <c r="A3695" s="62" t="s">
        <v>726</v>
      </c>
      <c r="B3695" s="62" t="s">
        <v>726</v>
      </c>
      <c r="C3695" s="63"/>
      <c r="D3695" s="64"/>
      <c r="E3695" s="65"/>
      <c r="F3695" s="66"/>
      <c r="G3695" s="63"/>
      <c r="H3695" s="67"/>
      <c r="I3695" s="68"/>
      <c r="J3695" s="68"/>
      <c r="K3695" s="32"/>
      <c r="L3695" s="75">
        <v>3695</v>
      </c>
      <c r="M3695" s="75"/>
      <c r="N3695" s="70"/>
      <c r="O3695" s="77" t="s">
        <v>179</v>
      </c>
      <c r="P3695" s="79">
        <v>45161.421782407408</v>
      </c>
      <c r="Q3695" s="77" t="s">
        <v>4365</v>
      </c>
      <c r="R3695" s="77">
        <v>0</v>
      </c>
      <c r="S3695" s="77">
        <v>0</v>
      </c>
      <c r="T3695" s="77">
        <v>0</v>
      </c>
      <c r="U3695" s="77">
        <v>0</v>
      </c>
      <c r="V3695" s="77">
        <v>35</v>
      </c>
      <c r="W3695" s="82" t="s">
        <v>6390</v>
      </c>
      <c r="X3695" s="77"/>
      <c r="Y3695" s="77"/>
      <c r="Z3695" s="77"/>
      <c r="AA3695" s="77"/>
      <c r="AB3695" s="77"/>
      <c r="AC3695" s="82" t="s">
        <v>7751</v>
      </c>
      <c r="AD3695" s="77" t="s">
        <v>7788</v>
      </c>
      <c r="AE3695" s="80" t="str">
        <f>HYPERLINK("https://twitter.com/mecfin/status/1694290224786837835")</f>
        <v>https://twitter.com/mecfin/status/1694290224786837835</v>
      </c>
      <c r="AF3695" s="79">
        <v>45161.421782407408</v>
      </c>
      <c r="AG3695" s="85">
        <v>45161</v>
      </c>
      <c r="AH3695" s="82" t="s">
        <v>10139</v>
      </c>
      <c r="AI3695" s="77"/>
      <c r="AJ3695" s="77"/>
      <c r="AK3695" s="77"/>
      <c r="AL3695" s="77"/>
      <c r="AM3695" s="77"/>
      <c r="AN3695" s="77"/>
      <c r="AO3695" s="77"/>
      <c r="AP3695" s="77"/>
      <c r="AQ3695" s="77"/>
      <c r="AR3695" s="77"/>
      <c r="AS3695" s="77"/>
      <c r="AT3695" s="77"/>
      <c r="AU3695" s="77"/>
      <c r="AV3695" s="80" t="str">
        <f>HYPERLINK("https://pbs.twimg.com/profile_images/1661542291423608840/csv_Qeh3_normal.jpg")</f>
        <v>https://pbs.twimg.com/profile_images/1661542291423608840/csv_Qeh3_normal.jpg</v>
      </c>
      <c r="AW3695" s="82" t="s">
        <v>15291</v>
      </c>
      <c r="AX3695" s="82" t="s">
        <v>15291</v>
      </c>
      <c r="AY3695" s="77"/>
      <c r="AZ3695" s="82" t="s">
        <v>15984</v>
      </c>
      <c r="BA3695" s="82" t="s">
        <v>15984</v>
      </c>
      <c r="BB3695" s="82" t="s">
        <v>15984</v>
      </c>
      <c r="BC3695" s="82" t="s">
        <v>15291</v>
      </c>
      <c r="BD3695" s="82" t="s">
        <v>15980</v>
      </c>
      <c r="BE3695" s="77"/>
      <c r="BF3695" s="77"/>
      <c r="BG3695" s="77"/>
      <c r="BH3695" s="77"/>
      <c r="BI3695" s="77"/>
    </row>
    <row r="3696" spans="1:61" x14ac:dyDescent="0.25">
      <c r="A3696" s="62" t="s">
        <v>726</v>
      </c>
      <c r="B3696" s="62" t="s">
        <v>726</v>
      </c>
      <c r="C3696" s="63"/>
      <c r="D3696" s="64"/>
      <c r="E3696" s="65"/>
      <c r="F3696" s="66"/>
      <c r="G3696" s="63"/>
      <c r="H3696" s="67"/>
      <c r="I3696" s="68"/>
      <c r="J3696" s="68"/>
      <c r="K3696" s="32"/>
      <c r="L3696" s="75">
        <v>3696</v>
      </c>
      <c r="M3696" s="75"/>
      <c r="N3696" s="70"/>
      <c r="O3696" s="77" t="s">
        <v>898</v>
      </c>
      <c r="P3696" s="79">
        <v>45129.535185185188</v>
      </c>
      <c r="Q3696" s="77" t="s">
        <v>4366</v>
      </c>
      <c r="R3696" s="77">
        <v>0</v>
      </c>
      <c r="S3696" s="77">
        <v>0</v>
      </c>
      <c r="T3696" s="77">
        <v>0</v>
      </c>
      <c r="U3696" s="77">
        <v>0</v>
      </c>
      <c r="V3696" s="77">
        <v>19</v>
      </c>
      <c r="W3696" s="82" t="s">
        <v>6391</v>
      </c>
      <c r="X3696" s="77"/>
      <c r="Y3696" s="77"/>
      <c r="Z3696" s="77"/>
      <c r="AA3696" s="77"/>
      <c r="AB3696" s="77"/>
      <c r="AC3696" s="82" t="s">
        <v>7751</v>
      </c>
      <c r="AD3696" s="77" t="s">
        <v>7788</v>
      </c>
      <c r="AE3696" s="80" t="str">
        <f>HYPERLINK("https://twitter.com/mecfin/status/1682734909054435330")</f>
        <v>https://twitter.com/mecfin/status/1682734909054435330</v>
      </c>
      <c r="AF3696" s="79">
        <v>45129.535185185188</v>
      </c>
      <c r="AG3696" s="85">
        <v>45129</v>
      </c>
      <c r="AH3696" s="82" t="s">
        <v>10140</v>
      </c>
      <c r="AI3696" s="77"/>
      <c r="AJ3696" s="77"/>
      <c r="AK3696" s="77"/>
      <c r="AL3696" s="77"/>
      <c r="AM3696" s="77"/>
      <c r="AN3696" s="77"/>
      <c r="AO3696" s="77"/>
      <c r="AP3696" s="77"/>
      <c r="AQ3696" s="77"/>
      <c r="AR3696" s="77"/>
      <c r="AS3696" s="77"/>
      <c r="AT3696" s="77"/>
      <c r="AU3696" s="77"/>
      <c r="AV3696" s="80" t="str">
        <f>HYPERLINK("https://pbs.twimg.com/profile_images/1661542291423608840/csv_Qeh3_normal.jpg")</f>
        <v>https://pbs.twimg.com/profile_images/1661542291423608840/csv_Qeh3_normal.jpg</v>
      </c>
      <c r="AW3696" s="82" t="s">
        <v>15292</v>
      </c>
      <c r="AX3696" s="82" t="s">
        <v>15904</v>
      </c>
      <c r="AY3696" s="82" t="s">
        <v>15980</v>
      </c>
      <c r="AZ3696" s="82" t="s">
        <v>15904</v>
      </c>
      <c r="BA3696" s="82" t="s">
        <v>15984</v>
      </c>
      <c r="BB3696" s="82" t="s">
        <v>15984</v>
      </c>
      <c r="BC3696" s="82" t="s">
        <v>15904</v>
      </c>
      <c r="BD3696" s="82" t="s">
        <v>15980</v>
      </c>
      <c r="BE3696" s="77"/>
      <c r="BF3696" s="77"/>
      <c r="BG3696" s="77"/>
      <c r="BH3696" s="77"/>
      <c r="BI3696" s="77"/>
    </row>
    <row r="3697" spans="1:61" x14ac:dyDescent="0.25">
      <c r="A3697" s="62" t="s">
        <v>726</v>
      </c>
      <c r="B3697" s="62" t="s">
        <v>726</v>
      </c>
      <c r="C3697" s="63"/>
      <c r="D3697" s="64"/>
      <c r="E3697" s="65"/>
      <c r="F3697" s="66"/>
      <c r="G3697" s="63"/>
      <c r="H3697" s="67"/>
      <c r="I3697" s="68"/>
      <c r="J3697" s="68"/>
      <c r="K3697" s="32"/>
      <c r="L3697" s="75">
        <v>3697</v>
      </c>
      <c r="M3697" s="75"/>
      <c r="N3697" s="70"/>
      <c r="O3697" s="77" t="s">
        <v>179</v>
      </c>
      <c r="P3697" s="79">
        <v>45174.337905092594</v>
      </c>
      <c r="Q3697" s="77" t="s">
        <v>4367</v>
      </c>
      <c r="R3697" s="77">
        <v>0</v>
      </c>
      <c r="S3697" s="77">
        <v>0</v>
      </c>
      <c r="T3697" s="77">
        <v>0</v>
      </c>
      <c r="U3697" s="77">
        <v>0</v>
      </c>
      <c r="V3697" s="77">
        <v>27</v>
      </c>
      <c r="W3697" s="82" t="s">
        <v>6392</v>
      </c>
      <c r="X3697" s="77"/>
      <c r="Y3697" s="77"/>
      <c r="Z3697" s="77"/>
      <c r="AA3697" s="77" t="s">
        <v>7717</v>
      </c>
      <c r="AB3697" s="77" t="s">
        <v>7742</v>
      </c>
      <c r="AC3697" s="82" t="s">
        <v>7751</v>
      </c>
      <c r="AD3697" s="77" t="s">
        <v>7791</v>
      </c>
      <c r="AE3697" s="80" t="str">
        <f>HYPERLINK("https://twitter.com/mecfin/status/1698970868695585092")</f>
        <v>https://twitter.com/mecfin/status/1698970868695585092</v>
      </c>
      <c r="AF3697" s="79">
        <v>45174.337905092594</v>
      </c>
      <c r="AG3697" s="85">
        <v>45174</v>
      </c>
      <c r="AH3697" s="82" t="s">
        <v>10141</v>
      </c>
      <c r="AI3697" s="77" t="b">
        <v>0</v>
      </c>
      <c r="AJ3697" s="77"/>
      <c r="AK3697" s="77"/>
      <c r="AL3697" s="77"/>
      <c r="AM3697" s="77"/>
      <c r="AN3697" s="77"/>
      <c r="AO3697" s="77"/>
      <c r="AP3697" s="77"/>
      <c r="AQ3697" s="77" t="s">
        <v>11689</v>
      </c>
      <c r="AR3697" s="77"/>
      <c r="AS3697" s="77"/>
      <c r="AT3697" s="77"/>
      <c r="AU3697" s="77"/>
      <c r="AV3697" s="80" t="str">
        <f>HYPERLINK("https://pbs.twimg.com/media/F5P1AFcWcAAsZhY.jpg")</f>
        <v>https://pbs.twimg.com/media/F5P1AFcWcAAsZhY.jpg</v>
      </c>
      <c r="AW3697" s="82" t="s">
        <v>15293</v>
      </c>
      <c r="AX3697" s="82" t="s">
        <v>15293</v>
      </c>
      <c r="AY3697" s="77"/>
      <c r="AZ3697" s="82" t="s">
        <v>15984</v>
      </c>
      <c r="BA3697" s="82" t="s">
        <v>15984</v>
      </c>
      <c r="BB3697" s="82" t="s">
        <v>15984</v>
      </c>
      <c r="BC3697" s="82" t="s">
        <v>15293</v>
      </c>
      <c r="BD3697" s="82" t="s">
        <v>15980</v>
      </c>
      <c r="BE3697" s="77"/>
      <c r="BF3697" s="77"/>
      <c r="BG3697" s="77"/>
      <c r="BH3697" s="77"/>
      <c r="BI3697" s="77"/>
    </row>
    <row r="3698" spans="1:61" x14ac:dyDescent="0.25">
      <c r="A3698" s="62" t="s">
        <v>726</v>
      </c>
      <c r="B3698" s="62" t="s">
        <v>726</v>
      </c>
      <c r="C3698" s="63"/>
      <c r="D3698" s="64"/>
      <c r="E3698" s="65"/>
      <c r="F3698" s="66"/>
      <c r="G3698" s="63"/>
      <c r="H3698" s="67"/>
      <c r="I3698" s="68"/>
      <c r="J3698" s="68"/>
      <c r="K3698" s="32"/>
      <c r="L3698" s="75">
        <v>3698</v>
      </c>
      <c r="M3698" s="75"/>
      <c r="N3698" s="70"/>
      <c r="O3698" s="77" t="s">
        <v>179</v>
      </c>
      <c r="P3698" s="79">
        <v>45174.333240740743</v>
      </c>
      <c r="Q3698" s="77" t="s">
        <v>4368</v>
      </c>
      <c r="R3698" s="77">
        <v>0</v>
      </c>
      <c r="S3698" s="77">
        <v>0</v>
      </c>
      <c r="T3698" s="77">
        <v>0</v>
      </c>
      <c r="U3698" s="77">
        <v>0</v>
      </c>
      <c r="V3698" s="77">
        <v>33</v>
      </c>
      <c r="W3698" s="82" t="s">
        <v>6393</v>
      </c>
      <c r="X3698" s="77"/>
      <c r="Y3698" s="77"/>
      <c r="Z3698" s="77"/>
      <c r="AA3698" s="77" t="s">
        <v>7718</v>
      </c>
      <c r="AB3698" s="77" t="s">
        <v>7742</v>
      </c>
      <c r="AC3698" s="82" t="s">
        <v>7751</v>
      </c>
      <c r="AD3698" s="77" t="s">
        <v>7788</v>
      </c>
      <c r="AE3698" s="80" t="str">
        <f>HYPERLINK("https://twitter.com/mecfin/status/1698969178571473389")</f>
        <v>https://twitter.com/mecfin/status/1698969178571473389</v>
      </c>
      <c r="AF3698" s="79">
        <v>45174.333240740743</v>
      </c>
      <c r="AG3698" s="85">
        <v>45174</v>
      </c>
      <c r="AH3698" s="82" t="s">
        <v>10142</v>
      </c>
      <c r="AI3698" s="77" t="b">
        <v>0</v>
      </c>
      <c r="AJ3698" s="77"/>
      <c r="AK3698" s="77"/>
      <c r="AL3698" s="77"/>
      <c r="AM3698" s="77"/>
      <c r="AN3698" s="77"/>
      <c r="AO3698" s="77"/>
      <c r="AP3698" s="77"/>
      <c r="AQ3698" s="77" t="s">
        <v>11690</v>
      </c>
      <c r="AR3698" s="77"/>
      <c r="AS3698" s="77"/>
      <c r="AT3698" s="77"/>
      <c r="AU3698" s="77"/>
      <c r="AV3698" s="80" t="str">
        <f>HYPERLINK("https://pbs.twimg.com/media/F5Pzdg0XgAA9JWa.jpg")</f>
        <v>https://pbs.twimg.com/media/F5Pzdg0XgAA9JWa.jpg</v>
      </c>
      <c r="AW3698" s="82" t="s">
        <v>15294</v>
      </c>
      <c r="AX3698" s="82" t="s">
        <v>15294</v>
      </c>
      <c r="AY3698" s="77"/>
      <c r="AZ3698" s="82" t="s">
        <v>15984</v>
      </c>
      <c r="BA3698" s="82" t="s">
        <v>15984</v>
      </c>
      <c r="BB3698" s="82" t="s">
        <v>15984</v>
      </c>
      <c r="BC3698" s="82" t="s">
        <v>15294</v>
      </c>
      <c r="BD3698" s="82" t="s">
        <v>15980</v>
      </c>
      <c r="BE3698" s="77"/>
      <c r="BF3698" s="77"/>
      <c r="BG3698" s="77"/>
      <c r="BH3698" s="77"/>
      <c r="BI3698" s="77"/>
    </row>
    <row r="3699" spans="1:61" x14ac:dyDescent="0.25">
      <c r="A3699" s="62" t="s">
        <v>726</v>
      </c>
      <c r="B3699" s="62" t="s">
        <v>726</v>
      </c>
      <c r="C3699" s="63"/>
      <c r="D3699" s="64"/>
      <c r="E3699" s="65"/>
      <c r="F3699" s="66"/>
      <c r="G3699" s="63"/>
      <c r="H3699" s="67"/>
      <c r="I3699" s="68"/>
      <c r="J3699" s="68"/>
      <c r="K3699" s="32"/>
      <c r="L3699" s="75">
        <v>3699</v>
      </c>
      <c r="M3699" s="75"/>
      <c r="N3699" s="70"/>
      <c r="O3699" s="77" t="s">
        <v>179</v>
      </c>
      <c r="P3699" s="79">
        <v>45195.472222222219</v>
      </c>
      <c r="Q3699" s="77" t="s">
        <v>4369</v>
      </c>
      <c r="R3699" s="77">
        <v>0</v>
      </c>
      <c r="S3699" s="77">
        <v>0</v>
      </c>
      <c r="T3699" s="77">
        <v>0</v>
      </c>
      <c r="U3699" s="77">
        <v>0</v>
      </c>
      <c r="V3699" s="77">
        <v>47</v>
      </c>
      <c r="W3699" s="82" t="s">
        <v>6394</v>
      </c>
      <c r="X3699" s="77"/>
      <c r="Y3699" s="77"/>
      <c r="Z3699" s="77"/>
      <c r="AA3699" s="77" t="s">
        <v>7719</v>
      </c>
      <c r="AB3699" s="77" t="s">
        <v>7742</v>
      </c>
      <c r="AC3699" s="82" t="s">
        <v>7751</v>
      </c>
      <c r="AD3699" s="77" t="s">
        <v>7788</v>
      </c>
      <c r="AE3699" s="80" t="str">
        <f>HYPERLINK("https://twitter.com/mecfin/status/1706629688930476166")</f>
        <v>https://twitter.com/mecfin/status/1706629688930476166</v>
      </c>
      <c r="AF3699" s="79">
        <v>45195.472222222219</v>
      </c>
      <c r="AG3699" s="85">
        <v>45195</v>
      </c>
      <c r="AH3699" s="82" t="s">
        <v>7847</v>
      </c>
      <c r="AI3699" s="77" t="b">
        <v>0</v>
      </c>
      <c r="AJ3699" s="77"/>
      <c r="AK3699" s="77"/>
      <c r="AL3699" s="77"/>
      <c r="AM3699" s="77"/>
      <c r="AN3699" s="77"/>
      <c r="AO3699" s="77"/>
      <c r="AP3699" s="77"/>
      <c r="AQ3699" s="77" t="s">
        <v>11691</v>
      </c>
      <c r="AR3699" s="77"/>
      <c r="AS3699" s="77"/>
      <c r="AT3699" s="77"/>
      <c r="AU3699" s="77"/>
      <c r="AV3699" s="80" t="str">
        <f>HYPERLINK("https://pbs.twimg.com/media/F68qpp4WwAAoDI3.jpg")</f>
        <v>https://pbs.twimg.com/media/F68qpp4WwAAoDI3.jpg</v>
      </c>
      <c r="AW3699" s="82" t="s">
        <v>15295</v>
      </c>
      <c r="AX3699" s="82" t="s">
        <v>15295</v>
      </c>
      <c r="AY3699" s="77"/>
      <c r="AZ3699" s="82" t="s">
        <v>15984</v>
      </c>
      <c r="BA3699" s="82" t="s">
        <v>15984</v>
      </c>
      <c r="BB3699" s="82" t="s">
        <v>15984</v>
      </c>
      <c r="BC3699" s="82" t="s">
        <v>15295</v>
      </c>
      <c r="BD3699" s="82" t="s">
        <v>15980</v>
      </c>
      <c r="BE3699" s="77"/>
      <c r="BF3699" s="77"/>
      <c r="BG3699" s="77"/>
      <c r="BH3699" s="77"/>
      <c r="BI3699" s="77"/>
    </row>
    <row r="3700" spans="1:61" x14ac:dyDescent="0.25">
      <c r="A3700" s="62" t="s">
        <v>726</v>
      </c>
      <c r="B3700" s="62" t="s">
        <v>726</v>
      </c>
      <c r="C3700" s="63"/>
      <c r="D3700" s="64"/>
      <c r="E3700" s="65"/>
      <c r="F3700" s="66"/>
      <c r="G3700" s="63"/>
      <c r="H3700" s="67"/>
      <c r="I3700" s="68"/>
      <c r="J3700" s="68"/>
      <c r="K3700" s="32"/>
      <c r="L3700" s="75">
        <v>3700</v>
      </c>
      <c r="M3700" s="75"/>
      <c r="N3700" s="70"/>
      <c r="O3700" s="77" t="s">
        <v>179</v>
      </c>
      <c r="P3700" s="79">
        <v>45197.413831018515</v>
      </c>
      <c r="Q3700" s="77" t="s">
        <v>4370</v>
      </c>
      <c r="R3700" s="77">
        <v>0</v>
      </c>
      <c r="S3700" s="77">
        <v>0</v>
      </c>
      <c r="T3700" s="77">
        <v>0</v>
      </c>
      <c r="U3700" s="77">
        <v>0</v>
      </c>
      <c r="V3700" s="77">
        <v>11</v>
      </c>
      <c r="W3700" s="82" t="s">
        <v>5574</v>
      </c>
      <c r="X3700" s="77"/>
      <c r="Y3700" s="77"/>
      <c r="Z3700" s="77"/>
      <c r="AA3700" s="77" t="s">
        <v>7720</v>
      </c>
      <c r="AB3700" s="77" t="s">
        <v>7742</v>
      </c>
      <c r="AC3700" s="82" t="s">
        <v>7751</v>
      </c>
      <c r="AD3700" s="77" t="s">
        <v>7788</v>
      </c>
      <c r="AE3700" s="80" t="str">
        <f>HYPERLINK("https://twitter.com/mecfin/status/1707333307799670826")</f>
        <v>https://twitter.com/mecfin/status/1707333307799670826</v>
      </c>
      <c r="AF3700" s="79">
        <v>45197.413831018515</v>
      </c>
      <c r="AG3700" s="85">
        <v>45197</v>
      </c>
      <c r="AH3700" s="82" t="s">
        <v>10143</v>
      </c>
      <c r="AI3700" s="77" t="b">
        <v>0</v>
      </c>
      <c r="AJ3700" s="77"/>
      <c r="AK3700" s="77"/>
      <c r="AL3700" s="77"/>
      <c r="AM3700" s="77"/>
      <c r="AN3700" s="77"/>
      <c r="AO3700" s="77"/>
      <c r="AP3700" s="77"/>
      <c r="AQ3700" s="77" t="s">
        <v>11692</v>
      </c>
      <c r="AR3700" s="77"/>
      <c r="AS3700" s="77"/>
      <c r="AT3700" s="77"/>
      <c r="AU3700" s="77"/>
      <c r="AV3700" s="80" t="str">
        <f>HYPERLINK("https://pbs.twimg.com/media/F7GqmHgWAAASuOi.jpg")</f>
        <v>https://pbs.twimg.com/media/F7GqmHgWAAASuOi.jpg</v>
      </c>
      <c r="AW3700" s="82" t="s">
        <v>15296</v>
      </c>
      <c r="AX3700" s="82" t="s">
        <v>15296</v>
      </c>
      <c r="AY3700" s="77"/>
      <c r="AZ3700" s="82" t="s">
        <v>15984</v>
      </c>
      <c r="BA3700" s="82" t="s">
        <v>15984</v>
      </c>
      <c r="BB3700" s="82" t="s">
        <v>15984</v>
      </c>
      <c r="BC3700" s="82" t="s">
        <v>15296</v>
      </c>
      <c r="BD3700" s="82" t="s">
        <v>15980</v>
      </c>
      <c r="BE3700" s="77"/>
      <c r="BF3700" s="77"/>
      <c r="BG3700" s="77"/>
      <c r="BH3700" s="77"/>
      <c r="BI3700" s="77"/>
    </row>
    <row r="3701" spans="1:61" x14ac:dyDescent="0.25">
      <c r="A3701" s="62" t="s">
        <v>726</v>
      </c>
      <c r="B3701" s="62" t="s">
        <v>726</v>
      </c>
      <c r="C3701" s="63"/>
      <c r="D3701" s="64"/>
      <c r="E3701" s="65"/>
      <c r="F3701" s="66"/>
      <c r="G3701" s="63"/>
      <c r="H3701" s="67"/>
      <c r="I3701" s="68"/>
      <c r="J3701" s="68"/>
      <c r="K3701" s="32"/>
      <c r="L3701" s="75">
        <v>3701</v>
      </c>
      <c r="M3701" s="75"/>
      <c r="N3701" s="70"/>
      <c r="O3701" s="77" t="s">
        <v>179</v>
      </c>
      <c r="P3701" s="79">
        <v>45195.445879629631</v>
      </c>
      <c r="Q3701" s="77" t="s">
        <v>4371</v>
      </c>
      <c r="R3701" s="77">
        <v>0</v>
      </c>
      <c r="S3701" s="77">
        <v>0</v>
      </c>
      <c r="T3701" s="77">
        <v>0</v>
      </c>
      <c r="U3701" s="77">
        <v>0</v>
      </c>
      <c r="V3701" s="77">
        <v>8</v>
      </c>
      <c r="W3701" s="82" t="s">
        <v>5201</v>
      </c>
      <c r="X3701" s="77"/>
      <c r="Y3701" s="77"/>
      <c r="Z3701" s="77"/>
      <c r="AA3701" s="77" t="s">
        <v>7721</v>
      </c>
      <c r="AB3701" s="77" t="s">
        <v>7742</v>
      </c>
      <c r="AC3701" s="82" t="s">
        <v>7751</v>
      </c>
      <c r="AD3701" s="77" t="s">
        <v>7791</v>
      </c>
      <c r="AE3701" s="80" t="str">
        <f>HYPERLINK("https://twitter.com/mecfin/status/1706620143718027555")</f>
        <v>https://twitter.com/mecfin/status/1706620143718027555</v>
      </c>
      <c r="AF3701" s="79">
        <v>45195.445879629631</v>
      </c>
      <c r="AG3701" s="85">
        <v>45195</v>
      </c>
      <c r="AH3701" s="82" t="s">
        <v>10144</v>
      </c>
      <c r="AI3701" s="77" t="b">
        <v>0</v>
      </c>
      <c r="AJ3701" s="77"/>
      <c r="AK3701" s="77"/>
      <c r="AL3701" s="77"/>
      <c r="AM3701" s="77"/>
      <c r="AN3701" s="77"/>
      <c r="AO3701" s="77"/>
      <c r="AP3701" s="77"/>
      <c r="AQ3701" s="77" t="s">
        <v>11693</v>
      </c>
      <c r="AR3701" s="77"/>
      <c r="AS3701" s="77"/>
      <c r="AT3701" s="77"/>
      <c r="AU3701" s="77"/>
      <c r="AV3701" s="80" t="str">
        <f>HYPERLINK("https://pbs.twimg.com/media/F68h-dpWIAAqoqV.jpg")</f>
        <v>https://pbs.twimg.com/media/F68h-dpWIAAqoqV.jpg</v>
      </c>
      <c r="AW3701" s="82" t="s">
        <v>15297</v>
      </c>
      <c r="AX3701" s="82" t="s">
        <v>15297</v>
      </c>
      <c r="AY3701" s="77"/>
      <c r="AZ3701" s="82" t="s">
        <v>15984</v>
      </c>
      <c r="BA3701" s="82" t="s">
        <v>15984</v>
      </c>
      <c r="BB3701" s="82" t="s">
        <v>15984</v>
      </c>
      <c r="BC3701" s="82" t="s">
        <v>15297</v>
      </c>
      <c r="BD3701" s="82" t="s">
        <v>15980</v>
      </c>
      <c r="BE3701" s="77"/>
      <c r="BF3701" s="77"/>
      <c r="BG3701" s="77"/>
      <c r="BH3701" s="77"/>
      <c r="BI3701" s="77"/>
    </row>
    <row r="3702" spans="1:61" x14ac:dyDescent="0.25">
      <c r="A3702" s="62" t="s">
        <v>614</v>
      </c>
      <c r="B3702" s="62" t="s">
        <v>753</v>
      </c>
      <c r="C3702" s="63"/>
      <c r="D3702" s="64"/>
      <c r="E3702" s="65"/>
      <c r="F3702" s="66"/>
      <c r="G3702" s="63"/>
      <c r="H3702" s="67"/>
      <c r="I3702" s="68"/>
      <c r="J3702" s="68"/>
      <c r="K3702" s="32"/>
      <c r="L3702" s="75">
        <v>3702</v>
      </c>
      <c r="M3702" s="75"/>
      <c r="N3702" s="70"/>
      <c r="O3702" s="77" t="s">
        <v>895</v>
      </c>
      <c r="P3702" s="79">
        <v>45141.741550925923</v>
      </c>
      <c r="Q3702" s="77" t="s">
        <v>2144</v>
      </c>
      <c r="R3702" s="77">
        <v>1</v>
      </c>
      <c r="S3702" s="77">
        <v>4</v>
      </c>
      <c r="T3702" s="77">
        <v>0</v>
      </c>
      <c r="U3702" s="77">
        <v>0</v>
      </c>
      <c r="V3702" s="77">
        <v>913</v>
      </c>
      <c r="W3702" s="82" t="s">
        <v>5542</v>
      </c>
      <c r="X3702" s="80" t="str">
        <f>HYPERLINK("https://bit.ly/3rYJPK8")</f>
        <v>https://bit.ly/3rYJPK8</v>
      </c>
      <c r="Y3702" s="77" t="s">
        <v>6468</v>
      </c>
      <c r="Z3702" s="77" t="s">
        <v>6621</v>
      </c>
      <c r="AA3702" s="77"/>
      <c r="AB3702" s="77"/>
      <c r="AC3702" s="82" t="s">
        <v>7775</v>
      </c>
      <c r="AD3702" s="77" t="s">
        <v>7790</v>
      </c>
      <c r="AE3702" s="80" t="str">
        <f>HYPERLINK("https://twitter.com/valoraanalitik/status/1687158347546443787")</f>
        <v>https://twitter.com/valoraanalitik/status/1687158347546443787</v>
      </c>
      <c r="AF3702" s="79">
        <v>45141.741550925923</v>
      </c>
      <c r="AG3702" s="85">
        <v>45141</v>
      </c>
      <c r="AH3702" s="82" t="s">
        <v>9001</v>
      </c>
      <c r="AI3702" s="77" t="b">
        <v>0</v>
      </c>
      <c r="AJ3702" s="77"/>
      <c r="AK3702" s="77"/>
      <c r="AL3702" s="77"/>
      <c r="AM3702" s="77"/>
      <c r="AN3702" s="77"/>
      <c r="AO3702" s="77"/>
      <c r="AP3702" s="77"/>
      <c r="AQ3702" s="77"/>
      <c r="AR3702" s="77"/>
      <c r="AS3702" s="77"/>
      <c r="AT3702" s="77"/>
      <c r="AU3702" s="77"/>
      <c r="AV3702" s="80" t="str">
        <f>HYPERLINK("https://pbs.twimg.com/profile_images/1475155236713029641/7Lb8npQr_normal.jpg")</f>
        <v>https://pbs.twimg.com/profile_images/1475155236713029641/7Lb8npQr_normal.jpg</v>
      </c>
      <c r="AW3702" s="82" t="s">
        <v>13031</v>
      </c>
      <c r="AX3702" s="82" t="s">
        <v>13031</v>
      </c>
      <c r="AY3702" s="77"/>
      <c r="AZ3702" s="82" t="s">
        <v>15984</v>
      </c>
      <c r="BA3702" s="82" t="s">
        <v>15984</v>
      </c>
      <c r="BB3702" s="82" t="s">
        <v>15984</v>
      </c>
      <c r="BC3702" s="82" t="s">
        <v>13031</v>
      </c>
      <c r="BD3702" s="77">
        <v>20980846</v>
      </c>
      <c r="BE3702" s="77"/>
      <c r="BF3702" s="77"/>
      <c r="BG3702" s="77"/>
      <c r="BH3702" s="77"/>
      <c r="BI3702" s="77"/>
    </row>
    <row r="3703" spans="1:61" x14ac:dyDescent="0.25">
      <c r="A3703" s="62" t="s">
        <v>614</v>
      </c>
      <c r="B3703" s="62" t="s">
        <v>753</v>
      </c>
      <c r="C3703" s="63"/>
      <c r="D3703" s="64"/>
      <c r="E3703" s="65"/>
      <c r="F3703" s="66"/>
      <c r="G3703" s="63"/>
      <c r="H3703" s="67"/>
      <c r="I3703" s="68"/>
      <c r="J3703" s="68"/>
      <c r="K3703" s="32"/>
      <c r="L3703" s="75">
        <v>3703</v>
      </c>
      <c r="M3703" s="75"/>
      <c r="N3703" s="70"/>
      <c r="O3703" s="77" t="s">
        <v>895</v>
      </c>
      <c r="P3703" s="79">
        <v>45122.500011574077</v>
      </c>
      <c r="Q3703" s="77" t="s">
        <v>2145</v>
      </c>
      <c r="R3703" s="77">
        <v>5</v>
      </c>
      <c r="S3703" s="77">
        <v>12</v>
      </c>
      <c r="T3703" s="77">
        <v>4</v>
      </c>
      <c r="U3703" s="77">
        <v>1</v>
      </c>
      <c r="V3703" s="77">
        <v>3446</v>
      </c>
      <c r="W3703" s="82" t="s">
        <v>4821</v>
      </c>
      <c r="X3703" s="80" t="str">
        <f>HYPERLINK("https://www.valoraanalitik.com/2023/07/15/que-se-pone-barato-con-un-dolar-a-4000-en-colombia")</f>
        <v>https://www.valoraanalitik.com/2023/07/15/que-se-pone-barato-con-un-dolar-a-4000-en-colombia</v>
      </c>
      <c r="Y3703" s="77" t="s">
        <v>6471</v>
      </c>
      <c r="Z3703" s="77" t="s">
        <v>6622</v>
      </c>
      <c r="AA3703" s="77"/>
      <c r="AB3703" s="77"/>
      <c r="AC3703" s="82" t="s">
        <v>7750</v>
      </c>
      <c r="AD3703" s="77" t="s">
        <v>7790</v>
      </c>
      <c r="AE3703" s="80" t="str">
        <f>HYPERLINK("https://twitter.com/valoraanalitik/status/1680185447656587265")</f>
        <v>https://twitter.com/valoraanalitik/status/1680185447656587265</v>
      </c>
      <c r="AF3703" s="79">
        <v>45122.500011574077</v>
      </c>
      <c r="AG3703" s="85">
        <v>45122</v>
      </c>
      <c r="AH3703" s="82" t="s">
        <v>9002</v>
      </c>
      <c r="AI3703" s="77" t="b">
        <v>0</v>
      </c>
      <c r="AJ3703" s="77"/>
      <c r="AK3703" s="77"/>
      <c r="AL3703" s="77"/>
      <c r="AM3703" s="77"/>
      <c r="AN3703" s="77"/>
      <c r="AO3703" s="77"/>
      <c r="AP3703" s="77"/>
      <c r="AQ3703" s="77"/>
      <c r="AR3703" s="77"/>
      <c r="AS3703" s="77"/>
      <c r="AT3703" s="77"/>
      <c r="AU3703" s="77"/>
      <c r="AV3703" s="80" t="str">
        <f>HYPERLINK("https://pbs.twimg.com/profile_images/1475155236713029641/7Lb8npQr_normal.jpg")</f>
        <v>https://pbs.twimg.com/profile_images/1475155236713029641/7Lb8npQr_normal.jpg</v>
      </c>
      <c r="AW3703" s="82" t="s">
        <v>13032</v>
      </c>
      <c r="AX3703" s="82" t="s">
        <v>13032</v>
      </c>
      <c r="AY3703" s="77"/>
      <c r="AZ3703" s="82" t="s">
        <v>15984</v>
      </c>
      <c r="BA3703" s="82" t="s">
        <v>15984</v>
      </c>
      <c r="BB3703" s="82" t="s">
        <v>15984</v>
      </c>
      <c r="BC3703" s="82" t="s">
        <v>13032</v>
      </c>
      <c r="BD3703" s="77">
        <v>20980846</v>
      </c>
      <c r="BE3703" s="77"/>
      <c r="BF3703" s="77"/>
      <c r="BG3703" s="77"/>
      <c r="BH3703" s="77"/>
      <c r="BI3703" s="77"/>
    </row>
    <row r="3704" spans="1:61" x14ac:dyDescent="0.25">
      <c r="A3704" s="62" t="s">
        <v>614</v>
      </c>
      <c r="B3704" s="62" t="s">
        <v>753</v>
      </c>
      <c r="C3704" s="63"/>
      <c r="D3704" s="64"/>
      <c r="E3704" s="65"/>
      <c r="F3704" s="66"/>
      <c r="G3704" s="63"/>
      <c r="H3704" s="67"/>
      <c r="I3704" s="68"/>
      <c r="J3704" s="68"/>
      <c r="K3704" s="32"/>
      <c r="L3704" s="75">
        <v>3704</v>
      </c>
      <c r="M3704" s="75"/>
      <c r="N3704" s="70"/>
      <c r="O3704" s="77" t="s">
        <v>895</v>
      </c>
      <c r="P3704" s="79">
        <v>45119.70103009259</v>
      </c>
      <c r="Q3704" s="77" t="s">
        <v>2146</v>
      </c>
      <c r="R3704" s="77">
        <v>1</v>
      </c>
      <c r="S3704" s="77">
        <v>0</v>
      </c>
      <c r="T3704" s="77">
        <v>0</v>
      </c>
      <c r="U3704" s="77">
        <v>0</v>
      </c>
      <c r="V3704" s="77">
        <v>790</v>
      </c>
      <c r="W3704" s="82" t="s">
        <v>4821</v>
      </c>
      <c r="X3704" s="80" t="str">
        <f>HYPERLINK("https://bit.ly/3JWIt8C")</f>
        <v>https://bit.ly/3JWIt8C</v>
      </c>
      <c r="Y3704" s="77" t="s">
        <v>6468</v>
      </c>
      <c r="Z3704" s="77" t="s">
        <v>6621</v>
      </c>
      <c r="AA3704" s="77"/>
      <c r="AB3704" s="77"/>
      <c r="AC3704" s="82" t="s">
        <v>7775</v>
      </c>
      <c r="AD3704" s="77" t="s">
        <v>7790</v>
      </c>
      <c r="AE3704" s="80" t="str">
        <f>HYPERLINK("https://twitter.com/valoraanalitik/status/1679171129125093387")</f>
        <v>https://twitter.com/valoraanalitik/status/1679171129125093387</v>
      </c>
      <c r="AF3704" s="79">
        <v>45119.70103009259</v>
      </c>
      <c r="AG3704" s="85">
        <v>45119</v>
      </c>
      <c r="AH3704" s="82" t="s">
        <v>9003</v>
      </c>
      <c r="AI3704" s="77" t="b">
        <v>0</v>
      </c>
      <c r="AJ3704" s="77"/>
      <c r="AK3704" s="77"/>
      <c r="AL3704" s="77"/>
      <c r="AM3704" s="77"/>
      <c r="AN3704" s="77"/>
      <c r="AO3704" s="77"/>
      <c r="AP3704" s="77"/>
      <c r="AQ3704" s="77"/>
      <c r="AR3704" s="77"/>
      <c r="AS3704" s="77"/>
      <c r="AT3704" s="77"/>
      <c r="AU3704" s="77"/>
      <c r="AV3704" s="80" t="str">
        <f>HYPERLINK("https://pbs.twimg.com/profile_images/1475155236713029641/7Lb8npQr_normal.jpg")</f>
        <v>https://pbs.twimg.com/profile_images/1475155236713029641/7Lb8npQr_normal.jpg</v>
      </c>
      <c r="AW3704" s="82" t="s">
        <v>13033</v>
      </c>
      <c r="AX3704" s="82" t="s">
        <v>13033</v>
      </c>
      <c r="AY3704" s="77"/>
      <c r="AZ3704" s="82" t="s">
        <v>15984</v>
      </c>
      <c r="BA3704" s="82" t="s">
        <v>15984</v>
      </c>
      <c r="BB3704" s="82" t="s">
        <v>15984</v>
      </c>
      <c r="BC3704" s="82" t="s">
        <v>13033</v>
      </c>
      <c r="BD3704" s="77">
        <v>20980846</v>
      </c>
      <c r="BE3704" s="77"/>
      <c r="BF3704" s="77"/>
      <c r="BG3704" s="77"/>
      <c r="BH3704" s="77"/>
      <c r="BI3704" s="77"/>
    </row>
    <row r="3705" spans="1:61" x14ac:dyDescent="0.25">
      <c r="A3705" s="62" t="s">
        <v>614</v>
      </c>
      <c r="B3705" s="62" t="s">
        <v>753</v>
      </c>
      <c r="C3705" s="63"/>
      <c r="D3705" s="64"/>
      <c r="E3705" s="65"/>
      <c r="F3705" s="66"/>
      <c r="G3705" s="63"/>
      <c r="H3705" s="67"/>
      <c r="I3705" s="68"/>
      <c r="J3705" s="68"/>
      <c r="K3705" s="32"/>
      <c r="L3705" s="75">
        <v>3705</v>
      </c>
      <c r="M3705" s="75"/>
      <c r="N3705" s="70"/>
      <c r="O3705" s="77" t="s">
        <v>895</v>
      </c>
      <c r="P3705" s="79">
        <v>45119.507731481484</v>
      </c>
      <c r="Q3705" s="77" t="s">
        <v>2223</v>
      </c>
      <c r="R3705" s="77">
        <v>5</v>
      </c>
      <c r="S3705" s="77">
        <v>7</v>
      </c>
      <c r="T3705" s="77">
        <v>0</v>
      </c>
      <c r="U3705" s="77">
        <v>1</v>
      </c>
      <c r="V3705" s="77">
        <v>4408</v>
      </c>
      <c r="W3705" s="82" t="s">
        <v>4821</v>
      </c>
      <c r="X3705" s="80" t="str">
        <f>HYPERLINK("https://www.valoraanalitik.com/2023/07/12/incremento-precio-gasolina-colombia-el-segundo-mas-grande-de-america-latina/")</f>
        <v>https://www.valoraanalitik.com/2023/07/12/incremento-precio-gasolina-colombia-el-segundo-mas-grande-de-america-latina/</v>
      </c>
      <c r="Y3705" s="77" t="s">
        <v>6471</v>
      </c>
      <c r="Z3705" s="77" t="s">
        <v>6637</v>
      </c>
      <c r="AA3705" s="77"/>
      <c r="AB3705" s="77"/>
      <c r="AC3705" s="82" t="s">
        <v>7750</v>
      </c>
      <c r="AD3705" s="77" t="s">
        <v>7790</v>
      </c>
      <c r="AE3705" s="80" t="str">
        <f>HYPERLINK("https://twitter.com/valoraanalitik/status/1679101081513541633")</f>
        <v>https://twitter.com/valoraanalitik/status/1679101081513541633</v>
      </c>
      <c r="AF3705" s="79">
        <v>45119.507731481484</v>
      </c>
      <c r="AG3705" s="85">
        <v>45119</v>
      </c>
      <c r="AH3705" s="82" t="s">
        <v>9081</v>
      </c>
      <c r="AI3705" s="77" t="b">
        <v>0</v>
      </c>
      <c r="AJ3705" s="77"/>
      <c r="AK3705" s="77"/>
      <c r="AL3705" s="77"/>
      <c r="AM3705" s="77"/>
      <c r="AN3705" s="77"/>
      <c r="AO3705" s="77"/>
      <c r="AP3705" s="77"/>
      <c r="AQ3705" s="77"/>
      <c r="AR3705" s="77"/>
      <c r="AS3705" s="77"/>
      <c r="AT3705" s="77"/>
      <c r="AU3705" s="77"/>
      <c r="AV3705" s="80" t="str">
        <f>HYPERLINK("https://pbs.twimg.com/profile_images/1475155236713029641/7Lb8npQr_normal.jpg")</f>
        <v>https://pbs.twimg.com/profile_images/1475155236713029641/7Lb8npQr_normal.jpg</v>
      </c>
      <c r="AW3705" s="82" t="s">
        <v>13114</v>
      </c>
      <c r="AX3705" s="82" t="s">
        <v>13114</v>
      </c>
      <c r="AY3705" s="77"/>
      <c r="AZ3705" s="82" t="s">
        <v>15984</v>
      </c>
      <c r="BA3705" s="82" t="s">
        <v>15984</v>
      </c>
      <c r="BB3705" s="82" t="s">
        <v>15984</v>
      </c>
      <c r="BC3705" s="82" t="s">
        <v>13114</v>
      </c>
      <c r="BD3705" s="77">
        <v>20980846</v>
      </c>
      <c r="BE3705" s="77"/>
      <c r="BF3705" s="77"/>
      <c r="BG3705" s="77"/>
      <c r="BH3705" s="77"/>
      <c r="BI3705" s="77"/>
    </row>
    <row r="3706" spans="1:61" x14ac:dyDescent="0.25">
      <c r="A3706" s="62" t="s">
        <v>614</v>
      </c>
      <c r="B3706" s="62" t="s">
        <v>753</v>
      </c>
      <c r="C3706" s="63"/>
      <c r="D3706" s="64"/>
      <c r="E3706" s="65"/>
      <c r="F3706" s="66"/>
      <c r="G3706" s="63"/>
      <c r="H3706" s="67"/>
      <c r="I3706" s="68"/>
      <c r="J3706" s="68"/>
      <c r="K3706" s="32"/>
      <c r="L3706" s="75">
        <v>3706</v>
      </c>
      <c r="M3706" s="75"/>
      <c r="N3706" s="70"/>
      <c r="O3706" s="77" t="s">
        <v>895</v>
      </c>
      <c r="P3706" s="79">
        <v>45138.5234837963</v>
      </c>
      <c r="Q3706" s="77" t="s">
        <v>2147</v>
      </c>
      <c r="R3706" s="77">
        <v>1</v>
      </c>
      <c r="S3706" s="77">
        <v>4</v>
      </c>
      <c r="T3706" s="77">
        <v>0</v>
      </c>
      <c r="U3706" s="77">
        <v>0</v>
      </c>
      <c r="V3706" s="77">
        <v>937</v>
      </c>
      <c r="W3706" s="82" t="s">
        <v>4821</v>
      </c>
      <c r="X3706" s="80" t="str">
        <f>HYPERLINK("https://bit.ly/3rPNFoN")</f>
        <v>https://bit.ly/3rPNFoN</v>
      </c>
      <c r="Y3706" s="77" t="s">
        <v>6468</v>
      </c>
      <c r="Z3706" s="77" t="s">
        <v>6621</v>
      </c>
      <c r="AA3706" s="77"/>
      <c r="AB3706" s="77"/>
      <c r="AC3706" s="82" t="s">
        <v>7775</v>
      </c>
      <c r="AD3706" s="77" t="s">
        <v>7790</v>
      </c>
      <c r="AE3706" s="80" t="str">
        <f>HYPERLINK("https://twitter.com/valoraanalitik/status/1685992159327961089")</f>
        <v>https://twitter.com/valoraanalitik/status/1685992159327961089</v>
      </c>
      <c r="AF3706" s="79">
        <v>45138.5234837963</v>
      </c>
      <c r="AG3706" s="85">
        <v>45138</v>
      </c>
      <c r="AH3706" s="82" t="s">
        <v>9004</v>
      </c>
      <c r="AI3706" s="77" t="b">
        <v>0</v>
      </c>
      <c r="AJ3706" s="77"/>
      <c r="AK3706" s="77"/>
      <c r="AL3706" s="77"/>
      <c r="AM3706" s="77"/>
      <c r="AN3706" s="77"/>
      <c r="AO3706" s="77"/>
      <c r="AP3706" s="77"/>
      <c r="AQ3706" s="77"/>
      <c r="AR3706" s="77"/>
      <c r="AS3706" s="77"/>
      <c r="AT3706" s="77"/>
      <c r="AU3706" s="77"/>
      <c r="AV3706" s="80" t="str">
        <f>HYPERLINK("https://pbs.twimg.com/profile_images/1475155236713029641/7Lb8npQr_normal.jpg")</f>
        <v>https://pbs.twimg.com/profile_images/1475155236713029641/7Lb8npQr_normal.jpg</v>
      </c>
      <c r="AW3706" s="82" t="s">
        <v>13034</v>
      </c>
      <c r="AX3706" s="82" t="s">
        <v>13034</v>
      </c>
      <c r="AY3706" s="77"/>
      <c r="AZ3706" s="82" t="s">
        <v>15984</v>
      </c>
      <c r="BA3706" s="82" t="s">
        <v>15984</v>
      </c>
      <c r="BB3706" s="82" t="s">
        <v>15984</v>
      </c>
      <c r="BC3706" s="82" t="s">
        <v>13034</v>
      </c>
      <c r="BD3706" s="77">
        <v>20980846</v>
      </c>
      <c r="BE3706" s="77"/>
      <c r="BF3706" s="77"/>
      <c r="BG3706" s="77"/>
      <c r="BH3706" s="77"/>
      <c r="BI3706" s="77"/>
    </row>
    <row r="3707" spans="1:61" x14ac:dyDescent="0.25">
      <c r="A3707" s="62" t="s">
        <v>614</v>
      </c>
      <c r="B3707" s="62" t="s">
        <v>753</v>
      </c>
      <c r="C3707" s="63"/>
      <c r="D3707" s="64"/>
      <c r="E3707" s="65"/>
      <c r="F3707" s="66"/>
      <c r="G3707" s="63"/>
      <c r="H3707" s="67"/>
      <c r="I3707" s="68"/>
      <c r="J3707" s="68"/>
      <c r="K3707" s="32"/>
      <c r="L3707" s="75">
        <v>3707</v>
      </c>
      <c r="M3707" s="75"/>
      <c r="N3707" s="70"/>
      <c r="O3707" s="77" t="s">
        <v>895</v>
      </c>
      <c r="P3707" s="79">
        <v>45138.4846875</v>
      </c>
      <c r="Q3707" s="77" t="s">
        <v>2224</v>
      </c>
      <c r="R3707" s="77">
        <v>2</v>
      </c>
      <c r="S3707" s="77">
        <v>4</v>
      </c>
      <c r="T3707" s="77">
        <v>0</v>
      </c>
      <c r="U3707" s="77">
        <v>0</v>
      </c>
      <c r="V3707" s="77">
        <v>1533</v>
      </c>
      <c r="W3707" s="82" t="s">
        <v>4821</v>
      </c>
      <c r="X3707" s="80" t="str">
        <f>HYPERLINK("https://www.valoraanalitik.com/2023/07/31/presupuesto-colombia-2024-estos-son-los-sectores-clave/")</f>
        <v>https://www.valoraanalitik.com/2023/07/31/presupuesto-colombia-2024-estos-son-los-sectores-clave/</v>
      </c>
      <c r="Y3707" s="77" t="s">
        <v>6471</v>
      </c>
      <c r="Z3707" s="77" t="s">
        <v>6637</v>
      </c>
      <c r="AA3707" s="77"/>
      <c r="AB3707" s="77"/>
      <c r="AC3707" s="82" t="s">
        <v>7750</v>
      </c>
      <c r="AD3707" s="77" t="s">
        <v>7790</v>
      </c>
      <c r="AE3707" s="80" t="str">
        <f>HYPERLINK("https://twitter.com/valoraanalitik/status/1685978098095849474")</f>
        <v>https://twitter.com/valoraanalitik/status/1685978098095849474</v>
      </c>
      <c r="AF3707" s="79">
        <v>45138.4846875</v>
      </c>
      <c r="AG3707" s="85">
        <v>45138</v>
      </c>
      <c r="AH3707" s="82" t="s">
        <v>9082</v>
      </c>
      <c r="AI3707" s="77" t="b">
        <v>0</v>
      </c>
      <c r="AJ3707" s="77"/>
      <c r="AK3707" s="77"/>
      <c r="AL3707" s="77"/>
      <c r="AM3707" s="77"/>
      <c r="AN3707" s="77"/>
      <c r="AO3707" s="77"/>
      <c r="AP3707" s="77"/>
      <c r="AQ3707" s="77"/>
      <c r="AR3707" s="77"/>
      <c r="AS3707" s="77"/>
      <c r="AT3707" s="77"/>
      <c r="AU3707" s="77"/>
      <c r="AV3707" s="80" t="str">
        <f>HYPERLINK("https://pbs.twimg.com/profile_images/1475155236713029641/7Lb8npQr_normal.jpg")</f>
        <v>https://pbs.twimg.com/profile_images/1475155236713029641/7Lb8npQr_normal.jpg</v>
      </c>
      <c r="AW3707" s="82" t="s">
        <v>13115</v>
      </c>
      <c r="AX3707" s="82" t="s">
        <v>13115</v>
      </c>
      <c r="AY3707" s="77"/>
      <c r="AZ3707" s="82" t="s">
        <v>15984</v>
      </c>
      <c r="BA3707" s="82" t="s">
        <v>15984</v>
      </c>
      <c r="BB3707" s="82" t="s">
        <v>15984</v>
      </c>
      <c r="BC3707" s="82" t="s">
        <v>13115</v>
      </c>
      <c r="BD3707" s="77">
        <v>20980846</v>
      </c>
      <c r="BE3707" s="77"/>
      <c r="BF3707" s="77"/>
      <c r="BG3707" s="77"/>
      <c r="BH3707" s="77"/>
      <c r="BI3707" s="77"/>
    </row>
    <row r="3708" spans="1:61" x14ac:dyDescent="0.25">
      <c r="A3708" s="62" t="s">
        <v>614</v>
      </c>
      <c r="B3708" s="62" t="s">
        <v>753</v>
      </c>
      <c r="C3708" s="63"/>
      <c r="D3708" s="64"/>
      <c r="E3708" s="65"/>
      <c r="F3708" s="66"/>
      <c r="G3708" s="63"/>
      <c r="H3708" s="67"/>
      <c r="I3708" s="68"/>
      <c r="J3708" s="68"/>
      <c r="K3708" s="32"/>
      <c r="L3708" s="75">
        <v>3708</v>
      </c>
      <c r="M3708" s="75"/>
      <c r="N3708" s="70"/>
      <c r="O3708" s="77" t="s">
        <v>895</v>
      </c>
      <c r="P3708" s="79">
        <v>45155.73170138889</v>
      </c>
      <c r="Q3708" s="77" t="s">
        <v>2148</v>
      </c>
      <c r="R3708" s="77">
        <v>1</v>
      </c>
      <c r="S3708" s="77">
        <v>3</v>
      </c>
      <c r="T3708" s="77">
        <v>0</v>
      </c>
      <c r="U3708" s="77">
        <v>0</v>
      </c>
      <c r="V3708" s="77">
        <v>1221</v>
      </c>
      <c r="W3708" s="82" t="s">
        <v>5543</v>
      </c>
      <c r="X3708" s="80" t="str">
        <f>HYPERLINK("https://bit.ly/45exfoA")</f>
        <v>https://bit.ly/45exfoA</v>
      </c>
      <c r="Y3708" s="77" t="s">
        <v>6468</v>
      </c>
      <c r="Z3708" s="77" t="s">
        <v>6621</v>
      </c>
      <c r="AA3708" s="77"/>
      <c r="AB3708" s="77"/>
      <c r="AC3708" s="82" t="s">
        <v>7775</v>
      </c>
      <c r="AD3708" s="77" t="s">
        <v>7790</v>
      </c>
      <c r="AE3708" s="80" t="str">
        <f>HYPERLINK("https://twitter.com/valoraanalitik/status/1692228208131789189")</f>
        <v>https://twitter.com/valoraanalitik/status/1692228208131789189</v>
      </c>
      <c r="AF3708" s="79">
        <v>45155.73170138889</v>
      </c>
      <c r="AG3708" s="85">
        <v>45155</v>
      </c>
      <c r="AH3708" s="82" t="s">
        <v>9005</v>
      </c>
      <c r="AI3708" s="77" t="b">
        <v>0</v>
      </c>
      <c r="AJ3708" s="77"/>
      <c r="AK3708" s="77"/>
      <c r="AL3708" s="77"/>
      <c r="AM3708" s="77"/>
      <c r="AN3708" s="77"/>
      <c r="AO3708" s="77"/>
      <c r="AP3708" s="77"/>
      <c r="AQ3708" s="77"/>
      <c r="AR3708" s="77"/>
      <c r="AS3708" s="77"/>
      <c r="AT3708" s="77"/>
      <c r="AU3708" s="77"/>
      <c r="AV3708" s="80" t="str">
        <f>HYPERLINK("https://pbs.twimg.com/profile_images/1475155236713029641/7Lb8npQr_normal.jpg")</f>
        <v>https://pbs.twimg.com/profile_images/1475155236713029641/7Lb8npQr_normal.jpg</v>
      </c>
      <c r="AW3708" s="82" t="s">
        <v>13035</v>
      </c>
      <c r="AX3708" s="82" t="s">
        <v>13035</v>
      </c>
      <c r="AY3708" s="77"/>
      <c r="AZ3708" s="82" t="s">
        <v>15984</v>
      </c>
      <c r="BA3708" s="82" t="s">
        <v>15984</v>
      </c>
      <c r="BB3708" s="82" t="s">
        <v>15984</v>
      </c>
      <c r="BC3708" s="82" t="s">
        <v>13035</v>
      </c>
      <c r="BD3708" s="77">
        <v>20980846</v>
      </c>
      <c r="BE3708" s="77"/>
      <c r="BF3708" s="77"/>
      <c r="BG3708" s="77"/>
      <c r="BH3708" s="77"/>
      <c r="BI3708" s="77"/>
    </row>
    <row r="3709" spans="1:61" x14ac:dyDescent="0.25">
      <c r="A3709" s="62" t="s">
        <v>614</v>
      </c>
      <c r="B3709" s="62" t="s">
        <v>753</v>
      </c>
      <c r="C3709" s="63"/>
      <c r="D3709" s="64"/>
      <c r="E3709" s="65"/>
      <c r="F3709" s="66"/>
      <c r="G3709" s="63"/>
      <c r="H3709" s="67"/>
      <c r="I3709" s="68"/>
      <c r="J3709" s="68"/>
      <c r="K3709" s="32"/>
      <c r="L3709" s="75">
        <v>3709</v>
      </c>
      <c r="M3709" s="75"/>
      <c r="N3709" s="70"/>
      <c r="O3709" s="77" t="s">
        <v>895</v>
      </c>
      <c r="P3709" s="79">
        <v>45155.689120370371</v>
      </c>
      <c r="Q3709" s="77" t="s">
        <v>2141</v>
      </c>
      <c r="R3709" s="77">
        <v>5</v>
      </c>
      <c r="S3709" s="77">
        <v>10</v>
      </c>
      <c r="T3709" s="77">
        <v>0</v>
      </c>
      <c r="U3709" s="77">
        <v>0</v>
      </c>
      <c r="V3709" s="77">
        <v>1904</v>
      </c>
      <c r="W3709" s="82" t="s">
        <v>4821</v>
      </c>
      <c r="X3709" s="80" t="str">
        <f>HYPERLINK("https://bit.ly/45b1NHL")</f>
        <v>https://bit.ly/45b1NHL</v>
      </c>
      <c r="Y3709" s="77" t="s">
        <v>6468</v>
      </c>
      <c r="Z3709" s="77" t="s">
        <v>6618</v>
      </c>
      <c r="AA3709" s="77"/>
      <c r="AB3709" s="77"/>
      <c r="AC3709" s="82" t="s">
        <v>7775</v>
      </c>
      <c r="AD3709" s="77" t="s">
        <v>7790</v>
      </c>
      <c r="AE3709" s="80" t="str">
        <f>HYPERLINK("https://twitter.com/valoraanalitik/status/1692212776855384459")</f>
        <v>https://twitter.com/valoraanalitik/status/1692212776855384459</v>
      </c>
      <c r="AF3709" s="79">
        <v>45155.689120370371</v>
      </c>
      <c r="AG3709" s="85">
        <v>45155</v>
      </c>
      <c r="AH3709" s="82" t="s">
        <v>8998</v>
      </c>
      <c r="AI3709" s="77" t="b">
        <v>0</v>
      </c>
      <c r="AJ3709" s="77"/>
      <c r="AK3709" s="77"/>
      <c r="AL3709" s="77"/>
      <c r="AM3709" s="77"/>
      <c r="AN3709" s="77"/>
      <c r="AO3709" s="77"/>
      <c r="AP3709" s="77"/>
      <c r="AQ3709" s="77"/>
      <c r="AR3709" s="77"/>
      <c r="AS3709" s="77"/>
      <c r="AT3709" s="77"/>
      <c r="AU3709" s="77"/>
      <c r="AV3709" s="80" t="str">
        <f>HYPERLINK("https://pbs.twimg.com/profile_images/1475155236713029641/7Lb8npQr_normal.jpg")</f>
        <v>https://pbs.twimg.com/profile_images/1475155236713029641/7Lb8npQr_normal.jpg</v>
      </c>
      <c r="AW3709" s="82" t="s">
        <v>13028</v>
      </c>
      <c r="AX3709" s="82" t="s">
        <v>13028</v>
      </c>
      <c r="AY3709" s="77"/>
      <c r="AZ3709" s="82" t="s">
        <v>15984</v>
      </c>
      <c r="BA3709" s="82" t="s">
        <v>15984</v>
      </c>
      <c r="BB3709" s="82" t="s">
        <v>15984</v>
      </c>
      <c r="BC3709" s="82" t="s">
        <v>13028</v>
      </c>
      <c r="BD3709" s="77">
        <v>20980846</v>
      </c>
      <c r="BE3709" s="77"/>
      <c r="BF3709" s="77"/>
      <c r="BG3709" s="77"/>
      <c r="BH3709" s="77"/>
      <c r="BI3709" s="77"/>
    </row>
    <row r="3710" spans="1:61" x14ac:dyDescent="0.25">
      <c r="A3710" s="62" t="s">
        <v>614</v>
      </c>
      <c r="B3710" s="62" t="s">
        <v>753</v>
      </c>
      <c r="C3710" s="63"/>
      <c r="D3710" s="64"/>
      <c r="E3710" s="65"/>
      <c r="F3710" s="66"/>
      <c r="G3710" s="63"/>
      <c r="H3710" s="67"/>
      <c r="I3710" s="68"/>
      <c r="J3710" s="68"/>
      <c r="K3710" s="32"/>
      <c r="L3710" s="75">
        <v>3710</v>
      </c>
      <c r="M3710" s="75"/>
      <c r="N3710" s="70"/>
      <c r="O3710" s="77" t="s">
        <v>895</v>
      </c>
      <c r="P3710" s="79">
        <v>45154.647604166668</v>
      </c>
      <c r="Q3710" s="77" t="s">
        <v>2109</v>
      </c>
      <c r="R3710" s="77">
        <v>12</v>
      </c>
      <c r="S3710" s="77">
        <v>25</v>
      </c>
      <c r="T3710" s="77">
        <v>1</v>
      </c>
      <c r="U3710" s="77">
        <v>0</v>
      </c>
      <c r="V3710" s="77">
        <v>1689</v>
      </c>
      <c r="W3710" s="82" t="s">
        <v>4821</v>
      </c>
      <c r="X3710" s="80" t="str">
        <f>HYPERLINK("https://bit.ly/45bgwTg")</f>
        <v>https://bit.ly/45bgwTg</v>
      </c>
      <c r="Y3710" s="77" t="s">
        <v>6468</v>
      </c>
      <c r="Z3710" s="77" t="s">
        <v>6595</v>
      </c>
      <c r="AA3710" s="77"/>
      <c r="AB3710" s="77"/>
      <c r="AC3710" s="82" t="s">
        <v>7775</v>
      </c>
      <c r="AD3710" s="77" t="s">
        <v>7790</v>
      </c>
      <c r="AE3710" s="80" t="str">
        <f>HYPERLINK("https://twitter.com/valoraanalitik/status/1691835343551463931")</f>
        <v>https://twitter.com/valoraanalitik/status/1691835343551463931</v>
      </c>
      <c r="AF3710" s="79">
        <v>45154.647604166668</v>
      </c>
      <c r="AG3710" s="85">
        <v>45154</v>
      </c>
      <c r="AH3710" s="82" t="s">
        <v>8967</v>
      </c>
      <c r="AI3710" s="77" t="b">
        <v>0</v>
      </c>
      <c r="AJ3710" s="77"/>
      <c r="AK3710" s="77"/>
      <c r="AL3710" s="77"/>
      <c r="AM3710" s="77"/>
      <c r="AN3710" s="77"/>
      <c r="AO3710" s="77"/>
      <c r="AP3710" s="77"/>
      <c r="AQ3710" s="77"/>
      <c r="AR3710" s="77"/>
      <c r="AS3710" s="77"/>
      <c r="AT3710" s="77"/>
      <c r="AU3710" s="77"/>
      <c r="AV3710" s="80" t="str">
        <f>HYPERLINK("https://pbs.twimg.com/profile_images/1475155236713029641/7Lb8npQr_normal.jpg")</f>
        <v>https://pbs.twimg.com/profile_images/1475155236713029641/7Lb8npQr_normal.jpg</v>
      </c>
      <c r="AW3710" s="82" t="s">
        <v>12996</v>
      </c>
      <c r="AX3710" s="82" t="s">
        <v>12996</v>
      </c>
      <c r="AY3710" s="77"/>
      <c r="AZ3710" s="82" t="s">
        <v>15984</v>
      </c>
      <c r="BA3710" s="82" t="s">
        <v>15984</v>
      </c>
      <c r="BB3710" s="82" t="s">
        <v>15984</v>
      </c>
      <c r="BC3710" s="82" t="s">
        <v>12996</v>
      </c>
      <c r="BD3710" s="77">
        <v>20980846</v>
      </c>
      <c r="BE3710" s="77"/>
      <c r="BF3710" s="77"/>
      <c r="BG3710" s="77"/>
      <c r="BH3710" s="77"/>
      <c r="BI3710" s="77"/>
    </row>
    <row r="3711" spans="1:61" x14ac:dyDescent="0.25">
      <c r="A3711" s="62" t="s">
        <v>614</v>
      </c>
      <c r="B3711" s="62" t="s">
        <v>753</v>
      </c>
      <c r="C3711" s="63"/>
      <c r="D3711" s="64"/>
      <c r="E3711" s="65"/>
      <c r="F3711" s="66"/>
      <c r="G3711" s="63"/>
      <c r="H3711" s="67"/>
      <c r="I3711" s="68"/>
      <c r="J3711" s="68"/>
      <c r="K3711" s="32"/>
      <c r="L3711" s="75">
        <v>3711</v>
      </c>
      <c r="M3711" s="75"/>
      <c r="N3711" s="70"/>
      <c r="O3711" s="77" t="s">
        <v>895</v>
      </c>
      <c r="P3711" s="79">
        <v>45121.949675925927</v>
      </c>
      <c r="Q3711" s="77" t="s">
        <v>2150</v>
      </c>
      <c r="R3711" s="77">
        <v>5</v>
      </c>
      <c r="S3711" s="77">
        <v>15</v>
      </c>
      <c r="T3711" s="77">
        <v>0</v>
      </c>
      <c r="U3711" s="77">
        <v>0</v>
      </c>
      <c r="V3711" s="77">
        <v>2464</v>
      </c>
      <c r="W3711" s="82" t="s">
        <v>4821</v>
      </c>
      <c r="X3711" s="80" t="str">
        <f>HYPERLINK("https://www.valoraanalitik.com/2023/07/14/grupo-bicentenario-sera-el-banco-publico-de-colombia/")</f>
        <v>https://www.valoraanalitik.com/2023/07/14/grupo-bicentenario-sera-el-banco-publico-de-colombia/</v>
      </c>
      <c r="Y3711" s="77" t="s">
        <v>6471</v>
      </c>
      <c r="Z3711" s="77" t="s">
        <v>6621</v>
      </c>
      <c r="AA3711" s="77"/>
      <c r="AB3711" s="77"/>
      <c r="AC3711" s="82" t="s">
        <v>7750</v>
      </c>
      <c r="AD3711" s="77" t="s">
        <v>7790</v>
      </c>
      <c r="AE3711" s="80" t="str">
        <f>HYPERLINK("https://twitter.com/valoraanalitik/status/1679986012838043648")</f>
        <v>https://twitter.com/valoraanalitik/status/1679986012838043648</v>
      </c>
      <c r="AF3711" s="79">
        <v>45121.949675925927</v>
      </c>
      <c r="AG3711" s="85">
        <v>45121</v>
      </c>
      <c r="AH3711" s="82" t="s">
        <v>9006</v>
      </c>
      <c r="AI3711" s="77" t="b">
        <v>0</v>
      </c>
      <c r="AJ3711" s="77"/>
      <c r="AK3711" s="77"/>
      <c r="AL3711" s="77"/>
      <c r="AM3711" s="77"/>
      <c r="AN3711" s="77"/>
      <c r="AO3711" s="77"/>
      <c r="AP3711" s="77"/>
      <c r="AQ3711" s="77"/>
      <c r="AR3711" s="77"/>
      <c r="AS3711" s="77"/>
      <c r="AT3711" s="77"/>
      <c r="AU3711" s="77"/>
      <c r="AV3711" s="80" t="str">
        <f>HYPERLINK("https://pbs.twimg.com/profile_images/1475155236713029641/7Lb8npQr_normal.jpg")</f>
        <v>https://pbs.twimg.com/profile_images/1475155236713029641/7Lb8npQr_normal.jpg</v>
      </c>
      <c r="AW3711" s="82" t="s">
        <v>13037</v>
      </c>
      <c r="AX3711" s="82" t="s">
        <v>13037</v>
      </c>
      <c r="AY3711" s="77"/>
      <c r="AZ3711" s="82" t="s">
        <v>15984</v>
      </c>
      <c r="BA3711" s="82" t="s">
        <v>15984</v>
      </c>
      <c r="BB3711" s="82" t="s">
        <v>15984</v>
      </c>
      <c r="BC3711" s="82" t="s">
        <v>13037</v>
      </c>
      <c r="BD3711" s="77">
        <v>20980846</v>
      </c>
      <c r="BE3711" s="77"/>
      <c r="BF3711" s="77"/>
      <c r="BG3711" s="77"/>
      <c r="BH3711" s="77"/>
      <c r="BI3711" s="77"/>
    </row>
    <row r="3712" spans="1:61" x14ac:dyDescent="0.25">
      <c r="A3712" s="62" t="s">
        <v>614</v>
      </c>
      <c r="B3712" s="62" t="s">
        <v>753</v>
      </c>
      <c r="C3712" s="63"/>
      <c r="D3712" s="64"/>
      <c r="E3712" s="65"/>
      <c r="F3712" s="66"/>
      <c r="G3712" s="63"/>
      <c r="H3712" s="67"/>
      <c r="I3712" s="68"/>
      <c r="J3712" s="68"/>
      <c r="K3712" s="32"/>
      <c r="L3712" s="75">
        <v>3712</v>
      </c>
      <c r="M3712" s="75"/>
      <c r="N3712" s="70"/>
      <c r="O3712" s="77" t="s">
        <v>895</v>
      </c>
      <c r="P3712" s="79">
        <v>45134.918194444443</v>
      </c>
      <c r="Q3712" s="77" t="s">
        <v>2151</v>
      </c>
      <c r="R3712" s="77">
        <v>4</v>
      </c>
      <c r="S3712" s="77">
        <v>7</v>
      </c>
      <c r="T3712" s="77">
        <v>0</v>
      </c>
      <c r="U3712" s="77">
        <v>1</v>
      </c>
      <c r="V3712" s="77">
        <v>1438</v>
      </c>
      <c r="W3712" s="82" t="s">
        <v>4821</v>
      </c>
      <c r="X3712" s="80" t="str">
        <f>HYPERLINK("https://bit.ly/47bpu4u")</f>
        <v>https://bit.ly/47bpu4u</v>
      </c>
      <c r="Y3712" s="77" t="s">
        <v>6468</v>
      </c>
      <c r="Z3712" s="77" t="s">
        <v>6621</v>
      </c>
      <c r="AA3712" s="77"/>
      <c r="AB3712" s="77"/>
      <c r="AC3712" s="82" t="s">
        <v>7775</v>
      </c>
      <c r="AD3712" s="77" t="s">
        <v>7790</v>
      </c>
      <c r="AE3712" s="80" t="str">
        <f>HYPERLINK("https://twitter.com/valoraanalitik/status/1684685646441439232")</f>
        <v>https://twitter.com/valoraanalitik/status/1684685646441439232</v>
      </c>
      <c r="AF3712" s="79">
        <v>45134.918194444443</v>
      </c>
      <c r="AG3712" s="85">
        <v>45134</v>
      </c>
      <c r="AH3712" s="82" t="s">
        <v>9007</v>
      </c>
      <c r="AI3712" s="77" t="b">
        <v>0</v>
      </c>
      <c r="AJ3712" s="77"/>
      <c r="AK3712" s="77"/>
      <c r="AL3712" s="77"/>
      <c r="AM3712" s="77"/>
      <c r="AN3712" s="77"/>
      <c r="AO3712" s="77"/>
      <c r="AP3712" s="77"/>
      <c r="AQ3712" s="77"/>
      <c r="AR3712" s="77"/>
      <c r="AS3712" s="77"/>
      <c r="AT3712" s="77"/>
      <c r="AU3712" s="77"/>
      <c r="AV3712" s="80" t="str">
        <f>HYPERLINK("https://pbs.twimg.com/profile_images/1475155236713029641/7Lb8npQr_normal.jpg")</f>
        <v>https://pbs.twimg.com/profile_images/1475155236713029641/7Lb8npQr_normal.jpg</v>
      </c>
      <c r="AW3712" s="82" t="s">
        <v>13038</v>
      </c>
      <c r="AX3712" s="82" t="s">
        <v>13038</v>
      </c>
      <c r="AY3712" s="77"/>
      <c r="AZ3712" s="82" t="s">
        <v>15984</v>
      </c>
      <c r="BA3712" s="82" t="s">
        <v>15984</v>
      </c>
      <c r="BB3712" s="82" t="s">
        <v>15984</v>
      </c>
      <c r="BC3712" s="82" t="s">
        <v>13038</v>
      </c>
      <c r="BD3712" s="77">
        <v>20980846</v>
      </c>
      <c r="BE3712" s="77"/>
      <c r="BF3712" s="77"/>
      <c r="BG3712" s="77"/>
      <c r="BH3712" s="77"/>
      <c r="BI3712" s="77"/>
    </row>
    <row r="3713" spans="1:61" x14ac:dyDescent="0.25">
      <c r="A3713" s="62" t="s">
        <v>614</v>
      </c>
      <c r="B3713" s="62" t="s">
        <v>753</v>
      </c>
      <c r="C3713" s="63"/>
      <c r="D3713" s="64"/>
      <c r="E3713" s="65"/>
      <c r="F3713" s="66"/>
      <c r="G3713" s="63"/>
      <c r="H3713" s="67"/>
      <c r="I3713" s="68"/>
      <c r="J3713" s="68"/>
      <c r="K3713" s="32"/>
      <c r="L3713" s="75">
        <v>3713</v>
      </c>
      <c r="M3713" s="75"/>
      <c r="N3713" s="70"/>
      <c r="O3713" s="77" t="s">
        <v>895</v>
      </c>
      <c r="P3713" s="79">
        <v>45174.547314814816</v>
      </c>
      <c r="Q3713" s="77" t="s">
        <v>2111</v>
      </c>
      <c r="R3713" s="77">
        <v>3</v>
      </c>
      <c r="S3713" s="77">
        <v>4</v>
      </c>
      <c r="T3713" s="77">
        <v>0</v>
      </c>
      <c r="U3713" s="77">
        <v>0</v>
      </c>
      <c r="V3713" s="77">
        <v>1149</v>
      </c>
      <c r="W3713" s="82" t="s">
        <v>5541</v>
      </c>
      <c r="X3713" s="80" t="str">
        <f>HYPERLINK("https://bit.ly/44CLOBl")</f>
        <v>https://bit.ly/44CLOBl</v>
      </c>
      <c r="Y3713" s="77" t="s">
        <v>6468</v>
      </c>
      <c r="Z3713" s="77" t="s">
        <v>6596</v>
      </c>
      <c r="AA3713" s="77"/>
      <c r="AB3713" s="77"/>
      <c r="AC3713" s="82" t="s">
        <v>7775</v>
      </c>
      <c r="AD3713" s="77" t="s">
        <v>7790</v>
      </c>
      <c r="AE3713" s="80" t="str">
        <f>HYPERLINK("https://twitter.com/valoraanalitik/status/1699046758033051744")</f>
        <v>https://twitter.com/valoraanalitik/status/1699046758033051744</v>
      </c>
      <c r="AF3713" s="79">
        <v>45174.547314814816</v>
      </c>
      <c r="AG3713" s="85">
        <v>45174</v>
      </c>
      <c r="AH3713" s="82" t="s">
        <v>8969</v>
      </c>
      <c r="AI3713" s="77" t="b">
        <v>0</v>
      </c>
      <c r="AJ3713" s="77"/>
      <c r="AK3713" s="77"/>
      <c r="AL3713" s="77"/>
      <c r="AM3713" s="77"/>
      <c r="AN3713" s="77"/>
      <c r="AO3713" s="77"/>
      <c r="AP3713" s="77"/>
      <c r="AQ3713" s="77"/>
      <c r="AR3713" s="77"/>
      <c r="AS3713" s="77"/>
      <c r="AT3713" s="77"/>
      <c r="AU3713" s="77"/>
      <c r="AV3713" s="80" t="str">
        <f>HYPERLINK("https://pbs.twimg.com/profile_images/1475155236713029641/7Lb8npQr_normal.jpg")</f>
        <v>https://pbs.twimg.com/profile_images/1475155236713029641/7Lb8npQr_normal.jpg</v>
      </c>
      <c r="AW3713" s="82" t="s">
        <v>12998</v>
      </c>
      <c r="AX3713" s="82" t="s">
        <v>12998</v>
      </c>
      <c r="AY3713" s="77"/>
      <c r="AZ3713" s="82" t="s">
        <v>15984</v>
      </c>
      <c r="BA3713" s="82" t="s">
        <v>15984</v>
      </c>
      <c r="BB3713" s="82" t="s">
        <v>15984</v>
      </c>
      <c r="BC3713" s="82" t="s">
        <v>12998</v>
      </c>
      <c r="BD3713" s="77">
        <v>20980846</v>
      </c>
      <c r="BE3713" s="77"/>
      <c r="BF3713" s="77"/>
      <c r="BG3713" s="77"/>
      <c r="BH3713" s="77"/>
      <c r="BI3713" s="77"/>
    </row>
    <row r="3714" spans="1:61" x14ac:dyDescent="0.25">
      <c r="A3714" s="62" t="s">
        <v>614</v>
      </c>
      <c r="B3714" s="62" t="s">
        <v>753</v>
      </c>
      <c r="C3714" s="63"/>
      <c r="D3714" s="64"/>
      <c r="E3714" s="65"/>
      <c r="F3714" s="66"/>
      <c r="G3714" s="63"/>
      <c r="H3714" s="67"/>
      <c r="I3714" s="68"/>
      <c r="J3714" s="68"/>
      <c r="K3714" s="32"/>
      <c r="L3714" s="75">
        <v>3714</v>
      </c>
      <c r="M3714" s="75"/>
      <c r="N3714" s="70"/>
      <c r="O3714" s="77" t="s">
        <v>895</v>
      </c>
      <c r="P3714" s="79">
        <v>45184.501828703702</v>
      </c>
      <c r="Q3714" s="77" t="s">
        <v>2177</v>
      </c>
      <c r="R3714" s="77">
        <v>2</v>
      </c>
      <c r="S3714" s="77">
        <v>8</v>
      </c>
      <c r="T3714" s="77">
        <v>0</v>
      </c>
      <c r="U3714" s="77">
        <v>0</v>
      </c>
      <c r="V3714" s="77">
        <v>1258</v>
      </c>
      <c r="W3714" s="82" t="s">
        <v>4821</v>
      </c>
      <c r="X3714" s="80" t="str">
        <f>HYPERLINK("https://www.valoraanalitik.com/2023/09/15/dolar-colombia-3800-esto-es-lo-que-deberia-pasar-2/")</f>
        <v>https://www.valoraanalitik.com/2023/09/15/dolar-colombia-3800-esto-es-lo-que-deberia-pasar-2/</v>
      </c>
      <c r="Y3714" s="77" t="s">
        <v>6471</v>
      </c>
      <c r="Z3714" s="77" t="s">
        <v>6631</v>
      </c>
      <c r="AA3714" s="77"/>
      <c r="AB3714" s="77"/>
      <c r="AC3714" s="82" t="s">
        <v>7750</v>
      </c>
      <c r="AD3714" s="77" t="s">
        <v>7790</v>
      </c>
      <c r="AE3714" s="80" t="str">
        <f>HYPERLINK("https://twitter.com/valoraanalitik/status/1702654153283998144")</f>
        <v>https://twitter.com/valoraanalitik/status/1702654153283998144</v>
      </c>
      <c r="AF3714" s="79">
        <v>45184.501828703702</v>
      </c>
      <c r="AG3714" s="85">
        <v>45184</v>
      </c>
      <c r="AH3714" s="82" t="s">
        <v>9033</v>
      </c>
      <c r="AI3714" s="77" t="b">
        <v>0</v>
      </c>
      <c r="AJ3714" s="77"/>
      <c r="AK3714" s="77"/>
      <c r="AL3714" s="77"/>
      <c r="AM3714" s="77"/>
      <c r="AN3714" s="77"/>
      <c r="AO3714" s="77"/>
      <c r="AP3714" s="77"/>
      <c r="AQ3714" s="77"/>
      <c r="AR3714" s="77"/>
      <c r="AS3714" s="77"/>
      <c r="AT3714" s="77"/>
      <c r="AU3714" s="77"/>
      <c r="AV3714" s="80" t="str">
        <f>HYPERLINK("https://pbs.twimg.com/profile_images/1475155236713029641/7Lb8npQr_normal.jpg")</f>
        <v>https://pbs.twimg.com/profile_images/1475155236713029641/7Lb8npQr_normal.jpg</v>
      </c>
      <c r="AW3714" s="82" t="s">
        <v>13064</v>
      </c>
      <c r="AX3714" s="82" t="s">
        <v>13064</v>
      </c>
      <c r="AY3714" s="77"/>
      <c r="AZ3714" s="82" t="s">
        <v>15984</v>
      </c>
      <c r="BA3714" s="82" t="s">
        <v>15984</v>
      </c>
      <c r="BB3714" s="82" t="s">
        <v>15984</v>
      </c>
      <c r="BC3714" s="82" t="s">
        <v>13064</v>
      </c>
      <c r="BD3714" s="77">
        <v>20980846</v>
      </c>
      <c r="BE3714" s="77"/>
      <c r="BF3714" s="77"/>
      <c r="BG3714" s="77"/>
      <c r="BH3714" s="77"/>
      <c r="BI3714" s="77"/>
    </row>
    <row r="3715" spans="1:61" x14ac:dyDescent="0.25">
      <c r="A3715" s="62" t="s">
        <v>614</v>
      </c>
      <c r="B3715" s="62" t="s">
        <v>753</v>
      </c>
      <c r="C3715" s="63"/>
      <c r="D3715" s="64"/>
      <c r="E3715" s="65"/>
      <c r="F3715" s="66"/>
      <c r="G3715" s="63"/>
      <c r="H3715" s="67"/>
      <c r="I3715" s="68"/>
      <c r="J3715" s="68"/>
      <c r="K3715" s="32"/>
      <c r="L3715" s="75">
        <v>3715</v>
      </c>
      <c r="M3715" s="75"/>
      <c r="N3715" s="70"/>
      <c r="O3715" s="77" t="s">
        <v>895</v>
      </c>
      <c r="P3715" s="79">
        <v>45175.988726851851</v>
      </c>
      <c r="Q3715" s="77" t="s">
        <v>2114</v>
      </c>
      <c r="R3715" s="77">
        <v>2</v>
      </c>
      <c r="S3715" s="77">
        <v>0</v>
      </c>
      <c r="T3715" s="77">
        <v>3</v>
      </c>
      <c r="U3715" s="77">
        <v>3</v>
      </c>
      <c r="V3715" s="77">
        <v>3784</v>
      </c>
      <c r="W3715" s="82" t="s">
        <v>4821</v>
      </c>
      <c r="X3715" s="80" t="str">
        <f>HYPERLINK("https://www.valoraanalitik.com/2023/09/06/minhacienda-de-colombia-desestima-que-jpmorgan-diga-que-bolsa-de-colombia-perderia-estatus-emergente/")</f>
        <v>https://www.valoraanalitik.com/2023/09/06/minhacienda-de-colombia-desestima-que-jpmorgan-diga-que-bolsa-de-colombia-perderia-estatus-emergente/</v>
      </c>
      <c r="Y3715" s="77" t="s">
        <v>6471</v>
      </c>
      <c r="Z3715" s="77" t="s">
        <v>6598</v>
      </c>
      <c r="AA3715" s="77" t="s">
        <v>7342</v>
      </c>
      <c r="AB3715" s="77" t="s">
        <v>7742</v>
      </c>
      <c r="AC3715" s="82" t="s">
        <v>7750</v>
      </c>
      <c r="AD3715" s="77" t="s">
        <v>7790</v>
      </c>
      <c r="AE3715" s="80" t="str">
        <f>HYPERLINK("https://twitter.com/valoraanalitik/status/1699569106481971451")</f>
        <v>https://twitter.com/valoraanalitik/status/1699569106481971451</v>
      </c>
      <c r="AF3715" s="79">
        <v>45175.988726851851</v>
      </c>
      <c r="AG3715" s="85">
        <v>45175</v>
      </c>
      <c r="AH3715" s="82" t="s">
        <v>8972</v>
      </c>
      <c r="AI3715" s="77" t="b">
        <v>0</v>
      </c>
      <c r="AJ3715" s="77"/>
      <c r="AK3715" s="77"/>
      <c r="AL3715" s="77"/>
      <c r="AM3715" s="77"/>
      <c r="AN3715" s="77"/>
      <c r="AO3715" s="77"/>
      <c r="AP3715" s="77"/>
      <c r="AQ3715" s="77" t="s">
        <v>11314</v>
      </c>
      <c r="AR3715" s="77"/>
      <c r="AS3715" s="77"/>
      <c r="AT3715" s="77"/>
      <c r="AU3715" s="77"/>
      <c r="AV3715" s="80" t="str">
        <f>HYPERLINK("https://pbs.twimg.com/media/F5YU56EW0AA_O2G.png")</f>
        <v>https://pbs.twimg.com/media/F5YU56EW0AA_O2G.png</v>
      </c>
      <c r="AW3715" s="82" t="s">
        <v>13001</v>
      </c>
      <c r="AX3715" s="82" t="s">
        <v>13001</v>
      </c>
      <c r="AY3715" s="77"/>
      <c r="AZ3715" s="82" t="s">
        <v>15984</v>
      </c>
      <c r="BA3715" s="82" t="s">
        <v>15984</v>
      </c>
      <c r="BB3715" s="82" t="s">
        <v>15984</v>
      </c>
      <c r="BC3715" s="82" t="s">
        <v>13001</v>
      </c>
      <c r="BD3715" s="77">
        <v>20980846</v>
      </c>
      <c r="BE3715" s="77"/>
      <c r="BF3715" s="77"/>
      <c r="BG3715" s="77"/>
      <c r="BH3715" s="77"/>
      <c r="BI3715" s="77"/>
    </row>
    <row r="3716" spans="1:61" x14ac:dyDescent="0.25">
      <c r="A3716" s="62" t="s">
        <v>614</v>
      </c>
      <c r="B3716" s="62" t="s">
        <v>753</v>
      </c>
      <c r="C3716" s="63"/>
      <c r="D3716" s="64"/>
      <c r="E3716" s="65"/>
      <c r="F3716" s="66"/>
      <c r="G3716" s="63"/>
      <c r="H3716" s="67"/>
      <c r="I3716" s="68"/>
      <c r="J3716" s="68"/>
      <c r="K3716" s="32"/>
      <c r="L3716" s="75">
        <v>3716</v>
      </c>
      <c r="M3716" s="75"/>
      <c r="N3716" s="70"/>
      <c r="O3716" s="77" t="s">
        <v>895</v>
      </c>
      <c r="P3716" s="79">
        <v>45176.490254629629</v>
      </c>
      <c r="Q3716" s="77" t="s">
        <v>2154</v>
      </c>
      <c r="R3716" s="77">
        <v>2</v>
      </c>
      <c r="S3716" s="77">
        <v>2</v>
      </c>
      <c r="T3716" s="77">
        <v>0</v>
      </c>
      <c r="U3716" s="77">
        <v>0</v>
      </c>
      <c r="V3716" s="77">
        <v>988</v>
      </c>
      <c r="W3716" s="82" t="s">
        <v>4821</v>
      </c>
      <c r="X3716" s="80" t="str">
        <f>HYPERLINK("https://www.valoraanalitik.com/2023/09/07/inflacion-colombia-se-encamina-a-un-digito/")</f>
        <v>https://www.valoraanalitik.com/2023/09/07/inflacion-colombia-se-encamina-a-un-digito/</v>
      </c>
      <c r="Y3716" s="77" t="s">
        <v>6471</v>
      </c>
      <c r="Z3716" s="77" t="s">
        <v>6626</v>
      </c>
      <c r="AA3716" s="77"/>
      <c r="AB3716" s="77"/>
      <c r="AC3716" s="82" t="s">
        <v>7750</v>
      </c>
      <c r="AD3716" s="77" t="s">
        <v>7790</v>
      </c>
      <c r="AE3716" s="80" t="str">
        <f>HYPERLINK("https://twitter.com/valoraanalitik/status/1699750853773599215")</f>
        <v>https://twitter.com/valoraanalitik/status/1699750853773599215</v>
      </c>
      <c r="AF3716" s="79">
        <v>45176.490254629629</v>
      </c>
      <c r="AG3716" s="85">
        <v>45176</v>
      </c>
      <c r="AH3716" s="82" t="s">
        <v>9010</v>
      </c>
      <c r="AI3716" s="77" t="b">
        <v>0</v>
      </c>
      <c r="AJ3716" s="77"/>
      <c r="AK3716" s="77"/>
      <c r="AL3716" s="77"/>
      <c r="AM3716" s="77"/>
      <c r="AN3716" s="77"/>
      <c r="AO3716" s="77"/>
      <c r="AP3716" s="77"/>
      <c r="AQ3716" s="77"/>
      <c r="AR3716" s="77"/>
      <c r="AS3716" s="77"/>
      <c r="AT3716" s="77"/>
      <c r="AU3716" s="77"/>
      <c r="AV3716" s="80" t="str">
        <f>HYPERLINK("https://pbs.twimg.com/profile_images/1475155236713029641/7Lb8npQr_normal.jpg")</f>
        <v>https://pbs.twimg.com/profile_images/1475155236713029641/7Lb8npQr_normal.jpg</v>
      </c>
      <c r="AW3716" s="82" t="s">
        <v>13041</v>
      </c>
      <c r="AX3716" s="82" t="s">
        <v>13041</v>
      </c>
      <c r="AY3716" s="77"/>
      <c r="AZ3716" s="82" t="s">
        <v>15984</v>
      </c>
      <c r="BA3716" s="82" t="s">
        <v>15984</v>
      </c>
      <c r="BB3716" s="82" t="s">
        <v>15984</v>
      </c>
      <c r="BC3716" s="82" t="s">
        <v>13041</v>
      </c>
      <c r="BD3716" s="77">
        <v>20980846</v>
      </c>
      <c r="BE3716" s="77"/>
      <c r="BF3716" s="77"/>
      <c r="BG3716" s="77"/>
      <c r="BH3716" s="77"/>
      <c r="BI3716" s="77"/>
    </row>
    <row r="3717" spans="1:61" x14ac:dyDescent="0.25">
      <c r="A3717" s="62" t="s">
        <v>614</v>
      </c>
      <c r="B3717" s="62" t="s">
        <v>753</v>
      </c>
      <c r="C3717" s="63"/>
      <c r="D3717" s="64"/>
      <c r="E3717" s="65"/>
      <c r="F3717" s="66"/>
      <c r="G3717" s="63"/>
      <c r="H3717" s="67"/>
      <c r="I3717" s="68"/>
      <c r="J3717" s="68"/>
      <c r="K3717" s="32"/>
      <c r="L3717" s="75">
        <v>3717</v>
      </c>
      <c r="M3717" s="75"/>
      <c r="N3717" s="70"/>
      <c r="O3717" s="77" t="s">
        <v>895</v>
      </c>
      <c r="P3717" s="79">
        <v>45173.920358796298</v>
      </c>
      <c r="Q3717" s="77" t="s">
        <v>4372</v>
      </c>
      <c r="R3717" s="77">
        <v>0</v>
      </c>
      <c r="S3717" s="77">
        <v>1</v>
      </c>
      <c r="T3717" s="77">
        <v>0</v>
      </c>
      <c r="U3717" s="77">
        <v>0</v>
      </c>
      <c r="V3717" s="77">
        <v>1408</v>
      </c>
      <c r="W3717" s="82" t="s">
        <v>4821</v>
      </c>
      <c r="X3717" s="77"/>
      <c r="Y3717" s="77"/>
      <c r="Z3717" s="77" t="s">
        <v>753</v>
      </c>
      <c r="AA3717" s="77"/>
      <c r="AB3717" s="77"/>
      <c r="AC3717" s="82" t="s">
        <v>7750</v>
      </c>
      <c r="AD3717" s="77" t="s">
        <v>7790</v>
      </c>
      <c r="AE3717" s="80" t="str">
        <f>HYPERLINK("https://twitter.com/valoraanalitik/status/1698819555424956867")</f>
        <v>https://twitter.com/valoraanalitik/status/1698819555424956867</v>
      </c>
      <c r="AF3717" s="79">
        <v>45173.920358796298</v>
      </c>
      <c r="AG3717" s="85">
        <v>45173</v>
      </c>
      <c r="AH3717" s="82" t="s">
        <v>10145</v>
      </c>
      <c r="AI3717" s="77"/>
      <c r="AJ3717" s="77"/>
      <c r="AK3717" s="77"/>
      <c r="AL3717" s="77"/>
      <c r="AM3717" s="77"/>
      <c r="AN3717" s="77"/>
      <c r="AO3717" s="77"/>
      <c r="AP3717" s="77"/>
      <c r="AQ3717" s="77"/>
      <c r="AR3717" s="77"/>
      <c r="AS3717" s="77"/>
      <c r="AT3717" s="77"/>
      <c r="AU3717" s="77"/>
      <c r="AV3717" s="80" t="str">
        <f>HYPERLINK("https://pbs.twimg.com/profile_images/1475155236713029641/7Lb8npQr_normal.jpg")</f>
        <v>https://pbs.twimg.com/profile_images/1475155236713029641/7Lb8npQr_normal.jpg</v>
      </c>
      <c r="AW3717" s="82" t="s">
        <v>15298</v>
      </c>
      <c r="AX3717" s="82" t="s">
        <v>15298</v>
      </c>
      <c r="AY3717" s="77"/>
      <c r="AZ3717" s="82" t="s">
        <v>15984</v>
      </c>
      <c r="BA3717" s="82" t="s">
        <v>15984</v>
      </c>
      <c r="BB3717" s="82" t="s">
        <v>15984</v>
      </c>
      <c r="BC3717" s="82" t="s">
        <v>15298</v>
      </c>
      <c r="BD3717" s="77">
        <v>20980846</v>
      </c>
      <c r="BE3717" s="77"/>
      <c r="BF3717" s="77"/>
      <c r="BG3717" s="77"/>
      <c r="BH3717" s="77"/>
      <c r="BI3717" s="77"/>
    </row>
    <row r="3718" spans="1:61" x14ac:dyDescent="0.25">
      <c r="A3718" s="62" t="s">
        <v>614</v>
      </c>
      <c r="B3718" s="62" t="s">
        <v>753</v>
      </c>
      <c r="C3718" s="63"/>
      <c r="D3718" s="64"/>
      <c r="E3718" s="65"/>
      <c r="F3718" s="66"/>
      <c r="G3718" s="63"/>
      <c r="H3718" s="67"/>
      <c r="I3718" s="68"/>
      <c r="J3718" s="68"/>
      <c r="K3718" s="32"/>
      <c r="L3718" s="75">
        <v>3718</v>
      </c>
      <c r="M3718" s="75"/>
      <c r="N3718" s="70"/>
      <c r="O3718" s="77" t="s">
        <v>895</v>
      </c>
      <c r="P3718" s="79">
        <v>45126.651562500003</v>
      </c>
      <c r="Q3718" s="77" t="s">
        <v>2117</v>
      </c>
      <c r="R3718" s="77">
        <v>11</v>
      </c>
      <c r="S3718" s="77">
        <v>23</v>
      </c>
      <c r="T3718" s="77">
        <v>0</v>
      </c>
      <c r="U3718" s="77">
        <v>0</v>
      </c>
      <c r="V3718" s="77">
        <v>1742</v>
      </c>
      <c r="W3718" s="82" t="s">
        <v>4821</v>
      </c>
      <c r="X3718" s="80" t="str">
        <f>HYPERLINK("https://bit.ly/46Tbpbz")</f>
        <v>https://bit.ly/46Tbpbz</v>
      </c>
      <c r="Y3718" s="77" t="s">
        <v>6468</v>
      </c>
      <c r="Z3718" s="77" t="s">
        <v>6600</v>
      </c>
      <c r="AA3718" s="77"/>
      <c r="AB3718" s="77"/>
      <c r="AC3718" s="82" t="s">
        <v>7775</v>
      </c>
      <c r="AD3718" s="77" t="s">
        <v>7790</v>
      </c>
      <c r="AE3718" s="80" t="str">
        <f>HYPERLINK("https://twitter.com/valoraanalitik/status/1681689918685192193")</f>
        <v>https://twitter.com/valoraanalitik/status/1681689918685192193</v>
      </c>
      <c r="AF3718" s="79">
        <v>45126.651562500003</v>
      </c>
      <c r="AG3718" s="85">
        <v>45126</v>
      </c>
      <c r="AH3718" s="82" t="s">
        <v>8975</v>
      </c>
      <c r="AI3718" s="77" t="b">
        <v>0</v>
      </c>
      <c r="AJ3718" s="77"/>
      <c r="AK3718" s="77"/>
      <c r="AL3718" s="77"/>
      <c r="AM3718" s="77"/>
      <c r="AN3718" s="77"/>
      <c r="AO3718" s="77"/>
      <c r="AP3718" s="77"/>
      <c r="AQ3718" s="77"/>
      <c r="AR3718" s="77"/>
      <c r="AS3718" s="77"/>
      <c r="AT3718" s="77"/>
      <c r="AU3718" s="77"/>
      <c r="AV3718" s="80" t="str">
        <f>HYPERLINK("https://pbs.twimg.com/profile_images/1475155236713029641/7Lb8npQr_normal.jpg")</f>
        <v>https://pbs.twimg.com/profile_images/1475155236713029641/7Lb8npQr_normal.jpg</v>
      </c>
      <c r="AW3718" s="82" t="s">
        <v>13004</v>
      </c>
      <c r="AX3718" s="82" t="s">
        <v>13004</v>
      </c>
      <c r="AY3718" s="77"/>
      <c r="AZ3718" s="82" t="s">
        <v>15984</v>
      </c>
      <c r="BA3718" s="82" t="s">
        <v>15984</v>
      </c>
      <c r="BB3718" s="82" t="s">
        <v>15984</v>
      </c>
      <c r="BC3718" s="82" t="s">
        <v>13004</v>
      </c>
      <c r="BD3718" s="77">
        <v>20980846</v>
      </c>
      <c r="BE3718" s="77"/>
      <c r="BF3718" s="77"/>
      <c r="BG3718" s="77"/>
      <c r="BH3718" s="77"/>
      <c r="BI3718" s="77"/>
    </row>
    <row r="3719" spans="1:61" x14ac:dyDescent="0.25">
      <c r="A3719" s="62" t="s">
        <v>614</v>
      </c>
      <c r="B3719" s="62" t="s">
        <v>753</v>
      </c>
      <c r="C3719" s="63"/>
      <c r="D3719" s="64"/>
      <c r="E3719" s="65"/>
      <c r="F3719" s="66"/>
      <c r="G3719" s="63"/>
      <c r="H3719" s="67"/>
      <c r="I3719" s="68"/>
      <c r="J3719" s="68"/>
      <c r="K3719" s="32"/>
      <c r="L3719" s="75">
        <v>3719</v>
      </c>
      <c r="M3719" s="75"/>
      <c r="N3719" s="70"/>
      <c r="O3719" s="77" t="s">
        <v>895</v>
      </c>
      <c r="P3719" s="79">
        <v>45181.669733796298</v>
      </c>
      <c r="Q3719" s="77" t="s">
        <v>2156</v>
      </c>
      <c r="R3719" s="77">
        <v>3</v>
      </c>
      <c r="S3719" s="77">
        <v>7</v>
      </c>
      <c r="T3719" s="77">
        <v>3</v>
      </c>
      <c r="U3719" s="77">
        <v>0</v>
      </c>
      <c r="V3719" s="77">
        <v>1764</v>
      </c>
      <c r="W3719" s="82" t="s">
        <v>4821</v>
      </c>
      <c r="X3719" s="80" t="str">
        <f>HYPERLINK("https://bit.ly/3RfLWUf")</f>
        <v>https://bit.ly/3RfLWUf</v>
      </c>
      <c r="Y3719" s="77" t="s">
        <v>6468</v>
      </c>
      <c r="Z3719" s="77" t="s">
        <v>6621</v>
      </c>
      <c r="AA3719" s="77"/>
      <c r="AB3719" s="77"/>
      <c r="AC3719" s="82" t="s">
        <v>7775</v>
      </c>
      <c r="AD3719" s="77" t="s">
        <v>7790</v>
      </c>
      <c r="AE3719" s="80" t="str">
        <f>HYPERLINK("https://twitter.com/valoraanalitik/status/1701627834869891251")</f>
        <v>https://twitter.com/valoraanalitik/status/1701627834869891251</v>
      </c>
      <c r="AF3719" s="79">
        <v>45181.669733796298</v>
      </c>
      <c r="AG3719" s="85">
        <v>45181</v>
      </c>
      <c r="AH3719" s="82" t="s">
        <v>9012</v>
      </c>
      <c r="AI3719" s="77" t="b">
        <v>0</v>
      </c>
      <c r="AJ3719" s="77"/>
      <c r="AK3719" s="77"/>
      <c r="AL3719" s="77"/>
      <c r="AM3719" s="77"/>
      <c r="AN3719" s="77"/>
      <c r="AO3719" s="77"/>
      <c r="AP3719" s="77"/>
      <c r="AQ3719" s="77"/>
      <c r="AR3719" s="77"/>
      <c r="AS3719" s="77"/>
      <c r="AT3719" s="77"/>
      <c r="AU3719" s="77"/>
      <c r="AV3719" s="80" t="str">
        <f>HYPERLINK("https://pbs.twimg.com/profile_images/1475155236713029641/7Lb8npQr_normal.jpg")</f>
        <v>https://pbs.twimg.com/profile_images/1475155236713029641/7Lb8npQr_normal.jpg</v>
      </c>
      <c r="AW3719" s="82" t="s">
        <v>13043</v>
      </c>
      <c r="AX3719" s="82" t="s">
        <v>13043</v>
      </c>
      <c r="AY3719" s="77"/>
      <c r="AZ3719" s="82" t="s">
        <v>15984</v>
      </c>
      <c r="BA3719" s="82" t="s">
        <v>15984</v>
      </c>
      <c r="BB3719" s="82" t="s">
        <v>15984</v>
      </c>
      <c r="BC3719" s="82" t="s">
        <v>13043</v>
      </c>
      <c r="BD3719" s="77">
        <v>20980846</v>
      </c>
      <c r="BE3719" s="77"/>
      <c r="BF3719" s="77"/>
      <c r="BG3719" s="77"/>
      <c r="BH3719" s="77"/>
      <c r="BI3719" s="77"/>
    </row>
    <row r="3720" spans="1:61" x14ac:dyDescent="0.25">
      <c r="A3720" s="62" t="s">
        <v>614</v>
      </c>
      <c r="B3720" s="62" t="s">
        <v>753</v>
      </c>
      <c r="C3720" s="63"/>
      <c r="D3720" s="64"/>
      <c r="E3720" s="65"/>
      <c r="F3720" s="66"/>
      <c r="G3720" s="63"/>
      <c r="H3720" s="67"/>
      <c r="I3720" s="68"/>
      <c r="J3720" s="68"/>
      <c r="K3720" s="32"/>
      <c r="L3720" s="75">
        <v>3720</v>
      </c>
      <c r="M3720" s="75"/>
      <c r="N3720" s="70"/>
      <c r="O3720" s="77" t="s">
        <v>895</v>
      </c>
      <c r="P3720" s="79">
        <v>45151.000740740739</v>
      </c>
      <c r="Q3720" s="77" t="s">
        <v>4373</v>
      </c>
      <c r="R3720" s="77">
        <v>4</v>
      </c>
      <c r="S3720" s="77">
        <v>8</v>
      </c>
      <c r="T3720" s="77">
        <v>0</v>
      </c>
      <c r="U3720" s="77">
        <v>0</v>
      </c>
      <c r="V3720" s="77">
        <v>2389</v>
      </c>
      <c r="W3720" s="82" t="s">
        <v>4821</v>
      </c>
      <c r="X3720" s="80" t="str">
        <f>HYPERLINK("https://bit.ly/3QACXwA")</f>
        <v>https://bit.ly/3QACXwA</v>
      </c>
      <c r="Y3720" s="77" t="s">
        <v>6468</v>
      </c>
      <c r="Z3720" s="77" t="s">
        <v>753</v>
      </c>
      <c r="AA3720" s="77"/>
      <c r="AB3720" s="77"/>
      <c r="AC3720" s="82" t="s">
        <v>7775</v>
      </c>
      <c r="AD3720" s="77" t="s">
        <v>7790</v>
      </c>
      <c r="AE3720" s="80" t="str">
        <f>HYPERLINK("https://twitter.com/valoraanalitik/status/1690513763831615488")</f>
        <v>https://twitter.com/valoraanalitik/status/1690513763831615488</v>
      </c>
      <c r="AF3720" s="79">
        <v>45151.000740740739</v>
      </c>
      <c r="AG3720" s="85">
        <v>45151</v>
      </c>
      <c r="AH3720" s="82" t="s">
        <v>10146</v>
      </c>
      <c r="AI3720" s="77" t="b">
        <v>0</v>
      </c>
      <c r="AJ3720" s="77"/>
      <c r="AK3720" s="77"/>
      <c r="AL3720" s="77"/>
      <c r="AM3720" s="77"/>
      <c r="AN3720" s="77"/>
      <c r="AO3720" s="77"/>
      <c r="AP3720" s="77"/>
      <c r="AQ3720" s="77"/>
      <c r="AR3720" s="77"/>
      <c r="AS3720" s="77"/>
      <c r="AT3720" s="77"/>
      <c r="AU3720" s="77"/>
      <c r="AV3720" s="80" t="str">
        <f>HYPERLINK("https://pbs.twimg.com/profile_images/1475155236713029641/7Lb8npQr_normal.jpg")</f>
        <v>https://pbs.twimg.com/profile_images/1475155236713029641/7Lb8npQr_normal.jpg</v>
      </c>
      <c r="AW3720" s="82" t="s">
        <v>15299</v>
      </c>
      <c r="AX3720" s="82" t="s">
        <v>15299</v>
      </c>
      <c r="AY3720" s="77"/>
      <c r="AZ3720" s="82" t="s">
        <v>15984</v>
      </c>
      <c r="BA3720" s="82" t="s">
        <v>15984</v>
      </c>
      <c r="BB3720" s="82" t="s">
        <v>15984</v>
      </c>
      <c r="BC3720" s="82" t="s">
        <v>15299</v>
      </c>
      <c r="BD3720" s="77">
        <v>20980846</v>
      </c>
      <c r="BE3720" s="77"/>
      <c r="BF3720" s="77"/>
      <c r="BG3720" s="77"/>
      <c r="BH3720" s="77"/>
      <c r="BI3720" s="77"/>
    </row>
    <row r="3721" spans="1:61" x14ac:dyDescent="0.25">
      <c r="A3721" s="62" t="s">
        <v>614</v>
      </c>
      <c r="B3721" s="62" t="s">
        <v>753</v>
      </c>
      <c r="C3721" s="63"/>
      <c r="D3721" s="64"/>
      <c r="E3721" s="65"/>
      <c r="F3721" s="66"/>
      <c r="G3721" s="63"/>
      <c r="H3721" s="67"/>
      <c r="I3721" s="68"/>
      <c r="J3721" s="68"/>
      <c r="K3721" s="32"/>
      <c r="L3721" s="75">
        <v>3721</v>
      </c>
      <c r="M3721" s="75"/>
      <c r="N3721" s="70"/>
      <c r="O3721" s="77" t="s">
        <v>895</v>
      </c>
      <c r="P3721" s="79">
        <v>45173.908437500002</v>
      </c>
      <c r="Q3721" s="77" t="s">
        <v>2174</v>
      </c>
      <c r="R3721" s="77">
        <v>2</v>
      </c>
      <c r="S3721" s="77">
        <v>3</v>
      </c>
      <c r="T3721" s="77">
        <v>0</v>
      </c>
      <c r="U3721" s="77">
        <v>0</v>
      </c>
      <c r="V3721" s="77">
        <v>885</v>
      </c>
      <c r="W3721" s="82" t="s">
        <v>4821</v>
      </c>
      <c r="X3721" s="80" t="str">
        <f>HYPERLINK("https://www.valoraanalitik.com/2023/09/04/minhacienda-espera-inflacion-estable-en-agosto/")</f>
        <v>https://www.valoraanalitik.com/2023/09/04/minhacienda-espera-inflacion-estable-en-agosto/</v>
      </c>
      <c r="Y3721" s="77" t="s">
        <v>6471</v>
      </c>
      <c r="Z3721" s="77" t="s">
        <v>6630</v>
      </c>
      <c r="AA3721" s="77"/>
      <c r="AB3721" s="77"/>
      <c r="AC3721" s="82" t="s">
        <v>7750</v>
      </c>
      <c r="AD3721" s="77" t="s">
        <v>7790</v>
      </c>
      <c r="AE3721" s="80" t="str">
        <f>HYPERLINK("https://twitter.com/valoraanalitik/status/1698815238156538154")</f>
        <v>https://twitter.com/valoraanalitik/status/1698815238156538154</v>
      </c>
      <c r="AF3721" s="79">
        <v>45173.908437500002</v>
      </c>
      <c r="AG3721" s="85">
        <v>45173</v>
      </c>
      <c r="AH3721" s="82" t="s">
        <v>9030</v>
      </c>
      <c r="AI3721" s="77" t="b">
        <v>0</v>
      </c>
      <c r="AJ3721" s="77"/>
      <c r="AK3721" s="77"/>
      <c r="AL3721" s="77"/>
      <c r="AM3721" s="77"/>
      <c r="AN3721" s="77"/>
      <c r="AO3721" s="77"/>
      <c r="AP3721" s="77"/>
      <c r="AQ3721" s="77"/>
      <c r="AR3721" s="77"/>
      <c r="AS3721" s="77"/>
      <c r="AT3721" s="77"/>
      <c r="AU3721" s="77"/>
      <c r="AV3721" s="80" t="str">
        <f>HYPERLINK("https://pbs.twimg.com/profile_images/1475155236713029641/7Lb8npQr_normal.jpg")</f>
        <v>https://pbs.twimg.com/profile_images/1475155236713029641/7Lb8npQr_normal.jpg</v>
      </c>
      <c r="AW3721" s="82" t="s">
        <v>13061</v>
      </c>
      <c r="AX3721" s="82" t="s">
        <v>13061</v>
      </c>
      <c r="AY3721" s="77"/>
      <c r="AZ3721" s="82" t="s">
        <v>15984</v>
      </c>
      <c r="BA3721" s="82" t="s">
        <v>15984</v>
      </c>
      <c r="BB3721" s="82" t="s">
        <v>15984</v>
      </c>
      <c r="BC3721" s="82" t="s">
        <v>13061</v>
      </c>
      <c r="BD3721" s="77">
        <v>20980846</v>
      </c>
      <c r="BE3721" s="77"/>
      <c r="BF3721" s="77"/>
      <c r="BG3721" s="77"/>
      <c r="BH3721" s="77"/>
      <c r="BI3721" s="77"/>
    </row>
    <row r="3722" spans="1:61" x14ac:dyDescent="0.25">
      <c r="A3722" s="62" t="s">
        <v>614</v>
      </c>
      <c r="B3722" s="62" t="s">
        <v>753</v>
      </c>
      <c r="C3722" s="63"/>
      <c r="D3722" s="64"/>
      <c r="E3722" s="65"/>
      <c r="F3722" s="66"/>
      <c r="G3722" s="63"/>
      <c r="H3722" s="67"/>
      <c r="I3722" s="68"/>
      <c r="J3722" s="68"/>
      <c r="K3722" s="32"/>
      <c r="L3722" s="75">
        <v>3722</v>
      </c>
      <c r="M3722" s="75"/>
      <c r="N3722" s="70"/>
      <c r="O3722" s="77" t="s">
        <v>895</v>
      </c>
      <c r="P3722" s="79">
        <v>45168.62804398148</v>
      </c>
      <c r="Q3722" s="77" t="s">
        <v>2124</v>
      </c>
      <c r="R3722" s="77">
        <v>1</v>
      </c>
      <c r="S3722" s="77">
        <v>4</v>
      </c>
      <c r="T3722" s="77">
        <v>1</v>
      </c>
      <c r="U3722" s="77">
        <v>0</v>
      </c>
      <c r="V3722" s="77">
        <v>853</v>
      </c>
      <c r="W3722" s="82" t="s">
        <v>4821</v>
      </c>
      <c r="X3722" s="80" t="str">
        <f>HYPERLINK("https://www.valoraanalitik.com/2023/08/30/impuestos-empresas-colombia-que-tanto-pesan-en-el-pais/")</f>
        <v>https://www.valoraanalitik.com/2023/08/30/impuestos-empresas-colombia-que-tanto-pesan-en-el-pais/</v>
      </c>
      <c r="Y3722" s="77" t="s">
        <v>6471</v>
      </c>
      <c r="Z3722" s="77" t="s">
        <v>6605</v>
      </c>
      <c r="AA3722" s="77"/>
      <c r="AB3722" s="77"/>
      <c r="AC3722" s="82" t="s">
        <v>7750</v>
      </c>
      <c r="AD3722" s="77" t="s">
        <v>7790</v>
      </c>
      <c r="AE3722" s="80" t="str">
        <f>HYPERLINK("https://twitter.com/valoraanalitik/status/1696901684218221039")</f>
        <v>https://twitter.com/valoraanalitik/status/1696901684218221039</v>
      </c>
      <c r="AF3722" s="79">
        <v>45168.62804398148</v>
      </c>
      <c r="AG3722" s="85">
        <v>45168</v>
      </c>
      <c r="AH3722" s="82" t="s">
        <v>8982</v>
      </c>
      <c r="AI3722" s="77" t="b">
        <v>0</v>
      </c>
      <c r="AJ3722" s="77"/>
      <c r="AK3722" s="77"/>
      <c r="AL3722" s="77"/>
      <c r="AM3722" s="77"/>
      <c r="AN3722" s="77"/>
      <c r="AO3722" s="77"/>
      <c r="AP3722" s="77"/>
      <c r="AQ3722" s="77"/>
      <c r="AR3722" s="77"/>
      <c r="AS3722" s="77"/>
      <c r="AT3722" s="77"/>
      <c r="AU3722" s="77"/>
      <c r="AV3722" s="80" t="str">
        <f>HYPERLINK("https://pbs.twimg.com/profile_images/1475155236713029641/7Lb8npQr_normal.jpg")</f>
        <v>https://pbs.twimg.com/profile_images/1475155236713029641/7Lb8npQr_normal.jpg</v>
      </c>
      <c r="AW3722" s="82" t="s">
        <v>13011</v>
      </c>
      <c r="AX3722" s="82" t="s">
        <v>13011</v>
      </c>
      <c r="AY3722" s="77"/>
      <c r="AZ3722" s="82" t="s">
        <v>15984</v>
      </c>
      <c r="BA3722" s="82" t="s">
        <v>15984</v>
      </c>
      <c r="BB3722" s="82" t="s">
        <v>15984</v>
      </c>
      <c r="BC3722" s="82" t="s">
        <v>13011</v>
      </c>
      <c r="BD3722" s="77">
        <v>20980846</v>
      </c>
      <c r="BE3722" s="77"/>
      <c r="BF3722" s="77"/>
      <c r="BG3722" s="77"/>
      <c r="BH3722" s="77"/>
      <c r="BI3722" s="77"/>
    </row>
    <row r="3723" spans="1:61" x14ac:dyDescent="0.25">
      <c r="A3723" s="62" t="s">
        <v>614</v>
      </c>
      <c r="B3723" s="62" t="s">
        <v>753</v>
      </c>
      <c r="C3723" s="63"/>
      <c r="D3723" s="64"/>
      <c r="E3723" s="65"/>
      <c r="F3723" s="66"/>
      <c r="G3723" s="63"/>
      <c r="H3723" s="67"/>
      <c r="I3723" s="68"/>
      <c r="J3723" s="68"/>
      <c r="K3723" s="32"/>
      <c r="L3723" s="75">
        <v>3723</v>
      </c>
      <c r="M3723" s="75"/>
      <c r="N3723" s="70"/>
      <c r="O3723" s="77" t="s">
        <v>895</v>
      </c>
      <c r="P3723" s="79">
        <v>45139.714814814812</v>
      </c>
      <c r="Q3723" s="77" t="s">
        <v>2159</v>
      </c>
      <c r="R3723" s="77">
        <v>4</v>
      </c>
      <c r="S3723" s="77">
        <v>5</v>
      </c>
      <c r="T3723" s="77">
        <v>1</v>
      </c>
      <c r="U3723" s="77">
        <v>0</v>
      </c>
      <c r="V3723" s="77">
        <v>1254</v>
      </c>
      <c r="W3723" s="82" t="s">
        <v>4821</v>
      </c>
      <c r="X3723" s="80" t="str">
        <f>HYPERLINK("https://bit.ly/478FbcF")</f>
        <v>https://bit.ly/478FbcF</v>
      </c>
      <c r="Y3723" s="77" t="s">
        <v>6468</v>
      </c>
      <c r="Z3723" s="77" t="s">
        <v>6628</v>
      </c>
      <c r="AA3723" s="77"/>
      <c r="AB3723" s="77"/>
      <c r="AC3723" s="82" t="s">
        <v>7775</v>
      </c>
      <c r="AD3723" s="77" t="s">
        <v>7790</v>
      </c>
      <c r="AE3723" s="80" t="str">
        <f>HYPERLINK("https://twitter.com/valoraanalitik/status/1686423882960457747")</f>
        <v>https://twitter.com/valoraanalitik/status/1686423882960457747</v>
      </c>
      <c r="AF3723" s="79">
        <v>45139.714814814812</v>
      </c>
      <c r="AG3723" s="85">
        <v>45139</v>
      </c>
      <c r="AH3723" s="82" t="s">
        <v>9015</v>
      </c>
      <c r="AI3723" s="77" t="b">
        <v>0</v>
      </c>
      <c r="AJ3723" s="77"/>
      <c r="AK3723" s="77"/>
      <c r="AL3723" s="77"/>
      <c r="AM3723" s="77"/>
      <c r="AN3723" s="77"/>
      <c r="AO3723" s="77"/>
      <c r="AP3723" s="77"/>
      <c r="AQ3723" s="77"/>
      <c r="AR3723" s="77"/>
      <c r="AS3723" s="77"/>
      <c r="AT3723" s="77"/>
      <c r="AU3723" s="77"/>
      <c r="AV3723" s="80" t="str">
        <f>HYPERLINK("https://pbs.twimg.com/profile_images/1475155236713029641/7Lb8npQr_normal.jpg")</f>
        <v>https://pbs.twimg.com/profile_images/1475155236713029641/7Lb8npQr_normal.jpg</v>
      </c>
      <c r="AW3723" s="82" t="s">
        <v>13046</v>
      </c>
      <c r="AX3723" s="82" t="s">
        <v>13046</v>
      </c>
      <c r="AY3723" s="77"/>
      <c r="AZ3723" s="82" t="s">
        <v>15984</v>
      </c>
      <c r="BA3723" s="82" t="s">
        <v>15984</v>
      </c>
      <c r="BB3723" s="82" t="s">
        <v>15984</v>
      </c>
      <c r="BC3723" s="82" t="s">
        <v>13046</v>
      </c>
      <c r="BD3723" s="77">
        <v>20980846</v>
      </c>
      <c r="BE3723" s="77"/>
      <c r="BF3723" s="77"/>
      <c r="BG3723" s="77"/>
      <c r="BH3723" s="77"/>
      <c r="BI3723" s="77"/>
    </row>
    <row r="3724" spans="1:61" x14ac:dyDescent="0.25">
      <c r="A3724" s="62" t="s">
        <v>614</v>
      </c>
      <c r="B3724" s="62" t="s">
        <v>753</v>
      </c>
      <c r="C3724" s="63"/>
      <c r="D3724" s="64"/>
      <c r="E3724" s="65"/>
      <c r="F3724" s="66"/>
      <c r="G3724" s="63"/>
      <c r="H3724" s="67"/>
      <c r="I3724" s="68"/>
      <c r="J3724" s="68"/>
      <c r="K3724" s="32"/>
      <c r="L3724" s="75">
        <v>3724</v>
      </c>
      <c r="M3724" s="75"/>
      <c r="N3724" s="70"/>
      <c r="O3724" s="77" t="s">
        <v>895</v>
      </c>
      <c r="P3724" s="79">
        <v>45139.524039351854</v>
      </c>
      <c r="Q3724" s="77" t="s">
        <v>4374</v>
      </c>
      <c r="R3724" s="77">
        <v>5</v>
      </c>
      <c r="S3724" s="77">
        <v>12</v>
      </c>
      <c r="T3724" s="77">
        <v>0</v>
      </c>
      <c r="U3724" s="77">
        <v>0</v>
      </c>
      <c r="V3724" s="77">
        <v>1303</v>
      </c>
      <c r="W3724" s="82" t="s">
        <v>4821</v>
      </c>
      <c r="X3724" s="80" t="str">
        <f>HYPERLINK("https://bit.ly/47beS5s")</f>
        <v>https://bit.ly/47beS5s</v>
      </c>
      <c r="Y3724" s="77" t="s">
        <v>6468</v>
      </c>
      <c r="Z3724" s="77" t="s">
        <v>753</v>
      </c>
      <c r="AA3724" s="77"/>
      <c r="AB3724" s="77"/>
      <c r="AC3724" s="82" t="s">
        <v>7775</v>
      </c>
      <c r="AD3724" s="77" t="s">
        <v>7790</v>
      </c>
      <c r="AE3724" s="80" t="str">
        <f>HYPERLINK("https://twitter.com/valoraanalitik/status/1686354748683812864")</f>
        <v>https://twitter.com/valoraanalitik/status/1686354748683812864</v>
      </c>
      <c r="AF3724" s="79">
        <v>45139.524039351854</v>
      </c>
      <c r="AG3724" s="85">
        <v>45139</v>
      </c>
      <c r="AH3724" s="82" t="s">
        <v>10147</v>
      </c>
      <c r="AI3724" s="77" t="b">
        <v>0</v>
      </c>
      <c r="AJ3724" s="77"/>
      <c r="AK3724" s="77"/>
      <c r="AL3724" s="77"/>
      <c r="AM3724" s="77"/>
      <c r="AN3724" s="77"/>
      <c r="AO3724" s="77"/>
      <c r="AP3724" s="77"/>
      <c r="AQ3724" s="77"/>
      <c r="AR3724" s="77"/>
      <c r="AS3724" s="77"/>
      <c r="AT3724" s="77"/>
      <c r="AU3724" s="77"/>
      <c r="AV3724" s="80" t="str">
        <f>HYPERLINK("https://pbs.twimg.com/profile_images/1475155236713029641/7Lb8npQr_normal.jpg")</f>
        <v>https://pbs.twimg.com/profile_images/1475155236713029641/7Lb8npQr_normal.jpg</v>
      </c>
      <c r="AW3724" s="82" t="s">
        <v>15300</v>
      </c>
      <c r="AX3724" s="82" t="s">
        <v>15300</v>
      </c>
      <c r="AY3724" s="77"/>
      <c r="AZ3724" s="82" t="s">
        <v>15984</v>
      </c>
      <c r="BA3724" s="82" t="s">
        <v>15984</v>
      </c>
      <c r="BB3724" s="82" t="s">
        <v>15984</v>
      </c>
      <c r="BC3724" s="82" t="s">
        <v>15300</v>
      </c>
      <c r="BD3724" s="77">
        <v>20980846</v>
      </c>
      <c r="BE3724" s="77"/>
      <c r="BF3724" s="77"/>
      <c r="BG3724" s="77"/>
      <c r="BH3724" s="77"/>
      <c r="BI3724" s="77"/>
    </row>
    <row r="3725" spans="1:61" x14ac:dyDescent="0.25">
      <c r="A3725" s="62" t="s">
        <v>614</v>
      </c>
      <c r="B3725" s="62" t="s">
        <v>753</v>
      </c>
      <c r="C3725" s="63"/>
      <c r="D3725" s="64"/>
      <c r="E3725" s="65"/>
      <c r="F3725" s="66"/>
      <c r="G3725" s="63"/>
      <c r="H3725" s="67"/>
      <c r="I3725" s="68"/>
      <c r="J3725" s="68"/>
      <c r="K3725" s="32"/>
      <c r="L3725" s="75">
        <v>3725</v>
      </c>
      <c r="M3725" s="75"/>
      <c r="N3725" s="70"/>
      <c r="O3725" s="77" t="s">
        <v>895</v>
      </c>
      <c r="P3725" s="79">
        <v>45139.485590277778</v>
      </c>
      <c r="Q3725" s="77" t="s">
        <v>2160</v>
      </c>
      <c r="R3725" s="77">
        <v>4</v>
      </c>
      <c r="S3725" s="77">
        <v>7</v>
      </c>
      <c r="T3725" s="77">
        <v>1</v>
      </c>
      <c r="U3725" s="77">
        <v>0</v>
      </c>
      <c r="V3725" s="77">
        <v>1794</v>
      </c>
      <c r="W3725" s="82" t="s">
        <v>4821</v>
      </c>
      <c r="X3725" s="80" t="str">
        <f>HYPERLINK("https://www.valoraanalitik.com/2023/08/01/dolar-colombia-podria-impulsar-la-baja-de-precios/")</f>
        <v>https://www.valoraanalitik.com/2023/08/01/dolar-colombia-podria-impulsar-la-baja-de-precios/</v>
      </c>
      <c r="Y3725" s="77" t="s">
        <v>6471</v>
      </c>
      <c r="Z3725" s="77" t="s">
        <v>6629</v>
      </c>
      <c r="AA3725" s="77"/>
      <c r="AB3725" s="77"/>
      <c r="AC3725" s="82" t="s">
        <v>7750</v>
      </c>
      <c r="AD3725" s="77" t="s">
        <v>7790</v>
      </c>
      <c r="AE3725" s="80" t="str">
        <f>HYPERLINK("https://twitter.com/valoraanalitik/status/1686340813322674176")</f>
        <v>https://twitter.com/valoraanalitik/status/1686340813322674176</v>
      </c>
      <c r="AF3725" s="79">
        <v>45139.485590277778</v>
      </c>
      <c r="AG3725" s="85">
        <v>45139</v>
      </c>
      <c r="AH3725" s="82" t="s">
        <v>9016</v>
      </c>
      <c r="AI3725" s="77" t="b">
        <v>0</v>
      </c>
      <c r="AJ3725" s="77"/>
      <c r="AK3725" s="77"/>
      <c r="AL3725" s="77"/>
      <c r="AM3725" s="77"/>
      <c r="AN3725" s="77"/>
      <c r="AO3725" s="77"/>
      <c r="AP3725" s="77"/>
      <c r="AQ3725" s="77"/>
      <c r="AR3725" s="77"/>
      <c r="AS3725" s="77"/>
      <c r="AT3725" s="77"/>
      <c r="AU3725" s="77"/>
      <c r="AV3725" s="80" t="str">
        <f>HYPERLINK("https://pbs.twimg.com/profile_images/1475155236713029641/7Lb8npQr_normal.jpg")</f>
        <v>https://pbs.twimg.com/profile_images/1475155236713029641/7Lb8npQr_normal.jpg</v>
      </c>
      <c r="AW3725" s="82" t="s">
        <v>13047</v>
      </c>
      <c r="AX3725" s="82" t="s">
        <v>13047</v>
      </c>
      <c r="AY3725" s="77"/>
      <c r="AZ3725" s="82" t="s">
        <v>15984</v>
      </c>
      <c r="BA3725" s="82" t="s">
        <v>15984</v>
      </c>
      <c r="BB3725" s="82" t="s">
        <v>15984</v>
      </c>
      <c r="BC3725" s="82" t="s">
        <v>13047</v>
      </c>
      <c r="BD3725" s="77">
        <v>20980846</v>
      </c>
      <c r="BE3725" s="77"/>
      <c r="BF3725" s="77"/>
      <c r="BG3725" s="77"/>
      <c r="BH3725" s="77"/>
      <c r="BI3725" s="77"/>
    </row>
    <row r="3726" spans="1:61" x14ac:dyDescent="0.25">
      <c r="A3726" s="62" t="s">
        <v>614</v>
      </c>
      <c r="B3726" s="62" t="s">
        <v>753</v>
      </c>
      <c r="C3726" s="63"/>
      <c r="D3726" s="64"/>
      <c r="E3726" s="65"/>
      <c r="F3726" s="66"/>
      <c r="G3726" s="63"/>
      <c r="H3726" s="67"/>
      <c r="I3726" s="68"/>
      <c r="J3726" s="68"/>
      <c r="K3726" s="32"/>
      <c r="L3726" s="75">
        <v>3726</v>
      </c>
      <c r="M3726" s="75"/>
      <c r="N3726" s="70"/>
      <c r="O3726" s="77" t="s">
        <v>895</v>
      </c>
      <c r="P3726" s="79">
        <v>45190.059212962966</v>
      </c>
      <c r="Q3726" s="77" t="s">
        <v>4375</v>
      </c>
      <c r="R3726" s="77">
        <v>4</v>
      </c>
      <c r="S3726" s="77">
        <v>3</v>
      </c>
      <c r="T3726" s="77">
        <v>1</v>
      </c>
      <c r="U3726" s="77">
        <v>1</v>
      </c>
      <c r="V3726" s="77">
        <v>5590</v>
      </c>
      <c r="W3726" s="82" t="s">
        <v>4821</v>
      </c>
      <c r="X3726" s="80" t="str">
        <f>HYPERLINK("https://www.valoraanalitik.com/2023/09/20/minhacienda-desmiente-que-subsidio-de-gasolina-a-taxistas-saldra-del-fondo-de-combustibles/")</f>
        <v>https://www.valoraanalitik.com/2023/09/20/minhacienda-desmiente-que-subsidio-de-gasolina-a-taxistas-saldra-del-fondo-de-combustibles/</v>
      </c>
      <c r="Y3726" s="77" t="s">
        <v>6471</v>
      </c>
      <c r="Z3726" s="77" t="s">
        <v>753</v>
      </c>
      <c r="AA3726" s="77" t="s">
        <v>7722</v>
      </c>
      <c r="AB3726" s="77" t="s">
        <v>7742</v>
      </c>
      <c r="AC3726" s="82" t="s">
        <v>7750</v>
      </c>
      <c r="AD3726" s="77" t="s">
        <v>7790</v>
      </c>
      <c r="AE3726" s="80" t="str">
        <f>HYPERLINK("https://twitter.com/valoraanalitik/status/1704668079572111672")</f>
        <v>https://twitter.com/valoraanalitik/status/1704668079572111672</v>
      </c>
      <c r="AF3726" s="79">
        <v>45190.059212962966</v>
      </c>
      <c r="AG3726" s="85">
        <v>45190</v>
      </c>
      <c r="AH3726" s="82" t="s">
        <v>10148</v>
      </c>
      <c r="AI3726" s="77" t="b">
        <v>0</v>
      </c>
      <c r="AJ3726" s="77"/>
      <c r="AK3726" s="77"/>
      <c r="AL3726" s="77"/>
      <c r="AM3726" s="77"/>
      <c r="AN3726" s="77"/>
      <c r="AO3726" s="77"/>
      <c r="AP3726" s="77"/>
      <c r="AQ3726" s="77" t="s">
        <v>11694</v>
      </c>
      <c r="AR3726" s="77"/>
      <c r="AS3726" s="77"/>
      <c r="AT3726" s="77"/>
      <c r="AU3726" s="77"/>
      <c r="AV3726" s="80" t="str">
        <f>HYPERLINK("https://pbs.twimg.com/media/F6gyd-MWwAAiSd0.png")</f>
        <v>https://pbs.twimg.com/media/F6gyd-MWwAAiSd0.png</v>
      </c>
      <c r="AW3726" s="82" t="s">
        <v>15301</v>
      </c>
      <c r="AX3726" s="82" t="s">
        <v>15301</v>
      </c>
      <c r="AY3726" s="77"/>
      <c r="AZ3726" s="82" t="s">
        <v>15984</v>
      </c>
      <c r="BA3726" s="82" t="s">
        <v>15984</v>
      </c>
      <c r="BB3726" s="82" t="s">
        <v>15984</v>
      </c>
      <c r="BC3726" s="82" t="s">
        <v>15301</v>
      </c>
      <c r="BD3726" s="77">
        <v>20980846</v>
      </c>
      <c r="BE3726" s="77"/>
      <c r="BF3726" s="77"/>
      <c r="BG3726" s="77"/>
      <c r="BH3726" s="77"/>
      <c r="BI3726" s="77"/>
    </row>
    <row r="3727" spans="1:61" x14ac:dyDescent="0.25">
      <c r="A3727" s="62" t="s">
        <v>614</v>
      </c>
      <c r="B3727" s="62" t="s">
        <v>753</v>
      </c>
      <c r="C3727" s="63"/>
      <c r="D3727" s="64"/>
      <c r="E3727" s="65"/>
      <c r="F3727" s="66"/>
      <c r="G3727" s="63"/>
      <c r="H3727" s="67"/>
      <c r="I3727" s="68"/>
      <c r="J3727" s="68"/>
      <c r="K3727" s="32"/>
      <c r="L3727" s="75">
        <v>3727</v>
      </c>
      <c r="M3727" s="75"/>
      <c r="N3727" s="70"/>
      <c r="O3727" s="77" t="s">
        <v>895</v>
      </c>
      <c r="P3727" s="79">
        <v>45173.813576388886</v>
      </c>
      <c r="Q3727" s="77" t="s">
        <v>2228</v>
      </c>
      <c r="R3727" s="77">
        <v>0</v>
      </c>
      <c r="S3727" s="77">
        <v>5</v>
      </c>
      <c r="T3727" s="77">
        <v>0</v>
      </c>
      <c r="U3727" s="77">
        <v>1</v>
      </c>
      <c r="V3727" s="77">
        <v>2039</v>
      </c>
      <c r="W3727" s="82" t="s">
        <v>4821</v>
      </c>
      <c r="X3727" s="80" t="str">
        <f>HYPERLINK("https://www.valoraanalitik.com/2023/09/04/gobierno-petro-busca-presidente-para-grupo-bicentenario-tendra-mas-entidades-a-cargo/")</f>
        <v>https://www.valoraanalitik.com/2023/09/04/gobierno-petro-busca-presidente-para-grupo-bicentenario-tendra-mas-entidades-a-cargo/</v>
      </c>
      <c r="Y3727" s="77" t="s">
        <v>6471</v>
      </c>
      <c r="Z3727" s="77" t="s">
        <v>6637</v>
      </c>
      <c r="AA3727" s="77"/>
      <c r="AB3727" s="77"/>
      <c r="AC3727" s="82" t="s">
        <v>7750</v>
      </c>
      <c r="AD3727" s="77" t="s">
        <v>7790</v>
      </c>
      <c r="AE3727" s="80" t="str">
        <f>HYPERLINK("https://twitter.com/valoraanalitik/status/1698780858939748750")</f>
        <v>https://twitter.com/valoraanalitik/status/1698780858939748750</v>
      </c>
      <c r="AF3727" s="79">
        <v>45173.813576388886</v>
      </c>
      <c r="AG3727" s="85">
        <v>45173</v>
      </c>
      <c r="AH3727" s="82" t="s">
        <v>9086</v>
      </c>
      <c r="AI3727" s="77" t="b">
        <v>0</v>
      </c>
      <c r="AJ3727" s="77"/>
      <c r="AK3727" s="77"/>
      <c r="AL3727" s="77"/>
      <c r="AM3727" s="77"/>
      <c r="AN3727" s="77"/>
      <c r="AO3727" s="77"/>
      <c r="AP3727" s="77"/>
      <c r="AQ3727" s="77"/>
      <c r="AR3727" s="77"/>
      <c r="AS3727" s="77"/>
      <c r="AT3727" s="77"/>
      <c r="AU3727" s="77"/>
      <c r="AV3727" s="80" t="str">
        <f>HYPERLINK("https://pbs.twimg.com/profile_images/1475155236713029641/7Lb8npQr_normal.jpg")</f>
        <v>https://pbs.twimg.com/profile_images/1475155236713029641/7Lb8npQr_normal.jpg</v>
      </c>
      <c r="AW3727" s="82" t="s">
        <v>13119</v>
      </c>
      <c r="AX3727" s="82" t="s">
        <v>13119</v>
      </c>
      <c r="AY3727" s="77"/>
      <c r="AZ3727" s="82" t="s">
        <v>15984</v>
      </c>
      <c r="BA3727" s="82" t="s">
        <v>15984</v>
      </c>
      <c r="BB3727" s="82" t="s">
        <v>15984</v>
      </c>
      <c r="BC3727" s="82" t="s">
        <v>13119</v>
      </c>
      <c r="BD3727" s="77">
        <v>20980846</v>
      </c>
      <c r="BE3727" s="77"/>
      <c r="BF3727" s="77"/>
      <c r="BG3727" s="77"/>
      <c r="BH3727" s="77"/>
      <c r="BI3727" s="77"/>
    </row>
    <row r="3728" spans="1:61" x14ac:dyDescent="0.25">
      <c r="A3728" s="62" t="s">
        <v>614</v>
      </c>
      <c r="B3728" s="62" t="s">
        <v>753</v>
      </c>
      <c r="C3728" s="63"/>
      <c r="D3728" s="64"/>
      <c r="E3728" s="65"/>
      <c r="F3728" s="66"/>
      <c r="G3728" s="63"/>
      <c r="H3728" s="67"/>
      <c r="I3728" s="68"/>
      <c r="J3728" s="68"/>
      <c r="K3728" s="32"/>
      <c r="L3728" s="75">
        <v>3728</v>
      </c>
      <c r="M3728" s="75"/>
      <c r="N3728" s="70"/>
      <c r="O3728" s="77" t="s">
        <v>895</v>
      </c>
      <c r="P3728" s="79">
        <v>45173.637708333335</v>
      </c>
      <c r="Q3728" s="77" t="s">
        <v>4376</v>
      </c>
      <c r="R3728" s="77">
        <v>3</v>
      </c>
      <c r="S3728" s="77">
        <v>8</v>
      </c>
      <c r="T3728" s="77">
        <v>1</v>
      </c>
      <c r="U3728" s="77">
        <v>0</v>
      </c>
      <c r="V3728" s="77">
        <v>1014</v>
      </c>
      <c r="W3728" s="82" t="s">
        <v>4821</v>
      </c>
      <c r="X3728" s="80" t="str">
        <f>HYPERLINK("https://www.valoraanalitik.com/2023/09/04/precio-gasolina-colombia-bogota-y-medellin-superan-los-14000/")</f>
        <v>https://www.valoraanalitik.com/2023/09/04/precio-gasolina-colombia-bogota-y-medellin-superan-los-14000/</v>
      </c>
      <c r="Y3728" s="77" t="s">
        <v>6471</v>
      </c>
      <c r="Z3728" s="77" t="s">
        <v>753</v>
      </c>
      <c r="AA3728" s="77"/>
      <c r="AB3728" s="77"/>
      <c r="AC3728" s="82" t="s">
        <v>7750</v>
      </c>
      <c r="AD3728" s="77" t="s">
        <v>7790</v>
      </c>
      <c r="AE3728" s="80" t="str">
        <f>HYPERLINK("https://twitter.com/valoraanalitik/status/1698717127480393781")</f>
        <v>https://twitter.com/valoraanalitik/status/1698717127480393781</v>
      </c>
      <c r="AF3728" s="79">
        <v>45173.637708333335</v>
      </c>
      <c r="AG3728" s="85">
        <v>45173</v>
      </c>
      <c r="AH3728" s="82" t="s">
        <v>7917</v>
      </c>
      <c r="AI3728" s="77" t="b">
        <v>0</v>
      </c>
      <c r="AJ3728" s="77"/>
      <c r="AK3728" s="77"/>
      <c r="AL3728" s="77"/>
      <c r="AM3728" s="77"/>
      <c r="AN3728" s="77"/>
      <c r="AO3728" s="77"/>
      <c r="AP3728" s="77"/>
      <c r="AQ3728" s="77"/>
      <c r="AR3728" s="77"/>
      <c r="AS3728" s="77"/>
      <c r="AT3728" s="77"/>
      <c r="AU3728" s="77"/>
      <c r="AV3728" s="80" t="str">
        <f>HYPERLINK("https://pbs.twimg.com/profile_images/1475155236713029641/7Lb8npQr_normal.jpg")</f>
        <v>https://pbs.twimg.com/profile_images/1475155236713029641/7Lb8npQr_normal.jpg</v>
      </c>
      <c r="AW3728" s="82" t="s">
        <v>15302</v>
      </c>
      <c r="AX3728" s="82" t="s">
        <v>15302</v>
      </c>
      <c r="AY3728" s="77"/>
      <c r="AZ3728" s="82" t="s">
        <v>15984</v>
      </c>
      <c r="BA3728" s="82" t="s">
        <v>15984</v>
      </c>
      <c r="BB3728" s="82" t="s">
        <v>15984</v>
      </c>
      <c r="BC3728" s="82" t="s">
        <v>15302</v>
      </c>
      <c r="BD3728" s="77">
        <v>20980846</v>
      </c>
      <c r="BE3728" s="77"/>
      <c r="BF3728" s="77"/>
      <c r="BG3728" s="77"/>
      <c r="BH3728" s="77"/>
      <c r="BI3728" s="77"/>
    </row>
    <row r="3729" spans="1:61" x14ac:dyDescent="0.25">
      <c r="A3729" s="62" t="s">
        <v>614</v>
      </c>
      <c r="B3729" s="62" t="s">
        <v>753</v>
      </c>
      <c r="C3729" s="63"/>
      <c r="D3729" s="64"/>
      <c r="E3729" s="65"/>
      <c r="F3729" s="66"/>
      <c r="G3729" s="63"/>
      <c r="H3729" s="67"/>
      <c r="I3729" s="68"/>
      <c r="J3729" s="68"/>
      <c r="K3729" s="32"/>
      <c r="L3729" s="75">
        <v>3729</v>
      </c>
      <c r="M3729" s="75"/>
      <c r="N3729" s="70"/>
      <c r="O3729" s="77" t="s">
        <v>895</v>
      </c>
      <c r="P3729" s="79">
        <v>45141.789641203701</v>
      </c>
      <c r="Q3729" s="77" t="s">
        <v>2161</v>
      </c>
      <c r="R3729" s="77">
        <v>5</v>
      </c>
      <c r="S3729" s="77">
        <v>6</v>
      </c>
      <c r="T3729" s="77">
        <v>1</v>
      </c>
      <c r="U3729" s="77">
        <v>0</v>
      </c>
      <c r="V3729" s="77">
        <v>8263</v>
      </c>
      <c r="W3729" s="82" t="s">
        <v>4821</v>
      </c>
      <c r="X3729" s="80" t="str">
        <f>HYPERLINK("https://bit.ly/44R8rTn")</f>
        <v>https://bit.ly/44R8rTn</v>
      </c>
      <c r="Y3729" s="77" t="s">
        <v>6468</v>
      </c>
      <c r="Z3729" s="77" t="s">
        <v>6622</v>
      </c>
      <c r="AA3729" s="77"/>
      <c r="AB3729" s="77"/>
      <c r="AC3729" s="82" t="s">
        <v>7775</v>
      </c>
      <c r="AD3729" s="77" t="s">
        <v>7790</v>
      </c>
      <c r="AE3729" s="80" t="str">
        <f>HYPERLINK("https://twitter.com/valoraanalitik/status/1687175776536346626")</f>
        <v>https://twitter.com/valoraanalitik/status/1687175776536346626</v>
      </c>
      <c r="AF3729" s="79">
        <v>45141.789641203701</v>
      </c>
      <c r="AG3729" s="85">
        <v>45141</v>
      </c>
      <c r="AH3729" s="82" t="s">
        <v>9017</v>
      </c>
      <c r="AI3729" s="77" t="b">
        <v>0</v>
      </c>
      <c r="AJ3729" s="77"/>
      <c r="AK3729" s="77"/>
      <c r="AL3729" s="77"/>
      <c r="AM3729" s="77"/>
      <c r="AN3729" s="77"/>
      <c r="AO3729" s="77"/>
      <c r="AP3729" s="77"/>
      <c r="AQ3729" s="77"/>
      <c r="AR3729" s="77"/>
      <c r="AS3729" s="77"/>
      <c r="AT3729" s="77"/>
      <c r="AU3729" s="77"/>
      <c r="AV3729" s="80" t="str">
        <f>HYPERLINK("https://pbs.twimg.com/profile_images/1475155236713029641/7Lb8npQr_normal.jpg")</f>
        <v>https://pbs.twimg.com/profile_images/1475155236713029641/7Lb8npQr_normal.jpg</v>
      </c>
      <c r="AW3729" s="82" t="s">
        <v>13048</v>
      </c>
      <c r="AX3729" s="82" t="s">
        <v>13048</v>
      </c>
      <c r="AY3729" s="77"/>
      <c r="AZ3729" s="82" t="s">
        <v>15984</v>
      </c>
      <c r="BA3729" s="82" t="s">
        <v>15984</v>
      </c>
      <c r="BB3729" s="82" t="s">
        <v>15984</v>
      </c>
      <c r="BC3729" s="82" t="s">
        <v>13048</v>
      </c>
      <c r="BD3729" s="77">
        <v>20980846</v>
      </c>
      <c r="BE3729" s="77"/>
      <c r="BF3729" s="77"/>
      <c r="BG3729" s="77"/>
      <c r="BH3729" s="77"/>
      <c r="BI3729" s="77"/>
    </row>
    <row r="3730" spans="1:61" x14ac:dyDescent="0.25">
      <c r="A3730" s="62" t="s">
        <v>614</v>
      </c>
      <c r="B3730" s="62" t="s">
        <v>753</v>
      </c>
      <c r="C3730" s="63"/>
      <c r="D3730" s="64"/>
      <c r="E3730" s="65"/>
      <c r="F3730" s="66"/>
      <c r="G3730" s="63"/>
      <c r="H3730" s="67"/>
      <c r="I3730" s="68"/>
      <c r="J3730" s="68"/>
      <c r="K3730" s="32"/>
      <c r="L3730" s="75">
        <v>3730</v>
      </c>
      <c r="M3730" s="75"/>
      <c r="N3730" s="70"/>
      <c r="O3730" s="77" t="s">
        <v>895</v>
      </c>
      <c r="P3730" s="79">
        <v>45192.032465277778</v>
      </c>
      <c r="Q3730" s="77" t="s">
        <v>4377</v>
      </c>
      <c r="R3730" s="77">
        <v>10</v>
      </c>
      <c r="S3730" s="77">
        <v>11</v>
      </c>
      <c r="T3730" s="77">
        <v>3</v>
      </c>
      <c r="U3730" s="77">
        <v>2</v>
      </c>
      <c r="V3730" s="77">
        <v>2969</v>
      </c>
      <c r="W3730" s="82" t="s">
        <v>4821</v>
      </c>
      <c r="X3730" s="80" t="str">
        <f>HYPERLINK("https://www.valoraanalitik.com/2023/09/22/ministro-bonilla-advierte-por-aumento-del-petroleo-gasolina-podria-subir-hasta-16-000/")</f>
        <v>https://www.valoraanalitik.com/2023/09/22/ministro-bonilla-advierte-por-aumento-del-petroleo-gasolina-podria-subir-hasta-16-000/</v>
      </c>
      <c r="Y3730" s="77" t="s">
        <v>6471</v>
      </c>
      <c r="Z3730" s="77" t="s">
        <v>753</v>
      </c>
      <c r="AA3730" s="77" t="s">
        <v>7723</v>
      </c>
      <c r="AB3730" s="77" t="s">
        <v>7742</v>
      </c>
      <c r="AC3730" s="82" t="s">
        <v>7750</v>
      </c>
      <c r="AD3730" s="77" t="s">
        <v>7790</v>
      </c>
      <c r="AE3730" s="80" t="str">
        <f>HYPERLINK("https://twitter.com/valoraanalitik/status/1705383164678684693")</f>
        <v>https://twitter.com/valoraanalitik/status/1705383164678684693</v>
      </c>
      <c r="AF3730" s="79">
        <v>45192.032465277778</v>
      </c>
      <c r="AG3730" s="85">
        <v>45192</v>
      </c>
      <c r="AH3730" s="82" t="s">
        <v>10149</v>
      </c>
      <c r="AI3730" s="77" t="b">
        <v>0</v>
      </c>
      <c r="AJ3730" s="77"/>
      <c r="AK3730" s="77"/>
      <c r="AL3730" s="77"/>
      <c r="AM3730" s="77"/>
      <c r="AN3730" s="77"/>
      <c r="AO3730" s="77"/>
      <c r="AP3730" s="77"/>
      <c r="AQ3730" s="77" t="s">
        <v>11695</v>
      </c>
      <c r="AR3730" s="77"/>
      <c r="AS3730" s="77"/>
      <c r="AT3730" s="77"/>
      <c r="AU3730" s="77"/>
      <c r="AV3730" s="80" t="str">
        <f>HYPERLINK("https://pbs.twimg.com/media/F6q81e1aoAABjMH.png")</f>
        <v>https://pbs.twimg.com/media/F6q81e1aoAABjMH.png</v>
      </c>
      <c r="AW3730" s="82" t="s">
        <v>15303</v>
      </c>
      <c r="AX3730" s="82" t="s">
        <v>15303</v>
      </c>
      <c r="AY3730" s="77"/>
      <c r="AZ3730" s="82" t="s">
        <v>15984</v>
      </c>
      <c r="BA3730" s="82" t="s">
        <v>15984</v>
      </c>
      <c r="BB3730" s="82" t="s">
        <v>15984</v>
      </c>
      <c r="BC3730" s="82" t="s">
        <v>15303</v>
      </c>
      <c r="BD3730" s="77">
        <v>20980846</v>
      </c>
      <c r="BE3730" s="77"/>
      <c r="BF3730" s="77"/>
      <c r="BG3730" s="77"/>
      <c r="BH3730" s="77"/>
      <c r="BI3730" s="77"/>
    </row>
    <row r="3731" spans="1:61" x14ac:dyDescent="0.25">
      <c r="A3731" s="62" t="s">
        <v>614</v>
      </c>
      <c r="B3731" s="62" t="s">
        <v>753</v>
      </c>
      <c r="C3731" s="63"/>
      <c r="D3731" s="64"/>
      <c r="E3731" s="65"/>
      <c r="F3731" s="66"/>
      <c r="G3731" s="63"/>
      <c r="H3731" s="67"/>
      <c r="I3731" s="68"/>
      <c r="J3731" s="68"/>
      <c r="K3731" s="32"/>
      <c r="L3731" s="75">
        <v>3731</v>
      </c>
      <c r="M3731" s="75"/>
      <c r="N3731" s="70"/>
      <c r="O3731" s="77" t="s">
        <v>895</v>
      </c>
      <c r="P3731" s="79">
        <v>45171.647546296299</v>
      </c>
      <c r="Q3731" s="77" t="s">
        <v>4378</v>
      </c>
      <c r="R3731" s="77">
        <v>0</v>
      </c>
      <c r="S3731" s="77">
        <v>0</v>
      </c>
      <c r="T3731" s="77">
        <v>1</v>
      </c>
      <c r="U3731" s="77">
        <v>0</v>
      </c>
      <c r="V3731" s="77">
        <v>1230</v>
      </c>
      <c r="W3731" s="82" t="s">
        <v>4821</v>
      </c>
      <c r="X3731" s="80" t="str">
        <f>HYPERLINK("https://bit.ly/3Z8yDqH")</f>
        <v>https://bit.ly/3Z8yDqH</v>
      </c>
      <c r="Y3731" s="77" t="s">
        <v>6468</v>
      </c>
      <c r="Z3731" s="77" t="s">
        <v>753</v>
      </c>
      <c r="AA3731" s="77"/>
      <c r="AB3731" s="77"/>
      <c r="AC3731" s="82" t="s">
        <v>7775</v>
      </c>
      <c r="AD3731" s="77" t="s">
        <v>7790</v>
      </c>
      <c r="AE3731" s="80" t="str">
        <f>HYPERLINK("https://twitter.com/valoraanalitik/status/1697995916903391489")</f>
        <v>https://twitter.com/valoraanalitik/status/1697995916903391489</v>
      </c>
      <c r="AF3731" s="79">
        <v>45171.647546296299</v>
      </c>
      <c r="AG3731" s="85">
        <v>45171</v>
      </c>
      <c r="AH3731" s="82" t="s">
        <v>10150</v>
      </c>
      <c r="AI3731" s="77" t="b">
        <v>0</v>
      </c>
      <c r="AJ3731" s="77"/>
      <c r="AK3731" s="77"/>
      <c r="AL3731" s="77"/>
      <c r="AM3731" s="77"/>
      <c r="AN3731" s="77"/>
      <c r="AO3731" s="77"/>
      <c r="AP3731" s="77"/>
      <c r="AQ3731" s="77"/>
      <c r="AR3731" s="77"/>
      <c r="AS3731" s="77"/>
      <c r="AT3731" s="77"/>
      <c r="AU3731" s="77"/>
      <c r="AV3731" s="80" t="str">
        <f>HYPERLINK("https://pbs.twimg.com/profile_images/1475155236713029641/7Lb8npQr_normal.jpg")</f>
        <v>https://pbs.twimg.com/profile_images/1475155236713029641/7Lb8npQr_normal.jpg</v>
      </c>
      <c r="AW3731" s="82" t="s">
        <v>15304</v>
      </c>
      <c r="AX3731" s="82" t="s">
        <v>15304</v>
      </c>
      <c r="AY3731" s="77"/>
      <c r="AZ3731" s="82" t="s">
        <v>15984</v>
      </c>
      <c r="BA3731" s="82" t="s">
        <v>15984</v>
      </c>
      <c r="BB3731" s="82" t="s">
        <v>15984</v>
      </c>
      <c r="BC3731" s="82" t="s">
        <v>15304</v>
      </c>
      <c r="BD3731" s="77">
        <v>20980846</v>
      </c>
      <c r="BE3731" s="77"/>
      <c r="BF3731" s="77"/>
      <c r="BG3731" s="77"/>
      <c r="BH3731" s="77"/>
      <c r="BI3731" s="77"/>
    </row>
    <row r="3732" spans="1:61" x14ac:dyDescent="0.25">
      <c r="A3732" s="62" t="s">
        <v>614</v>
      </c>
      <c r="B3732" s="62" t="s">
        <v>753</v>
      </c>
      <c r="C3732" s="63"/>
      <c r="D3732" s="64"/>
      <c r="E3732" s="65"/>
      <c r="F3732" s="66"/>
      <c r="G3732" s="63"/>
      <c r="H3732" s="67"/>
      <c r="I3732" s="68"/>
      <c r="J3732" s="68"/>
      <c r="K3732" s="32"/>
      <c r="L3732" s="75">
        <v>3732</v>
      </c>
      <c r="M3732" s="75"/>
      <c r="N3732" s="70"/>
      <c r="O3732" s="77" t="s">
        <v>895</v>
      </c>
      <c r="P3732" s="79">
        <v>45170.992719907408</v>
      </c>
      <c r="Q3732" s="77" t="s">
        <v>2350</v>
      </c>
      <c r="R3732" s="77">
        <v>65</v>
      </c>
      <c r="S3732" s="77">
        <v>129</v>
      </c>
      <c r="T3732" s="77">
        <v>3</v>
      </c>
      <c r="U3732" s="77">
        <v>8</v>
      </c>
      <c r="V3732" s="77">
        <v>60523</v>
      </c>
      <c r="W3732" s="82" t="s">
        <v>4821</v>
      </c>
      <c r="X3732" s="80" t="str">
        <f>HYPERLINK("https://www.valoraanalitik.com/2023/09/01/importante-caida-del-deficit-de-cuenta-corriente-de-colombia-en-primer-semestre/")</f>
        <v>https://www.valoraanalitik.com/2023/09/01/importante-caida-del-deficit-de-cuenta-corriente-de-colombia-en-primer-semestre/</v>
      </c>
      <c r="Y3732" s="77" t="s">
        <v>6471</v>
      </c>
      <c r="Z3732" s="77" t="s">
        <v>6574</v>
      </c>
      <c r="AA3732" s="77"/>
      <c r="AB3732" s="77"/>
      <c r="AC3732" s="82" t="s">
        <v>7750</v>
      </c>
      <c r="AD3732" s="77" t="s">
        <v>7790</v>
      </c>
      <c r="AE3732" s="80" t="str">
        <f>HYPERLINK("https://twitter.com/valoraanalitik/status/1697758616386707733")</f>
        <v>https://twitter.com/valoraanalitik/status/1697758616386707733</v>
      </c>
      <c r="AF3732" s="79">
        <v>45170.992719907408</v>
      </c>
      <c r="AG3732" s="85">
        <v>45170</v>
      </c>
      <c r="AH3732" s="82" t="s">
        <v>9184</v>
      </c>
      <c r="AI3732" s="77" t="b">
        <v>0</v>
      </c>
      <c r="AJ3732" s="77"/>
      <c r="AK3732" s="77"/>
      <c r="AL3732" s="77"/>
      <c r="AM3732" s="77"/>
      <c r="AN3732" s="77"/>
      <c r="AO3732" s="77"/>
      <c r="AP3732" s="77"/>
      <c r="AQ3732" s="77"/>
      <c r="AR3732" s="77"/>
      <c r="AS3732" s="77"/>
      <c r="AT3732" s="77"/>
      <c r="AU3732" s="77"/>
      <c r="AV3732" s="80" t="str">
        <f>HYPERLINK("https://pbs.twimg.com/profile_images/1475155236713029641/7Lb8npQr_normal.jpg")</f>
        <v>https://pbs.twimg.com/profile_images/1475155236713029641/7Lb8npQr_normal.jpg</v>
      </c>
      <c r="AW3732" s="82" t="s">
        <v>13242</v>
      </c>
      <c r="AX3732" s="82" t="s">
        <v>13242</v>
      </c>
      <c r="AY3732" s="77"/>
      <c r="AZ3732" s="82" t="s">
        <v>15984</v>
      </c>
      <c r="BA3732" s="82" t="s">
        <v>15984</v>
      </c>
      <c r="BB3732" s="82" t="s">
        <v>15984</v>
      </c>
      <c r="BC3732" s="82" t="s">
        <v>13242</v>
      </c>
      <c r="BD3732" s="77">
        <v>20980846</v>
      </c>
      <c r="BE3732" s="77"/>
      <c r="BF3732" s="77"/>
      <c r="BG3732" s="77"/>
      <c r="BH3732" s="77"/>
      <c r="BI3732" s="77"/>
    </row>
    <row r="3733" spans="1:61" x14ac:dyDescent="0.25">
      <c r="A3733" s="62" t="s">
        <v>727</v>
      </c>
      <c r="B3733" s="62" t="s">
        <v>753</v>
      </c>
      <c r="C3733" s="63"/>
      <c r="D3733" s="64"/>
      <c r="E3733" s="65"/>
      <c r="F3733" s="66"/>
      <c r="G3733" s="63"/>
      <c r="H3733" s="67"/>
      <c r="I3733" s="68"/>
      <c r="J3733" s="68"/>
      <c r="K3733" s="32"/>
      <c r="L3733" s="75">
        <v>3733</v>
      </c>
      <c r="M3733" s="75"/>
      <c r="N3733" s="70"/>
      <c r="O3733" s="77" t="s">
        <v>899</v>
      </c>
      <c r="P3733" s="79">
        <v>45195.311238425929</v>
      </c>
      <c r="Q3733" s="77" t="s">
        <v>1116</v>
      </c>
      <c r="R3733" s="77">
        <v>10</v>
      </c>
      <c r="S3733" s="77">
        <v>0</v>
      </c>
      <c r="T3733" s="77">
        <v>0</v>
      </c>
      <c r="U3733" s="77">
        <v>0</v>
      </c>
      <c r="V3733" s="77"/>
      <c r="W3733" s="82" t="s">
        <v>4821</v>
      </c>
      <c r="X3733" s="77"/>
      <c r="Y3733" s="77"/>
      <c r="Z3733" s="77" t="s">
        <v>6566</v>
      </c>
      <c r="AA3733" s="77"/>
      <c r="AB3733" s="77"/>
      <c r="AC3733" s="82" t="s">
        <v>7751</v>
      </c>
      <c r="AD3733" s="77" t="s">
        <v>7790</v>
      </c>
      <c r="AE3733" s="80" t="str">
        <f>HYPERLINK("https://twitter.com/bogotasinmiedo/status/1706571350121275781")</f>
        <v>https://twitter.com/bogotasinmiedo/status/1706571350121275781</v>
      </c>
      <c r="AF3733" s="79">
        <v>45195.311238425929</v>
      </c>
      <c r="AG3733" s="85">
        <v>45195</v>
      </c>
      <c r="AH3733" s="82" t="s">
        <v>10151</v>
      </c>
      <c r="AI3733" s="77"/>
      <c r="AJ3733" s="77"/>
      <c r="AK3733" s="77"/>
      <c r="AL3733" s="77"/>
      <c r="AM3733" s="77"/>
      <c r="AN3733" s="77"/>
      <c r="AO3733" s="77"/>
      <c r="AP3733" s="77"/>
      <c r="AQ3733" s="77"/>
      <c r="AR3733" s="77"/>
      <c r="AS3733" s="77"/>
      <c r="AT3733" s="77"/>
      <c r="AU3733" s="77"/>
      <c r="AV3733" s="80" t="str">
        <f>HYPERLINK("https://pbs.twimg.com/profile_images/692331802548137984/EQijh4xz_normal.jpg")</f>
        <v>https://pbs.twimg.com/profile_images/692331802548137984/EQijh4xz_normal.jpg</v>
      </c>
      <c r="AW3733" s="82" t="s">
        <v>15305</v>
      </c>
      <c r="AX3733" s="82" t="s">
        <v>15305</v>
      </c>
      <c r="AY3733" s="77"/>
      <c r="AZ3733" s="82" t="s">
        <v>15984</v>
      </c>
      <c r="BA3733" s="82" t="s">
        <v>15984</v>
      </c>
      <c r="BB3733" s="82" t="s">
        <v>15303</v>
      </c>
      <c r="BC3733" s="82" t="s">
        <v>15303</v>
      </c>
      <c r="BD3733" s="77">
        <v>298296446</v>
      </c>
      <c r="BE3733" s="77"/>
      <c r="BF3733" s="77"/>
      <c r="BG3733" s="77"/>
      <c r="BH3733" s="77"/>
      <c r="BI3733" s="77"/>
    </row>
    <row r="3734" spans="1:61" x14ac:dyDescent="0.25">
      <c r="A3734" s="62" t="s">
        <v>614</v>
      </c>
      <c r="B3734" s="62" t="s">
        <v>614</v>
      </c>
      <c r="C3734" s="63"/>
      <c r="D3734" s="64"/>
      <c r="E3734" s="65"/>
      <c r="F3734" s="66"/>
      <c r="G3734" s="63"/>
      <c r="H3734" s="67"/>
      <c r="I3734" s="68"/>
      <c r="J3734" s="68"/>
      <c r="K3734" s="32"/>
      <c r="L3734" s="75">
        <v>3734</v>
      </c>
      <c r="M3734" s="75"/>
      <c r="N3734" s="70"/>
      <c r="O3734" s="77" t="s">
        <v>179</v>
      </c>
      <c r="P3734" s="79">
        <v>45132.502604166664</v>
      </c>
      <c r="Q3734" s="77" t="s">
        <v>4379</v>
      </c>
      <c r="R3734" s="77">
        <v>9</v>
      </c>
      <c r="S3734" s="77">
        <v>18</v>
      </c>
      <c r="T3734" s="77">
        <v>2</v>
      </c>
      <c r="U3734" s="77">
        <v>1</v>
      </c>
      <c r="V3734" s="77">
        <v>7732</v>
      </c>
      <c r="W3734" s="82" t="s">
        <v>4821</v>
      </c>
      <c r="X3734" s="80" t="str">
        <f>HYPERLINK("https://www.valoraanalitik.com/2023/07/25/que-posibilidad-hay-de-que-el-dolar-en-colombia-llegue-a-3-400/")</f>
        <v>https://www.valoraanalitik.com/2023/07/25/que-posibilidad-hay-de-que-el-dolar-en-colombia-llegue-a-3-400/</v>
      </c>
      <c r="Y3734" s="77" t="s">
        <v>6471</v>
      </c>
      <c r="Z3734" s="77"/>
      <c r="AA3734" s="77"/>
      <c r="AB3734" s="77"/>
      <c r="AC3734" s="82" t="s">
        <v>7750</v>
      </c>
      <c r="AD3734" s="77" t="s">
        <v>7790</v>
      </c>
      <c r="AE3734" s="80" t="str">
        <f>HYPERLINK("https://twitter.com/valoraanalitik/status/1683810264553070592")</f>
        <v>https://twitter.com/valoraanalitik/status/1683810264553070592</v>
      </c>
      <c r="AF3734" s="79">
        <v>45132.502604166664</v>
      </c>
      <c r="AG3734" s="85">
        <v>45132</v>
      </c>
      <c r="AH3734" s="82" t="s">
        <v>10152</v>
      </c>
      <c r="AI3734" s="77" t="b">
        <v>0</v>
      </c>
      <c r="AJ3734" s="77"/>
      <c r="AK3734" s="77"/>
      <c r="AL3734" s="77"/>
      <c r="AM3734" s="77"/>
      <c r="AN3734" s="77"/>
      <c r="AO3734" s="77"/>
      <c r="AP3734" s="77"/>
      <c r="AQ3734" s="77"/>
      <c r="AR3734" s="77"/>
      <c r="AS3734" s="77"/>
      <c r="AT3734" s="77"/>
      <c r="AU3734" s="77"/>
      <c r="AV3734" s="80" t="str">
        <f>HYPERLINK("https://pbs.twimg.com/profile_images/1475155236713029641/7Lb8npQr_normal.jpg")</f>
        <v>https://pbs.twimg.com/profile_images/1475155236713029641/7Lb8npQr_normal.jpg</v>
      </c>
      <c r="AW3734" s="82" t="s">
        <v>15306</v>
      </c>
      <c r="AX3734" s="82" t="s">
        <v>15306</v>
      </c>
      <c r="AY3734" s="77"/>
      <c r="AZ3734" s="82" t="s">
        <v>15984</v>
      </c>
      <c r="BA3734" s="82" t="s">
        <v>15984</v>
      </c>
      <c r="BB3734" s="82" t="s">
        <v>15984</v>
      </c>
      <c r="BC3734" s="82" t="s">
        <v>15306</v>
      </c>
      <c r="BD3734" s="77">
        <v>20980846</v>
      </c>
      <c r="BE3734" s="77"/>
      <c r="BF3734" s="77"/>
      <c r="BG3734" s="77"/>
      <c r="BH3734" s="77"/>
      <c r="BI3734" s="77"/>
    </row>
    <row r="3735" spans="1:61" x14ac:dyDescent="0.25">
      <c r="A3735" s="62" t="s">
        <v>614</v>
      </c>
      <c r="B3735" s="62" t="s">
        <v>614</v>
      </c>
      <c r="C3735" s="63"/>
      <c r="D3735" s="64"/>
      <c r="E3735" s="65"/>
      <c r="F3735" s="66"/>
      <c r="G3735" s="63"/>
      <c r="H3735" s="67"/>
      <c r="I3735" s="68"/>
      <c r="J3735" s="68"/>
      <c r="K3735" s="32"/>
      <c r="L3735" s="75">
        <v>3735</v>
      </c>
      <c r="M3735" s="75"/>
      <c r="N3735" s="70"/>
      <c r="O3735" s="77" t="s">
        <v>179</v>
      </c>
      <c r="P3735" s="79">
        <v>45120.549467592595</v>
      </c>
      <c r="Q3735" s="77" t="s">
        <v>4380</v>
      </c>
      <c r="R3735" s="77">
        <v>0</v>
      </c>
      <c r="S3735" s="77">
        <v>3</v>
      </c>
      <c r="T3735" s="77">
        <v>0</v>
      </c>
      <c r="U3735" s="77">
        <v>0</v>
      </c>
      <c r="V3735" s="77">
        <v>1016</v>
      </c>
      <c r="W3735" s="82" t="s">
        <v>4821</v>
      </c>
      <c r="X3735" s="80" t="str">
        <f>HYPERLINK("https://www.valoraanalitik.com/2023/07/13/pronosticos-para-economia-de-colombia-pib-inflacion-y-tasas-de-interes/")</f>
        <v>https://www.valoraanalitik.com/2023/07/13/pronosticos-para-economia-de-colombia-pib-inflacion-y-tasas-de-interes/</v>
      </c>
      <c r="Y3735" s="77" t="s">
        <v>6471</v>
      </c>
      <c r="Z3735" s="77"/>
      <c r="AA3735" s="77"/>
      <c r="AB3735" s="77"/>
      <c r="AC3735" s="82" t="s">
        <v>7750</v>
      </c>
      <c r="AD3735" s="77" t="s">
        <v>7790</v>
      </c>
      <c r="AE3735" s="80" t="str">
        <f>HYPERLINK("https://twitter.com/valoraanalitik/status/1679478594114863106")</f>
        <v>https://twitter.com/valoraanalitik/status/1679478594114863106</v>
      </c>
      <c r="AF3735" s="79">
        <v>45120.549467592595</v>
      </c>
      <c r="AG3735" s="85">
        <v>45120</v>
      </c>
      <c r="AH3735" s="82" t="s">
        <v>10153</v>
      </c>
      <c r="AI3735" s="77" t="b">
        <v>0</v>
      </c>
      <c r="AJ3735" s="77"/>
      <c r="AK3735" s="77"/>
      <c r="AL3735" s="77"/>
      <c r="AM3735" s="77"/>
      <c r="AN3735" s="77"/>
      <c r="AO3735" s="77"/>
      <c r="AP3735" s="77"/>
      <c r="AQ3735" s="77"/>
      <c r="AR3735" s="77"/>
      <c r="AS3735" s="77"/>
      <c r="AT3735" s="77"/>
      <c r="AU3735" s="77"/>
      <c r="AV3735" s="80" t="str">
        <f>HYPERLINK("https://pbs.twimg.com/profile_images/1475155236713029641/7Lb8npQr_normal.jpg")</f>
        <v>https://pbs.twimg.com/profile_images/1475155236713029641/7Lb8npQr_normal.jpg</v>
      </c>
      <c r="AW3735" s="82" t="s">
        <v>15307</v>
      </c>
      <c r="AX3735" s="82" t="s">
        <v>15307</v>
      </c>
      <c r="AY3735" s="77"/>
      <c r="AZ3735" s="82" t="s">
        <v>15984</v>
      </c>
      <c r="BA3735" s="82" t="s">
        <v>15984</v>
      </c>
      <c r="BB3735" s="82" t="s">
        <v>15984</v>
      </c>
      <c r="BC3735" s="82" t="s">
        <v>15307</v>
      </c>
      <c r="BD3735" s="77">
        <v>20980846</v>
      </c>
      <c r="BE3735" s="77"/>
      <c r="BF3735" s="77"/>
      <c r="BG3735" s="77"/>
      <c r="BH3735" s="77"/>
      <c r="BI3735" s="77"/>
    </row>
    <row r="3736" spans="1:61" x14ac:dyDescent="0.25">
      <c r="A3736" s="62" t="s">
        <v>614</v>
      </c>
      <c r="B3736" s="62" t="s">
        <v>614</v>
      </c>
      <c r="C3736" s="63"/>
      <c r="D3736" s="64"/>
      <c r="E3736" s="65"/>
      <c r="F3736" s="66"/>
      <c r="G3736" s="63"/>
      <c r="H3736" s="67"/>
      <c r="I3736" s="68"/>
      <c r="J3736" s="68"/>
      <c r="K3736" s="32"/>
      <c r="L3736" s="75">
        <v>3736</v>
      </c>
      <c r="M3736" s="75"/>
      <c r="N3736" s="70"/>
      <c r="O3736" s="77" t="s">
        <v>179</v>
      </c>
      <c r="P3736" s="79">
        <v>45123.875717592593</v>
      </c>
      <c r="Q3736" s="77" t="s">
        <v>4381</v>
      </c>
      <c r="R3736" s="77">
        <v>3</v>
      </c>
      <c r="S3736" s="77">
        <v>7</v>
      </c>
      <c r="T3736" s="77">
        <v>2</v>
      </c>
      <c r="U3736" s="77">
        <v>0</v>
      </c>
      <c r="V3736" s="77">
        <v>1885</v>
      </c>
      <c r="W3736" s="82" t="s">
        <v>4821</v>
      </c>
      <c r="X3736" s="80" t="str">
        <f>HYPERLINK("https://bit.ly/3rxaTQx")</f>
        <v>https://bit.ly/3rxaTQx</v>
      </c>
      <c r="Y3736" s="77" t="s">
        <v>6468</v>
      </c>
      <c r="Z3736" s="77"/>
      <c r="AA3736" s="77"/>
      <c r="AB3736" s="77"/>
      <c r="AC3736" s="82" t="s">
        <v>7775</v>
      </c>
      <c r="AD3736" s="77" t="s">
        <v>7790</v>
      </c>
      <c r="AE3736" s="80" t="str">
        <f>HYPERLINK("https://twitter.com/valoraanalitik/status/1680683987528720386")</f>
        <v>https://twitter.com/valoraanalitik/status/1680683987528720386</v>
      </c>
      <c r="AF3736" s="79">
        <v>45123.875717592593</v>
      </c>
      <c r="AG3736" s="85">
        <v>45123</v>
      </c>
      <c r="AH3736" s="82" t="s">
        <v>8015</v>
      </c>
      <c r="AI3736" s="77" t="b">
        <v>0</v>
      </c>
      <c r="AJ3736" s="77"/>
      <c r="AK3736" s="77"/>
      <c r="AL3736" s="77"/>
      <c r="AM3736" s="77"/>
      <c r="AN3736" s="77"/>
      <c r="AO3736" s="77"/>
      <c r="AP3736" s="77"/>
      <c r="AQ3736" s="77"/>
      <c r="AR3736" s="77"/>
      <c r="AS3736" s="77"/>
      <c r="AT3736" s="77"/>
      <c r="AU3736" s="77"/>
      <c r="AV3736" s="80" t="str">
        <f>HYPERLINK("https://pbs.twimg.com/profile_images/1475155236713029641/7Lb8npQr_normal.jpg")</f>
        <v>https://pbs.twimg.com/profile_images/1475155236713029641/7Lb8npQr_normal.jpg</v>
      </c>
      <c r="AW3736" s="82" t="s">
        <v>15308</v>
      </c>
      <c r="AX3736" s="82" t="s">
        <v>15308</v>
      </c>
      <c r="AY3736" s="77"/>
      <c r="AZ3736" s="82" t="s">
        <v>15984</v>
      </c>
      <c r="BA3736" s="82" t="s">
        <v>15984</v>
      </c>
      <c r="BB3736" s="82" t="s">
        <v>15984</v>
      </c>
      <c r="BC3736" s="82" t="s">
        <v>15308</v>
      </c>
      <c r="BD3736" s="77">
        <v>20980846</v>
      </c>
      <c r="BE3736" s="77"/>
      <c r="BF3736" s="77"/>
      <c r="BG3736" s="77"/>
      <c r="BH3736" s="77"/>
      <c r="BI3736" s="77"/>
    </row>
    <row r="3737" spans="1:61" x14ac:dyDescent="0.25">
      <c r="A3737" s="62" t="s">
        <v>614</v>
      </c>
      <c r="B3737" s="62" t="s">
        <v>614</v>
      </c>
      <c r="C3737" s="63"/>
      <c r="D3737" s="64"/>
      <c r="E3737" s="65"/>
      <c r="F3737" s="66"/>
      <c r="G3737" s="63"/>
      <c r="H3737" s="67"/>
      <c r="I3737" s="68"/>
      <c r="J3737" s="68"/>
      <c r="K3737" s="32"/>
      <c r="L3737" s="75">
        <v>3737</v>
      </c>
      <c r="M3737" s="75"/>
      <c r="N3737" s="70"/>
      <c r="O3737" s="77" t="s">
        <v>179</v>
      </c>
      <c r="P3737" s="79">
        <v>45123.80667824074</v>
      </c>
      <c r="Q3737" s="77" t="s">
        <v>4382</v>
      </c>
      <c r="R3737" s="77">
        <v>2</v>
      </c>
      <c r="S3737" s="77">
        <v>7</v>
      </c>
      <c r="T3737" s="77">
        <v>0</v>
      </c>
      <c r="U3737" s="77">
        <v>0</v>
      </c>
      <c r="V3737" s="77">
        <v>2044</v>
      </c>
      <c r="W3737" s="82" t="s">
        <v>4821</v>
      </c>
      <c r="X3737" s="80" t="str">
        <f>HYPERLINK("https://bit.ly/3pUpSDt")</f>
        <v>https://bit.ly/3pUpSDt</v>
      </c>
      <c r="Y3737" s="77" t="s">
        <v>6468</v>
      </c>
      <c r="Z3737" s="77"/>
      <c r="AA3737" s="77"/>
      <c r="AB3737" s="77"/>
      <c r="AC3737" s="82" t="s">
        <v>7775</v>
      </c>
      <c r="AD3737" s="77" t="s">
        <v>7790</v>
      </c>
      <c r="AE3737" s="80" t="str">
        <f>HYPERLINK("https://twitter.com/valoraanalitik/status/1680658968744534016")</f>
        <v>https://twitter.com/valoraanalitik/status/1680658968744534016</v>
      </c>
      <c r="AF3737" s="79">
        <v>45123.80667824074</v>
      </c>
      <c r="AG3737" s="85">
        <v>45123</v>
      </c>
      <c r="AH3737" s="82" t="s">
        <v>10154</v>
      </c>
      <c r="AI3737" s="77" t="b">
        <v>0</v>
      </c>
      <c r="AJ3737" s="77"/>
      <c r="AK3737" s="77"/>
      <c r="AL3737" s="77"/>
      <c r="AM3737" s="77"/>
      <c r="AN3737" s="77"/>
      <c r="AO3737" s="77"/>
      <c r="AP3737" s="77"/>
      <c r="AQ3737" s="77"/>
      <c r="AR3737" s="77"/>
      <c r="AS3737" s="77"/>
      <c r="AT3737" s="77"/>
      <c r="AU3737" s="77"/>
      <c r="AV3737" s="80" t="str">
        <f>HYPERLINK("https://pbs.twimg.com/profile_images/1475155236713029641/7Lb8npQr_normal.jpg")</f>
        <v>https://pbs.twimg.com/profile_images/1475155236713029641/7Lb8npQr_normal.jpg</v>
      </c>
      <c r="AW3737" s="82" t="s">
        <v>15309</v>
      </c>
      <c r="AX3737" s="82" t="s">
        <v>15309</v>
      </c>
      <c r="AY3737" s="77"/>
      <c r="AZ3737" s="82" t="s">
        <v>15984</v>
      </c>
      <c r="BA3737" s="82" t="s">
        <v>15984</v>
      </c>
      <c r="BB3737" s="82" t="s">
        <v>15984</v>
      </c>
      <c r="BC3737" s="82" t="s">
        <v>15309</v>
      </c>
      <c r="BD3737" s="77">
        <v>20980846</v>
      </c>
      <c r="BE3737" s="77"/>
      <c r="BF3737" s="77"/>
      <c r="BG3737" s="77"/>
      <c r="BH3737" s="77"/>
      <c r="BI3737" s="77"/>
    </row>
    <row r="3738" spans="1:61" x14ac:dyDescent="0.25">
      <c r="A3738" s="62" t="s">
        <v>614</v>
      </c>
      <c r="B3738" s="62" t="s">
        <v>614</v>
      </c>
      <c r="C3738" s="63"/>
      <c r="D3738" s="64"/>
      <c r="E3738" s="65"/>
      <c r="F3738" s="66"/>
      <c r="G3738" s="63"/>
      <c r="H3738" s="67"/>
      <c r="I3738" s="68"/>
      <c r="J3738" s="68"/>
      <c r="K3738" s="32"/>
      <c r="L3738" s="75">
        <v>3738</v>
      </c>
      <c r="M3738" s="75"/>
      <c r="N3738" s="70"/>
      <c r="O3738" s="77" t="s">
        <v>179</v>
      </c>
      <c r="P3738" s="79">
        <v>45146.917442129627</v>
      </c>
      <c r="Q3738" s="77" t="s">
        <v>4383</v>
      </c>
      <c r="R3738" s="77">
        <v>1</v>
      </c>
      <c r="S3738" s="77">
        <v>4</v>
      </c>
      <c r="T3738" s="77">
        <v>0</v>
      </c>
      <c r="U3738" s="77">
        <v>0</v>
      </c>
      <c r="V3738" s="77">
        <v>789</v>
      </c>
      <c r="W3738" s="82" t="s">
        <v>4821</v>
      </c>
      <c r="X3738" s="80" t="str">
        <f>HYPERLINK("https://bit.ly/3KxjU2o")</f>
        <v>https://bit.ly/3KxjU2o</v>
      </c>
      <c r="Y3738" s="77" t="s">
        <v>6468</v>
      </c>
      <c r="Z3738" s="77"/>
      <c r="AA3738" s="77"/>
      <c r="AB3738" s="77"/>
      <c r="AC3738" s="82" t="s">
        <v>7775</v>
      </c>
      <c r="AD3738" s="77" t="s">
        <v>7790</v>
      </c>
      <c r="AE3738" s="80" t="str">
        <f>HYPERLINK("https://twitter.com/valoraanalitik/status/1689034027020259329")</f>
        <v>https://twitter.com/valoraanalitik/status/1689034027020259329</v>
      </c>
      <c r="AF3738" s="79">
        <v>45146.917442129627</v>
      </c>
      <c r="AG3738" s="85">
        <v>45146</v>
      </c>
      <c r="AH3738" s="82" t="s">
        <v>8013</v>
      </c>
      <c r="AI3738" s="77" t="b">
        <v>0</v>
      </c>
      <c r="AJ3738" s="77"/>
      <c r="AK3738" s="77"/>
      <c r="AL3738" s="77"/>
      <c r="AM3738" s="77"/>
      <c r="AN3738" s="77"/>
      <c r="AO3738" s="77"/>
      <c r="AP3738" s="77"/>
      <c r="AQ3738" s="77"/>
      <c r="AR3738" s="77"/>
      <c r="AS3738" s="77"/>
      <c r="AT3738" s="77"/>
      <c r="AU3738" s="77"/>
      <c r="AV3738" s="80" t="str">
        <f>HYPERLINK("https://pbs.twimg.com/profile_images/1475155236713029641/7Lb8npQr_normal.jpg")</f>
        <v>https://pbs.twimg.com/profile_images/1475155236713029641/7Lb8npQr_normal.jpg</v>
      </c>
      <c r="AW3738" s="82" t="s">
        <v>15310</v>
      </c>
      <c r="AX3738" s="82" t="s">
        <v>15310</v>
      </c>
      <c r="AY3738" s="77"/>
      <c r="AZ3738" s="82" t="s">
        <v>15984</v>
      </c>
      <c r="BA3738" s="82" t="s">
        <v>15984</v>
      </c>
      <c r="BB3738" s="82" t="s">
        <v>15984</v>
      </c>
      <c r="BC3738" s="82" t="s">
        <v>15310</v>
      </c>
      <c r="BD3738" s="77">
        <v>20980846</v>
      </c>
      <c r="BE3738" s="77"/>
      <c r="BF3738" s="77"/>
      <c r="BG3738" s="77"/>
      <c r="BH3738" s="77"/>
      <c r="BI3738" s="77"/>
    </row>
    <row r="3739" spans="1:61" x14ac:dyDescent="0.25">
      <c r="A3739" s="62" t="s">
        <v>614</v>
      </c>
      <c r="B3739" s="62" t="s">
        <v>614</v>
      </c>
      <c r="C3739" s="63"/>
      <c r="D3739" s="64"/>
      <c r="E3739" s="65"/>
      <c r="F3739" s="66"/>
      <c r="G3739" s="63"/>
      <c r="H3739" s="67"/>
      <c r="I3739" s="68"/>
      <c r="J3739" s="68"/>
      <c r="K3739" s="32"/>
      <c r="L3739" s="75">
        <v>3739</v>
      </c>
      <c r="M3739" s="75"/>
      <c r="N3739" s="70"/>
      <c r="O3739" s="77" t="s">
        <v>179</v>
      </c>
      <c r="P3739" s="79">
        <v>45130.003518518519</v>
      </c>
      <c r="Q3739" s="77" t="s">
        <v>4384</v>
      </c>
      <c r="R3739" s="77">
        <v>4</v>
      </c>
      <c r="S3739" s="77">
        <v>9</v>
      </c>
      <c r="T3739" s="77">
        <v>2</v>
      </c>
      <c r="U3739" s="77">
        <v>2</v>
      </c>
      <c r="V3739" s="77">
        <v>3497</v>
      </c>
      <c r="W3739" s="82" t="s">
        <v>4821</v>
      </c>
      <c r="X3739" s="80" t="str">
        <f>HYPERLINK("https://bit.ly/3DqM7UK")</f>
        <v>https://bit.ly/3DqM7UK</v>
      </c>
      <c r="Y3739" s="77" t="s">
        <v>6468</v>
      </c>
      <c r="Z3739" s="77"/>
      <c r="AA3739" s="77"/>
      <c r="AB3739" s="77"/>
      <c r="AC3739" s="82" t="s">
        <v>7775</v>
      </c>
      <c r="AD3739" s="77" t="s">
        <v>7790</v>
      </c>
      <c r="AE3739" s="80" t="str">
        <f>HYPERLINK("https://twitter.com/valoraanalitik/status/1682904626822037506")</f>
        <v>https://twitter.com/valoraanalitik/status/1682904626822037506</v>
      </c>
      <c r="AF3739" s="79">
        <v>45130.003518518519</v>
      </c>
      <c r="AG3739" s="85">
        <v>45130</v>
      </c>
      <c r="AH3739" s="82" t="s">
        <v>10155</v>
      </c>
      <c r="AI3739" s="77" t="b">
        <v>0</v>
      </c>
      <c r="AJ3739" s="77"/>
      <c r="AK3739" s="77"/>
      <c r="AL3739" s="77"/>
      <c r="AM3739" s="77"/>
      <c r="AN3739" s="77"/>
      <c r="AO3739" s="77"/>
      <c r="AP3739" s="77"/>
      <c r="AQ3739" s="77"/>
      <c r="AR3739" s="77"/>
      <c r="AS3739" s="77"/>
      <c r="AT3739" s="77"/>
      <c r="AU3739" s="77"/>
      <c r="AV3739" s="80" t="str">
        <f>HYPERLINK("https://pbs.twimg.com/profile_images/1475155236713029641/7Lb8npQr_normal.jpg")</f>
        <v>https://pbs.twimg.com/profile_images/1475155236713029641/7Lb8npQr_normal.jpg</v>
      </c>
      <c r="AW3739" s="82" t="s">
        <v>15311</v>
      </c>
      <c r="AX3739" s="82" t="s">
        <v>15311</v>
      </c>
      <c r="AY3739" s="77"/>
      <c r="AZ3739" s="82" t="s">
        <v>15984</v>
      </c>
      <c r="BA3739" s="82" t="s">
        <v>15984</v>
      </c>
      <c r="BB3739" s="82" t="s">
        <v>15984</v>
      </c>
      <c r="BC3739" s="82" t="s">
        <v>15311</v>
      </c>
      <c r="BD3739" s="77">
        <v>20980846</v>
      </c>
      <c r="BE3739" s="77"/>
      <c r="BF3739" s="77"/>
      <c r="BG3739" s="77"/>
      <c r="BH3739" s="77"/>
      <c r="BI3739" s="77"/>
    </row>
    <row r="3740" spans="1:61" x14ac:dyDescent="0.25">
      <c r="A3740" s="62" t="s">
        <v>614</v>
      </c>
      <c r="B3740" s="62" t="s">
        <v>614</v>
      </c>
      <c r="C3740" s="63"/>
      <c r="D3740" s="64"/>
      <c r="E3740" s="65"/>
      <c r="F3740" s="66"/>
      <c r="G3740" s="63"/>
      <c r="H3740" s="67"/>
      <c r="I3740" s="68"/>
      <c r="J3740" s="68"/>
      <c r="K3740" s="32"/>
      <c r="L3740" s="75">
        <v>3740</v>
      </c>
      <c r="M3740" s="75"/>
      <c r="N3740" s="70"/>
      <c r="O3740" s="77" t="s">
        <v>179</v>
      </c>
      <c r="P3740" s="79">
        <v>45153.003159722219</v>
      </c>
      <c r="Q3740" s="77" t="s">
        <v>4385</v>
      </c>
      <c r="R3740" s="77">
        <v>108</v>
      </c>
      <c r="S3740" s="77">
        <v>178</v>
      </c>
      <c r="T3740" s="77">
        <v>6</v>
      </c>
      <c r="U3740" s="77">
        <v>21</v>
      </c>
      <c r="V3740" s="77">
        <v>102482</v>
      </c>
      <c r="W3740" s="82" t="s">
        <v>4821</v>
      </c>
      <c r="X3740" s="80" t="str">
        <f>HYPERLINK("https://bit.ly/3QVX48X")</f>
        <v>https://bit.ly/3QVX48X</v>
      </c>
      <c r="Y3740" s="77" t="s">
        <v>6468</v>
      </c>
      <c r="Z3740" s="77"/>
      <c r="AA3740" s="77"/>
      <c r="AB3740" s="77"/>
      <c r="AC3740" s="82" t="s">
        <v>7775</v>
      </c>
      <c r="AD3740" s="77" t="s">
        <v>7790</v>
      </c>
      <c r="AE3740" s="80" t="str">
        <f>HYPERLINK("https://twitter.com/valoraanalitik/status/1691239419494170624")</f>
        <v>https://twitter.com/valoraanalitik/status/1691239419494170624</v>
      </c>
      <c r="AF3740" s="79">
        <v>45153.003159722219</v>
      </c>
      <c r="AG3740" s="85">
        <v>45153</v>
      </c>
      <c r="AH3740" s="82" t="s">
        <v>10156</v>
      </c>
      <c r="AI3740" s="77" t="b">
        <v>0</v>
      </c>
      <c r="AJ3740" s="77"/>
      <c r="AK3740" s="77"/>
      <c r="AL3740" s="77"/>
      <c r="AM3740" s="77"/>
      <c r="AN3740" s="77"/>
      <c r="AO3740" s="77"/>
      <c r="AP3740" s="77"/>
      <c r="AQ3740" s="77"/>
      <c r="AR3740" s="77"/>
      <c r="AS3740" s="77"/>
      <c r="AT3740" s="77"/>
      <c r="AU3740" s="77"/>
      <c r="AV3740" s="80" t="str">
        <f>HYPERLINK("https://pbs.twimg.com/profile_images/1475155236713029641/7Lb8npQr_normal.jpg")</f>
        <v>https://pbs.twimg.com/profile_images/1475155236713029641/7Lb8npQr_normal.jpg</v>
      </c>
      <c r="AW3740" s="82" t="s">
        <v>15312</v>
      </c>
      <c r="AX3740" s="82" t="s">
        <v>15312</v>
      </c>
      <c r="AY3740" s="77"/>
      <c r="AZ3740" s="82" t="s">
        <v>15984</v>
      </c>
      <c r="BA3740" s="82" t="s">
        <v>15984</v>
      </c>
      <c r="BB3740" s="82" t="s">
        <v>15984</v>
      </c>
      <c r="BC3740" s="82" t="s">
        <v>15312</v>
      </c>
      <c r="BD3740" s="77">
        <v>20980846</v>
      </c>
      <c r="BE3740" s="77"/>
      <c r="BF3740" s="77"/>
      <c r="BG3740" s="77"/>
      <c r="BH3740" s="77"/>
      <c r="BI3740" s="77"/>
    </row>
    <row r="3741" spans="1:61" x14ac:dyDescent="0.25">
      <c r="A3741" s="62" t="s">
        <v>614</v>
      </c>
      <c r="B3741" s="62" t="s">
        <v>614</v>
      </c>
      <c r="C3741" s="63"/>
      <c r="D3741" s="64"/>
      <c r="E3741" s="65"/>
      <c r="F3741" s="66"/>
      <c r="G3741" s="63"/>
      <c r="H3741" s="67"/>
      <c r="I3741" s="68"/>
      <c r="J3741" s="68"/>
      <c r="K3741" s="32"/>
      <c r="L3741" s="75">
        <v>3741</v>
      </c>
      <c r="M3741" s="75"/>
      <c r="N3741" s="70"/>
      <c r="O3741" s="77" t="s">
        <v>179</v>
      </c>
      <c r="P3741" s="79">
        <v>45129.083414351851</v>
      </c>
      <c r="Q3741" s="77" t="s">
        <v>4386</v>
      </c>
      <c r="R3741" s="77">
        <v>3</v>
      </c>
      <c r="S3741" s="77">
        <v>11</v>
      </c>
      <c r="T3741" s="77">
        <v>0</v>
      </c>
      <c r="U3741" s="77">
        <v>0</v>
      </c>
      <c r="V3741" s="77">
        <v>1974</v>
      </c>
      <c r="W3741" s="82" t="s">
        <v>4821</v>
      </c>
      <c r="X3741" s="80" t="str">
        <f>HYPERLINK("https://www.valoraanalitik.com/2023/07/21/en-colombia-seran-entregados-14-000-seguros-a-pequenos-productores/")</f>
        <v>https://www.valoraanalitik.com/2023/07/21/en-colombia-seran-entregados-14-000-seguros-a-pequenos-productores/</v>
      </c>
      <c r="Y3741" s="77" t="s">
        <v>6471</v>
      </c>
      <c r="Z3741" s="77"/>
      <c r="AA3741" s="77"/>
      <c r="AB3741" s="77"/>
      <c r="AC3741" s="82" t="s">
        <v>7775</v>
      </c>
      <c r="AD3741" s="77" t="s">
        <v>7790</v>
      </c>
      <c r="AE3741" s="80" t="str">
        <f>HYPERLINK("https://twitter.com/valoraanalitik/status/1682571190127165440")</f>
        <v>https://twitter.com/valoraanalitik/status/1682571190127165440</v>
      </c>
      <c r="AF3741" s="79">
        <v>45129.083414351851</v>
      </c>
      <c r="AG3741" s="85">
        <v>45129</v>
      </c>
      <c r="AH3741" s="82" t="s">
        <v>10157</v>
      </c>
      <c r="AI3741" s="77" t="b">
        <v>0</v>
      </c>
      <c r="AJ3741" s="77"/>
      <c r="AK3741" s="77"/>
      <c r="AL3741" s="77"/>
      <c r="AM3741" s="77"/>
      <c r="AN3741" s="77"/>
      <c r="AO3741" s="77"/>
      <c r="AP3741" s="77"/>
      <c r="AQ3741" s="77"/>
      <c r="AR3741" s="77"/>
      <c r="AS3741" s="77"/>
      <c r="AT3741" s="77"/>
      <c r="AU3741" s="77"/>
      <c r="AV3741" s="80" t="str">
        <f>HYPERLINK("https://pbs.twimg.com/profile_images/1475155236713029641/7Lb8npQr_normal.jpg")</f>
        <v>https://pbs.twimg.com/profile_images/1475155236713029641/7Lb8npQr_normal.jpg</v>
      </c>
      <c r="AW3741" s="82" t="s">
        <v>15313</v>
      </c>
      <c r="AX3741" s="82" t="s">
        <v>15313</v>
      </c>
      <c r="AY3741" s="77"/>
      <c r="AZ3741" s="82" t="s">
        <v>15984</v>
      </c>
      <c r="BA3741" s="82" t="s">
        <v>15984</v>
      </c>
      <c r="BB3741" s="82" t="s">
        <v>15984</v>
      </c>
      <c r="BC3741" s="82" t="s">
        <v>15313</v>
      </c>
      <c r="BD3741" s="77">
        <v>20980846</v>
      </c>
      <c r="BE3741" s="77"/>
      <c r="BF3741" s="77"/>
      <c r="BG3741" s="77"/>
      <c r="BH3741" s="77"/>
      <c r="BI3741" s="77"/>
    </row>
    <row r="3742" spans="1:61" x14ac:dyDescent="0.25">
      <c r="A3742" s="62" t="s">
        <v>614</v>
      </c>
      <c r="B3742" s="62" t="s">
        <v>614</v>
      </c>
      <c r="C3742" s="63"/>
      <c r="D3742" s="64"/>
      <c r="E3742" s="65"/>
      <c r="F3742" s="66"/>
      <c r="G3742" s="63"/>
      <c r="H3742" s="67"/>
      <c r="I3742" s="68"/>
      <c r="J3742" s="68"/>
      <c r="K3742" s="32"/>
      <c r="L3742" s="75">
        <v>3742</v>
      </c>
      <c r="M3742" s="75"/>
      <c r="N3742" s="70"/>
      <c r="O3742" s="77" t="s">
        <v>179</v>
      </c>
      <c r="P3742" s="79">
        <v>45129.034837962965</v>
      </c>
      <c r="Q3742" s="77" t="s">
        <v>4387</v>
      </c>
      <c r="R3742" s="77">
        <v>0</v>
      </c>
      <c r="S3742" s="77">
        <v>4</v>
      </c>
      <c r="T3742" s="77">
        <v>0</v>
      </c>
      <c r="U3742" s="77">
        <v>0</v>
      </c>
      <c r="V3742" s="77">
        <v>1754</v>
      </c>
      <c r="W3742" s="82" t="s">
        <v>4821</v>
      </c>
      <c r="X3742" s="80" t="str">
        <f>HYPERLINK("https://www.valoraanalitik.com/2023/07/21/gobierno-petro-se-gastaria-100-billones-mas-en-2023-sin-tomar-en-cuenta-fondo-de-combustibles/")</f>
        <v>https://www.valoraanalitik.com/2023/07/21/gobierno-petro-se-gastaria-100-billones-mas-en-2023-sin-tomar-en-cuenta-fondo-de-combustibles/</v>
      </c>
      <c r="Y3742" s="77" t="s">
        <v>6471</v>
      </c>
      <c r="Z3742" s="77"/>
      <c r="AA3742" s="77" t="s">
        <v>7724</v>
      </c>
      <c r="AB3742" s="77" t="s">
        <v>7742</v>
      </c>
      <c r="AC3742" s="82" t="s">
        <v>7752</v>
      </c>
      <c r="AD3742" s="77" t="s">
        <v>7790</v>
      </c>
      <c r="AE3742" s="80" t="str">
        <f>HYPERLINK("https://twitter.com/valoraanalitik/status/1682553590014001153")</f>
        <v>https://twitter.com/valoraanalitik/status/1682553590014001153</v>
      </c>
      <c r="AF3742" s="79">
        <v>45129.034837962965</v>
      </c>
      <c r="AG3742" s="85">
        <v>45129</v>
      </c>
      <c r="AH3742" s="82" t="s">
        <v>10158</v>
      </c>
      <c r="AI3742" s="77" t="b">
        <v>0</v>
      </c>
      <c r="AJ3742" s="77"/>
      <c r="AK3742" s="77"/>
      <c r="AL3742" s="77"/>
      <c r="AM3742" s="77"/>
      <c r="AN3742" s="77"/>
      <c r="AO3742" s="77"/>
      <c r="AP3742" s="77"/>
      <c r="AQ3742" s="77" t="s">
        <v>11696</v>
      </c>
      <c r="AR3742" s="77"/>
      <c r="AS3742" s="77"/>
      <c r="AT3742" s="77"/>
      <c r="AU3742" s="77"/>
      <c r="AV3742" s="80" t="str">
        <f>HYPERLINK("https://pbs.twimg.com/media/F1mhe1sWAAAnBxH.jpg")</f>
        <v>https://pbs.twimg.com/media/F1mhe1sWAAAnBxH.jpg</v>
      </c>
      <c r="AW3742" s="82" t="s">
        <v>15314</v>
      </c>
      <c r="AX3742" s="82" t="s">
        <v>15314</v>
      </c>
      <c r="AY3742" s="77"/>
      <c r="AZ3742" s="82" t="s">
        <v>15984</v>
      </c>
      <c r="BA3742" s="82" t="s">
        <v>15984</v>
      </c>
      <c r="BB3742" s="82" t="s">
        <v>15984</v>
      </c>
      <c r="BC3742" s="82" t="s">
        <v>15314</v>
      </c>
      <c r="BD3742" s="77">
        <v>20980846</v>
      </c>
      <c r="BE3742" s="77"/>
      <c r="BF3742" s="77"/>
      <c r="BG3742" s="77"/>
      <c r="BH3742" s="77"/>
      <c r="BI3742" s="77"/>
    </row>
    <row r="3743" spans="1:61" x14ac:dyDescent="0.25">
      <c r="A3743" s="62" t="s">
        <v>614</v>
      </c>
      <c r="B3743" s="62" t="s">
        <v>614</v>
      </c>
      <c r="C3743" s="63"/>
      <c r="D3743" s="64"/>
      <c r="E3743" s="65"/>
      <c r="F3743" s="66"/>
      <c r="G3743" s="63"/>
      <c r="H3743" s="67"/>
      <c r="I3743" s="68"/>
      <c r="J3743" s="68"/>
      <c r="K3743" s="32"/>
      <c r="L3743" s="75">
        <v>3743</v>
      </c>
      <c r="M3743" s="75"/>
      <c r="N3743" s="70"/>
      <c r="O3743" s="77" t="s">
        <v>179</v>
      </c>
      <c r="P3743" s="79">
        <v>45130.54519675926</v>
      </c>
      <c r="Q3743" s="77" t="s">
        <v>4388</v>
      </c>
      <c r="R3743" s="77">
        <v>5</v>
      </c>
      <c r="S3743" s="77">
        <v>7</v>
      </c>
      <c r="T3743" s="77">
        <v>0</v>
      </c>
      <c r="U3743" s="77">
        <v>0</v>
      </c>
      <c r="V3743" s="77">
        <v>2018</v>
      </c>
      <c r="W3743" s="82" t="s">
        <v>4821</v>
      </c>
      <c r="X3743" s="80" t="str">
        <f>HYPERLINK("https://bit.ly/3OpWuhK")</f>
        <v>https://bit.ly/3OpWuhK</v>
      </c>
      <c r="Y3743" s="77" t="s">
        <v>6468</v>
      </c>
      <c r="Z3743" s="77"/>
      <c r="AA3743" s="77"/>
      <c r="AB3743" s="77"/>
      <c r="AC3743" s="82" t="s">
        <v>7775</v>
      </c>
      <c r="AD3743" s="77" t="s">
        <v>7790</v>
      </c>
      <c r="AE3743" s="80" t="str">
        <f>HYPERLINK("https://twitter.com/valoraanalitik/status/1683100922786856962")</f>
        <v>https://twitter.com/valoraanalitik/status/1683100922786856962</v>
      </c>
      <c r="AF3743" s="79">
        <v>45130.54519675926</v>
      </c>
      <c r="AG3743" s="85">
        <v>45130</v>
      </c>
      <c r="AH3743" s="82" t="s">
        <v>10159</v>
      </c>
      <c r="AI3743" s="77" t="b">
        <v>0</v>
      </c>
      <c r="AJ3743" s="77"/>
      <c r="AK3743" s="77"/>
      <c r="AL3743" s="77"/>
      <c r="AM3743" s="77"/>
      <c r="AN3743" s="77"/>
      <c r="AO3743" s="77"/>
      <c r="AP3743" s="77"/>
      <c r="AQ3743" s="77"/>
      <c r="AR3743" s="77"/>
      <c r="AS3743" s="77"/>
      <c r="AT3743" s="77"/>
      <c r="AU3743" s="77"/>
      <c r="AV3743" s="80" t="str">
        <f>HYPERLINK("https://pbs.twimg.com/profile_images/1475155236713029641/7Lb8npQr_normal.jpg")</f>
        <v>https://pbs.twimg.com/profile_images/1475155236713029641/7Lb8npQr_normal.jpg</v>
      </c>
      <c r="AW3743" s="82" t="s">
        <v>15315</v>
      </c>
      <c r="AX3743" s="82" t="s">
        <v>15315</v>
      </c>
      <c r="AY3743" s="77"/>
      <c r="AZ3743" s="82" t="s">
        <v>15984</v>
      </c>
      <c r="BA3743" s="82" t="s">
        <v>15984</v>
      </c>
      <c r="BB3743" s="82" t="s">
        <v>15984</v>
      </c>
      <c r="BC3743" s="82" t="s">
        <v>15315</v>
      </c>
      <c r="BD3743" s="77">
        <v>20980846</v>
      </c>
      <c r="BE3743" s="77"/>
      <c r="BF3743" s="77"/>
      <c r="BG3743" s="77"/>
      <c r="BH3743" s="77"/>
      <c r="BI3743" s="77"/>
    </row>
    <row r="3744" spans="1:61" x14ac:dyDescent="0.25">
      <c r="A3744" s="62" t="s">
        <v>614</v>
      </c>
      <c r="B3744" s="62" t="s">
        <v>614</v>
      </c>
      <c r="C3744" s="63"/>
      <c r="D3744" s="64"/>
      <c r="E3744" s="65"/>
      <c r="F3744" s="66"/>
      <c r="G3744" s="63"/>
      <c r="H3744" s="67"/>
      <c r="I3744" s="68"/>
      <c r="J3744" s="68"/>
      <c r="K3744" s="32"/>
      <c r="L3744" s="75">
        <v>3744</v>
      </c>
      <c r="M3744" s="75"/>
      <c r="N3744" s="70"/>
      <c r="O3744" s="77" t="s">
        <v>179</v>
      </c>
      <c r="P3744" s="79">
        <v>45159.961921296293</v>
      </c>
      <c r="Q3744" s="77" t="s">
        <v>4389</v>
      </c>
      <c r="R3744" s="77">
        <v>4</v>
      </c>
      <c r="S3744" s="77">
        <v>10</v>
      </c>
      <c r="T3744" s="77">
        <v>0</v>
      </c>
      <c r="U3744" s="77">
        <v>0</v>
      </c>
      <c r="V3744" s="77">
        <v>1881</v>
      </c>
      <c r="W3744" s="82" t="s">
        <v>4821</v>
      </c>
      <c r="X3744" s="80" t="str">
        <f>HYPERLINK("https://bit.ly/3sd9sH2")</f>
        <v>https://bit.ly/3sd9sH2</v>
      </c>
      <c r="Y3744" s="77" t="s">
        <v>6468</v>
      </c>
      <c r="Z3744" s="77"/>
      <c r="AA3744" s="77"/>
      <c r="AB3744" s="77"/>
      <c r="AC3744" s="82" t="s">
        <v>7775</v>
      </c>
      <c r="AD3744" s="77" t="s">
        <v>7790</v>
      </c>
      <c r="AE3744" s="80" t="str">
        <f>HYPERLINK("https://twitter.com/valoraanalitik/status/1693761186825654599")</f>
        <v>https://twitter.com/valoraanalitik/status/1693761186825654599</v>
      </c>
      <c r="AF3744" s="79">
        <v>45159.961921296293</v>
      </c>
      <c r="AG3744" s="85">
        <v>45159</v>
      </c>
      <c r="AH3744" s="82" t="s">
        <v>10160</v>
      </c>
      <c r="AI3744" s="77" t="b">
        <v>0</v>
      </c>
      <c r="AJ3744" s="77"/>
      <c r="AK3744" s="77"/>
      <c r="AL3744" s="77"/>
      <c r="AM3744" s="77"/>
      <c r="AN3744" s="77"/>
      <c r="AO3744" s="77"/>
      <c r="AP3744" s="77"/>
      <c r="AQ3744" s="77"/>
      <c r="AR3744" s="77"/>
      <c r="AS3744" s="77"/>
      <c r="AT3744" s="77"/>
      <c r="AU3744" s="77"/>
      <c r="AV3744" s="80" t="str">
        <f>HYPERLINK("https://pbs.twimg.com/profile_images/1475155236713029641/7Lb8npQr_normal.jpg")</f>
        <v>https://pbs.twimg.com/profile_images/1475155236713029641/7Lb8npQr_normal.jpg</v>
      </c>
      <c r="AW3744" s="82" t="s">
        <v>15316</v>
      </c>
      <c r="AX3744" s="82" t="s">
        <v>15316</v>
      </c>
      <c r="AY3744" s="77"/>
      <c r="AZ3744" s="82" t="s">
        <v>15984</v>
      </c>
      <c r="BA3744" s="82" t="s">
        <v>15984</v>
      </c>
      <c r="BB3744" s="82" t="s">
        <v>15984</v>
      </c>
      <c r="BC3744" s="82" t="s">
        <v>15316</v>
      </c>
      <c r="BD3744" s="77">
        <v>20980846</v>
      </c>
      <c r="BE3744" s="77"/>
      <c r="BF3744" s="77"/>
      <c r="BG3744" s="77"/>
      <c r="BH3744" s="77"/>
      <c r="BI3744" s="77"/>
    </row>
    <row r="3745" spans="1:61" x14ac:dyDescent="0.25">
      <c r="A3745" s="62" t="s">
        <v>614</v>
      </c>
      <c r="B3745" s="62" t="s">
        <v>614</v>
      </c>
      <c r="C3745" s="63"/>
      <c r="D3745" s="64"/>
      <c r="E3745" s="65"/>
      <c r="F3745" s="66"/>
      <c r="G3745" s="63"/>
      <c r="H3745" s="67"/>
      <c r="I3745" s="68"/>
      <c r="J3745" s="68"/>
      <c r="K3745" s="32"/>
      <c r="L3745" s="75">
        <v>3745</v>
      </c>
      <c r="M3745" s="75"/>
      <c r="N3745" s="70"/>
      <c r="O3745" s="77" t="s">
        <v>179</v>
      </c>
      <c r="P3745" s="79">
        <v>45161.000138888892</v>
      </c>
      <c r="Q3745" s="77" t="s">
        <v>4390</v>
      </c>
      <c r="R3745" s="77">
        <v>0</v>
      </c>
      <c r="S3745" s="77">
        <v>3</v>
      </c>
      <c r="T3745" s="77">
        <v>0</v>
      </c>
      <c r="U3745" s="77">
        <v>0</v>
      </c>
      <c r="V3745" s="77">
        <v>1469</v>
      </c>
      <c r="W3745" s="82" t="s">
        <v>4821</v>
      </c>
      <c r="X3745" s="80" t="str">
        <f>HYPERLINK("https://bit.ly/3qEaAmP")</f>
        <v>https://bit.ly/3qEaAmP</v>
      </c>
      <c r="Y3745" s="77" t="s">
        <v>6468</v>
      </c>
      <c r="Z3745" s="77"/>
      <c r="AA3745" s="77"/>
      <c r="AB3745" s="77"/>
      <c r="AC3745" s="82" t="s">
        <v>7775</v>
      </c>
      <c r="AD3745" s="77" t="s">
        <v>7790</v>
      </c>
      <c r="AE3745" s="80" t="str">
        <f>HYPERLINK("https://twitter.com/valoraanalitik/status/1694137424996126859")</f>
        <v>https://twitter.com/valoraanalitik/status/1694137424996126859</v>
      </c>
      <c r="AF3745" s="79">
        <v>45161.000138888892</v>
      </c>
      <c r="AG3745" s="85">
        <v>45161</v>
      </c>
      <c r="AH3745" s="82" t="s">
        <v>10161</v>
      </c>
      <c r="AI3745" s="77" t="b">
        <v>0</v>
      </c>
      <c r="AJ3745" s="77"/>
      <c r="AK3745" s="77"/>
      <c r="AL3745" s="77"/>
      <c r="AM3745" s="77"/>
      <c r="AN3745" s="77"/>
      <c r="AO3745" s="77"/>
      <c r="AP3745" s="77"/>
      <c r="AQ3745" s="77"/>
      <c r="AR3745" s="77"/>
      <c r="AS3745" s="77"/>
      <c r="AT3745" s="77"/>
      <c r="AU3745" s="77"/>
      <c r="AV3745" s="80" t="str">
        <f>HYPERLINK("https://pbs.twimg.com/profile_images/1475155236713029641/7Lb8npQr_normal.jpg")</f>
        <v>https://pbs.twimg.com/profile_images/1475155236713029641/7Lb8npQr_normal.jpg</v>
      </c>
      <c r="AW3745" s="82" t="s">
        <v>15317</v>
      </c>
      <c r="AX3745" s="82" t="s">
        <v>15317</v>
      </c>
      <c r="AY3745" s="77"/>
      <c r="AZ3745" s="82" t="s">
        <v>15984</v>
      </c>
      <c r="BA3745" s="82" t="s">
        <v>15984</v>
      </c>
      <c r="BB3745" s="82" t="s">
        <v>15984</v>
      </c>
      <c r="BC3745" s="82" t="s">
        <v>15317</v>
      </c>
      <c r="BD3745" s="77">
        <v>20980846</v>
      </c>
      <c r="BE3745" s="77"/>
      <c r="BF3745" s="77"/>
      <c r="BG3745" s="77"/>
      <c r="BH3745" s="77"/>
      <c r="BI3745" s="77"/>
    </row>
    <row r="3746" spans="1:61" x14ac:dyDescent="0.25">
      <c r="A3746" s="62" t="s">
        <v>614</v>
      </c>
      <c r="B3746" s="62" t="s">
        <v>614</v>
      </c>
      <c r="C3746" s="63"/>
      <c r="D3746" s="64"/>
      <c r="E3746" s="65"/>
      <c r="F3746" s="66"/>
      <c r="G3746" s="63"/>
      <c r="H3746" s="67"/>
      <c r="I3746" s="68"/>
      <c r="J3746" s="68"/>
      <c r="K3746" s="32"/>
      <c r="L3746" s="75">
        <v>3746</v>
      </c>
      <c r="M3746" s="75"/>
      <c r="N3746" s="70"/>
      <c r="O3746" s="77" t="s">
        <v>179</v>
      </c>
      <c r="P3746" s="79">
        <v>45155.862488425926</v>
      </c>
      <c r="Q3746" s="77" t="s">
        <v>4391</v>
      </c>
      <c r="R3746" s="77">
        <v>2</v>
      </c>
      <c r="S3746" s="77">
        <v>3</v>
      </c>
      <c r="T3746" s="77">
        <v>1</v>
      </c>
      <c r="U3746" s="77">
        <v>0</v>
      </c>
      <c r="V3746" s="77">
        <v>991</v>
      </c>
      <c r="W3746" s="82" t="s">
        <v>4821</v>
      </c>
      <c r="X3746" s="80" t="str">
        <f>HYPERLINK("https://bit.ly/3qBYbj7")</f>
        <v>https://bit.ly/3qBYbj7</v>
      </c>
      <c r="Y3746" s="77" t="s">
        <v>6468</v>
      </c>
      <c r="Z3746" s="77"/>
      <c r="AA3746" s="77"/>
      <c r="AB3746" s="77"/>
      <c r="AC3746" s="82" t="s">
        <v>7775</v>
      </c>
      <c r="AD3746" s="77" t="s">
        <v>7790</v>
      </c>
      <c r="AE3746" s="80" t="str">
        <f>HYPERLINK("https://twitter.com/valoraanalitik/status/1692275602936443147")</f>
        <v>https://twitter.com/valoraanalitik/status/1692275602936443147</v>
      </c>
      <c r="AF3746" s="79">
        <v>45155.862488425926</v>
      </c>
      <c r="AG3746" s="85">
        <v>45155</v>
      </c>
      <c r="AH3746" s="82" t="s">
        <v>10162</v>
      </c>
      <c r="AI3746" s="77" t="b">
        <v>0</v>
      </c>
      <c r="AJ3746" s="77"/>
      <c r="AK3746" s="77"/>
      <c r="AL3746" s="77"/>
      <c r="AM3746" s="77"/>
      <c r="AN3746" s="77"/>
      <c r="AO3746" s="77"/>
      <c r="AP3746" s="77"/>
      <c r="AQ3746" s="77"/>
      <c r="AR3746" s="77"/>
      <c r="AS3746" s="77"/>
      <c r="AT3746" s="77"/>
      <c r="AU3746" s="77"/>
      <c r="AV3746" s="80" t="str">
        <f>HYPERLINK("https://pbs.twimg.com/profile_images/1475155236713029641/7Lb8npQr_normal.jpg")</f>
        <v>https://pbs.twimg.com/profile_images/1475155236713029641/7Lb8npQr_normal.jpg</v>
      </c>
      <c r="AW3746" s="82" t="s">
        <v>15318</v>
      </c>
      <c r="AX3746" s="82" t="s">
        <v>15318</v>
      </c>
      <c r="AY3746" s="77"/>
      <c r="AZ3746" s="82" t="s">
        <v>15984</v>
      </c>
      <c r="BA3746" s="82" t="s">
        <v>15984</v>
      </c>
      <c r="BB3746" s="82" t="s">
        <v>15984</v>
      </c>
      <c r="BC3746" s="82" t="s">
        <v>15318</v>
      </c>
      <c r="BD3746" s="77">
        <v>20980846</v>
      </c>
      <c r="BE3746" s="77"/>
      <c r="BF3746" s="77"/>
      <c r="BG3746" s="77"/>
      <c r="BH3746" s="77"/>
      <c r="BI3746" s="77"/>
    </row>
    <row r="3747" spans="1:61" x14ac:dyDescent="0.25">
      <c r="A3747" s="62" t="s">
        <v>614</v>
      </c>
      <c r="B3747" s="62" t="s">
        <v>614</v>
      </c>
      <c r="C3747" s="63"/>
      <c r="D3747" s="64"/>
      <c r="E3747" s="65"/>
      <c r="F3747" s="66"/>
      <c r="G3747" s="63"/>
      <c r="H3747" s="67"/>
      <c r="I3747" s="68"/>
      <c r="J3747" s="68"/>
      <c r="K3747" s="32"/>
      <c r="L3747" s="75">
        <v>3747</v>
      </c>
      <c r="M3747" s="75"/>
      <c r="N3747" s="70"/>
      <c r="O3747" s="77" t="s">
        <v>179</v>
      </c>
      <c r="P3747" s="79">
        <v>45170.461840277778</v>
      </c>
      <c r="Q3747" s="77" t="s">
        <v>4392</v>
      </c>
      <c r="R3747" s="77">
        <v>4</v>
      </c>
      <c r="S3747" s="77">
        <v>2</v>
      </c>
      <c r="T3747" s="77">
        <v>0</v>
      </c>
      <c r="U3747" s="77">
        <v>0</v>
      </c>
      <c r="V3747" s="77">
        <v>1947</v>
      </c>
      <c r="W3747" s="82" t="s">
        <v>4821</v>
      </c>
      <c r="X3747" s="80" t="str">
        <f>HYPERLINK("https://bit.ly/45SHOhe")</f>
        <v>https://bit.ly/45SHOhe</v>
      </c>
      <c r="Y3747" s="77" t="s">
        <v>6468</v>
      </c>
      <c r="Z3747" s="77"/>
      <c r="AA3747" s="77"/>
      <c r="AB3747" s="77"/>
      <c r="AC3747" s="82" t="s">
        <v>7775</v>
      </c>
      <c r="AD3747" s="77" t="s">
        <v>7790</v>
      </c>
      <c r="AE3747" s="80" t="str">
        <f>HYPERLINK("https://twitter.com/valoraanalitik/status/1697566229798547548")</f>
        <v>https://twitter.com/valoraanalitik/status/1697566229798547548</v>
      </c>
      <c r="AF3747" s="79">
        <v>45170.461840277778</v>
      </c>
      <c r="AG3747" s="85">
        <v>45170</v>
      </c>
      <c r="AH3747" s="82" t="s">
        <v>10163</v>
      </c>
      <c r="AI3747" s="77" t="b">
        <v>0</v>
      </c>
      <c r="AJ3747" s="77"/>
      <c r="AK3747" s="77"/>
      <c r="AL3747" s="77"/>
      <c r="AM3747" s="77"/>
      <c r="AN3747" s="77"/>
      <c r="AO3747" s="77"/>
      <c r="AP3747" s="77"/>
      <c r="AQ3747" s="77"/>
      <c r="AR3747" s="77"/>
      <c r="AS3747" s="77"/>
      <c r="AT3747" s="77"/>
      <c r="AU3747" s="77"/>
      <c r="AV3747" s="80" t="str">
        <f>HYPERLINK("https://pbs.twimg.com/profile_images/1475155236713029641/7Lb8npQr_normal.jpg")</f>
        <v>https://pbs.twimg.com/profile_images/1475155236713029641/7Lb8npQr_normal.jpg</v>
      </c>
      <c r="AW3747" s="82" t="s">
        <v>15319</v>
      </c>
      <c r="AX3747" s="82" t="s">
        <v>15319</v>
      </c>
      <c r="AY3747" s="77"/>
      <c r="AZ3747" s="82" t="s">
        <v>15984</v>
      </c>
      <c r="BA3747" s="82" t="s">
        <v>15984</v>
      </c>
      <c r="BB3747" s="82" t="s">
        <v>15984</v>
      </c>
      <c r="BC3747" s="82" t="s">
        <v>15319</v>
      </c>
      <c r="BD3747" s="77">
        <v>20980846</v>
      </c>
      <c r="BE3747" s="77"/>
      <c r="BF3747" s="77"/>
      <c r="BG3747" s="77"/>
      <c r="BH3747" s="77"/>
      <c r="BI3747" s="77"/>
    </row>
    <row r="3748" spans="1:61" x14ac:dyDescent="0.25">
      <c r="A3748" s="62" t="s">
        <v>614</v>
      </c>
      <c r="B3748" s="62" t="s">
        <v>614</v>
      </c>
      <c r="C3748" s="63"/>
      <c r="D3748" s="64"/>
      <c r="E3748" s="65"/>
      <c r="F3748" s="66"/>
      <c r="G3748" s="63"/>
      <c r="H3748" s="67"/>
      <c r="I3748" s="68"/>
      <c r="J3748" s="68"/>
      <c r="K3748" s="32"/>
      <c r="L3748" s="75">
        <v>3748</v>
      </c>
      <c r="M3748" s="75"/>
      <c r="N3748" s="70"/>
      <c r="O3748" s="77" t="s">
        <v>179</v>
      </c>
      <c r="P3748" s="79">
        <v>45152.000740740739</v>
      </c>
      <c r="Q3748" s="77" t="s">
        <v>4393</v>
      </c>
      <c r="R3748" s="77">
        <v>8</v>
      </c>
      <c r="S3748" s="77">
        <v>14</v>
      </c>
      <c r="T3748" s="77">
        <v>0</v>
      </c>
      <c r="U3748" s="77">
        <v>0</v>
      </c>
      <c r="V3748" s="77">
        <v>2779</v>
      </c>
      <c r="W3748" s="82" t="s">
        <v>4821</v>
      </c>
      <c r="X3748" s="80" t="str">
        <f>HYPERLINK("https://bit.ly/3DZbBIU")</f>
        <v>https://bit.ly/3DZbBIU</v>
      </c>
      <c r="Y3748" s="77" t="s">
        <v>6468</v>
      </c>
      <c r="Z3748" s="77"/>
      <c r="AA3748" s="77"/>
      <c r="AB3748" s="77"/>
      <c r="AC3748" s="82" t="s">
        <v>7775</v>
      </c>
      <c r="AD3748" s="77" t="s">
        <v>7790</v>
      </c>
      <c r="AE3748" s="80" t="str">
        <f>HYPERLINK("https://twitter.com/valoraanalitik/status/1690876151713890304")</f>
        <v>https://twitter.com/valoraanalitik/status/1690876151713890304</v>
      </c>
      <c r="AF3748" s="79">
        <v>45152.000740740739</v>
      </c>
      <c r="AG3748" s="85">
        <v>45152</v>
      </c>
      <c r="AH3748" s="82" t="s">
        <v>10146</v>
      </c>
      <c r="AI3748" s="77" t="b">
        <v>0</v>
      </c>
      <c r="AJ3748" s="77"/>
      <c r="AK3748" s="77"/>
      <c r="AL3748" s="77"/>
      <c r="AM3748" s="77"/>
      <c r="AN3748" s="77"/>
      <c r="AO3748" s="77"/>
      <c r="AP3748" s="77"/>
      <c r="AQ3748" s="77"/>
      <c r="AR3748" s="77"/>
      <c r="AS3748" s="77"/>
      <c r="AT3748" s="77"/>
      <c r="AU3748" s="77"/>
      <c r="AV3748" s="80" t="str">
        <f>HYPERLINK("https://pbs.twimg.com/profile_images/1475155236713029641/7Lb8npQr_normal.jpg")</f>
        <v>https://pbs.twimg.com/profile_images/1475155236713029641/7Lb8npQr_normal.jpg</v>
      </c>
      <c r="AW3748" s="82" t="s">
        <v>15320</v>
      </c>
      <c r="AX3748" s="82" t="s">
        <v>15320</v>
      </c>
      <c r="AY3748" s="77"/>
      <c r="AZ3748" s="82" t="s">
        <v>15984</v>
      </c>
      <c r="BA3748" s="82" t="s">
        <v>15984</v>
      </c>
      <c r="BB3748" s="82" t="s">
        <v>15984</v>
      </c>
      <c r="BC3748" s="82" t="s">
        <v>15320</v>
      </c>
      <c r="BD3748" s="77">
        <v>20980846</v>
      </c>
      <c r="BE3748" s="77"/>
      <c r="BF3748" s="77"/>
      <c r="BG3748" s="77"/>
      <c r="BH3748" s="77"/>
      <c r="BI3748" s="77"/>
    </row>
    <row r="3749" spans="1:61" x14ac:dyDescent="0.25">
      <c r="A3749" s="62" t="s">
        <v>614</v>
      </c>
      <c r="B3749" s="62" t="s">
        <v>614</v>
      </c>
      <c r="C3749" s="63"/>
      <c r="D3749" s="64"/>
      <c r="E3749" s="65"/>
      <c r="F3749" s="66"/>
      <c r="G3749" s="63"/>
      <c r="H3749" s="67"/>
      <c r="I3749" s="68"/>
      <c r="J3749" s="68"/>
      <c r="K3749" s="32"/>
      <c r="L3749" s="75">
        <v>3749</v>
      </c>
      <c r="M3749" s="75"/>
      <c r="N3749" s="70"/>
      <c r="O3749" s="77" t="s">
        <v>179</v>
      </c>
      <c r="P3749" s="79">
        <v>45118.741909722223</v>
      </c>
      <c r="Q3749" s="77" t="s">
        <v>4394</v>
      </c>
      <c r="R3749" s="77">
        <v>3</v>
      </c>
      <c r="S3749" s="77">
        <v>3</v>
      </c>
      <c r="T3749" s="77">
        <v>0</v>
      </c>
      <c r="U3749" s="77">
        <v>0</v>
      </c>
      <c r="V3749" s="77">
        <v>1069</v>
      </c>
      <c r="W3749" s="82" t="s">
        <v>4821</v>
      </c>
      <c r="X3749" s="80" t="str">
        <f>HYPERLINK("https://bit.ly/3POq4yz")</f>
        <v>https://bit.ly/3POq4yz</v>
      </c>
      <c r="Y3749" s="77" t="s">
        <v>6468</v>
      </c>
      <c r="Z3749" s="77"/>
      <c r="AA3749" s="77"/>
      <c r="AB3749" s="77"/>
      <c r="AC3749" s="82" t="s">
        <v>7775</v>
      </c>
      <c r="AD3749" s="77" t="s">
        <v>7790</v>
      </c>
      <c r="AE3749" s="80" t="str">
        <f>HYPERLINK("https://twitter.com/valoraanalitik/status/1678823557273382914")</f>
        <v>https://twitter.com/valoraanalitik/status/1678823557273382914</v>
      </c>
      <c r="AF3749" s="79">
        <v>45118.741909722223</v>
      </c>
      <c r="AG3749" s="85">
        <v>45118</v>
      </c>
      <c r="AH3749" s="82" t="s">
        <v>10164</v>
      </c>
      <c r="AI3749" s="77" t="b">
        <v>0</v>
      </c>
      <c r="AJ3749" s="77"/>
      <c r="AK3749" s="77"/>
      <c r="AL3749" s="77"/>
      <c r="AM3749" s="77"/>
      <c r="AN3749" s="77"/>
      <c r="AO3749" s="77"/>
      <c r="AP3749" s="77"/>
      <c r="AQ3749" s="77"/>
      <c r="AR3749" s="77"/>
      <c r="AS3749" s="77"/>
      <c r="AT3749" s="77"/>
      <c r="AU3749" s="77"/>
      <c r="AV3749" s="80" t="str">
        <f>HYPERLINK("https://pbs.twimg.com/profile_images/1475155236713029641/7Lb8npQr_normal.jpg")</f>
        <v>https://pbs.twimg.com/profile_images/1475155236713029641/7Lb8npQr_normal.jpg</v>
      </c>
      <c r="AW3749" s="82" t="s">
        <v>15321</v>
      </c>
      <c r="AX3749" s="82" t="s">
        <v>15321</v>
      </c>
      <c r="AY3749" s="77"/>
      <c r="AZ3749" s="82" t="s">
        <v>15984</v>
      </c>
      <c r="BA3749" s="82" t="s">
        <v>15984</v>
      </c>
      <c r="BB3749" s="82" t="s">
        <v>15984</v>
      </c>
      <c r="BC3749" s="82" t="s">
        <v>15321</v>
      </c>
      <c r="BD3749" s="77">
        <v>20980846</v>
      </c>
      <c r="BE3749" s="77"/>
      <c r="BF3749" s="77"/>
      <c r="BG3749" s="77"/>
      <c r="BH3749" s="77"/>
      <c r="BI3749" s="77"/>
    </row>
    <row r="3750" spans="1:61" x14ac:dyDescent="0.25">
      <c r="A3750" s="62" t="s">
        <v>614</v>
      </c>
      <c r="B3750" s="62" t="s">
        <v>614</v>
      </c>
      <c r="C3750" s="63"/>
      <c r="D3750" s="64"/>
      <c r="E3750" s="65"/>
      <c r="F3750" s="66"/>
      <c r="G3750" s="63"/>
      <c r="H3750" s="67"/>
      <c r="I3750" s="68"/>
      <c r="J3750" s="68"/>
      <c r="K3750" s="32"/>
      <c r="L3750" s="75">
        <v>3750</v>
      </c>
      <c r="M3750" s="75"/>
      <c r="N3750" s="70"/>
      <c r="O3750" s="77" t="s">
        <v>179</v>
      </c>
      <c r="P3750" s="79">
        <v>45167.083379629628</v>
      </c>
      <c r="Q3750" s="77" t="s">
        <v>4395</v>
      </c>
      <c r="R3750" s="77">
        <v>3</v>
      </c>
      <c r="S3750" s="77">
        <v>10</v>
      </c>
      <c r="T3750" s="77">
        <v>2</v>
      </c>
      <c r="U3750" s="77">
        <v>0</v>
      </c>
      <c r="V3750" s="77">
        <v>2114</v>
      </c>
      <c r="W3750" s="82" t="s">
        <v>4821</v>
      </c>
      <c r="X3750" s="80" t="str">
        <f>HYPERLINK("https://bit.ly/3YTdPTW")</f>
        <v>https://bit.ly/3YTdPTW</v>
      </c>
      <c r="Y3750" s="77" t="s">
        <v>6468</v>
      </c>
      <c r="Z3750" s="77"/>
      <c r="AA3750" s="77"/>
      <c r="AB3750" s="77"/>
      <c r="AC3750" s="82" t="s">
        <v>7775</v>
      </c>
      <c r="AD3750" s="77" t="s">
        <v>7790</v>
      </c>
      <c r="AE3750" s="80" t="str">
        <f>HYPERLINK("https://twitter.com/valoraanalitik/status/1696341917322084746")</f>
        <v>https://twitter.com/valoraanalitik/status/1696341917322084746</v>
      </c>
      <c r="AF3750" s="79">
        <v>45167.083379629628</v>
      </c>
      <c r="AG3750" s="85">
        <v>45167</v>
      </c>
      <c r="AH3750" s="82" t="s">
        <v>10165</v>
      </c>
      <c r="AI3750" s="77" t="b">
        <v>0</v>
      </c>
      <c r="AJ3750" s="77"/>
      <c r="AK3750" s="77"/>
      <c r="AL3750" s="77"/>
      <c r="AM3750" s="77"/>
      <c r="AN3750" s="77"/>
      <c r="AO3750" s="77"/>
      <c r="AP3750" s="77"/>
      <c r="AQ3750" s="77"/>
      <c r="AR3750" s="77"/>
      <c r="AS3750" s="77"/>
      <c r="AT3750" s="77"/>
      <c r="AU3750" s="77"/>
      <c r="AV3750" s="80" t="str">
        <f>HYPERLINK("https://pbs.twimg.com/profile_images/1475155236713029641/7Lb8npQr_normal.jpg")</f>
        <v>https://pbs.twimg.com/profile_images/1475155236713029641/7Lb8npQr_normal.jpg</v>
      </c>
      <c r="AW3750" s="82" t="s">
        <v>15322</v>
      </c>
      <c r="AX3750" s="82" t="s">
        <v>15322</v>
      </c>
      <c r="AY3750" s="77"/>
      <c r="AZ3750" s="82" t="s">
        <v>15984</v>
      </c>
      <c r="BA3750" s="82" t="s">
        <v>15984</v>
      </c>
      <c r="BB3750" s="82" t="s">
        <v>15984</v>
      </c>
      <c r="BC3750" s="82" t="s">
        <v>15322</v>
      </c>
      <c r="BD3750" s="77">
        <v>20980846</v>
      </c>
      <c r="BE3750" s="77"/>
      <c r="BF3750" s="77"/>
      <c r="BG3750" s="77"/>
      <c r="BH3750" s="77"/>
      <c r="BI3750" s="77"/>
    </row>
    <row r="3751" spans="1:61" x14ac:dyDescent="0.25">
      <c r="A3751" s="62" t="s">
        <v>614</v>
      </c>
      <c r="B3751" s="62" t="s">
        <v>614</v>
      </c>
      <c r="C3751" s="63"/>
      <c r="D3751" s="64"/>
      <c r="E3751" s="65"/>
      <c r="F3751" s="66"/>
      <c r="G3751" s="63"/>
      <c r="H3751" s="67"/>
      <c r="I3751" s="68"/>
      <c r="J3751" s="68"/>
      <c r="K3751" s="32"/>
      <c r="L3751" s="75">
        <v>3751</v>
      </c>
      <c r="M3751" s="75"/>
      <c r="N3751" s="70"/>
      <c r="O3751" s="77" t="s">
        <v>179</v>
      </c>
      <c r="P3751" s="79">
        <v>45167.062534722223</v>
      </c>
      <c r="Q3751" s="77" t="s">
        <v>4396</v>
      </c>
      <c r="R3751" s="77">
        <v>17</v>
      </c>
      <c r="S3751" s="77">
        <v>23</v>
      </c>
      <c r="T3751" s="77">
        <v>2</v>
      </c>
      <c r="U3751" s="77">
        <v>7</v>
      </c>
      <c r="V3751" s="77">
        <v>5740</v>
      </c>
      <c r="W3751" s="82" t="s">
        <v>4821</v>
      </c>
      <c r="X3751" s="80" t="str">
        <f>HYPERLINK("https://bit.ly/3YSx1RU")</f>
        <v>https://bit.ly/3YSx1RU</v>
      </c>
      <c r="Y3751" s="77" t="s">
        <v>6468</v>
      </c>
      <c r="Z3751" s="77"/>
      <c r="AA3751" s="77"/>
      <c r="AB3751" s="77"/>
      <c r="AC3751" s="82" t="s">
        <v>7775</v>
      </c>
      <c r="AD3751" s="77" t="s">
        <v>7790</v>
      </c>
      <c r="AE3751" s="80" t="str">
        <f>HYPERLINK("https://twitter.com/valoraanalitik/status/1696334365758833013")</f>
        <v>https://twitter.com/valoraanalitik/status/1696334365758833013</v>
      </c>
      <c r="AF3751" s="79">
        <v>45167.062534722223</v>
      </c>
      <c r="AG3751" s="85">
        <v>45167</v>
      </c>
      <c r="AH3751" s="82" t="s">
        <v>10166</v>
      </c>
      <c r="AI3751" s="77" t="b">
        <v>0</v>
      </c>
      <c r="AJ3751" s="77"/>
      <c r="AK3751" s="77"/>
      <c r="AL3751" s="77"/>
      <c r="AM3751" s="77"/>
      <c r="AN3751" s="77"/>
      <c r="AO3751" s="77"/>
      <c r="AP3751" s="77"/>
      <c r="AQ3751" s="77"/>
      <c r="AR3751" s="77"/>
      <c r="AS3751" s="77"/>
      <c r="AT3751" s="77"/>
      <c r="AU3751" s="77"/>
      <c r="AV3751" s="80" t="str">
        <f>HYPERLINK("https://pbs.twimg.com/profile_images/1475155236713029641/7Lb8npQr_normal.jpg")</f>
        <v>https://pbs.twimg.com/profile_images/1475155236713029641/7Lb8npQr_normal.jpg</v>
      </c>
      <c r="AW3751" s="82" t="s">
        <v>15323</v>
      </c>
      <c r="AX3751" s="82" t="s">
        <v>15323</v>
      </c>
      <c r="AY3751" s="77"/>
      <c r="AZ3751" s="82" t="s">
        <v>15984</v>
      </c>
      <c r="BA3751" s="82" t="s">
        <v>15984</v>
      </c>
      <c r="BB3751" s="82" t="s">
        <v>15984</v>
      </c>
      <c r="BC3751" s="82" t="s">
        <v>15323</v>
      </c>
      <c r="BD3751" s="77">
        <v>20980846</v>
      </c>
      <c r="BE3751" s="77"/>
      <c r="BF3751" s="77"/>
      <c r="BG3751" s="77"/>
      <c r="BH3751" s="77"/>
      <c r="BI3751" s="77"/>
    </row>
    <row r="3752" spans="1:61" x14ac:dyDescent="0.25">
      <c r="A3752" s="62" t="s">
        <v>614</v>
      </c>
      <c r="B3752" s="62" t="s">
        <v>614</v>
      </c>
      <c r="C3752" s="63"/>
      <c r="D3752" s="64"/>
      <c r="E3752" s="65"/>
      <c r="F3752" s="66"/>
      <c r="G3752" s="63"/>
      <c r="H3752" s="67"/>
      <c r="I3752" s="68"/>
      <c r="J3752" s="68"/>
      <c r="K3752" s="32"/>
      <c r="L3752" s="75">
        <v>3752</v>
      </c>
      <c r="M3752" s="75"/>
      <c r="N3752" s="70"/>
      <c r="O3752" s="77" t="s">
        <v>179</v>
      </c>
      <c r="P3752" s="79">
        <v>45167.040092592593</v>
      </c>
      <c r="Q3752" s="77" t="s">
        <v>4397</v>
      </c>
      <c r="R3752" s="77">
        <v>3</v>
      </c>
      <c r="S3752" s="77">
        <v>2</v>
      </c>
      <c r="T3752" s="77">
        <v>0</v>
      </c>
      <c r="U3752" s="77">
        <v>0</v>
      </c>
      <c r="V3752" s="77">
        <v>1906</v>
      </c>
      <c r="W3752" s="82" t="s">
        <v>4821</v>
      </c>
      <c r="X3752" s="80" t="str">
        <f>HYPERLINK("https://bit.ly/47OnoHZ")</f>
        <v>https://bit.ly/47OnoHZ</v>
      </c>
      <c r="Y3752" s="77" t="s">
        <v>6468</v>
      </c>
      <c r="Z3752" s="77"/>
      <c r="AA3752" s="77"/>
      <c r="AB3752" s="77"/>
      <c r="AC3752" s="82" t="s">
        <v>7775</v>
      </c>
      <c r="AD3752" s="77" t="s">
        <v>7790</v>
      </c>
      <c r="AE3752" s="80" t="str">
        <f>HYPERLINK("https://twitter.com/valoraanalitik/status/1696326231300403473")</f>
        <v>https://twitter.com/valoraanalitik/status/1696326231300403473</v>
      </c>
      <c r="AF3752" s="79">
        <v>45167.040092592593</v>
      </c>
      <c r="AG3752" s="85">
        <v>45167</v>
      </c>
      <c r="AH3752" s="82" t="s">
        <v>10167</v>
      </c>
      <c r="AI3752" s="77" t="b">
        <v>0</v>
      </c>
      <c r="AJ3752" s="77"/>
      <c r="AK3752" s="77"/>
      <c r="AL3752" s="77"/>
      <c r="AM3752" s="77"/>
      <c r="AN3752" s="77"/>
      <c r="AO3752" s="77"/>
      <c r="AP3752" s="77"/>
      <c r="AQ3752" s="77"/>
      <c r="AR3752" s="77"/>
      <c r="AS3752" s="77"/>
      <c r="AT3752" s="77"/>
      <c r="AU3752" s="77"/>
      <c r="AV3752" s="80" t="str">
        <f>HYPERLINK("https://pbs.twimg.com/profile_images/1475155236713029641/7Lb8npQr_normal.jpg")</f>
        <v>https://pbs.twimg.com/profile_images/1475155236713029641/7Lb8npQr_normal.jpg</v>
      </c>
      <c r="AW3752" s="82" t="s">
        <v>15324</v>
      </c>
      <c r="AX3752" s="82" t="s">
        <v>15324</v>
      </c>
      <c r="AY3752" s="77"/>
      <c r="AZ3752" s="82" t="s">
        <v>15984</v>
      </c>
      <c r="BA3752" s="82" t="s">
        <v>15984</v>
      </c>
      <c r="BB3752" s="82" t="s">
        <v>15984</v>
      </c>
      <c r="BC3752" s="82" t="s">
        <v>15324</v>
      </c>
      <c r="BD3752" s="77">
        <v>20980846</v>
      </c>
      <c r="BE3752" s="77"/>
      <c r="BF3752" s="77"/>
      <c r="BG3752" s="77"/>
      <c r="BH3752" s="77"/>
      <c r="BI3752" s="77"/>
    </row>
    <row r="3753" spans="1:61" x14ac:dyDescent="0.25">
      <c r="A3753" s="62" t="s">
        <v>614</v>
      </c>
      <c r="B3753" s="62" t="s">
        <v>614</v>
      </c>
      <c r="C3753" s="63"/>
      <c r="D3753" s="64"/>
      <c r="E3753" s="65"/>
      <c r="F3753" s="66"/>
      <c r="G3753" s="63"/>
      <c r="H3753" s="67"/>
      <c r="I3753" s="68"/>
      <c r="J3753" s="68"/>
      <c r="K3753" s="32"/>
      <c r="L3753" s="75">
        <v>3753</v>
      </c>
      <c r="M3753" s="75"/>
      <c r="N3753" s="70"/>
      <c r="O3753" s="77" t="s">
        <v>179</v>
      </c>
      <c r="P3753" s="79">
        <v>45165.135428240741</v>
      </c>
      <c r="Q3753" s="77" t="s">
        <v>4398</v>
      </c>
      <c r="R3753" s="77">
        <v>8</v>
      </c>
      <c r="S3753" s="77">
        <v>13</v>
      </c>
      <c r="T3753" s="77">
        <v>0</v>
      </c>
      <c r="U3753" s="77">
        <v>0</v>
      </c>
      <c r="V3753" s="77">
        <v>2843</v>
      </c>
      <c r="W3753" s="82" t="s">
        <v>4821</v>
      </c>
      <c r="X3753" s="80" t="str">
        <f>HYPERLINK("https://bit.ly/3QXqoMg")</f>
        <v>https://bit.ly/3QXqoMg</v>
      </c>
      <c r="Y3753" s="77" t="s">
        <v>6468</v>
      </c>
      <c r="Z3753" s="77"/>
      <c r="AA3753" s="77"/>
      <c r="AB3753" s="77"/>
      <c r="AC3753" s="82" t="s">
        <v>7775</v>
      </c>
      <c r="AD3753" s="77" t="s">
        <v>7790</v>
      </c>
      <c r="AE3753" s="80" t="str">
        <f>HYPERLINK("https://twitter.com/valoraanalitik/status/1695636006332997996")</f>
        <v>https://twitter.com/valoraanalitik/status/1695636006332997996</v>
      </c>
      <c r="AF3753" s="79">
        <v>45165.135428240741</v>
      </c>
      <c r="AG3753" s="85">
        <v>45165</v>
      </c>
      <c r="AH3753" s="82" t="s">
        <v>10168</v>
      </c>
      <c r="AI3753" s="77" t="b">
        <v>0</v>
      </c>
      <c r="AJ3753" s="77"/>
      <c r="AK3753" s="77"/>
      <c r="AL3753" s="77"/>
      <c r="AM3753" s="77"/>
      <c r="AN3753" s="77"/>
      <c r="AO3753" s="77"/>
      <c r="AP3753" s="77"/>
      <c r="AQ3753" s="77"/>
      <c r="AR3753" s="77"/>
      <c r="AS3753" s="77"/>
      <c r="AT3753" s="77"/>
      <c r="AU3753" s="77"/>
      <c r="AV3753" s="80" t="str">
        <f>HYPERLINK("https://pbs.twimg.com/profile_images/1475155236713029641/7Lb8npQr_normal.jpg")</f>
        <v>https://pbs.twimg.com/profile_images/1475155236713029641/7Lb8npQr_normal.jpg</v>
      </c>
      <c r="AW3753" s="82" t="s">
        <v>15325</v>
      </c>
      <c r="AX3753" s="82" t="s">
        <v>15325</v>
      </c>
      <c r="AY3753" s="77"/>
      <c r="AZ3753" s="82" t="s">
        <v>15984</v>
      </c>
      <c r="BA3753" s="82" t="s">
        <v>15984</v>
      </c>
      <c r="BB3753" s="82" t="s">
        <v>15984</v>
      </c>
      <c r="BC3753" s="82" t="s">
        <v>15325</v>
      </c>
      <c r="BD3753" s="77">
        <v>20980846</v>
      </c>
      <c r="BE3753" s="77"/>
      <c r="BF3753" s="77"/>
      <c r="BG3753" s="77"/>
      <c r="BH3753" s="77"/>
      <c r="BI3753" s="77"/>
    </row>
    <row r="3754" spans="1:61" x14ac:dyDescent="0.25">
      <c r="A3754" s="62" t="s">
        <v>614</v>
      </c>
      <c r="B3754" s="62" t="s">
        <v>614</v>
      </c>
      <c r="C3754" s="63"/>
      <c r="D3754" s="64"/>
      <c r="E3754" s="65"/>
      <c r="F3754" s="66"/>
      <c r="G3754" s="63"/>
      <c r="H3754" s="67"/>
      <c r="I3754" s="68"/>
      <c r="J3754" s="68"/>
      <c r="K3754" s="32"/>
      <c r="L3754" s="75">
        <v>3754</v>
      </c>
      <c r="M3754" s="75"/>
      <c r="N3754" s="70"/>
      <c r="O3754" s="77" t="s">
        <v>179</v>
      </c>
      <c r="P3754" s="79">
        <v>45164.461817129632</v>
      </c>
      <c r="Q3754" s="77" t="s">
        <v>4399</v>
      </c>
      <c r="R3754" s="77">
        <v>1</v>
      </c>
      <c r="S3754" s="77">
        <v>7</v>
      </c>
      <c r="T3754" s="77">
        <v>0</v>
      </c>
      <c r="U3754" s="77">
        <v>0</v>
      </c>
      <c r="V3754" s="77">
        <v>1688</v>
      </c>
      <c r="W3754" s="82" t="s">
        <v>4821</v>
      </c>
      <c r="X3754" s="80" t="str">
        <f>HYPERLINK("https://bit.ly/3OQ25Nt")</f>
        <v>https://bit.ly/3OQ25Nt</v>
      </c>
      <c r="Y3754" s="77" t="s">
        <v>6468</v>
      </c>
      <c r="Z3754" s="77"/>
      <c r="AA3754" s="77"/>
      <c r="AB3754" s="77"/>
      <c r="AC3754" s="82" t="s">
        <v>7775</v>
      </c>
      <c r="AD3754" s="77" t="s">
        <v>7790</v>
      </c>
      <c r="AE3754" s="80" t="str">
        <f>HYPERLINK("https://twitter.com/valoraanalitik/status/1695391897332732265")</f>
        <v>https://twitter.com/valoraanalitik/status/1695391897332732265</v>
      </c>
      <c r="AF3754" s="79">
        <v>45164.461817129632</v>
      </c>
      <c r="AG3754" s="85">
        <v>45164</v>
      </c>
      <c r="AH3754" s="82" t="s">
        <v>10169</v>
      </c>
      <c r="AI3754" s="77" t="b">
        <v>0</v>
      </c>
      <c r="AJ3754" s="77"/>
      <c r="AK3754" s="77"/>
      <c r="AL3754" s="77"/>
      <c r="AM3754" s="77"/>
      <c r="AN3754" s="77"/>
      <c r="AO3754" s="77"/>
      <c r="AP3754" s="77"/>
      <c r="AQ3754" s="77"/>
      <c r="AR3754" s="77"/>
      <c r="AS3754" s="77"/>
      <c r="AT3754" s="77"/>
      <c r="AU3754" s="77"/>
      <c r="AV3754" s="80" t="str">
        <f>HYPERLINK("https://pbs.twimg.com/profile_images/1475155236713029641/7Lb8npQr_normal.jpg")</f>
        <v>https://pbs.twimg.com/profile_images/1475155236713029641/7Lb8npQr_normal.jpg</v>
      </c>
      <c r="AW3754" s="82" t="s">
        <v>15326</v>
      </c>
      <c r="AX3754" s="82" t="s">
        <v>15326</v>
      </c>
      <c r="AY3754" s="77"/>
      <c r="AZ3754" s="82" t="s">
        <v>15984</v>
      </c>
      <c r="BA3754" s="82" t="s">
        <v>15984</v>
      </c>
      <c r="BB3754" s="82" t="s">
        <v>15984</v>
      </c>
      <c r="BC3754" s="82" t="s">
        <v>15326</v>
      </c>
      <c r="BD3754" s="77">
        <v>20980846</v>
      </c>
      <c r="BE3754" s="77"/>
      <c r="BF3754" s="77"/>
      <c r="BG3754" s="77"/>
      <c r="BH3754" s="77"/>
      <c r="BI3754" s="77"/>
    </row>
    <row r="3755" spans="1:61" x14ac:dyDescent="0.25">
      <c r="A3755" s="62" t="s">
        <v>614</v>
      </c>
      <c r="B3755" s="62" t="s">
        <v>614</v>
      </c>
      <c r="C3755" s="63"/>
      <c r="D3755" s="64"/>
      <c r="E3755" s="65"/>
      <c r="F3755" s="66"/>
      <c r="G3755" s="63"/>
      <c r="H3755" s="67"/>
      <c r="I3755" s="68"/>
      <c r="J3755" s="68"/>
      <c r="K3755" s="32"/>
      <c r="L3755" s="75">
        <v>3755</v>
      </c>
      <c r="M3755" s="75"/>
      <c r="N3755" s="70"/>
      <c r="O3755" s="77" t="s">
        <v>179</v>
      </c>
      <c r="P3755" s="79">
        <v>45145.461840277778</v>
      </c>
      <c r="Q3755" s="77" t="s">
        <v>4400</v>
      </c>
      <c r="R3755" s="77">
        <v>0</v>
      </c>
      <c r="S3755" s="77">
        <v>4</v>
      </c>
      <c r="T3755" s="77">
        <v>0</v>
      </c>
      <c r="U3755" s="77">
        <v>0</v>
      </c>
      <c r="V3755" s="77">
        <v>1454</v>
      </c>
      <c r="W3755" s="82" t="s">
        <v>4821</v>
      </c>
      <c r="X3755" s="80" t="str">
        <f>HYPERLINK("https://bit.ly/3YkSbro")</f>
        <v>https://bit.ly/3YkSbro</v>
      </c>
      <c r="Y3755" s="77" t="s">
        <v>6468</v>
      </c>
      <c r="Z3755" s="77"/>
      <c r="AA3755" s="77"/>
      <c r="AB3755" s="77"/>
      <c r="AC3755" s="82" t="s">
        <v>7775</v>
      </c>
      <c r="AD3755" s="77" t="s">
        <v>7790</v>
      </c>
      <c r="AE3755" s="80" t="str">
        <f>HYPERLINK("https://twitter.com/valoraanalitik/status/1688506532911038465")</f>
        <v>https://twitter.com/valoraanalitik/status/1688506532911038465</v>
      </c>
      <c r="AF3755" s="79">
        <v>45145.461840277778</v>
      </c>
      <c r="AG3755" s="85">
        <v>45145</v>
      </c>
      <c r="AH3755" s="82" t="s">
        <v>10163</v>
      </c>
      <c r="AI3755" s="77" t="b">
        <v>0</v>
      </c>
      <c r="AJ3755" s="77"/>
      <c r="AK3755" s="77"/>
      <c r="AL3755" s="77"/>
      <c r="AM3755" s="77"/>
      <c r="AN3755" s="77"/>
      <c r="AO3755" s="77"/>
      <c r="AP3755" s="77"/>
      <c r="AQ3755" s="77"/>
      <c r="AR3755" s="77"/>
      <c r="AS3755" s="77"/>
      <c r="AT3755" s="77"/>
      <c r="AU3755" s="77"/>
      <c r="AV3755" s="80" t="str">
        <f>HYPERLINK("https://pbs.twimg.com/profile_images/1475155236713029641/7Lb8npQr_normal.jpg")</f>
        <v>https://pbs.twimg.com/profile_images/1475155236713029641/7Lb8npQr_normal.jpg</v>
      </c>
      <c r="AW3755" s="82" t="s">
        <v>15327</v>
      </c>
      <c r="AX3755" s="82" t="s">
        <v>15327</v>
      </c>
      <c r="AY3755" s="77"/>
      <c r="AZ3755" s="82" t="s">
        <v>15984</v>
      </c>
      <c r="BA3755" s="82" t="s">
        <v>15984</v>
      </c>
      <c r="BB3755" s="82" t="s">
        <v>15984</v>
      </c>
      <c r="BC3755" s="82" t="s">
        <v>15327</v>
      </c>
      <c r="BD3755" s="77">
        <v>20980846</v>
      </c>
      <c r="BE3755" s="77"/>
      <c r="BF3755" s="77"/>
      <c r="BG3755" s="77"/>
      <c r="BH3755" s="77"/>
      <c r="BI3755" s="77"/>
    </row>
    <row r="3756" spans="1:61" x14ac:dyDescent="0.25">
      <c r="A3756" s="62" t="s">
        <v>614</v>
      </c>
      <c r="B3756" s="62" t="s">
        <v>614</v>
      </c>
      <c r="C3756" s="63"/>
      <c r="D3756" s="64"/>
      <c r="E3756" s="65"/>
      <c r="F3756" s="66"/>
      <c r="G3756" s="63"/>
      <c r="H3756" s="67"/>
      <c r="I3756" s="68"/>
      <c r="J3756" s="68"/>
      <c r="K3756" s="32"/>
      <c r="L3756" s="75">
        <v>3756</v>
      </c>
      <c r="M3756" s="75"/>
      <c r="N3756" s="70"/>
      <c r="O3756" s="77" t="s">
        <v>179</v>
      </c>
      <c r="P3756" s="79">
        <v>45165.711828703701</v>
      </c>
      <c r="Q3756" s="77" t="s">
        <v>4401</v>
      </c>
      <c r="R3756" s="77">
        <v>2</v>
      </c>
      <c r="S3756" s="77">
        <v>6</v>
      </c>
      <c r="T3756" s="77">
        <v>0</v>
      </c>
      <c r="U3756" s="77">
        <v>0</v>
      </c>
      <c r="V3756" s="77">
        <v>2187</v>
      </c>
      <c r="W3756" s="82" t="s">
        <v>4821</v>
      </c>
      <c r="X3756" s="80" t="str">
        <f>HYPERLINK("https://bit.ly/3PbHJjc")</f>
        <v>https://bit.ly/3PbHJjc</v>
      </c>
      <c r="Y3756" s="77" t="s">
        <v>6468</v>
      </c>
      <c r="Z3756" s="77"/>
      <c r="AA3756" s="77"/>
      <c r="AB3756" s="77"/>
      <c r="AC3756" s="82" t="s">
        <v>7775</v>
      </c>
      <c r="AD3756" s="77" t="s">
        <v>7790</v>
      </c>
      <c r="AE3756" s="80" t="str">
        <f>HYPERLINK("https://twitter.com/valoraanalitik/status/1695844884668633099")</f>
        <v>https://twitter.com/valoraanalitik/status/1695844884668633099</v>
      </c>
      <c r="AF3756" s="79">
        <v>45165.711828703701</v>
      </c>
      <c r="AG3756" s="85">
        <v>45165</v>
      </c>
      <c r="AH3756" s="82" t="s">
        <v>10170</v>
      </c>
      <c r="AI3756" s="77" t="b">
        <v>0</v>
      </c>
      <c r="AJ3756" s="77"/>
      <c r="AK3756" s="77"/>
      <c r="AL3756" s="77"/>
      <c r="AM3756" s="77"/>
      <c r="AN3756" s="77"/>
      <c r="AO3756" s="77"/>
      <c r="AP3756" s="77"/>
      <c r="AQ3756" s="77"/>
      <c r="AR3756" s="77"/>
      <c r="AS3756" s="77"/>
      <c r="AT3756" s="77"/>
      <c r="AU3756" s="77"/>
      <c r="AV3756" s="80" t="str">
        <f>HYPERLINK("https://pbs.twimg.com/profile_images/1475155236713029641/7Lb8npQr_normal.jpg")</f>
        <v>https://pbs.twimg.com/profile_images/1475155236713029641/7Lb8npQr_normal.jpg</v>
      </c>
      <c r="AW3756" s="82" t="s">
        <v>15328</v>
      </c>
      <c r="AX3756" s="82" t="s">
        <v>15328</v>
      </c>
      <c r="AY3756" s="77"/>
      <c r="AZ3756" s="82" t="s">
        <v>15984</v>
      </c>
      <c r="BA3756" s="82" t="s">
        <v>15984</v>
      </c>
      <c r="BB3756" s="82" t="s">
        <v>15984</v>
      </c>
      <c r="BC3756" s="82" t="s">
        <v>15328</v>
      </c>
      <c r="BD3756" s="77">
        <v>20980846</v>
      </c>
      <c r="BE3756" s="77"/>
      <c r="BF3756" s="77"/>
      <c r="BG3756" s="77"/>
      <c r="BH3756" s="77"/>
      <c r="BI3756" s="77"/>
    </row>
    <row r="3757" spans="1:61" x14ac:dyDescent="0.25">
      <c r="A3757" s="62" t="s">
        <v>614</v>
      </c>
      <c r="B3757" s="62" t="s">
        <v>614</v>
      </c>
      <c r="C3757" s="63"/>
      <c r="D3757" s="64"/>
      <c r="E3757" s="65"/>
      <c r="F3757" s="66"/>
      <c r="G3757" s="63"/>
      <c r="H3757" s="67"/>
      <c r="I3757" s="68"/>
      <c r="J3757" s="68"/>
      <c r="K3757" s="32"/>
      <c r="L3757" s="75">
        <v>3757</v>
      </c>
      <c r="M3757" s="75"/>
      <c r="N3757" s="70"/>
      <c r="O3757" s="77" t="s">
        <v>179</v>
      </c>
      <c r="P3757" s="79">
        <v>45127.513888888891</v>
      </c>
      <c r="Q3757" s="77" t="s">
        <v>4402</v>
      </c>
      <c r="R3757" s="77">
        <v>9</v>
      </c>
      <c r="S3757" s="77">
        <v>62</v>
      </c>
      <c r="T3757" s="77">
        <v>4</v>
      </c>
      <c r="U3757" s="77">
        <v>4</v>
      </c>
      <c r="V3757" s="77">
        <v>8931</v>
      </c>
      <c r="W3757" s="82" t="s">
        <v>4821</v>
      </c>
      <c r="X3757" s="80" t="str">
        <f>HYPERLINK("http://valoraanalitik.com/2023/07/20/dolar-colombia-2024-ya-hay-expectativas-de-que-baje-a-3500-pesos/")</f>
        <v>http://valoraanalitik.com/2023/07/20/dolar-colombia-2024-ya-hay-expectativas-de-que-baje-a-3500-pesos/</v>
      </c>
      <c r="Y3757" s="77" t="s">
        <v>6471</v>
      </c>
      <c r="Z3757" s="77"/>
      <c r="AA3757" s="77"/>
      <c r="AB3757" s="77"/>
      <c r="AC3757" s="82" t="s">
        <v>7750</v>
      </c>
      <c r="AD3757" s="77" t="s">
        <v>7790</v>
      </c>
      <c r="AE3757" s="80" t="str">
        <f>HYPERLINK("https://twitter.com/valoraanalitik/status/1682002413966839810")</f>
        <v>https://twitter.com/valoraanalitik/status/1682002413966839810</v>
      </c>
      <c r="AF3757" s="79">
        <v>45127.513888888891</v>
      </c>
      <c r="AG3757" s="85">
        <v>45127</v>
      </c>
      <c r="AH3757" s="82" t="s">
        <v>7852</v>
      </c>
      <c r="AI3757" s="77" t="b">
        <v>0</v>
      </c>
      <c r="AJ3757" s="77"/>
      <c r="AK3757" s="77"/>
      <c r="AL3757" s="77"/>
      <c r="AM3757" s="77"/>
      <c r="AN3757" s="77"/>
      <c r="AO3757" s="77"/>
      <c r="AP3757" s="77"/>
      <c r="AQ3757" s="77"/>
      <c r="AR3757" s="77"/>
      <c r="AS3757" s="77"/>
      <c r="AT3757" s="77"/>
      <c r="AU3757" s="77"/>
      <c r="AV3757" s="80" t="str">
        <f>HYPERLINK("https://pbs.twimg.com/profile_images/1475155236713029641/7Lb8npQr_normal.jpg")</f>
        <v>https://pbs.twimg.com/profile_images/1475155236713029641/7Lb8npQr_normal.jpg</v>
      </c>
      <c r="AW3757" s="82" t="s">
        <v>15329</v>
      </c>
      <c r="AX3757" s="82" t="s">
        <v>15329</v>
      </c>
      <c r="AY3757" s="77"/>
      <c r="AZ3757" s="82" t="s">
        <v>15984</v>
      </c>
      <c r="BA3757" s="82" t="s">
        <v>15984</v>
      </c>
      <c r="BB3757" s="82" t="s">
        <v>15984</v>
      </c>
      <c r="BC3757" s="82" t="s">
        <v>15329</v>
      </c>
      <c r="BD3757" s="77">
        <v>20980846</v>
      </c>
      <c r="BE3757" s="77"/>
      <c r="BF3757" s="77"/>
      <c r="BG3757" s="77"/>
      <c r="BH3757" s="77"/>
      <c r="BI3757" s="77"/>
    </row>
    <row r="3758" spans="1:61" x14ac:dyDescent="0.25">
      <c r="A3758" s="62" t="s">
        <v>614</v>
      </c>
      <c r="B3758" s="62" t="s">
        <v>614</v>
      </c>
      <c r="C3758" s="63"/>
      <c r="D3758" s="64"/>
      <c r="E3758" s="65"/>
      <c r="F3758" s="66"/>
      <c r="G3758" s="63"/>
      <c r="H3758" s="67"/>
      <c r="I3758" s="68"/>
      <c r="J3758" s="68"/>
      <c r="K3758" s="32"/>
      <c r="L3758" s="75">
        <v>3758</v>
      </c>
      <c r="M3758" s="75"/>
      <c r="N3758" s="70"/>
      <c r="O3758" s="77" t="s">
        <v>179</v>
      </c>
      <c r="P3758" s="79">
        <v>45156.639803240738</v>
      </c>
      <c r="Q3758" s="77" t="s">
        <v>4403</v>
      </c>
      <c r="R3758" s="77">
        <v>0</v>
      </c>
      <c r="S3758" s="77">
        <v>4</v>
      </c>
      <c r="T3758" s="77">
        <v>0</v>
      </c>
      <c r="U3758" s="77">
        <v>0</v>
      </c>
      <c r="V3758" s="77">
        <v>753</v>
      </c>
      <c r="W3758" s="82" t="s">
        <v>6395</v>
      </c>
      <c r="X3758" s="80" t="str">
        <f>HYPERLINK("https://bit.ly/47wAnxT")</f>
        <v>https://bit.ly/47wAnxT</v>
      </c>
      <c r="Y3758" s="77" t="s">
        <v>6468</v>
      </c>
      <c r="Z3758" s="77"/>
      <c r="AA3758" s="77"/>
      <c r="AB3758" s="77"/>
      <c r="AC3758" s="82" t="s">
        <v>7775</v>
      </c>
      <c r="AD3758" s="77" t="s">
        <v>7790</v>
      </c>
      <c r="AE3758" s="80" t="str">
        <f>HYPERLINK("https://twitter.com/valoraanalitik/status/1692557294192509295")</f>
        <v>https://twitter.com/valoraanalitik/status/1692557294192509295</v>
      </c>
      <c r="AF3758" s="79">
        <v>45156.639803240738</v>
      </c>
      <c r="AG3758" s="85">
        <v>45156</v>
      </c>
      <c r="AH3758" s="82" t="s">
        <v>10171</v>
      </c>
      <c r="AI3758" s="77" t="b">
        <v>0</v>
      </c>
      <c r="AJ3758" s="77"/>
      <c r="AK3758" s="77"/>
      <c r="AL3758" s="77"/>
      <c r="AM3758" s="77"/>
      <c r="AN3758" s="77"/>
      <c r="AO3758" s="77"/>
      <c r="AP3758" s="77"/>
      <c r="AQ3758" s="77"/>
      <c r="AR3758" s="77"/>
      <c r="AS3758" s="77"/>
      <c r="AT3758" s="77"/>
      <c r="AU3758" s="77"/>
      <c r="AV3758" s="80" t="str">
        <f>HYPERLINK("https://pbs.twimg.com/profile_images/1475155236713029641/7Lb8npQr_normal.jpg")</f>
        <v>https://pbs.twimg.com/profile_images/1475155236713029641/7Lb8npQr_normal.jpg</v>
      </c>
      <c r="AW3758" s="82" t="s">
        <v>15330</v>
      </c>
      <c r="AX3758" s="82" t="s">
        <v>15330</v>
      </c>
      <c r="AY3758" s="77"/>
      <c r="AZ3758" s="82" t="s">
        <v>15984</v>
      </c>
      <c r="BA3758" s="82" t="s">
        <v>15984</v>
      </c>
      <c r="BB3758" s="82" t="s">
        <v>15984</v>
      </c>
      <c r="BC3758" s="82" t="s">
        <v>15330</v>
      </c>
      <c r="BD3758" s="77">
        <v>20980846</v>
      </c>
      <c r="BE3758" s="77"/>
      <c r="BF3758" s="77"/>
      <c r="BG3758" s="77"/>
      <c r="BH3758" s="77"/>
      <c r="BI3758" s="77"/>
    </row>
    <row r="3759" spans="1:61" x14ac:dyDescent="0.25">
      <c r="A3759" s="62" t="s">
        <v>614</v>
      </c>
      <c r="B3759" s="62" t="s">
        <v>614</v>
      </c>
      <c r="C3759" s="63"/>
      <c r="D3759" s="64"/>
      <c r="E3759" s="65"/>
      <c r="F3759" s="66"/>
      <c r="G3759" s="63"/>
      <c r="H3759" s="67"/>
      <c r="I3759" s="68"/>
      <c r="J3759" s="68"/>
      <c r="K3759" s="32"/>
      <c r="L3759" s="75">
        <v>3759</v>
      </c>
      <c r="M3759" s="75"/>
      <c r="N3759" s="70"/>
      <c r="O3759" s="77" t="s">
        <v>179</v>
      </c>
      <c r="P3759" s="79">
        <v>45150.510474537034</v>
      </c>
      <c r="Q3759" s="77" t="s">
        <v>4404</v>
      </c>
      <c r="R3759" s="77">
        <v>3</v>
      </c>
      <c r="S3759" s="77">
        <v>4</v>
      </c>
      <c r="T3759" s="77">
        <v>1</v>
      </c>
      <c r="U3759" s="77">
        <v>0</v>
      </c>
      <c r="V3759" s="77">
        <v>2205</v>
      </c>
      <c r="W3759" s="82" t="s">
        <v>4821</v>
      </c>
      <c r="X3759" s="80" t="str">
        <f>HYPERLINK("https://www.valoraanalitik.com/2023/08/12/minhacienda-no-descarta-realizar-ajustes-regla-fiscal-colombia/")</f>
        <v>https://www.valoraanalitik.com/2023/08/12/minhacienda-no-descarta-realizar-ajustes-regla-fiscal-colombia/</v>
      </c>
      <c r="Y3759" s="77" t="s">
        <v>6471</v>
      </c>
      <c r="Z3759" s="77"/>
      <c r="AA3759" s="77"/>
      <c r="AB3759" s="77"/>
      <c r="AC3759" s="82" t="s">
        <v>7775</v>
      </c>
      <c r="AD3759" s="77" t="s">
        <v>7790</v>
      </c>
      <c r="AE3759" s="80" t="str">
        <f>HYPERLINK("https://twitter.com/valoraanalitik/status/1690336098533220352")</f>
        <v>https://twitter.com/valoraanalitik/status/1690336098533220352</v>
      </c>
      <c r="AF3759" s="79">
        <v>45150.510474537034</v>
      </c>
      <c r="AG3759" s="85">
        <v>45150</v>
      </c>
      <c r="AH3759" s="82" t="s">
        <v>10172</v>
      </c>
      <c r="AI3759" s="77" t="b">
        <v>0</v>
      </c>
      <c r="AJ3759" s="77"/>
      <c r="AK3759" s="77"/>
      <c r="AL3759" s="77"/>
      <c r="AM3759" s="77"/>
      <c r="AN3759" s="77"/>
      <c r="AO3759" s="77"/>
      <c r="AP3759" s="77"/>
      <c r="AQ3759" s="77"/>
      <c r="AR3759" s="77"/>
      <c r="AS3759" s="77"/>
      <c r="AT3759" s="77"/>
      <c r="AU3759" s="77"/>
      <c r="AV3759" s="80" t="str">
        <f>HYPERLINK("https://pbs.twimg.com/profile_images/1475155236713029641/7Lb8npQr_normal.jpg")</f>
        <v>https://pbs.twimg.com/profile_images/1475155236713029641/7Lb8npQr_normal.jpg</v>
      </c>
      <c r="AW3759" s="82" t="s">
        <v>15331</v>
      </c>
      <c r="AX3759" s="82" t="s">
        <v>15331</v>
      </c>
      <c r="AY3759" s="77"/>
      <c r="AZ3759" s="82" t="s">
        <v>15984</v>
      </c>
      <c r="BA3759" s="82" t="s">
        <v>15984</v>
      </c>
      <c r="BB3759" s="82" t="s">
        <v>15984</v>
      </c>
      <c r="BC3759" s="82" t="s">
        <v>15331</v>
      </c>
      <c r="BD3759" s="77">
        <v>20980846</v>
      </c>
      <c r="BE3759" s="77"/>
      <c r="BF3759" s="77"/>
      <c r="BG3759" s="77"/>
      <c r="BH3759" s="77"/>
      <c r="BI3759" s="77"/>
    </row>
    <row r="3760" spans="1:61" x14ac:dyDescent="0.25">
      <c r="A3760" s="62" t="s">
        <v>614</v>
      </c>
      <c r="B3760" s="62" t="s">
        <v>614</v>
      </c>
      <c r="C3760" s="63"/>
      <c r="D3760" s="64"/>
      <c r="E3760" s="65"/>
      <c r="F3760" s="66"/>
      <c r="G3760" s="63"/>
      <c r="H3760" s="67"/>
      <c r="I3760" s="68"/>
      <c r="J3760" s="68"/>
      <c r="K3760" s="32"/>
      <c r="L3760" s="75">
        <v>3760</v>
      </c>
      <c r="M3760" s="75"/>
      <c r="N3760" s="70"/>
      <c r="O3760" s="77" t="s">
        <v>179</v>
      </c>
      <c r="P3760" s="79">
        <v>45172.920173611114</v>
      </c>
      <c r="Q3760" s="77" t="s">
        <v>4405</v>
      </c>
      <c r="R3760" s="77">
        <v>1</v>
      </c>
      <c r="S3760" s="77">
        <v>1</v>
      </c>
      <c r="T3760" s="77">
        <v>0</v>
      </c>
      <c r="U3760" s="77">
        <v>0</v>
      </c>
      <c r="V3760" s="77">
        <v>1138</v>
      </c>
      <c r="W3760" s="82" t="s">
        <v>4821</v>
      </c>
      <c r="X3760" s="80" t="str">
        <f>HYPERLINK("https://bit.ly/44zlc47")</f>
        <v>https://bit.ly/44zlc47</v>
      </c>
      <c r="Y3760" s="77" t="s">
        <v>6468</v>
      </c>
      <c r="Z3760" s="77"/>
      <c r="AA3760" s="77"/>
      <c r="AB3760" s="77"/>
      <c r="AC3760" s="82" t="s">
        <v>7775</v>
      </c>
      <c r="AD3760" s="77" t="s">
        <v>7790</v>
      </c>
      <c r="AE3760" s="80" t="str">
        <f>HYPERLINK("https://twitter.com/valoraanalitik/status/1698457100291105051")</f>
        <v>https://twitter.com/valoraanalitik/status/1698457100291105051</v>
      </c>
      <c r="AF3760" s="79">
        <v>45172.920173611114</v>
      </c>
      <c r="AG3760" s="85">
        <v>45172</v>
      </c>
      <c r="AH3760" s="82" t="s">
        <v>10173</v>
      </c>
      <c r="AI3760" s="77" t="b">
        <v>0</v>
      </c>
      <c r="AJ3760" s="77"/>
      <c r="AK3760" s="77"/>
      <c r="AL3760" s="77"/>
      <c r="AM3760" s="77"/>
      <c r="AN3760" s="77"/>
      <c r="AO3760" s="77"/>
      <c r="AP3760" s="77"/>
      <c r="AQ3760" s="77"/>
      <c r="AR3760" s="77"/>
      <c r="AS3760" s="77"/>
      <c r="AT3760" s="77"/>
      <c r="AU3760" s="77"/>
      <c r="AV3760" s="80" t="str">
        <f>HYPERLINK("https://pbs.twimg.com/profile_images/1475155236713029641/7Lb8npQr_normal.jpg")</f>
        <v>https://pbs.twimg.com/profile_images/1475155236713029641/7Lb8npQr_normal.jpg</v>
      </c>
      <c r="AW3760" s="82" t="s">
        <v>15332</v>
      </c>
      <c r="AX3760" s="82" t="s">
        <v>15332</v>
      </c>
      <c r="AY3760" s="77"/>
      <c r="AZ3760" s="82" t="s">
        <v>15984</v>
      </c>
      <c r="BA3760" s="82" t="s">
        <v>15984</v>
      </c>
      <c r="BB3760" s="82" t="s">
        <v>15984</v>
      </c>
      <c r="BC3760" s="82" t="s">
        <v>15332</v>
      </c>
      <c r="BD3760" s="77">
        <v>20980846</v>
      </c>
      <c r="BE3760" s="77"/>
      <c r="BF3760" s="77"/>
      <c r="BG3760" s="77"/>
      <c r="BH3760" s="77"/>
      <c r="BI3760" s="77"/>
    </row>
    <row r="3761" spans="1:61" x14ac:dyDescent="0.25">
      <c r="A3761" s="62" t="s">
        <v>614</v>
      </c>
      <c r="B3761" s="62" t="s">
        <v>614</v>
      </c>
      <c r="C3761" s="63"/>
      <c r="D3761" s="64"/>
      <c r="E3761" s="65"/>
      <c r="F3761" s="66"/>
      <c r="G3761" s="63"/>
      <c r="H3761" s="67"/>
      <c r="I3761" s="68"/>
      <c r="J3761" s="68"/>
      <c r="K3761" s="32"/>
      <c r="L3761" s="75">
        <v>3761</v>
      </c>
      <c r="M3761" s="75"/>
      <c r="N3761" s="70"/>
      <c r="O3761" s="77" t="s">
        <v>179</v>
      </c>
      <c r="P3761" s="79">
        <v>45152.649895833332</v>
      </c>
      <c r="Q3761" s="77" t="s">
        <v>4406</v>
      </c>
      <c r="R3761" s="77">
        <v>4</v>
      </c>
      <c r="S3761" s="77">
        <v>8</v>
      </c>
      <c r="T3761" s="77">
        <v>1</v>
      </c>
      <c r="U3761" s="77">
        <v>0</v>
      </c>
      <c r="V3761" s="77">
        <v>1323</v>
      </c>
      <c r="W3761" s="82" t="s">
        <v>6396</v>
      </c>
      <c r="X3761" s="80" t="str">
        <f>HYPERLINK("https://bit.ly/3sfMbEk")</f>
        <v>https://bit.ly/3sfMbEk</v>
      </c>
      <c r="Y3761" s="77" t="s">
        <v>6468</v>
      </c>
      <c r="Z3761" s="77"/>
      <c r="AA3761" s="77"/>
      <c r="AB3761" s="77"/>
      <c r="AC3761" s="82" t="s">
        <v>7775</v>
      </c>
      <c r="AD3761" s="77" t="s">
        <v>7790</v>
      </c>
      <c r="AE3761" s="80" t="str">
        <f>HYPERLINK("https://twitter.com/valoraanalitik/status/1691111400515477505")</f>
        <v>https://twitter.com/valoraanalitik/status/1691111400515477505</v>
      </c>
      <c r="AF3761" s="79">
        <v>45152.649895833332</v>
      </c>
      <c r="AG3761" s="85">
        <v>45152</v>
      </c>
      <c r="AH3761" s="82" t="s">
        <v>10174</v>
      </c>
      <c r="AI3761" s="77" t="b">
        <v>0</v>
      </c>
      <c r="AJ3761" s="77"/>
      <c r="AK3761" s="77"/>
      <c r="AL3761" s="77"/>
      <c r="AM3761" s="77"/>
      <c r="AN3761" s="77"/>
      <c r="AO3761" s="77"/>
      <c r="AP3761" s="77"/>
      <c r="AQ3761" s="77"/>
      <c r="AR3761" s="77"/>
      <c r="AS3761" s="77"/>
      <c r="AT3761" s="77"/>
      <c r="AU3761" s="77"/>
      <c r="AV3761" s="80" t="str">
        <f>HYPERLINK("https://pbs.twimg.com/profile_images/1475155236713029641/7Lb8npQr_normal.jpg")</f>
        <v>https://pbs.twimg.com/profile_images/1475155236713029641/7Lb8npQr_normal.jpg</v>
      </c>
      <c r="AW3761" s="82" t="s">
        <v>15333</v>
      </c>
      <c r="AX3761" s="82" t="s">
        <v>15333</v>
      </c>
      <c r="AY3761" s="77"/>
      <c r="AZ3761" s="82" t="s">
        <v>15984</v>
      </c>
      <c r="BA3761" s="82" t="s">
        <v>15984</v>
      </c>
      <c r="BB3761" s="82" t="s">
        <v>15984</v>
      </c>
      <c r="BC3761" s="82" t="s">
        <v>15333</v>
      </c>
      <c r="BD3761" s="77">
        <v>20980846</v>
      </c>
      <c r="BE3761" s="77"/>
      <c r="BF3761" s="77"/>
      <c r="BG3761" s="77"/>
      <c r="BH3761" s="77"/>
      <c r="BI3761" s="77"/>
    </row>
    <row r="3762" spans="1:61" x14ac:dyDescent="0.25">
      <c r="A3762" s="62" t="s">
        <v>614</v>
      </c>
      <c r="B3762" s="62" t="s">
        <v>614</v>
      </c>
      <c r="C3762" s="63"/>
      <c r="D3762" s="64"/>
      <c r="E3762" s="65"/>
      <c r="F3762" s="66"/>
      <c r="G3762" s="63"/>
      <c r="H3762" s="67"/>
      <c r="I3762" s="68"/>
      <c r="J3762" s="68"/>
      <c r="K3762" s="32"/>
      <c r="L3762" s="75">
        <v>3762</v>
      </c>
      <c r="M3762" s="75"/>
      <c r="N3762" s="70"/>
      <c r="O3762" s="77" t="s">
        <v>179</v>
      </c>
      <c r="P3762" s="79">
        <v>45187.673692129632</v>
      </c>
      <c r="Q3762" s="77" t="s">
        <v>4407</v>
      </c>
      <c r="R3762" s="77">
        <v>4</v>
      </c>
      <c r="S3762" s="77">
        <v>9</v>
      </c>
      <c r="T3762" s="77">
        <v>1</v>
      </c>
      <c r="U3762" s="77">
        <v>0</v>
      </c>
      <c r="V3762" s="77">
        <v>4442</v>
      </c>
      <c r="W3762" s="82" t="s">
        <v>4821</v>
      </c>
      <c r="X3762" s="77"/>
      <c r="Y3762" s="77"/>
      <c r="Z3762" s="77"/>
      <c r="AA3762" s="77" t="s">
        <v>7725</v>
      </c>
      <c r="AB3762" s="77" t="s">
        <v>7743</v>
      </c>
      <c r="AC3762" s="82" t="s">
        <v>7775</v>
      </c>
      <c r="AD3762" s="77" t="s">
        <v>7790</v>
      </c>
      <c r="AE3762" s="80" t="str">
        <f>HYPERLINK("https://twitter.com/valoraanalitik/status/1703803596016410625")</f>
        <v>https://twitter.com/valoraanalitik/status/1703803596016410625</v>
      </c>
      <c r="AF3762" s="79">
        <v>45187.673692129632</v>
      </c>
      <c r="AG3762" s="85">
        <v>45187</v>
      </c>
      <c r="AH3762" s="82" t="s">
        <v>10175</v>
      </c>
      <c r="AI3762" s="77" t="b">
        <v>0</v>
      </c>
      <c r="AJ3762" s="77"/>
      <c r="AK3762" s="77"/>
      <c r="AL3762" s="77"/>
      <c r="AM3762" s="77"/>
      <c r="AN3762" s="77"/>
      <c r="AO3762" s="77"/>
      <c r="AP3762" s="77"/>
      <c r="AQ3762" s="77" t="s">
        <v>11697</v>
      </c>
      <c r="AR3762" s="77">
        <v>6533</v>
      </c>
      <c r="AS3762" s="77"/>
      <c r="AT3762" s="77"/>
      <c r="AU3762" s="77"/>
      <c r="AV3762" s="80" t="str">
        <f>HYPERLINK("https://pbs.twimg.com/ext_tw_video_thumb/1703803090221064193/pu/img/y0smB1mzxBIu4Q-f.jpg")</f>
        <v>https://pbs.twimg.com/ext_tw_video_thumb/1703803090221064193/pu/img/y0smB1mzxBIu4Q-f.jpg</v>
      </c>
      <c r="AW3762" s="82" t="s">
        <v>15334</v>
      </c>
      <c r="AX3762" s="82" t="s">
        <v>15334</v>
      </c>
      <c r="AY3762" s="77"/>
      <c r="AZ3762" s="82" t="s">
        <v>15984</v>
      </c>
      <c r="BA3762" s="82" t="s">
        <v>15984</v>
      </c>
      <c r="BB3762" s="82" t="s">
        <v>15984</v>
      </c>
      <c r="BC3762" s="82" t="s">
        <v>15334</v>
      </c>
      <c r="BD3762" s="77">
        <v>20980846</v>
      </c>
      <c r="BE3762" s="77"/>
      <c r="BF3762" s="77"/>
      <c r="BG3762" s="77"/>
      <c r="BH3762" s="77"/>
      <c r="BI3762" s="77"/>
    </row>
    <row r="3763" spans="1:61" x14ac:dyDescent="0.25">
      <c r="A3763" s="62" t="s">
        <v>614</v>
      </c>
      <c r="B3763" s="62" t="s">
        <v>614</v>
      </c>
      <c r="C3763" s="63"/>
      <c r="D3763" s="64"/>
      <c r="E3763" s="65"/>
      <c r="F3763" s="66"/>
      <c r="G3763" s="63"/>
      <c r="H3763" s="67"/>
      <c r="I3763" s="68"/>
      <c r="J3763" s="68"/>
      <c r="K3763" s="32"/>
      <c r="L3763" s="75">
        <v>3763</v>
      </c>
      <c r="M3763" s="75"/>
      <c r="N3763" s="70"/>
      <c r="O3763" s="77" t="s">
        <v>179</v>
      </c>
      <c r="P3763" s="79">
        <v>45157.584120370368</v>
      </c>
      <c r="Q3763" s="77" t="s">
        <v>4408</v>
      </c>
      <c r="R3763" s="77">
        <v>1</v>
      </c>
      <c r="S3763" s="77">
        <v>7</v>
      </c>
      <c r="T3763" s="77">
        <v>0</v>
      </c>
      <c r="U3763" s="77">
        <v>0</v>
      </c>
      <c r="V3763" s="77">
        <v>1187</v>
      </c>
      <c r="W3763" s="82" t="s">
        <v>4821</v>
      </c>
      <c r="X3763" s="80" t="str">
        <f>HYPERLINK("https://bit.ly/3P3BhL5")</f>
        <v>https://bit.ly/3P3BhL5</v>
      </c>
      <c r="Y3763" s="77" t="s">
        <v>6468</v>
      </c>
      <c r="Z3763" s="77"/>
      <c r="AA3763" s="77" t="s">
        <v>7726</v>
      </c>
      <c r="AB3763" s="77" t="s">
        <v>7742</v>
      </c>
      <c r="AC3763" s="82" t="s">
        <v>7775</v>
      </c>
      <c r="AD3763" s="77" t="s">
        <v>7790</v>
      </c>
      <c r="AE3763" s="80" t="str">
        <f>HYPERLINK("https://twitter.com/valoraanalitik/status/1692899503940964838")</f>
        <v>https://twitter.com/valoraanalitik/status/1692899503940964838</v>
      </c>
      <c r="AF3763" s="79">
        <v>45157.584120370368</v>
      </c>
      <c r="AG3763" s="85">
        <v>45157</v>
      </c>
      <c r="AH3763" s="82" t="s">
        <v>10176</v>
      </c>
      <c r="AI3763" s="77" t="b">
        <v>0</v>
      </c>
      <c r="AJ3763" s="77"/>
      <c r="AK3763" s="77"/>
      <c r="AL3763" s="77"/>
      <c r="AM3763" s="77"/>
      <c r="AN3763" s="77"/>
      <c r="AO3763" s="77"/>
      <c r="AP3763" s="77"/>
      <c r="AQ3763" s="77" t="s">
        <v>11698</v>
      </c>
      <c r="AR3763" s="77"/>
      <c r="AS3763" s="77"/>
      <c r="AT3763" s="77"/>
      <c r="AU3763" s="77"/>
      <c r="AV3763" s="80" t="str">
        <f>HYPERLINK("https://pbs.twimg.com/media/F35jIG-X0AMJZiQ.jpg")</f>
        <v>https://pbs.twimg.com/media/F35jIG-X0AMJZiQ.jpg</v>
      </c>
      <c r="AW3763" s="82" t="s">
        <v>15335</v>
      </c>
      <c r="AX3763" s="82" t="s">
        <v>15335</v>
      </c>
      <c r="AY3763" s="77"/>
      <c r="AZ3763" s="82" t="s">
        <v>15984</v>
      </c>
      <c r="BA3763" s="82" t="s">
        <v>15984</v>
      </c>
      <c r="BB3763" s="82" t="s">
        <v>15984</v>
      </c>
      <c r="BC3763" s="82" t="s">
        <v>15335</v>
      </c>
      <c r="BD3763" s="77">
        <v>20980846</v>
      </c>
      <c r="BE3763" s="77"/>
      <c r="BF3763" s="77"/>
      <c r="BG3763" s="77"/>
      <c r="BH3763" s="77"/>
      <c r="BI3763" s="77"/>
    </row>
    <row r="3764" spans="1:61" x14ac:dyDescent="0.25">
      <c r="A3764" s="62" t="s">
        <v>614</v>
      </c>
      <c r="B3764" s="62" t="s">
        <v>614</v>
      </c>
      <c r="C3764" s="63"/>
      <c r="D3764" s="64"/>
      <c r="E3764" s="65"/>
      <c r="F3764" s="66"/>
      <c r="G3764" s="63"/>
      <c r="H3764" s="67"/>
      <c r="I3764" s="68"/>
      <c r="J3764" s="68"/>
      <c r="K3764" s="32"/>
      <c r="L3764" s="75">
        <v>3764</v>
      </c>
      <c r="M3764" s="75"/>
      <c r="N3764" s="70"/>
      <c r="O3764" s="77" t="s">
        <v>179</v>
      </c>
      <c r="P3764" s="79">
        <v>45157.053969907407</v>
      </c>
      <c r="Q3764" s="77" t="s">
        <v>4409</v>
      </c>
      <c r="R3764" s="77">
        <v>8</v>
      </c>
      <c r="S3764" s="77">
        <v>9</v>
      </c>
      <c r="T3764" s="77">
        <v>0</v>
      </c>
      <c r="U3764" s="77">
        <v>0</v>
      </c>
      <c r="V3764" s="77">
        <v>1609</v>
      </c>
      <c r="W3764" s="82" t="s">
        <v>4821</v>
      </c>
      <c r="X3764" s="80" t="str">
        <f>HYPERLINK("https://bit.ly/3YIgorL")</f>
        <v>https://bit.ly/3YIgorL</v>
      </c>
      <c r="Y3764" s="77" t="s">
        <v>6468</v>
      </c>
      <c r="Z3764" s="77"/>
      <c r="AA3764" s="77"/>
      <c r="AB3764" s="77"/>
      <c r="AC3764" s="82" t="s">
        <v>7775</v>
      </c>
      <c r="AD3764" s="77" t="s">
        <v>7790</v>
      </c>
      <c r="AE3764" s="80" t="str">
        <f>HYPERLINK("https://twitter.com/valoraanalitik/status/1692707383066157359")</f>
        <v>https://twitter.com/valoraanalitik/status/1692707383066157359</v>
      </c>
      <c r="AF3764" s="79">
        <v>45157.053969907407</v>
      </c>
      <c r="AG3764" s="85">
        <v>45157</v>
      </c>
      <c r="AH3764" s="82" t="s">
        <v>10177</v>
      </c>
      <c r="AI3764" s="77" t="b">
        <v>0</v>
      </c>
      <c r="AJ3764" s="77"/>
      <c r="AK3764" s="77"/>
      <c r="AL3764" s="77"/>
      <c r="AM3764" s="77"/>
      <c r="AN3764" s="77"/>
      <c r="AO3764" s="77"/>
      <c r="AP3764" s="77"/>
      <c r="AQ3764" s="77"/>
      <c r="AR3764" s="77"/>
      <c r="AS3764" s="77"/>
      <c r="AT3764" s="77"/>
      <c r="AU3764" s="77"/>
      <c r="AV3764" s="80" t="str">
        <f>HYPERLINK("https://pbs.twimg.com/profile_images/1475155236713029641/7Lb8npQr_normal.jpg")</f>
        <v>https://pbs.twimg.com/profile_images/1475155236713029641/7Lb8npQr_normal.jpg</v>
      </c>
      <c r="AW3764" s="82" t="s">
        <v>15336</v>
      </c>
      <c r="AX3764" s="82" t="s">
        <v>15336</v>
      </c>
      <c r="AY3764" s="77"/>
      <c r="AZ3764" s="82" t="s">
        <v>15984</v>
      </c>
      <c r="BA3764" s="82" t="s">
        <v>15984</v>
      </c>
      <c r="BB3764" s="82" t="s">
        <v>15984</v>
      </c>
      <c r="BC3764" s="82" t="s">
        <v>15336</v>
      </c>
      <c r="BD3764" s="77">
        <v>20980846</v>
      </c>
      <c r="BE3764" s="77"/>
      <c r="BF3764" s="77"/>
      <c r="BG3764" s="77"/>
      <c r="BH3764" s="77"/>
      <c r="BI3764" s="77"/>
    </row>
    <row r="3765" spans="1:61" x14ac:dyDescent="0.25">
      <c r="A3765" s="62" t="s">
        <v>614</v>
      </c>
      <c r="B3765" s="62" t="s">
        <v>614</v>
      </c>
      <c r="C3765" s="63"/>
      <c r="D3765" s="64"/>
      <c r="E3765" s="65"/>
      <c r="F3765" s="66"/>
      <c r="G3765" s="63"/>
      <c r="H3765" s="67"/>
      <c r="I3765" s="68"/>
      <c r="J3765" s="68"/>
      <c r="K3765" s="32"/>
      <c r="L3765" s="75">
        <v>3765</v>
      </c>
      <c r="M3765" s="75"/>
      <c r="N3765" s="70"/>
      <c r="O3765" s="77" t="s">
        <v>179</v>
      </c>
      <c r="P3765" s="79">
        <v>45138.945763888885</v>
      </c>
      <c r="Q3765" s="77" t="s">
        <v>4410</v>
      </c>
      <c r="R3765" s="77">
        <v>6</v>
      </c>
      <c r="S3765" s="77">
        <v>7</v>
      </c>
      <c r="T3765" s="77">
        <v>0</v>
      </c>
      <c r="U3765" s="77">
        <v>0</v>
      </c>
      <c r="V3765" s="77">
        <v>1463</v>
      </c>
      <c r="W3765" s="82" t="s">
        <v>4821</v>
      </c>
      <c r="X3765" s="80" t="str">
        <f>HYPERLINK("https://bit.ly/3OeWv6T")</f>
        <v>https://bit.ly/3OeWv6T</v>
      </c>
      <c r="Y3765" s="77" t="s">
        <v>6468</v>
      </c>
      <c r="Z3765" s="77"/>
      <c r="AA3765" s="77"/>
      <c r="AB3765" s="77"/>
      <c r="AC3765" s="82" t="s">
        <v>7775</v>
      </c>
      <c r="AD3765" s="77" t="s">
        <v>7790</v>
      </c>
      <c r="AE3765" s="80" t="str">
        <f>HYPERLINK("https://twitter.com/valoraanalitik/status/1686145189356744704")</f>
        <v>https://twitter.com/valoraanalitik/status/1686145189356744704</v>
      </c>
      <c r="AF3765" s="79">
        <v>45138.945763888885</v>
      </c>
      <c r="AG3765" s="85">
        <v>45138</v>
      </c>
      <c r="AH3765" s="82" t="s">
        <v>10178</v>
      </c>
      <c r="AI3765" s="77" t="b">
        <v>0</v>
      </c>
      <c r="AJ3765" s="77"/>
      <c r="AK3765" s="77"/>
      <c r="AL3765" s="77"/>
      <c r="AM3765" s="77"/>
      <c r="AN3765" s="77"/>
      <c r="AO3765" s="77"/>
      <c r="AP3765" s="77"/>
      <c r="AQ3765" s="77"/>
      <c r="AR3765" s="77"/>
      <c r="AS3765" s="77"/>
      <c r="AT3765" s="77"/>
      <c r="AU3765" s="77"/>
      <c r="AV3765" s="80" t="str">
        <f>HYPERLINK("https://pbs.twimg.com/profile_images/1475155236713029641/7Lb8npQr_normal.jpg")</f>
        <v>https://pbs.twimg.com/profile_images/1475155236713029641/7Lb8npQr_normal.jpg</v>
      </c>
      <c r="AW3765" s="82" t="s">
        <v>15337</v>
      </c>
      <c r="AX3765" s="82" t="s">
        <v>15337</v>
      </c>
      <c r="AY3765" s="77"/>
      <c r="AZ3765" s="82" t="s">
        <v>15984</v>
      </c>
      <c r="BA3765" s="82" t="s">
        <v>15984</v>
      </c>
      <c r="BB3765" s="82" t="s">
        <v>15984</v>
      </c>
      <c r="BC3765" s="82" t="s">
        <v>15337</v>
      </c>
      <c r="BD3765" s="77">
        <v>20980846</v>
      </c>
      <c r="BE3765" s="77"/>
      <c r="BF3765" s="77"/>
      <c r="BG3765" s="77"/>
      <c r="BH3765" s="77"/>
      <c r="BI3765" s="77"/>
    </row>
    <row r="3766" spans="1:61" x14ac:dyDescent="0.25">
      <c r="A3766" s="62" t="s">
        <v>614</v>
      </c>
      <c r="B3766" s="62" t="s">
        <v>614</v>
      </c>
      <c r="C3766" s="63"/>
      <c r="D3766" s="64"/>
      <c r="E3766" s="65"/>
      <c r="F3766" s="66"/>
      <c r="G3766" s="63"/>
      <c r="H3766" s="67"/>
      <c r="I3766" s="68"/>
      <c r="J3766" s="68"/>
      <c r="K3766" s="32"/>
      <c r="L3766" s="75">
        <v>3766</v>
      </c>
      <c r="M3766" s="75"/>
      <c r="N3766" s="70"/>
      <c r="O3766" s="77" t="s">
        <v>179</v>
      </c>
      <c r="P3766" s="79">
        <v>45118.017881944441</v>
      </c>
      <c r="Q3766" s="77" t="s">
        <v>4411</v>
      </c>
      <c r="R3766" s="77">
        <v>3</v>
      </c>
      <c r="S3766" s="77">
        <v>8</v>
      </c>
      <c r="T3766" s="77">
        <v>0</v>
      </c>
      <c r="U3766" s="77">
        <v>0</v>
      </c>
      <c r="V3766" s="77">
        <v>1675</v>
      </c>
      <c r="W3766" s="82" t="s">
        <v>4821</v>
      </c>
      <c r="X3766" s="80" t="str">
        <f>HYPERLINK("https://bit.ly/3Y0oYlH")</f>
        <v>https://bit.ly/3Y0oYlH</v>
      </c>
      <c r="Y3766" s="77" t="s">
        <v>6468</v>
      </c>
      <c r="Z3766" s="77"/>
      <c r="AA3766" s="77"/>
      <c r="AB3766" s="77"/>
      <c r="AC3766" s="82" t="s">
        <v>7775</v>
      </c>
      <c r="AD3766" s="77" t="s">
        <v>7790</v>
      </c>
      <c r="AE3766" s="80" t="str">
        <f>HYPERLINK("https://twitter.com/valoraanalitik/status/1678561177662521346")</f>
        <v>https://twitter.com/valoraanalitik/status/1678561177662521346</v>
      </c>
      <c r="AF3766" s="79">
        <v>45118.017881944441</v>
      </c>
      <c r="AG3766" s="85">
        <v>45118</v>
      </c>
      <c r="AH3766" s="82" t="s">
        <v>10179</v>
      </c>
      <c r="AI3766" s="77" t="b">
        <v>0</v>
      </c>
      <c r="AJ3766" s="77"/>
      <c r="AK3766" s="77"/>
      <c r="AL3766" s="77"/>
      <c r="AM3766" s="77"/>
      <c r="AN3766" s="77"/>
      <c r="AO3766" s="77"/>
      <c r="AP3766" s="77"/>
      <c r="AQ3766" s="77"/>
      <c r="AR3766" s="77"/>
      <c r="AS3766" s="77"/>
      <c r="AT3766" s="77"/>
      <c r="AU3766" s="77"/>
      <c r="AV3766" s="80" t="str">
        <f>HYPERLINK("https://pbs.twimg.com/profile_images/1475155236713029641/7Lb8npQr_normal.jpg")</f>
        <v>https://pbs.twimg.com/profile_images/1475155236713029641/7Lb8npQr_normal.jpg</v>
      </c>
      <c r="AW3766" s="82" t="s">
        <v>15338</v>
      </c>
      <c r="AX3766" s="82" t="s">
        <v>15338</v>
      </c>
      <c r="AY3766" s="77"/>
      <c r="AZ3766" s="82" t="s">
        <v>15984</v>
      </c>
      <c r="BA3766" s="82" t="s">
        <v>15984</v>
      </c>
      <c r="BB3766" s="82" t="s">
        <v>15984</v>
      </c>
      <c r="BC3766" s="82" t="s">
        <v>15338</v>
      </c>
      <c r="BD3766" s="77">
        <v>20980846</v>
      </c>
      <c r="BE3766" s="77"/>
      <c r="BF3766" s="77"/>
      <c r="BG3766" s="77"/>
      <c r="BH3766" s="77"/>
      <c r="BI3766" s="77"/>
    </row>
    <row r="3767" spans="1:61" x14ac:dyDescent="0.25">
      <c r="A3767" s="62" t="s">
        <v>614</v>
      </c>
      <c r="B3767" s="62" t="s">
        <v>614</v>
      </c>
      <c r="C3767" s="63"/>
      <c r="D3767" s="64"/>
      <c r="E3767" s="65"/>
      <c r="F3767" s="66"/>
      <c r="G3767" s="63"/>
      <c r="H3767" s="67"/>
      <c r="I3767" s="68"/>
      <c r="J3767" s="68"/>
      <c r="K3767" s="32"/>
      <c r="L3767" s="75">
        <v>3767</v>
      </c>
      <c r="M3767" s="75"/>
      <c r="N3767" s="70"/>
      <c r="O3767" s="77" t="s">
        <v>179</v>
      </c>
      <c r="P3767" s="79">
        <v>45194.127800925926</v>
      </c>
      <c r="Q3767" s="77" t="s">
        <v>4412</v>
      </c>
      <c r="R3767" s="77">
        <v>2</v>
      </c>
      <c r="S3767" s="77">
        <v>4</v>
      </c>
      <c r="T3767" s="77">
        <v>0</v>
      </c>
      <c r="U3767" s="77">
        <v>0</v>
      </c>
      <c r="V3767" s="77">
        <v>1330</v>
      </c>
      <c r="W3767" s="82" t="s">
        <v>4821</v>
      </c>
      <c r="X3767" s="80" t="str">
        <f>HYPERLINK("https://bit.ly/3rt1867")</f>
        <v>https://bit.ly/3rt1867</v>
      </c>
      <c r="Y3767" s="77" t="s">
        <v>6468</v>
      </c>
      <c r="Z3767" s="77"/>
      <c r="AA3767" s="77"/>
      <c r="AB3767" s="77"/>
      <c r="AC3767" s="82" t="s">
        <v>7775</v>
      </c>
      <c r="AD3767" s="77" t="s">
        <v>7790</v>
      </c>
      <c r="AE3767" s="80" t="str">
        <f>HYPERLINK("https://twitter.com/valoraanalitik/status/1706142488220541267")</f>
        <v>https://twitter.com/valoraanalitik/status/1706142488220541267</v>
      </c>
      <c r="AF3767" s="79">
        <v>45194.127800925926</v>
      </c>
      <c r="AG3767" s="85">
        <v>45194</v>
      </c>
      <c r="AH3767" s="82" t="s">
        <v>10180</v>
      </c>
      <c r="AI3767" s="77" t="b">
        <v>0</v>
      </c>
      <c r="AJ3767" s="77"/>
      <c r="AK3767" s="77"/>
      <c r="AL3767" s="77"/>
      <c r="AM3767" s="77"/>
      <c r="AN3767" s="77"/>
      <c r="AO3767" s="77"/>
      <c r="AP3767" s="77"/>
      <c r="AQ3767" s="77"/>
      <c r="AR3767" s="77"/>
      <c r="AS3767" s="77"/>
      <c r="AT3767" s="77"/>
      <c r="AU3767" s="77"/>
      <c r="AV3767" s="80" t="str">
        <f>HYPERLINK("https://pbs.twimg.com/profile_images/1475155236713029641/7Lb8npQr_normal.jpg")</f>
        <v>https://pbs.twimg.com/profile_images/1475155236713029641/7Lb8npQr_normal.jpg</v>
      </c>
      <c r="AW3767" s="82" t="s">
        <v>15339</v>
      </c>
      <c r="AX3767" s="82" t="s">
        <v>15339</v>
      </c>
      <c r="AY3767" s="77"/>
      <c r="AZ3767" s="82" t="s">
        <v>15984</v>
      </c>
      <c r="BA3767" s="82" t="s">
        <v>15984</v>
      </c>
      <c r="BB3767" s="82" t="s">
        <v>15984</v>
      </c>
      <c r="BC3767" s="82" t="s">
        <v>15339</v>
      </c>
      <c r="BD3767" s="77">
        <v>20980846</v>
      </c>
      <c r="BE3767" s="77"/>
      <c r="BF3767" s="77"/>
      <c r="BG3767" s="77"/>
      <c r="BH3767" s="77"/>
      <c r="BI3767" s="77"/>
    </row>
    <row r="3768" spans="1:61" x14ac:dyDescent="0.25">
      <c r="A3768" s="62" t="s">
        <v>614</v>
      </c>
      <c r="B3768" s="62" t="s">
        <v>614</v>
      </c>
      <c r="C3768" s="63"/>
      <c r="D3768" s="64"/>
      <c r="E3768" s="65"/>
      <c r="F3768" s="66"/>
      <c r="G3768" s="63"/>
      <c r="H3768" s="67"/>
      <c r="I3768" s="68"/>
      <c r="J3768" s="68"/>
      <c r="K3768" s="32"/>
      <c r="L3768" s="75">
        <v>3768</v>
      </c>
      <c r="M3768" s="75"/>
      <c r="N3768" s="70"/>
      <c r="O3768" s="77" t="s">
        <v>179</v>
      </c>
      <c r="P3768" s="79">
        <v>45171.761458333334</v>
      </c>
      <c r="Q3768" s="77" t="s">
        <v>4413</v>
      </c>
      <c r="R3768" s="77">
        <v>3</v>
      </c>
      <c r="S3768" s="77">
        <v>5</v>
      </c>
      <c r="T3768" s="77">
        <v>0</v>
      </c>
      <c r="U3768" s="77">
        <v>0</v>
      </c>
      <c r="V3768" s="77">
        <v>1808</v>
      </c>
      <c r="W3768" s="82" t="s">
        <v>4821</v>
      </c>
      <c r="X3768" s="80" t="str">
        <f>HYPERLINK("https://bit.ly/3Pmdtlw")</f>
        <v>https://bit.ly/3Pmdtlw</v>
      </c>
      <c r="Y3768" s="77" t="s">
        <v>6468</v>
      </c>
      <c r="Z3768" s="77"/>
      <c r="AA3768" s="77"/>
      <c r="AB3768" s="77"/>
      <c r="AC3768" s="82" t="s">
        <v>7775</v>
      </c>
      <c r="AD3768" s="77" t="s">
        <v>7790</v>
      </c>
      <c r="AE3768" s="80" t="str">
        <f>HYPERLINK("https://twitter.com/valoraanalitik/status/1698037198451343477")</f>
        <v>https://twitter.com/valoraanalitik/status/1698037198451343477</v>
      </c>
      <c r="AF3768" s="79">
        <v>45171.761458333334</v>
      </c>
      <c r="AG3768" s="85">
        <v>45171</v>
      </c>
      <c r="AH3768" s="82" t="s">
        <v>10181</v>
      </c>
      <c r="AI3768" s="77" t="b">
        <v>0</v>
      </c>
      <c r="AJ3768" s="77"/>
      <c r="AK3768" s="77"/>
      <c r="AL3768" s="77"/>
      <c r="AM3768" s="77"/>
      <c r="AN3768" s="77"/>
      <c r="AO3768" s="77"/>
      <c r="AP3768" s="77"/>
      <c r="AQ3768" s="77"/>
      <c r="AR3768" s="77"/>
      <c r="AS3768" s="77"/>
      <c r="AT3768" s="77"/>
      <c r="AU3768" s="77"/>
      <c r="AV3768" s="80" t="str">
        <f>HYPERLINK("https://pbs.twimg.com/profile_images/1475155236713029641/7Lb8npQr_normal.jpg")</f>
        <v>https://pbs.twimg.com/profile_images/1475155236713029641/7Lb8npQr_normal.jpg</v>
      </c>
      <c r="AW3768" s="82" t="s">
        <v>15340</v>
      </c>
      <c r="AX3768" s="82" t="s">
        <v>15340</v>
      </c>
      <c r="AY3768" s="77"/>
      <c r="AZ3768" s="82" t="s">
        <v>15984</v>
      </c>
      <c r="BA3768" s="82" t="s">
        <v>15984</v>
      </c>
      <c r="BB3768" s="82" t="s">
        <v>15984</v>
      </c>
      <c r="BC3768" s="82" t="s">
        <v>15340</v>
      </c>
      <c r="BD3768" s="77">
        <v>20980846</v>
      </c>
      <c r="BE3768" s="77"/>
      <c r="BF3768" s="77"/>
      <c r="BG3768" s="77"/>
      <c r="BH3768" s="77"/>
      <c r="BI3768" s="77"/>
    </row>
    <row r="3769" spans="1:61" x14ac:dyDescent="0.25">
      <c r="A3769" s="62" t="s">
        <v>614</v>
      </c>
      <c r="B3769" s="62" t="s">
        <v>614</v>
      </c>
      <c r="C3769" s="63"/>
      <c r="D3769" s="64"/>
      <c r="E3769" s="65"/>
      <c r="F3769" s="66"/>
      <c r="G3769" s="63"/>
      <c r="H3769" s="67"/>
      <c r="I3769" s="68"/>
      <c r="J3769" s="68"/>
      <c r="K3769" s="32"/>
      <c r="L3769" s="75">
        <v>3769</v>
      </c>
      <c r="M3769" s="75"/>
      <c r="N3769" s="70"/>
      <c r="O3769" s="77" t="s">
        <v>179</v>
      </c>
      <c r="P3769" s="79">
        <v>45187.098599537036</v>
      </c>
      <c r="Q3769" s="77" t="s">
        <v>4414</v>
      </c>
      <c r="R3769" s="77">
        <v>2</v>
      </c>
      <c r="S3769" s="77">
        <v>6</v>
      </c>
      <c r="T3769" s="77">
        <v>0</v>
      </c>
      <c r="U3769" s="77">
        <v>0</v>
      </c>
      <c r="V3769" s="77">
        <v>1893</v>
      </c>
      <c r="W3769" s="82" t="s">
        <v>4821</v>
      </c>
      <c r="X3769" s="80" t="str">
        <f>HYPERLINK("https://bit.ly/3PkTDWD")</f>
        <v>https://bit.ly/3PkTDWD</v>
      </c>
      <c r="Y3769" s="77" t="s">
        <v>6468</v>
      </c>
      <c r="Z3769" s="77"/>
      <c r="AA3769" s="77"/>
      <c r="AB3769" s="77"/>
      <c r="AC3769" s="82" t="s">
        <v>7775</v>
      </c>
      <c r="AD3769" s="77" t="s">
        <v>7790</v>
      </c>
      <c r="AE3769" s="80" t="str">
        <f>HYPERLINK("https://twitter.com/valoraanalitik/status/1703595190429090169")</f>
        <v>https://twitter.com/valoraanalitik/status/1703595190429090169</v>
      </c>
      <c r="AF3769" s="79">
        <v>45187.098599537036</v>
      </c>
      <c r="AG3769" s="85">
        <v>45187</v>
      </c>
      <c r="AH3769" s="82" t="s">
        <v>10182</v>
      </c>
      <c r="AI3769" s="77" t="b">
        <v>0</v>
      </c>
      <c r="AJ3769" s="77"/>
      <c r="AK3769" s="77"/>
      <c r="AL3769" s="77"/>
      <c r="AM3769" s="77"/>
      <c r="AN3769" s="77"/>
      <c r="AO3769" s="77"/>
      <c r="AP3769" s="77"/>
      <c r="AQ3769" s="77"/>
      <c r="AR3769" s="77"/>
      <c r="AS3769" s="77"/>
      <c r="AT3769" s="77"/>
      <c r="AU3769" s="77"/>
      <c r="AV3769" s="80" t="str">
        <f>HYPERLINK("https://pbs.twimg.com/profile_images/1475155236713029641/7Lb8npQr_normal.jpg")</f>
        <v>https://pbs.twimg.com/profile_images/1475155236713029641/7Lb8npQr_normal.jpg</v>
      </c>
      <c r="AW3769" s="82" t="s">
        <v>15341</v>
      </c>
      <c r="AX3769" s="82" t="s">
        <v>15341</v>
      </c>
      <c r="AY3769" s="77"/>
      <c r="AZ3769" s="82" t="s">
        <v>15984</v>
      </c>
      <c r="BA3769" s="82" t="s">
        <v>15984</v>
      </c>
      <c r="BB3769" s="82" t="s">
        <v>15984</v>
      </c>
      <c r="BC3769" s="82" t="s">
        <v>15341</v>
      </c>
      <c r="BD3769" s="77">
        <v>20980846</v>
      </c>
      <c r="BE3769" s="77"/>
      <c r="BF3769" s="77"/>
      <c r="BG3769" s="77"/>
      <c r="BH3769" s="77"/>
      <c r="BI3769" s="77"/>
    </row>
    <row r="3770" spans="1:61" x14ac:dyDescent="0.25">
      <c r="A3770" s="62" t="s">
        <v>727</v>
      </c>
      <c r="B3770" s="62" t="s">
        <v>614</v>
      </c>
      <c r="C3770" s="63"/>
      <c r="D3770" s="64"/>
      <c r="E3770" s="65"/>
      <c r="F3770" s="66"/>
      <c r="G3770" s="63"/>
      <c r="H3770" s="67"/>
      <c r="I3770" s="68"/>
      <c r="J3770" s="68"/>
      <c r="K3770" s="32"/>
      <c r="L3770" s="75">
        <v>3770</v>
      </c>
      <c r="M3770" s="75"/>
      <c r="N3770" s="70"/>
      <c r="O3770" s="77" t="s">
        <v>897</v>
      </c>
      <c r="P3770" s="79">
        <v>45195.311238425929</v>
      </c>
      <c r="Q3770" s="77" t="s">
        <v>1116</v>
      </c>
      <c r="R3770" s="77">
        <v>10</v>
      </c>
      <c r="S3770" s="77">
        <v>0</v>
      </c>
      <c r="T3770" s="77">
        <v>0</v>
      </c>
      <c r="U3770" s="77">
        <v>0</v>
      </c>
      <c r="V3770" s="77"/>
      <c r="W3770" s="82" t="s">
        <v>4821</v>
      </c>
      <c r="X3770" s="77"/>
      <c r="Y3770" s="77"/>
      <c r="Z3770" s="77" t="s">
        <v>6566</v>
      </c>
      <c r="AA3770" s="77"/>
      <c r="AB3770" s="77"/>
      <c r="AC3770" s="82" t="s">
        <v>7751</v>
      </c>
      <c r="AD3770" s="77" t="s">
        <v>7790</v>
      </c>
      <c r="AE3770" s="80" t="str">
        <f>HYPERLINK("https://twitter.com/bogotasinmiedo/status/1706571350121275781")</f>
        <v>https://twitter.com/bogotasinmiedo/status/1706571350121275781</v>
      </c>
      <c r="AF3770" s="79">
        <v>45195.311238425929</v>
      </c>
      <c r="AG3770" s="85">
        <v>45195</v>
      </c>
      <c r="AH3770" s="82" t="s">
        <v>10151</v>
      </c>
      <c r="AI3770" s="77"/>
      <c r="AJ3770" s="77"/>
      <c r="AK3770" s="77"/>
      <c r="AL3770" s="77"/>
      <c r="AM3770" s="77"/>
      <c r="AN3770" s="77"/>
      <c r="AO3770" s="77"/>
      <c r="AP3770" s="77"/>
      <c r="AQ3770" s="77"/>
      <c r="AR3770" s="77"/>
      <c r="AS3770" s="77"/>
      <c r="AT3770" s="77"/>
      <c r="AU3770" s="77"/>
      <c r="AV3770" s="80" t="str">
        <f>HYPERLINK("https://pbs.twimg.com/profile_images/692331802548137984/EQijh4xz_normal.jpg")</f>
        <v>https://pbs.twimg.com/profile_images/692331802548137984/EQijh4xz_normal.jpg</v>
      </c>
      <c r="AW3770" s="82" t="s">
        <v>15305</v>
      </c>
      <c r="AX3770" s="82" t="s">
        <v>15305</v>
      </c>
      <c r="AY3770" s="77"/>
      <c r="AZ3770" s="82" t="s">
        <v>15984</v>
      </c>
      <c r="BA3770" s="82" t="s">
        <v>15984</v>
      </c>
      <c r="BB3770" s="82" t="s">
        <v>15303</v>
      </c>
      <c r="BC3770" s="82" t="s">
        <v>15303</v>
      </c>
      <c r="BD3770" s="77">
        <v>298296446</v>
      </c>
      <c r="BE3770" s="77"/>
      <c r="BF3770" s="77"/>
      <c r="BG3770" s="77"/>
      <c r="BH3770" s="77"/>
      <c r="BI3770" s="77"/>
    </row>
    <row r="3771" spans="1:61" x14ac:dyDescent="0.25">
      <c r="A3771" s="62" t="s">
        <v>728</v>
      </c>
      <c r="B3771" s="62" t="s">
        <v>728</v>
      </c>
      <c r="C3771" s="63"/>
      <c r="D3771" s="64"/>
      <c r="E3771" s="65"/>
      <c r="F3771" s="66"/>
      <c r="G3771" s="63"/>
      <c r="H3771" s="67"/>
      <c r="I3771" s="68"/>
      <c r="J3771" s="68"/>
      <c r="K3771" s="32"/>
      <c r="L3771" s="75">
        <v>3771</v>
      </c>
      <c r="M3771" s="75"/>
      <c r="N3771" s="70"/>
      <c r="O3771" s="77" t="s">
        <v>179</v>
      </c>
      <c r="P3771" s="79">
        <v>45155.59033564815</v>
      </c>
      <c r="Q3771" s="77" t="s">
        <v>4415</v>
      </c>
      <c r="R3771" s="77">
        <v>1</v>
      </c>
      <c r="S3771" s="77">
        <v>5</v>
      </c>
      <c r="T3771" s="77">
        <v>0</v>
      </c>
      <c r="U3771" s="77">
        <v>0</v>
      </c>
      <c r="V3771" s="77">
        <v>1196</v>
      </c>
      <c r="W3771" s="82" t="s">
        <v>6397</v>
      </c>
      <c r="X3771" s="77"/>
      <c r="Y3771" s="77"/>
      <c r="Z3771" s="77"/>
      <c r="AA3771" s="77" t="s">
        <v>7727</v>
      </c>
      <c r="AB3771" s="77" t="s">
        <v>7742</v>
      </c>
      <c r="AC3771" s="82" t="s">
        <v>7752</v>
      </c>
      <c r="AD3771" s="77" t="s">
        <v>7788</v>
      </c>
      <c r="AE3771" s="80" t="str">
        <f>HYPERLINK("https://twitter.com/telosinvest/status/1692176977514606779")</f>
        <v>https://twitter.com/telosinvest/status/1692176977514606779</v>
      </c>
      <c r="AF3771" s="79">
        <v>45155.59033564815</v>
      </c>
      <c r="AG3771" s="85">
        <v>45155</v>
      </c>
      <c r="AH3771" s="82" t="s">
        <v>10183</v>
      </c>
      <c r="AI3771" s="77" t="b">
        <v>0</v>
      </c>
      <c r="AJ3771" s="77"/>
      <c r="AK3771" s="77"/>
      <c r="AL3771" s="77"/>
      <c r="AM3771" s="77"/>
      <c r="AN3771" s="77"/>
      <c r="AO3771" s="77"/>
      <c r="AP3771" s="77"/>
      <c r="AQ3771" s="77" t="s">
        <v>11699</v>
      </c>
      <c r="AR3771" s="77"/>
      <c r="AS3771" s="77"/>
      <c r="AT3771" s="77"/>
      <c r="AU3771" s="77"/>
      <c r="AV3771" s="80" t="str">
        <f>HYPERLINK("https://pbs.twimg.com/media/F3vR-58bkAE58TY.jpg")</f>
        <v>https://pbs.twimg.com/media/F3vR-58bkAE58TY.jpg</v>
      </c>
      <c r="AW3771" s="82" t="s">
        <v>15342</v>
      </c>
      <c r="AX3771" s="82" t="s">
        <v>15342</v>
      </c>
      <c r="AY3771" s="77"/>
      <c r="AZ3771" s="82" t="s">
        <v>15984</v>
      </c>
      <c r="BA3771" s="82" t="s">
        <v>15984</v>
      </c>
      <c r="BB3771" s="82" t="s">
        <v>15984</v>
      </c>
      <c r="BC3771" s="82" t="s">
        <v>15342</v>
      </c>
      <c r="BD3771" s="82" t="s">
        <v>16394</v>
      </c>
      <c r="BE3771" s="77"/>
      <c r="BF3771" s="77"/>
      <c r="BG3771" s="77"/>
      <c r="BH3771" s="77"/>
      <c r="BI3771" s="77"/>
    </row>
    <row r="3772" spans="1:61" x14ac:dyDescent="0.25">
      <c r="A3772" s="62" t="s">
        <v>729</v>
      </c>
      <c r="B3772" s="62" t="s">
        <v>729</v>
      </c>
      <c r="C3772" s="63"/>
      <c r="D3772" s="64"/>
      <c r="E3772" s="65"/>
      <c r="F3772" s="66"/>
      <c r="G3772" s="63"/>
      <c r="H3772" s="67"/>
      <c r="I3772" s="68"/>
      <c r="J3772" s="68"/>
      <c r="K3772" s="32"/>
      <c r="L3772" s="75">
        <v>3772</v>
      </c>
      <c r="M3772" s="75"/>
      <c r="N3772" s="70"/>
      <c r="O3772" s="77" t="s">
        <v>179</v>
      </c>
      <c r="P3772" s="79">
        <v>45193.622650462959</v>
      </c>
      <c r="Q3772" s="77" t="s">
        <v>1014</v>
      </c>
      <c r="R3772" s="77">
        <v>0</v>
      </c>
      <c r="S3772" s="77">
        <v>0</v>
      </c>
      <c r="T3772" s="77">
        <v>0</v>
      </c>
      <c r="U3772" s="77">
        <v>0</v>
      </c>
      <c r="V3772" s="77">
        <v>13</v>
      </c>
      <c r="W3772" s="82" t="s">
        <v>4849</v>
      </c>
      <c r="X3772" s="77"/>
      <c r="Y3772" s="77"/>
      <c r="Z3772" s="77"/>
      <c r="AA3772" s="77"/>
      <c r="AB3772" s="77"/>
      <c r="AC3772" s="82" t="s">
        <v>7750</v>
      </c>
      <c r="AD3772" s="77" t="s">
        <v>7789</v>
      </c>
      <c r="AE3772" s="80" t="str">
        <f>HYPERLINK("https://twitter.com/tradermindcoach/status/1705959426534805933")</f>
        <v>https://twitter.com/tradermindcoach/status/1705959426534805933</v>
      </c>
      <c r="AF3772" s="79">
        <v>45193.622650462959</v>
      </c>
      <c r="AG3772" s="85">
        <v>45193</v>
      </c>
      <c r="AH3772" s="82" t="s">
        <v>10184</v>
      </c>
      <c r="AI3772" s="77"/>
      <c r="AJ3772" s="77"/>
      <c r="AK3772" s="77"/>
      <c r="AL3772" s="77"/>
      <c r="AM3772" s="77"/>
      <c r="AN3772" s="77"/>
      <c r="AO3772" s="77"/>
      <c r="AP3772" s="77"/>
      <c r="AQ3772" s="77"/>
      <c r="AR3772" s="77"/>
      <c r="AS3772" s="77"/>
      <c r="AT3772" s="77"/>
      <c r="AU3772" s="77"/>
      <c r="AV3772" s="80" t="str">
        <f>HYPERLINK("https://pbs.twimg.com/profile_images/1699367773556604928/KdFRPg2V_normal.jpg")</f>
        <v>https://pbs.twimg.com/profile_images/1699367773556604928/KdFRPg2V_normal.jpg</v>
      </c>
      <c r="AW3772" s="82" t="s">
        <v>15343</v>
      </c>
      <c r="AX3772" s="82" t="s">
        <v>15343</v>
      </c>
      <c r="AY3772" s="77"/>
      <c r="AZ3772" s="82" t="s">
        <v>15984</v>
      </c>
      <c r="BA3772" s="82" t="s">
        <v>15984</v>
      </c>
      <c r="BB3772" s="82" t="s">
        <v>15984</v>
      </c>
      <c r="BC3772" s="82" t="s">
        <v>15343</v>
      </c>
      <c r="BD3772" s="82" t="s">
        <v>16395</v>
      </c>
      <c r="BE3772" s="77"/>
      <c r="BF3772" s="77"/>
      <c r="BG3772" s="77"/>
      <c r="BH3772" s="77"/>
      <c r="BI3772" s="77"/>
    </row>
    <row r="3773" spans="1:61" x14ac:dyDescent="0.25">
      <c r="A3773" s="62" t="s">
        <v>730</v>
      </c>
      <c r="B3773" s="62" t="s">
        <v>730</v>
      </c>
      <c r="C3773" s="63"/>
      <c r="D3773" s="64"/>
      <c r="E3773" s="65"/>
      <c r="F3773" s="66"/>
      <c r="G3773" s="63"/>
      <c r="H3773" s="67"/>
      <c r="I3773" s="68"/>
      <c r="J3773" s="68"/>
      <c r="K3773" s="32"/>
      <c r="L3773" s="75">
        <v>3773</v>
      </c>
      <c r="M3773" s="75"/>
      <c r="N3773" s="70"/>
      <c r="O3773" s="77" t="s">
        <v>179</v>
      </c>
      <c r="P3773" s="79">
        <v>45124.110891203702</v>
      </c>
      <c r="Q3773" s="77" t="s">
        <v>4416</v>
      </c>
      <c r="R3773" s="77">
        <v>31</v>
      </c>
      <c r="S3773" s="77">
        <v>202</v>
      </c>
      <c r="T3773" s="77">
        <v>7</v>
      </c>
      <c r="U3773" s="77">
        <v>1</v>
      </c>
      <c r="V3773" s="77">
        <v>12775</v>
      </c>
      <c r="W3773" s="82" t="s">
        <v>6398</v>
      </c>
      <c r="X3773" s="77"/>
      <c r="Y3773" s="77"/>
      <c r="Z3773" s="77"/>
      <c r="AA3773" s="77" t="s">
        <v>7728</v>
      </c>
      <c r="AB3773" s="77" t="s">
        <v>7743</v>
      </c>
      <c r="AC3773" s="82" t="s">
        <v>7750</v>
      </c>
      <c r="AD3773" s="77" t="s">
        <v>7788</v>
      </c>
      <c r="AE3773" s="80" t="str">
        <f>HYPERLINK("https://twitter.com/jovempannews/status/1680769212023750656")</f>
        <v>https://twitter.com/jovempannews/status/1680769212023750656</v>
      </c>
      <c r="AF3773" s="79">
        <v>45124.110891203702</v>
      </c>
      <c r="AG3773" s="85">
        <v>45124</v>
      </c>
      <c r="AH3773" s="82" t="s">
        <v>10185</v>
      </c>
      <c r="AI3773" s="77" t="b">
        <v>0</v>
      </c>
      <c r="AJ3773" s="77"/>
      <c r="AK3773" s="77"/>
      <c r="AL3773" s="77"/>
      <c r="AM3773" s="77"/>
      <c r="AN3773" s="77"/>
      <c r="AO3773" s="77"/>
      <c r="AP3773" s="77"/>
      <c r="AQ3773" s="77" t="s">
        <v>11700</v>
      </c>
      <c r="AR3773" s="77">
        <v>611840</v>
      </c>
      <c r="AS3773" s="77"/>
      <c r="AT3773" s="77"/>
      <c r="AU3773" s="77"/>
      <c r="AV3773" s="80" t="str">
        <f>HYPERLINK("https://pbs.twimg.com/amplify_video_thumb/1680768853033328641/img/2TD_W40wV4s9nAXO.jpg")</f>
        <v>https://pbs.twimg.com/amplify_video_thumb/1680768853033328641/img/2TD_W40wV4s9nAXO.jpg</v>
      </c>
      <c r="AW3773" s="82" t="s">
        <v>15344</v>
      </c>
      <c r="AX3773" s="82" t="s">
        <v>15344</v>
      </c>
      <c r="AY3773" s="77"/>
      <c r="AZ3773" s="82" t="s">
        <v>15984</v>
      </c>
      <c r="BA3773" s="82" t="s">
        <v>15984</v>
      </c>
      <c r="BB3773" s="82" t="s">
        <v>15984</v>
      </c>
      <c r="BC3773" s="82" t="s">
        <v>15344</v>
      </c>
      <c r="BD3773" s="77">
        <v>106175018</v>
      </c>
      <c r="BE3773" s="77"/>
      <c r="BF3773" s="77"/>
      <c r="BG3773" s="77"/>
      <c r="BH3773" s="77"/>
      <c r="BI3773" s="77"/>
    </row>
    <row r="3774" spans="1:61" x14ac:dyDescent="0.25">
      <c r="A3774" s="62" t="s">
        <v>730</v>
      </c>
      <c r="B3774" s="62" t="s">
        <v>730</v>
      </c>
      <c r="C3774" s="63"/>
      <c r="D3774" s="64"/>
      <c r="E3774" s="65"/>
      <c r="F3774" s="66"/>
      <c r="G3774" s="63"/>
      <c r="H3774" s="67"/>
      <c r="I3774" s="68"/>
      <c r="J3774" s="68"/>
      <c r="K3774" s="32"/>
      <c r="L3774" s="75">
        <v>3774</v>
      </c>
      <c r="M3774" s="75"/>
      <c r="N3774" s="70"/>
      <c r="O3774" s="77" t="s">
        <v>179</v>
      </c>
      <c r="P3774" s="79">
        <v>45125.572916666664</v>
      </c>
      <c r="Q3774" s="77" t="s">
        <v>4417</v>
      </c>
      <c r="R3774" s="77">
        <v>14</v>
      </c>
      <c r="S3774" s="77">
        <v>84</v>
      </c>
      <c r="T3774" s="77">
        <v>9</v>
      </c>
      <c r="U3774" s="77">
        <v>0</v>
      </c>
      <c r="V3774" s="77">
        <v>8760</v>
      </c>
      <c r="W3774" s="82" t="s">
        <v>6399</v>
      </c>
      <c r="X3774" s="77"/>
      <c r="Y3774" s="77"/>
      <c r="Z3774" s="77"/>
      <c r="AA3774" s="77" t="s">
        <v>7729</v>
      </c>
      <c r="AB3774" s="77" t="s">
        <v>7743</v>
      </c>
      <c r="AC3774" s="82" t="s">
        <v>7786</v>
      </c>
      <c r="AD3774" s="77" t="s">
        <v>7788</v>
      </c>
      <c r="AE3774" s="80" t="str">
        <f>HYPERLINK("https://twitter.com/jovempannews/status/1681299029966348290")</f>
        <v>https://twitter.com/jovempannews/status/1681299029966348290</v>
      </c>
      <c r="AF3774" s="79">
        <v>45125.572916666664</v>
      </c>
      <c r="AG3774" s="85">
        <v>45125</v>
      </c>
      <c r="AH3774" s="82" t="s">
        <v>10083</v>
      </c>
      <c r="AI3774" s="77" t="b">
        <v>0</v>
      </c>
      <c r="AJ3774" s="77"/>
      <c r="AK3774" s="77"/>
      <c r="AL3774" s="77"/>
      <c r="AM3774" s="77"/>
      <c r="AN3774" s="77"/>
      <c r="AO3774" s="77"/>
      <c r="AP3774" s="77"/>
      <c r="AQ3774" s="77" t="s">
        <v>11701</v>
      </c>
      <c r="AR3774" s="77">
        <v>168520</v>
      </c>
      <c r="AS3774" s="77"/>
      <c r="AT3774" s="77"/>
      <c r="AU3774" s="77"/>
      <c r="AV3774" s="80" t="str">
        <f>HYPERLINK("https://pbs.twimg.com/amplify_video_thumb/1681286204367446016/img/LjhD-evZgwde42vD.jpg")</f>
        <v>https://pbs.twimg.com/amplify_video_thumb/1681286204367446016/img/LjhD-evZgwde42vD.jpg</v>
      </c>
      <c r="AW3774" s="82" t="s">
        <v>15345</v>
      </c>
      <c r="AX3774" s="82" t="s">
        <v>15345</v>
      </c>
      <c r="AY3774" s="77"/>
      <c r="AZ3774" s="82" t="s">
        <v>15984</v>
      </c>
      <c r="BA3774" s="82" t="s">
        <v>15984</v>
      </c>
      <c r="BB3774" s="82" t="s">
        <v>15984</v>
      </c>
      <c r="BC3774" s="82" t="s">
        <v>15345</v>
      </c>
      <c r="BD3774" s="77">
        <v>106175018</v>
      </c>
      <c r="BE3774" s="77"/>
      <c r="BF3774" s="77"/>
      <c r="BG3774" s="77"/>
      <c r="BH3774" s="77"/>
      <c r="BI3774" s="77"/>
    </row>
    <row r="3775" spans="1:61" x14ac:dyDescent="0.25">
      <c r="A3775" s="62" t="s">
        <v>730</v>
      </c>
      <c r="B3775" s="62" t="s">
        <v>730</v>
      </c>
      <c r="C3775" s="63"/>
      <c r="D3775" s="64"/>
      <c r="E3775" s="65"/>
      <c r="F3775" s="66"/>
      <c r="G3775" s="63"/>
      <c r="H3775" s="67"/>
      <c r="I3775" s="68"/>
      <c r="J3775" s="68"/>
      <c r="K3775" s="32"/>
      <c r="L3775" s="75">
        <v>3775</v>
      </c>
      <c r="M3775" s="75"/>
      <c r="N3775" s="70"/>
      <c r="O3775" s="77" t="s">
        <v>179</v>
      </c>
      <c r="P3775" s="79">
        <v>45147.588067129633</v>
      </c>
      <c r="Q3775" s="77" t="s">
        <v>4418</v>
      </c>
      <c r="R3775" s="77">
        <v>0</v>
      </c>
      <c r="S3775" s="77">
        <v>27</v>
      </c>
      <c r="T3775" s="77">
        <v>1</v>
      </c>
      <c r="U3775" s="77">
        <v>0</v>
      </c>
      <c r="V3775" s="77">
        <v>5554</v>
      </c>
      <c r="W3775" s="82" t="s">
        <v>6400</v>
      </c>
      <c r="X3775" s="77"/>
      <c r="Y3775" s="77"/>
      <c r="Z3775" s="77"/>
      <c r="AA3775" s="77" t="s">
        <v>7730</v>
      </c>
      <c r="AB3775" s="77" t="s">
        <v>7743</v>
      </c>
      <c r="AC3775" s="82" t="s">
        <v>7786</v>
      </c>
      <c r="AD3775" s="77" t="s">
        <v>7788</v>
      </c>
      <c r="AE3775" s="80" t="str">
        <f>HYPERLINK("https://twitter.com/jovempannews/status/1689277053487505410")</f>
        <v>https://twitter.com/jovempannews/status/1689277053487505410</v>
      </c>
      <c r="AF3775" s="79">
        <v>45147.588067129633</v>
      </c>
      <c r="AG3775" s="85">
        <v>45147</v>
      </c>
      <c r="AH3775" s="82" t="s">
        <v>10186</v>
      </c>
      <c r="AI3775" s="77" t="b">
        <v>0</v>
      </c>
      <c r="AJ3775" s="77"/>
      <c r="AK3775" s="77"/>
      <c r="AL3775" s="77"/>
      <c r="AM3775" s="77"/>
      <c r="AN3775" s="77"/>
      <c r="AO3775" s="77"/>
      <c r="AP3775" s="77"/>
      <c r="AQ3775" s="77" t="s">
        <v>11702</v>
      </c>
      <c r="AR3775" s="77">
        <v>152567</v>
      </c>
      <c r="AS3775" s="77"/>
      <c r="AT3775" s="77"/>
      <c r="AU3775" s="77"/>
      <c r="AV3775" s="80" t="str">
        <f>HYPERLINK("https://pbs.twimg.com/amplify_video_thumb/1689274785539162113/img/5Q81FxY1byMoYCSD.jpg")</f>
        <v>https://pbs.twimg.com/amplify_video_thumb/1689274785539162113/img/5Q81FxY1byMoYCSD.jpg</v>
      </c>
      <c r="AW3775" s="82" t="s">
        <v>15346</v>
      </c>
      <c r="AX3775" s="82" t="s">
        <v>15346</v>
      </c>
      <c r="AY3775" s="77"/>
      <c r="AZ3775" s="82" t="s">
        <v>15984</v>
      </c>
      <c r="BA3775" s="82" t="s">
        <v>15984</v>
      </c>
      <c r="BB3775" s="82" t="s">
        <v>15984</v>
      </c>
      <c r="BC3775" s="82" t="s">
        <v>15346</v>
      </c>
      <c r="BD3775" s="77">
        <v>106175018</v>
      </c>
      <c r="BE3775" s="77"/>
      <c r="BF3775" s="77"/>
      <c r="BG3775" s="77"/>
      <c r="BH3775" s="77"/>
      <c r="BI3775" s="77"/>
    </row>
    <row r="3776" spans="1:61" x14ac:dyDescent="0.25">
      <c r="A3776" s="62" t="s">
        <v>730</v>
      </c>
      <c r="B3776" s="62" t="s">
        <v>730</v>
      </c>
      <c r="C3776" s="63"/>
      <c r="D3776" s="64"/>
      <c r="E3776" s="65"/>
      <c r="F3776" s="66"/>
      <c r="G3776" s="63"/>
      <c r="H3776" s="67"/>
      <c r="I3776" s="68"/>
      <c r="J3776" s="68"/>
      <c r="K3776" s="32"/>
      <c r="L3776" s="75">
        <v>3776</v>
      </c>
      <c r="M3776" s="75"/>
      <c r="N3776" s="70"/>
      <c r="O3776" s="77" t="s">
        <v>179</v>
      </c>
      <c r="P3776" s="79">
        <v>45159.270833333336</v>
      </c>
      <c r="Q3776" s="77" t="s">
        <v>4419</v>
      </c>
      <c r="R3776" s="77">
        <v>7</v>
      </c>
      <c r="S3776" s="77">
        <v>74</v>
      </c>
      <c r="T3776" s="77">
        <v>2</v>
      </c>
      <c r="U3776" s="77">
        <v>0</v>
      </c>
      <c r="V3776" s="77">
        <v>8518</v>
      </c>
      <c r="W3776" s="82" t="s">
        <v>6401</v>
      </c>
      <c r="X3776" s="77"/>
      <c r="Y3776" s="77"/>
      <c r="Z3776" s="77"/>
      <c r="AA3776" s="77" t="s">
        <v>7731</v>
      </c>
      <c r="AB3776" s="77" t="s">
        <v>7743</v>
      </c>
      <c r="AC3776" s="82" t="s">
        <v>7786</v>
      </c>
      <c r="AD3776" s="77" t="s">
        <v>7788</v>
      </c>
      <c r="AE3776" s="80" t="str">
        <f>HYPERLINK("https://twitter.com/jovempannews/status/1693510745286127725")</f>
        <v>https://twitter.com/jovempannews/status/1693510745286127725</v>
      </c>
      <c r="AF3776" s="79">
        <v>45159.270833333336</v>
      </c>
      <c r="AG3776" s="85">
        <v>45159</v>
      </c>
      <c r="AH3776" s="82" t="s">
        <v>10187</v>
      </c>
      <c r="AI3776" s="77" t="b">
        <v>0</v>
      </c>
      <c r="AJ3776" s="77"/>
      <c r="AK3776" s="77"/>
      <c r="AL3776" s="77"/>
      <c r="AM3776" s="77"/>
      <c r="AN3776" s="77"/>
      <c r="AO3776" s="77"/>
      <c r="AP3776" s="77"/>
      <c r="AQ3776" s="77" t="s">
        <v>11703</v>
      </c>
      <c r="AR3776" s="77">
        <v>364842</v>
      </c>
      <c r="AS3776" s="77"/>
      <c r="AT3776" s="77"/>
      <c r="AU3776" s="77"/>
      <c r="AV3776" s="80" t="str">
        <f>HYPERLINK("https://pbs.twimg.com/amplify_video_thumb/1692947490767515648/img/ygOX1-r6e_DAZ-Pb.jpg")</f>
        <v>https://pbs.twimg.com/amplify_video_thumb/1692947490767515648/img/ygOX1-r6e_DAZ-Pb.jpg</v>
      </c>
      <c r="AW3776" s="82" t="s">
        <v>15347</v>
      </c>
      <c r="AX3776" s="82" t="s">
        <v>15347</v>
      </c>
      <c r="AY3776" s="77"/>
      <c r="AZ3776" s="82" t="s">
        <v>15984</v>
      </c>
      <c r="BA3776" s="82" t="s">
        <v>15984</v>
      </c>
      <c r="BB3776" s="82" t="s">
        <v>15984</v>
      </c>
      <c r="BC3776" s="82" t="s">
        <v>15347</v>
      </c>
      <c r="BD3776" s="77">
        <v>106175018</v>
      </c>
      <c r="BE3776" s="77"/>
      <c r="BF3776" s="77"/>
      <c r="BG3776" s="77"/>
      <c r="BH3776" s="77"/>
      <c r="BI3776" s="77"/>
    </row>
    <row r="3777" spans="1:61" x14ac:dyDescent="0.25">
      <c r="A3777" s="62" t="s">
        <v>730</v>
      </c>
      <c r="B3777" s="62" t="s">
        <v>730</v>
      </c>
      <c r="C3777" s="63"/>
      <c r="D3777" s="64"/>
      <c r="E3777" s="65"/>
      <c r="F3777" s="66"/>
      <c r="G3777" s="63"/>
      <c r="H3777" s="67"/>
      <c r="I3777" s="68"/>
      <c r="J3777" s="68"/>
      <c r="K3777" s="32"/>
      <c r="L3777" s="75">
        <v>3777</v>
      </c>
      <c r="M3777" s="75"/>
      <c r="N3777" s="70"/>
      <c r="O3777" s="77" t="s">
        <v>179</v>
      </c>
      <c r="P3777" s="79">
        <v>45152.489583333336</v>
      </c>
      <c r="Q3777" s="77" t="s">
        <v>4420</v>
      </c>
      <c r="R3777" s="77">
        <v>15</v>
      </c>
      <c r="S3777" s="77">
        <v>128</v>
      </c>
      <c r="T3777" s="77">
        <v>6</v>
      </c>
      <c r="U3777" s="77">
        <v>1</v>
      </c>
      <c r="V3777" s="77">
        <v>11584</v>
      </c>
      <c r="W3777" s="82" t="s">
        <v>6402</v>
      </c>
      <c r="X3777" s="77"/>
      <c r="Y3777" s="77"/>
      <c r="Z3777" s="77"/>
      <c r="AA3777" s="77" t="s">
        <v>7732</v>
      </c>
      <c r="AB3777" s="77" t="s">
        <v>7743</v>
      </c>
      <c r="AC3777" s="82" t="s">
        <v>7786</v>
      </c>
      <c r="AD3777" s="77" t="s">
        <v>7788</v>
      </c>
      <c r="AE3777" s="80" t="str">
        <f>HYPERLINK("https://twitter.com/jovempannews/status/1691053302933250048")</f>
        <v>https://twitter.com/jovempannews/status/1691053302933250048</v>
      </c>
      <c r="AF3777" s="79">
        <v>45152.489583333336</v>
      </c>
      <c r="AG3777" s="85">
        <v>45152</v>
      </c>
      <c r="AH3777" s="82" t="s">
        <v>9965</v>
      </c>
      <c r="AI3777" s="77" t="b">
        <v>0</v>
      </c>
      <c r="AJ3777" s="77"/>
      <c r="AK3777" s="77"/>
      <c r="AL3777" s="77"/>
      <c r="AM3777" s="77"/>
      <c r="AN3777" s="77"/>
      <c r="AO3777" s="77"/>
      <c r="AP3777" s="77"/>
      <c r="AQ3777" s="77" t="s">
        <v>11704</v>
      </c>
      <c r="AR3777" s="77">
        <v>152567</v>
      </c>
      <c r="AS3777" s="77"/>
      <c r="AT3777" s="77"/>
      <c r="AU3777" s="77"/>
      <c r="AV3777" s="80" t="str">
        <f>HYPERLINK("https://pbs.twimg.com/amplify_video_thumb/1691048527105769473/img/7Y_N32kwmRmQ-mPx.jpg")</f>
        <v>https://pbs.twimg.com/amplify_video_thumb/1691048527105769473/img/7Y_N32kwmRmQ-mPx.jpg</v>
      </c>
      <c r="AW3777" s="82" t="s">
        <v>15348</v>
      </c>
      <c r="AX3777" s="82" t="s">
        <v>15348</v>
      </c>
      <c r="AY3777" s="77"/>
      <c r="AZ3777" s="82" t="s">
        <v>15984</v>
      </c>
      <c r="BA3777" s="82" t="s">
        <v>15984</v>
      </c>
      <c r="BB3777" s="82" t="s">
        <v>15984</v>
      </c>
      <c r="BC3777" s="82" t="s">
        <v>15348</v>
      </c>
      <c r="BD3777" s="77">
        <v>106175018</v>
      </c>
      <c r="BE3777" s="77"/>
      <c r="BF3777" s="77"/>
      <c r="BG3777" s="77"/>
      <c r="BH3777" s="77"/>
      <c r="BI3777" s="77"/>
    </row>
    <row r="3778" spans="1:61" x14ac:dyDescent="0.25">
      <c r="A3778" s="62" t="s">
        <v>730</v>
      </c>
      <c r="B3778" s="62" t="s">
        <v>730</v>
      </c>
      <c r="C3778" s="63"/>
      <c r="D3778" s="64"/>
      <c r="E3778" s="65"/>
      <c r="F3778" s="66"/>
      <c r="G3778" s="63"/>
      <c r="H3778" s="67"/>
      <c r="I3778" s="68"/>
      <c r="J3778" s="68"/>
      <c r="K3778" s="32"/>
      <c r="L3778" s="75">
        <v>3778</v>
      </c>
      <c r="M3778" s="75"/>
      <c r="N3778" s="70"/>
      <c r="O3778" s="77" t="s">
        <v>179</v>
      </c>
      <c r="P3778" s="79">
        <v>45132.562511574077</v>
      </c>
      <c r="Q3778" s="77" t="s">
        <v>4421</v>
      </c>
      <c r="R3778" s="77">
        <v>4</v>
      </c>
      <c r="S3778" s="77">
        <v>48</v>
      </c>
      <c r="T3778" s="77">
        <v>2</v>
      </c>
      <c r="U3778" s="77">
        <v>0</v>
      </c>
      <c r="V3778" s="77">
        <v>7009</v>
      </c>
      <c r="W3778" s="82" t="s">
        <v>6403</v>
      </c>
      <c r="X3778" s="77"/>
      <c r="Y3778" s="77"/>
      <c r="Z3778" s="77"/>
      <c r="AA3778" s="77" t="s">
        <v>7733</v>
      </c>
      <c r="AB3778" s="77" t="s">
        <v>7743</v>
      </c>
      <c r="AC3778" s="82" t="s">
        <v>7786</v>
      </c>
      <c r="AD3778" s="77" t="s">
        <v>7788</v>
      </c>
      <c r="AE3778" s="80" t="str">
        <f>HYPERLINK("https://twitter.com/jovempannews/status/1683831972559482880")</f>
        <v>https://twitter.com/jovempannews/status/1683831972559482880</v>
      </c>
      <c r="AF3778" s="79">
        <v>45132.562511574077</v>
      </c>
      <c r="AG3778" s="85">
        <v>45132</v>
      </c>
      <c r="AH3778" s="82" t="s">
        <v>10188</v>
      </c>
      <c r="AI3778" s="77" t="b">
        <v>0</v>
      </c>
      <c r="AJ3778" s="77"/>
      <c r="AK3778" s="77"/>
      <c r="AL3778" s="77"/>
      <c r="AM3778" s="77"/>
      <c r="AN3778" s="77"/>
      <c r="AO3778" s="77"/>
      <c r="AP3778" s="77"/>
      <c r="AQ3778" s="77" t="s">
        <v>11705</v>
      </c>
      <c r="AR3778" s="77">
        <v>161434</v>
      </c>
      <c r="AS3778" s="77"/>
      <c r="AT3778" s="77"/>
      <c r="AU3778" s="77"/>
      <c r="AV3778" s="80" t="str">
        <f>HYPERLINK("https://pbs.twimg.com/amplify_video_thumb/1683829105337270275/img/QZ560K4XmFjoCQi3.jpg")</f>
        <v>https://pbs.twimg.com/amplify_video_thumb/1683829105337270275/img/QZ560K4XmFjoCQi3.jpg</v>
      </c>
      <c r="AW3778" s="82" t="s">
        <v>15349</v>
      </c>
      <c r="AX3778" s="82" t="s">
        <v>15349</v>
      </c>
      <c r="AY3778" s="77"/>
      <c r="AZ3778" s="82" t="s">
        <v>15984</v>
      </c>
      <c r="BA3778" s="82" t="s">
        <v>15984</v>
      </c>
      <c r="BB3778" s="82" t="s">
        <v>15984</v>
      </c>
      <c r="BC3778" s="82" t="s">
        <v>15349</v>
      </c>
      <c r="BD3778" s="77">
        <v>106175018</v>
      </c>
      <c r="BE3778" s="77"/>
      <c r="BF3778" s="77"/>
      <c r="BG3778" s="77"/>
      <c r="BH3778" s="77"/>
      <c r="BI3778" s="77"/>
    </row>
    <row r="3779" spans="1:61" x14ac:dyDescent="0.25">
      <c r="A3779" s="62" t="s">
        <v>730</v>
      </c>
      <c r="B3779" s="62" t="s">
        <v>730</v>
      </c>
      <c r="C3779" s="63"/>
      <c r="D3779" s="64"/>
      <c r="E3779" s="65"/>
      <c r="F3779" s="66"/>
      <c r="G3779" s="63"/>
      <c r="H3779" s="67"/>
      <c r="I3779" s="68"/>
      <c r="J3779" s="68"/>
      <c r="K3779" s="32"/>
      <c r="L3779" s="75">
        <v>3779</v>
      </c>
      <c r="M3779" s="75"/>
      <c r="N3779" s="70"/>
      <c r="O3779" s="77" t="s">
        <v>179</v>
      </c>
      <c r="P3779" s="79">
        <v>45153.510798611111</v>
      </c>
      <c r="Q3779" s="77" t="s">
        <v>4422</v>
      </c>
      <c r="R3779" s="77">
        <v>6</v>
      </c>
      <c r="S3779" s="77">
        <v>52</v>
      </c>
      <c r="T3779" s="77">
        <v>4</v>
      </c>
      <c r="U3779" s="77">
        <v>0</v>
      </c>
      <c r="V3779" s="77">
        <v>6527</v>
      </c>
      <c r="W3779" s="82" t="s">
        <v>6404</v>
      </c>
      <c r="X3779" s="77"/>
      <c r="Y3779" s="77"/>
      <c r="Z3779" s="77"/>
      <c r="AA3779" s="77" t="s">
        <v>7734</v>
      </c>
      <c r="AB3779" s="77" t="s">
        <v>7743</v>
      </c>
      <c r="AC3779" s="82" t="s">
        <v>7771</v>
      </c>
      <c r="AD3779" s="77" t="s">
        <v>7788</v>
      </c>
      <c r="AE3779" s="80" t="str">
        <f>HYPERLINK("https://twitter.com/jovempannews/status/1691423379310452736")</f>
        <v>https://twitter.com/jovempannews/status/1691423379310452736</v>
      </c>
      <c r="AF3779" s="79">
        <v>45153.510798611111</v>
      </c>
      <c r="AG3779" s="85">
        <v>45153</v>
      </c>
      <c r="AH3779" s="82" t="s">
        <v>10189</v>
      </c>
      <c r="AI3779" s="77" t="b">
        <v>0</v>
      </c>
      <c r="AJ3779" s="77"/>
      <c r="AK3779" s="77"/>
      <c r="AL3779" s="77"/>
      <c r="AM3779" s="77"/>
      <c r="AN3779" s="77"/>
      <c r="AO3779" s="77"/>
      <c r="AP3779" s="77"/>
      <c r="AQ3779" s="77" t="s">
        <v>11706</v>
      </c>
      <c r="AR3779" s="77">
        <v>59800</v>
      </c>
      <c r="AS3779" s="77"/>
      <c r="AT3779" s="77"/>
      <c r="AU3779" s="77"/>
      <c r="AV3779" s="80" t="str">
        <f>HYPERLINK("https://pbs.twimg.com/ext_tw_video_thumb/1691423315284328448/pu/img/Jk2SZLMqkDPU3_Tt.jpg")</f>
        <v>https://pbs.twimg.com/ext_tw_video_thumb/1691423315284328448/pu/img/Jk2SZLMqkDPU3_Tt.jpg</v>
      </c>
      <c r="AW3779" s="82" t="s">
        <v>15350</v>
      </c>
      <c r="AX3779" s="82" t="s">
        <v>15350</v>
      </c>
      <c r="AY3779" s="77"/>
      <c r="AZ3779" s="82" t="s">
        <v>15984</v>
      </c>
      <c r="BA3779" s="82" t="s">
        <v>15984</v>
      </c>
      <c r="BB3779" s="82" t="s">
        <v>15984</v>
      </c>
      <c r="BC3779" s="82" t="s">
        <v>15350</v>
      </c>
      <c r="BD3779" s="77">
        <v>106175018</v>
      </c>
      <c r="BE3779" s="77"/>
      <c r="BF3779" s="77"/>
      <c r="BG3779" s="77"/>
      <c r="BH3779" s="77"/>
      <c r="BI3779" s="77"/>
    </row>
    <row r="3780" spans="1:61" x14ac:dyDescent="0.25">
      <c r="A3780" s="62" t="s">
        <v>730</v>
      </c>
      <c r="B3780" s="62" t="s">
        <v>730</v>
      </c>
      <c r="C3780" s="63"/>
      <c r="D3780" s="64"/>
      <c r="E3780" s="65"/>
      <c r="F3780" s="66"/>
      <c r="G3780" s="63"/>
      <c r="H3780" s="67"/>
      <c r="I3780" s="68"/>
      <c r="J3780" s="68"/>
      <c r="K3780" s="32"/>
      <c r="L3780" s="75">
        <v>3780</v>
      </c>
      <c r="M3780" s="75"/>
      <c r="N3780" s="70"/>
      <c r="O3780" s="77" t="s">
        <v>179</v>
      </c>
      <c r="P3780" s="79">
        <v>45197.082499999997</v>
      </c>
      <c r="Q3780" s="77" t="s">
        <v>4423</v>
      </c>
      <c r="R3780" s="77">
        <v>3</v>
      </c>
      <c r="S3780" s="77">
        <v>19</v>
      </c>
      <c r="T3780" s="77">
        <v>0</v>
      </c>
      <c r="U3780" s="77">
        <v>0</v>
      </c>
      <c r="V3780" s="77">
        <v>4993</v>
      </c>
      <c r="W3780" s="82" t="s">
        <v>6405</v>
      </c>
      <c r="X3780" s="77"/>
      <c r="Y3780" s="77"/>
      <c r="Z3780" s="77"/>
      <c r="AA3780" s="77" t="s">
        <v>7735</v>
      </c>
      <c r="AB3780" s="77" t="s">
        <v>7743</v>
      </c>
      <c r="AC3780" s="82" t="s">
        <v>7750</v>
      </c>
      <c r="AD3780" s="77" t="s">
        <v>7788</v>
      </c>
      <c r="AE3780" s="80" t="str">
        <f>HYPERLINK("https://twitter.com/jovempannews/status/1707213234468438100")</f>
        <v>https://twitter.com/jovempannews/status/1707213234468438100</v>
      </c>
      <c r="AF3780" s="79">
        <v>45197.082499999997</v>
      </c>
      <c r="AG3780" s="85">
        <v>45197</v>
      </c>
      <c r="AH3780" s="82" t="s">
        <v>10190</v>
      </c>
      <c r="AI3780" s="77" t="b">
        <v>0</v>
      </c>
      <c r="AJ3780" s="77"/>
      <c r="AK3780" s="77"/>
      <c r="AL3780" s="77"/>
      <c r="AM3780" s="77"/>
      <c r="AN3780" s="77"/>
      <c r="AO3780" s="77"/>
      <c r="AP3780" s="77"/>
      <c r="AQ3780" s="77" t="s">
        <v>11707</v>
      </c>
      <c r="AR3780" s="77">
        <v>450880</v>
      </c>
      <c r="AS3780" s="77"/>
      <c r="AT3780" s="77"/>
      <c r="AU3780" s="77"/>
      <c r="AV3780" s="80" t="str">
        <f>HYPERLINK("https://pbs.twimg.com/ext_tw_video_thumb/1707212982743146496/pu/img/miFQ2A8oXfsNIbhb.jpg")</f>
        <v>https://pbs.twimg.com/ext_tw_video_thumb/1707212982743146496/pu/img/miFQ2A8oXfsNIbhb.jpg</v>
      </c>
      <c r="AW3780" s="82" t="s">
        <v>15351</v>
      </c>
      <c r="AX3780" s="82" t="s">
        <v>15351</v>
      </c>
      <c r="AY3780" s="77"/>
      <c r="AZ3780" s="82" t="s">
        <v>15984</v>
      </c>
      <c r="BA3780" s="82" t="s">
        <v>15984</v>
      </c>
      <c r="BB3780" s="82" t="s">
        <v>15984</v>
      </c>
      <c r="BC3780" s="82" t="s">
        <v>15351</v>
      </c>
      <c r="BD3780" s="77">
        <v>106175018</v>
      </c>
      <c r="BE3780" s="77"/>
      <c r="BF3780" s="77"/>
      <c r="BG3780" s="77"/>
      <c r="BH3780" s="77"/>
      <c r="BI3780" s="77"/>
    </row>
    <row r="3781" spans="1:61" x14ac:dyDescent="0.25">
      <c r="A3781" s="62" t="s">
        <v>730</v>
      </c>
      <c r="B3781" s="62" t="s">
        <v>730</v>
      </c>
      <c r="C3781" s="63"/>
      <c r="D3781" s="64"/>
      <c r="E3781" s="65"/>
      <c r="F3781" s="66"/>
      <c r="G3781" s="63"/>
      <c r="H3781" s="67"/>
      <c r="I3781" s="68"/>
      <c r="J3781" s="68"/>
      <c r="K3781" s="32"/>
      <c r="L3781" s="75">
        <v>3781</v>
      </c>
      <c r="M3781" s="75"/>
      <c r="N3781" s="70"/>
      <c r="O3781" s="77" t="s">
        <v>179</v>
      </c>
      <c r="P3781" s="79">
        <v>45140.59375</v>
      </c>
      <c r="Q3781" s="77" t="s">
        <v>4424</v>
      </c>
      <c r="R3781" s="77">
        <v>4</v>
      </c>
      <c r="S3781" s="77">
        <v>40</v>
      </c>
      <c r="T3781" s="77">
        <v>2</v>
      </c>
      <c r="U3781" s="77">
        <v>1</v>
      </c>
      <c r="V3781" s="77">
        <v>6310</v>
      </c>
      <c r="W3781" s="82" t="s">
        <v>6406</v>
      </c>
      <c r="X3781" s="77"/>
      <c r="Y3781" s="77"/>
      <c r="Z3781" s="77"/>
      <c r="AA3781" s="77" t="s">
        <v>7736</v>
      </c>
      <c r="AB3781" s="77" t="s">
        <v>7743</v>
      </c>
      <c r="AC3781" s="82" t="s">
        <v>7786</v>
      </c>
      <c r="AD3781" s="77" t="s">
        <v>7788</v>
      </c>
      <c r="AE3781" s="80" t="str">
        <f>HYPERLINK("https://twitter.com/jovempannews/status/1686742397269475329")</f>
        <v>https://twitter.com/jovempannews/status/1686742397269475329</v>
      </c>
      <c r="AF3781" s="79">
        <v>45140.59375</v>
      </c>
      <c r="AG3781" s="85">
        <v>45140</v>
      </c>
      <c r="AH3781" s="82" t="s">
        <v>10191</v>
      </c>
      <c r="AI3781" s="77" t="b">
        <v>0</v>
      </c>
      <c r="AJ3781" s="77"/>
      <c r="AK3781" s="77"/>
      <c r="AL3781" s="77"/>
      <c r="AM3781" s="77"/>
      <c r="AN3781" s="77"/>
      <c r="AO3781" s="77"/>
      <c r="AP3781" s="77"/>
      <c r="AQ3781" s="77" t="s">
        <v>11708</v>
      </c>
      <c r="AR3781" s="77">
        <v>160107</v>
      </c>
      <c r="AS3781" s="77"/>
      <c r="AT3781" s="77"/>
      <c r="AU3781" s="77"/>
      <c r="AV3781" s="80" t="str">
        <f>HYPERLINK("https://pbs.twimg.com/amplify_video_thumb/1686723463225253888/img/02xEILcouYOX5vSc.jpg")</f>
        <v>https://pbs.twimg.com/amplify_video_thumb/1686723463225253888/img/02xEILcouYOX5vSc.jpg</v>
      </c>
      <c r="AW3781" s="82" t="s">
        <v>15352</v>
      </c>
      <c r="AX3781" s="82" t="s">
        <v>15352</v>
      </c>
      <c r="AY3781" s="77"/>
      <c r="AZ3781" s="82" t="s">
        <v>15984</v>
      </c>
      <c r="BA3781" s="82" t="s">
        <v>15984</v>
      </c>
      <c r="BB3781" s="82" t="s">
        <v>15984</v>
      </c>
      <c r="BC3781" s="82" t="s">
        <v>15352</v>
      </c>
      <c r="BD3781" s="77">
        <v>106175018</v>
      </c>
      <c r="BE3781" s="77"/>
      <c r="BF3781" s="77"/>
      <c r="BG3781" s="77"/>
      <c r="BH3781" s="77"/>
      <c r="BI3781" s="77"/>
    </row>
    <row r="3782" spans="1:61" x14ac:dyDescent="0.25">
      <c r="A3782" s="62" t="s">
        <v>731</v>
      </c>
      <c r="B3782" s="62" t="s">
        <v>730</v>
      </c>
      <c r="C3782" s="63"/>
      <c r="D3782" s="64"/>
      <c r="E3782" s="65"/>
      <c r="F3782" s="66"/>
      <c r="G3782" s="63"/>
      <c r="H3782" s="67"/>
      <c r="I3782" s="68"/>
      <c r="J3782" s="68"/>
      <c r="K3782" s="32"/>
      <c r="L3782" s="75">
        <v>3782</v>
      </c>
      <c r="M3782" s="75"/>
      <c r="N3782" s="70"/>
      <c r="O3782" s="77" t="s">
        <v>897</v>
      </c>
      <c r="P3782" s="79">
        <v>45197.083935185183</v>
      </c>
      <c r="Q3782" s="77" t="s">
        <v>1994</v>
      </c>
      <c r="R3782" s="77">
        <v>3</v>
      </c>
      <c r="S3782" s="77">
        <v>0</v>
      </c>
      <c r="T3782" s="77">
        <v>0</v>
      </c>
      <c r="U3782" s="77">
        <v>0</v>
      </c>
      <c r="V3782" s="77"/>
      <c r="W3782" s="82" t="s">
        <v>5456</v>
      </c>
      <c r="X3782" s="77"/>
      <c r="Y3782" s="77"/>
      <c r="Z3782" s="77" t="s">
        <v>730</v>
      </c>
      <c r="AA3782" s="77"/>
      <c r="AB3782" s="77"/>
      <c r="AC3782" s="82" t="s">
        <v>7752</v>
      </c>
      <c r="AD3782" s="77" t="s">
        <v>7788</v>
      </c>
      <c r="AE3782" s="80" t="str">
        <f>HYPERLINK("https://twitter.com/salseira/status/1707213755610800449")</f>
        <v>https://twitter.com/salseira/status/1707213755610800449</v>
      </c>
      <c r="AF3782" s="79">
        <v>45197.083935185183</v>
      </c>
      <c r="AG3782" s="85">
        <v>45197</v>
      </c>
      <c r="AH3782" s="82" t="s">
        <v>10192</v>
      </c>
      <c r="AI3782" s="77"/>
      <c r="AJ3782" s="77"/>
      <c r="AK3782" s="77"/>
      <c r="AL3782" s="77"/>
      <c r="AM3782" s="77"/>
      <c r="AN3782" s="77"/>
      <c r="AO3782" s="77"/>
      <c r="AP3782" s="77"/>
      <c r="AQ3782" s="77"/>
      <c r="AR3782" s="77"/>
      <c r="AS3782" s="77"/>
      <c r="AT3782" s="77"/>
      <c r="AU3782" s="77"/>
      <c r="AV3782" s="80" t="str">
        <f>HYPERLINK("https://pbs.twimg.com/profile_images/1634463138673307649/C-8lZVGS_normal.jpg")</f>
        <v>https://pbs.twimg.com/profile_images/1634463138673307649/C-8lZVGS_normal.jpg</v>
      </c>
      <c r="AW3782" s="82" t="s">
        <v>15353</v>
      </c>
      <c r="AX3782" s="82" t="s">
        <v>15353</v>
      </c>
      <c r="AY3782" s="77"/>
      <c r="AZ3782" s="82" t="s">
        <v>15984</v>
      </c>
      <c r="BA3782" s="82" t="s">
        <v>15984</v>
      </c>
      <c r="BB3782" s="82" t="s">
        <v>15351</v>
      </c>
      <c r="BC3782" s="82" t="s">
        <v>15351</v>
      </c>
      <c r="BD3782" s="77">
        <v>41410242</v>
      </c>
      <c r="BE3782" s="77"/>
      <c r="BF3782" s="77"/>
      <c r="BG3782" s="77"/>
      <c r="BH3782" s="77"/>
      <c r="BI3782" s="77"/>
    </row>
    <row r="3783" spans="1:61" x14ac:dyDescent="0.25">
      <c r="A3783" s="62" t="s">
        <v>732</v>
      </c>
      <c r="B3783" s="62" t="s">
        <v>893</v>
      </c>
      <c r="C3783" s="63"/>
      <c r="D3783" s="64"/>
      <c r="E3783" s="65"/>
      <c r="F3783" s="66"/>
      <c r="G3783" s="63"/>
      <c r="H3783" s="67"/>
      <c r="I3783" s="68"/>
      <c r="J3783" s="68"/>
      <c r="K3783" s="32"/>
      <c r="L3783" s="75">
        <v>3783</v>
      </c>
      <c r="M3783" s="75"/>
      <c r="N3783" s="70"/>
      <c r="O3783" s="77" t="s">
        <v>898</v>
      </c>
      <c r="P3783" s="79">
        <v>45118.43482638889</v>
      </c>
      <c r="Q3783" s="77" t="s">
        <v>4425</v>
      </c>
      <c r="R3783" s="77">
        <v>0</v>
      </c>
      <c r="S3783" s="77">
        <v>0</v>
      </c>
      <c r="T3783" s="77">
        <v>0</v>
      </c>
      <c r="U3783" s="77">
        <v>0</v>
      </c>
      <c r="V3783" s="77">
        <v>25</v>
      </c>
      <c r="W3783" s="82" t="s">
        <v>4839</v>
      </c>
      <c r="X3783" s="77"/>
      <c r="Y3783" s="77"/>
      <c r="Z3783" s="77" t="s">
        <v>893</v>
      </c>
      <c r="AA3783" s="77"/>
      <c r="AB3783" s="77"/>
      <c r="AC3783" s="82" t="s">
        <v>7750</v>
      </c>
      <c r="AD3783" s="77" t="s">
        <v>7788</v>
      </c>
      <c r="AE3783" s="80" t="str">
        <f>HYPERLINK("https://twitter.com/tomeacao/status/1678712272451956736")</f>
        <v>https://twitter.com/tomeacao/status/1678712272451956736</v>
      </c>
      <c r="AF3783" s="79">
        <v>45118.43482638889</v>
      </c>
      <c r="AG3783" s="85">
        <v>45118</v>
      </c>
      <c r="AH3783" s="82" t="s">
        <v>10193</v>
      </c>
      <c r="AI3783" s="77"/>
      <c r="AJ3783" s="77"/>
      <c r="AK3783" s="77"/>
      <c r="AL3783" s="77"/>
      <c r="AM3783" s="77"/>
      <c r="AN3783" s="77"/>
      <c r="AO3783" s="77"/>
      <c r="AP3783" s="77"/>
      <c r="AQ3783" s="77"/>
      <c r="AR3783" s="77"/>
      <c r="AS3783" s="77"/>
      <c r="AT3783" s="77"/>
      <c r="AU3783" s="77"/>
      <c r="AV3783" s="80" t="str">
        <f>HYPERLINK("https://pbs.twimg.com/profile_images/1678426241513267200/FEYur0I-_normal.jpg")</f>
        <v>https://pbs.twimg.com/profile_images/1678426241513267200/FEYur0I-_normal.jpg</v>
      </c>
      <c r="AW3783" s="82" t="s">
        <v>15354</v>
      </c>
      <c r="AX3783" s="82" t="s">
        <v>15905</v>
      </c>
      <c r="AY3783" s="82" t="s">
        <v>15981</v>
      </c>
      <c r="AZ3783" s="82" t="s">
        <v>15905</v>
      </c>
      <c r="BA3783" s="82" t="s">
        <v>15984</v>
      </c>
      <c r="BB3783" s="82" t="s">
        <v>15984</v>
      </c>
      <c r="BC3783" s="82" t="s">
        <v>15905</v>
      </c>
      <c r="BD3783" s="82" t="s">
        <v>16396</v>
      </c>
      <c r="BE3783" s="77"/>
      <c r="BF3783" s="77"/>
      <c r="BG3783" s="77"/>
      <c r="BH3783" s="77"/>
      <c r="BI3783" s="77"/>
    </row>
    <row r="3784" spans="1:61" x14ac:dyDescent="0.25">
      <c r="A3784" s="62" t="s">
        <v>732</v>
      </c>
      <c r="B3784" s="62" t="s">
        <v>894</v>
      </c>
      <c r="C3784" s="63"/>
      <c r="D3784" s="64"/>
      <c r="E3784" s="65"/>
      <c r="F3784" s="66"/>
      <c r="G3784" s="63"/>
      <c r="H3784" s="67"/>
      <c r="I3784" s="68"/>
      <c r="J3784" s="68"/>
      <c r="K3784" s="32"/>
      <c r="L3784" s="75">
        <v>3784</v>
      </c>
      <c r="M3784" s="75"/>
      <c r="N3784" s="70"/>
      <c r="O3784" s="77" t="s">
        <v>898</v>
      </c>
      <c r="P3784" s="79">
        <v>45118.434745370374</v>
      </c>
      <c r="Q3784" s="77" t="s">
        <v>4426</v>
      </c>
      <c r="R3784" s="77">
        <v>0</v>
      </c>
      <c r="S3784" s="77">
        <v>0</v>
      </c>
      <c r="T3784" s="77">
        <v>0</v>
      </c>
      <c r="U3784" s="77">
        <v>0</v>
      </c>
      <c r="V3784" s="77">
        <v>49</v>
      </c>
      <c r="W3784" s="82" t="s">
        <v>4839</v>
      </c>
      <c r="X3784" s="77"/>
      <c r="Y3784" s="77"/>
      <c r="Z3784" s="77" t="s">
        <v>894</v>
      </c>
      <c r="AA3784" s="77"/>
      <c r="AB3784" s="77"/>
      <c r="AC3784" s="82" t="s">
        <v>7750</v>
      </c>
      <c r="AD3784" s="77" t="s">
        <v>7788</v>
      </c>
      <c r="AE3784" s="80" t="str">
        <f>HYPERLINK("https://twitter.com/tomeacao/status/1678712242383060996")</f>
        <v>https://twitter.com/tomeacao/status/1678712242383060996</v>
      </c>
      <c r="AF3784" s="79">
        <v>45118.434745370374</v>
      </c>
      <c r="AG3784" s="85">
        <v>45118</v>
      </c>
      <c r="AH3784" s="82" t="s">
        <v>10194</v>
      </c>
      <c r="AI3784" s="77"/>
      <c r="AJ3784" s="77"/>
      <c r="AK3784" s="77"/>
      <c r="AL3784" s="77"/>
      <c r="AM3784" s="77"/>
      <c r="AN3784" s="77"/>
      <c r="AO3784" s="77"/>
      <c r="AP3784" s="77"/>
      <c r="AQ3784" s="77"/>
      <c r="AR3784" s="77"/>
      <c r="AS3784" s="77"/>
      <c r="AT3784" s="77"/>
      <c r="AU3784" s="77"/>
      <c r="AV3784" s="80" t="str">
        <f>HYPERLINK("https://pbs.twimg.com/profile_images/1678426241513267200/FEYur0I-_normal.jpg")</f>
        <v>https://pbs.twimg.com/profile_images/1678426241513267200/FEYur0I-_normal.jpg</v>
      </c>
      <c r="AW3784" s="82" t="s">
        <v>15355</v>
      </c>
      <c r="AX3784" s="82" t="s">
        <v>15906</v>
      </c>
      <c r="AY3784" s="82" t="s">
        <v>15982</v>
      </c>
      <c r="AZ3784" s="82" t="s">
        <v>15906</v>
      </c>
      <c r="BA3784" s="82" t="s">
        <v>15984</v>
      </c>
      <c r="BB3784" s="82" t="s">
        <v>15984</v>
      </c>
      <c r="BC3784" s="82" t="s">
        <v>15906</v>
      </c>
      <c r="BD3784" s="82" t="s">
        <v>16396</v>
      </c>
      <c r="BE3784" s="77"/>
      <c r="BF3784" s="77"/>
      <c r="BG3784" s="77"/>
      <c r="BH3784" s="77"/>
      <c r="BI3784" s="77"/>
    </row>
    <row r="3785" spans="1:61" x14ac:dyDescent="0.25">
      <c r="A3785" s="62" t="s">
        <v>733</v>
      </c>
      <c r="B3785" s="62" t="s">
        <v>733</v>
      </c>
      <c r="C3785" s="63"/>
      <c r="D3785" s="64"/>
      <c r="E3785" s="65"/>
      <c r="F3785" s="66"/>
      <c r="G3785" s="63"/>
      <c r="H3785" s="67"/>
      <c r="I3785" s="68"/>
      <c r="J3785" s="68"/>
      <c r="K3785" s="32"/>
      <c r="L3785" s="75">
        <v>3785</v>
      </c>
      <c r="M3785" s="75"/>
      <c r="N3785" s="70"/>
      <c r="O3785" s="77" t="s">
        <v>179</v>
      </c>
      <c r="P3785" s="79">
        <v>45118.667743055557</v>
      </c>
      <c r="Q3785" s="77" t="s">
        <v>4427</v>
      </c>
      <c r="R3785" s="77">
        <v>0</v>
      </c>
      <c r="S3785" s="77">
        <v>1</v>
      </c>
      <c r="T3785" s="77">
        <v>0</v>
      </c>
      <c r="U3785" s="77">
        <v>0</v>
      </c>
      <c r="V3785" s="77">
        <v>53</v>
      </c>
      <c r="W3785" s="82" t="s">
        <v>6407</v>
      </c>
      <c r="X3785" s="80" t="str">
        <f>HYPERLINK("https://bit.ly/3O6yNuS")</f>
        <v>https://bit.ly/3O6yNuS</v>
      </c>
      <c r="Y3785" s="77" t="s">
        <v>6468</v>
      </c>
      <c r="Z3785" s="77"/>
      <c r="AA3785" s="77" t="s">
        <v>7737</v>
      </c>
      <c r="AB3785" s="77" t="s">
        <v>7743</v>
      </c>
      <c r="AC3785" s="82" t="s">
        <v>7752</v>
      </c>
      <c r="AD3785" s="77" t="s">
        <v>7795</v>
      </c>
      <c r="AE3785" s="80" t="str">
        <f>HYPERLINK("https://twitter.com/gimme5app/status/1678796679078715409")</f>
        <v>https://twitter.com/gimme5app/status/1678796679078715409</v>
      </c>
      <c r="AF3785" s="79">
        <v>45118.667743055557</v>
      </c>
      <c r="AG3785" s="85">
        <v>45118</v>
      </c>
      <c r="AH3785" s="82" t="s">
        <v>10195</v>
      </c>
      <c r="AI3785" s="77" t="b">
        <v>0</v>
      </c>
      <c r="AJ3785" s="77"/>
      <c r="AK3785" s="77"/>
      <c r="AL3785" s="77"/>
      <c r="AM3785" s="77"/>
      <c r="AN3785" s="77"/>
      <c r="AO3785" s="77"/>
      <c r="AP3785" s="77"/>
      <c r="AQ3785" s="77" t="s">
        <v>11709</v>
      </c>
      <c r="AR3785" s="77">
        <v>111486</v>
      </c>
      <c r="AS3785" s="77"/>
      <c r="AT3785" s="77"/>
      <c r="AU3785" s="77"/>
      <c r="AV3785" s="80" t="str">
        <f>HYPERLINK("https://pbs.twimg.com/ext_tw_video_thumb/1678796601718964224/pu/img/WmqLrA2CCkXrhSxy.jpg")</f>
        <v>https://pbs.twimg.com/ext_tw_video_thumb/1678796601718964224/pu/img/WmqLrA2CCkXrhSxy.jpg</v>
      </c>
      <c r="AW3785" s="82" t="s">
        <v>15356</v>
      </c>
      <c r="AX3785" s="82" t="s">
        <v>15356</v>
      </c>
      <c r="AY3785" s="77"/>
      <c r="AZ3785" s="82" t="s">
        <v>15984</v>
      </c>
      <c r="BA3785" s="82" t="s">
        <v>15984</v>
      </c>
      <c r="BB3785" s="82" t="s">
        <v>15984</v>
      </c>
      <c r="BC3785" s="82" t="s">
        <v>15356</v>
      </c>
      <c r="BD3785" s="77">
        <v>2870442100</v>
      </c>
      <c r="BE3785" s="77"/>
      <c r="BF3785" s="77"/>
      <c r="BG3785" s="77"/>
      <c r="BH3785" s="77"/>
      <c r="BI3785" s="77"/>
    </row>
    <row r="3786" spans="1:61" x14ac:dyDescent="0.25">
      <c r="A3786" s="62" t="s">
        <v>734</v>
      </c>
      <c r="B3786" s="62" t="s">
        <v>734</v>
      </c>
      <c r="C3786" s="63"/>
      <c r="D3786" s="64"/>
      <c r="E3786" s="65"/>
      <c r="F3786" s="66"/>
      <c r="G3786" s="63"/>
      <c r="H3786" s="67"/>
      <c r="I3786" s="68"/>
      <c r="J3786" s="68"/>
      <c r="K3786" s="32"/>
      <c r="L3786" s="75">
        <v>3786</v>
      </c>
      <c r="M3786" s="75"/>
      <c r="N3786" s="70"/>
      <c r="O3786" s="77" t="s">
        <v>898</v>
      </c>
      <c r="P3786" s="79">
        <v>45146.411909722221</v>
      </c>
      <c r="Q3786" s="77" t="s">
        <v>4428</v>
      </c>
      <c r="R3786" s="77">
        <v>0</v>
      </c>
      <c r="S3786" s="77">
        <v>0</v>
      </c>
      <c r="T3786" s="77">
        <v>1</v>
      </c>
      <c r="U3786" s="77">
        <v>0</v>
      </c>
      <c r="V3786" s="77">
        <v>20</v>
      </c>
      <c r="W3786" s="82" t="s">
        <v>4839</v>
      </c>
      <c r="X3786" s="77"/>
      <c r="Y3786" s="77"/>
      <c r="Z3786" s="77"/>
      <c r="AA3786" s="77"/>
      <c r="AB3786" s="77"/>
      <c r="AC3786" s="82" t="s">
        <v>7752</v>
      </c>
      <c r="AD3786" s="77" t="s">
        <v>7788</v>
      </c>
      <c r="AE3786" s="80" t="str">
        <f>HYPERLINK("https://twitter.com/alissondpo/status/1688850827169980416")</f>
        <v>https://twitter.com/alissondpo/status/1688850827169980416</v>
      </c>
      <c r="AF3786" s="79">
        <v>45146.411909722221</v>
      </c>
      <c r="AG3786" s="85">
        <v>45146</v>
      </c>
      <c r="AH3786" s="82" t="s">
        <v>10196</v>
      </c>
      <c r="AI3786" s="77"/>
      <c r="AJ3786" s="77"/>
      <c r="AK3786" s="77"/>
      <c r="AL3786" s="77"/>
      <c r="AM3786" s="77"/>
      <c r="AN3786" s="77"/>
      <c r="AO3786" s="77"/>
      <c r="AP3786" s="77"/>
      <c r="AQ3786" s="77"/>
      <c r="AR3786" s="77"/>
      <c r="AS3786" s="77"/>
      <c r="AT3786" s="77"/>
      <c r="AU3786" s="77"/>
      <c r="AV3786" s="80" t="str">
        <f>HYPERLINK("https://pbs.twimg.com/profile_images/1680199368765235201/sqAuNCxv_normal.png")</f>
        <v>https://pbs.twimg.com/profile_images/1680199368765235201/sqAuNCxv_normal.png</v>
      </c>
      <c r="AW3786" s="82" t="s">
        <v>15357</v>
      </c>
      <c r="AX3786" s="82" t="s">
        <v>15907</v>
      </c>
      <c r="AY3786" s="82" t="s">
        <v>15983</v>
      </c>
      <c r="AZ3786" s="82" t="s">
        <v>16093</v>
      </c>
      <c r="BA3786" s="82" t="s">
        <v>15984</v>
      </c>
      <c r="BB3786" s="82" t="s">
        <v>15984</v>
      </c>
      <c r="BC3786" s="82" t="s">
        <v>16093</v>
      </c>
      <c r="BD3786" s="82" t="s">
        <v>15983</v>
      </c>
      <c r="BE3786" s="77"/>
      <c r="BF3786" s="77"/>
      <c r="BG3786" s="77"/>
      <c r="BH3786" s="77"/>
      <c r="BI3786" s="77"/>
    </row>
    <row r="3787" spans="1:61" x14ac:dyDescent="0.25">
      <c r="A3787" s="62" t="s">
        <v>734</v>
      </c>
      <c r="B3787" s="62" t="s">
        <v>734</v>
      </c>
      <c r="C3787" s="63"/>
      <c r="D3787" s="64"/>
      <c r="E3787" s="65"/>
      <c r="F3787" s="66"/>
      <c r="G3787" s="63"/>
      <c r="H3787" s="67"/>
      <c r="I3787" s="68"/>
      <c r="J3787" s="68"/>
      <c r="K3787" s="32"/>
      <c r="L3787" s="75">
        <v>3787</v>
      </c>
      <c r="M3787" s="75"/>
      <c r="N3787" s="70"/>
      <c r="O3787" s="77" t="s">
        <v>898</v>
      </c>
      <c r="P3787" s="79">
        <v>45154.432384259257</v>
      </c>
      <c r="Q3787" s="77" t="s">
        <v>4429</v>
      </c>
      <c r="R3787" s="77">
        <v>0</v>
      </c>
      <c r="S3787" s="77">
        <v>0</v>
      </c>
      <c r="T3787" s="77">
        <v>1</v>
      </c>
      <c r="U3787" s="77">
        <v>0</v>
      </c>
      <c r="V3787" s="77">
        <v>15</v>
      </c>
      <c r="W3787" s="82" t="s">
        <v>4839</v>
      </c>
      <c r="X3787" s="77"/>
      <c r="Y3787" s="77"/>
      <c r="Z3787" s="77"/>
      <c r="AA3787" s="77"/>
      <c r="AB3787" s="77"/>
      <c r="AC3787" s="82" t="s">
        <v>7752</v>
      </c>
      <c r="AD3787" s="77" t="s">
        <v>7788</v>
      </c>
      <c r="AE3787" s="80" t="str">
        <f>HYPERLINK("https://twitter.com/alissondpo/status/1691757352641266142")</f>
        <v>https://twitter.com/alissondpo/status/1691757352641266142</v>
      </c>
      <c r="AF3787" s="79">
        <v>45154.432384259257</v>
      </c>
      <c r="AG3787" s="85">
        <v>45154</v>
      </c>
      <c r="AH3787" s="82" t="s">
        <v>10197</v>
      </c>
      <c r="AI3787" s="77"/>
      <c r="AJ3787" s="77"/>
      <c r="AK3787" s="77"/>
      <c r="AL3787" s="77"/>
      <c r="AM3787" s="77"/>
      <c r="AN3787" s="77"/>
      <c r="AO3787" s="77"/>
      <c r="AP3787" s="77"/>
      <c r="AQ3787" s="77"/>
      <c r="AR3787" s="77"/>
      <c r="AS3787" s="77"/>
      <c r="AT3787" s="77"/>
      <c r="AU3787" s="77"/>
      <c r="AV3787" s="80" t="str">
        <f>HYPERLINK("https://pbs.twimg.com/profile_images/1680199368765235201/sqAuNCxv_normal.png")</f>
        <v>https://pbs.twimg.com/profile_images/1680199368765235201/sqAuNCxv_normal.png</v>
      </c>
      <c r="AW3787" s="82" t="s">
        <v>15358</v>
      </c>
      <c r="AX3787" s="82" t="s">
        <v>15908</v>
      </c>
      <c r="AY3787" s="82" t="s">
        <v>15983</v>
      </c>
      <c r="AZ3787" s="82" t="s">
        <v>16094</v>
      </c>
      <c r="BA3787" s="82" t="s">
        <v>15984</v>
      </c>
      <c r="BB3787" s="82" t="s">
        <v>15984</v>
      </c>
      <c r="BC3787" s="82" t="s">
        <v>16094</v>
      </c>
      <c r="BD3787" s="82" t="s">
        <v>15983</v>
      </c>
      <c r="BE3787" s="77"/>
      <c r="BF3787" s="77"/>
      <c r="BG3787" s="77"/>
      <c r="BH3787" s="77"/>
      <c r="BI3787" s="77"/>
    </row>
    <row r="3788" spans="1:61" x14ac:dyDescent="0.25">
      <c r="A3788" s="62" t="s">
        <v>734</v>
      </c>
      <c r="B3788" s="62" t="s">
        <v>734</v>
      </c>
      <c r="C3788" s="63"/>
      <c r="D3788" s="64"/>
      <c r="E3788" s="65"/>
      <c r="F3788" s="66"/>
      <c r="G3788" s="63"/>
      <c r="H3788" s="67"/>
      <c r="I3788" s="68"/>
      <c r="J3788" s="68"/>
      <c r="K3788" s="32"/>
      <c r="L3788" s="75">
        <v>3788</v>
      </c>
      <c r="M3788" s="75"/>
      <c r="N3788" s="70"/>
      <c r="O3788" s="77" t="s">
        <v>898</v>
      </c>
      <c r="P3788" s="79">
        <v>45145.434236111112</v>
      </c>
      <c r="Q3788" s="77" t="s">
        <v>4430</v>
      </c>
      <c r="R3788" s="77">
        <v>0</v>
      </c>
      <c r="S3788" s="77">
        <v>0</v>
      </c>
      <c r="T3788" s="77">
        <v>1</v>
      </c>
      <c r="U3788" s="77">
        <v>0</v>
      </c>
      <c r="V3788" s="77">
        <v>31</v>
      </c>
      <c r="W3788" s="82" t="s">
        <v>4843</v>
      </c>
      <c r="X3788" s="77"/>
      <c r="Y3788" s="77"/>
      <c r="Z3788" s="77"/>
      <c r="AA3788" s="77"/>
      <c r="AB3788" s="77"/>
      <c r="AC3788" s="82" t="s">
        <v>7752</v>
      </c>
      <c r="AD3788" s="77" t="s">
        <v>7788</v>
      </c>
      <c r="AE3788" s="80" t="str">
        <f>HYPERLINK("https://twitter.com/alissondpo/status/1688496531580592130")</f>
        <v>https://twitter.com/alissondpo/status/1688496531580592130</v>
      </c>
      <c r="AF3788" s="79">
        <v>45145.434236111112</v>
      </c>
      <c r="AG3788" s="85">
        <v>45145</v>
      </c>
      <c r="AH3788" s="82" t="s">
        <v>10198</v>
      </c>
      <c r="AI3788" s="77"/>
      <c r="AJ3788" s="77"/>
      <c r="AK3788" s="77"/>
      <c r="AL3788" s="77"/>
      <c r="AM3788" s="77"/>
      <c r="AN3788" s="77"/>
      <c r="AO3788" s="77"/>
      <c r="AP3788" s="77"/>
      <c r="AQ3788" s="77"/>
      <c r="AR3788" s="77"/>
      <c r="AS3788" s="77"/>
      <c r="AT3788" s="77"/>
      <c r="AU3788" s="77"/>
      <c r="AV3788" s="80" t="str">
        <f>HYPERLINK("https://pbs.twimg.com/profile_images/1680199368765235201/sqAuNCxv_normal.png")</f>
        <v>https://pbs.twimg.com/profile_images/1680199368765235201/sqAuNCxv_normal.png</v>
      </c>
      <c r="AW3788" s="82" t="s">
        <v>15359</v>
      </c>
      <c r="AX3788" s="82" t="s">
        <v>15909</v>
      </c>
      <c r="AY3788" s="82" t="s">
        <v>15983</v>
      </c>
      <c r="AZ3788" s="82" t="s">
        <v>16095</v>
      </c>
      <c r="BA3788" s="82" t="s">
        <v>15984</v>
      </c>
      <c r="BB3788" s="82" t="s">
        <v>15984</v>
      </c>
      <c r="BC3788" s="82" t="s">
        <v>16095</v>
      </c>
      <c r="BD3788" s="82" t="s">
        <v>15983</v>
      </c>
      <c r="BE3788" s="77"/>
      <c r="BF3788" s="77"/>
      <c r="BG3788" s="77"/>
      <c r="BH3788" s="77"/>
      <c r="BI3788" s="77"/>
    </row>
    <row r="3789" spans="1:61" x14ac:dyDescent="0.25">
      <c r="A3789" s="62" t="s">
        <v>734</v>
      </c>
      <c r="B3789" s="62" t="s">
        <v>734</v>
      </c>
      <c r="C3789" s="63"/>
      <c r="D3789" s="64"/>
      <c r="E3789" s="65"/>
      <c r="F3789" s="66"/>
      <c r="G3789" s="63"/>
      <c r="H3789" s="67"/>
      <c r="I3789" s="68"/>
      <c r="J3789" s="68"/>
      <c r="K3789" s="32"/>
      <c r="L3789" s="75">
        <v>3789</v>
      </c>
      <c r="M3789" s="75"/>
      <c r="N3789" s="70"/>
      <c r="O3789" s="77" t="s">
        <v>898</v>
      </c>
      <c r="P3789" s="79">
        <v>45155.408275462964</v>
      </c>
      <c r="Q3789" s="77" t="s">
        <v>4431</v>
      </c>
      <c r="R3789" s="77">
        <v>0</v>
      </c>
      <c r="S3789" s="77">
        <v>0</v>
      </c>
      <c r="T3789" s="77">
        <v>1</v>
      </c>
      <c r="U3789" s="77">
        <v>0</v>
      </c>
      <c r="V3789" s="77">
        <v>20</v>
      </c>
      <c r="W3789" s="82" t="s">
        <v>6408</v>
      </c>
      <c r="X3789" s="77"/>
      <c r="Y3789" s="77"/>
      <c r="Z3789" s="77"/>
      <c r="AA3789" s="77"/>
      <c r="AB3789" s="77"/>
      <c r="AC3789" s="82" t="s">
        <v>7752</v>
      </c>
      <c r="AD3789" s="77" t="s">
        <v>7788</v>
      </c>
      <c r="AE3789" s="80" t="str">
        <f>HYPERLINK("https://twitter.com/alissondpo/status/1692111002924372472")</f>
        <v>https://twitter.com/alissondpo/status/1692111002924372472</v>
      </c>
      <c r="AF3789" s="79">
        <v>45155.408275462964</v>
      </c>
      <c r="AG3789" s="85">
        <v>45155</v>
      </c>
      <c r="AH3789" s="82" t="s">
        <v>10199</v>
      </c>
      <c r="AI3789" s="77"/>
      <c r="AJ3789" s="77"/>
      <c r="AK3789" s="77"/>
      <c r="AL3789" s="77"/>
      <c r="AM3789" s="77"/>
      <c r="AN3789" s="77"/>
      <c r="AO3789" s="77"/>
      <c r="AP3789" s="77"/>
      <c r="AQ3789" s="77"/>
      <c r="AR3789" s="77"/>
      <c r="AS3789" s="77"/>
      <c r="AT3789" s="77"/>
      <c r="AU3789" s="77"/>
      <c r="AV3789" s="80" t="str">
        <f>HYPERLINK("https://pbs.twimg.com/profile_images/1680199368765235201/sqAuNCxv_normal.png")</f>
        <v>https://pbs.twimg.com/profile_images/1680199368765235201/sqAuNCxv_normal.png</v>
      </c>
      <c r="AW3789" s="82" t="s">
        <v>15360</v>
      </c>
      <c r="AX3789" s="82" t="s">
        <v>15910</v>
      </c>
      <c r="AY3789" s="82" t="s">
        <v>15983</v>
      </c>
      <c r="AZ3789" s="82" t="s">
        <v>16096</v>
      </c>
      <c r="BA3789" s="82" t="s">
        <v>15984</v>
      </c>
      <c r="BB3789" s="82" t="s">
        <v>15984</v>
      </c>
      <c r="BC3789" s="82" t="s">
        <v>16096</v>
      </c>
      <c r="BD3789" s="82" t="s">
        <v>15983</v>
      </c>
      <c r="BE3789" s="77"/>
      <c r="BF3789" s="77"/>
      <c r="BG3789" s="77"/>
      <c r="BH3789" s="77"/>
      <c r="BI3789" s="77"/>
    </row>
    <row r="3790" spans="1:61" x14ac:dyDescent="0.25">
      <c r="A3790" s="62" t="s">
        <v>734</v>
      </c>
      <c r="B3790" s="62" t="s">
        <v>734</v>
      </c>
      <c r="C3790" s="63"/>
      <c r="D3790" s="64"/>
      <c r="E3790" s="65"/>
      <c r="F3790" s="66"/>
      <c r="G3790" s="63"/>
      <c r="H3790" s="67"/>
      <c r="I3790" s="68"/>
      <c r="J3790" s="68"/>
      <c r="K3790" s="32"/>
      <c r="L3790" s="75">
        <v>3790</v>
      </c>
      <c r="M3790" s="75"/>
      <c r="N3790" s="70"/>
      <c r="O3790" s="77" t="s">
        <v>898</v>
      </c>
      <c r="P3790" s="79">
        <v>45161.436967592592</v>
      </c>
      <c r="Q3790" s="77" t="s">
        <v>4432</v>
      </c>
      <c r="R3790" s="77">
        <v>0</v>
      </c>
      <c r="S3790" s="77">
        <v>0</v>
      </c>
      <c r="T3790" s="77">
        <v>1</v>
      </c>
      <c r="U3790" s="77">
        <v>0</v>
      </c>
      <c r="V3790" s="77">
        <v>24</v>
      </c>
      <c r="W3790" s="82" t="s">
        <v>6409</v>
      </c>
      <c r="X3790" s="77"/>
      <c r="Y3790" s="77"/>
      <c r="Z3790" s="77"/>
      <c r="AA3790" s="77"/>
      <c r="AB3790" s="77"/>
      <c r="AC3790" s="82" t="s">
        <v>7752</v>
      </c>
      <c r="AD3790" s="77" t="s">
        <v>7788</v>
      </c>
      <c r="AE3790" s="80" t="str">
        <f>HYPERLINK("https://twitter.com/alissondpo/status/1694295728829386993")</f>
        <v>https://twitter.com/alissondpo/status/1694295728829386993</v>
      </c>
      <c r="AF3790" s="79">
        <v>45161.436967592592</v>
      </c>
      <c r="AG3790" s="85">
        <v>45161</v>
      </c>
      <c r="AH3790" s="82" t="s">
        <v>10200</v>
      </c>
      <c r="AI3790" s="77"/>
      <c r="AJ3790" s="77"/>
      <c r="AK3790" s="77"/>
      <c r="AL3790" s="77"/>
      <c r="AM3790" s="77"/>
      <c r="AN3790" s="77"/>
      <c r="AO3790" s="77"/>
      <c r="AP3790" s="77"/>
      <c r="AQ3790" s="77"/>
      <c r="AR3790" s="77"/>
      <c r="AS3790" s="77"/>
      <c r="AT3790" s="77"/>
      <c r="AU3790" s="77"/>
      <c r="AV3790" s="80" t="str">
        <f>HYPERLINK("https://pbs.twimg.com/profile_images/1680199368765235201/sqAuNCxv_normal.png")</f>
        <v>https://pbs.twimg.com/profile_images/1680199368765235201/sqAuNCxv_normal.png</v>
      </c>
      <c r="AW3790" s="82" t="s">
        <v>15361</v>
      </c>
      <c r="AX3790" s="82" t="s">
        <v>15911</v>
      </c>
      <c r="AY3790" s="82" t="s">
        <v>15983</v>
      </c>
      <c r="AZ3790" s="82" t="s">
        <v>16097</v>
      </c>
      <c r="BA3790" s="82" t="s">
        <v>15984</v>
      </c>
      <c r="BB3790" s="82" t="s">
        <v>15984</v>
      </c>
      <c r="BC3790" s="82" t="s">
        <v>16097</v>
      </c>
      <c r="BD3790" s="82" t="s">
        <v>15983</v>
      </c>
      <c r="BE3790" s="77"/>
      <c r="BF3790" s="77"/>
      <c r="BG3790" s="77"/>
      <c r="BH3790" s="77"/>
      <c r="BI3790" s="77"/>
    </row>
    <row r="3791" spans="1:61" x14ac:dyDescent="0.25">
      <c r="A3791" s="62" t="s">
        <v>735</v>
      </c>
      <c r="B3791" s="62" t="s">
        <v>735</v>
      </c>
      <c r="C3791" s="63"/>
      <c r="D3791" s="64"/>
      <c r="E3791" s="65"/>
      <c r="F3791" s="66"/>
      <c r="G3791" s="63"/>
      <c r="H3791" s="67"/>
      <c r="I3791" s="68"/>
      <c r="J3791" s="68"/>
      <c r="K3791" s="32"/>
      <c r="L3791" s="75">
        <v>3791</v>
      </c>
      <c r="M3791" s="75"/>
      <c r="N3791" s="70"/>
      <c r="O3791" s="77" t="s">
        <v>179</v>
      </c>
      <c r="P3791" s="79">
        <v>45131.480254629627</v>
      </c>
      <c r="Q3791" s="77" t="s">
        <v>4433</v>
      </c>
      <c r="R3791" s="77">
        <v>0</v>
      </c>
      <c r="S3791" s="77">
        <v>1</v>
      </c>
      <c r="T3791" s="77">
        <v>0</v>
      </c>
      <c r="U3791" s="77">
        <v>0</v>
      </c>
      <c r="V3791" s="77">
        <v>351</v>
      </c>
      <c r="W3791" s="82" t="s">
        <v>6410</v>
      </c>
      <c r="X3791" s="80" t="str">
        <f>HYPERLINK("https://www.youtube.com/watch?v=pEMcOD3wxqA")</f>
        <v>https://www.youtube.com/watch?v=pEMcOD3wxqA</v>
      </c>
      <c r="Y3791" s="77" t="s">
        <v>6480</v>
      </c>
      <c r="Z3791" s="77"/>
      <c r="AA3791" s="77"/>
      <c r="AB3791" s="77"/>
      <c r="AC3791" s="82" t="s">
        <v>7787</v>
      </c>
      <c r="AD3791" s="77" t="s">
        <v>7788</v>
      </c>
      <c r="AE3791" s="80" t="str">
        <f>HYPERLINK("https://twitter.com/modalmais/status/1683439779390562305")</f>
        <v>https://twitter.com/modalmais/status/1683439779390562305</v>
      </c>
      <c r="AF3791" s="79">
        <v>45131.480254629627</v>
      </c>
      <c r="AG3791" s="85">
        <v>45131</v>
      </c>
      <c r="AH3791" s="82" t="s">
        <v>10201</v>
      </c>
      <c r="AI3791" s="77" t="b">
        <v>0</v>
      </c>
      <c r="AJ3791" s="77"/>
      <c r="AK3791" s="77"/>
      <c r="AL3791" s="77"/>
      <c r="AM3791" s="77"/>
      <c r="AN3791" s="77"/>
      <c r="AO3791" s="77"/>
      <c r="AP3791" s="77"/>
      <c r="AQ3791" s="77"/>
      <c r="AR3791" s="77"/>
      <c r="AS3791" s="77"/>
      <c r="AT3791" s="77"/>
      <c r="AU3791" s="77"/>
      <c r="AV3791" s="80" t="str">
        <f>HYPERLINK("https://pbs.twimg.com/profile_images/1067039778795937797/PnnLGTU4_normal.jpg")</f>
        <v>https://pbs.twimg.com/profile_images/1067039778795937797/PnnLGTU4_normal.jpg</v>
      </c>
      <c r="AW3791" s="82" t="s">
        <v>15362</v>
      </c>
      <c r="AX3791" s="82" t="s">
        <v>15362</v>
      </c>
      <c r="AY3791" s="77"/>
      <c r="AZ3791" s="82" t="s">
        <v>15984</v>
      </c>
      <c r="BA3791" s="82" t="s">
        <v>15984</v>
      </c>
      <c r="BB3791" s="82" t="s">
        <v>15984</v>
      </c>
      <c r="BC3791" s="82" t="s">
        <v>15362</v>
      </c>
      <c r="BD3791" s="77">
        <v>2578778256</v>
      </c>
      <c r="BE3791" s="77"/>
      <c r="BF3791" s="77"/>
      <c r="BG3791" s="77"/>
      <c r="BH3791" s="77"/>
      <c r="BI3791" s="77"/>
    </row>
    <row r="3792" spans="1:61" x14ac:dyDescent="0.25">
      <c r="A3792" s="62" t="s">
        <v>735</v>
      </c>
      <c r="B3792" s="62" t="s">
        <v>735</v>
      </c>
      <c r="C3792" s="63"/>
      <c r="D3792" s="64"/>
      <c r="E3792" s="65"/>
      <c r="F3792" s="66"/>
      <c r="G3792" s="63"/>
      <c r="H3792" s="67"/>
      <c r="I3792" s="68"/>
      <c r="J3792" s="68"/>
      <c r="K3792" s="32"/>
      <c r="L3792" s="75">
        <v>3792</v>
      </c>
      <c r="M3792" s="75"/>
      <c r="N3792" s="70"/>
      <c r="O3792" s="77" t="s">
        <v>179</v>
      </c>
      <c r="P3792" s="79">
        <v>45120.566250000003</v>
      </c>
      <c r="Q3792" s="77" t="s">
        <v>4434</v>
      </c>
      <c r="R3792" s="77">
        <v>0</v>
      </c>
      <c r="S3792" s="77">
        <v>0</v>
      </c>
      <c r="T3792" s="77">
        <v>0</v>
      </c>
      <c r="U3792" s="77">
        <v>0</v>
      </c>
      <c r="V3792" s="77">
        <v>237</v>
      </c>
      <c r="W3792" s="82" t="s">
        <v>6411</v>
      </c>
      <c r="X3792" s="77"/>
      <c r="Y3792" s="77"/>
      <c r="Z3792" s="77"/>
      <c r="AA3792" s="77"/>
      <c r="AB3792" s="77"/>
      <c r="AC3792" s="82" t="s">
        <v>7787</v>
      </c>
      <c r="AD3792" s="77" t="s">
        <v>7788</v>
      </c>
      <c r="AE3792" s="80" t="str">
        <f>HYPERLINK("https://twitter.com/modalmais/status/1679484675968978945")</f>
        <v>https://twitter.com/modalmais/status/1679484675968978945</v>
      </c>
      <c r="AF3792" s="79">
        <v>45120.566250000003</v>
      </c>
      <c r="AG3792" s="85">
        <v>45120</v>
      </c>
      <c r="AH3792" s="82" t="s">
        <v>10202</v>
      </c>
      <c r="AI3792" s="77"/>
      <c r="AJ3792" s="77"/>
      <c r="AK3792" s="77"/>
      <c r="AL3792" s="77"/>
      <c r="AM3792" s="77"/>
      <c r="AN3792" s="77"/>
      <c r="AO3792" s="77"/>
      <c r="AP3792" s="77"/>
      <c r="AQ3792" s="77"/>
      <c r="AR3792" s="77"/>
      <c r="AS3792" s="77"/>
      <c r="AT3792" s="77"/>
      <c r="AU3792" s="77"/>
      <c r="AV3792" s="80" t="str">
        <f>HYPERLINK("https://pbs.twimg.com/profile_images/1067039778795937797/PnnLGTU4_normal.jpg")</f>
        <v>https://pbs.twimg.com/profile_images/1067039778795937797/PnnLGTU4_normal.jpg</v>
      </c>
      <c r="AW3792" s="82" t="s">
        <v>15363</v>
      </c>
      <c r="AX3792" s="82" t="s">
        <v>15363</v>
      </c>
      <c r="AY3792" s="77"/>
      <c r="AZ3792" s="82" t="s">
        <v>15984</v>
      </c>
      <c r="BA3792" s="82" t="s">
        <v>15984</v>
      </c>
      <c r="BB3792" s="82" t="s">
        <v>15984</v>
      </c>
      <c r="BC3792" s="82" t="s">
        <v>15363</v>
      </c>
      <c r="BD3792" s="77">
        <v>2578778256</v>
      </c>
      <c r="BE3792" s="77"/>
      <c r="BF3792" s="77"/>
      <c r="BG3792" s="77"/>
      <c r="BH3792" s="77"/>
      <c r="BI3792" s="77"/>
    </row>
    <row r="3793" spans="1:61" x14ac:dyDescent="0.25">
      <c r="A3793" s="62" t="s">
        <v>735</v>
      </c>
      <c r="B3793" s="62" t="s">
        <v>735</v>
      </c>
      <c r="C3793" s="63"/>
      <c r="D3793" s="64"/>
      <c r="E3793" s="65"/>
      <c r="F3793" s="66"/>
      <c r="G3793" s="63"/>
      <c r="H3793" s="67"/>
      <c r="I3793" s="68"/>
      <c r="J3793" s="68"/>
      <c r="K3793" s="32"/>
      <c r="L3793" s="75">
        <v>3793</v>
      </c>
      <c r="M3793" s="75"/>
      <c r="N3793" s="70"/>
      <c r="O3793" s="77" t="s">
        <v>179</v>
      </c>
      <c r="P3793" s="79">
        <v>45120.563414351855</v>
      </c>
      <c r="Q3793" s="77" t="s">
        <v>4435</v>
      </c>
      <c r="R3793" s="77">
        <v>0</v>
      </c>
      <c r="S3793" s="77">
        <v>0</v>
      </c>
      <c r="T3793" s="77">
        <v>0</v>
      </c>
      <c r="U3793" s="77">
        <v>0</v>
      </c>
      <c r="V3793" s="77">
        <v>249</v>
      </c>
      <c r="W3793" s="82" t="s">
        <v>6411</v>
      </c>
      <c r="X3793" s="77"/>
      <c r="Y3793" s="77"/>
      <c r="Z3793" s="77"/>
      <c r="AA3793" s="77"/>
      <c r="AB3793" s="77"/>
      <c r="AC3793" s="82" t="s">
        <v>7787</v>
      </c>
      <c r="AD3793" s="77" t="s">
        <v>7788</v>
      </c>
      <c r="AE3793" s="80" t="str">
        <f>HYPERLINK("https://twitter.com/modalmais/status/1679483646216921093")</f>
        <v>https://twitter.com/modalmais/status/1679483646216921093</v>
      </c>
      <c r="AF3793" s="79">
        <v>45120.563414351855</v>
      </c>
      <c r="AG3793" s="85">
        <v>45120</v>
      </c>
      <c r="AH3793" s="82" t="s">
        <v>10203</v>
      </c>
      <c r="AI3793" s="77"/>
      <c r="AJ3793" s="77"/>
      <c r="AK3793" s="77"/>
      <c r="AL3793" s="77"/>
      <c r="AM3793" s="77"/>
      <c r="AN3793" s="77"/>
      <c r="AO3793" s="77"/>
      <c r="AP3793" s="77"/>
      <c r="AQ3793" s="77"/>
      <c r="AR3793" s="77"/>
      <c r="AS3793" s="77"/>
      <c r="AT3793" s="77"/>
      <c r="AU3793" s="77"/>
      <c r="AV3793" s="80" t="str">
        <f>HYPERLINK("https://pbs.twimg.com/profile_images/1067039778795937797/PnnLGTU4_normal.jpg")</f>
        <v>https://pbs.twimg.com/profile_images/1067039778795937797/PnnLGTU4_normal.jpg</v>
      </c>
      <c r="AW3793" s="82" t="s">
        <v>15364</v>
      </c>
      <c r="AX3793" s="82" t="s">
        <v>15364</v>
      </c>
      <c r="AY3793" s="77"/>
      <c r="AZ3793" s="82" t="s">
        <v>15984</v>
      </c>
      <c r="BA3793" s="82" t="s">
        <v>15984</v>
      </c>
      <c r="BB3793" s="82" t="s">
        <v>15984</v>
      </c>
      <c r="BC3793" s="82" t="s">
        <v>15364</v>
      </c>
      <c r="BD3793" s="77">
        <v>2578778256</v>
      </c>
      <c r="BE3793" s="77"/>
      <c r="BF3793" s="77"/>
      <c r="BG3793" s="77"/>
      <c r="BH3793" s="77"/>
      <c r="BI3793" s="77"/>
    </row>
    <row r="3794" spans="1:61" x14ac:dyDescent="0.25">
      <c r="A3794" s="62" t="s">
        <v>735</v>
      </c>
      <c r="B3794" s="62" t="s">
        <v>735</v>
      </c>
      <c r="C3794" s="63"/>
      <c r="D3794" s="64"/>
      <c r="E3794" s="65"/>
      <c r="F3794" s="66"/>
      <c r="G3794" s="63"/>
      <c r="H3794" s="67"/>
      <c r="I3794" s="68"/>
      <c r="J3794" s="68"/>
      <c r="K3794" s="32"/>
      <c r="L3794" s="75">
        <v>3794</v>
      </c>
      <c r="M3794" s="75"/>
      <c r="N3794" s="70"/>
      <c r="O3794" s="77" t="s">
        <v>179</v>
      </c>
      <c r="P3794" s="79">
        <v>45120.527974537035</v>
      </c>
      <c r="Q3794" s="77" t="s">
        <v>4436</v>
      </c>
      <c r="R3794" s="77">
        <v>0</v>
      </c>
      <c r="S3794" s="77">
        <v>0</v>
      </c>
      <c r="T3794" s="77">
        <v>0</v>
      </c>
      <c r="U3794" s="77">
        <v>0</v>
      </c>
      <c r="V3794" s="77">
        <v>306</v>
      </c>
      <c r="W3794" s="82" t="s">
        <v>6411</v>
      </c>
      <c r="X3794" s="80" t="str">
        <f>HYPERLINK("https://www.modalmais.com.br/morning-call/principais-mercados-mundiais-amanhecem-em-alta")</f>
        <v>https://www.modalmais.com.br/morning-call/principais-mercados-mundiais-amanhecem-em-alta</v>
      </c>
      <c r="Y3794" s="77" t="s">
        <v>6470</v>
      </c>
      <c r="Z3794" s="77"/>
      <c r="AA3794" s="77"/>
      <c r="AB3794" s="77"/>
      <c r="AC3794" s="82" t="s">
        <v>7787</v>
      </c>
      <c r="AD3794" s="77" t="s">
        <v>7788</v>
      </c>
      <c r="AE3794" s="80" t="str">
        <f>HYPERLINK("https://twitter.com/modalmais/status/1679470803400753152")</f>
        <v>https://twitter.com/modalmais/status/1679470803400753152</v>
      </c>
      <c r="AF3794" s="79">
        <v>45120.527974537035</v>
      </c>
      <c r="AG3794" s="85">
        <v>45120</v>
      </c>
      <c r="AH3794" s="82" t="s">
        <v>10204</v>
      </c>
      <c r="AI3794" s="77" t="b">
        <v>0</v>
      </c>
      <c r="AJ3794" s="77"/>
      <c r="AK3794" s="77"/>
      <c r="AL3794" s="77"/>
      <c r="AM3794" s="77"/>
      <c r="AN3794" s="77"/>
      <c r="AO3794" s="77"/>
      <c r="AP3794" s="77"/>
      <c r="AQ3794" s="77"/>
      <c r="AR3794" s="77"/>
      <c r="AS3794" s="77"/>
      <c r="AT3794" s="77"/>
      <c r="AU3794" s="77"/>
      <c r="AV3794" s="80" t="str">
        <f>HYPERLINK("https://pbs.twimg.com/profile_images/1067039778795937797/PnnLGTU4_normal.jpg")</f>
        <v>https://pbs.twimg.com/profile_images/1067039778795937797/PnnLGTU4_normal.jpg</v>
      </c>
      <c r="AW3794" s="82" t="s">
        <v>15365</v>
      </c>
      <c r="AX3794" s="82" t="s">
        <v>15365</v>
      </c>
      <c r="AY3794" s="77"/>
      <c r="AZ3794" s="82" t="s">
        <v>15984</v>
      </c>
      <c r="BA3794" s="82" t="s">
        <v>15984</v>
      </c>
      <c r="BB3794" s="82" t="s">
        <v>15984</v>
      </c>
      <c r="BC3794" s="82" t="s">
        <v>15365</v>
      </c>
      <c r="BD3794" s="77">
        <v>2578778256</v>
      </c>
      <c r="BE3794" s="77"/>
      <c r="BF3794" s="77"/>
      <c r="BG3794" s="77"/>
      <c r="BH3794" s="77"/>
      <c r="BI3794" s="77"/>
    </row>
    <row r="3795" spans="1:61" x14ac:dyDescent="0.25">
      <c r="A3795" s="62" t="s">
        <v>735</v>
      </c>
      <c r="B3795" s="62" t="s">
        <v>735</v>
      </c>
      <c r="C3795" s="63"/>
      <c r="D3795" s="64"/>
      <c r="E3795" s="65"/>
      <c r="F3795" s="66"/>
      <c r="G3795" s="63"/>
      <c r="H3795" s="67"/>
      <c r="I3795" s="68"/>
      <c r="J3795" s="68"/>
      <c r="K3795" s="32"/>
      <c r="L3795" s="75">
        <v>3795</v>
      </c>
      <c r="M3795" s="75"/>
      <c r="N3795" s="70"/>
      <c r="O3795" s="77" t="s">
        <v>179</v>
      </c>
      <c r="P3795" s="79">
        <v>45120.52715277778</v>
      </c>
      <c r="Q3795" s="77" t="s">
        <v>4437</v>
      </c>
      <c r="R3795" s="77">
        <v>0</v>
      </c>
      <c r="S3795" s="77">
        <v>3</v>
      </c>
      <c r="T3795" s="77">
        <v>0</v>
      </c>
      <c r="U3795" s="77">
        <v>0</v>
      </c>
      <c r="V3795" s="77">
        <v>300</v>
      </c>
      <c r="W3795" s="82" t="s">
        <v>6411</v>
      </c>
      <c r="X3795" s="77"/>
      <c r="Y3795" s="77"/>
      <c r="Z3795" s="77"/>
      <c r="AA3795" s="77"/>
      <c r="AB3795" s="77"/>
      <c r="AC3795" s="82" t="s">
        <v>7787</v>
      </c>
      <c r="AD3795" s="77" t="s">
        <v>7788</v>
      </c>
      <c r="AE3795" s="80" t="str">
        <f>HYPERLINK("https://twitter.com/modalmais/status/1679470505944834055")</f>
        <v>https://twitter.com/modalmais/status/1679470505944834055</v>
      </c>
      <c r="AF3795" s="79">
        <v>45120.52715277778</v>
      </c>
      <c r="AG3795" s="85">
        <v>45120</v>
      </c>
      <c r="AH3795" s="82" t="s">
        <v>10205</v>
      </c>
      <c r="AI3795" s="77"/>
      <c r="AJ3795" s="77"/>
      <c r="AK3795" s="77"/>
      <c r="AL3795" s="77"/>
      <c r="AM3795" s="77"/>
      <c r="AN3795" s="77"/>
      <c r="AO3795" s="77"/>
      <c r="AP3795" s="77"/>
      <c r="AQ3795" s="77"/>
      <c r="AR3795" s="77"/>
      <c r="AS3795" s="77"/>
      <c r="AT3795" s="77"/>
      <c r="AU3795" s="77"/>
      <c r="AV3795" s="80" t="str">
        <f>HYPERLINK("https://pbs.twimg.com/profile_images/1067039778795937797/PnnLGTU4_normal.jpg")</f>
        <v>https://pbs.twimg.com/profile_images/1067039778795937797/PnnLGTU4_normal.jpg</v>
      </c>
      <c r="AW3795" s="82" t="s">
        <v>15366</v>
      </c>
      <c r="AX3795" s="82" t="s">
        <v>15366</v>
      </c>
      <c r="AY3795" s="77"/>
      <c r="AZ3795" s="82" t="s">
        <v>15984</v>
      </c>
      <c r="BA3795" s="82" t="s">
        <v>15984</v>
      </c>
      <c r="BB3795" s="82" t="s">
        <v>15984</v>
      </c>
      <c r="BC3795" s="82" t="s">
        <v>15366</v>
      </c>
      <c r="BD3795" s="77">
        <v>2578778256</v>
      </c>
      <c r="BE3795" s="77"/>
      <c r="BF3795" s="77"/>
      <c r="BG3795" s="77"/>
      <c r="BH3795" s="77"/>
      <c r="BI3795" s="77"/>
    </row>
    <row r="3796" spans="1:61" x14ac:dyDescent="0.25">
      <c r="A3796" s="62" t="s">
        <v>735</v>
      </c>
      <c r="B3796" s="62" t="s">
        <v>735</v>
      </c>
      <c r="C3796" s="63"/>
      <c r="D3796" s="64"/>
      <c r="E3796" s="65"/>
      <c r="F3796" s="66"/>
      <c r="G3796" s="63"/>
      <c r="H3796" s="67"/>
      <c r="I3796" s="68"/>
      <c r="J3796" s="68"/>
      <c r="K3796" s="32"/>
      <c r="L3796" s="75">
        <v>3796</v>
      </c>
      <c r="M3796" s="75"/>
      <c r="N3796" s="70"/>
      <c r="O3796" s="77" t="s">
        <v>179</v>
      </c>
      <c r="P3796" s="79">
        <v>45120.512696759259</v>
      </c>
      <c r="Q3796" s="77" t="s">
        <v>4438</v>
      </c>
      <c r="R3796" s="77">
        <v>1</v>
      </c>
      <c r="S3796" s="77">
        <v>1</v>
      </c>
      <c r="T3796" s="77">
        <v>0</v>
      </c>
      <c r="U3796" s="77">
        <v>0</v>
      </c>
      <c r="V3796" s="77">
        <v>333</v>
      </c>
      <c r="W3796" s="82" t="s">
        <v>6411</v>
      </c>
      <c r="X3796" s="77"/>
      <c r="Y3796" s="77"/>
      <c r="Z3796" s="77"/>
      <c r="AA3796" s="77"/>
      <c r="AB3796" s="77"/>
      <c r="AC3796" s="82" t="s">
        <v>7787</v>
      </c>
      <c r="AD3796" s="77" t="s">
        <v>7797</v>
      </c>
      <c r="AE3796" s="80" t="str">
        <f>HYPERLINK("https://twitter.com/modalmais/status/1679465268806930432")</f>
        <v>https://twitter.com/modalmais/status/1679465268806930432</v>
      </c>
      <c r="AF3796" s="79">
        <v>45120.512696759259</v>
      </c>
      <c r="AG3796" s="85">
        <v>45120</v>
      </c>
      <c r="AH3796" s="82" t="s">
        <v>10206</v>
      </c>
      <c r="AI3796" s="77"/>
      <c r="AJ3796" s="77"/>
      <c r="AK3796" s="77"/>
      <c r="AL3796" s="77"/>
      <c r="AM3796" s="77"/>
      <c r="AN3796" s="77"/>
      <c r="AO3796" s="77"/>
      <c r="AP3796" s="77"/>
      <c r="AQ3796" s="77"/>
      <c r="AR3796" s="77"/>
      <c r="AS3796" s="77"/>
      <c r="AT3796" s="77"/>
      <c r="AU3796" s="77"/>
      <c r="AV3796" s="80" t="str">
        <f>HYPERLINK("https://pbs.twimg.com/profile_images/1067039778795937797/PnnLGTU4_normal.jpg")</f>
        <v>https://pbs.twimg.com/profile_images/1067039778795937797/PnnLGTU4_normal.jpg</v>
      </c>
      <c r="AW3796" s="82" t="s">
        <v>15367</v>
      </c>
      <c r="AX3796" s="82" t="s">
        <v>15367</v>
      </c>
      <c r="AY3796" s="77"/>
      <c r="AZ3796" s="82" t="s">
        <v>15984</v>
      </c>
      <c r="BA3796" s="82" t="s">
        <v>15984</v>
      </c>
      <c r="BB3796" s="82" t="s">
        <v>15984</v>
      </c>
      <c r="BC3796" s="82" t="s">
        <v>15367</v>
      </c>
      <c r="BD3796" s="77">
        <v>2578778256</v>
      </c>
      <c r="BE3796" s="77"/>
      <c r="BF3796" s="77"/>
      <c r="BG3796" s="77"/>
      <c r="BH3796" s="77"/>
      <c r="BI3796" s="77"/>
    </row>
    <row r="3797" spans="1:61" x14ac:dyDescent="0.25">
      <c r="A3797" s="62" t="s">
        <v>735</v>
      </c>
      <c r="B3797" s="62" t="s">
        <v>735</v>
      </c>
      <c r="C3797" s="63"/>
      <c r="D3797" s="64"/>
      <c r="E3797" s="65"/>
      <c r="F3797" s="66"/>
      <c r="G3797" s="63"/>
      <c r="H3797" s="67"/>
      <c r="I3797" s="68"/>
      <c r="J3797" s="68"/>
      <c r="K3797" s="32"/>
      <c r="L3797" s="75">
        <v>3797</v>
      </c>
      <c r="M3797" s="75"/>
      <c r="N3797" s="70"/>
      <c r="O3797" s="77" t="s">
        <v>179</v>
      </c>
      <c r="P3797" s="79">
        <v>45120.511400462965</v>
      </c>
      <c r="Q3797" s="77" t="s">
        <v>4439</v>
      </c>
      <c r="R3797" s="77">
        <v>1</v>
      </c>
      <c r="S3797" s="77">
        <v>4</v>
      </c>
      <c r="T3797" s="77">
        <v>0</v>
      </c>
      <c r="U3797" s="77">
        <v>0</v>
      </c>
      <c r="V3797" s="77">
        <v>359</v>
      </c>
      <c r="W3797" s="82" t="s">
        <v>6411</v>
      </c>
      <c r="X3797" s="77"/>
      <c r="Y3797" s="77"/>
      <c r="Z3797" s="77"/>
      <c r="AA3797" s="77"/>
      <c r="AB3797" s="77"/>
      <c r="AC3797" s="82" t="s">
        <v>7787</v>
      </c>
      <c r="AD3797" s="77" t="s">
        <v>7793</v>
      </c>
      <c r="AE3797" s="80" t="str">
        <f>HYPERLINK("https://twitter.com/modalmais/status/1679464798042423296")</f>
        <v>https://twitter.com/modalmais/status/1679464798042423296</v>
      </c>
      <c r="AF3797" s="79">
        <v>45120.511400462965</v>
      </c>
      <c r="AG3797" s="85">
        <v>45120</v>
      </c>
      <c r="AH3797" s="82" t="s">
        <v>10207</v>
      </c>
      <c r="AI3797" s="77"/>
      <c r="AJ3797" s="77"/>
      <c r="AK3797" s="77"/>
      <c r="AL3797" s="77"/>
      <c r="AM3797" s="77"/>
      <c r="AN3797" s="77"/>
      <c r="AO3797" s="77"/>
      <c r="AP3797" s="77"/>
      <c r="AQ3797" s="77"/>
      <c r="AR3797" s="77"/>
      <c r="AS3797" s="77"/>
      <c r="AT3797" s="77"/>
      <c r="AU3797" s="77"/>
      <c r="AV3797" s="80" t="str">
        <f>HYPERLINK("https://pbs.twimg.com/profile_images/1067039778795937797/PnnLGTU4_normal.jpg")</f>
        <v>https://pbs.twimg.com/profile_images/1067039778795937797/PnnLGTU4_normal.jpg</v>
      </c>
      <c r="AW3797" s="82" t="s">
        <v>15368</v>
      </c>
      <c r="AX3797" s="82" t="s">
        <v>15368</v>
      </c>
      <c r="AY3797" s="77"/>
      <c r="AZ3797" s="82" t="s">
        <v>15984</v>
      </c>
      <c r="BA3797" s="82" t="s">
        <v>15984</v>
      </c>
      <c r="BB3797" s="82" t="s">
        <v>15984</v>
      </c>
      <c r="BC3797" s="82" t="s">
        <v>15368</v>
      </c>
      <c r="BD3797" s="77">
        <v>2578778256</v>
      </c>
      <c r="BE3797" s="77"/>
      <c r="BF3797" s="77"/>
      <c r="BG3797" s="77"/>
      <c r="BH3797" s="77"/>
      <c r="BI3797" s="77"/>
    </row>
    <row r="3798" spans="1:61" x14ac:dyDescent="0.25">
      <c r="A3798" s="62" t="s">
        <v>735</v>
      </c>
      <c r="B3798" s="62" t="s">
        <v>735</v>
      </c>
      <c r="C3798" s="63"/>
      <c r="D3798" s="64"/>
      <c r="E3798" s="65"/>
      <c r="F3798" s="66"/>
      <c r="G3798" s="63"/>
      <c r="H3798" s="67"/>
      <c r="I3798" s="68"/>
      <c r="J3798" s="68"/>
      <c r="K3798" s="32"/>
      <c r="L3798" s="75">
        <v>3798</v>
      </c>
      <c r="M3798" s="75"/>
      <c r="N3798" s="70"/>
      <c r="O3798" s="77" t="s">
        <v>179</v>
      </c>
      <c r="P3798" s="79">
        <v>45138.623148148145</v>
      </c>
      <c r="Q3798" s="77" t="s">
        <v>4440</v>
      </c>
      <c r="R3798" s="77">
        <v>0</v>
      </c>
      <c r="S3798" s="77">
        <v>0</v>
      </c>
      <c r="T3798" s="77">
        <v>0</v>
      </c>
      <c r="U3798" s="77">
        <v>0</v>
      </c>
      <c r="V3798" s="77">
        <v>366</v>
      </c>
      <c r="W3798" s="82" t="s">
        <v>6411</v>
      </c>
      <c r="X3798" s="77"/>
      <c r="Y3798" s="77"/>
      <c r="Z3798" s="77"/>
      <c r="AA3798" s="77"/>
      <c r="AB3798" s="77"/>
      <c r="AC3798" s="82" t="s">
        <v>7787</v>
      </c>
      <c r="AD3798" s="77" t="s">
        <v>7788</v>
      </c>
      <c r="AE3798" s="80" t="str">
        <f>HYPERLINK("https://twitter.com/modalmais/status/1686028275594805248")</f>
        <v>https://twitter.com/modalmais/status/1686028275594805248</v>
      </c>
      <c r="AF3798" s="79">
        <v>45138.623148148145</v>
      </c>
      <c r="AG3798" s="85">
        <v>45138</v>
      </c>
      <c r="AH3798" s="82" t="s">
        <v>10208</v>
      </c>
      <c r="AI3798" s="77"/>
      <c r="AJ3798" s="77"/>
      <c r="AK3798" s="77"/>
      <c r="AL3798" s="77"/>
      <c r="AM3798" s="77"/>
      <c r="AN3798" s="77"/>
      <c r="AO3798" s="77"/>
      <c r="AP3798" s="77"/>
      <c r="AQ3798" s="77"/>
      <c r="AR3798" s="77"/>
      <c r="AS3798" s="77"/>
      <c r="AT3798" s="77"/>
      <c r="AU3798" s="77"/>
      <c r="AV3798" s="80" t="str">
        <f>HYPERLINK("https://pbs.twimg.com/profile_images/1067039778795937797/PnnLGTU4_normal.jpg")</f>
        <v>https://pbs.twimg.com/profile_images/1067039778795937797/PnnLGTU4_normal.jpg</v>
      </c>
      <c r="AW3798" s="82" t="s">
        <v>15369</v>
      </c>
      <c r="AX3798" s="82" t="s">
        <v>15369</v>
      </c>
      <c r="AY3798" s="77"/>
      <c r="AZ3798" s="82" t="s">
        <v>15984</v>
      </c>
      <c r="BA3798" s="82" t="s">
        <v>15984</v>
      </c>
      <c r="BB3798" s="82" t="s">
        <v>15984</v>
      </c>
      <c r="BC3798" s="82" t="s">
        <v>15369</v>
      </c>
      <c r="BD3798" s="77">
        <v>2578778256</v>
      </c>
      <c r="BE3798" s="77"/>
      <c r="BF3798" s="77"/>
      <c r="BG3798" s="77"/>
      <c r="BH3798" s="77"/>
      <c r="BI3798" s="77"/>
    </row>
    <row r="3799" spans="1:61" x14ac:dyDescent="0.25">
      <c r="A3799" s="62" t="s">
        <v>735</v>
      </c>
      <c r="B3799" s="62" t="s">
        <v>735</v>
      </c>
      <c r="C3799" s="63"/>
      <c r="D3799" s="64"/>
      <c r="E3799" s="65"/>
      <c r="F3799" s="66"/>
      <c r="G3799" s="63"/>
      <c r="H3799" s="67"/>
      <c r="I3799" s="68"/>
      <c r="J3799" s="68"/>
      <c r="K3799" s="32"/>
      <c r="L3799" s="75">
        <v>3799</v>
      </c>
      <c r="M3799" s="75"/>
      <c r="N3799" s="70"/>
      <c r="O3799" s="77" t="s">
        <v>179</v>
      </c>
      <c r="P3799" s="79">
        <v>45138.622870370367</v>
      </c>
      <c r="Q3799" s="77" t="s">
        <v>4441</v>
      </c>
      <c r="R3799" s="77">
        <v>0</v>
      </c>
      <c r="S3799" s="77">
        <v>1</v>
      </c>
      <c r="T3799" s="77">
        <v>0</v>
      </c>
      <c r="U3799" s="77">
        <v>0</v>
      </c>
      <c r="V3799" s="77">
        <v>371</v>
      </c>
      <c r="W3799" s="82" t="s">
        <v>6411</v>
      </c>
      <c r="X3799" s="77"/>
      <c r="Y3799" s="77"/>
      <c r="Z3799" s="77"/>
      <c r="AA3799" s="77"/>
      <c r="AB3799" s="77"/>
      <c r="AC3799" s="82" t="s">
        <v>7787</v>
      </c>
      <c r="AD3799" s="77" t="s">
        <v>7788</v>
      </c>
      <c r="AE3799" s="80" t="str">
        <f>HYPERLINK("https://twitter.com/modalmais/status/1686028176755937280")</f>
        <v>https://twitter.com/modalmais/status/1686028176755937280</v>
      </c>
      <c r="AF3799" s="79">
        <v>45138.622870370367</v>
      </c>
      <c r="AG3799" s="85">
        <v>45138</v>
      </c>
      <c r="AH3799" s="82" t="s">
        <v>10209</v>
      </c>
      <c r="AI3799" s="77"/>
      <c r="AJ3799" s="77"/>
      <c r="AK3799" s="77"/>
      <c r="AL3799" s="77"/>
      <c r="AM3799" s="77"/>
      <c r="AN3799" s="77"/>
      <c r="AO3799" s="77"/>
      <c r="AP3799" s="77"/>
      <c r="AQ3799" s="77"/>
      <c r="AR3799" s="77"/>
      <c r="AS3799" s="77"/>
      <c r="AT3799" s="77"/>
      <c r="AU3799" s="77"/>
      <c r="AV3799" s="80" t="str">
        <f>HYPERLINK("https://pbs.twimg.com/profile_images/1067039778795937797/PnnLGTU4_normal.jpg")</f>
        <v>https://pbs.twimg.com/profile_images/1067039778795937797/PnnLGTU4_normal.jpg</v>
      </c>
      <c r="AW3799" s="82" t="s">
        <v>15370</v>
      </c>
      <c r="AX3799" s="82" t="s">
        <v>15370</v>
      </c>
      <c r="AY3799" s="77"/>
      <c r="AZ3799" s="82" t="s">
        <v>15984</v>
      </c>
      <c r="BA3799" s="82" t="s">
        <v>15984</v>
      </c>
      <c r="BB3799" s="82" t="s">
        <v>15984</v>
      </c>
      <c r="BC3799" s="82" t="s">
        <v>15370</v>
      </c>
      <c r="BD3799" s="77">
        <v>2578778256</v>
      </c>
      <c r="BE3799" s="77"/>
      <c r="BF3799" s="77"/>
      <c r="BG3799" s="77"/>
      <c r="BH3799" s="77"/>
      <c r="BI3799" s="77"/>
    </row>
    <row r="3800" spans="1:61" x14ac:dyDescent="0.25">
      <c r="A3800" s="62" t="s">
        <v>735</v>
      </c>
      <c r="B3800" s="62" t="s">
        <v>735</v>
      </c>
      <c r="C3800" s="63"/>
      <c r="D3800" s="64"/>
      <c r="E3800" s="65"/>
      <c r="F3800" s="66"/>
      <c r="G3800" s="63"/>
      <c r="H3800" s="67"/>
      <c r="I3800" s="68"/>
      <c r="J3800" s="68"/>
      <c r="K3800" s="32"/>
      <c r="L3800" s="75">
        <v>3800</v>
      </c>
      <c r="M3800" s="75"/>
      <c r="N3800" s="70"/>
      <c r="O3800" s="77" t="s">
        <v>179</v>
      </c>
      <c r="P3800" s="79">
        <v>45138.622499999998</v>
      </c>
      <c r="Q3800" s="77" t="s">
        <v>4442</v>
      </c>
      <c r="R3800" s="77">
        <v>0</v>
      </c>
      <c r="S3800" s="77">
        <v>1</v>
      </c>
      <c r="T3800" s="77">
        <v>0</v>
      </c>
      <c r="U3800" s="77">
        <v>0</v>
      </c>
      <c r="V3800" s="77">
        <v>343</v>
      </c>
      <c r="W3800" s="82" t="s">
        <v>6411</v>
      </c>
      <c r="X3800" s="77"/>
      <c r="Y3800" s="77"/>
      <c r="Z3800" s="77"/>
      <c r="AA3800" s="77"/>
      <c r="AB3800" s="77"/>
      <c r="AC3800" s="82" t="s">
        <v>7787</v>
      </c>
      <c r="AD3800" s="77" t="s">
        <v>7788</v>
      </c>
      <c r="AE3800" s="80" t="str">
        <f>HYPERLINK("https://twitter.com/modalmais/status/1686028040994779136")</f>
        <v>https://twitter.com/modalmais/status/1686028040994779136</v>
      </c>
      <c r="AF3800" s="79">
        <v>45138.622499999998</v>
      </c>
      <c r="AG3800" s="85">
        <v>45138</v>
      </c>
      <c r="AH3800" s="82" t="s">
        <v>8535</v>
      </c>
      <c r="AI3800" s="77"/>
      <c r="AJ3800" s="77"/>
      <c r="AK3800" s="77"/>
      <c r="AL3800" s="77"/>
      <c r="AM3800" s="77"/>
      <c r="AN3800" s="77"/>
      <c r="AO3800" s="77"/>
      <c r="AP3800" s="77"/>
      <c r="AQ3800" s="77"/>
      <c r="AR3800" s="77"/>
      <c r="AS3800" s="77"/>
      <c r="AT3800" s="77"/>
      <c r="AU3800" s="77"/>
      <c r="AV3800" s="80" t="str">
        <f>HYPERLINK("https://pbs.twimg.com/profile_images/1067039778795937797/PnnLGTU4_normal.jpg")</f>
        <v>https://pbs.twimg.com/profile_images/1067039778795937797/PnnLGTU4_normal.jpg</v>
      </c>
      <c r="AW3800" s="82" t="s">
        <v>15371</v>
      </c>
      <c r="AX3800" s="82" t="s">
        <v>15371</v>
      </c>
      <c r="AY3800" s="77"/>
      <c r="AZ3800" s="82" t="s">
        <v>15984</v>
      </c>
      <c r="BA3800" s="82" t="s">
        <v>15984</v>
      </c>
      <c r="BB3800" s="82" t="s">
        <v>15984</v>
      </c>
      <c r="BC3800" s="82" t="s">
        <v>15371</v>
      </c>
      <c r="BD3800" s="77">
        <v>2578778256</v>
      </c>
      <c r="BE3800" s="77"/>
      <c r="BF3800" s="77"/>
      <c r="BG3800" s="77"/>
      <c r="BH3800" s="77"/>
      <c r="BI3800" s="77"/>
    </row>
    <row r="3801" spans="1:61" x14ac:dyDescent="0.25">
      <c r="A3801" s="62" t="s">
        <v>735</v>
      </c>
      <c r="B3801" s="62" t="s">
        <v>735</v>
      </c>
      <c r="C3801" s="63"/>
      <c r="D3801" s="64"/>
      <c r="E3801" s="65"/>
      <c r="F3801" s="66"/>
      <c r="G3801" s="63"/>
      <c r="H3801" s="67"/>
      <c r="I3801" s="68"/>
      <c r="J3801" s="68"/>
      <c r="K3801" s="32"/>
      <c r="L3801" s="75">
        <v>3801</v>
      </c>
      <c r="M3801" s="75"/>
      <c r="N3801" s="70"/>
      <c r="O3801" s="77" t="s">
        <v>179</v>
      </c>
      <c r="P3801" s="79">
        <v>45125.812627314815</v>
      </c>
      <c r="Q3801" s="77" t="s">
        <v>4443</v>
      </c>
      <c r="R3801" s="77">
        <v>0</v>
      </c>
      <c r="S3801" s="77">
        <v>0</v>
      </c>
      <c r="T3801" s="77">
        <v>0</v>
      </c>
      <c r="U3801" s="77">
        <v>0</v>
      </c>
      <c r="V3801" s="77">
        <v>333</v>
      </c>
      <c r="W3801" s="82" t="s">
        <v>6411</v>
      </c>
      <c r="X3801" s="80" t="str">
        <f>HYPERLINK("https://www.youtube.com/watch?v=jF9ppaxEpuw")</f>
        <v>https://www.youtube.com/watch?v=jF9ppaxEpuw</v>
      </c>
      <c r="Y3801" s="77" t="s">
        <v>6480</v>
      </c>
      <c r="Z3801" s="77"/>
      <c r="AA3801" s="77"/>
      <c r="AB3801" s="77"/>
      <c r="AC3801" s="82" t="s">
        <v>7787</v>
      </c>
      <c r="AD3801" s="77" t="s">
        <v>7788</v>
      </c>
      <c r="AE3801" s="80" t="str">
        <f>HYPERLINK("https://twitter.com/modalmais/status/1681385897772580888")</f>
        <v>https://twitter.com/modalmais/status/1681385897772580888</v>
      </c>
      <c r="AF3801" s="79">
        <v>45125.812627314815</v>
      </c>
      <c r="AG3801" s="85">
        <v>45125</v>
      </c>
      <c r="AH3801" s="82" t="s">
        <v>10210</v>
      </c>
      <c r="AI3801" s="77" t="b">
        <v>0</v>
      </c>
      <c r="AJ3801" s="77"/>
      <c r="AK3801" s="77"/>
      <c r="AL3801" s="77"/>
      <c r="AM3801" s="77"/>
      <c r="AN3801" s="77"/>
      <c r="AO3801" s="77"/>
      <c r="AP3801" s="77"/>
      <c r="AQ3801" s="77"/>
      <c r="AR3801" s="77"/>
      <c r="AS3801" s="77"/>
      <c r="AT3801" s="77"/>
      <c r="AU3801" s="77"/>
      <c r="AV3801" s="80" t="str">
        <f>HYPERLINK("https://pbs.twimg.com/profile_images/1067039778795937797/PnnLGTU4_normal.jpg")</f>
        <v>https://pbs.twimg.com/profile_images/1067039778795937797/PnnLGTU4_normal.jpg</v>
      </c>
      <c r="AW3801" s="82" t="s">
        <v>15372</v>
      </c>
      <c r="AX3801" s="82" t="s">
        <v>15372</v>
      </c>
      <c r="AY3801" s="77"/>
      <c r="AZ3801" s="82" t="s">
        <v>15984</v>
      </c>
      <c r="BA3801" s="82" t="s">
        <v>15984</v>
      </c>
      <c r="BB3801" s="82" t="s">
        <v>15984</v>
      </c>
      <c r="BC3801" s="82" t="s">
        <v>15372</v>
      </c>
      <c r="BD3801" s="77">
        <v>2578778256</v>
      </c>
      <c r="BE3801" s="77"/>
      <c r="BF3801" s="77"/>
      <c r="BG3801" s="77"/>
      <c r="BH3801" s="77"/>
      <c r="BI3801" s="77"/>
    </row>
    <row r="3802" spans="1:61" x14ac:dyDescent="0.25">
      <c r="A3802" s="62" t="s">
        <v>735</v>
      </c>
      <c r="B3802" s="62" t="s">
        <v>735</v>
      </c>
      <c r="C3802" s="63"/>
      <c r="D3802" s="64"/>
      <c r="E3802" s="65"/>
      <c r="F3802" s="66"/>
      <c r="G3802" s="63"/>
      <c r="H3802" s="67"/>
      <c r="I3802" s="68"/>
      <c r="J3802" s="68"/>
      <c r="K3802" s="32"/>
      <c r="L3802" s="75">
        <v>3802</v>
      </c>
      <c r="M3802" s="75"/>
      <c r="N3802" s="70"/>
      <c r="O3802" s="77" t="s">
        <v>179</v>
      </c>
      <c r="P3802" s="79">
        <v>45117.838726851849</v>
      </c>
      <c r="Q3802" s="77" t="s">
        <v>4444</v>
      </c>
      <c r="R3802" s="77">
        <v>0</v>
      </c>
      <c r="S3802" s="77">
        <v>1</v>
      </c>
      <c r="T3802" s="77">
        <v>0</v>
      </c>
      <c r="U3802" s="77">
        <v>0</v>
      </c>
      <c r="V3802" s="77">
        <v>314</v>
      </c>
      <c r="W3802" s="82" t="s">
        <v>6411</v>
      </c>
      <c r="X3802" s="77"/>
      <c r="Y3802" s="77"/>
      <c r="Z3802" s="77"/>
      <c r="AA3802" s="77"/>
      <c r="AB3802" s="77"/>
      <c r="AC3802" s="82" t="s">
        <v>7787</v>
      </c>
      <c r="AD3802" s="77" t="s">
        <v>7788</v>
      </c>
      <c r="AE3802" s="80" t="str">
        <f>HYPERLINK("https://twitter.com/modalmais/status/1678496253301125144")</f>
        <v>https://twitter.com/modalmais/status/1678496253301125144</v>
      </c>
      <c r="AF3802" s="79">
        <v>45117.838726851849</v>
      </c>
      <c r="AG3802" s="85">
        <v>45117</v>
      </c>
      <c r="AH3802" s="82" t="s">
        <v>10211</v>
      </c>
      <c r="AI3802" s="77"/>
      <c r="AJ3802" s="77"/>
      <c r="AK3802" s="77"/>
      <c r="AL3802" s="77"/>
      <c r="AM3802" s="77"/>
      <c r="AN3802" s="77"/>
      <c r="AO3802" s="77"/>
      <c r="AP3802" s="77"/>
      <c r="AQ3802" s="77"/>
      <c r="AR3802" s="77"/>
      <c r="AS3802" s="77"/>
      <c r="AT3802" s="77"/>
      <c r="AU3802" s="77"/>
      <c r="AV3802" s="80" t="str">
        <f>HYPERLINK("https://pbs.twimg.com/profile_images/1067039778795937797/PnnLGTU4_normal.jpg")</f>
        <v>https://pbs.twimg.com/profile_images/1067039778795937797/PnnLGTU4_normal.jpg</v>
      </c>
      <c r="AW3802" s="82" t="s">
        <v>15373</v>
      </c>
      <c r="AX3802" s="82" t="s">
        <v>15373</v>
      </c>
      <c r="AY3802" s="77"/>
      <c r="AZ3802" s="82" t="s">
        <v>15984</v>
      </c>
      <c r="BA3802" s="82" t="s">
        <v>15984</v>
      </c>
      <c r="BB3802" s="82" t="s">
        <v>15984</v>
      </c>
      <c r="BC3802" s="82" t="s">
        <v>15373</v>
      </c>
      <c r="BD3802" s="77">
        <v>2578778256</v>
      </c>
      <c r="BE3802" s="77"/>
      <c r="BF3802" s="77"/>
      <c r="BG3802" s="77"/>
      <c r="BH3802" s="77"/>
      <c r="BI3802" s="77"/>
    </row>
    <row r="3803" spans="1:61" x14ac:dyDescent="0.25">
      <c r="A3803" s="62" t="s">
        <v>735</v>
      </c>
      <c r="B3803" s="62" t="s">
        <v>735</v>
      </c>
      <c r="C3803" s="63"/>
      <c r="D3803" s="64"/>
      <c r="E3803" s="65"/>
      <c r="F3803" s="66"/>
      <c r="G3803" s="63"/>
      <c r="H3803" s="67"/>
      <c r="I3803" s="68"/>
      <c r="J3803" s="68"/>
      <c r="K3803" s="32"/>
      <c r="L3803" s="75">
        <v>3803</v>
      </c>
      <c r="M3803" s="75"/>
      <c r="N3803" s="70"/>
      <c r="O3803" s="77" t="s">
        <v>179</v>
      </c>
      <c r="P3803" s="79">
        <v>45117.831342592595</v>
      </c>
      <c r="Q3803" s="77" t="s">
        <v>4445</v>
      </c>
      <c r="R3803" s="77">
        <v>1</v>
      </c>
      <c r="S3803" s="77">
        <v>1</v>
      </c>
      <c r="T3803" s="77">
        <v>0</v>
      </c>
      <c r="U3803" s="77">
        <v>0</v>
      </c>
      <c r="V3803" s="77">
        <v>325</v>
      </c>
      <c r="W3803" s="82" t="s">
        <v>6411</v>
      </c>
      <c r="X3803" s="80" t="str">
        <f>HYPERLINK("https://www.youtube.com/watch?v=FPyHRIcQLMc")</f>
        <v>https://www.youtube.com/watch?v=FPyHRIcQLMc</v>
      </c>
      <c r="Y3803" s="77" t="s">
        <v>6480</v>
      </c>
      <c r="Z3803" s="77"/>
      <c r="AA3803" s="77"/>
      <c r="AB3803" s="77"/>
      <c r="AC3803" s="82" t="s">
        <v>7787</v>
      </c>
      <c r="AD3803" s="77" t="s">
        <v>7788</v>
      </c>
      <c r="AE3803" s="80" t="str">
        <f>HYPERLINK("https://twitter.com/modalmais/status/1678493579713413121")</f>
        <v>https://twitter.com/modalmais/status/1678493579713413121</v>
      </c>
      <c r="AF3803" s="79">
        <v>45117.831342592595</v>
      </c>
      <c r="AG3803" s="85">
        <v>45117</v>
      </c>
      <c r="AH3803" s="82" t="s">
        <v>10212</v>
      </c>
      <c r="AI3803" s="77" t="b">
        <v>0</v>
      </c>
      <c r="AJ3803" s="77"/>
      <c r="AK3803" s="77"/>
      <c r="AL3803" s="77"/>
      <c r="AM3803" s="77"/>
      <c r="AN3803" s="77"/>
      <c r="AO3803" s="77"/>
      <c r="AP3803" s="77"/>
      <c r="AQ3803" s="77"/>
      <c r="AR3803" s="77"/>
      <c r="AS3803" s="77"/>
      <c r="AT3803" s="77"/>
      <c r="AU3803" s="77"/>
      <c r="AV3803" s="80" t="str">
        <f>HYPERLINK("https://pbs.twimg.com/profile_images/1067039778795937797/PnnLGTU4_normal.jpg")</f>
        <v>https://pbs.twimg.com/profile_images/1067039778795937797/PnnLGTU4_normal.jpg</v>
      </c>
      <c r="AW3803" s="82" t="s">
        <v>15374</v>
      </c>
      <c r="AX3803" s="82" t="s">
        <v>15374</v>
      </c>
      <c r="AY3803" s="77"/>
      <c r="AZ3803" s="82" t="s">
        <v>15984</v>
      </c>
      <c r="BA3803" s="82" t="s">
        <v>15984</v>
      </c>
      <c r="BB3803" s="82" t="s">
        <v>15984</v>
      </c>
      <c r="BC3803" s="82" t="s">
        <v>15374</v>
      </c>
      <c r="BD3803" s="77">
        <v>2578778256</v>
      </c>
      <c r="BE3803" s="77"/>
      <c r="BF3803" s="77"/>
      <c r="BG3803" s="77"/>
      <c r="BH3803" s="77"/>
      <c r="BI3803" s="77"/>
    </row>
    <row r="3804" spans="1:61" x14ac:dyDescent="0.25">
      <c r="A3804" s="62" t="s">
        <v>735</v>
      </c>
      <c r="B3804" s="62" t="s">
        <v>735</v>
      </c>
      <c r="C3804" s="63"/>
      <c r="D3804" s="64"/>
      <c r="E3804" s="65"/>
      <c r="F3804" s="66"/>
      <c r="G3804" s="63"/>
      <c r="H3804" s="67"/>
      <c r="I3804" s="68"/>
      <c r="J3804" s="68"/>
      <c r="K3804" s="32"/>
      <c r="L3804" s="75">
        <v>3804</v>
      </c>
      <c r="M3804" s="75"/>
      <c r="N3804" s="70"/>
      <c r="O3804" s="77" t="s">
        <v>179</v>
      </c>
      <c r="P3804" s="79">
        <v>45145.762048611112</v>
      </c>
      <c r="Q3804" s="77" t="s">
        <v>4446</v>
      </c>
      <c r="R3804" s="77">
        <v>0</v>
      </c>
      <c r="S3804" s="77">
        <v>1</v>
      </c>
      <c r="T3804" s="77">
        <v>0</v>
      </c>
      <c r="U3804" s="77">
        <v>0</v>
      </c>
      <c r="V3804" s="77">
        <v>314</v>
      </c>
      <c r="W3804" s="82" t="s">
        <v>6411</v>
      </c>
      <c r="X3804" s="77"/>
      <c r="Y3804" s="77"/>
      <c r="Z3804" s="77"/>
      <c r="AA3804" s="77"/>
      <c r="AB3804" s="77"/>
      <c r="AC3804" s="82" t="s">
        <v>7787</v>
      </c>
      <c r="AD3804" s="77" t="s">
        <v>7788</v>
      </c>
      <c r="AE3804" s="80" t="str">
        <f>HYPERLINK("https://twitter.com/modalmais/status/1688615327880323073")</f>
        <v>https://twitter.com/modalmais/status/1688615327880323073</v>
      </c>
      <c r="AF3804" s="79">
        <v>45145.762048611112</v>
      </c>
      <c r="AG3804" s="85">
        <v>45145</v>
      </c>
      <c r="AH3804" s="82" t="s">
        <v>10213</v>
      </c>
      <c r="AI3804" s="77"/>
      <c r="AJ3804" s="77"/>
      <c r="AK3804" s="77"/>
      <c r="AL3804" s="77"/>
      <c r="AM3804" s="77"/>
      <c r="AN3804" s="77"/>
      <c r="AO3804" s="77"/>
      <c r="AP3804" s="77"/>
      <c r="AQ3804" s="77"/>
      <c r="AR3804" s="77"/>
      <c r="AS3804" s="77"/>
      <c r="AT3804" s="77"/>
      <c r="AU3804" s="77"/>
      <c r="AV3804" s="80" t="str">
        <f>HYPERLINK("https://pbs.twimg.com/profile_images/1067039778795937797/PnnLGTU4_normal.jpg")</f>
        <v>https://pbs.twimg.com/profile_images/1067039778795937797/PnnLGTU4_normal.jpg</v>
      </c>
      <c r="AW3804" s="82" t="s">
        <v>15375</v>
      </c>
      <c r="AX3804" s="82" t="s">
        <v>15375</v>
      </c>
      <c r="AY3804" s="77"/>
      <c r="AZ3804" s="82" t="s">
        <v>15984</v>
      </c>
      <c r="BA3804" s="82" t="s">
        <v>15984</v>
      </c>
      <c r="BB3804" s="82" t="s">
        <v>15984</v>
      </c>
      <c r="BC3804" s="82" t="s">
        <v>15375</v>
      </c>
      <c r="BD3804" s="77">
        <v>2578778256</v>
      </c>
      <c r="BE3804" s="77"/>
      <c r="BF3804" s="77"/>
      <c r="BG3804" s="77"/>
      <c r="BH3804" s="77"/>
      <c r="BI3804" s="77"/>
    </row>
    <row r="3805" spans="1:61" x14ac:dyDescent="0.25">
      <c r="A3805" s="62" t="s">
        <v>735</v>
      </c>
      <c r="B3805" s="62" t="s">
        <v>735</v>
      </c>
      <c r="C3805" s="63"/>
      <c r="D3805" s="64"/>
      <c r="E3805" s="65"/>
      <c r="F3805" s="66"/>
      <c r="G3805" s="63"/>
      <c r="H3805" s="67"/>
      <c r="I3805" s="68"/>
      <c r="J3805" s="68"/>
      <c r="K3805" s="32"/>
      <c r="L3805" s="75">
        <v>3805</v>
      </c>
      <c r="M3805" s="75"/>
      <c r="N3805" s="70"/>
      <c r="O3805" s="77" t="s">
        <v>179</v>
      </c>
      <c r="P3805" s="79">
        <v>45131.606307870374</v>
      </c>
      <c r="Q3805" s="77" t="s">
        <v>4447</v>
      </c>
      <c r="R3805" s="77">
        <v>0</v>
      </c>
      <c r="S3805" s="77">
        <v>0</v>
      </c>
      <c r="T3805" s="77">
        <v>0</v>
      </c>
      <c r="U3805" s="77">
        <v>0</v>
      </c>
      <c r="V3805" s="77">
        <v>298</v>
      </c>
      <c r="W3805" s="82" t="s">
        <v>6410</v>
      </c>
      <c r="X3805" s="77"/>
      <c r="Y3805" s="77"/>
      <c r="Z3805" s="77"/>
      <c r="AA3805" s="77"/>
      <c r="AB3805" s="77"/>
      <c r="AC3805" s="82" t="s">
        <v>7787</v>
      </c>
      <c r="AD3805" s="77" t="s">
        <v>7788</v>
      </c>
      <c r="AE3805" s="80" t="str">
        <f>HYPERLINK("https://twitter.com/modalmais/status/1683485458280464387")</f>
        <v>https://twitter.com/modalmais/status/1683485458280464387</v>
      </c>
      <c r="AF3805" s="79">
        <v>45131.606307870374</v>
      </c>
      <c r="AG3805" s="85">
        <v>45131</v>
      </c>
      <c r="AH3805" s="82" t="s">
        <v>10214</v>
      </c>
      <c r="AI3805" s="77"/>
      <c r="AJ3805" s="77"/>
      <c r="AK3805" s="77"/>
      <c r="AL3805" s="77"/>
      <c r="AM3805" s="77"/>
      <c r="AN3805" s="77"/>
      <c r="AO3805" s="77"/>
      <c r="AP3805" s="77"/>
      <c r="AQ3805" s="77"/>
      <c r="AR3805" s="77"/>
      <c r="AS3805" s="77"/>
      <c r="AT3805" s="77"/>
      <c r="AU3805" s="77"/>
      <c r="AV3805" s="80" t="str">
        <f>HYPERLINK("https://pbs.twimg.com/profile_images/1067039778795937797/PnnLGTU4_normal.jpg")</f>
        <v>https://pbs.twimg.com/profile_images/1067039778795937797/PnnLGTU4_normal.jpg</v>
      </c>
      <c r="AW3805" s="82" t="s">
        <v>15376</v>
      </c>
      <c r="AX3805" s="82" t="s">
        <v>15376</v>
      </c>
      <c r="AY3805" s="77"/>
      <c r="AZ3805" s="82" t="s">
        <v>15984</v>
      </c>
      <c r="BA3805" s="82" t="s">
        <v>15984</v>
      </c>
      <c r="BB3805" s="82" t="s">
        <v>15984</v>
      </c>
      <c r="BC3805" s="82" t="s">
        <v>15376</v>
      </c>
      <c r="BD3805" s="77">
        <v>2578778256</v>
      </c>
      <c r="BE3805" s="77"/>
      <c r="BF3805" s="77"/>
      <c r="BG3805" s="77"/>
      <c r="BH3805" s="77"/>
      <c r="BI3805" s="77"/>
    </row>
    <row r="3806" spans="1:61" x14ac:dyDescent="0.25">
      <c r="A3806" s="62" t="s">
        <v>735</v>
      </c>
      <c r="B3806" s="62" t="s">
        <v>735</v>
      </c>
      <c r="C3806" s="63"/>
      <c r="D3806" s="64"/>
      <c r="E3806" s="65"/>
      <c r="F3806" s="66"/>
      <c r="G3806" s="63"/>
      <c r="H3806" s="67"/>
      <c r="I3806" s="68"/>
      <c r="J3806" s="68"/>
      <c r="K3806" s="32"/>
      <c r="L3806" s="75">
        <v>3806</v>
      </c>
      <c r="M3806" s="75"/>
      <c r="N3806" s="70"/>
      <c r="O3806" s="77" t="s">
        <v>179</v>
      </c>
      <c r="P3806" s="79">
        <v>45131.605856481481</v>
      </c>
      <c r="Q3806" s="77" t="s">
        <v>4448</v>
      </c>
      <c r="R3806" s="77">
        <v>0</v>
      </c>
      <c r="S3806" s="77">
        <v>0</v>
      </c>
      <c r="T3806" s="77">
        <v>0</v>
      </c>
      <c r="U3806" s="77">
        <v>0</v>
      </c>
      <c r="V3806" s="77">
        <v>286</v>
      </c>
      <c r="W3806" s="82" t="s">
        <v>6410</v>
      </c>
      <c r="X3806" s="77"/>
      <c r="Y3806" s="77"/>
      <c r="Z3806" s="77"/>
      <c r="AA3806" s="77"/>
      <c r="AB3806" s="77"/>
      <c r="AC3806" s="82" t="s">
        <v>7787</v>
      </c>
      <c r="AD3806" s="77" t="s">
        <v>7788</v>
      </c>
      <c r="AE3806" s="80" t="str">
        <f>HYPERLINK("https://twitter.com/modalmais/status/1683485293305839617")</f>
        <v>https://twitter.com/modalmais/status/1683485293305839617</v>
      </c>
      <c r="AF3806" s="79">
        <v>45131.605856481481</v>
      </c>
      <c r="AG3806" s="85">
        <v>45131</v>
      </c>
      <c r="AH3806" s="82" t="s">
        <v>10215</v>
      </c>
      <c r="AI3806" s="77"/>
      <c r="AJ3806" s="77"/>
      <c r="AK3806" s="77"/>
      <c r="AL3806" s="77"/>
      <c r="AM3806" s="77"/>
      <c r="AN3806" s="77"/>
      <c r="AO3806" s="77"/>
      <c r="AP3806" s="77"/>
      <c r="AQ3806" s="77"/>
      <c r="AR3806" s="77"/>
      <c r="AS3806" s="77"/>
      <c r="AT3806" s="77"/>
      <c r="AU3806" s="77"/>
      <c r="AV3806" s="80" t="str">
        <f>HYPERLINK("https://pbs.twimg.com/profile_images/1067039778795937797/PnnLGTU4_normal.jpg")</f>
        <v>https://pbs.twimg.com/profile_images/1067039778795937797/PnnLGTU4_normal.jpg</v>
      </c>
      <c r="AW3806" s="82" t="s">
        <v>15377</v>
      </c>
      <c r="AX3806" s="82" t="s">
        <v>15377</v>
      </c>
      <c r="AY3806" s="77"/>
      <c r="AZ3806" s="82" t="s">
        <v>15984</v>
      </c>
      <c r="BA3806" s="82" t="s">
        <v>15984</v>
      </c>
      <c r="BB3806" s="82" t="s">
        <v>15984</v>
      </c>
      <c r="BC3806" s="82" t="s">
        <v>15377</v>
      </c>
      <c r="BD3806" s="77">
        <v>2578778256</v>
      </c>
      <c r="BE3806" s="77"/>
      <c r="BF3806" s="77"/>
      <c r="BG3806" s="77"/>
      <c r="BH3806" s="77"/>
      <c r="BI3806" s="77"/>
    </row>
    <row r="3807" spans="1:61" x14ac:dyDescent="0.25">
      <c r="A3807" s="62" t="s">
        <v>735</v>
      </c>
      <c r="B3807" s="62" t="s">
        <v>735</v>
      </c>
      <c r="C3807" s="63"/>
      <c r="D3807" s="64"/>
      <c r="E3807" s="65"/>
      <c r="F3807" s="66"/>
      <c r="G3807" s="63"/>
      <c r="H3807" s="67"/>
      <c r="I3807" s="68"/>
      <c r="J3807" s="68"/>
      <c r="K3807" s="32"/>
      <c r="L3807" s="75">
        <v>3807</v>
      </c>
      <c r="M3807" s="75"/>
      <c r="N3807" s="70"/>
      <c r="O3807" s="77" t="s">
        <v>179</v>
      </c>
      <c r="P3807" s="79">
        <v>45131.604641203703</v>
      </c>
      <c r="Q3807" s="77" t="s">
        <v>4449</v>
      </c>
      <c r="R3807" s="77">
        <v>0</v>
      </c>
      <c r="S3807" s="77">
        <v>0</v>
      </c>
      <c r="T3807" s="77">
        <v>0</v>
      </c>
      <c r="U3807" s="77">
        <v>0</v>
      </c>
      <c r="V3807" s="77">
        <v>254</v>
      </c>
      <c r="W3807" s="82" t="s">
        <v>6410</v>
      </c>
      <c r="X3807" s="77"/>
      <c r="Y3807" s="77"/>
      <c r="Z3807" s="77"/>
      <c r="AA3807" s="77"/>
      <c r="AB3807" s="77"/>
      <c r="AC3807" s="82" t="s">
        <v>7787</v>
      </c>
      <c r="AD3807" s="77" t="s">
        <v>7788</v>
      </c>
      <c r="AE3807" s="80" t="str">
        <f>HYPERLINK("https://twitter.com/modalmais/status/1683484853893726208")</f>
        <v>https://twitter.com/modalmais/status/1683484853893726208</v>
      </c>
      <c r="AF3807" s="79">
        <v>45131.604641203703</v>
      </c>
      <c r="AG3807" s="85">
        <v>45131</v>
      </c>
      <c r="AH3807" s="82" t="s">
        <v>10216</v>
      </c>
      <c r="AI3807" s="77"/>
      <c r="AJ3807" s="77"/>
      <c r="AK3807" s="77"/>
      <c r="AL3807" s="77"/>
      <c r="AM3807" s="77"/>
      <c r="AN3807" s="77"/>
      <c r="AO3807" s="77"/>
      <c r="AP3807" s="77"/>
      <c r="AQ3807" s="77"/>
      <c r="AR3807" s="77"/>
      <c r="AS3807" s="77"/>
      <c r="AT3807" s="77"/>
      <c r="AU3807" s="77"/>
      <c r="AV3807" s="80" t="str">
        <f>HYPERLINK("https://pbs.twimg.com/profile_images/1067039778795937797/PnnLGTU4_normal.jpg")</f>
        <v>https://pbs.twimg.com/profile_images/1067039778795937797/PnnLGTU4_normal.jpg</v>
      </c>
      <c r="AW3807" s="82" t="s">
        <v>15378</v>
      </c>
      <c r="AX3807" s="82" t="s">
        <v>15378</v>
      </c>
      <c r="AY3807" s="77"/>
      <c r="AZ3807" s="82" t="s">
        <v>15984</v>
      </c>
      <c r="BA3807" s="82" t="s">
        <v>15984</v>
      </c>
      <c r="BB3807" s="82" t="s">
        <v>15984</v>
      </c>
      <c r="BC3807" s="82" t="s">
        <v>15378</v>
      </c>
      <c r="BD3807" s="77">
        <v>2578778256</v>
      </c>
      <c r="BE3807" s="77"/>
      <c r="BF3807" s="77"/>
      <c r="BG3807" s="77"/>
      <c r="BH3807" s="77"/>
      <c r="BI3807" s="77"/>
    </row>
    <row r="3808" spans="1:61" x14ac:dyDescent="0.25">
      <c r="A3808" s="62" t="s">
        <v>735</v>
      </c>
      <c r="B3808" s="62" t="s">
        <v>735</v>
      </c>
      <c r="C3808" s="63"/>
      <c r="D3808" s="64"/>
      <c r="E3808" s="65"/>
      <c r="F3808" s="66"/>
      <c r="G3808" s="63"/>
      <c r="H3808" s="67"/>
      <c r="I3808" s="68"/>
      <c r="J3808" s="68"/>
      <c r="K3808" s="32"/>
      <c r="L3808" s="75">
        <v>3808</v>
      </c>
      <c r="M3808" s="75"/>
      <c r="N3808" s="70"/>
      <c r="O3808" s="77" t="s">
        <v>179</v>
      </c>
      <c r="P3808" s="79">
        <v>45131.527442129627</v>
      </c>
      <c r="Q3808" s="77" t="s">
        <v>4450</v>
      </c>
      <c r="R3808" s="77">
        <v>1</v>
      </c>
      <c r="S3808" s="77">
        <v>3</v>
      </c>
      <c r="T3808" s="77">
        <v>2</v>
      </c>
      <c r="U3808" s="77">
        <v>0</v>
      </c>
      <c r="V3808" s="77">
        <v>321</v>
      </c>
      <c r="W3808" s="82" t="s">
        <v>6410</v>
      </c>
      <c r="X3808" s="77"/>
      <c r="Y3808" s="77"/>
      <c r="Z3808" s="77"/>
      <c r="AA3808" s="77"/>
      <c r="AB3808" s="77"/>
      <c r="AC3808" s="82" t="s">
        <v>7787</v>
      </c>
      <c r="AD3808" s="77" t="s">
        <v>7797</v>
      </c>
      <c r="AE3808" s="80" t="str">
        <f>HYPERLINK("https://twitter.com/modalmais/status/1683456877533753346")</f>
        <v>https://twitter.com/modalmais/status/1683456877533753346</v>
      </c>
      <c r="AF3808" s="79">
        <v>45131.527442129627</v>
      </c>
      <c r="AG3808" s="85">
        <v>45131</v>
      </c>
      <c r="AH3808" s="82" t="s">
        <v>10217</v>
      </c>
      <c r="AI3808" s="77"/>
      <c r="AJ3808" s="77"/>
      <c r="AK3808" s="77"/>
      <c r="AL3808" s="77"/>
      <c r="AM3808" s="77"/>
      <c r="AN3808" s="77"/>
      <c r="AO3808" s="77"/>
      <c r="AP3808" s="77"/>
      <c r="AQ3808" s="77"/>
      <c r="AR3808" s="77"/>
      <c r="AS3808" s="77"/>
      <c r="AT3808" s="77"/>
      <c r="AU3808" s="77"/>
      <c r="AV3808" s="80" t="str">
        <f>HYPERLINK("https://pbs.twimg.com/profile_images/1067039778795937797/PnnLGTU4_normal.jpg")</f>
        <v>https://pbs.twimg.com/profile_images/1067039778795937797/PnnLGTU4_normal.jpg</v>
      </c>
      <c r="AW3808" s="82" t="s">
        <v>15379</v>
      </c>
      <c r="AX3808" s="82" t="s">
        <v>15379</v>
      </c>
      <c r="AY3808" s="77"/>
      <c r="AZ3808" s="82" t="s">
        <v>15984</v>
      </c>
      <c r="BA3808" s="82" t="s">
        <v>15984</v>
      </c>
      <c r="BB3808" s="82" t="s">
        <v>15984</v>
      </c>
      <c r="BC3808" s="82" t="s">
        <v>15379</v>
      </c>
      <c r="BD3808" s="77">
        <v>2578778256</v>
      </c>
      <c r="BE3808" s="77"/>
      <c r="BF3808" s="77"/>
      <c r="BG3808" s="77"/>
      <c r="BH3808" s="77"/>
      <c r="BI3808" s="77"/>
    </row>
    <row r="3809" spans="1:61" x14ac:dyDescent="0.25">
      <c r="A3809" s="62" t="s">
        <v>735</v>
      </c>
      <c r="B3809" s="62" t="s">
        <v>735</v>
      </c>
      <c r="C3809" s="63"/>
      <c r="D3809" s="64"/>
      <c r="E3809" s="65"/>
      <c r="F3809" s="66"/>
      <c r="G3809" s="63"/>
      <c r="H3809" s="67"/>
      <c r="I3809" s="68"/>
      <c r="J3809" s="68"/>
      <c r="K3809" s="32"/>
      <c r="L3809" s="75">
        <v>3809</v>
      </c>
      <c r="M3809" s="75"/>
      <c r="N3809" s="70"/>
      <c r="O3809" s="77" t="s">
        <v>179</v>
      </c>
      <c r="P3809" s="79">
        <v>45131.526944444442</v>
      </c>
      <c r="Q3809" s="77" t="s">
        <v>4451</v>
      </c>
      <c r="R3809" s="77">
        <v>0</v>
      </c>
      <c r="S3809" s="77">
        <v>2</v>
      </c>
      <c r="T3809" s="77">
        <v>0</v>
      </c>
      <c r="U3809" s="77">
        <v>0</v>
      </c>
      <c r="V3809" s="77">
        <v>340</v>
      </c>
      <c r="W3809" s="82" t="s">
        <v>6410</v>
      </c>
      <c r="X3809" s="77"/>
      <c r="Y3809" s="77"/>
      <c r="Z3809" s="77"/>
      <c r="AA3809" s="77"/>
      <c r="AB3809" s="77"/>
      <c r="AC3809" s="82" t="s">
        <v>7787</v>
      </c>
      <c r="AD3809" s="77" t="s">
        <v>7793</v>
      </c>
      <c r="AE3809" s="80" t="str">
        <f>HYPERLINK("https://twitter.com/modalmais/status/1683456699275853825")</f>
        <v>https://twitter.com/modalmais/status/1683456699275853825</v>
      </c>
      <c r="AF3809" s="79">
        <v>45131.526944444442</v>
      </c>
      <c r="AG3809" s="85">
        <v>45131</v>
      </c>
      <c r="AH3809" s="82" t="s">
        <v>10218</v>
      </c>
      <c r="AI3809" s="77"/>
      <c r="AJ3809" s="77"/>
      <c r="AK3809" s="77"/>
      <c r="AL3809" s="77"/>
      <c r="AM3809" s="77"/>
      <c r="AN3809" s="77"/>
      <c r="AO3809" s="77"/>
      <c r="AP3809" s="77"/>
      <c r="AQ3809" s="77"/>
      <c r="AR3809" s="77"/>
      <c r="AS3809" s="77"/>
      <c r="AT3809" s="77"/>
      <c r="AU3809" s="77"/>
      <c r="AV3809" s="80" t="str">
        <f>HYPERLINK("https://pbs.twimg.com/profile_images/1067039778795937797/PnnLGTU4_normal.jpg")</f>
        <v>https://pbs.twimg.com/profile_images/1067039778795937797/PnnLGTU4_normal.jpg</v>
      </c>
      <c r="AW3809" s="82" t="s">
        <v>15380</v>
      </c>
      <c r="AX3809" s="82" t="s">
        <v>15380</v>
      </c>
      <c r="AY3809" s="77"/>
      <c r="AZ3809" s="82" t="s">
        <v>15984</v>
      </c>
      <c r="BA3809" s="82" t="s">
        <v>15984</v>
      </c>
      <c r="BB3809" s="82" t="s">
        <v>15984</v>
      </c>
      <c r="BC3809" s="82" t="s">
        <v>15380</v>
      </c>
      <c r="BD3809" s="77">
        <v>2578778256</v>
      </c>
      <c r="BE3809" s="77"/>
      <c r="BF3809" s="77"/>
      <c r="BG3809" s="77"/>
      <c r="BH3809" s="77"/>
      <c r="BI3809" s="77"/>
    </row>
    <row r="3810" spans="1:61" x14ac:dyDescent="0.25">
      <c r="A3810" s="62" t="s">
        <v>735</v>
      </c>
      <c r="B3810" s="62" t="s">
        <v>735</v>
      </c>
      <c r="C3810" s="63"/>
      <c r="D3810" s="64"/>
      <c r="E3810" s="65"/>
      <c r="F3810" s="66"/>
      <c r="G3810" s="63"/>
      <c r="H3810" s="67"/>
      <c r="I3810" s="68"/>
      <c r="J3810" s="68"/>
      <c r="K3810" s="32"/>
      <c r="L3810" s="75">
        <v>3810</v>
      </c>
      <c r="M3810" s="75"/>
      <c r="N3810" s="70"/>
      <c r="O3810" s="77" t="s">
        <v>179</v>
      </c>
      <c r="P3810" s="79">
        <v>45120.835960648146</v>
      </c>
      <c r="Q3810" s="77" t="s">
        <v>4452</v>
      </c>
      <c r="R3810" s="77">
        <v>0</v>
      </c>
      <c r="S3810" s="77">
        <v>0</v>
      </c>
      <c r="T3810" s="77">
        <v>0</v>
      </c>
      <c r="U3810" s="77">
        <v>0</v>
      </c>
      <c r="V3810" s="77">
        <v>297</v>
      </c>
      <c r="W3810" s="82" t="s">
        <v>6411</v>
      </c>
      <c r="X3810" s="80" t="str">
        <f>HYPERLINK("https://www.youtube.com/watch?v=pUen8qFPSAA")</f>
        <v>https://www.youtube.com/watch?v=pUen8qFPSAA</v>
      </c>
      <c r="Y3810" s="77" t="s">
        <v>6480</v>
      </c>
      <c r="Z3810" s="77"/>
      <c r="AA3810" s="77"/>
      <c r="AB3810" s="77"/>
      <c r="AC3810" s="82" t="s">
        <v>7787</v>
      </c>
      <c r="AD3810" s="77" t="s">
        <v>7788</v>
      </c>
      <c r="AE3810" s="80" t="str">
        <f>HYPERLINK("https://twitter.com/modalmais/status/1679582416548110337")</f>
        <v>https://twitter.com/modalmais/status/1679582416548110337</v>
      </c>
      <c r="AF3810" s="79">
        <v>45120.835960648146</v>
      </c>
      <c r="AG3810" s="85">
        <v>45120</v>
      </c>
      <c r="AH3810" s="82" t="s">
        <v>10219</v>
      </c>
      <c r="AI3810" s="77" t="b">
        <v>0</v>
      </c>
      <c r="AJ3810" s="77"/>
      <c r="AK3810" s="77"/>
      <c r="AL3810" s="77"/>
      <c r="AM3810" s="77"/>
      <c r="AN3810" s="77"/>
      <c r="AO3810" s="77"/>
      <c r="AP3810" s="77"/>
      <c r="AQ3810" s="77"/>
      <c r="AR3810" s="77"/>
      <c r="AS3810" s="77"/>
      <c r="AT3810" s="77"/>
      <c r="AU3810" s="77"/>
      <c r="AV3810" s="80" t="str">
        <f>HYPERLINK("https://pbs.twimg.com/profile_images/1067039778795937797/PnnLGTU4_normal.jpg")</f>
        <v>https://pbs.twimg.com/profile_images/1067039778795937797/PnnLGTU4_normal.jpg</v>
      </c>
      <c r="AW3810" s="82" t="s">
        <v>15381</v>
      </c>
      <c r="AX3810" s="82" t="s">
        <v>15381</v>
      </c>
      <c r="AY3810" s="77"/>
      <c r="AZ3810" s="82" t="s">
        <v>15984</v>
      </c>
      <c r="BA3810" s="82" t="s">
        <v>15984</v>
      </c>
      <c r="BB3810" s="82" t="s">
        <v>15984</v>
      </c>
      <c r="BC3810" s="82" t="s">
        <v>15381</v>
      </c>
      <c r="BD3810" s="77">
        <v>2578778256</v>
      </c>
      <c r="BE3810" s="77"/>
      <c r="BF3810" s="77"/>
      <c r="BG3810" s="77"/>
      <c r="BH3810" s="77"/>
      <c r="BI3810" s="77"/>
    </row>
    <row r="3811" spans="1:61" x14ac:dyDescent="0.25">
      <c r="A3811" s="62" t="s">
        <v>735</v>
      </c>
      <c r="B3811" s="62" t="s">
        <v>735</v>
      </c>
      <c r="C3811" s="63"/>
      <c r="D3811" s="64"/>
      <c r="E3811" s="65"/>
      <c r="F3811" s="66"/>
      <c r="G3811" s="63"/>
      <c r="H3811" s="67"/>
      <c r="I3811" s="68"/>
      <c r="J3811" s="68"/>
      <c r="K3811" s="32"/>
      <c r="L3811" s="75">
        <v>3811</v>
      </c>
      <c r="M3811" s="75"/>
      <c r="N3811" s="70"/>
      <c r="O3811" s="77" t="s">
        <v>179</v>
      </c>
      <c r="P3811" s="79">
        <v>45120.820636574077</v>
      </c>
      <c r="Q3811" s="77" t="s">
        <v>4453</v>
      </c>
      <c r="R3811" s="77">
        <v>0</v>
      </c>
      <c r="S3811" s="77">
        <v>0</v>
      </c>
      <c r="T3811" s="77">
        <v>0</v>
      </c>
      <c r="U3811" s="77">
        <v>0</v>
      </c>
      <c r="V3811" s="77">
        <v>295</v>
      </c>
      <c r="W3811" s="82" t="s">
        <v>6411</v>
      </c>
      <c r="X3811" s="80" t="str">
        <f>HYPERLINK("https://www.youtube.com/watch?v=0jH0jEs5hQQ")</f>
        <v>https://www.youtube.com/watch?v=0jH0jEs5hQQ</v>
      </c>
      <c r="Y3811" s="77" t="s">
        <v>6480</v>
      </c>
      <c r="Z3811" s="77"/>
      <c r="AA3811" s="77"/>
      <c r="AB3811" s="77"/>
      <c r="AC3811" s="82" t="s">
        <v>7787</v>
      </c>
      <c r="AD3811" s="77" t="s">
        <v>7788</v>
      </c>
      <c r="AE3811" s="80" t="str">
        <f>HYPERLINK("https://twitter.com/modalmais/status/1679576863558041602")</f>
        <v>https://twitter.com/modalmais/status/1679576863558041602</v>
      </c>
      <c r="AF3811" s="79">
        <v>45120.820636574077</v>
      </c>
      <c r="AG3811" s="85">
        <v>45120</v>
      </c>
      <c r="AH3811" s="82" t="s">
        <v>10220</v>
      </c>
      <c r="AI3811" s="77" t="b">
        <v>0</v>
      </c>
      <c r="AJ3811" s="77"/>
      <c r="AK3811" s="77"/>
      <c r="AL3811" s="77"/>
      <c r="AM3811" s="77"/>
      <c r="AN3811" s="77"/>
      <c r="AO3811" s="77"/>
      <c r="AP3811" s="77"/>
      <c r="AQ3811" s="77"/>
      <c r="AR3811" s="77"/>
      <c r="AS3811" s="77"/>
      <c r="AT3811" s="77"/>
      <c r="AU3811" s="77"/>
      <c r="AV3811" s="80" t="str">
        <f>HYPERLINK("https://pbs.twimg.com/profile_images/1067039778795937797/PnnLGTU4_normal.jpg")</f>
        <v>https://pbs.twimg.com/profile_images/1067039778795937797/PnnLGTU4_normal.jpg</v>
      </c>
      <c r="AW3811" s="82" t="s">
        <v>15382</v>
      </c>
      <c r="AX3811" s="82" t="s">
        <v>15382</v>
      </c>
      <c r="AY3811" s="77"/>
      <c r="AZ3811" s="82" t="s">
        <v>15984</v>
      </c>
      <c r="BA3811" s="82" t="s">
        <v>15984</v>
      </c>
      <c r="BB3811" s="82" t="s">
        <v>15984</v>
      </c>
      <c r="BC3811" s="82" t="s">
        <v>15382</v>
      </c>
      <c r="BD3811" s="77">
        <v>2578778256</v>
      </c>
      <c r="BE3811" s="77"/>
      <c r="BF3811" s="77"/>
      <c r="BG3811" s="77"/>
      <c r="BH3811" s="77"/>
      <c r="BI3811" s="77"/>
    </row>
    <row r="3812" spans="1:61" x14ac:dyDescent="0.25">
      <c r="A3812" s="62" t="s">
        <v>735</v>
      </c>
      <c r="B3812" s="62" t="s">
        <v>735</v>
      </c>
      <c r="C3812" s="63"/>
      <c r="D3812" s="64"/>
      <c r="E3812" s="65"/>
      <c r="F3812" s="66"/>
      <c r="G3812" s="63"/>
      <c r="H3812" s="67"/>
      <c r="I3812" s="68"/>
      <c r="J3812" s="68"/>
      <c r="K3812" s="32"/>
      <c r="L3812" s="75">
        <v>3812</v>
      </c>
      <c r="M3812" s="75"/>
      <c r="N3812" s="70"/>
      <c r="O3812" s="77" t="s">
        <v>179</v>
      </c>
      <c r="P3812" s="79">
        <v>45120.770995370367</v>
      </c>
      <c r="Q3812" s="77" t="s">
        <v>4454</v>
      </c>
      <c r="R3812" s="77">
        <v>0</v>
      </c>
      <c r="S3812" s="77">
        <v>4</v>
      </c>
      <c r="T3812" s="77">
        <v>0</v>
      </c>
      <c r="U3812" s="77">
        <v>0</v>
      </c>
      <c r="V3812" s="77">
        <v>306</v>
      </c>
      <c r="W3812" s="82" t="s">
        <v>6411</v>
      </c>
      <c r="X3812" s="77"/>
      <c r="Y3812" s="77"/>
      <c r="Z3812" s="77"/>
      <c r="AA3812" s="77"/>
      <c r="AB3812" s="77"/>
      <c r="AC3812" s="82" t="s">
        <v>7787</v>
      </c>
      <c r="AD3812" s="77" t="s">
        <v>7788</v>
      </c>
      <c r="AE3812" s="80" t="str">
        <f>HYPERLINK("https://twitter.com/modalmais/status/1679558872585871374")</f>
        <v>https://twitter.com/modalmais/status/1679558872585871374</v>
      </c>
      <c r="AF3812" s="79">
        <v>45120.770995370367</v>
      </c>
      <c r="AG3812" s="85">
        <v>45120</v>
      </c>
      <c r="AH3812" s="82" t="s">
        <v>10221</v>
      </c>
      <c r="AI3812" s="77"/>
      <c r="AJ3812" s="77"/>
      <c r="AK3812" s="77"/>
      <c r="AL3812" s="77"/>
      <c r="AM3812" s="77"/>
      <c r="AN3812" s="77"/>
      <c r="AO3812" s="77"/>
      <c r="AP3812" s="77"/>
      <c r="AQ3812" s="77"/>
      <c r="AR3812" s="77"/>
      <c r="AS3812" s="77"/>
      <c r="AT3812" s="77"/>
      <c r="AU3812" s="77"/>
      <c r="AV3812" s="80" t="str">
        <f>HYPERLINK("https://pbs.twimg.com/profile_images/1067039778795937797/PnnLGTU4_normal.jpg")</f>
        <v>https://pbs.twimg.com/profile_images/1067039778795937797/PnnLGTU4_normal.jpg</v>
      </c>
      <c r="AW3812" s="82" t="s">
        <v>15383</v>
      </c>
      <c r="AX3812" s="82" t="s">
        <v>15383</v>
      </c>
      <c r="AY3812" s="77"/>
      <c r="AZ3812" s="82" t="s">
        <v>15984</v>
      </c>
      <c r="BA3812" s="82" t="s">
        <v>15984</v>
      </c>
      <c r="BB3812" s="82" t="s">
        <v>15984</v>
      </c>
      <c r="BC3812" s="82" t="s">
        <v>15383</v>
      </c>
      <c r="BD3812" s="77">
        <v>2578778256</v>
      </c>
      <c r="BE3812" s="77"/>
      <c r="BF3812" s="77"/>
      <c r="BG3812" s="77"/>
      <c r="BH3812" s="77"/>
      <c r="BI3812" s="77"/>
    </row>
    <row r="3813" spans="1:61" x14ac:dyDescent="0.25">
      <c r="A3813" s="62" t="s">
        <v>735</v>
      </c>
      <c r="B3813" s="62" t="s">
        <v>735</v>
      </c>
      <c r="C3813" s="63"/>
      <c r="D3813" s="64"/>
      <c r="E3813" s="65"/>
      <c r="F3813" s="66"/>
      <c r="G3813" s="63"/>
      <c r="H3813" s="67"/>
      <c r="I3813" s="68"/>
      <c r="J3813" s="68"/>
      <c r="K3813" s="32"/>
      <c r="L3813" s="75">
        <v>3813</v>
      </c>
      <c r="M3813" s="75"/>
      <c r="N3813" s="70"/>
      <c r="O3813" s="77" t="s">
        <v>179</v>
      </c>
      <c r="P3813" s="79">
        <v>45120.770601851851</v>
      </c>
      <c r="Q3813" s="77" t="s">
        <v>4455</v>
      </c>
      <c r="R3813" s="77">
        <v>0</v>
      </c>
      <c r="S3813" s="77">
        <v>2</v>
      </c>
      <c r="T3813" s="77">
        <v>0</v>
      </c>
      <c r="U3813" s="77">
        <v>0</v>
      </c>
      <c r="V3813" s="77">
        <v>292</v>
      </c>
      <c r="W3813" s="82" t="s">
        <v>6411</v>
      </c>
      <c r="X3813" s="77"/>
      <c r="Y3813" s="77"/>
      <c r="Z3813" s="77"/>
      <c r="AA3813" s="77"/>
      <c r="AB3813" s="77"/>
      <c r="AC3813" s="82" t="s">
        <v>7787</v>
      </c>
      <c r="AD3813" s="77" t="s">
        <v>7788</v>
      </c>
      <c r="AE3813" s="80" t="str">
        <f>HYPERLINK("https://twitter.com/modalmais/status/1679558731648868375")</f>
        <v>https://twitter.com/modalmais/status/1679558731648868375</v>
      </c>
      <c r="AF3813" s="79">
        <v>45120.770601851851</v>
      </c>
      <c r="AG3813" s="85">
        <v>45120</v>
      </c>
      <c r="AH3813" s="82" t="s">
        <v>10222</v>
      </c>
      <c r="AI3813" s="77"/>
      <c r="AJ3813" s="77"/>
      <c r="AK3813" s="77"/>
      <c r="AL3813" s="77"/>
      <c r="AM3813" s="77"/>
      <c r="AN3813" s="77"/>
      <c r="AO3813" s="77"/>
      <c r="AP3813" s="77"/>
      <c r="AQ3813" s="77"/>
      <c r="AR3813" s="77"/>
      <c r="AS3813" s="77"/>
      <c r="AT3813" s="77"/>
      <c r="AU3813" s="77"/>
      <c r="AV3813" s="80" t="str">
        <f>HYPERLINK("https://pbs.twimg.com/profile_images/1067039778795937797/PnnLGTU4_normal.jpg")</f>
        <v>https://pbs.twimg.com/profile_images/1067039778795937797/PnnLGTU4_normal.jpg</v>
      </c>
      <c r="AW3813" s="82" t="s">
        <v>15384</v>
      </c>
      <c r="AX3813" s="82" t="s">
        <v>15384</v>
      </c>
      <c r="AY3813" s="77"/>
      <c r="AZ3813" s="82" t="s">
        <v>15984</v>
      </c>
      <c r="BA3813" s="82" t="s">
        <v>15984</v>
      </c>
      <c r="BB3813" s="82" t="s">
        <v>15984</v>
      </c>
      <c r="BC3813" s="82" t="s">
        <v>15384</v>
      </c>
      <c r="BD3813" s="77">
        <v>2578778256</v>
      </c>
      <c r="BE3813" s="77"/>
      <c r="BF3813" s="77"/>
      <c r="BG3813" s="77"/>
      <c r="BH3813" s="77"/>
      <c r="BI3813" s="77"/>
    </row>
    <row r="3814" spans="1:61" x14ac:dyDescent="0.25">
      <c r="A3814" s="62" t="s">
        <v>735</v>
      </c>
      <c r="B3814" s="62" t="s">
        <v>735</v>
      </c>
      <c r="C3814" s="63"/>
      <c r="D3814" s="64"/>
      <c r="E3814" s="65"/>
      <c r="F3814" s="66"/>
      <c r="G3814" s="63"/>
      <c r="H3814" s="67"/>
      <c r="I3814" s="68"/>
      <c r="J3814" s="68"/>
      <c r="K3814" s="32"/>
      <c r="L3814" s="75">
        <v>3814</v>
      </c>
      <c r="M3814" s="75"/>
      <c r="N3814" s="70"/>
      <c r="O3814" s="77" t="s">
        <v>179</v>
      </c>
      <c r="P3814" s="79">
        <v>45152.608171296299</v>
      </c>
      <c r="Q3814" s="77" t="s">
        <v>4456</v>
      </c>
      <c r="R3814" s="77">
        <v>0</v>
      </c>
      <c r="S3814" s="77">
        <v>3</v>
      </c>
      <c r="T3814" s="77">
        <v>0</v>
      </c>
      <c r="U3814" s="77">
        <v>0</v>
      </c>
      <c r="V3814" s="77">
        <v>323</v>
      </c>
      <c r="W3814" s="82" t="s">
        <v>6411</v>
      </c>
      <c r="X3814" s="77"/>
      <c r="Y3814" s="77"/>
      <c r="Z3814" s="77"/>
      <c r="AA3814" s="77"/>
      <c r="AB3814" s="77"/>
      <c r="AC3814" s="82" t="s">
        <v>7787</v>
      </c>
      <c r="AD3814" s="77" t="s">
        <v>7788</v>
      </c>
      <c r="AE3814" s="80" t="str">
        <f>HYPERLINK("https://twitter.com/modalmais/status/1691096277944283136")</f>
        <v>https://twitter.com/modalmais/status/1691096277944283136</v>
      </c>
      <c r="AF3814" s="79">
        <v>45152.608171296299</v>
      </c>
      <c r="AG3814" s="85">
        <v>45152</v>
      </c>
      <c r="AH3814" s="82" t="s">
        <v>10223</v>
      </c>
      <c r="AI3814" s="77"/>
      <c r="AJ3814" s="77"/>
      <c r="AK3814" s="77"/>
      <c r="AL3814" s="77"/>
      <c r="AM3814" s="77"/>
      <c r="AN3814" s="77"/>
      <c r="AO3814" s="77"/>
      <c r="AP3814" s="77"/>
      <c r="AQ3814" s="77"/>
      <c r="AR3814" s="77"/>
      <c r="AS3814" s="77"/>
      <c r="AT3814" s="77"/>
      <c r="AU3814" s="77"/>
      <c r="AV3814" s="80" t="str">
        <f>HYPERLINK("https://pbs.twimg.com/profile_images/1067039778795937797/PnnLGTU4_normal.jpg")</f>
        <v>https://pbs.twimg.com/profile_images/1067039778795937797/PnnLGTU4_normal.jpg</v>
      </c>
      <c r="AW3814" s="82" t="s">
        <v>15385</v>
      </c>
      <c r="AX3814" s="82" t="s">
        <v>15385</v>
      </c>
      <c r="AY3814" s="77"/>
      <c r="AZ3814" s="82" t="s">
        <v>15984</v>
      </c>
      <c r="BA3814" s="82" t="s">
        <v>15984</v>
      </c>
      <c r="BB3814" s="82" t="s">
        <v>15984</v>
      </c>
      <c r="BC3814" s="82" t="s">
        <v>15385</v>
      </c>
      <c r="BD3814" s="77">
        <v>2578778256</v>
      </c>
      <c r="BE3814" s="77"/>
      <c r="BF3814" s="77"/>
      <c r="BG3814" s="77"/>
      <c r="BH3814" s="77"/>
      <c r="BI3814" s="77"/>
    </row>
    <row r="3815" spans="1:61" x14ac:dyDescent="0.25">
      <c r="A3815" s="62" t="s">
        <v>735</v>
      </c>
      <c r="B3815" s="62" t="s">
        <v>735</v>
      </c>
      <c r="C3815" s="63"/>
      <c r="D3815" s="64"/>
      <c r="E3815" s="65"/>
      <c r="F3815" s="66"/>
      <c r="G3815" s="63"/>
      <c r="H3815" s="67"/>
      <c r="I3815" s="68"/>
      <c r="J3815" s="68"/>
      <c r="K3815" s="32"/>
      <c r="L3815" s="75">
        <v>3815</v>
      </c>
      <c r="M3815" s="75"/>
      <c r="N3815" s="70"/>
      <c r="O3815" s="77" t="s">
        <v>179</v>
      </c>
      <c r="P3815" s="79">
        <v>45152.565405092595</v>
      </c>
      <c r="Q3815" s="77" t="s">
        <v>4457</v>
      </c>
      <c r="R3815" s="77">
        <v>0</v>
      </c>
      <c r="S3815" s="77">
        <v>2</v>
      </c>
      <c r="T3815" s="77">
        <v>0</v>
      </c>
      <c r="U3815" s="77">
        <v>0</v>
      </c>
      <c r="V3815" s="77">
        <v>322</v>
      </c>
      <c r="W3815" s="82" t="s">
        <v>6411</v>
      </c>
      <c r="X3815" s="77"/>
      <c r="Y3815" s="77"/>
      <c r="Z3815" s="77"/>
      <c r="AA3815" s="77"/>
      <c r="AB3815" s="77"/>
      <c r="AC3815" s="82" t="s">
        <v>7787</v>
      </c>
      <c r="AD3815" s="77" t="s">
        <v>7788</v>
      </c>
      <c r="AE3815" s="80" t="str">
        <f>HYPERLINK("https://twitter.com/modalmais/status/1691080779760025600")</f>
        <v>https://twitter.com/modalmais/status/1691080779760025600</v>
      </c>
      <c r="AF3815" s="79">
        <v>45152.565405092595</v>
      </c>
      <c r="AG3815" s="85">
        <v>45152</v>
      </c>
      <c r="AH3815" s="82" t="s">
        <v>10224</v>
      </c>
      <c r="AI3815" s="77"/>
      <c r="AJ3815" s="77"/>
      <c r="AK3815" s="77"/>
      <c r="AL3815" s="77"/>
      <c r="AM3815" s="77"/>
      <c r="AN3815" s="77"/>
      <c r="AO3815" s="77"/>
      <c r="AP3815" s="77"/>
      <c r="AQ3815" s="77"/>
      <c r="AR3815" s="77"/>
      <c r="AS3815" s="77"/>
      <c r="AT3815" s="77"/>
      <c r="AU3815" s="77"/>
      <c r="AV3815" s="80" t="str">
        <f>HYPERLINK("https://pbs.twimg.com/profile_images/1067039778795937797/PnnLGTU4_normal.jpg")</f>
        <v>https://pbs.twimg.com/profile_images/1067039778795937797/PnnLGTU4_normal.jpg</v>
      </c>
      <c r="AW3815" s="82" t="s">
        <v>15386</v>
      </c>
      <c r="AX3815" s="82" t="s">
        <v>15386</v>
      </c>
      <c r="AY3815" s="77"/>
      <c r="AZ3815" s="82" t="s">
        <v>15984</v>
      </c>
      <c r="BA3815" s="82" t="s">
        <v>15984</v>
      </c>
      <c r="BB3815" s="82" t="s">
        <v>15984</v>
      </c>
      <c r="BC3815" s="82" t="s">
        <v>15386</v>
      </c>
      <c r="BD3815" s="77">
        <v>2578778256</v>
      </c>
      <c r="BE3815" s="77"/>
      <c r="BF3815" s="77"/>
      <c r="BG3815" s="77"/>
      <c r="BH3815" s="77"/>
      <c r="BI3815" s="77"/>
    </row>
    <row r="3816" spans="1:61" x14ac:dyDescent="0.25">
      <c r="A3816" s="62" t="s">
        <v>735</v>
      </c>
      <c r="B3816" s="62" t="s">
        <v>735</v>
      </c>
      <c r="C3816" s="63"/>
      <c r="D3816" s="64"/>
      <c r="E3816" s="65"/>
      <c r="F3816" s="66"/>
      <c r="G3816" s="63"/>
      <c r="H3816" s="67"/>
      <c r="I3816" s="68"/>
      <c r="J3816" s="68"/>
      <c r="K3816" s="32"/>
      <c r="L3816" s="75">
        <v>3816</v>
      </c>
      <c r="M3816" s="75"/>
      <c r="N3816" s="70"/>
      <c r="O3816" s="77" t="s">
        <v>179</v>
      </c>
      <c r="P3816" s="79">
        <v>45142.741446759261</v>
      </c>
      <c r="Q3816" s="77" t="s">
        <v>4458</v>
      </c>
      <c r="R3816" s="77">
        <v>0</v>
      </c>
      <c r="S3816" s="77">
        <v>2</v>
      </c>
      <c r="T3816" s="77">
        <v>0</v>
      </c>
      <c r="U3816" s="77">
        <v>0</v>
      </c>
      <c r="V3816" s="77">
        <v>307</v>
      </c>
      <c r="W3816" s="82" t="s">
        <v>6411</v>
      </c>
      <c r="X3816" s="77"/>
      <c r="Y3816" s="77"/>
      <c r="Z3816" s="77"/>
      <c r="AA3816" s="77"/>
      <c r="AB3816" s="77"/>
      <c r="AC3816" s="82" t="s">
        <v>7787</v>
      </c>
      <c r="AD3816" s="77" t="s">
        <v>7790</v>
      </c>
      <c r="AE3816" s="80" t="str">
        <f>HYPERLINK("https://twitter.com/modalmais/status/1687520696119762944")</f>
        <v>https://twitter.com/modalmais/status/1687520696119762944</v>
      </c>
      <c r="AF3816" s="79">
        <v>45142.741446759261</v>
      </c>
      <c r="AG3816" s="85">
        <v>45142</v>
      </c>
      <c r="AH3816" s="82" t="s">
        <v>10225</v>
      </c>
      <c r="AI3816" s="77"/>
      <c r="AJ3816" s="77"/>
      <c r="AK3816" s="77"/>
      <c r="AL3816" s="77"/>
      <c r="AM3816" s="77"/>
      <c r="AN3816" s="77"/>
      <c r="AO3816" s="77"/>
      <c r="AP3816" s="77"/>
      <c r="AQ3816" s="77"/>
      <c r="AR3816" s="77"/>
      <c r="AS3816" s="77"/>
      <c r="AT3816" s="77"/>
      <c r="AU3816" s="77"/>
      <c r="AV3816" s="80" t="str">
        <f>HYPERLINK("https://pbs.twimg.com/profile_images/1067039778795937797/PnnLGTU4_normal.jpg")</f>
        <v>https://pbs.twimg.com/profile_images/1067039778795937797/PnnLGTU4_normal.jpg</v>
      </c>
      <c r="AW3816" s="82" t="s">
        <v>15387</v>
      </c>
      <c r="AX3816" s="82" t="s">
        <v>15387</v>
      </c>
      <c r="AY3816" s="77"/>
      <c r="AZ3816" s="82" t="s">
        <v>15984</v>
      </c>
      <c r="BA3816" s="82" t="s">
        <v>15984</v>
      </c>
      <c r="BB3816" s="82" t="s">
        <v>15984</v>
      </c>
      <c r="BC3816" s="82" t="s">
        <v>15387</v>
      </c>
      <c r="BD3816" s="77">
        <v>2578778256</v>
      </c>
      <c r="BE3816" s="77"/>
      <c r="BF3816" s="77"/>
      <c r="BG3816" s="77"/>
      <c r="BH3816" s="77"/>
      <c r="BI3816" s="77"/>
    </row>
    <row r="3817" spans="1:61" x14ac:dyDescent="0.25">
      <c r="A3817" s="62" t="s">
        <v>735</v>
      </c>
      <c r="B3817" s="62" t="s">
        <v>735</v>
      </c>
      <c r="C3817" s="63"/>
      <c r="D3817" s="64"/>
      <c r="E3817" s="65"/>
      <c r="F3817" s="66"/>
      <c r="G3817" s="63"/>
      <c r="H3817" s="67"/>
      <c r="I3817" s="68"/>
      <c r="J3817" s="68"/>
      <c r="K3817" s="32"/>
      <c r="L3817" s="75">
        <v>3817</v>
      </c>
      <c r="M3817" s="75"/>
      <c r="N3817" s="70"/>
      <c r="O3817" s="77" t="s">
        <v>179</v>
      </c>
      <c r="P3817" s="79">
        <v>45125.702604166669</v>
      </c>
      <c r="Q3817" s="77" t="s">
        <v>4459</v>
      </c>
      <c r="R3817" s="77">
        <v>0</v>
      </c>
      <c r="S3817" s="77">
        <v>2</v>
      </c>
      <c r="T3817" s="77">
        <v>0</v>
      </c>
      <c r="U3817" s="77">
        <v>0</v>
      </c>
      <c r="V3817" s="77">
        <v>295</v>
      </c>
      <c r="W3817" s="82" t="s">
        <v>6411</v>
      </c>
      <c r="X3817" s="77"/>
      <c r="Y3817" s="77"/>
      <c r="Z3817" s="77"/>
      <c r="AA3817" s="77"/>
      <c r="AB3817" s="77"/>
      <c r="AC3817" s="82" t="s">
        <v>7787</v>
      </c>
      <c r="AD3817" s="77" t="s">
        <v>7790</v>
      </c>
      <c r="AE3817" s="80" t="str">
        <f>HYPERLINK("https://twitter.com/modalmais/status/1681346027154989057")</f>
        <v>https://twitter.com/modalmais/status/1681346027154989057</v>
      </c>
      <c r="AF3817" s="79">
        <v>45125.702604166669</v>
      </c>
      <c r="AG3817" s="85">
        <v>45125</v>
      </c>
      <c r="AH3817" s="82" t="s">
        <v>10226</v>
      </c>
      <c r="AI3817" s="77"/>
      <c r="AJ3817" s="77"/>
      <c r="AK3817" s="77"/>
      <c r="AL3817" s="77"/>
      <c r="AM3817" s="77"/>
      <c r="AN3817" s="77"/>
      <c r="AO3817" s="77"/>
      <c r="AP3817" s="77"/>
      <c r="AQ3817" s="77"/>
      <c r="AR3817" s="77"/>
      <c r="AS3817" s="77"/>
      <c r="AT3817" s="77"/>
      <c r="AU3817" s="77"/>
      <c r="AV3817" s="80" t="str">
        <f>HYPERLINK("https://pbs.twimg.com/profile_images/1067039778795937797/PnnLGTU4_normal.jpg")</f>
        <v>https://pbs.twimg.com/profile_images/1067039778795937797/PnnLGTU4_normal.jpg</v>
      </c>
      <c r="AW3817" s="82" t="s">
        <v>15388</v>
      </c>
      <c r="AX3817" s="82" t="s">
        <v>15388</v>
      </c>
      <c r="AY3817" s="77"/>
      <c r="AZ3817" s="82" t="s">
        <v>15984</v>
      </c>
      <c r="BA3817" s="82" t="s">
        <v>15984</v>
      </c>
      <c r="BB3817" s="82" t="s">
        <v>15984</v>
      </c>
      <c r="BC3817" s="82" t="s">
        <v>15388</v>
      </c>
      <c r="BD3817" s="77">
        <v>2578778256</v>
      </c>
      <c r="BE3817" s="77"/>
      <c r="BF3817" s="77"/>
      <c r="BG3817" s="77"/>
      <c r="BH3817" s="77"/>
      <c r="BI3817" s="77"/>
    </row>
    <row r="3818" spans="1:61" x14ac:dyDescent="0.25">
      <c r="A3818" s="62" t="s">
        <v>735</v>
      </c>
      <c r="B3818" s="62" t="s">
        <v>735</v>
      </c>
      <c r="C3818" s="63"/>
      <c r="D3818" s="64"/>
      <c r="E3818" s="65"/>
      <c r="F3818" s="66"/>
      <c r="G3818" s="63"/>
      <c r="H3818" s="67"/>
      <c r="I3818" s="68"/>
      <c r="J3818" s="68"/>
      <c r="K3818" s="32"/>
      <c r="L3818" s="75">
        <v>3818</v>
      </c>
      <c r="M3818" s="75"/>
      <c r="N3818" s="70"/>
      <c r="O3818" s="77" t="s">
        <v>179</v>
      </c>
      <c r="P3818" s="79">
        <v>45125.70034722222</v>
      </c>
      <c r="Q3818" s="77" t="s">
        <v>4460</v>
      </c>
      <c r="R3818" s="77">
        <v>0</v>
      </c>
      <c r="S3818" s="77">
        <v>1</v>
      </c>
      <c r="T3818" s="77">
        <v>0</v>
      </c>
      <c r="U3818" s="77">
        <v>0</v>
      </c>
      <c r="V3818" s="77">
        <v>301</v>
      </c>
      <c r="W3818" s="82" t="s">
        <v>6410</v>
      </c>
      <c r="X3818" s="77"/>
      <c r="Y3818" s="77"/>
      <c r="Z3818" s="77"/>
      <c r="AA3818" s="77"/>
      <c r="AB3818" s="77"/>
      <c r="AC3818" s="82" t="s">
        <v>7787</v>
      </c>
      <c r="AD3818" s="77" t="s">
        <v>7788</v>
      </c>
      <c r="AE3818" s="80" t="str">
        <f>HYPERLINK("https://twitter.com/modalmais/status/1681345208770805760")</f>
        <v>https://twitter.com/modalmais/status/1681345208770805760</v>
      </c>
      <c r="AF3818" s="79">
        <v>45125.70034722222</v>
      </c>
      <c r="AG3818" s="85">
        <v>45125</v>
      </c>
      <c r="AH3818" s="82" t="s">
        <v>10227</v>
      </c>
      <c r="AI3818" s="77"/>
      <c r="AJ3818" s="77"/>
      <c r="AK3818" s="77"/>
      <c r="AL3818" s="77"/>
      <c r="AM3818" s="77"/>
      <c r="AN3818" s="77"/>
      <c r="AO3818" s="77"/>
      <c r="AP3818" s="77"/>
      <c r="AQ3818" s="77"/>
      <c r="AR3818" s="77"/>
      <c r="AS3818" s="77"/>
      <c r="AT3818" s="77"/>
      <c r="AU3818" s="77"/>
      <c r="AV3818" s="80" t="str">
        <f>HYPERLINK("https://pbs.twimg.com/profile_images/1067039778795937797/PnnLGTU4_normal.jpg")</f>
        <v>https://pbs.twimg.com/profile_images/1067039778795937797/PnnLGTU4_normal.jpg</v>
      </c>
      <c r="AW3818" s="82" t="s">
        <v>15389</v>
      </c>
      <c r="AX3818" s="82" t="s">
        <v>15389</v>
      </c>
      <c r="AY3818" s="77"/>
      <c r="AZ3818" s="82" t="s">
        <v>15984</v>
      </c>
      <c r="BA3818" s="82" t="s">
        <v>15984</v>
      </c>
      <c r="BB3818" s="82" t="s">
        <v>15984</v>
      </c>
      <c r="BC3818" s="82" t="s">
        <v>15389</v>
      </c>
      <c r="BD3818" s="77">
        <v>2578778256</v>
      </c>
      <c r="BE3818" s="77"/>
      <c r="BF3818" s="77"/>
      <c r="BG3818" s="77"/>
      <c r="BH3818" s="77"/>
      <c r="BI3818" s="77"/>
    </row>
    <row r="3819" spans="1:61" x14ac:dyDescent="0.25">
      <c r="A3819" s="62" t="s">
        <v>735</v>
      </c>
      <c r="B3819" s="62" t="s">
        <v>735</v>
      </c>
      <c r="C3819" s="63"/>
      <c r="D3819" s="64"/>
      <c r="E3819" s="65"/>
      <c r="F3819" s="66"/>
      <c r="G3819" s="63"/>
      <c r="H3819" s="67"/>
      <c r="I3819" s="68"/>
      <c r="J3819" s="68"/>
      <c r="K3819" s="32"/>
      <c r="L3819" s="75">
        <v>3819</v>
      </c>
      <c r="M3819" s="75"/>
      <c r="N3819" s="70"/>
      <c r="O3819" s="77" t="s">
        <v>179</v>
      </c>
      <c r="P3819" s="79">
        <v>45125.569791666669</v>
      </c>
      <c r="Q3819" s="77" t="s">
        <v>4461</v>
      </c>
      <c r="R3819" s="77">
        <v>0</v>
      </c>
      <c r="S3819" s="77">
        <v>1</v>
      </c>
      <c r="T3819" s="77">
        <v>0</v>
      </c>
      <c r="U3819" s="77">
        <v>0</v>
      </c>
      <c r="V3819" s="77">
        <v>315</v>
      </c>
      <c r="W3819" s="82" t="s">
        <v>6411</v>
      </c>
      <c r="X3819" s="77"/>
      <c r="Y3819" s="77"/>
      <c r="Z3819" s="77"/>
      <c r="AA3819" s="77"/>
      <c r="AB3819" s="77"/>
      <c r="AC3819" s="82" t="s">
        <v>7787</v>
      </c>
      <c r="AD3819" s="77" t="s">
        <v>7788</v>
      </c>
      <c r="AE3819" s="80" t="str">
        <f>HYPERLINK("https://twitter.com/modalmais/status/1681297899106230272")</f>
        <v>https://twitter.com/modalmais/status/1681297899106230272</v>
      </c>
      <c r="AF3819" s="79">
        <v>45125.569791666669</v>
      </c>
      <c r="AG3819" s="85">
        <v>45125</v>
      </c>
      <c r="AH3819" s="82" t="s">
        <v>10228</v>
      </c>
      <c r="AI3819" s="77"/>
      <c r="AJ3819" s="77"/>
      <c r="AK3819" s="77"/>
      <c r="AL3819" s="77"/>
      <c r="AM3819" s="77"/>
      <c r="AN3819" s="77"/>
      <c r="AO3819" s="77"/>
      <c r="AP3819" s="77"/>
      <c r="AQ3819" s="77"/>
      <c r="AR3819" s="77"/>
      <c r="AS3819" s="77"/>
      <c r="AT3819" s="77"/>
      <c r="AU3819" s="77"/>
      <c r="AV3819" s="80" t="str">
        <f>HYPERLINK("https://pbs.twimg.com/profile_images/1067039778795937797/PnnLGTU4_normal.jpg")</f>
        <v>https://pbs.twimg.com/profile_images/1067039778795937797/PnnLGTU4_normal.jpg</v>
      </c>
      <c r="AW3819" s="82" t="s">
        <v>15390</v>
      </c>
      <c r="AX3819" s="82" t="s">
        <v>15390</v>
      </c>
      <c r="AY3819" s="77"/>
      <c r="AZ3819" s="82" t="s">
        <v>15984</v>
      </c>
      <c r="BA3819" s="82" t="s">
        <v>15984</v>
      </c>
      <c r="BB3819" s="82" t="s">
        <v>15984</v>
      </c>
      <c r="BC3819" s="82" t="s">
        <v>15390</v>
      </c>
      <c r="BD3819" s="77">
        <v>2578778256</v>
      </c>
      <c r="BE3819" s="77"/>
      <c r="BF3819" s="77"/>
      <c r="BG3819" s="77"/>
      <c r="BH3819" s="77"/>
      <c r="BI3819" s="77"/>
    </row>
    <row r="3820" spans="1:61" x14ac:dyDescent="0.25">
      <c r="A3820" s="62" t="s">
        <v>735</v>
      </c>
      <c r="B3820" s="62" t="s">
        <v>735</v>
      </c>
      <c r="C3820" s="63"/>
      <c r="D3820" s="64"/>
      <c r="E3820" s="65"/>
      <c r="F3820" s="66"/>
      <c r="G3820" s="63"/>
      <c r="H3820" s="67"/>
      <c r="I3820" s="68"/>
      <c r="J3820" s="68"/>
      <c r="K3820" s="32"/>
      <c r="L3820" s="75">
        <v>3820</v>
      </c>
      <c r="M3820" s="75"/>
      <c r="N3820" s="70"/>
      <c r="O3820" s="77" t="s">
        <v>179</v>
      </c>
      <c r="P3820" s="79">
        <v>45125.568599537037</v>
      </c>
      <c r="Q3820" s="77" t="s">
        <v>4462</v>
      </c>
      <c r="R3820" s="77">
        <v>0</v>
      </c>
      <c r="S3820" s="77">
        <v>4</v>
      </c>
      <c r="T3820" s="77">
        <v>0</v>
      </c>
      <c r="U3820" s="77">
        <v>0</v>
      </c>
      <c r="V3820" s="77">
        <v>331</v>
      </c>
      <c r="W3820" s="82" t="s">
        <v>6411</v>
      </c>
      <c r="X3820" s="77"/>
      <c r="Y3820" s="77"/>
      <c r="Z3820" s="77"/>
      <c r="AA3820" s="77"/>
      <c r="AB3820" s="77"/>
      <c r="AC3820" s="82" t="s">
        <v>7787</v>
      </c>
      <c r="AD3820" s="77" t="s">
        <v>7788</v>
      </c>
      <c r="AE3820" s="80" t="str">
        <f>HYPERLINK("https://twitter.com/modalmais/status/1681297465067053056")</f>
        <v>https://twitter.com/modalmais/status/1681297465067053056</v>
      </c>
      <c r="AF3820" s="79">
        <v>45125.568599537037</v>
      </c>
      <c r="AG3820" s="85">
        <v>45125</v>
      </c>
      <c r="AH3820" s="82" t="s">
        <v>10229</v>
      </c>
      <c r="AI3820" s="77"/>
      <c r="AJ3820" s="77"/>
      <c r="AK3820" s="77"/>
      <c r="AL3820" s="77"/>
      <c r="AM3820" s="77"/>
      <c r="AN3820" s="77"/>
      <c r="AO3820" s="77"/>
      <c r="AP3820" s="77"/>
      <c r="AQ3820" s="77"/>
      <c r="AR3820" s="77"/>
      <c r="AS3820" s="77"/>
      <c r="AT3820" s="77"/>
      <c r="AU3820" s="77"/>
      <c r="AV3820" s="80" t="str">
        <f>HYPERLINK("https://pbs.twimg.com/profile_images/1067039778795937797/PnnLGTU4_normal.jpg")</f>
        <v>https://pbs.twimg.com/profile_images/1067039778795937797/PnnLGTU4_normal.jpg</v>
      </c>
      <c r="AW3820" s="82" t="s">
        <v>15391</v>
      </c>
      <c r="AX3820" s="82" t="s">
        <v>15391</v>
      </c>
      <c r="AY3820" s="77"/>
      <c r="AZ3820" s="82" t="s">
        <v>15984</v>
      </c>
      <c r="BA3820" s="82" t="s">
        <v>15984</v>
      </c>
      <c r="BB3820" s="82" t="s">
        <v>15984</v>
      </c>
      <c r="BC3820" s="82" t="s">
        <v>15391</v>
      </c>
      <c r="BD3820" s="77">
        <v>2578778256</v>
      </c>
      <c r="BE3820" s="77"/>
      <c r="BF3820" s="77"/>
      <c r="BG3820" s="77"/>
      <c r="BH3820" s="77"/>
      <c r="BI3820" s="77"/>
    </row>
    <row r="3821" spans="1:61" x14ac:dyDescent="0.25">
      <c r="A3821" s="62" t="s">
        <v>735</v>
      </c>
      <c r="B3821" s="62" t="s">
        <v>735</v>
      </c>
      <c r="C3821" s="63"/>
      <c r="D3821" s="64"/>
      <c r="E3821" s="65"/>
      <c r="F3821" s="66"/>
      <c r="G3821" s="63"/>
      <c r="H3821" s="67"/>
      <c r="I3821" s="68"/>
      <c r="J3821" s="68"/>
      <c r="K3821" s="32"/>
      <c r="L3821" s="75">
        <v>3821</v>
      </c>
      <c r="M3821" s="75"/>
      <c r="N3821" s="70"/>
      <c r="O3821" s="77" t="s">
        <v>179</v>
      </c>
      <c r="P3821" s="79">
        <v>45125.557928240742</v>
      </c>
      <c r="Q3821" s="77" t="s">
        <v>4463</v>
      </c>
      <c r="R3821" s="77">
        <v>0</v>
      </c>
      <c r="S3821" s="77">
        <v>1</v>
      </c>
      <c r="T3821" s="77">
        <v>0</v>
      </c>
      <c r="U3821" s="77">
        <v>0</v>
      </c>
      <c r="V3821" s="77">
        <v>285</v>
      </c>
      <c r="W3821" s="82" t="s">
        <v>6411</v>
      </c>
      <c r="X3821" s="77"/>
      <c r="Y3821" s="77"/>
      <c r="Z3821" s="77"/>
      <c r="AA3821" s="77"/>
      <c r="AB3821" s="77"/>
      <c r="AC3821" s="82" t="s">
        <v>7787</v>
      </c>
      <c r="AD3821" s="77" t="s">
        <v>7788</v>
      </c>
      <c r="AE3821" s="80" t="str">
        <f>HYPERLINK("https://twitter.com/modalmais/status/1681293598631907329")</f>
        <v>https://twitter.com/modalmais/status/1681293598631907329</v>
      </c>
      <c r="AF3821" s="79">
        <v>45125.557928240742</v>
      </c>
      <c r="AG3821" s="85">
        <v>45125</v>
      </c>
      <c r="AH3821" s="82" t="s">
        <v>10230</v>
      </c>
      <c r="AI3821" s="77"/>
      <c r="AJ3821" s="77"/>
      <c r="AK3821" s="77"/>
      <c r="AL3821" s="77"/>
      <c r="AM3821" s="77"/>
      <c r="AN3821" s="77"/>
      <c r="AO3821" s="77"/>
      <c r="AP3821" s="77"/>
      <c r="AQ3821" s="77"/>
      <c r="AR3821" s="77"/>
      <c r="AS3821" s="77"/>
      <c r="AT3821" s="77"/>
      <c r="AU3821" s="77"/>
      <c r="AV3821" s="80" t="str">
        <f>HYPERLINK("https://pbs.twimg.com/profile_images/1067039778795937797/PnnLGTU4_normal.jpg")</f>
        <v>https://pbs.twimg.com/profile_images/1067039778795937797/PnnLGTU4_normal.jpg</v>
      </c>
      <c r="AW3821" s="82" t="s">
        <v>15392</v>
      </c>
      <c r="AX3821" s="82" t="s">
        <v>15392</v>
      </c>
      <c r="AY3821" s="77"/>
      <c r="AZ3821" s="82" t="s">
        <v>15984</v>
      </c>
      <c r="BA3821" s="82" t="s">
        <v>15984</v>
      </c>
      <c r="BB3821" s="82" t="s">
        <v>15984</v>
      </c>
      <c r="BC3821" s="82" t="s">
        <v>15392</v>
      </c>
      <c r="BD3821" s="77">
        <v>2578778256</v>
      </c>
      <c r="BE3821" s="77"/>
      <c r="BF3821" s="77"/>
      <c r="BG3821" s="77"/>
      <c r="BH3821" s="77"/>
      <c r="BI3821" s="77"/>
    </row>
    <row r="3822" spans="1:61" x14ac:dyDescent="0.25">
      <c r="A3822" s="62" t="s">
        <v>735</v>
      </c>
      <c r="B3822" s="62" t="s">
        <v>735</v>
      </c>
      <c r="C3822" s="63"/>
      <c r="D3822" s="64"/>
      <c r="E3822" s="65"/>
      <c r="F3822" s="66"/>
      <c r="G3822" s="63"/>
      <c r="H3822" s="67"/>
      <c r="I3822" s="68"/>
      <c r="J3822" s="68"/>
      <c r="K3822" s="32"/>
      <c r="L3822" s="75">
        <v>3822</v>
      </c>
      <c r="M3822" s="75"/>
      <c r="N3822" s="70"/>
      <c r="O3822" s="77" t="s">
        <v>179</v>
      </c>
      <c r="P3822" s="79">
        <v>45125.552291666667</v>
      </c>
      <c r="Q3822" s="77" t="s">
        <v>4464</v>
      </c>
      <c r="R3822" s="77">
        <v>0</v>
      </c>
      <c r="S3822" s="77">
        <v>3</v>
      </c>
      <c r="T3822" s="77">
        <v>0</v>
      </c>
      <c r="U3822" s="77">
        <v>0</v>
      </c>
      <c r="V3822" s="77">
        <v>252</v>
      </c>
      <c r="W3822" s="82" t="s">
        <v>6411</v>
      </c>
      <c r="X3822" s="77"/>
      <c r="Y3822" s="77"/>
      <c r="Z3822" s="77"/>
      <c r="AA3822" s="77"/>
      <c r="AB3822" s="77"/>
      <c r="AC3822" s="82" t="s">
        <v>7787</v>
      </c>
      <c r="AD3822" s="77" t="s">
        <v>7788</v>
      </c>
      <c r="AE3822" s="80" t="str">
        <f>HYPERLINK("https://twitter.com/modalmais/status/1681291554990817281")</f>
        <v>https://twitter.com/modalmais/status/1681291554990817281</v>
      </c>
      <c r="AF3822" s="79">
        <v>45125.552291666667</v>
      </c>
      <c r="AG3822" s="85">
        <v>45125</v>
      </c>
      <c r="AH3822" s="82" t="s">
        <v>10231</v>
      </c>
      <c r="AI3822" s="77"/>
      <c r="AJ3822" s="77"/>
      <c r="AK3822" s="77"/>
      <c r="AL3822" s="77"/>
      <c r="AM3822" s="77"/>
      <c r="AN3822" s="77"/>
      <c r="AO3822" s="77"/>
      <c r="AP3822" s="77"/>
      <c r="AQ3822" s="77"/>
      <c r="AR3822" s="77"/>
      <c r="AS3822" s="77"/>
      <c r="AT3822" s="77"/>
      <c r="AU3822" s="77"/>
      <c r="AV3822" s="80" t="str">
        <f>HYPERLINK("https://pbs.twimg.com/profile_images/1067039778795937797/PnnLGTU4_normal.jpg")</f>
        <v>https://pbs.twimg.com/profile_images/1067039778795937797/PnnLGTU4_normal.jpg</v>
      </c>
      <c r="AW3822" s="82" t="s">
        <v>15393</v>
      </c>
      <c r="AX3822" s="82" t="s">
        <v>15393</v>
      </c>
      <c r="AY3822" s="77"/>
      <c r="AZ3822" s="82" t="s">
        <v>15984</v>
      </c>
      <c r="BA3822" s="82" t="s">
        <v>15984</v>
      </c>
      <c r="BB3822" s="82" t="s">
        <v>15984</v>
      </c>
      <c r="BC3822" s="82" t="s">
        <v>15393</v>
      </c>
      <c r="BD3822" s="77">
        <v>2578778256</v>
      </c>
      <c r="BE3822" s="77"/>
      <c r="BF3822" s="77"/>
      <c r="BG3822" s="77"/>
      <c r="BH3822" s="77"/>
      <c r="BI3822" s="77"/>
    </row>
    <row r="3823" spans="1:61" x14ac:dyDescent="0.25">
      <c r="A3823" s="62" t="s">
        <v>735</v>
      </c>
      <c r="B3823" s="62" t="s">
        <v>735</v>
      </c>
      <c r="C3823" s="63"/>
      <c r="D3823" s="64"/>
      <c r="E3823" s="65"/>
      <c r="F3823" s="66"/>
      <c r="G3823" s="63"/>
      <c r="H3823" s="67"/>
      <c r="I3823" s="68"/>
      <c r="J3823" s="68"/>
      <c r="K3823" s="32"/>
      <c r="L3823" s="75">
        <v>3823</v>
      </c>
      <c r="M3823" s="75"/>
      <c r="N3823" s="70"/>
      <c r="O3823" s="77" t="s">
        <v>179</v>
      </c>
      <c r="P3823" s="79">
        <v>45125.551087962966</v>
      </c>
      <c r="Q3823" s="77" t="s">
        <v>4465</v>
      </c>
      <c r="R3823" s="77">
        <v>0</v>
      </c>
      <c r="S3823" s="77">
        <v>4</v>
      </c>
      <c r="T3823" s="77">
        <v>0</v>
      </c>
      <c r="U3823" s="77">
        <v>0</v>
      </c>
      <c r="V3823" s="77">
        <v>272</v>
      </c>
      <c r="W3823" s="82" t="s">
        <v>6411</v>
      </c>
      <c r="X3823" s="77"/>
      <c r="Y3823" s="77"/>
      <c r="Z3823" s="77"/>
      <c r="AA3823" s="77"/>
      <c r="AB3823" s="77"/>
      <c r="AC3823" s="82" t="s">
        <v>7787</v>
      </c>
      <c r="AD3823" s="77" t="s">
        <v>7788</v>
      </c>
      <c r="AE3823" s="80" t="str">
        <f>HYPERLINK("https://twitter.com/modalmais/status/1681291120016334850")</f>
        <v>https://twitter.com/modalmais/status/1681291120016334850</v>
      </c>
      <c r="AF3823" s="79">
        <v>45125.551087962966</v>
      </c>
      <c r="AG3823" s="85">
        <v>45125</v>
      </c>
      <c r="AH3823" s="82" t="s">
        <v>10232</v>
      </c>
      <c r="AI3823" s="77"/>
      <c r="AJ3823" s="77"/>
      <c r="AK3823" s="77"/>
      <c r="AL3823" s="77"/>
      <c r="AM3823" s="77"/>
      <c r="AN3823" s="77"/>
      <c r="AO3823" s="77"/>
      <c r="AP3823" s="77"/>
      <c r="AQ3823" s="77"/>
      <c r="AR3823" s="77"/>
      <c r="AS3823" s="77"/>
      <c r="AT3823" s="77"/>
      <c r="AU3823" s="77"/>
      <c r="AV3823" s="80" t="str">
        <f>HYPERLINK("https://pbs.twimg.com/profile_images/1067039778795937797/PnnLGTU4_normal.jpg")</f>
        <v>https://pbs.twimg.com/profile_images/1067039778795937797/PnnLGTU4_normal.jpg</v>
      </c>
      <c r="AW3823" s="82" t="s">
        <v>15394</v>
      </c>
      <c r="AX3823" s="82" t="s">
        <v>15394</v>
      </c>
      <c r="AY3823" s="77"/>
      <c r="AZ3823" s="82" t="s">
        <v>15984</v>
      </c>
      <c r="BA3823" s="82" t="s">
        <v>15984</v>
      </c>
      <c r="BB3823" s="82" t="s">
        <v>15984</v>
      </c>
      <c r="BC3823" s="82" t="s">
        <v>15394</v>
      </c>
      <c r="BD3823" s="77">
        <v>2578778256</v>
      </c>
      <c r="BE3823" s="77"/>
      <c r="BF3823" s="77"/>
      <c r="BG3823" s="77"/>
      <c r="BH3823" s="77"/>
      <c r="BI3823" s="77"/>
    </row>
    <row r="3824" spans="1:61" x14ac:dyDescent="0.25">
      <c r="A3824" s="62" t="s">
        <v>735</v>
      </c>
      <c r="B3824" s="62" t="s">
        <v>735</v>
      </c>
      <c r="C3824" s="63"/>
      <c r="D3824" s="64"/>
      <c r="E3824" s="65"/>
      <c r="F3824" s="66"/>
      <c r="G3824" s="63"/>
      <c r="H3824" s="67"/>
      <c r="I3824" s="68"/>
      <c r="J3824" s="68"/>
      <c r="K3824" s="32"/>
      <c r="L3824" s="75">
        <v>3824</v>
      </c>
      <c r="M3824" s="75"/>
      <c r="N3824" s="70"/>
      <c r="O3824" s="77" t="s">
        <v>179</v>
      </c>
      <c r="P3824" s="79">
        <v>45125.536145833335</v>
      </c>
      <c r="Q3824" s="77" t="s">
        <v>4466</v>
      </c>
      <c r="R3824" s="77">
        <v>0</v>
      </c>
      <c r="S3824" s="77">
        <v>2</v>
      </c>
      <c r="T3824" s="77">
        <v>0</v>
      </c>
      <c r="U3824" s="77">
        <v>0</v>
      </c>
      <c r="V3824" s="77">
        <v>303</v>
      </c>
      <c r="W3824" s="82" t="s">
        <v>6411</v>
      </c>
      <c r="X3824" s="77"/>
      <c r="Y3824" s="77"/>
      <c r="Z3824" s="77"/>
      <c r="AA3824" s="77"/>
      <c r="AB3824" s="77"/>
      <c r="AC3824" s="82" t="s">
        <v>7787</v>
      </c>
      <c r="AD3824" s="77" t="s">
        <v>7788</v>
      </c>
      <c r="AE3824" s="80" t="str">
        <f>HYPERLINK("https://twitter.com/modalmais/status/1681285705996042240")</f>
        <v>https://twitter.com/modalmais/status/1681285705996042240</v>
      </c>
      <c r="AF3824" s="79">
        <v>45125.536145833335</v>
      </c>
      <c r="AG3824" s="85">
        <v>45125</v>
      </c>
      <c r="AH3824" s="82" t="s">
        <v>10233</v>
      </c>
      <c r="AI3824" s="77"/>
      <c r="AJ3824" s="77"/>
      <c r="AK3824" s="77"/>
      <c r="AL3824" s="77"/>
      <c r="AM3824" s="77"/>
      <c r="AN3824" s="77"/>
      <c r="AO3824" s="77"/>
      <c r="AP3824" s="77"/>
      <c r="AQ3824" s="77"/>
      <c r="AR3824" s="77"/>
      <c r="AS3824" s="77"/>
      <c r="AT3824" s="77"/>
      <c r="AU3824" s="77"/>
      <c r="AV3824" s="80" t="str">
        <f>HYPERLINK("https://pbs.twimg.com/profile_images/1067039778795937797/PnnLGTU4_normal.jpg")</f>
        <v>https://pbs.twimg.com/profile_images/1067039778795937797/PnnLGTU4_normal.jpg</v>
      </c>
      <c r="AW3824" s="82" t="s">
        <v>15395</v>
      </c>
      <c r="AX3824" s="82" t="s">
        <v>15395</v>
      </c>
      <c r="AY3824" s="77"/>
      <c r="AZ3824" s="82" t="s">
        <v>15984</v>
      </c>
      <c r="BA3824" s="82" t="s">
        <v>15984</v>
      </c>
      <c r="BB3824" s="82" t="s">
        <v>15984</v>
      </c>
      <c r="BC3824" s="82" t="s">
        <v>15395</v>
      </c>
      <c r="BD3824" s="77">
        <v>2578778256</v>
      </c>
      <c r="BE3824" s="77"/>
      <c r="BF3824" s="77"/>
      <c r="BG3824" s="77"/>
      <c r="BH3824" s="77"/>
      <c r="BI3824" s="77"/>
    </row>
    <row r="3825" spans="1:61" x14ac:dyDescent="0.25">
      <c r="A3825" s="62" t="s">
        <v>735</v>
      </c>
      <c r="B3825" s="62" t="s">
        <v>735</v>
      </c>
      <c r="C3825" s="63"/>
      <c r="D3825" s="64"/>
      <c r="E3825" s="65"/>
      <c r="F3825" s="66"/>
      <c r="G3825" s="63"/>
      <c r="H3825" s="67"/>
      <c r="I3825" s="68"/>
      <c r="J3825" s="68"/>
      <c r="K3825" s="32"/>
      <c r="L3825" s="75">
        <v>3825</v>
      </c>
      <c r="M3825" s="75"/>
      <c r="N3825" s="70"/>
      <c r="O3825" s="77" t="s">
        <v>179</v>
      </c>
      <c r="P3825" s="79">
        <v>45125.532349537039</v>
      </c>
      <c r="Q3825" s="77" t="s">
        <v>4467</v>
      </c>
      <c r="R3825" s="77">
        <v>0</v>
      </c>
      <c r="S3825" s="77">
        <v>1</v>
      </c>
      <c r="T3825" s="77">
        <v>0</v>
      </c>
      <c r="U3825" s="77">
        <v>0</v>
      </c>
      <c r="V3825" s="77">
        <v>297</v>
      </c>
      <c r="W3825" s="82" t="s">
        <v>6411</v>
      </c>
      <c r="X3825" s="80" t="str">
        <f>HYPERLINK("https://www.modalmais.com.br/morning-call/ipc-s-teve-alta-de-007-na-segunda-quadrissemana-de-julho")</f>
        <v>https://www.modalmais.com.br/morning-call/ipc-s-teve-alta-de-007-na-segunda-quadrissemana-de-julho</v>
      </c>
      <c r="Y3825" s="77" t="s">
        <v>6470</v>
      </c>
      <c r="Z3825" s="77"/>
      <c r="AA3825" s="77"/>
      <c r="AB3825" s="77"/>
      <c r="AC3825" s="82" t="s">
        <v>7787</v>
      </c>
      <c r="AD3825" s="77" t="s">
        <v>7788</v>
      </c>
      <c r="AE3825" s="80" t="str">
        <f>HYPERLINK("https://twitter.com/modalmais/status/1681284327634599936")</f>
        <v>https://twitter.com/modalmais/status/1681284327634599936</v>
      </c>
      <c r="AF3825" s="79">
        <v>45125.532349537039</v>
      </c>
      <c r="AG3825" s="85">
        <v>45125</v>
      </c>
      <c r="AH3825" s="82" t="s">
        <v>10234</v>
      </c>
      <c r="AI3825" s="77" t="b">
        <v>0</v>
      </c>
      <c r="AJ3825" s="77"/>
      <c r="AK3825" s="77"/>
      <c r="AL3825" s="77"/>
      <c r="AM3825" s="77"/>
      <c r="AN3825" s="77"/>
      <c r="AO3825" s="77"/>
      <c r="AP3825" s="77"/>
      <c r="AQ3825" s="77"/>
      <c r="AR3825" s="77"/>
      <c r="AS3825" s="77"/>
      <c r="AT3825" s="77"/>
      <c r="AU3825" s="77"/>
      <c r="AV3825" s="80" t="str">
        <f>HYPERLINK("https://pbs.twimg.com/profile_images/1067039778795937797/PnnLGTU4_normal.jpg")</f>
        <v>https://pbs.twimg.com/profile_images/1067039778795937797/PnnLGTU4_normal.jpg</v>
      </c>
      <c r="AW3825" s="82" t="s">
        <v>15396</v>
      </c>
      <c r="AX3825" s="82" t="s">
        <v>15396</v>
      </c>
      <c r="AY3825" s="77"/>
      <c r="AZ3825" s="82" t="s">
        <v>15984</v>
      </c>
      <c r="BA3825" s="82" t="s">
        <v>15984</v>
      </c>
      <c r="BB3825" s="82" t="s">
        <v>15984</v>
      </c>
      <c r="BC3825" s="82" t="s">
        <v>15396</v>
      </c>
      <c r="BD3825" s="77">
        <v>2578778256</v>
      </c>
      <c r="BE3825" s="77"/>
      <c r="BF3825" s="77"/>
      <c r="BG3825" s="77"/>
      <c r="BH3825" s="77"/>
      <c r="BI3825" s="77"/>
    </row>
    <row r="3826" spans="1:61" x14ac:dyDescent="0.25">
      <c r="A3826" s="62" t="s">
        <v>735</v>
      </c>
      <c r="B3826" s="62" t="s">
        <v>735</v>
      </c>
      <c r="C3826" s="63"/>
      <c r="D3826" s="64"/>
      <c r="E3826" s="65"/>
      <c r="F3826" s="66"/>
      <c r="G3826" s="63"/>
      <c r="H3826" s="67"/>
      <c r="I3826" s="68"/>
      <c r="J3826" s="68"/>
      <c r="K3826" s="32"/>
      <c r="L3826" s="75">
        <v>3826</v>
      </c>
      <c r="M3826" s="75"/>
      <c r="N3826" s="70"/>
      <c r="O3826" s="77" t="s">
        <v>179</v>
      </c>
      <c r="P3826" s="79">
        <v>45125.509791666664</v>
      </c>
      <c r="Q3826" s="77" t="s">
        <v>4468</v>
      </c>
      <c r="R3826" s="77">
        <v>0</v>
      </c>
      <c r="S3826" s="77">
        <v>0</v>
      </c>
      <c r="T3826" s="77">
        <v>0</v>
      </c>
      <c r="U3826" s="77">
        <v>0</v>
      </c>
      <c r="V3826" s="77">
        <v>287</v>
      </c>
      <c r="W3826" s="82" t="s">
        <v>6411</v>
      </c>
      <c r="X3826" s="77"/>
      <c r="Y3826" s="77"/>
      <c r="Z3826" s="77"/>
      <c r="AA3826" s="77"/>
      <c r="AB3826" s="77"/>
      <c r="AC3826" s="82" t="s">
        <v>7787</v>
      </c>
      <c r="AD3826" s="77" t="s">
        <v>7797</v>
      </c>
      <c r="AE3826" s="80" t="str">
        <f>HYPERLINK("https://twitter.com/modalmais/status/1681276153732923398")</f>
        <v>https://twitter.com/modalmais/status/1681276153732923398</v>
      </c>
      <c r="AF3826" s="79">
        <v>45125.509791666664</v>
      </c>
      <c r="AG3826" s="85">
        <v>45125</v>
      </c>
      <c r="AH3826" s="82" t="s">
        <v>10235</v>
      </c>
      <c r="AI3826" s="77"/>
      <c r="AJ3826" s="77"/>
      <c r="AK3826" s="77"/>
      <c r="AL3826" s="77"/>
      <c r="AM3826" s="77"/>
      <c r="AN3826" s="77"/>
      <c r="AO3826" s="77"/>
      <c r="AP3826" s="77"/>
      <c r="AQ3826" s="77"/>
      <c r="AR3826" s="77"/>
      <c r="AS3826" s="77"/>
      <c r="AT3826" s="77"/>
      <c r="AU3826" s="77"/>
      <c r="AV3826" s="80" t="str">
        <f>HYPERLINK("https://pbs.twimg.com/profile_images/1067039778795937797/PnnLGTU4_normal.jpg")</f>
        <v>https://pbs.twimg.com/profile_images/1067039778795937797/PnnLGTU4_normal.jpg</v>
      </c>
      <c r="AW3826" s="82" t="s">
        <v>15397</v>
      </c>
      <c r="AX3826" s="82" t="s">
        <v>15397</v>
      </c>
      <c r="AY3826" s="77"/>
      <c r="AZ3826" s="82" t="s">
        <v>15984</v>
      </c>
      <c r="BA3826" s="82" t="s">
        <v>15984</v>
      </c>
      <c r="BB3826" s="82" t="s">
        <v>15984</v>
      </c>
      <c r="BC3826" s="82" t="s">
        <v>15397</v>
      </c>
      <c r="BD3826" s="77">
        <v>2578778256</v>
      </c>
      <c r="BE3826" s="77"/>
      <c r="BF3826" s="77"/>
      <c r="BG3826" s="77"/>
      <c r="BH3826" s="77"/>
      <c r="BI3826" s="77"/>
    </row>
    <row r="3827" spans="1:61" x14ac:dyDescent="0.25">
      <c r="A3827" s="62" t="s">
        <v>735</v>
      </c>
      <c r="B3827" s="62" t="s">
        <v>735</v>
      </c>
      <c r="C3827" s="63"/>
      <c r="D3827" s="64"/>
      <c r="E3827" s="65"/>
      <c r="F3827" s="66"/>
      <c r="G3827" s="63"/>
      <c r="H3827" s="67"/>
      <c r="I3827" s="68"/>
      <c r="J3827" s="68"/>
      <c r="K3827" s="32"/>
      <c r="L3827" s="75">
        <v>3827</v>
      </c>
      <c r="M3827" s="75"/>
      <c r="N3827" s="70"/>
      <c r="O3827" s="77" t="s">
        <v>179</v>
      </c>
      <c r="P3827" s="79">
        <v>45125.508668981478</v>
      </c>
      <c r="Q3827" s="77" t="s">
        <v>4469</v>
      </c>
      <c r="R3827" s="77">
        <v>0</v>
      </c>
      <c r="S3827" s="77">
        <v>0</v>
      </c>
      <c r="T3827" s="77">
        <v>0</v>
      </c>
      <c r="U3827" s="77">
        <v>0</v>
      </c>
      <c r="V3827" s="77">
        <v>256</v>
      </c>
      <c r="W3827" s="82" t="s">
        <v>6411</v>
      </c>
      <c r="X3827" s="77"/>
      <c r="Y3827" s="77"/>
      <c r="Z3827" s="77"/>
      <c r="AA3827" s="77"/>
      <c r="AB3827" s="77"/>
      <c r="AC3827" s="82" t="s">
        <v>7787</v>
      </c>
      <c r="AD3827" s="77" t="s">
        <v>7793</v>
      </c>
      <c r="AE3827" s="80" t="str">
        <f>HYPERLINK("https://twitter.com/modalmais/status/1681275748554792960")</f>
        <v>https://twitter.com/modalmais/status/1681275748554792960</v>
      </c>
      <c r="AF3827" s="79">
        <v>45125.508668981478</v>
      </c>
      <c r="AG3827" s="85">
        <v>45125</v>
      </c>
      <c r="AH3827" s="82" t="s">
        <v>10236</v>
      </c>
      <c r="AI3827" s="77"/>
      <c r="AJ3827" s="77"/>
      <c r="AK3827" s="77"/>
      <c r="AL3827" s="77"/>
      <c r="AM3827" s="77"/>
      <c r="AN3827" s="77"/>
      <c r="AO3827" s="77"/>
      <c r="AP3827" s="77"/>
      <c r="AQ3827" s="77"/>
      <c r="AR3827" s="77"/>
      <c r="AS3827" s="77"/>
      <c r="AT3827" s="77"/>
      <c r="AU3827" s="77"/>
      <c r="AV3827" s="80" t="str">
        <f>HYPERLINK("https://pbs.twimg.com/profile_images/1067039778795937797/PnnLGTU4_normal.jpg")</f>
        <v>https://pbs.twimg.com/profile_images/1067039778795937797/PnnLGTU4_normal.jpg</v>
      </c>
      <c r="AW3827" s="82" t="s">
        <v>15398</v>
      </c>
      <c r="AX3827" s="82" t="s">
        <v>15398</v>
      </c>
      <c r="AY3827" s="77"/>
      <c r="AZ3827" s="82" t="s">
        <v>15984</v>
      </c>
      <c r="BA3827" s="82" t="s">
        <v>15984</v>
      </c>
      <c r="BB3827" s="82" t="s">
        <v>15984</v>
      </c>
      <c r="BC3827" s="82" t="s">
        <v>15398</v>
      </c>
      <c r="BD3827" s="77">
        <v>2578778256</v>
      </c>
      <c r="BE3827" s="77"/>
      <c r="BF3827" s="77"/>
      <c r="BG3827" s="77"/>
      <c r="BH3827" s="77"/>
      <c r="BI3827" s="77"/>
    </row>
    <row r="3828" spans="1:61" x14ac:dyDescent="0.25">
      <c r="A3828" s="62" t="s">
        <v>735</v>
      </c>
      <c r="B3828" s="62" t="s">
        <v>735</v>
      </c>
      <c r="C3828" s="63"/>
      <c r="D3828" s="64"/>
      <c r="E3828" s="65"/>
      <c r="F3828" s="66"/>
      <c r="G3828" s="63"/>
      <c r="H3828" s="67"/>
      <c r="I3828" s="68"/>
      <c r="J3828" s="68"/>
      <c r="K3828" s="32"/>
      <c r="L3828" s="75">
        <v>3828</v>
      </c>
      <c r="M3828" s="75"/>
      <c r="N3828" s="70"/>
      <c r="O3828" s="77" t="s">
        <v>179</v>
      </c>
      <c r="P3828" s="79">
        <v>45125.48746527778</v>
      </c>
      <c r="Q3828" s="77" t="s">
        <v>4470</v>
      </c>
      <c r="R3828" s="77">
        <v>0</v>
      </c>
      <c r="S3828" s="77">
        <v>1</v>
      </c>
      <c r="T3828" s="77">
        <v>0</v>
      </c>
      <c r="U3828" s="77">
        <v>0</v>
      </c>
      <c r="V3828" s="77">
        <v>298</v>
      </c>
      <c r="W3828" s="82" t="s">
        <v>6411</v>
      </c>
      <c r="X3828" s="80" t="str">
        <f>HYPERLINK("https://www.youtube.com/watch?v=EzP3DkCqbAk")</f>
        <v>https://www.youtube.com/watch?v=EzP3DkCqbAk</v>
      </c>
      <c r="Y3828" s="77" t="s">
        <v>6480</v>
      </c>
      <c r="Z3828" s="77"/>
      <c r="AA3828" s="77"/>
      <c r="AB3828" s="77"/>
      <c r="AC3828" s="82" t="s">
        <v>7787</v>
      </c>
      <c r="AD3828" s="77" t="s">
        <v>7788</v>
      </c>
      <c r="AE3828" s="80" t="str">
        <f>HYPERLINK("https://twitter.com/modalmais/status/1681268063126134784")</f>
        <v>https://twitter.com/modalmais/status/1681268063126134784</v>
      </c>
      <c r="AF3828" s="79">
        <v>45125.48746527778</v>
      </c>
      <c r="AG3828" s="85">
        <v>45125</v>
      </c>
      <c r="AH3828" s="82" t="s">
        <v>10237</v>
      </c>
      <c r="AI3828" s="77" t="b">
        <v>0</v>
      </c>
      <c r="AJ3828" s="77"/>
      <c r="AK3828" s="77"/>
      <c r="AL3828" s="77"/>
      <c r="AM3828" s="77"/>
      <c r="AN3828" s="77"/>
      <c r="AO3828" s="77"/>
      <c r="AP3828" s="77"/>
      <c r="AQ3828" s="77"/>
      <c r="AR3828" s="77"/>
      <c r="AS3828" s="77"/>
      <c r="AT3828" s="77"/>
      <c r="AU3828" s="77"/>
      <c r="AV3828" s="80" t="str">
        <f>HYPERLINK("https://pbs.twimg.com/profile_images/1067039778795937797/PnnLGTU4_normal.jpg")</f>
        <v>https://pbs.twimg.com/profile_images/1067039778795937797/PnnLGTU4_normal.jpg</v>
      </c>
      <c r="AW3828" s="82" t="s">
        <v>15399</v>
      </c>
      <c r="AX3828" s="82" t="s">
        <v>15399</v>
      </c>
      <c r="AY3828" s="77"/>
      <c r="AZ3828" s="82" t="s">
        <v>15984</v>
      </c>
      <c r="BA3828" s="82" t="s">
        <v>15984</v>
      </c>
      <c r="BB3828" s="82" t="s">
        <v>15984</v>
      </c>
      <c r="BC3828" s="82" t="s">
        <v>15399</v>
      </c>
      <c r="BD3828" s="77">
        <v>2578778256</v>
      </c>
      <c r="BE3828" s="77"/>
      <c r="BF3828" s="77"/>
      <c r="BG3828" s="77"/>
      <c r="BH3828" s="77"/>
      <c r="BI3828" s="77"/>
    </row>
    <row r="3829" spans="1:61" x14ac:dyDescent="0.25">
      <c r="A3829" s="62" t="s">
        <v>735</v>
      </c>
      <c r="B3829" s="62" t="s">
        <v>735</v>
      </c>
      <c r="C3829" s="63"/>
      <c r="D3829" s="64"/>
      <c r="E3829" s="65"/>
      <c r="F3829" s="66"/>
      <c r="G3829" s="63"/>
      <c r="H3829" s="67"/>
      <c r="I3829" s="68"/>
      <c r="J3829" s="68"/>
      <c r="K3829" s="32"/>
      <c r="L3829" s="75">
        <v>3829</v>
      </c>
      <c r="M3829" s="75"/>
      <c r="N3829" s="70"/>
      <c r="O3829" s="77" t="s">
        <v>179</v>
      </c>
      <c r="P3829" s="79">
        <v>45125.487118055556</v>
      </c>
      <c r="Q3829" s="77" t="s">
        <v>4471</v>
      </c>
      <c r="R3829" s="77">
        <v>0</v>
      </c>
      <c r="S3829" s="77">
        <v>1</v>
      </c>
      <c r="T3829" s="77">
        <v>0</v>
      </c>
      <c r="U3829" s="77">
        <v>0</v>
      </c>
      <c r="V3829" s="77">
        <v>292</v>
      </c>
      <c r="W3829" s="82" t="s">
        <v>6411</v>
      </c>
      <c r="X3829" s="80" t="str">
        <f>HYPERLINK("https://www.youtube.com/watch?v=t1Itr-MDOD8")</f>
        <v>https://www.youtube.com/watch?v=t1Itr-MDOD8</v>
      </c>
      <c r="Y3829" s="77" t="s">
        <v>6480</v>
      </c>
      <c r="Z3829" s="77"/>
      <c r="AA3829" s="77"/>
      <c r="AB3829" s="77"/>
      <c r="AC3829" s="82" t="s">
        <v>7787</v>
      </c>
      <c r="AD3829" s="77" t="s">
        <v>7788</v>
      </c>
      <c r="AE3829" s="80" t="str">
        <f>HYPERLINK("https://twitter.com/modalmais/status/1681267937036869632")</f>
        <v>https://twitter.com/modalmais/status/1681267937036869632</v>
      </c>
      <c r="AF3829" s="79">
        <v>45125.487118055556</v>
      </c>
      <c r="AG3829" s="85">
        <v>45125</v>
      </c>
      <c r="AH3829" s="82" t="s">
        <v>10238</v>
      </c>
      <c r="AI3829" s="77" t="b">
        <v>0</v>
      </c>
      <c r="AJ3829" s="77"/>
      <c r="AK3829" s="77"/>
      <c r="AL3829" s="77"/>
      <c r="AM3829" s="77"/>
      <c r="AN3829" s="77"/>
      <c r="AO3829" s="77"/>
      <c r="AP3829" s="77"/>
      <c r="AQ3829" s="77"/>
      <c r="AR3829" s="77"/>
      <c r="AS3829" s="77"/>
      <c r="AT3829" s="77"/>
      <c r="AU3829" s="77"/>
      <c r="AV3829" s="80" t="str">
        <f>HYPERLINK("https://pbs.twimg.com/profile_images/1067039778795937797/PnnLGTU4_normal.jpg")</f>
        <v>https://pbs.twimg.com/profile_images/1067039778795937797/PnnLGTU4_normal.jpg</v>
      </c>
      <c r="AW3829" s="82" t="s">
        <v>15400</v>
      </c>
      <c r="AX3829" s="82" t="s">
        <v>15400</v>
      </c>
      <c r="AY3829" s="77"/>
      <c r="AZ3829" s="82" t="s">
        <v>15984</v>
      </c>
      <c r="BA3829" s="82" t="s">
        <v>15984</v>
      </c>
      <c r="BB3829" s="82" t="s">
        <v>15984</v>
      </c>
      <c r="BC3829" s="82" t="s">
        <v>15400</v>
      </c>
      <c r="BD3829" s="77">
        <v>2578778256</v>
      </c>
      <c r="BE3829" s="77"/>
      <c r="BF3829" s="77"/>
      <c r="BG3829" s="77"/>
      <c r="BH3829" s="77"/>
      <c r="BI3829" s="77"/>
    </row>
    <row r="3830" spans="1:61" x14ac:dyDescent="0.25">
      <c r="A3830" s="62" t="s">
        <v>735</v>
      </c>
      <c r="B3830" s="62" t="s">
        <v>735</v>
      </c>
      <c r="C3830" s="63"/>
      <c r="D3830" s="64"/>
      <c r="E3830" s="65"/>
      <c r="F3830" s="66"/>
      <c r="G3830" s="63"/>
      <c r="H3830" s="67"/>
      <c r="I3830" s="68"/>
      <c r="J3830" s="68"/>
      <c r="K3830" s="32"/>
      <c r="L3830" s="75">
        <v>3830</v>
      </c>
      <c r="M3830" s="75"/>
      <c r="N3830" s="70"/>
      <c r="O3830" s="77" t="s">
        <v>179</v>
      </c>
      <c r="P3830" s="79">
        <v>45148.616550925923</v>
      </c>
      <c r="Q3830" s="77" t="s">
        <v>4472</v>
      </c>
      <c r="R3830" s="77">
        <v>0</v>
      </c>
      <c r="S3830" s="77">
        <v>2</v>
      </c>
      <c r="T3830" s="77">
        <v>0</v>
      </c>
      <c r="U3830" s="77">
        <v>0</v>
      </c>
      <c r="V3830" s="77">
        <v>313</v>
      </c>
      <c r="W3830" s="82" t="s">
        <v>6411</v>
      </c>
      <c r="X3830" s="77"/>
      <c r="Y3830" s="77"/>
      <c r="Z3830" s="77"/>
      <c r="AA3830" s="77"/>
      <c r="AB3830" s="77"/>
      <c r="AC3830" s="82" t="s">
        <v>7787</v>
      </c>
      <c r="AD3830" s="77" t="s">
        <v>7788</v>
      </c>
      <c r="AE3830" s="80" t="str">
        <f>HYPERLINK("https://twitter.com/modalmais/status/1689649764370132992")</f>
        <v>https://twitter.com/modalmais/status/1689649764370132992</v>
      </c>
      <c r="AF3830" s="79">
        <v>45148.616550925923</v>
      </c>
      <c r="AG3830" s="85">
        <v>45148</v>
      </c>
      <c r="AH3830" s="82" t="s">
        <v>10239</v>
      </c>
      <c r="AI3830" s="77"/>
      <c r="AJ3830" s="77"/>
      <c r="AK3830" s="77"/>
      <c r="AL3830" s="77"/>
      <c r="AM3830" s="77"/>
      <c r="AN3830" s="77"/>
      <c r="AO3830" s="77"/>
      <c r="AP3830" s="77"/>
      <c r="AQ3830" s="77"/>
      <c r="AR3830" s="77"/>
      <c r="AS3830" s="77"/>
      <c r="AT3830" s="77"/>
      <c r="AU3830" s="77"/>
      <c r="AV3830" s="80" t="str">
        <f>HYPERLINK("https://pbs.twimg.com/profile_images/1067039778795937797/PnnLGTU4_normal.jpg")</f>
        <v>https://pbs.twimg.com/profile_images/1067039778795937797/PnnLGTU4_normal.jpg</v>
      </c>
      <c r="AW3830" s="82" t="s">
        <v>15401</v>
      </c>
      <c r="AX3830" s="82" t="s">
        <v>15401</v>
      </c>
      <c r="AY3830" s="77"/>
      <c r="AZ3830" s="82" t="s">
        <v>15984</v>
      </c>
      <c r="BA3830" s="82" t="s">
        <v>15984</v>
      </c>
      <c r="BB3830" s="82" t="s">
        <v>15984</v>
      </c>
      <c r="BC3830" s="82" t="s">
        <v>15401</v>
      </c>
      <c r="BD3830" s="77">
        <v>2578778256</v>
      </c>
      <c r="BE3830" s="77"/>
      <c r="BF3830" s="77"/>
      <c r="BG3830" s="77"/>
      <c r="BH3830" s="77"/>
      <c r="BI3830" s="77"/>
    </row>
    <row r="3831" spans="1:61" x14ac:dyDescent="0.25">
      <c r="A3831" s="62" t="s">
        <v>735</v>
      </c>
      <c r="B3831" s="62" t="s">
        <v>735</v>
      </c>
      <c r="C3831" s="63"/>
      <c r="D3831" s="64"/>
      <c r="E3831" s="65"/>
      <c r="F3831" s="66"/>
      <c r="G3831" s="63"/>
      <c r="H3831" s="67"/>
      <c r="I3831" s="68"/>
      <c r="J3831" s="68"/>
      <c r="K3831" s="32"/>
      <c r="L3831" s="75">
        <v>3831</v>
      </c>
      <c r="M3831" s="75"/>
      <c r="N3831" s="70"/>
      <c r="O3831" s="77" t="s">
        <v>179</v>
      </c>
      <c r="P3831" s="79">
        <v>45148.615266203706</v>
      </c>
      <c r="Q3831" s="77" t="s">
        <v>4473</v>
      </c>
      <c r="R3831" s="77">
        <v>0</v>
      </c>
      <c r="S3831" s="77">
        <v>1</v>
      </c>
      <c r="T3831" s="77">
        <v>0</v>
      </c>
      <c r="U3831" s="77">
        <v>0</v>
      </c>
      <c r="V3831" s="77">
        <v>238</v>
      </c>
      <c r="W3831" s="82" t="s">
        <v>6411</v>
      </c>
      <c r="X3831" s="77"/>
      <c r="Y3831" s="77"/>
      <c r="Z3831" s="77"/>
      <c r="AA3831" s="77"/>
      <c r="AB3831" s="77"/>
      <c r="AC3831" s="82" t="s">
        <v>7787</v>
      </c>
      <c r="AD3831" s="77" t="s">
        <v>7788</v>
      </c>
      <c r="AE3831" s="80" t="str">
        <f>HYPERLINK("https://twitter.com/modalmais/status/1689649298961756161")</f>
        <v>https://twitter.com/modalmais/status/1689649298961756161</v>
      </c>
      <c r="AF3831" s="79">
        <v>45148.615266203706</v>
      </c>
      <c r="AG3831" s="85">
        <v>45148</v>
      </c>
      <c r="AH3831" s="82" t="s">
        <v>10240</v>
      </c>
      <c r="AI3831" s="77"/>
      <c r="AJ3831" s="77"/>
      <c r="AK3831" s="77"/>
      <c r="AL3831" s="77"/>
      <c r="AM3831" s="77"/>
      <c r="AN3831" s="77"/>
      <c r="AO3831" s="77"/>
      <c r="AP3831" s="77"/>
      <c r="AQ3831" s="77"/>
      <c r="AR3831" s="77"/>
      <c r="AS3831" s="77"/>
      <c r="AT3831" s="77"/>
      <c r="AU3831" s="77"/>
      <c r="AV3831" s="80" t="str">
        <f>HYPERLINK("https://pbs.twimg.com/profile_images/1067039778795937797/PnnLGTU4_normal.jpg")</f>
        <v>https://pbs.twimg.com/profile_images/1067039778795937797/PnnLGTU4_normal.jpg</v>
      </c>
      <c r="AW3831" s="82" t="s">
        <v>15402</v>
      </c>
      <c r="AX3831" s="82" t="s">
        <v>15402</v>
      </c>
      <c r="AY3831" s="77"/>
      <c r="AZ3831" s="82" t="s">
        <v>15984</v>
      </c>
      <c r="BA3831" s="82" t="s">
        <v>15984</v>
      </c>
      <c r="BB3831" s="82" t="s">
        <v>15984</v>
      </c>
      <c r="BC3831" s="82" t="s">
        <v>15402</v>
      </c>
      <c r="BD3831" s="77">
        <v>2578778256</v>
      </c>
      <c r="BE3831" s="77"/>
      <c r="BF3831" s="77"/>
      <c r="BG3831" s="77"/>
      <c r="BH3831" s="77"/>
      <c r="BI3831" s="77"/>
    </row>
    <row r="3832" spans="1:61" x14ac:dyDescent="0.25">
      <c r="A3832" s="62" t="s">
        <v>735</v>
      </c>
      <c r="B3832" s="62" t="s">
        <v>735</v>
      </c>
      <c r="C3832" s="63"/>
      <c r="D3832" s="64"/>
      <c r="E3832" s="65"/>
      <c r="F3832" s="66"/>
      <c r="G3832" s="63"/>
      <c r="H3832" s="67"/>
      <c r="I3832" s="68"/>
      <c r="J3832" s="68"/>
      <c r="K3832" s="32"/>
      <c r="L3832" s="75">
        <v>3832</v>
      </c>
      <c r="M3832" s="75"/>
      <c r="N3832" s="70"/>
      <c r="O3832" s="77" t="s">
        <v>179</v>
      </c>
      <c r="P3832" s="79">
        <v>45148.525567129633</v>
      </c>
      <c r="Q3832" s="77" t="s">
        <v>4474</v>
      </c>
      <c r="R3832" s="77">
        <v>0</v>
      </c>
      <c r="S3832" s="77">
        <v>0</v>
      </c>
      <c r="T3832" s="77">
        <v>0</v>
      </c>
      <c r="U3832" s="77">
        <v>0</v>
      </c>
      <c r="V3832" s="77">
        <v>244</v>
      </c>
      <c r="W3832" s="82" t="s">
        <v>6411</v>
      </c>
      <c r="X3832" s="77"/>
      <c r="Y3832" s="77"/>
      <c r="Z3832" s="77"/>
      <c r="AA3832" s="77"/>
      <c r="AB3832" s="77"/>
      <c r="AC3832" s="82" t="s">
        <v>7787</v>
      </c>
      <c r="AD3832" s="77" t="s">
        <v>7788</v>
      </c>
      <c r="AE3832" s="80" t="str">
        <f>HYPERLINK("https://twitter.com/modalmais/status/1689616793751416832")</f>
        <v>https://twitter.com/modalmais/status/1689616793751416832</v>
      </c>
      <c r="AF3832" s="79">
        <v>45148.525567129633</v>
      </c>
      <c r="AG3832" s="85">
        <v>45148</v>
      </c>
      <c r="AH3832" s="82" t="s">
        <v>10241</v>
      </c>
      <c r="AI3832" s="77"/>
      <c r="AJ3832" s="77"/>
      <c r="AK3832" s="77"/>
      <c r="AL3832" s="77"/>
      <c r="AM3832" s="77"/>
      <c r="AN3832" s="77"/>
      <c r="AO3832" s="77"/>
      <c r="AP3832" s="77"/>
      <c r="AQ3832" s="77"/>
      <c r="AR3832" s="77"/>
      <c r="AS3832" s="77"/>
      <c r="AT3832" s="77"/>
      <c r="AU3832" s="77"/>
      <c r="AV3832" s="80" t="str">
        <f>HYPERLINK("https://pbs.twimg.com/profile_images/1067039778795937797/PnnLGTU4_normal.jpg")</f>
        <v>https://pbs.twimg.com/profile_images/1067039778795937797/PnnLGTU4_normal.jpg</v>
      </c>
      <c r="AW3832" s="82" t="s">
        <v>15403</v>
      </c>
      <c r="AX3832" s="82" t="s">
        <v>15403</v>
      </c>
      <c r="AY3832" s="77"/>
      <c r="AZ3832" s="82" t="s">
        <v>15984</v>
      </c>
      <c r="BA3832" s="82" t="s">
        <v>15984</v>
      </c>
      <c r="BB3832" s="82" t="s">
        <v>15984</v>
      </c>
      <c r="BC3832" s="82" t="s">
        <v>15403</v>
      </c>
      <c r="BD3832" s="77">
        <v>2578778256</v>
      </c>
      <c r="BE3832" s="77"/>
      <c r="BF3832" s="77"/>
      <c r="BG3832" s="77"/>
      <c r="BH3832" s="77"/>
      <c r="BI3832" s="77"/>
    </row>
    <row r="3833" spans="1:61" x14ac:dyDescent="0.25">
      <c r="A3833" s="62" t="s">
        <v>735</v>
      </c>
      <c r="B3833" s="62" t="s">
        <v>735</v>
      </c>
      <c r="C3833" s="63"/>
      <c r="D3833" s="64"/>
      <c r="E3833" s="65"/>
      <c r="F3833" s="66"/>
      <c r="G3833" s="63"/>
      <c r="H3833" s="67"/>
      <c r="I3833" s="68"/>
      <c r="J3833" s="68"/>
      <c r="K3833" s="32"/>
      <c r="L3833" s="75">
        <v>3833</v>
      </c>
      <c r="M3833" s="75"/>
      <c r="N3833" s="70"/>
      <c r="O3833" s="77" t="s">
        <v>179</v>
      </c>
      <c r="P3833" s="79">
        <v>45148.525196759256</v>
      </c>
      <c r="Q3833" s="77" t="s">
        <v>4475</v>
      </c>
      <c r="R3833" s="77">
        <v>0</v>
      </c>
      <c r="S3833" s="77">
        <v>1</v>
      </c>
      <c r="T3833" s="77">
        <v>0</v>
      </c>
      <c r="U3833" s="77">
        <v>0</v>
      </c>
      <c r="V3833" s="77">
        <v>253</v>
      </c>
      <c r="W3833" s="82" t="s">
        <v>6411</v>
      </c>
      <c r="X3833" s="77"/>
      <c r="Y3833" s="77"/>
      <c r="Z3833" s="77"/>
      <c r="AA3833" s="77"/>
      <c r="AB3833" s="77"/>
      <c r="AC3833" s="82" t="s">
        <v>7787</v>
      </c>
      <c r="AD3833" s="77" t="s">
        <v>7797</v>
      </c>
      <c r="AE3833" s="80" t="str">
        <f>HYPERLINK("https://twitter.com/modalmais/status/1689616657080045568")</f>
        <v>https://twitter.com/modalmais/status/1689616657080045568</v>
      </c>
      <c r="AF3833" s="79">
        <v>45148.525196759256</v>
      </c>
      <c r="AG3833" s="85">
        <v>45148</v>
      </c>
      <c r="AH3833" s="82" t="s">
        <v>10242</v>
      </c>
      <c r="AI3833" s="77"/>
      <c r="AJ3833" s="77"/>
      <c r="AK3833" s="77"/>
      <c r="AL3833" s="77"/>
      <c r="AM3833" s="77"/>
      <c r="AN3833" s="77"/>
      <c r="AO3833" s="77"/>
      <c r="AP3833" s="77"/>
      <c r="AQ3833" s="77"/>
      <c r="AR3833" s="77"/>
      <c r="AS3833" s="77"/>
      <c r="AT3833" s="77"/>
      <c r="AU3833" s="77"/>
      <c r="AV3833" s="80" t="str">
        <f>HYPERLINK("https://pbs.twimg.com/profile_images/1067039778795937797/PnnLGTU4_normal.jpg")</f>
        <v>https://pbs.twimg.com/profile_images/1067039778795937797/PnnLGTU4_normal.jpg</v>
      </c>
      <c r="AW3833" s="82" t="s">
        <v>15404</v>
      </c>
      <c r="AX3833" s="82" t="s">
        <v>15404</v>
      </c>
      <c r="AY3833" s="77"/>
      <c r="AZ3833" s="82" t="s">
        <v>15984</v>
      </c>
      <c r="BA3833" s="82" t="s">
        <v>15984</v>
      </c>
      <c r="BB3833" s="82" t="s">
        <v>15984</v>
      </c>
      <c r="BC3833" s="82" t="s">
        <v>15404</v>
      </c>
      <c r="BD3833" s="77">
        <v>2578778256</v>
      </c>
      <c r="BE3833" s="77"/>
      <c r="BF3833" s="77"/>
      <c r="BG3833" s="77"/>
      <c r="BH3833" s="77"/>
      <c r="BI3833" s="77"/>
    </row>
    <row r="3834" spans="1:61" x14ac:dyDescent="0.25">
      <c r="A3834" s="62" t="s">
        <v>735</v>
      </c>
      <c r="B3834" s="62" t="s">
        <v>735</v>
      </c>
      <c r="C3834" s="63"/>
      <c r="D3834" s="64"/>
      <c r="E3834" s="65"/>
      <c r="F3834" s="66"/>
      <c r="G3834" s="63"/>
      <c r="H3834" s="67"/>
      <c r="I3834" s="68"/>
      <c r="J3834" s="68"/>
      <c r="K3834" s="32"/>
      <c r="L3834" s="75">
        <v>3834</v>
      </c>
      <c r="M3834" s="75"/>
      <c r="N3834" s="70"/>
      <c r="O3834" s="77" t="s">
        <v>179</v>
      </c>
      <c r="P3834" s="79">
        <v>45148.524710648147</v>
      </c>
      <c r="Q3834" s="77" t="s">
        <v>4476</v>
      </c>
      <c r="R3834" s="77">
        <v>0</v>
      </c>
      <c r="S3834" s="77">
        <v>1</v>
      </c>
      <c r="T3834" s="77">
        <v>0</v>
      </c>
      <c r="U3834" s="77">
        <v>0</v>
      </c>
      <c r="V3834" s="77">
        <v>240</v>
      </c>
      <c r="W3834" s="82" t="s">
        <v>6411</v>
      </c>
      <c r="X3834" s="77"/>
      <c r="Y3834" s="77"/>
      <c r="Z3834" s="77"/>
      <c r="AA3834" s="77"/>
      <c r="AB3834" s="77"/>
      <c r="AC3834" s="82" t="s">
        <v>7787</v>
      </c>
      <c r="AD3834" s="77" t="s">
        <v>7793</v>
      </c>
      <c r="AE3834" s="80" t="str">
        <f>HYPERLINK("https://twitter.com/modalmais/status/1689616480806064128")</f>
        <v>https://twitter.com/modalmais/status/1689616480806064128</v>
      </c>
      <c r="AF3834" s="79">
        <v>45148.524710648147</v>
      </c>
      <c r="AG3834" s="85">
        <v>45148</v>
      </c>
      <c r="AH3834" s="82" t="s">
        <v>10243</v>
      </c>
      <c r="AI3834" s="77"/>
      <c r="AJ3834" s="77"/>
      <c r="AK3834" s="77"/>
      <c r="AL3834" s="77"/>
      <c r="AM3834" s="77"/>
      <c r="AN3834" s="77"/>
      <c r="AO3834" s="77"/>
      <c r="AP3834" s="77"/>
      <c r="AQ3834" s="77"/>
      <c r="AR3834" s="77"/>
      <c r="AS3834" s="77"/>
      <c r="AT3834" s="77"/>
      <c r="AU3834" s="77"/>
      <c r="AV3834" s="80" t="str">
        <f>HYPERLINK("https://pbs.twimg.com/profile_images/1067039778795937797/PnnLGTU4_normal.jpg")</f>
        <v>https://pbs.twimg.com/profile_images/1067039778795937797/PnnLGTU4_normal.jpg</v>
      </c>
      <c r="AW3834" s="82" t="s">
        <v>15405</v>
      </c>
      <c r="AX3834" s="82" t="s">
        <v>15405</v>
      </c>
      <c r="AY3834" s="77"/>
      <c r="AZ3834" s="82" t="s">
        <v>15984</v>
      </c>
      <c r="BA3834" s="82" t="s">
        <v>15984</v>
      </c>
      <c r="BB3834" s="82" t="s">
        <v>15984</v>
      </c>
      <c r="BC3834" s="82" t="s">
        <v>15405</v>
      </c>
      <c r="BD3834" s="77">
        <v>2578778256</v>
      </c>
      <c r="BE3834" s="77"/>
      <c r="BF3834" s="77"/>
      <c r="BG3834" s="77"/>
      <c r="BH3834" s="77"/>
      <c r="BI3834" s="77"/>
    </row>
    <row r="3835" spans="1:61" x14ac:dyDescent="0.25">
      <c r="A3835" s="62" t="s">
        <v>735</v>
      </c>
      <c r="B3835" s="62" t="s">
        <v>735</v>
      </c>
      <c r="C3835" s="63"/>
      <c r="D3835" s="64"/>
      <c r="E3835" s="65"/>
      <c r="F3835" s="66"/>
      <c r="G3835" s="63"/>
      <c r="H3835" s="67"/>
      <c r="I3835" s="68"/>
      <c r="J3835" s="68"/>
      <c r="K3835" s="32"/>
      <c r="L3835" s="75">
        <v>3835</v>
      </c>
      <c r="M3835" s="75"/>
      <c r="N3835" s="70"/>
      <c r="O3835" s="77" t="s">
        <v>179</v>
      </c>
      <c r="P3835" s="79">
        <v>45148.503599537034</v>
      </c>
      <c r="Q3835" s="77" t="s">
        <v>4477</v>
      </c>
      <c r="R3835" s="77">
        <v>1</v>
      </c>
      <c r="S3835" s="77">
        <v>1</v>
      </c>
      <c r="T3835" s="77">
        <v>1</v>
      </c>
      <c r="U3835" s="77">
        <v>0</v>
      </c>
      <c r="V3835" s="77">
        <v>319</v>
      </c>
      <c r="W3835" s="82" t="s">
        <v>6411</v>
      </c>
      <c r="X3835" s="80" t="str">
        <f>HYPERLINK("https://www.youtube.com/watch?v=KBuKsnWiXR8")</f>
        <v>https://www.youtube.com/watch?v=KBuKsnWiXR8</v>
      </c>
      <c r="Y3835" s="77" t="s">
        <v>6480</v>
      </c>
      <c r="Z3835" s="77"/>
      <c r="AA3835" s="77"/>
      <c r="AB3835" s="77"/>
      <c r="AC3835" s="82" t="s">
        <v>7787</v>
      </c>
      <c r="AD3835" s="77" t="s">
        <v>7788</v>
      </c>
      <c r="AE3835" s="80" t="str">
        <f>HYPERLINK("https://twitter.com/modalmais/status/1689608830387130369")</f>
        <v>https://twitter.com/modalmais/status/1689608830387130369</v>
      </c>
      <c r="AF3835" s="79">
        <v>45148.503599537034</v>
      </c>
      <c r="AG3835" s="85">
        <v>45148</v>
      </c>
      <c r="AH3835" s="82" t="s">
        <v>10244</v>
      </c>
      <c r="AI3835" s="77" t="b">
        <v>0</v>
      </c>
      <c r="AJ3835" s="77"/>
      <c r="AK3835" s="77"/>
      <c r="AL3835" s="77"/>
      <c r="AM3835" s="77"/>
      <c r="AN3835" s="77"/>
      <c r="AO3835" s="77"/>
      <c r="AP3835" s="77"/>
      <c r="AQ3835" s="77"/>
      <c r="AR3835" s="77"/>
      <c r="AS3835" s="77"/>
      <c r="AT3835" s="77"/>
      <c r="AU3835" s="77"/>
      <c r="AV3835" s="80" t="str">
        <f>HYPERLINK("https://pbs.twimg.com/profile_images/1067039778795937797/PnnLGTU4_normal.jpg")</f>
        <v>https://pbs.twimg.com/profile_images/1067039778795937797/PnnLGTU4_normal.jpg</v>
      </c>
      <c r="AW3835" s="82" t="s">
        <v>15406</v>
      </c>
      <c r="AX3835" s="82" t="s">
        <v>15406</v>
      </c>
      <c r="AY3835" s="77"/>
      <c r="AZ3835" s="82" t="s">
        <v>15984</v>
      </c>
      <c r="BA3835" s="82" t="s">
        <v>15984</v>
      </c>
      <c r="BB3835" s="82" t="s">
        <v>15984</v>
      </c>
      <c r="BC3835" s="82" t="s">
        <v>15406</v>
      </c>
      <c r="BD3835" s="77">
        <v>2578778256</v>
      </c>
      <c r="BE3835" s="77"/>
      <c r="BF3835" s="77"/>
      <c r="BG3835" s="77"/>
      <c r="BH3835" s="77"/>
      <c r="BI3835" s="77"/>
    </row>
    <row r="3836" spans="1:61" x14ac:dyDescent="0.25">
      <c r="A3836" s="62" t="s">
        <v>735</v>
      </c>
      <c r="B3836" s="62" t="s">
        <v>735</v>
      </c>
      <c r="C3836" s="63"/>
      <c r="D3836" s="64"/>
      <c r="E3836" s="65"/>
      <c r="F3836" s="66"/>
      <c r="G3836" s="63"/>
      <c r="H3836" s="67"/>
      <c r="I3836" s="68"/>
      <c r="J3836" s="68"/>
      <c r="K3836" s="32"/>
      <c r="L3836" s="75">
        <v>3836</v>
      </c>
      <c r="M3836" s="75"/>
      <c r="N3836" s="70"/>
      <c r="O3836" s="77" t="s">
        <v>179</v>
      </c>
      <c r="P3836" s="79">
        <v>45148.493043981478</v>
      </c>
      <c r="Q3836" s="77" t="s">
        <v>4478</v>
      </c>
      <c r="R3836" s="77">
        <v>0</v>
      </c>
      <c r="S3836" s="77">
        <v>0</v>
      </c>
      <c r="T3836" s="77">
        <v>0</v>
      </c>
      <c r="U3836" s="77">
        <v>0</v>
      </c>
      <c r="V3836" s="77">
        <v>303</v>
      </c>
      <c r="W3836" s="82" t="s">
        <v>6411</v>
      </c>
      <c r="X3836" s="80" t="str">
        <f>HYPERLINK("https://www.youtube.com/watch?v=tFylCSApYEE")</f>
        <v>https://www.youtube.com/watch?v=tFylCSApYEE</v>
      </c>
      <c r="Y3836" s="77" t="s">
        <v>6480</v>
      </c>
      <c r="Z3836" s="77"/>
      <c r="AA3836" s="77"/>
      <c r="AB3836" s="77"/>
      <c r="AC3836" s="82" t="s">
        <v>7787</v>
      </c>
      <c r="AD3836" s="77" t="s">
        <v>7788</v>
      </c>
      <c r="AE3836" s="80" t="str">
        <f>HYPERLINK("https://twitter.com/modalmais/status/1689605006515703808")</f>
        <v>https://twitter.com/modalmais/status/1689605006515703808</v>
      </c>
      <c r="AF3836" s="79">
        <v>45148.493043981478</v>
      </c>
      <c r="AG3836" s="85">
        <v>45148</v>
      </c>
      <c r="AH3836" s="82" t="s">
        <v>10245</v>
      </c>
      <c r="AI3836" s="77" t="b">
        <v>0</v>
      </c>
      <c r="AJ3836" s="77"/>
      <c r="AK3836" s="77"/>
      <c r="AL3836" s="77"/>
      <c r="AM3836" s="77"/>
      <c r="AN3836" s="77"/>
      <c r="AO3836" s="77"/>
      <c r="AP3836" s="77"/>
      <c r="AQ3836" s="77"/>
      <c r="AR3836" s="77"/>
      <c r="AS3836" s="77"/>
      <c r="AT3836" s="77"/>
      <c r="AU3836" s="77"/>
      <c r="AV3836" s="80" t="str">
        <f>HYPERLINK("https://pbs.twimg.com/profile_images/1067039778795937797/PnnLGTU4_normal.jpg")</f>
        <v>https://pbs.twimg.com/profile_images/1067039778795937797/PnnLGTU4_normal.jpg</v>
      </c>
      <c r="AW3836" s="82" t="s">
        <v>15407</v>
      </c>
      <c r="AX3836" s="82" t="s">
        <v>15407</v>
      </c>
      <c r="AY3836" s="77"/>
      <c r="AZ3836" s="82" t="s">
        <v>15984</v>
      </c>
      <c r="BA3836" s="82" t="s">
        <v>15984</v>
      </c>
      <c r="BB3836" s="82" t="s">
        <v>15984</v>
      </c>
      <c r="BC3836" s="82" t="s">
        <v>15407</v>
      </c>
      <c r="BD3836" s="77">
        <v>2578778256</v>
      </c>
      <c r="BE3836" s="77"/>
      <c r="BF3836" s="77"/>
      <c r="BG3836" s="77"/>
      <c r="BH3836" s="77"/>
      <c r="BI3836" s="77"/>
    </row>
    <row r="3837" spans="1:61" x14ac:dyDescent="0.25">
      <c r="A3837" s="62" t="s">
        <v>735</v>
      </c>
      <c r="B3837" s="62" t="s">
        <v>735</v>
      </c>
      <c r="C3837" s="63"/>
      <c r="D3837" s="64"/>
      <c r="E3837" s="65"/>
      <c r="F3837" s="66"/>
      <c r="G3837" s="63"/>
      <c r="H3837" s="67"/>
      <c r="I3837" s="68"/>
      <c r="J3837" s="68"/>
      <c r="K3837" s="32"/>
      <c r="L3837" s="75">
        <v>3837</v>
      </c>
      <c r="M3837" s="75"/>
      <c r="N3837" s="70"/>
      <c r="O3837" s="77" t="s">
        <v>179</v>
      </c>
      <c r="P3837" s="79">
        <v>45152.564409722225</v>
      </c>
      <c r="Q3837" s="77" t="s">
        <v>4479</v>
      </c>
      <c r="R3837" s="77">
        <v>0</v>
      </c>
      <c r="S3837" s="77">
        <v>0</v>
      </c>
      <c r="T3837" s="77">
        <v>0</v>
      </c>
      <c r="U3837" s="77">
        <v>0</v>
      </c>
      <c r="V3837" s="77">
        <v>252</v>
      </c>
      <c r="W3837" s="82" t="s">
        <v>6411</v>
      </c>
      <c r="X3837" s="80" t="str">
        <f>HYPERLINK("https://www.modalmais.com.br/morning-call/atencoes-se-voltam-para-as-articulacoes-em-torno-do-arcabouco-fiscal")</f>
        <v>https://www.modalmais.com.br/morning-call/atencoes-se-voltam-para-as-articulacoes-em-torno-do-arcabouco-fiscal</v>
      </c>
      <c r="Y3837" s="77" t="s">
        <v>6470</v>
      </c>
      <c r="Z3837" s="77"/>
      <c r="AA3837" s="77"/>
      <c r="AB3837" s="77"/>
      <c r="AC3837" s="82" t="s">
        <v>7787</v>
      </c>
      <c r="AD3837" s="77" t="s">
        <v>7788</v>
      </c>
      <c r="AE3837" s="80" t="str">
        <f>HYPERLINK("https://twitter.com/modalmais/status/1691080421067366400")</f>
        <v>https://twitter.com/modalmais/status/1691080421067366400</v>
      </c>
      <c r="AF3837" s="79">
        <v>45152.564409722225</v>
      </c>
      <c r="AG3837" s="85">
        <v>45152</v>
      </c>
      <c r="AH3837" s="82" t="s">
        <v>10246</v>
      </c>
      <c r="AI3837" s="77" t="b">
        <v>0</v>
      </c>
      <c r="AJ3837" s="77"/>
      <c r="AK3837" s="77"/>
      <c r="AL3837" s="77"/>
      <c r="AM3837" s="77"/>
      <c r="AN3837" s="77"/>
      <c r="AO3837" s="77"/>
      <c r="AP3837" s="77"/>
      <c r="AQ3837" s="77"/>
      <c r="AR3837" s="77"/>
      <c r="AS3837" s="77"/>
      <c r="AT3837" s="77"/>
      <c r="AU3837" s="77"/>
      <c r="AV3837" s="80" t="str">
        <f>HYPERLINK("https://pbs.twimg.com/profile_images/1067039778795937797/PnnLGTU4_normal.jpg")</f>
        <v>https://pbs.twimg.com/profile_images/1067039778795937797/PnnLGTU4_normal.jpg</v>
      </c>
      <c r="AW3837" s="82" t="s">
        <v>15408</v>
      </c>
      <c r="AX3837" s="82" t="s">
        <v>15408</v>
      </c>
      <c r="AY3837" s="77"/>
      <c r="AZ3837" s="82" t="s">
        <v>15984</v>
      </c>
      <c r="BA3837" s="82" t="s">
        <v>15984</v>
      </c>
      <c r="BB3837" s="82" t="s">
        <v>15984</v>
      </c>
      <c r="BC3837" s="82" t="s">
        <v>15408</v>
      </c>
      <c r="BD3837" s="77">
        <v>2578778256</v>
      </c>
      <c r="BE3837" s="77"/>
      <c r="BF3837" s="77"/>
      <c r="BG3837" s="77"/>
      <c r="BH3837" s="77"/>
      <c r="BI3837" s="77"/>
    </row>
    <row r="3838" spans="1:61" x14ac:dyDescent="0.25">
      <c r="A3838" s="62" t="s">
        <v>735</v>
      </c>
      <c r="B3838" s="62" t="s">
        <v>735</v>
      </c>
      <c r="C3838" s="63"/>
      <c r="D3838" s="64"/>
      <c r="E3838" s="65"/>
      <c r="F3838" s="66"/>
      <c r="G3838" s="63"/>
      <c r="H3838" s="67"/>
      <c r="I3838" s="68"/>
      <c r="J3838" s="68"/>
      <c r="K3838" s="32"/>
      <c r="L3838" s="75">
        <v>3838</v>
      </c>
      <c r="M3838" s="75"/>
      <c r="N3838" s="70"/>
      <c r="O3838" s="77" t="s">
        <v>179</v>
      </c>
      <c r="P3838" s="79">
        <v>45152.521168981482</v>
      </c>
      <c r="Q3838" s="77" t="s">
        <v>4480</v>
      </c>
      <c r="R3838" s="77">
        <v>0</v>
      </c>
      <c r="S3838" s="77">
        <v>3</v>
      </c>
      <c r="T3838" s="77">
        <v>1</v>
      </c>
      <c r="U3838" s="77">
        <v>0</v>
      </c>
      <c r="V3838" s="77">
        <v>355</v>
      </c>
      <c r="W3838" s="82" t="s">
        <v>6411</v>
      </c>
      <c r="X3838" s="77"/>
      <c r="Y3838" s="77"/>
      <c r="Z3838" s="77"/>
      <c r="AA3838" s="77"/>
      <c r="AB3838" s="77"/>
      <c r="AC3838" s="82" t="s">
        <v>7787</v>
      </c>
      <c r="AD3838" s="77" t="s">
        <v>7797</v>
      </c>
      <c r="AE3838" s="80" t="str">
        <f>HYPERLINK("https://twitter.com/modalmais/status/1691064749193084928")</f>
        <v>https://twitter.com/modalmais/status/1691064749193084928</v>
      </c>
      <c r="AF3838" s="79">
        <v>45152.521168981482</v>
      </c>
      <c r="AG3838" s="85">
        <v>45152</v>
      </c>
      <c r="AH3838" s="82" t="s">
        <v>10247</v>
      </c>
      <c r="AI3838" s="77"/>
      <c r="AJ3838" s="77"/>
      <c r="AK3838" s="77"/>
      <c r="AL3838" s="77"/>
      <c r="AM3838" s="77"/>
      <c r="AN3838" s="77"/>
      <c r="AO3838" s="77"/>
      <c r="AP3838" s="77"/>
      <c r="AQ3838" s="77"/>
      <c r="AR3838" s="77"/>
      <c r="AS3838" s="77"/>
      <c r="AT3838" s="77"/>
      <c r="AU3838" s="77"/>
      <c r="AV3838" s="80" t="str">
        <f>HYPERLINK("https://pbs.twimg.com/profile_images/1067039778795937797/PnnLGTU4_normal.jpg")</f>
        <v>https://pbs.twimg.com/profile_images/1067039778795937797/PnnLGTU4_normal.jpg</v>
      </c>
      <c r="AW3838" s="82" t="s">
        <v>15409</v>
      </c>
      <c r="AX3838" s="82" t="s">
        <v>15409</v>
      </c>
      <c r="AY3838" s="77"/>
      <c r="AZ3838" s="82" t="s">
        <v>15984</v>
      </c>
      <c r="BA3838" s="82" t="s">
        <v>15984</v>
      </c>
      <c r="BB3838" s="82" t="s">
        <v>15984</v>
      </c>
      <c r="BC3838" s="82" t="s">
        <v>15409</v>
      </c>
      <c r="BD3838" s="77">
        <v>2578778256</v>
      </c>
      <c r="BE3838" s="77"/>
      <c r="BF3838" s="77"/>
      <c r="BG3838" s="77"/>
      <c r="BH3838" s="77"/>
      <c r="BI3838" s="77"/>
    </row>
    <row r="3839" spans="1:61" x14ac:dyDescent="0.25">
      <c r="A3839" s="62" t="s">
        <v>735</v>
      </c>
      <c r="B3839" s="62" t="s">
        <v>735</v>
      </c>
      <c r="C3839" s="63"/>
      <c r="D3839" s="64"/>
      <c r="E3839" s="65"/>
      <c r="F3839" s="66"/>
      <c r="G3839" s="63"/>
      <c r="H3839" s="67"/>
      <c r="I3839" s="68"/>
      <c r="J3839" s="68"/>
      <c r="K3839" s="32"/>
      <c r="L3839" s="75">
        <v>3839</v>
      </c>
      <c r="M3839" s="75"/>
      <c r="N3839" s="70"/>
      <c r="O3839" s="77" t="s">
        <v>179</v>
      </c>
      <c r="P3839" s="79">
        <v>45152.520752314813</v>
      </c>
      <c r="Q3839" s="77" t="s">
        <v>4481</v>
      </c>
      <c r="R3839" s="77">
        <v>0</v>
      </c>
      <c r="S3839" s="77">
        <v>2</v>
      </c>
      <c r="T3839" s="77">
        <v>0</v>
      </c>
      <c r="U3839" s="77">
        <v>0</v>
      </c>
      <c r="V3839" s="77">
        <v>314</v>
      </c>
      <c r="W3839" s="82" t="s">
        <v>6411</v>
      </c>
      <c r="X3839" s="77"/>
      <c r="Y3839" s="77"/>
      <c r="Z3839" s="77"/>
      <c r="AA3839" s="77"/>
      <c r="AB3839" s="77"/>
      <c r="AC3839" s="82" t="s">
        <v>7787</v>
      </c>
      <c r="AD3839" s="77" t="s">
        <v>7793</v>
      </c>
      <c r="AE3839" s="80" t="str">
        <f>HYPERLINK("https://twitter.com/modalmais/status/1691064599746072576")</f>
        <v>https://twitter.com/modalmais/status/1691064599746072576</v>
      </c>
      <c r="AF3839" s="79">
        <v>45152.520752314813</v>
      </c>
      <c r="AG3839" s="85">
        <v>45152</v>
      </c>
      <c r="AH3839" s="82" t="s">
        <v>10248</v>
      </c>
      <c r="AI3839" s="77"/>
      <c r="AJ3839" s="77"/>
      <c r="AK3839" s="77"/>
      <c r="AL3839" s="77"/>
      <c r="AM3839" s="77"/>
      <c r="AN3839" s="77"/>
      <c r="AO3839" s="77"/>
      <c r="AP3839" s="77"/>
      <c r="AQ3839" s="77"/>
      <c r="AR3839" s="77"/>
      <c r="AS3839" s="77"/>
      <c r="AT3839" s="77"/>
      <c r="AU3839" s="77"/>
      <c r="AV3839" s="80" t="str">
        <f>HYPERLINK("https://pbs.twimg.com/profile_images/1067039778795937797/PnnLGTU4_normal.jpg")</f>
        <v>https://pbs.twimg.com/profile_images/1067039778795937797/PnnLGTU4_normal.jpg</v>
      </c>
      <c r="AW3839" s="82" t="s">
        <v>15410</v>
      </c>
      <c r="AX3839" s="82" t="s">
        <v>15410</v>
      </c>
      <c r="AY3839" s="77"/>
      <c r="AZ3839" s="82" t="s">
        <v>15984</v>
      </c>
      <c r="BA3839" s="82" t="s">
        <v>15984</v>
      </c>
      <c r="BB3839" s="82" t="s">
        <v>15984</v>
      </c>
      <c r="BC3839" s="82" t="s">
        <v>15410</v>
      </c>
      <c r="BD3839" s="77">
        <v>2578778256</v>
      </c>
      <c r="BE3839" s="77"/>
      <c r="BF3839" s="77"/>
      <c r="BG3839" s="77"/>
      <c r="BH3839" s="77"/>
      <c r="BI3839" s="77"/>
    </row>
    <row r="3840" spans="1:61" x14ac:dyDescent="0.25">
      <c r="A3840" s="62" t="s">
        <v>735</v>
      </c>
      <c r="B3840" s="62" t="s">
        <v>735</v>
      </c>
      <c r="C3840" s="63"/>
      <c r="D3840" s="64"/>
      <c r="E3840" s="65"/>
      <c r="F3840" s="66"/>
      <c r="G3840" s="63"/>
      <c r="H3840" s="67"/>
      <c r="I3840" s="68"/>
      <c r="J3840" s="68"/>
      <c r="K3840" s="32"/>
      <c r="L3840" s="75">
        <v>3840</v>
      </c>
      <c r="M3840" s="75"/>
      <c r="N3840" s="70"/>
      <c r="O3840" s="77" t="s">
        <v>179</v>
      </c>
      <c r="P3840" s="79">
        <v>45152.520416666666</v>
      </c>
      <c r="Q3840" s="77" t="s">
        <v>4482</v>
      </c>
      <c r="R3840" s="77">
        <v>1</v>
      </c>
      <c r="S3840" s="77">
        <v>2</v>
      </c>
      <c r="T3840" s="77">
        <v>0</v>
      </c>
      <c r="U3840" s="77">
        <v>0</v>
      </c>
      <c r="V3840" s="77">
        <v>320</v>
      </c>
      <c r="W3840" s="82" t="s">
        <v>6411</v>
      </c>
      <c r="X3840" s="80" t="str">
        <f>HYPERLINK("https://www.youtube.com/watch?v=tN3apAAQcmg")</f>
        <v>https://www.youtube.com/watch?v=tN3apAAQcmg</v>
      </c>
      <c r="Y3840" s="77" t="s">
        <v>6480</v>
      </c>
      <c r="Z3840" s="77"/>
      <c r="AA3840" s="77"/>
      <c r="AB3840" s="77"/>
      <c r="AC3840" s="82" t="s">
        <v>7787</v>
      </c>
      <c r="AD3840" s="77" t="s">
        <v>7788</v>
      </c>
      <c r="AE3840" s="80" t="str">
        <f>HYPERLINK("https://twitter.com/modalmais/status/1691064479138652160")</f>
        <v>https://twitter.com/modalmais/status/1691064479138652160</v>
      </c>
      <c r="AF3840" s="79">
        <v>45152.520416666666</v>
      </c>
      <c r="AG3840" s="85">
        <v>45152</v>
      </c>
      <c r="AH3840" s="82" t="s">
        <v>10249</v>
      </c>
      <c r="AI3840" s="77" t="b">
        <v>0</v>
      </c>
      <c r="AJ3840" s="77"/>
      <c r="AK3840" s="77"/>
      <c r="AL3840" s="77"/>
      <c r="AM3840" s="77"/>
      <c r="AN3840" s="77"/>
      <c r="AO3840" s="77"/>
      <c r="AP3840" s="77"/>
      <c r="AQ3840" s="77"/>
      <c r="AR3840" s="77"/>
      <c r="AS3840" s="77"/>
      <c r="AT3840" s="77"/>
      <c r="AU3840" s="77"/>
      <c r="AV3840" s="80" t="str">
        <f>HYPERLINK("https://pbs.twimg.com/profile_images/1067039778795937797/PnnLGTU4_normal.jpg")</f>
        <v>https://pbs.twimg.com/profile_images/1067039778795937797/PnnLGTU4_normal.jpg</v>
      </c>
      <c r="AW3840" s="82" t="s">
        <v>15411</v>
      </c>
      <c r="AX3840" s="82" t="s">
        <v>15411</v>
      </c>
      <c r="AY3840" s="77"/>
      <c r="AZ3840" s="82" t="s">
        <v>15984</v>
      </c>
      <c r="BA3840" s="82" t="s">
        <v>15984</v>
      </c>
      <c r="BB3840" s="82" t="s">
        <v>15984</v>
      </c>
      <c r="BC3840" s="82" t="s">
        <v>15411</v>
      </c>
      <c r="BD3840" s="77">
        <v>2578778256</v>
      </c>
      <c r="BE3840" s="77"/>
      <c r="BF3840" s="77"/>
      <c r="BG3840" s="77"/>
      <c r="BH3840" s="77"/>
      <c r="BI3840" s="77"/>
    </row>
    <row r="3841" spans="1:61" x14ac:dyDescent="0.25">
      <c r="A3841" s="62" t="s">
        <v>735</v>
      </c>
      <c r="B3841" s="62" t="s">
        <v>735</v>
      </c>
      <c r="C3841" s="63"/>
      <c r="D3841" s="64"/>
      <c r="E3841" s="65"/>
      <c r="F3841" s="66"/>
      <c r="G3841" s="63"/>
      <c r="H3841" s="67"/>
      <c r="I3841" s="68"/>
      <c r="J3841" s="68"/>
      <c r="K3841" s="32"/>
      <c r="L3841" s="75">
        <v>3841</v>
      </c>
      <c r="M3841" s="75"/>
      <c r="N3841" s="70"/>
      <c r="O3841" s="77" t="s">
        <v>179</v>
      </c>
      <c r="P3841" s="79">
        <v>45152.520196759258</v>
      </c>
      <c r="Q3841" s="77" t="s">
        <v>4483</v>
      </c>
      <c r="R3841" s="77">
        <v>0</v>
      </c>
      <c r="S3841" s="77">
        <v>1</v>
      </c>
      <c r="T3841" s="77">
        <v>0</v>
      </c>
      <c r="U3841" s="77">
        <v>0</v>
      </c>
      <c r="V3841" s="77">
        <v>310</v>
      </c>
      <c r="W3841" s="82" t="s">
        <v>6411</v>
      </c>
      <c r="X3841" s="80" t="str">
        <f>HYPERLINK("https://www.youtube.com/watch?v=pQa9TWhWZn8")</f>
        <v>https://www.youtube.com/watch?v=pQa9TWhWZn8</v>
      </c>
      <c r="Y3841" s="77" t="s">
        <v>6480</v>
      </c>
      <c r="Z3841" s="77"/>
      <c r="AA3841" s="77"/>
      <c r="AB3841" s="77"/>
      <c r="AC3841" s="82" t="s">
        <v>7787</v>
      </c>
      <c r="AD3841" s="77" t="s">
        <v>7788</v>
      </c>
      <c r="AE3841" s="80" t="str">
        <f>HYPERLINK("https://twitter.com/modalmais/status/1691064396641112066")</f>
        <v>https://twitter.com/modalmais/status/1691064396641112066</v>
      </c>
      <c r="AF3841" s="79">
        <v>45152.520196759258</v>
      </c>
      <c r="AG3841" s="85">
        <v>45152</v>
      </c>
      <c r="AH3841" s="82" t="s">
        <v>10250</v>
      </c>
      <c r="AI3841" s="77" t="b">
        <v>0</v>
      </c>
      <c r="AJ3841" s="77"/>
      <c r="AK3841" s="77"/>
      <c r="AL3841" s="77"/>
      <c r="AM3841" s="77"/>
      <c r="AN3841" s="77"/>
      <c r="AO3841" s="77"/>
      <c r="AP3841" s="77"/>
      <c r="AQ3841" s="77"/>
      <c r="AR3841" s="77"/>
      <c r="AS3841" s="77"/>
      <c r="AT3841" s="77"/>
      <c r="AU3841" s="77"/>
      <c r="AV3841" s="80" t="str">
        <f>HYPERLINK("https://pbs.twimg.com/profile_images/1067039778795937797/PnnLGTU4_normal.jpg")</f>
        <v>https://pbs.twimg.com/profile_images/1067039778795937797/PnnLGTU4_normal.jpg</v>
      </c>
      <c r="AW3841" s="82" t="s">
        <v>15412</v>
      </c>
      <c r="AX3841" s="82" t="s">
        <v>15412</v>
      </c>
      <c r="AY3841" s="77"/>
      <c r="AZ3841" s="82" t="s">
        <v>15984</v>
      </c>
      <c r="BA3841" s="82" t="s">
        <v>15984</v>
      </c>
      <c r="BB3841" s="82" t="s">
        <v>15984</v>
      </c>
      <c r="BC3841" s="82" t="s">
        <v>15412</v>
      </c>
      <c r="BD3841" s="77">
        <v>2578778256</v>
      </c>
      <c r="BE3841" s="77"/>
      <c r="BF3841" s="77"/>
      <c r="BG3841" s="77"/>
      <c r="BH3841" s="77"/>
      <c r="BI3841" s="77"/>
    </row>
    <row r="3842" spans="1:61" x14ac:dyDescent="0.25">
      <c r="A3842" s="62" t="s">
        <v>735</v>
      </c>
      <c r="B3842" s="62" t="s">
        <v>735</v>
      </c>
      <c r="C3842" s="63"/>
      <c r="D3842" s="64"/>
      <c r="E3842" s="65"/>
      <c r="F3842" s="66"/>
      <c r="G3842" s="63"/>
      <c r="H3842" s="67"/>
      <c r="I3842" s="68"/>
      <c r="J3842" s="68"/>
      <c r="K3842" s="32"/>
      <c r="L3842" s="75">
        <v>3842</v>
      </c>
      <c r="M3842" s="75"/>
      <c r="N3842" s="70"/>
      <c r="O3842" s="77" t="s">
        <v>179</v>
      </c>
      <c r="P3842" s="79">
        <v>45138.816423611112</v>
      </c>
      <c r="Q3842" s="77" t="s">
        <v>4484</v>
      </c>
      <c r="R3842" s="77">
        <v>0</v>
      </c>
      <c r="S3842" s="77">
        <v>0</v>
      </c>
      <c r="T3842" s="77">
        <v>0</v>
      </c>
      <c r="U3842" s="77">
        <v>0</v>
      </c>
      <c r="V3842" s="77">
        <v>327</v>
      </c>
      <c r="W3842" s="82" t="s">
        <v>6411</v>
      </c>
      <c r="X3842" s="77"/>
      <c r="Y3842" s="77"/>
      <c r="Z3842" s="77"/>
      <c r="AA3842" s="77"/>
      <c r="AB3842" s="77"/>
      <c r="AC3842" s="82" t="s">
        <v>7787</v>
      </c>
      <c r="AD3842" s="77" t="s">
        <v>7788</v>
      </c>
      <c r="AE3842" s="80" t="str">
        <f>HYPERLINK("https://twitter.com/modalmais/status/1686098315874566144")</f>
        <v>https://twitter.com/modalmais/status/1686098315874566144</v>
      </c>
      <c r="AF3842" s="79">
        <v>45138.816423611112</v>
      </c>
      <c r="AG3842" s="85">
        <v>45138</v>
      </c>
      <c r="AH3842" s="82" t="s">
        <v>10251</v>
      </c>
      <c r="AI3842" s="77"/>
      <c r="AJ3842" s="77"/>
      <c r="AK3842" s="77"/>
      <c r="AL3842" s="77"/>
      <c r="AM3842" s="77"/>
      <c r="AN3842" s="77"/>
      <c r="AO3842" s="77"/>
      <c r="AP3842" s="77"/>
      <c r="AQ3842" s="77"/>
      <c r="AR3842" s="77"/>
      <c r="AS3842" s="77"/>
      <c r="AT3842" s="77"/>
      <c r="AU3842" s="77"/>
      <c r="AV3842" s="80" t="str">
        <f>HYPERLINK("https://pbs.twimg.com/profile_images/1067039778795937797/PnnLGTU4_normal.jpg")</f>
        <v>https://pbs.twimg.com/profile_images/1067039778795937797/PnnLGTU4_normal.jpg</v>
      </c>
      <c r="AW3842" s="82" t="s">
        <v>15413</v>
      </c>
      <c r="AX3842" s="82" t="s">
        <v>15413</v>
      </c>
      <c r="AY3842" s="77"/>
      <c r="AZ3842" s="82" t="s">
        <v>15984</v>
      </c>
      <c r="BA3842" s="82" t="s">
        <v>15984</v>
      </c>
      <c r="BB3842" s="82" t="s">
        <v>15984</v>
      </c>
      <c r="BC3842" s="82" t="s">
        <v>15413</v>
      </c>
      <c r="BD3842" s="77">
        <v>2578778256</v>
      </c>
      <c r="BE3842" s="77"/>
      <c r="BF3842" s="77"/>
      <c r="BG3842" s="77"/>
      <c r="BH3842" s="77"/>
      <c r="BI3842" s="77"/>
    </row>
    <row r="3843" spans="1:61" x14ac:dyDescent="0.25">
      <c r="A3843" s="62" t="s">
        <v>735</v>
      </c>
      <c r="B3843" s="62" t="s">
        <v>735</v>
      </c>
      <c r="C3843" s="63"/>
      <c r="D3843" s="64"/>
      <c r="E3843" s="65"/>
      <c r="F3843" s="66"/>
      <c r="G3843" s="63"/>
      <c r="H3843" s="67"/>
      <c r="I3843" s="68"/>
      <c r="J3843" s="68"/>
      <c r="K3843" s="32"/>
      <c r="L3843" s="75">
        <v>3843</v>
      </c>
      <c r="M3843" s="75"/>
      <c r="N3843" s="70"/>
      <c r="O3843" s="77" t="s">
        <v>179</v>
      </c>
      <c r="P3843" s="79">
        <v>45119.825902777775</v>
      </c>
      <c r="Q3843" s="77" t="s">
        <v>4485</v>
      </c>
      <c r="R3843" s="77">
        <v>0</v>
      </c>
      <c r="S3843" s="77">
        <v>2</v>
      </c>
      <c r="T3843" s="77">
        <v>1</v>
      </c>
      <c r="U3843" s="77">
        <v>0</v>
      </c>
      <c r="V3843" s="77">
        <v>321</v>
      </c>
      <c r="W3843" s="82" t="s">
        <v>6411</v>
      </c>
      <c r="X3843" s="80" t="str">
        <f>HYPERLINK("https://link.sst.trade/comunidade_sst")</f>
        <v>https://link.sst.trade/comunidade_sst</v>
      </c>
      <c r="Y3843" s="77" t="s">
        <v>6563</v>
      </c>
      <c r="Z3843" s="77"/>
      <c r="AA3843" s="77" t="s">
        <v>7738</v>
      </c>
      <c r="AB3843" s="77" t="s">
        <v>7742</v>
      </c>
      <c r="AC3843" s="82" t="s">
        <v>7787</v>
      </c>
      <c r="AD3843" s="77" t="s">
        <v>7788</v>
      </c>
      <c r="AE3843" s="80" t="str">
        <f>HYPERLINK("https://twitter.com/modalmais/status/1679216383794507776")</f>
        <v>https://twitter.com/modalmais/status/1679216383794507776</v>
      </c>
      <c r="AF3843" s="79">
        <v>45119.825902777775</v>
      </c>
      <c r="AG3843" s="85">
        <v>45119</v>
      </c>
      <c r="AH3843" s="82" t="s">
        <v>10252</v>
      </c>
      <c r="AI3843" s="77" t="b">
        <v>0</v>
      </c>
      <c r="AJ3843" s="77"/>
      <c r="AK3843" s="77"/>
      <c r="AL3843" s="77"/>
      <c r="AM3843" s="77"/>
      <c r="AN3843" s="77"/>
      <c r="AO3843" s="77"/>
      <c r="AP3843" s="77"/>
      <c r="AQ3843" s="77" t="s">
        <v>11710</v>
      </c>
      <c r="AR3843" s="77"/>
      <c r="AS3843" s="77"/>
      <c r="AT3843" s="77"/>
      <c r="AU3843" s="77"/>
      <c r="AV3843" s="80" t="str">
        <f>HYPERLINK("https://pbs.twimg.com/media/F03GZp2XsAEKIT6.jpg")</f>
        <v>https://pbs.twimg.com/media/F03GZp2XsAEKIT6.jpg</v>
      </c>
      <c r="AW3843" s="82" t="s">
        <v>15414</v>
      </c>
      <c r="AX3843" s="82" t="s">
        <v>15414</v>
      </c>
      <c r="AY3843" s="77"/>
      <c r="AZ3843" s="82" t="s">
        <v>15984</v>
      </c>
      <c r="BA3843" s="82" t="s">
        <v>15984</v>
      </c>
      <c r="BB3843" s="82" t="s">
        <v>15984</v>
      </c>
      <c r="BC3843" s="82" t="s">
        <v>15414</v>
      </c>
      <c r="BD3843" s="77">
        <v>2578778256</v>
      </c>
      <c r="BE3843" s="77"/>
      <c r="BF3843" s="77"/>
      <c r="BG3843" s="77"/>
      <c r="BH3843" s="77"/>
      <c r="BI3843" s="77"/>
    </row>
    <row r="3844" spans="1:61" x14ac:dyDescent="0.25">
      <c r="A3844" s="62" t="s">
        <v>735</v>
      </c>
      <c r="B3844" s="62" t="s">
        <v>735</v>
      </c>
      <c r="C3844" s="63"/>
      <c r="D3844" s="64"/>
      <c r="E3844" s="65"/>
      <c r="F3844" s="66"/>
      <c r="G3844" s="63"/>
      <c r="H3844" s="67"/>
      <c r="I3844" s="68"/>
      <c r="J3844" s="68"/>
      <c r="K3844" s="32"/>
      <c r="L3844" s="75">
        <v>3844</v>
      </c>
      <c r="M3844" s="75"/>
      <c r="N3844" s="70"/>
      <c r="O3844" s="77" t="s">
        <v>179</v>
      </c>
      <c r="P3844" s="79">
        <v>45119.815891203703</v>
      </c>
      <c r="Q3844" s="77" t="s">
        <v>4486</v>
      </c>
      <c r="R3844" s="77">
        <v>1</v>
      </c>
      <c r="S3844" s="77">
        <v>1</v>
      </c>
      <c r="T3844" s="77">
        <v>0</v>
      </c>
      <c r="U3844" s="77">
        <v>0</v>
      </c>
      <c r="V3844" s="77">
        <v>306</v>
      </c>
      <c r="W3844" s="82" t="s">
        <v>6411</v>
      </c>
      <c r="X3844" s="80" t="str">
        <f>HYPERLINK("https://www.youtube.com/watch?v=hB30X8iSy28&amp;pp=ygUJbW9kYWxtYWlz")</f>
        <v>https://www.youtube.com/watch?v=hB30X8iSy28&amp;pp=ygUJbW9kYWxtYWlz</v>
      </c>
      <c r="Y3844" s="77" t="s">
        <v>6480</v>
      </c>
      <c r="Z3844" s="77"/>
      <c r="AA3844" s="77"/>
      <c r="AB3844" s="77"/>
      <c r="AC3844" s="82" t="s">
        <v>7787</v>
      </c>
      <c r="AD3844" s="77" t="s">
        <v>7788</v>
      </c>
      <c r="AE3844" s="80" t="str">
        <f>HYPERLINK("https://twitter.com/modalmais/status/1679212754404626433")</f>
        <v>https://twitter.com/modalmais/status/1679212754404626433</v>
      </c>
      <c r="AF3844" s="79">
        <v>45119.815891203703</v>
      </c>
      <c r="AG3844" s="85">
        <v>45119</v>
      </c>
      <c r="AH3844" s="82" t="s">
        <v>10253</v>
      </c>
      <c r="AI3844" s="77" t="b">
        <v>0</v>
      </c>
      <c r="AJ3844" s="77"/>
      <c r="AK3844" s="77"/>
      <c r="AL3844" s="77"/>
      <c r="AM3844" s="77"/>
      <c r="AN3844" s="77"/>
      <c r="AO3844" s="77"/>
      <c r="AP3844" s="77"/>
      <c r="AQ3844" s="77"/>
      <c r="AR3844" s="77"/>
      <c r="AS3844" s="77"/>
      <c r="AT3844" s="77"/>
      <c r="AU3844" s="77"/>
      <c r="AV3844" s="80" t="str">
        <f>HYPERLINK("https://pbs.twimg.com/profile_images/1067039778795937797/PnnLGTU4_normal.jpg")</f>
        <v>https://pbs.twimg.com/profile_images/1067039778795937797/PnnLGTU4_normal.jpg</v>
      </c>
      <c r="AW3844" s="82" t="s">
        <v>15415</v>
      </c>
      <c r="AX3844" s="82" t="s">
        <v>15415</v>
      </c>
      <c r="AY3844" s="77"/>
      <c r="AZ3844" s="82" t="s">
        <v>15984</v>
      </c>
      <c r="BA3844" s="82" t="s">
        <v>15984</v>
      </c>
      <c r="BB3844" s="82" t="s">
        <v>15984</v>
      </c>
      <c r="BC3844" s="82" t="s">
        <v>15415</v>
      </c>
      <c r="BD3844" s="77">
        <v>2578778256</v>
      </c>
      <c r="BE3844" s="77"/>
      <c r="BF3844" s="77"/>
      <c r="BG3844" s="77"/>
      <c r="BH3844" s="77"/>
      <c r="BI3844" s="77"/>
    </row>
    <row r="3845" spans="1:61" x14ac:dyDescent="0.25">
      <c r="A3845" s="62" t="s">
        <v>735</v>
      </c>
      <c r="B3845" s="62" t="s">
        <v>735</v>
      </c>
      <c r="C3845" s="63"/>
      <c r="D3845" s="64"/>
      <c r="E3845" s="65"/>
      <c r="F3845" s="66"/>
      <c r="G3845" s="63"/>
      <c r="H3845" s="67"/>
      <c r="I3845" s="68"/>
      <c r="J3845" s="68"/>
      <c r="K3845" s="32"/>
      <c r="L3845" s="75">
        <v>3845</v>
      </c>
      <c r="M3845" s="75"/>
      <c r="N3845" s="70"/>
      <c r="O3845" s="77" t="s">
        <v>179</v>
      </c>
      <c r="P3845" s="79">
        <v>45119.687719907408</v>
      </c>
      <c r="Q3845" s="77" t="s">
        <v>4487</v>
      </c>
      <c r="R3845" s="77">
        <v>0</v>
      </c>
      <c r="S3845" s="77">
        <v>5</v>
      </c>
      <c r="T3845" s="77">
        <v>0</v>
      </c>
      <c r="U3845" s="77">
        <v>0</v>
      </c>
      <c r="V3845" s="77">
        <v>292</v>
      </c>
      <c r="W3845" s="82" t="s">
        <v>6411</v>
      </c>
      <c r="X3845" s="77"/>
      <c r="Y3845" s="77"/>
      <c r="Z3845" s="77"/>
      <c r="AA3845" s="77"/>
      <c r="AB3845" s="77"/>
      <c r="AC3845" s="82" t="s">
        <v>7787</v>
      </c>
      <c r="AD3845" s="77" t="s">
        <v>7790</v>
      </c>
      <c r="AE3845" s="80" t="str">
        <f>HYPERLINK("https://twitter.com/modalmais/status/1679166306342559744")</f>
        <v>https://twitter.com/modalmais/status/1679166306342559744</v>
      </c>
      <c r="AF3845" s="79">
        <v>45119.687719907408</v>
      </c>
      <c r="AG3845" s="85">
        <v>45119</v>
      </c>
      <c r="AH3845" s="82" t="s">
        <v>10254</v>
      </c>
      <c r="AI3845" s="77"/>
      <c r="AJ3845" s="77"/>
      <c r="AK3845" s="77"/>
      <c r="AL3845" s="77"/>
      <c r="AM3845" s="77"/>
      <c r="AN3845" s="77"/>
      <c r="AO3845" s="77"/>
      <c r="AP3845" s="77"/>
      <c r="AQ3845" s="77"/>
      <c r="AR3845" s="77"/>
      <c r="AS3845" s="77"/>
      <c r="AT3845" s="77"/>
      <c r="AU3845" s="77"/>
      <c r="AV3845" s="80" t="str">
        <f>HYPERLINK("https://pbs.twimg.com/profile_images/1067039778795937797/PnnLGTU4_normal.jpg")</f>
        <v>https://pbs.twimg.com/profile_images/1067039778795937797/PnnLGTU4_normal.jpg</v>
      </c>
      <c r="AW3845" s="82" t="s">
        <v>15416</v>
      </c>
      <c r="AX3845" s="82" t="s">
        <v>15416</v>
      </c>
      <c r="AY3845" s="77"/>
      <c r="AZ3845" s="82" t="s">
        <v>15984</v>
      </c>
      <c r="BA3845" s="82" t="s">
        <v>15984</v>
      </c>
      <c r="BB3845" s="82" t="s">
        <v>15984</v>
      </c>
      <c r="BC3845" s="82" t="s">
        <v>15416</v>
      </c>
      <c r="BD3845" s="77">
        <v>2578778256</v>
      </c>
      <c r="BE3845" s="77"/>
      <c r="BF3845" s="77"/>
      <c r="BG3845" s="77"/>
      <c r="BH3845" s="77"/>
      <c r="BI3845" s="77"/>
    </row>
    <row r="3846" spans="1:61" x14ac:dyDescent="0.25">
      <c r="A3846" s="62" t="s">
        <v>735</v>
      </c>
      <c r="B3846" s="62" t="s">
        <v>735</v>
      </c>
      <c r="C3846" s="63"/>
      <c r="D3846" s="64"/>
      <c r="E3846" s="65"/>
      <c r="F3846" s="66"/>
      <c r="G3846" s="63"/>
      <c r="H3846" s="67"/>
      <c r="I3846" s="68"/>
      <c r="J3846" s="68"/>
      <c r="K3846" s="32"/>
      <c r="L3846" s="75">
        <v>3846</v>
      </c>
      <c r="M3846" s="75"/>
      <c r="N3846" s="70"/>
      <c r="O3846" s="77" t="s">
        <v>179</v>
      </c>
      <c r="P3846" s="79">
        <v>45119.576099537036</v>
      </c>
      <c r="Q3846" s="77" t="s">
        <v>4488</v>
      </c>
      <c r="R3846" s="77">
        <v>0</v>
      </c>
      <c r="S3846" s="77">
        <v>2</v>
      </c>
      <c r="T3846" s="77">
        <v>0</v>
      </c>
      <c r="U3846" s="77">
        <v>0</v>
      </c>
      <c r="V3846" s="77">
        <v>272</v>
      </c>
      <c r="W3846" s="82" t="s">
        <v>6411</v>
      </c>
      <c r="X3846" s="77"/>
      <c r="Y3846" s="77"/>
      <c r="Z3846" s="77"/>
      <c r="AA3846" s="77"/>
      <c r="AB3846" s="77"/>
      <c r="AC3846" s="82" t="s">
        <v>7787</v>
      </c>
      <c r="AD3846" s="77" t="s">
        <v>7788</v>
      </c>
      <c r="AE3846" s="80" t="str">
        <f>HYPERLINK("https://twitter.com/modalmais/status/1679125854549340162")</f>
        <v>https://twitter.com/modalmais/status/1679125854549340162</v>
      </c>
      <c r="AF3846" s="79">
        <v>45119.576099537036</v>
      </c>
      <c r="AG3846" s="85">
        <v>45119</v>
      </c>
      <c r="AH3846" s="82" t="s">
        <v>10255</v>
      </c>
      <c r="AI3846" s="77"/>
      <c r="AJ3846" s="77"/>
      <c r="AK3846" s="77"/>
      <c r="AL3846" s="77"/>
      <c r="AM3846" s="77"/>
      <c r="AN3846" s="77"/>
      <c r="AO3846" s="77"/>
      <c r="AP3846" s="77"/>
      <c r="AQ3846" s="77"/>
      <c r="AR3846" s="77"/>
      <c r="AS3846" s="77"/>
      <c r="AT3846" s="77"/>
      <c r="AU3846" s="77"/>
      <c r="AV3846" s="80" t="str">
        <f>HYPERLINK("https://pbs.twimg.com/profile_images/1067039778795937797/PnnLGTU4_normal.jpg")</f>
        <v>https://pbs.twimg.com/profile_images/1067039778795937797/PnnLGTU4_normal.jpg</v>
      </c>
      <c r="AW3846" s="82" t="s">
        <v>15417</v>
      </c>
      <c r="AX3846" s="82" t="s">
        <v>15417</v>
      </c>
      <c r="AY3846" s="77"/>
      <c r="AZ3846" s="82" t="s">
        <v>15984</v>
      </c>
      <c r="BA3846" s="82" t="s">
        <v>15984</v>
      </c>
      <c r="BB3846" s="82" t="s">
        <v>15984</v>
      </c>
      <c r="BC3846" s="82" t="s">
        <v>15417</v>
      </c>
      <c r="BD3846" s="77">
        <v>2578778256</v>
      </c>
      <c r="BE3846" s="77"/>
      <c r="BF3846" s="77"/>
      <c r="BG3846" s="77"/>
      <c r="BH3846" s="77"/>
      <c r="BI3846" s="77"/>
    </row>
    <row r="3847" spans="1:61" x14ac:dyDescent="0.25">
      <c r="A3847" s="62" t="s">
        <v>735</v>
      </c>
      <c r="B3847" s="62" t="s">
        <v>735</v>
      </c>
      <c r="C3847" s="63"/>
      <c r="D3847" s="64"/>
      <c r="E3847" s="65"/>
      <c r="F3847" s="66"/>
      <c r="G3847" s="63"/>
      <c r="H3847" s="67"/>
      <c r="I3847" s="68"/>
      <c r="J3847" s="68"/>
      <c r="K3847" s="32"/>
      <c r="L3847" s="75">
        <v>3847</v>
      </c>
      <c r="M3847" s="75"/>
      <c r="N3847" s="70"/>
      <c r="O3847" s="77" t="s">
        <v>179</v>
      </c>
      <c r="P3847" s="79">
        <v>45119.560069444444</v>
      </c>
      <c r="Q3847" s="77" t="s">
        <v>4489</v>
      </c>
      <c r="R3847" s="77">
        <v>0</v>
      </c>
      <c r="S3847" s="77">
        <v>1</v>
      </c>
      <c r="T3847" s="77">
        <v>0</v>
      </c>
      <c r="U3847" s="77">
        <v>0</v>
      </c>
      <c r="V3847" s="77">
        <v>331</v>
      </c>
      <c r="W3847" s="82" t="s">
        <v>6411</v>
      </c>
      <c r="X3847" s="80" t="str">
        <f>HYPERLINK("https://www.modalmais.com.br/morning-call/inflacao-registra-deflacao-de-008-em-junho")</f>
        <v>https://www.modalmais.com.br/morning-call/inflacao-registra-deflacao-de-008-em-junho</v>
      </c>
      <c r="Y3847" s="77" t="s">
        <v>6470</v>
      </c>
      <c r="Z3847" s="77"/>
      <c r="AA3847" s="77"/>
      <c r="AB3847" s="77"/>
      <c r="AC3847" s="82" t="s">
        <v>7787</v>
      </c>
      <c r="AD3847" s="77" t="s">
        <v>7788</v>
      </c>
      <c r="AE3847" s="80" t="str">
        <f>HYPERLINK("https://twitter.com/modalmais/status/1679120046054952963")</f>
        <v>https://twitter.com/modalmais/status/1679120046054952963</v>
      </c>
      <c r="AF3847" s="79">
        <v>45119.560069444444</v>
      </c>
      <c r="AG3847" s="85">
        <v>45119</v>
      </c>
      <c r="AH3847" s="82" t="s">
        <v>10256</v>
      </c>
      <c r="AI3847" s="77" t="b">
        <v>0</v>
      </c>
      <c r="AJ3847" s="77"/>
      <c r="AK3847" s="77"/>
      <c r="AL3847" s="77"/>
      <c r="AM3847" s="77"/>
      <c r="AN3847" s="77"/>
      <c r="AO3847" s="77"/>
      <c r="AP3847" s="77"/>
      <c r="AQ3847" s="77"/>
      <c r="AR3847" s="77"/>
      <c r="AS3847" s="77"/>
      <c r="AT3847" s="77"/>
      <c r="AU3847" s="77"/>
      <c r="AV3847" s="80" t="str">
        <f>HYPERLINK("https://pbs.twimg.com/profile_images/1067039778795937797/PnnLGTU4_normal.jpg")</f>
        <v>https://pbs.twimg.com/profile_images/1067039778795937797/PnnLGTU4_normal.jpg</v>
      </c>
      <c r="AW3847" s="82" t="s">
        <v>15418</v>
      </c>
      <c r="AX3847" s="82" t="s">
        <v>15418</v>
      </c>
      <c r="AY3847" s="77"/>
      <c r="AZ3847" s="82" t="s">
        <v>15984</v>
      </c>
      <c r="BA3847" s="82" t="s">
        <v>15984</v>
      </c>
      <c r="BB3847" s="82" t="s">
        <v>15984</v>
      </c>
      <c r="BC3847" s="82" t="s">
        <v>15418</v>
      </c>
      <c r="BD3847" s="77">
        <v>2578778256</v>
      </c>
      <c r="BE3847" s="77"/>
      <c r="BF3847" s="77"/>
      <c r="BG3847" s="77"/>
      <c r="BH3847" s="77"/>
      <c r="BI3847" s="77"/>
    </row>
    <row r="3848" spans="1:61" x14ac:dyDescent="0.25">
      <c r="A3848" s="62" t="s">
        <v>735</v>
      </c>
      <c r="B3848" s="62" t="s">
        <v>735</v>
      </c>
      <c r="C3848" s="63"/>
      <c r="D3848" s="64"/>
      <c r="E3848" s="65"/>
      <c r="F3848" s="66"/>
      <c r="G3848" s="63"/>
      <c r="H3848" s="67"/>
      <c r="I3848" s="68"/>
      <c r="J3848" s="68"/>
      <c r="K3848" s="32"/>
      <c r="L3848" s="75">
        <v>3848</v>
      </c>
      <c r="M3848" s="75"/>
      <c r="N3848" s="70"/>
      <c r="O3848" s="77" t="s">
        <v>179</v>
      </c>
      <c r="P3848" s="79">
        <v>45119.559699074074</v>
      </c>
      <c r="Q3848" s="77" t="s">
        <v>4490</v>
      </c>
      <c r="R3848" s="77">
        <v>0</v>
      </c>
      <c r="S3848" s="77">
        <v>3</v>
      </c>
      <c r="T3848" s="77">
        <v>0</v>
      </c>
      <c r="U3848" s="77">
        <v>0</v>
      </c>
      <c r="V3848" s="77">
        <v>336</v>
      </c>
      <c r="W3848" s="82" t="s">
        <v>6411</v>
      </c>
      <c r="X3848" s="77"/>
      <c r="Y3848" s="77"/>
      <c r="Z3848" s="77"/>
      <c r="AA3848" s="77"/>
      <c r="AB3848" s="77"/>
      <c r="AC3848" s="82" t="s">
        <v>7787</v>
      </c>
      <c r="AD3848" s="77" t="s">
        <v>7797</v>
      </c>
      <c r="AE3848" s="80" t="str">
        <f>HYPERLINK("https://twitter.com/modalmais/status/1679119912973770753")</f>
        <v>https://twitter.com/modalmais/status/1679119912973770753</v>
      </c>
      <c r="AF3848" s="79">
        <v>45119.559699074074</v>
      </c>
      <c r="AG3848" s="85">
        <v>45119</v>
      </c>
      <c r="AH3848" s="82" t="s">
        <v>10257</v>
      </c>
      <c r="AI3848" s="77"/>
      <c r="AJ3848" s="77"/>
      <c r="AK3848" s="77"/>
      <c r="AL3848" s="77"/>
      <c r="AM3848" s="77"/>
      <c r="AN3848" s="77"/>
      <c r="AO3848" s="77"/>
      <c r="AP3848" s="77"/>
      <c r="AQ3848" s="77"/>
      <c r="AR3848" s="77"/>
      <c r="AS3848" s="77"/>
      <c r="AT3848" s="77"/>
      <c r="AU3848" s="77"/>
      <c r="AV3848" s="80" t="str">
        <f>HYPERLINK("https://pbs.twimg.com/profile_images/1067039778795937797/PnnLGTU4_normal.jpg")</f>
        <v>https://pbs.twimg.com/profile_images/1067039778795937797/PnnLGTU4_normal.jpg</v>
      </c>
      <c r="AW3848" s="82" t="s">
        <v>15419</v>
      </c>
      <c r="AX3848" s="82" t="s">
        <v>15419</v>
      </c>
      <c r="AY3848" s="77"/>
      <c r="AZ3848" s="82" t="s">
        <v>15984</v>
      </c>
      <c r="BA3848" s="82" t="s">
        <v>15984</v>
      </c>
      <c r="BB3848" s="82" t="s">
        <v>15984</v>
      </c>
      <c r="BC3848" s="82" t="s">
        <v>15419</v>
      </c>
      <c r="BD3848" s="77">
        <v>2578778256</v>
      </c>
      <c r="BE3848" s="77"/>
      <c r="BF3848" s="77"/>
      <c r="BG3848" s="77"/>
      <c r="BH3848" s="77"/>
      <c r="BI3848" s="77"/>
    </row>
    <row r="3849" spans="1:61" x14ac:dyDescent="0.25">
      <c r="A3849" s="62" t="s">
        <v>735</v>
      </c>
      <c r="B3849" s="62" t="s">
        <v>735</v>
      </c>
      <c r="C3849" s="63"/>
      <c r="D3849" s="64"/>
      <c r="E3849" s="65"/>
      <c r="F3849" s="66"/>
      <c r="G3849" s="63"/>
      <c r="H3849" s="67"/>
      <c r="I3849" s="68"/>
      <c r="J3849" s="68"/>
      <c r="K3849" s="32"/>
      <c r="L3849" s="75">
        <v>3849</v>
      </c>
      <c r="M3849" s="75"/>
      <c r="N3849" s="70"/>
      <c r="O3849" s="77" t="s">
        <v>179</v>
      </c>
      <c r="P3849" s="79">
        <v>45119.559305555558</v>
      </c>
      <c r="Q3849" s="77" t="s">
        <v>4491</v>
      </c>
      <c r="R3849" s="77">
        <v>0</v>
      </c>
      <c r="S3849" s="77">
        <v>2</v>
      </c>
      <c r="T3849" s="77">
        <v>0</v>
      </c>
      <c r="U3849" s="77">
        <v>0</v>
      </c>
      <c r="V3849" s="77">
        <v>286</v>
      </c>
      <c r="W3849" s="82" t="s">
        <v>6411</v>
      </c>
      <c r="X3849" s="77"/>
      <c r="Y3849" s="77"/>
      <c r="Z3849" s="77"/>
      <c r="AA3849" s="77"/>
      <c r="AB3849" s="77"/>
      <c r="AC3849" s="82" t="s">
        <v>7787</v>
      </c>
      <c r="AD3849" s="77" t="s">
        <v>7793</v>
      </c>
      <c r="AE3849" s="80" t="str">
        <f>HYPERLINK("https://twitter.com/modalmais/status/1679119768870084609")</f>
        <v>https://twitter.com/modalmais/status/1679119768870084609</v>
      </c>
      <c r="AF3849" s="79">
        <v>45119.559305555558</v>
      </c>
      <c r="AG3849" s="85">
        <v>45119</v>
      </c>
      <c r="AH3849" s="82" t="s">
        <v>10258</v>
      </c>
      <c r="AI3849" s="77"/>
      <c r="AJ3849" s="77"/>
      <c r="AK3849" s="77"/>
      <c r="AL3849" s="77"/>
      <c r="AM3849" s="77"/>
      <c r="AN3849" s="77"/>
      <c r="AO3849" s="77"/>
      <c r="AP3849" s="77"/>
      <c r="AQ3849" s="77"/>
      <c r="AR3849" s="77"/>
      <c r="AS3849" s="77"/>
      <c r="AT3849" s="77"/>
      <c r="AU3849" s="77"/>
      <c r="AV3849" s="80" t="str">
        <f>HYPERLINK("https://pbs.twimg.com/profile_images/1067039778795937797/PnnLGTU4_normal.jpg")</f>
        <v>https://pbs.twimg.com/profile_images/1067039778795937797/PnnLGTU4_normal.jpg</v>
      </c>
      <c r="AW3849" s="82" t="s">
        <v>15420</v>
      </c>
      <c r="AX3849" s="82" t="s">
        <v>15420</v>
      </c>
      <c r="AY3849" s="77"/>
      <c r="AZ3849" s="82" t="s">
        <v>15984</v>
      </c>
      <c r="BA3849" s="82" t="s">
        <v>15984</v>
      </c>
      <c r="BB3849" s="82" t="s">
        <v>15984</v>
      </c>
      <c r="BC3849" s="82" t="s">
        <v>15420</v>
      </c>
      <c r="BD3849" s="77">
        <v>2578778256</v>
      </c>
      <c r="BE3849" s="77"/>
      <c r="BF3849" s="77"/>
      <c r="BG3849" s="77"/>
      <c r="BH3849" s="77"/>
      <c r="BI3849" s="77"/>
    </row>
    <row r="3850" spans="1:61" x14ac:dyDescent="0.25">
      <c r="A3850" s="62" t="s">
        <v>735</v>
      </c>
      <c r="B3850" s="62" t="s">
        <v>735</v>
      </c>
      <c r="C3850" s="63"/>
      <c r="D3850" s="64"/>
      <c r="E3850" s="65"/>
      <c r="F3850" s="66"/>
      <c r="G3850" s="63"/>
      <c r="H3850" s="67"/>
      <c r="I3850" s="68"/>
      <c r="J3850" s="68"/>
      <c r="K3850" s="32"/>
      <c r="L3850" s="75">
        <v>3850</v>
      </c>
      <c r="M3850" s="75"/>
      <c r="N3850" s="70"/>
      <c r="O3850" s="77" t="s">
        <v>179</v>
      </c>
      <c r="P3850" s="79">
        <v>45119.558865740742</v>
      </c>
      <c r="Q3850" s="77" t="s">
        <v>4492</v>
      </c>
      <c r="R3850" s="77">
        <v>0</v>
      </c>
      <c r="S3850" s="77">
        <v>2</v>
      </c>
      <c r="T3850" s="77">
        <v>0</v>
      </c>
      <c r="U3850" s="77">
        <v>0</v>
      </c>
      <c r="V3850" s="77">
        <v>294</v>
      </c>
      <c r="W3850" s="82" t="s">
        <v>6411</v>
      </c>
      <c r="X3850" s="77"/>
      <c r="Y3850" s="77"/>
      <c r="Z3850" s="77"/>
      <c r="AA3850" s="77"/>
      <c r="AB3850" s="77"/>
      <c r="AC3850" s="82" t="s">
        <v>7787</v>
      </c>
      <c r="AD3850" s="77" t="s">
        <v>7788</v>
      </c>
      <c r="AE3850" s="80" t="str">
        <f>HYPERLINK("https://twitter.com/modalmais/status/1679119610577141761")</f>
        <v>https://twitter.com/modalmais/status/1679119610577141761</v>
      </c>
      <c r="AF3850" s="79">
        <v>45119.558865740742</v>
      </c>
      <c r="AG3850" s="85">
        <v>45119</v>
      </c>
      <c r="AH3850" s="82" t="s">
        <v>10259</v>
      </c>
      <c r="AI3850" s="77"/>
      <c r="AJ3850" s="77"/>
      <c r="AK3850" s="77"/>
      <c r="AL3850" s="77"/>
      <c r="AM3850" s="77"/>
      <c r="AN3850" s="77"/>
      <c r="AO3850" s="77"/>
      <c r="AP3850" s="77"/>
      <c r="AQ3850" s="77"/>
      <c r="AR3850" s="77"/>
      <c r="AS3850" s="77"/>
      <c r="AT3850" s="77"/>
      <c r="AU3850" s="77"/>
      <c r="AV3850" s="80" t="str">
        <f>HYPERLINK("https://pbs.twimg.com/profile_images/1067039778795937797/PnnLGTU4_normal.jpg")</f>
        <v>https://pbs.twimg.com/profile_images/1067039778795937797/PnnLGTU4_normal.jpg</v>
      </c>
      <c r="AW3850" s="82" t="s">
        <v>15421</v>
      </c>
      <c r="AX3850" s="82" t="s">
        <v>15421</v>
      </c>
      <c r="AY3850" s="77"/>
      <c r="AZ3850" s="82" t="s">
        <v>15984</v>
      </c>
      <c r="BA3850" s="82" t="s">
        <v>15984</v>
      </c>
      <c r="BB3850" s="82" t="s">
        <v>15984</v>
      </c>
      <c r="BC3850" s="82" t="s">
        <v>15421</v>
      </c>
      <c r="BD3850" s="77">
        <v>2578778256</v>
      </c>
      <c r="BE3850" s="77"/>
      <c r="BF3850" s="77"/>
      <c r="BG3850" s="77"/>
      <c r="BH3850" s="77"/>
      <c r="BI3850" s="77"/>
    </row>
    <row r="3851" spans="1:61" x14ac:dyDescent="0.25">
      <c r="A3851" s="62" t="s">
        <v>735</v>
      </c>
      <c r="B3851" s="62" t="s">
        <v>735</v>
      </c>
      <c r="C3851" s="63"/>
      <c r="D3851" s="64"/>
      <c r="E3851" s="65"/>
      <c r="F3851" s="66"/>
      <c r="G3851" s="63"/>
      <c r="H3851" s="67"/>
      <c r="I3851" s="68"/>
      <c r="J3851" s="68"/>
      <c r="K3851" s="32"/>
      <c r="L3851" s="75">
        <v>3851</v>
      </c>
      <c r="M3851" s="75"/>
      <c r="N3851" s="70"/>
      <c r="O3851" s="77" t="s">
        <v>179</v>
      </c>
      <c r="P3851" s="79">
        <v>45153.825416666667</v>
      </c>
      <c r="Q3851" s="77" t="s">
        <v>4493</v>
      </c>
      <c r="R3851" s="77">
        <v>0</v>
      </c>
      <c r="S3851" s="77">
        <v>1</v>
      </c>
      <c r="T3851" s="77">
        <v>1</v>
      </c>
      <c r="U3851" s="77">
        <v>0</v>
      </c>
      <c r="V3851" s="77">
        <v>307</v>
      </c>
      <c r="W3851" s="82" t="s">
        <v>6412</v>
      </c>
      <c r="X3851" s="80" t="str">
        <f>HYPERLINK("https://www.youtube.com/watch?v=GdESQlrF8L4")</f>
        <v>https://www.youtube.com/watch?v=GdESQlrF8L4</v>
      </c>
      <c r="Y3851" s="77" t="s">
        <v>6480</v>
      </c>
      <c r="Z3851" s="77"/>
      <c r="AA3851" s="77"/>
      <c r="AB3851" s="77"/>
      <c r="AC3851" s="82" t="s">
        <v>7787</v>
      </c>
      <c r="AD3851" s="77" t="s">
        <v>7788</v>
      </c>
      <c r="AE3851" s="80" t="str">
        <f>HYPERLINK("https://twitter.com/modalmais/status/1691537393742913536")</f>
        <v>https://twitter.com/modalmais/status/1691537393742913536</v>
      </c>
      <c r="AF3851" s="79">
        <v>45153.825416666667</v>
      </c>
      <c r="AG3851" s="85">
        <v>45153</v>
      </c>
      <c r="AH3851" s="82" t="s">
        <v>10260</v>
      </c>
      <c r="AI3851" s="77" t="b">
        <v>0</v>
      </c>
      <c r="AJ3851" s="77"/>
      <c r="AK3851" s="77"/>
      <c r="AL3851" s="77"/>
      <c r="AM3851" s="77"/>
      <c r="AN3851" s="77"/>
      <c r="AO3851" s="77"/>
      <c r="AP3851" s="77"/>
      <c r="AQ3851" s="77"/>
      <c r="AR3851" s="77"/>
      <c r="AS3851" s="77"/>
      <c r="AT3851" s="77"/>
      <c r="AU3851" s="77"/>
      <c r="AV3851" s="80" t="str">
        <f>HYPERLINK("https://pbs.twimg.com/profile_images/1067039778795937797/PnnLGTU4_normal.jpg")</f>
        <v>https://pbs.twimg.com/profile_images/1067039778795937797/PnnLGTU4_normal.jpg</v>
      </c>
      <c r="AW3851" s="82" t="s">
        <v>15422</v>
      </c>
      <c r="AX3851" s="82" t="s">
        <v>15422</v>
      </c>
      <c r="AY3851" s="77"/>
      <c r="AZ3851" s="82" t="s">
        <v>15984</v>
      </c>
      <c r="BA3851" s="82" t="s">
        <v>15984</v>
      </c>
      <c r="BB3851" s="82" t="s">
        <v>15984</v>
      </c>
      <c r="BC3851" s="82" t="s">
        <v>15422</v>
      </c>
      <c r="BD3851" s="77">
        <v>2578778256</v>
      </c>
      <c r="BE3851" s="77"/>
      <c r="BF3851" s="77"/>
      <c r="BG3851" s="77"/>
      <c r="BH3851" s="77"/>
      <c r="BI3851" s="77"/>
    </row>
    <row r="3852" spans="1:61" x14ac:dyDescent="0.25">
      <c r="A3852" s="62" t="s">
        <v>735</v>
      </c>
      <c r="B3852" s="62" t="s">
        <v>735</v>
      </c>
      <c r="C3852" s="63"/>
      <c r="D3852" s="64"/>
      <c r="E3852" s="65"/>
      <c r="F3852" s="66"/>
      <c r="G3852" s="63"/>
      <c r="H3852" s="67"/>
      <c r="I3852" s="68"/>
      <c r="J3852" s="68"/>
      <c r="K3852" s="32"/>
      <c r="L3852" s="75">
        <v>3852</v>
      </c>
      <c r="M3852" s="75"/>
      <c r="N3852" s="70"/>
      <c r="O3852" s="77" t="s">
        <v>179</v>
      </c>
      <c r="P3852" s="79">
        <v>45153.805451388886</v>
      </c>
      <c r="Q3852" s="77" t="s">
        <v>4494</v>
      </c>
      <c r="R3852" s="77">
        <v>0</v>
      </c>
      <c r="S3852" s="77">
        <v>0</v>
      </c>
      <c r="T3852" s="77">
        <v>0</v>
      </c>
      <c r="U3852" s="77">
        <v>0</v>
      </c>
      <c r="V3852" s="77">
        <v>282</v>
      </c>
      <c r="W3852" s="82" t="s">
        <v>6413</v>
      </c>
      <c r="X3852" s="77"/>
      <c r="Y3852" s="77"/>
      <c r="Z3852" s="77"/>
      <c r="AA3852" s="77"/>
      <c r="AB3852" s="77"/>
      <c r="AC3852" s="82" t="s">
        <v>7787</v>
      </c>
      <c r="AD3852" s="77" t="s">
        <v>7790</v>
      </c>
      <c r="AE3852" s="80" t="str">
        <f>HYPERLINK("https://twitter.com/modalmais/status/1691530159151587328")</f>
        <v>https://twitter.com/modalmais/status/1691530159151587328</v>
      </c>
      <c r="AF3852" s="79">
        <v>45153.805451388886</v>
      </c>
      <c r="AG3852" s="85">
        <v>45153</v>
      </c>
      <c r="AH3852" s="82" t="s">
        <v>10261</v>
      </c>
      <c r="AI3852" s="77"/>
      <c r="AJ3852" s="77"/>
      <c r="AK3852" s="77"/>
      <c r="AL3852" s="77"/>
      <c r="AM3852" s="77"/>
      <c r="AN3852" s="77"/>
      <c r="AO3852" s="77"/>
      <c r="AP3852" s="77"/>
      <c r="AQ3852" s="77"/>
      <c r="AR3852" s="77"/>
      <c r="AS3852" s="77"/>
      <c r="AT3852" s="77"/>
      <c r="AU3852" s="77"/>
      <c r="AV3852" s="80" t="str">
        <f>HYPERLINK("https://pbs.twimg.com/profile_images/1067039778795937797/PnnLGTU4_normal.jpg")</f>
        <v>https://pbs.twimg.com/profile_images/1067039778795937797/PnnLGTU4_normal.jpg</v>
      </c>
      <c r="AW3852" s="82" t="s">
        <v>15423</v>
      </c>
      <c r="AX3852" s="82" t="s">
        <v>15423</v>
      </c>
      <c r="AY3852" s="77"/>
      <c r="AZ3852" s="82" t="s">
        <v>15984</v>
      </c>
      <c r="BA3852" s="82" t="s">
        <v>15984</v>
      </c>
      <c r="BB3852" s="82" t="s">
        <v>15984</v>
      </c>
      <c r="BC3852" s="82" t="s">
        <v>15423</v>
      </c>
      <c r="BD3852" s="77">
        <v>2578778256</v>
      </c>
      <c r="BE3852" s="77"/>
      <c r="BF3852" s="77"/>
      <c r="BG3852" s="77"/>
      <c r="BH3852" s="77"/>
      <c r="BI3852" s="77"/>
    </row>
    <row r="3853" spans="1:61" x14ac:dyDescent="0.25">
      <c r="A3853" s="62" t="s">
        <v>735</v>
      </c>
      <c r="B3853" s="62" t="s">
        <v>735</v>
      </c>
      <c r="C3853" s="63"/>
      <c r="D3853" s="64"/>
      <c r="E3853" s="65"/>
      <c r="F3853" s="66"/>
      <c r="G3853" s="63"/>
      <c r="H3853" s="67"/>
      <c r="I3853" s="68"/>
      <c r="J3853" s="68"/>
      <c r="K3853" s="32"/>
      <c r="L3853" s="75">
        <v>3853</v>
      </c>
      <c r="M3853" s="75"/>
      <c r="N3853" s="70"/>
      <c r="O3853" s="77" t="s">
        <v>179</v>
      </c>
      <c r="P3853" s="79">
        <v>45145.717604166668</v>
      </c>
      <c r="Q3853" s="77" t="s">
        <v>4495</v>
      </c>
      <c r="R3853" s="77">
        <v>0</v>
      </c>
      <c r="S3853" s="77">
        <v>0</v>
      </c>
      <c r="T3853" s="77">
        <v>0</v>
      </c>
      <c r="U3853" s="77">
        <v>0</v>
      </c>
      <c r="V3853" s="77">
        <v>288</v>
      </c>
      <c r="W3853" s="82" t="s">
        <v>6411</v>
      </c>
      <c r="X3853" s="77"/>
      <c r="Y3853" s="77"/>
      <c r="Z3853" s="77"/>
      <c r="AA3853" s="77"/>
      <c r="AB3853" s="77"/>
      <c r="AC3853" s="82" t="s">
        <v>7787</v>
      </c>
      <c r="AD3853" s="77" t="s">
        <v>7790</v>
      </c>
      <c r="AE3853" s="80" t="str">
        <f>HYPERLINK("https://twitter.com/modalmais/status/1688599222432501786")</f>
        <v>https://twitter.com/modalmais/status/1688599222432501786</v>
      </c>
      <c r="AF3853" s="79">
        <v>45145.717604166668</v>
      </c>
      <c r="AG3853" s="85">
        <v>45145</v>
      </c>
      <c r="AH3853" s="82" t="s">
        <v>10262</v>
      </c>
      <c r="AI3853" s="77"/>
      <c r="AJ3853" s="77"/>
      <c r="AK3853" s="77"/>
      <c r="AL3853" s="77"/>
      <c r="AM3853" s="77"/>
      <c r="AN3853" s="77"/>
      <c r="AO3853" s="77"/>
      <c r="AP3853" s="77"/>
      <c r="AQ3853" s="77"/>
      <c r="AR3853" s="77"/>
      <c r="AS3853" s="77"/>
      <c r="AT3853" s="77"/>
      <c r="AU3853" s="77"/>
      <c r="AV3853" s="80" t="str">
        <f>HYPERLINK("https://pbs.twimg.com/profile_images/1067039778795937797/PnnLGTU4_normal.jpg")</f>
        <v>https://pbs.twimg.com/profile_images/1067039778795937797/PnnLGTU4_normal.jpg</v>
      </c>
      <c r="AW3853" s="82" t="s">
        <v>15424</v>
      </c>
      <c r="AX3853" s="82" t="s">
        <v>15424</v>
      </c>
      <c r="AY3853" s="77"/>
      <c r="AZ3853" s="82" t="s">
        <v>15984</v>
      </c>
      <c r="BA3853" s="82" t="s">
        <v>15984</v>
      </c>
      <c r="BB3853" s="82" t="s">
        <v>15984</v>
      </c>
      <c r="BC3853" s="82" t="s">
        <v>15424</v>
      </c>
      <c r="BD3853" s="77">
        <v>2578778256</v>
      </c>
      <c r="BE3853" s="77"/>
      <c r="BF3853" s="77"/>
      <c r="BG3853" s="77"/>
      <c r="BH3853" s="77"/>
      <c r="BI3853" s="77"/>
    </row>
    <row r="3854" spans="1:61" x14ac:dyDescent="0.25">
      <c r="A3854" s="62" t="s">
        <v>735</v>
      </c>
      <c r="B3854" s="62" t="s">
        <v>735</v>
      </c>
      <c r="C3854" s="63"/>
      <c r="D3854" s="64"/>
      <c r="E3854" s="65"/>
      <c r="F3854" s="66"/>
      <c r="G3854" s="63"/>
      <c r="H3854" s="67"/>
      <c r="I3854" s="68"/>
      <c r="J3854" s="68"/>
      <c r="K3854" s="32"/>
      <c r="L3854" s="75">
        <v>3854</v>
      </c>
      <c r="M3854" s="75"/>
      <c r="N3854" s="70"/>
      <c r="O3854" s="77" t="s">
        <v>179</v>
      </c>
      <c r="P3854" s="79">
        <v>45145.60728009259</v>
      </c>
      <c r="Q3854" s="77" t="s">
        <v>4496</v>
      </c>
      <c r="R3854" s="77">
        <v>0</v>
      </c>
      <c r="S3854" s="77">
        <v>1</v>
      </c>
      <c r="T3854" s="77">
        <v>0</v>
      </c>
      <c r="U3854" s="77">
        <v>0</v>
      </c>
      <c r="V3854" s="77">
        <v>302</v>
      </c>
      <c r="W3854" s="82" t="s">
        <v>6411</v>
      </c>
      <c r="X3854" s="77"/>
      <c r="Y3854" s="77"/>
      <c r="Z3854" s="77"/>
      <c r="AA3854" s="77"/>
      <c r="AB3854" s="77"/>
      <c r="AC3854" s="82" t="s">
        <v>7787</v>
      </c>
      <c r="AD3854" s="77" t="s">
        <v>7788</v>
      </c>
      <c r="AE3854" s="80" t="str">
        <f>HYPERLINK("https://twitter.com/modalmais/status/1688559241202647041")</f>
        <v>https://twitter.com/modalmais/status/1688559241202647041</v>
      </c>
      <c r="AF3854" s="79">
        <v>45145.60728009259</v>
      </c>
      <c r="AG3854" s="85">
        <v>45145</v>
      </c>
      <c r="AH3854" s="82" t="s">
        <v>10263</v>
      </c>
      <c r="AI3854" s="77"/>
      <c r="AJ3854" s="77"/>
      <c r="AK3854" s="77"/>
      <c r="AL3854" s="77"/>
      <c r="AM3854" s="77"/>
      <c r="AN3854" s="77"/>
      <c r="AO3854" s="77"/>
      <c r="AP3854" s="77"/>
      <c r="AQ3854" s="77"/>
      <c r="AR3854" s="77"/>
      <c r="AS3854" s="77"/>
      <c r="AT3854" s="77"/>
      <c r="AU3854" s="77"/>
      <c r="AV3854" s="80" t="str">
        <f>HYPERLINK("https://pbs.twimg.com/profile_images/1067039778795937797/PnnLGTU4_normal.jpg")</f>
        <v>https://pbs.twimg.com/profile_images/1067039778795937797/PnnLGTU4_normal.jpg</v>
      </c>
      <c r="AW3854" s="82" t="s">
        <v>15425</v>
      </c>
      <c r="AX3854" s="82" t="s">
        <v>15425</v>
      </c>
      <c r="AY3854" s="77"/>
      <c r="AZ3854" s="82" t="s">
        <v>15984</v>
      </c>
      <c r="BA3854" s="82" t="s">
        <v>15984</v>
      </c>
      <c r="BB3854" s="82" t="s">
        <v>15984</v>
      </c>
      <c r="BC3854" s="82" t="s">
        <v>15425</v>
      </c>
      <c r="BD3854" s="77">
        <v>2578778256</v>
      </c>
      <c r="BE3854" s="77"/>
      <c r="BF3854" s="77"/>
      <c r="BG3854" s="77"/>
      <c r="BH3854" s="77"/>
      <c r="BI3854" s="77"/>
    </row>
    <row r="3855" spans="1:61" x14ac:dyDescent="0.25">
      <c r="A3855" s="62" t="s">
        <v>735</v>
      </c>
      <c r="B3855" s="62" t="s">
        <v>735</v>
      </c>
      <c r="C3855" s="63"/>
      <c r="D3855" s="64"/>
      <c r="E3855" s="65"/>
      <c r="F3855" s="66"/>
      <c r="G3855" s="63"/>
      <c r="H3855" s="67"/>
      <c r="I3855" s="68"/>
      <c r="J3855" s="68"/>
      <c r="K3855" s="32"/>
      <c r="L3855" s="75">
        <v>3855</v>
      </c>
      <c r="M3855" s="75"/>
      <c r="N3855" s="70"/>
      <c r="O3855" s="77" t="s">
        <v>179</v>
      </c>
      <c r="P3855" s="79">
        <v>45134.592037037037</v>
      </c>
      <c r="Q3855" s="77" t="s">
        <v>4497</v>
      </c>
      <c r="R3855" s="77">
        <v>0</v>
      </c>
      <c r="S3855" s="77">
        <v>1</v>
      </c>
      <c r="T3855" s="77">
        <v>0</v>
      </c>
      <c r="U3855" s="77">
        <v>0</v>
      </c>
      <c r="V3855" s="77">
        <v>377</v>
      </c>
      <c r="W3855" s="82" t="s">
        <v>6411</v>
      </c>
      <c r="X3855" s="77"/>
      <c r="Y3855" s="77"/>
      <c r="Z3855" s="77"/>
      <c r="AA3855" s="77"/>
      <c r="AB3855" s="77"/>
      <c r="AC3855" s="82" t="s">
        <v>7787</v>
      </c>
      <c r="AD3855" s="77" t="s">
        <v>7788</v>
      </c>
      <c r="AE3855" s="80" t="str">
        <f>HYPERLINK("https://twitter.com/modalmais/status/1684567451076558848")</f>
        <v>https://twitter.com/modalmais/status/1684567451076558848</v>
      </c>
      <c r="AF3855" s="79">
        <v>45134.592037037037</v>
      </c>
      <c r="AG3855" s="85">
        <v>45134</v>
      </c>
      <c r="AH3855" s="82" t="s">
        <v>10264</v>
      </c>
      <c r="AI3855" s="77"/>
      <c r="AJ3855" s="77"/>
      <c r="AK3855" s="77"/>
      <c r="AL3855" s="77"/>
      <c r="AM3855" s="77"/>
      <c r="AN3855" s="77"/>
      <c r="AO3855" s="77"/>
      <c r="AP3855" s="77"/>
      <c r="AQ3855" s="77"/>
      <c r="AR3855" s="77"/>
      <c r="AS3855" s="77"/>
      <c r="AT3855" s="77"/>
      <c r="AU3855" s="77"/>
      <c r="AV3855" s="80" t="str">
        <f>HYPERLINK("https://pbs.twimg.com/profile_images/1067039778795937797/PnnLGTU4_normal.jpg")</f>
        <v>https://pbs.twimg.com/profile_images/1067039778795937797/PnnLGTU4_normal.jpg</v>
      </c>
      <c r="AW3855" s="82" t="s">
        <v>15426</v>
      </c>
      <c r="AX3855" s="82" t="s">
        <v>15426</v>
      </c>
      <c r="AY3855" s="77"/>
      <c r="AZ3855" s="82" t="s">
        <v>15984</v>
      </c>
      <c r="BA3855" s="82" t="s">
        <v>15984</v>
      </c>
      <c r="BB3855" s="82" t="s">
        <v>15984</v>
      </c>
      <c r="BC3855" s="82" t="s">
        <v>15426</v>
      </c>
      <c r="BD3855" s="77">
        <v>2578778256</v>
      </c>
      <c r="BE3855" s="77"/>
      <c r="BF3855" s="77"/>
      <c r="BG3855" s="77"/>
      <c r="BH3855" s="77"/>
      <c r="BI3855" s="77"/>
    </row>
    <row r="3856" spans="1:61" x14ac:dyDescent="0.25">
      <c r="A3856" s="62" t="s">
        <v>735</v>
      </c>
      <c r="B3856" s="62" t="s">
        <v>735</v>
      </c>
      <c r="C3856" s="63"/>
      <c r="D3856" s="64"/>
      <c r="E3856" s="65"/>
      <c r="F3856" s="66"/>
      <c r="G3856" s="63"/>
      <c r="H3856" s="67"/>
      <c r="I3856" s="68"/>
      <c r="J3856" s="68"/>
      <c r="K3856" s="32"/>
      <c r="L3856" s="75">
        <v>3856</v>
      </c>
      <c r="M3856" s="75"/>
      <c r="N3856" s="70"/>
      <c r="O3856" s="77" t="s">
        <v>179</v>
      </c>
      <c r="P3856" s="79">
        <v>45134.591365740744</v>
      </c>
      <c r="Q3856" s="77" t="s">
        <v>4498</v>
      </c>
      <c r="R3856" s="77">
        <v>0</v>
      </c>
      <c r="S3856" s="77">
        <v>0</v>
      </c>
      <c r="T3856" s="77">
        <v>1</v>
      </c>
      <c r="U3856" s="77">
        <v>0</v>
      </c>
      <c r="V3856" s="77">
        <v>368</v>
      </c>
      <c r="W3856" s="82" t="s">
        <v>6411</v>
      </c>
      <c r="X3856" s="77"/>
      <c r="Y3856" s="77"/>
      <c r="Z3856" s="77"/>
      <c r="AA3856" s="77"/>
      <c r="AB3856" s="77"/>
      <c r="AC3856" s="82" t="s">
        <v>7787</v>
      </c>
      <c r="AD3856" s="77" t="s">
        <v>7788</v>
      </c>
      <c r="AE3856" s="80" t="str">
        <f>HYPERLINK("https://twitter.com/modalmais/status/1684567205663711235")</f>
        <v>https://twitter.com/modalmais/status/1684567205663711235</v>
      </c>
      <c r="AF3856" s="79">
        <v>45134.591365740744</v>
      </c>
      <c r="AG3856" s="85">
        <v>45134</v>
      </c>
      <c r="AH3856" s="82" t="s">
        <v>10265</v>
      </c>
      <c r="AI3856" s="77"/>
      <c r="AJ3856" s="77"/>
      <c r="AK3856" s="77"/>
      <c r="AL3856" s="77"/>
      <c r="AM3856" s="77"/>
      <c r="AN3856" s="77"/>
      <c r="AO3856" s="77"/>
      <c r="AP3856" s="77"/>
      <c r="AQ3856" s="77"/>
      <c r="AR3856" s="77"/>
      <c r="AS3856" s="77"/>
      <c r="AT3856" s="77"/>
      <c r="AU3856" s="77"/>
      <c r="AV3856" s="80" t="str">
        <f>HYPERLINK("https://pbs.twimg.com/profile_images/1067039778795937797/PnnLGTU4_normal.jpg")</f>
        <v>https://pbs.twimg.com/profile_images/1067039778795937797/PnnLGTU4_normal.jpg</v>
      </c>
      <c r="AW3856" s="82" t="s">
        <v>15427</v>
      </c>
      <c r="AX3856" s="82" t="s">
        <v>15427</v>
      </c>
      <c r="AY3856" s="77"/>
      <c r="AZ3856" s="82" t="s">
        <v>15984</v>
      </c>
      <c r="BA3856" s="82" t="s">
        <v>15984</v>
      </c>
      <c r="BB3856" s="82" t="s">
        <v>15984</v>
      </c>
      <c r="BC3856" s="82" t="s">
        <v>15427</v>
      </c>
      <c r="BD3856" s="77">
        <v>2578778256</v>
      </c>
      <c r="BE3856" s="77"/>
      <c r="BF3856" s="77"/>
      <c r="BG3856" s="77"/>
      <c r="BH3856" s="77"/>
      <c r="BI3856" s="77"/>
    </row>
    <row r="3857" spans="1:61" x14ac:dyDescent="0.25">
      <c r="A3857" s="62" t="s">
        <v>735</v>
      </c>
      <c r="B3857" s="62" t="s">
        <v>735</v>
      </c>
      <c r="C3857" s="63"/>
      <c r="D3857" s="64"/>
      <c r="E3857" s="65"/>
      <c r="F3857" s="66"/>
      <c r="G3857" s="63"/>
      <c r="H3857" s="67"/>
      <c r="I3857" s="68"/>
      <c r="J3857" s="68"/>
      <c r="K3857" s="32"/>
      <c r="L3857" s="75">
        <v>3857</v>
      </c>
      <c r="M3857" s="75"/>
      <c r="N3857" s="70"/>
      <c r="O3857" s="77" t="s">
        <v>179</v>
      </c>
      <c r="P3857" s="79">
        <v>45134.590798611112</v>
      </c>
      <c r="Q3857" s="77" t="s">
        <v>4499</v>
      </c>
      <c r="R3857" s="77">
        <v>0</v>
      </c>
      <c r="S3857" s="77">
        <v>3</v>
      </c>
      <c r="T3857" s="77">
        <v>0</v>
      </c>
      <c r="U3857" s="77">
        <v>0</v>
      </c>
      <c r="V3857" s="77">
        <v>385</v>
      </c>
      <c r="W3857" s="82" t="s">
        <v>6411</v>
      </c>
      <c r="X3857" s="77"/>
      <c r="Y3857" s="77"/>
      <c r="Z3857" s="77"/>
      <c r="AA3857" s="77"/>
      <c r="AB3857" s="77"/>
      <c r="AC3857" s="82" t="s">
        <v>7787</v>
      </c>
      <c r="AD3857" s="77" t="s">
        <v>7788</v>
      </c>
      <c r="AE3857" s="80" t="str">
        <f>HYPERLINK("https://twitter.com/modalmais/status/1684567002248265728")</f>
        <v>https://twitter.com/modalmais/status/1684567002248265728</v>
      </c>
      <c r="AF3857" s="79">
        <v>45134.590798611112</v>
      </c>
      <c r="AG3857" s="85">
        <v>45134</v>
      </c>
      <c r="AH3857" s="82" t="s">
        <v>10266</v>
      </c>
      <c r="AI3857" s="77"/>
      <c r="AJ3857" s="77"/>
      <c r="AK3857" s="77"/>
      <c r="AL3857" s="77"/>
      <c r="AM3857" s="77"/>
      <c r="AN3857" s="77"/>
      <c r="AO3857" s="77"/>
      <c r="AP3857" s="77"/>
      <c r="AQ3857" s="77"/>
      <c r="AR3857" s="77"/>
      <c r="AS3857" s="77"/>
      <c r="AT3857" s="77"/>
      <c r="AU3857" s="77"/>
      <c r="AV3857" s="80" t="str">
        <f>HYPERLINK("https://pbs.twimg.com/profile_images/1067039778795937797/PnnLGTU4_normal.jpg")</f>
        <v>https://pbs.twimg.com/profile_images/1067039778795937797/PnnLGTU4_normal.jpg</v>
      </c>
      <c r="AW3857" s="82" t="s">
        <v>15428</v>
      </c>
      <c r="AX3857" s="82" t="s">
        <v>15428</v>
      </c>
      <c r="AY3857" s="77"/>
      <c r="AZ3857" s="82" t="s">
        <v>15984</v>
      </c>
      <c r="BA3857" s="82" t="s">
        <v>15984</v>
      </c>
      <c r="BB3857" s="82" t="s">
        <v>15984</v>
      </c>
      <c r="BC3857" s="82" t="s">
        <v>15428</v>
      </c>
      <c r="BD3857" s="77">
        <v>2578778256</v>
      </c>
      <c r="BE3857" s="77"/>
      <c r="BF3857" s="77"/>
      <c r="BG3857" s="77"/>
      <c r="BH3857" s="77"/>
      <c r="BI3857" s="77"/>
    </row>
    <row r="3858" spans="1:61" x14ac:dyDescent="0.25">
      <c r="A3858" s="62" t="s">
        <v>735</v>
      </c>
      <c r="B3858" s="62" t="s">
        <v>735</v>
      </c>
      <c r="C3858" s="63"/>
      <c r="D3858" s="64"/>
      <c r="E3858" s="65"/>
      <c r="F3858" s="66"/>
      <c r="G3858" s="63"/>
      <c r="H3858" s="67"/>
      <c r="I3858" s="68"/>
      <c r="J3858" s="68"/>
      <c r="K3858" s="32"/>
      <c r="L3858" s="75">
        <v>3858</v>
      </c>
      <c r="M3858" s="75"/>
      <c r="N3858" s="70"/>
      <c r="O3858" s="77" t="s">
        <v>179</v>
      </c>
      <c r="P3858" s="79">
        <v>45134.589965277781</v>
      </c>
      <c r="Q3858" s="77" t="s">
        <v>4500</v>
      </c>
      <c r="R3858" s="77">
        <v>0</v>
      </c>
      <c r="S3858" s="77">
        <v>0</v>
      </c>
      <c r="T3858" s="77">
        <v>1</v>
      </c>
      <c r="U3858" s="77">
        <v>0</v>
      </c>
      <c r="V3858" s="77">
        <v>307</v>
      </c>
      <c r="W3858" s="82" t="s">
        <v>6411</v>
      </c>
      <c r="X3858" s="77"/>
      <c r="Y3858" s="77"/>
      <c r="Z3858" s="77"/>
      <c r="AA3858" s="77"/>
      <c r="AB3858" s="77"/>
      <c r="AC3858" s="82" t="s">
        <v>7787</v>
      </c>
      <c r="AD3858" s="77" t="s">
        <v>7788</v>
      </c>
      <c r="AE3858" s="80" t="str">
        <f>HYPERLINK("https://twitter.com/modalmais/status/1684566699272728578")</f>
        <v>https://twitter.com/modalmais/status/1684566699272728578</v>
      </c>
      <c r="AF3858" s="79">
        <v>45134.589965277781</v>
      </c>
      <c r="AG3858" s="85">
        <v>45134</v>
      </c>
      <c r="AH3858" s="82" t="s">
        <v>10267</v>
      </c>
      <c r="AI3858" s="77"/>
      <c r="AJ3858" s="77"/>
      <c r="AK3858" s="77"/>
      <c r="AL3858" s="77"/>
      <c r="AM3858" s="77"/>
      <c r="AN3858" s="77"/>
      <c r="AO3858" s="77"/>
      <c r="AP3858" s="77"/>
      <c r="AQ3858" s="77"/>
      <c r="AR3858" s="77"/>
      <c r="AS3858" s="77"/>
      <c r="AT3858" s="77"/>
      <c r="AU3858" s="77"/>
      <c r="AV3858" s="80" t="str">
        <f>HYPERLINK("https://pbs.twimg.com/profile_images/1067039778795937797/PnnLGTU4_normal.jpg")</f>
        <v>https://pbs.twimg.com/profile_images/1067039778795937797/PnnLGTU4_normal.jpg</v>
      </c>
      <c r="AW3858" s="82" t="s">
        <v>15429</v>
      </c>
      <c r="AX3858" s="82" t="s">
        <v>15429</v>
      </c>
      <c r="AY3858" s="77"/>
      <c r="AZ3858" s="82" t="s">
        <v>15984</v>
      </c>
      <c r="BA3858" s="82" t="s">
        <v>15984</v>
      </c>
      <c r="BB3858" s="82" t="s">
        <v>15984</v>
      </c>
      <c r="BC3858" s="82" t="s">
        <v>15429</v>
      </c>
      <c r="BD3858" s="77">
        <v>2578778256</v>
      </c>
      <c r="BE3858" s="77"/>
      <c r="BF3858" s="77"/>
      <c r="BG3858" s="77"/>
      <c r="BH3858" s="77"/>
      <c r="BI3858" s="77"/>
    </row>
    <row r="3859" spans="1:61" x14ac:dyDescent="0.25">
      <c r="A3859" s="62" t="s">
        <v>735</v>
      </c>
      <c r="B3859" s="62" t="s">
        <v>735</v>
      </c>
      <c r="C3859" s="63"/>
      <c r="D3859" s="64"/>
      <c r="E3859" s="65"/>
      <c r="F3859" s="66"/>
      <c r="G3859" s="63"/>
      <c r="H3859" s="67"/>
      <c r="I3859" s="68"/>
      <c r="J3859" s="68"/>
      <c r="K3859" s="32"/>
      <c r="L3859" s="75">
        <v>3859</v>
      </c>
      <c r="M3859" s="75"/>
      <c r="N3859" s="70"/>
      <c r="O3859" s="77" t="s">
        <v>179</v>
      </c>
      <c r="P3859" s="79">
        <v>45134.538124999999</v>
      </c>
      <c r="Q3859" s="77" t="s">
        <v>4501</v>
      </c>
      <c r="R3859" s="77">
        <v>0</v>
      </c>
      <c r="S3859" s="77">
        <v>1</v>
      </c>
      <c r="T3859" s="77">
        <v>1</v>
      </c>
      <c r="U3859" s="77">
        <v>0</v>
      </c>
      <c r="V3859" s="77">
        <v>365</v>
      </c>
      <c r="W3859" s="82" t="s">
        <v>6411</v>
      </c>
      <c r="X3859" s="77"/>
      <c r="Y3859" s="77"/>
      <c r="Z3859" s="77"/>
      <c r="AA3859" s="77"/>
      <c r="AB3859" s="77"/>
      <c r="AC3859" s="82" t="s">
        <v>7787</v>
      </c>
      <c r="AD3859" s="77" t="s">
        <v>7788</v>
      </c>
      <c r="AE3859" s="80" t="str">
        <f>HYPERLINK("https://twitter.com/modalmais/status/1684547912120803329")</f>
        <v>https://twitter.com/modalmais/status/1684547912120803329</v>
      </c>
      <c r="AF3859" s="79">
        <v>45134.538124999999</v>
      </c>
      <c r="AG3859" s="85">
        <v>45134</v>
      </c>
      <c r="AH3859" s="82" t="s">
        <v>10268</v>
      </c>
      <c r="AI3859" s="77"/>
      <c r="AJ3859" s="77"/>
      <c r="AK3859" s="77"/>
      <c r="AL3859" s="77"/>
      <c r="AM3859" s="77"/>
      <c r="AN3859" s="77"/>
      <c r="AO3859" s="77"/>
      <c r="AP3859" s="77"/>
      <c r="AQ3859" s="77"/>
      <c r="AR3859" s="77"/>
      <c r="AS3859" s="77"/>
      <c r="AT3859" s="77"/>
      <c r="AU3859" s="77"/>
      <c r="AV3859" s="80" t="str">
        <f>HYPERLINK("https://pbs.twimg.com/profile_images/1067039778795937797/PnnLGTU4_normal.jpg")</f>
        <v>https://pbs.twimg.com/profile_images/1067039778795937797/PnnLGTU4_normal.jpg</v>
      </c>
      <c r="AW3859" s="82" t="s">
        <v>15430</v>
      </c>
      <c r="AX3859" s="82" t="s">
        <v>15430</v>
      </c>
      <c r="AY3859" s="77"/>
      <c r="AZ3859" s="82" t="s">
        <v>15984</v>
      </c>
      <c r="BA3859" s="82" t="s">
        <v>15984</v>
      </c>
      <c r="BB3859" s="82" t="s">
        <v>15984</v>
      </c>
      <c r="BC3859" s="82" t="s">
        <v>15430</v>
      </c>
      <c r="BD3859" s="77">
        <v>2578778256</v>
      </c>
      <c r="BE3859" s="77"/>
      <c r="BF3859" s="77"/>
      <c r="BG3859" s="77"/>
      <c r="BH3859" s="77"/>
      <c r="BI3859" s="77"/>
    </row>
    <row r="3860" spans="1:61" x14ac:dyDescent="0.25">
      <c r="A3860" s="62" t="s">
        <v>735</v>
      </c>
      <c r="B3860" s="62" t="s">
        <v>735</v>
      </c>
      <c r="C3860" s="63"/>
      <c r="D3860" s="64"/>
      <c r="E3860" s="65"/>
      <c r="F3860" s="66"/>
      <c r="G3860" s="63"/>
      <c r="H3860" s="67"/>
      <c r="I3860" s="68"/>
      <c r="J3860" s="68"/>
      <c r="K3860" s="32"/>
      <c r="L3860" s="75">
        <v>3860</v>
      </c>
      <c r="M3860" s="75"/>
      <c r="N3860" s="70"/>
      <c r="O3860" s="77" t="s">
        <v>179</v>
      </c>
      <c r="P3860" s="79">
        <v>45134.537812499999</v>
      </c>
      <c r="Q3860" s="77" t="s">
        <v>4502</v>
      </c>
      <c r="R3860" s="77">
        <v>0</v>
      </c>
      <c r="S3860" s="77">
        <v>0</v>
      </c>
      <c r="T3860" s="77">
        <v>0</v>
      </c>
      <c r="U3860" s="77">
        <v>0</v>
      </c>
      <c r="V3860" s="77">
        <v>268</v>
      </c>
      <c r="W3860" s="82" t="s">
        <v>6411</v>
      </c>
      <c r="X3860" s="80" t="str">
        <f>HYPERLINK("https://www.modalmais.com.br/morning-call/indice-nacional-de-custo-da-construcao-recua-para-006-em-julho/")</f>
        <v>https://www.modalmais.com.br/morning-call/indice-nacional-de-custo-da-construcao-recua-para-006-em-julho/</v>
      </c>
      <c r="Y3860" s="77" t="s">
        <v>6470</v>
      </c>
      <c r="Z3860" s="77"/>
      <c r="AA3860" s="77"/>
      <c r="AB3860" s="77"/>
      <c r="AC3860" s="82" t="s">
        <v>7787</v>
      </c>
      <c r="AD3860" s="77" t="s">
        <v>7788</v>
      </c>
      <c r="AE3860" s="80" t="str">
        <f>HYPERLINK("https://twitter.com/modalmais/status/1684547800233644032")</f>
        <v>https://twitter.com/modalmais/status/1684547800233644032</v>
      </c>
      <c r="AF3860" s="79">
        <v>45134.537812499999</v>
      </c>
      <c r="AG3860" s="85">
        <v>45134</v>
      </c>
      <c r="AH3860" s="82" t="s">
        <v>10269</v>
      </c>
      <c r="AI3860" s="77" t="b">
        <v>0</v>
      </c>
      <c r="AJ3860" s="77"/>
      <c r="AK3860" s="77"/>
      <c r="AL3860" s="77"/>
      <c r="AM3860" s="77"/>
      <c r="AN3860" s="77"/>
      <c r="AO3860" s="77"/>
      <c r="AP3860" s="77"/>
      <c r="AQ3860" s="77"/>
      <c r="AR3860" s="77"/>
      <c r="AS3860" s="77"/>
      <c r="AT3860" s="77"/>
      <c r="AU3860" s="77"/>
      <c r="AV3860" s="80" t="str">
        <f>HYPERLINK("https://pbs.twimg.com/profile_images/1067039778795937797/PnnLGTU4_normal.jpg")</f>
        <v>https://pbs.twimg.com/profile_images/1067039778795937797/PnnLGTU4_normal.jpg</v>
      </c>
      <c r="AW3860" s="82" t="s">
        <v>15431</v>
      </c>
      <c r="AX3860" s="82" t="s">
        <v>15431</v>
      </c>
      <c r="AY3860" s="77"/>
      <c r="AZ3860" s="82" t="s">
        <v>15984</v>
      </c>
      <c r="BA3860" s="82" t="s">
        <v>15984</v>
      </c>
      <c r="BB3860" s="82" t="s">
        <v>15984</v>
      </c>
      <c r="BC3860" s="82" t="s">
        <v>15431</v>
      </c>
      <c r="BD3860" s="77">
        <v>2578778256</v>
      </c>
      <c r="BE3860" s="77"/>
      <c r="BF3860" s="77"/>
      <c r="BG3860" s="77"/>
      <c r="BH3860" s="77"/>
      <c r="BI3860" s="77"/>
    </row>
    <row r="3861" spans="1:61" x14ac:dyDescent="0.25">
      <c r="A3861" s="62" t="s">
        <v>735</v>
      </c>
      <c r="B3861" s="62" t="s">
        <v>735</v>
      </c>
      <c r="C3861" s="63"/>
      <c r="D3861" s="64"/>
      <c r="E3861" s="65"/>
      <c r="F3861" s="66"/>
      <c r="G3861" s="63"/>
      <c r="H3861" s="67"/>
      <c r="I3861" s="68"/>
      <c r="J3861" s="68"/>
      <c r="K3861" s="32"/>
      <c r="L3861" s="75">
        <v>3861</v>
      </c>
      <c r="M3861" s="75"/>
      <c r="N3861" s="70"/>
      <c r="O3861" s="77" t="s">
        <v>179</v>
      </c>
      <c r="P3861" s="79">
        <v>45126.712754629632</v>
      </c>
      <c r="Q3861" s="77" t="s">
        <v>4503</v>
      </c>
      <c r="R3861" s="77">
        <v>1</v>
      </c>
      <c r="S3861" s="77">
        <v>3</v>
      </c>
      <c r="T3861" s="77">
        <v>1</v>
      </c>
      <c r="U3861" s="77">
        <v>0</v>
      </c>
      <c r="V3861" s="77">
        <v>332</v>
      </c>
      <c r="W3861" s="82" t="s">
        <v>6411</v>
      </c>
      <c r="X3861" s="77"/>
      <c r="Y3861" s="77"/>
      <c r="Z3861" s="77"/>
      <c r="AA3861" s="77"/>
      <c r="AB3861" s="77"/>
      <c r="AC3861" s="82" t="s">
        <v>7787</v>
      </c>
      <c r="AD3861" s="77" t="s">
        <v>7788</v>
      </c>
      <c r="AE3861" s="80" t="str">
        <f>HYPERLINK("https://twitter.com/modalmais/status/1681712094784126989")</f>
        <v>https://twitter.com/modalmais/status/1681712094784126989</v>
      </c>
      <c r="AF3861" s="79">
        <v>45126.712754629632</v>
      </c>
      <c r="AG3861" s="85">
        <v>45126</v>
      </c>
      <c r="AH3861" s="82" t="s">
        <v>10270</v>
      </c>
      <c r="AI3861" s="77"/>
      <c r="AJ3861" s="77"/>
      <c r="AK3861" s="77"/>
      <c r="AL3861" s="77"/>
      <c r="AM3861" s="77"/>
      <c r="AN3861" s="77"/>
      <c r="AO3861" s="77"/>
      <c r="AP3861" s="77"/>
      <c r="AQ3861" s="77"/>
      <c r="AR3861" s="77"/>
      <c r="AS3861" s="77"/>
      <c r="AT3861" s="77"/>
      <c r="AU3861" s="77"/>
      <c r="AV3861" s="80" t="str">
        <f>HYPERLINK("https://pbs.twimg.com/profile_images/1067039778795937797/PnnLGTU4_normal.jpg")</f>
        <v>https://pbs.twimg.com/profile_images/1067039778795937797/PnnLGTU4_normal.jpg</v>
      </c>
      <c r="AW3861" s="82" t="s">
        <v>15432</v>
      </c>
      <c r="AX3861" s="82" t="s">
        <v>15432</v>
      </c>
      <c r="AY3861" s="77"/>
      <c r="AZ3861" s="82" t="s">
        <v>15984</v>
      </c>
      <c r="BA3861" s="82" t="s">
        <v>15984</v>
      </c>
      <c r="BB3861" s="82" t="s">
        <v>15984</v>
      </c>
      <c r="BC3861" s="82" t="s">
        <v>15432</v>
      </c>
      <c r="BD3861" s="77">
        <v>2578778256</v>
      </c>
      <c r="BE3861" s="77"/>
      <c r="BF3861" s="77"/>
      <c r="BG3861" s="77"/>
      <c r="BH3861" s="77"/>
      <c r="BI3861" s="77"/>
    </row>
    <row r="3862" spans="1:61" x14ac:dyDescent="0.25">
      <c r="A3862" s="62" t="s">
        <v>735</v>
      </c>
      <c r="B3862" s="62" t="s">
        <v>735</v>
      </c>
      <c r="C3862" s="63"/>
      <c r="D3862" s="64"/>
      <c r="E3862" s="65"/>
      <c r="F3862" s="66"/>
      <c r="G3862" s="63"/>
      <c r="H3862" s="67"/>
      <c r="I3862" s="68"/>
      <c r="J3862" s="68"/>
      <c r="K3862" s="32"/>
      <c r="L3862" s="75">
        <v>3862</v>
      </c>
      <c r="M3862" s="75"/>
      <c r="N3862" s="70"/>
      <c r="O3862" s="77" t="s">
        <v>179</v>
      </c>
      <c r="P3862" s="79">
        <v>45126.674131944441</v>
      </c>
      <c r="Q3862" s="77" t="s">
        <v>4504</v>
      </c>
      <c r="R3862" s="77">
        <v>0</v>
      </c>
      <c r="S3862" s="77">
        <v>1</v>
      </c>
      <c r="T3862" s="77">
        <v>0</v>
      </c>
      <c r="U3862" s="77">
        <v>0</v>
      </c>
      <c r="V3862" s="77">
        <v>310</v>
      </c>
      <c r="W3862" s="82" t="s">
        <v>6411</v>
      </c>
      <c r="X3862" s="77"/>
      <c r="Y3862" s="77"/>
      <c r="Z3862" s="77"/>
      <c r="AA3862" s="77"/>
      <c r="AB3862" s="77"/>
      <c r="AC3862" s="82" t="s">
        <v>7787</v>
      </c>
      <c r="AD3862" s="77" t="s">
        <v>7788</v>
      </c>
      <c r="AE3862" s="80" t="str">
        <f>HYPERLINK("https://twitter.com/modalmais/status/1681698095430524928")</f>
        <v>https://twitter.com/modalmais/status/1681698095430524928</v>
      </c>
      <c r="AF3862" s="79">
        <v>45126.674131944441</v>
      </c>
      <c r="AG3862" s="85">
        <v>45126</v>
      </c>
      <c r="AH3862" s="82" t="s">
        <v>10271</v>
      </c>
      <c r="AI3862" s="77"/>
      <c r="AJ3862" s="77"/>
      <c r="AK3862" s="77"/>
      <c r="AL3862" s="77"/>
      <c r="AM3862" s="77"/>
      <c r="AN3862" s="77"/>
      <c r="AO3862" s="77"/>
      <c r="AP3862" s="77"/>
      <c r="AQ3862" s="77"/>
      <c r="AR3862" s="77"/>
      <c r="AS3862" s="77"/>
      <c r="AT3862" s="77"/>
      <c r="AU3862" s="77"/>
      <c r="AV3862" s="80" t="str">
        <f>HYPERLINK("https://pbs.twimg.com/profile_images/1067039778795937797/PnnLGTU4_normal.jpg")</f>
        <v>https://pbs.twimg.com/profile_images/1067039778795937797/PnnLGTU4_normal.jpg</v>
      </c>
      <c r="AW3862" s="82" t="s">
        <v>15433</v>
      </c>
      <c r="AX3862" s="82" t="s">
        <v>15433</v>
      </c>
      <c r="AY3862" s="77"/>
      <c r="AZ3862" s="82" t="s">
        <v>15984</v>
      </c>
      <c r="BA3862" s="82" t="s">
        <v>15984</v>
      </c>
      <c r="BB3862" s="82" t="s">
        <v>15984</v>
      </c>
      <c r="BC3862" s="82" t="s">
        <v>15433</v>
      </c>
      <c r="BD3862" s="77">
        <v>2578778256</v>
      </c>
      <c r="BE3862" s="77"/>
      <c r="BF3862" s="77"/>
      <c r="BG3862" s="77"/>
      <c r="BH3862" s="77"/>
      <c r="BI3862" s="77"/>
    </row>
    <row r="3863" spans="1:61" x14ac:dyDescent="0.25">
      <c r="A3863" s="62" t="s">
        <v>735</v>
      </c>
      <c r="B3863" s="62" t="s">
        <v>735</v>
      </c>
      <c r="C3863" s="63"/>
      <c r="D3863" s="64"/>
      <c r="E3863" s="65"/>
      <c r="F3863" s="66"/>
      <c r="G3863" s="63"/>
      <c r="H3863" s="67"/>
      <c r="I3863" s="68"/>
      <c r="J3863" s="68"/>
      <c r="K3863" s="32"/>
      <c r="L3863" s="75">
        <v>3863</v>
      </c>
      <c r="M3863" s="75"/>
      <c r="N3863" s="70"/>
      <c r="O3863" s="77" t="s">
        <v>179</v>
      </c>
      <c r="P3863" s="79">
        <v>45126.573993055557</v>
      </c>
      <c r="Q3863" s="77" t="s">
        <v>4505</v>
      </c>
      <c r="R3863" s="77">
        <v>0</v>
      </c>
      <c r="S3863" s="77">
        <v>3</v>
      </c>
      <c r="T3863" s="77">
        <v>0</v>
      </c>
      <c r="U3863" s="77">
        <v>0</v>
      </c>
      <c r="V3863" s="77">
        <v>445</v>
      </c>
      <c r="W3863" s="82" t="s">
        <v>6411</v>
      </c>
      <c r="X3863" s="77"/>
      <c r="Y3863" s="77"/>
      <c r="Z3863" s="77"/>
      <c r="AA3863" s="77"/>
      <c r="AB3863" s="77"/>
      <c r="AC3863" s="82" t="s">
        <v>7787</v>
      </c>
      <c r="AD3863" s="77" t="s">
        <v>7788</v>
      </c>
      <c r="AE3863" s="80" t="str">
        <f>HYPERLINK("https://twitter.com/modalmais/status/1681661807008645122")</f>
        <v>https://twitter.com/modalmais/status/1681661807008645122</v>
      </c>
      <c r="AF3863" s="79">
        <v>45126.573993055557</v>
      </c>
      <c r="AG3863" s="85">
        <v>45126</v>
      </c>
      <c r="AH3863" s="82" t="s">
        <v>10272</v>
      </c>
      <c r="AI3863" s="77"/>
      <c r="AJ3863" s="77"/>
      <c r="AK3863" s="77"/>
      <c r="AL3863" s="77"/>
      <c r="AM3863" s="77"/>
      <c r="AN3863" s="77"/>
      <c r="AO3863" s="77"/>
      <c r="AP3863" s="77"/>
      <c r="AQ3863" s="77"/>
      <c r="AR3863" s="77"/>
      <c r="AS3863" s="77"/>
      <c r="AT3863" s="77"/>
      <c r="AU3863" s="77"/>
      <c r="AV3863" s="80" t="str">
        <f>HYPERLINK("https://pbs.twimg.com/profile_images/1067039778795937797/PnnLGTU4_normal.jpg")</f>
        <v>https://pbs.twimg.com/profile_images/1067039778795937797/PnnLGTU4_normal.jpg</v>
      </c>
      <c r="AW3863" s="82" t="s">
        <v>15434</v>
      </c>
      <c r="AX3863" s="82" t="s">
        <v>15434</v>
      </c>
      <c r="AY3863" s="77"/>
      <c r="AZ3863" s="82" t="s">
        <v>15984</v>
      </c>
      <c r="BA3863" s="82" t="s">
        <v>15984</v>
      </c>
      <c r="BB3863" s="82" t="s">
        <v>15984</v>
      </c>
      <c r="BC3863" s="82" t="s">
        <v>15434</v>
      </c>
      <c r="BD3863" s="77">
        <v>2578778256</v>
      </c>
      <c r="BE3863" s="77"/>
      <c r="BF3863" s="77"/>
      <c r="BG3863" s="77"/>
      <c r="BH3863" s="77"/>
      <c r="BI3863" s="77"/>
    </row>
    <row r="3864" spans="1:61" x14ac:dyDescent="0.25">
      <c r="A3864" s="62" t="s">
        <v>735</v>
      </c>
      <c r="B3864" s="62" t="s">
        <v>735</v>
      </c>
      <c r="C3864" s="63"/>
      <c r="D3864" s="64"/>
      <c r="E3864" s="65"/>
      <c r="F3864" s="66"/>
      <c r="G3864" s="63"/>
      <c r="H3864" s="67"/>
      <c r="I3864" s="68"/>
      <c r="J3864" s="68"/>
      <c r="K3864" s="32"/>
      <c r="L3864" s="75">
        <v>3864</v>
      </c>
      <c r="M3864" s="75"/>
      <c r="N3864" s="70"/>
      <c r="O3864" s="77" t="s">
        <v>179</v>
      </c>
      <c r="P3864" s="79">
        <v>45126.570023148146</v>
      </c>
      <c r="Q3864" s="77" t="s">
        <v>4506</v>
      </c>
      <c r="R3864" s="77">
        <v>0</v>
      </c>
      <c r="S3864" s="77">
        <v>0</v>
      </c>
      <c r="T3864" s="77">
        <v>0</v>
      </c>
      <c r="U3864" s="77">
        <v>0</v>
      </c>
      <c r="V3864" s="77">
        <v>250</v>
      </c>
      <c r="W3864" s="82" t="s">
        <v>6411</v>
      </c>
      <c r="X3864" s="77"/>
      <c r="Y3864" s="77"/>
      <c r="Z3864" s="77"/>
      <c r="AA3864" s="77"/>
      <c r="AB3864" s="77"/>
      <c r="AC3864" s="82" t="s">
        <v>7787</v>
      </c>
      <c r="AD3864" s="77" t="s">
        <v>7788</v>
      </c>
      <c r="AE3864" s="80" t="str">
        <f>HYPERLINK("https://twitter.com/modalmais/status/1681660371235381249")</f>
        <v>https://twitter.com/modalmais/status/1681660371235381249</v>
      </c>
      <c r="AF3864" s="79">
        <v>45126.570023148146</v>
      </c>
      <c r="AG3864" s="85">
        <v>45126</v>
      </c>
      <c r="AH3864" s="82" t="s">
        <v>10273</v>
      </c>
      <c r="AI3864" s="77"/>
      <c r="AJ3864" s="77"/>
      <c r="AK3864" s="77"/>
      <c r="AL3864" s="77"/>
      <c r="AM3864" s="77"/>
      <c r="AN3864" s="77"/>
      <c r="AO3864" s="77"/>
      <c r="AP3864" s="77"/>
      <c r="AQ3864" s="77"/>
      <c r="AR3864" s="77"/>
      <c r="AS3864" s="77"/>
      <c r="AT3864" s="77"/>
      <c r="AU3864" s="77"/>
      <c r="AV3864" s="80" t="str">
        <f>HYPERLINK("https://pbs.twimg.com/profile_images/1067039778795937797/PnnLGTU4_normal.jpg")</f>
        <v>https://pbs.twimg.com/profile_images/1067039778795937797/PnnLGTU4_normal.jpg</v>
      </c>
      <c r="AW3864" s="82" t="s">
        <v>15435</v>
      </c>
      <c r="AX3864" s="82" t="s">
        <v>15435</v>
      </c>
      <c r="AY3864" s="77"/>
      <c r="AZ3864" s="82" t="s">
        <v>15984</v>
      </c>
      <c r="BA3864" s="82" t="s">
        <v>15984</v>
      </c>
      <c r="BB3864" s="82" t="s">
        <v>15984</v>
      </c>
      <c r="BC3864" s="82" t="s">
        <v>15435</v>
      </c>
      <c r="BD3864" s="77">
        <v>2578778256</v>
      </c>
      <c r="BE3864" s="77"/>
      <c r="BF3864" s="77"/>
      <c r="BG3864" s="77"/>
      <c r="BH3864" s="77"/>
      <c r="BI3864" s="77"/>
    </row>
    <row r="3865" spans="1:61" x14ac:dyDescent="0.25">
      <c r="A3865" s="62" t="s">
        <v>735</v>
      </c>
      <c r="B3865" s="62" t="s">
        <v>735</v>
      </c>
      <c r="C3865" s="63"/>
      <c r="D3865" s="64"/>
      <c r="E3865" s="65"/>
      <c r="F3865" s="66"/>
      <c r="G3865" s="63"/>
      <c r="H3865" s="67"/>
      <c r="I3865" s="68"/>
      <c r="J3865" s="68"/>
      <c r="K3865" s="32"/>
      <c r="L3865" s="75">
        <v>3865</v>
      </c>
      <c r="M3865" s="75"/>
      <c r="N3865" s="70"/>
      <c r="O3865" s="77" t="s">
        <v>179</v>
      </c>
      <c r="P3865" s="79">
        <v>45156.735069444447</v>
      </c>
      <c r="Q3865" s="77" t="s">
        <v>4507</v>
      </c>
      <c r="R3865" s="77">
        <v>0</v>
      </c>
      <c r="S3865" s="77">
        <v>1</v>
      </c>
      <c r="T3865" s="77">
        <v>0</v>
      </c>
      <c r="U3865" s="77">
        <v>0</v>
      </c>
      <c r="V3865" s="77">
        <v>319</v>
      </c>
      <c r="W3865" s="82" t="s">
        <v>6414</v>
      </c>
      <c r="X3865" s="77"/>
      <c r="Y3865" s="77"/>
      <c r="Z3865" s="77"/>
      <c r="AA3865" s="77"/>
      <c r="AB3865" s="77"/>
      <c r="AC3865" s="82" t="s">
        <v>7787</v>
      </c>
      <c r="AD3865" s="77" t="s">
        <v>7790</v>
      </c>
      <c r="AE3865" s="80" t="str">
        <f>HYPERLINK("https://twitter.com/modalmais/status/1692591815331819803")</f>
        <v>https://twitter.com/modalmais/status/1692591815331819803</v>
      </c>
      <c r="AF3865" s="79">
        <v>45156.735069444447</v>
      </c>
      <c r="AG3865" s="85">
        <v>45156</v>
      </c>
      <c r="AH3865" s="82" t="s">
        <v>10274</v>
      </c>
      <c r="AI3865" s="77"/>
      <c r="AJ3865" s="77"/>
      <c r="AK3865" s="77"/>
      <c r="AL3865" s="77"/>
      <c r="AM3865" s="77"/>
      <c r="AN3865" s="77"/>
      <c r="AO3865" s="77"/>
      <c r="AP3865" s="77"/>
      <c r="AQ3865" s="77"/>
      <c r="AR3865" s="77"/>
      <c r="AS3865" s="77"/>
      <c r="AT3865" s="77"/>
      <c r="AU3865" s="77"/>
      <c r="AV3865" s="80" t="str">
        <f>HYPERLINK("https://pbs.twimg.com/profile_images/1067039778795937797/PnnLGTU4_normal.jpg")</f>
        <v>https://pbs.twimg.com/profile_images/1067039778795937797/PnnLGTU4_normal.jpg</v>
      </c>
      <c r="AW3865" s="82" t="s">
        <v>15436</v>
      </c>
      <c r="AX3865" s="82" t="s">
        <v>15436</v>
      </c>
      <c r="AY3865" s="77"/>
      <c r="AZ3865" s="82" t="s">
        <v>15984</v>
      </c>
      <c r="BA3865" s="82" t="s">
        <v>15984</v>
      </c>
      <c r="BB3865" s="82" t="s">
        <v>15984</v>
      </c>
      <c r="BC3865" s="82" t="s">
        <v>15436</v>
      </c>
      <c r="BD3865" s="77">
        <v>2578778256</v>
      </c>
      <c r="BE3865" s="77"/>
      <c r="BF3865" s="77"/>
      <c r="BG3865" s="77"/>
      <c r="BH3865" s="77"/>
      <c r="BI3865" s="77"/>
    </row>
    <row r="3866" spans="1:61" x14ac:dyDescent="0.25">
      <c r="A3866" s="62" t="s">
        <v>735</v>
      </c>
      <c r="B3866" s="62" t="s">
        <v>735</v>
      </c>
      <c r="C3866" s="63"/>
      <c r="D3866" s="64"/>
      <c r="E3866" s="65"/>
      <c r="F3866" s="66"/>
      <c r="G3866" s="63"/>
      <c r="H3866" s="67"/>
      <c r="I3866" s="68"/>
      <c r="J3866" s="68"/>
      <c r="K3866" s="32"/>
      <c r="L3866" s="75">
        <v>3866</v>
      </c>
      <c r="M3866" s="75"/>
      <c r="N3866" s="70"/>
      <c r="O3866" s="77" t="s">
        <v>179</v>
      </c>
      <c r="P3866" s="79">
        <v>45156.734456018516</v>
      </c>
      <c r="Q3866" s="77" t="s">
        <v>4508</v>
      </c>
      <c r="R3866" s="77">
        <v>0</v>
      </c>
      <c r="S3866" s="77">
        <v>1</v>
      </c>
      <c r="T3866" s="77">
        <v>0</v>
      </c>
      <c r="U3866" s="77">
        <v>0</v>
      </c>
      <c r="V3866" s="77">
        <v>358</v>
      </c>
      <c r="W3866" s="82" t="s">
        <v>6415</v>
      </c>
      <c r="X3866" s="77"/>
      <c r="Y3866" s="77"/>
      <c r="Z3866" s="77"/>
      <c r="AA3866" s="77"/>
      <c r="AB3866" s="77"/>
      <c r="AC3866" s="82" t="s">
        <v>7787</v>
      </c>
      <c r="AD3866" s="77" t="s">
        <v>7788</v>
      </c>
      <c r="AE3866" s="80" t="str">
        <f>HYPERLINK("https://twitter.com/modalmais/status/1692591595596509453")</f>
        <v>https://twitter.com/modalmais/status/1692591595596509453</v>
      </c>
      <c r="AF3866" s="79">
        <v>45156.734456018516</v>
      </c>
      <c r="AG3866" s="85">
        <v>45156</v>
      </c>
      <c r="AH3866" s="82" t="s">
        <v>10275</v>
      </c>
      <c r="AI3866" s="77"/>
      <c r="AJ3866" s="77"/>
      <c r="AK3866" s="77"/>
      <c r="AL3866" s="77"/>
      <c r="AM3866" s="77"/>
      <c r="AN3866" s="77"/>
      <c r="AO3866" s="77"/>
      <c r="AP3866" s="77"/>
      <c r="AQ3866" s="77"/>
      <c r="AR3866" s="77"/>
      <c r="AS3866" s="77"/>
      <c r="AT3866" s="77"/>
      <c r="AU3866" s="77"/>
      <c r="AV3866" s="80" t="str">
        <f>HYPERLINK("https://pbs.twimg.com/profile_images/1067039778795937797/PnnLGTU4_normal.jpg")</f>
        <v>https://pbs.twimg.com/profile_images/1067039778795937797/PnnLGTU4_normal.jpg</v>
      </c>
      <c r="AW3866" s="82" t="s">
        <v>15437</v>
      </c>
      <c r="AX3866" s="82" t="s">
        <v>15437</v>
      </c>
      <c r="AY3866" s="77"/>
      <c r="AZ3866" s="82" t="s">
        <v>15984</v>
      </c>
      <c r="BA3866" s="82" t="s">
        <v>15984</v>
      </c>
      <c r="BB3866" s="82" t="s">
        <v>15984</v>
      </c>
      <c r="BC3866" s="82" t="s">
        <v>15437</v>
      </c>
      <c r="BD3866" s="77">
        <v>2578778256</v>
      </c>
      <c r="BE3866" s="77"/>
      <c r="BF3866" s="77"/>
      <c r="BG3866" s="77"/>
      <c r="BH3866" s="77"/>
      <c r="BI3866" s="77"/>
    </row>
    <row r="3867" spans="1:61" x14ac:dyDescent="0.25">
      <c r="A3867" s="62" t="s">
        <v>735</v>
      </c>
      <c r="B3867" s="62" t="s">
        <v>735</v>
      </c>
      <c r="C3867" s="63"/>
      <c r="D3867" s="64"/>
      <c r="E3867" s="65"/>
      <c r="F3867" s="66"/>
      <c r="G3867" s="63"/>
      <c r="H3867" s="67"/>
      <c r="I3867" s="68"/>
      <c r="J3867" s="68"/>
      <c r="K3867" s="32"/>
      <c r="L3867" s="75">
        <v>3867</v>
      </c>
      <c r="M3867" s="75"/>
      <c r="N3867" s="70"/>
      <c r="O3867" s="77" t="s">
        <v>179</v>
      </c>
      <c r="P3867" s="79">
        <v>45156.603263888886</v>
      </c>
      <c r="Q3867" s="77" t="s">
        <v>4509</v>
      </c>
      <c r="R3867" s="77">
        <v>0</v>
      </c>
      <c r="S3867" s="77">
        <v>2</v>
      </c>
      <c r="T3867" s="77">
        <v>0</v>
      </c>
      <c r="U3867" s="77">
        <v>0</v>
      </c>
      <c r="V3867" s="77">
        <v>399</v>
      </c>
      <c r="W3867" s="82" t="s">
        <v>6416</v>
      </c>
      <c r="X3867" s="77"/>
      <c r="Y3867" s="77"/>
      <c r="Z3867" s="77"/>
      <c r="AA3867" s="77"/>
      <c r="AB3867" s="77"/>
      <c r="AC3867" s="82" t="s">
        <v>7787</v>
      </c>
      <c r="AD3867" s="77" t="s">
        <v>7788</v>
      </c>
      <c r="AE3867" s="80" t="str">
        <f>HYPERLINK("https://twitter.com/modalmais/status/1692544049998094831")</f>
        <v>https://twitter.com/modalmais/status/1692544049998094831</v>
      </c>
      <c r="AF3867" s="79">
        <v>45156.603263888886</v>
      </c>
      <c r="AG3867" s="85">
        <v>45156</v>
      </c>
      <c r="AH3867" s="82" t="s">
        <v>10276</v>
      </c>
      <c r="AI3867" s="77"/>
      <c r="AJ3867" s="77"/>
      <c r="AK3867" s="77"/>
      <c r="AL3867" s="77"/>
      <c r="AM3867" s="77"/>
      <c r="AN3867" s="77"/>
      <c r="AO3867" s="77"/>
      <c r="AP3867" s="77"/>
      <c r="AQ3867" s="77"/>
      <c r="AR3867" s="77"/>
      <c r="AS3867" s="77"/>
      <c r="AT3867" s="77"/>
      <c r="AU3867" s="77"/>
      <c r="AV3867" s="80" t="str">
        <f>HYPERLINK("https://pbs.twimg.com/profile_images/1067039778795937797/PnnLGTU4_normal.jpg")</f>
        <v>https://pbs.twimg.com/profile_images/1067039778795937797/PnnLGTU4_normal.jpg</v>
      </c>
      <c r="AW3867" s="82" t="s">
        <v>15438</v>
      </c>
      <c r="AX3867" s="82" t="s">
        <v>15438</v>
      </c>
      <c r="AY3867" s="77"/>
      <c r="AZ3867" s="82" t="s">
        <v>15984</v>
      </c>
      <c r="BA3867" s="82" t="s">
        <v>15984</v>
      </c>
      <c r="BB3867" s="82" t="s">
        <v>15984</v>
      </c>
      <c r="BC3867" s="82" t="s">
        <v>15438</v>
      </c>
      <c r="BD3867" s="77">
        <v>2578778256</v>
      </c>
      <c r="BE3867" s="77"/>
      <c r="BF3867" s="77"/>
      <c r="BG3867" s="77"/>
      <c r="BH3867" s="77"/>
      <c r="BI3867" s="77"/>
    </row>
    <row r="3868" spans="1:61" x14ac:dyDescent="0.25">
      <c r="A3868" s="62" t="s">
        <v>735</v>
      </c>
      <c r="B3868" s="62" t="s">
        <v>735</v>
      </c>
      <c r="C3868" s="63"/>
      <c r="D3868" s="64"/>
      <c r="E3868" s="65"/>
      <c r="F3868" s="66"/>
      <c r="G3868" s="63"/>
      <c r="H3868" s="67"/>
      <c r="I3868" s="68"/>
      <c r="J3868" s="68"/>
      <c r="K3868" s="32"/>
      <c r="L3868" s="75">
        <v>3868</v>
      </c>
      <c r="M3868" s="75"/>
      <c r="N3868" s="70"/>
      <c r="O3868" s="77" t="s">
        <v>179</v>
      </c>
      <c r="P3868" s="79">
        <v>45156.567627314813</v>
      </c>
      <c r="Q3868" s="77" t="s">
        <v>4510</v>
      </c>
      <c r="R3868" s="77">
        <v>0</v>
      </c>
      <c r="S3868" s="77">
        <v>2</v>
      </c>
      <c r="T3868" s="77">
        <v>1</v>
      </c>
      <c r="U3868" s="77">
        <v>0</v>
      </c>
      <c r="V3868" s="77">
        <v>350</v>
      </c>
      <c r="W3868" s="82" t="s">
        <v>6417</v>
      </c>
      <c r="X3868" s="77"/>
      <c r="Y3868" s="77"/>
      <c r="Z3868" s="77"/>
      <c r="AA3868" s="77"/>
      <c r="AB3868" s="77"/>
      <c r="AC3868" s="82" t="s">
        <v>7787</v>
      </c>
      <c r="AD3868" s="77" t="s">
        <v>7788</v>
      </c>
      <c r="AE3868" s="80" t="str">
        <f>HYPERLINK("https://twitter.com/modalmais/status/1692531138735001763")</f>
        <v>https://twitter.com/modalmais/status/1692531138735001763</v>
      </c>
      <c r="AF3868" s="79">
        <v>45156.567627314813</v>
      </c>
      <c r="AG3868" s="85">
        <v>45156</v>
      </c>
      <c r="AH3868" s="82" t="s">
        <v>10277</v>
      </c>
      <c r="AI3868" s="77"/>
      <c r="AJ3868" s="77"/>
      <c r="AK3868" s="77"/>
      <c r="AL3868" s="77"/>
      <c r="AM3868" s="77"/>
      <c r="AN3868" s="77"/>
      <c r="AO3868" s="77"/>
      <c r="AP3868" s="77"/>
      <c r="AQ3868" s="77"/>
      <c r="AR3868" s="77"/>
      <c r="AS3868" s="77"/>
      <c r="AT3868" s="77"/>
      <c r="AU3868" s="77"/>
      <c r="AV3868" s="80" t="str">
        <f>HYPERLINK("https://pbs.twimg.com/profile_images/1067039778795937797/PnnLGTU4_normal.jpg")</f>
        <v>https://pbs.twimg.com/profile_images/1067039778795937797/PnnLGTU4_normal.jpg</v>
      </c>
      <c r="AW3868" s="82" t="s">
        <v>15439</v>
      </c>
      <c r="AX3868" s="82" t="s">
        <v>15439</v>
      </c>
      <c r="AY3868" s="77"/>
      <c r="AZ3868" s="82" t="s">
        <v>15984</v>
      </c>
      <c r="BA3868" s="82" t="s">
        <v>15984</v>
      </c>
      <c r="BB3868" s="82" t="s">
        <v>15984</v>
      </c>
      <c r="BC3868" s="82" t="s">
        <v>15439</v>
      </c>
      <c r="BD3868" s="77">
        <v>2578778256</v>
      </c>
      <c r="BE3868" s="77"/>
      <c r="BF3868" s="77"/>
      <c r="BG3868" s="77"/>
      <c r="BH3868" s="77"/>
      <c r="BI3868" s="77"/>
    </row>
    <row r="3869" spans="1:61" x14ac:dyDescent="0.25">
      <c r="A3869" s="62" t="s">
        <v>735</v>
      </c>
      <c r="B3869" s="62" t="s">
        <v>735</v>
      </c>
      <c r="C3869" s="63"/>
      <c r="D3869" s="64"/>
      <c r="E3869" s="65"/>
      <c r="F3869" s="66"/>
      <c r="G3869" s="63"/>
      <c r="H3869" s="67"/>
      <c r="I3869" s="68"/>
      <c r="J3869" s="68"/>
      <c r="K3869" s="32"/>
      <c r="L3869" s="75">
        <v>3869</v>
      </c>
      <c r="M3869" s="75"/>
      <c r="N3869" s="70"/>
      <c r="O3869" s="77" t="s">
        <v>179</v>
      </c>
      <c r="P3869" s="79">
        <v>45156.513622685183</v>
      </c>
      <c r="Q3869" s="77" t="s">
        <v>4511</v>
      </c>
      <c r="R3869" s="77">
        <v>0</v>
      </c>
      <c r="S3869" s="77">
        <v>0</v>
      </c>
      <c r="T3869" s="77">
        <v>0</v>
      </c>
      <c r="U3869" s="77">
        <v>0</v>
      </c>
      <c r="V3869" s="77">
        <v>284</v>
      </c>
      <c r="W3869" s="82" t="s">
        <v>6414</v>
      </c>
      <c r="X3869" s="77"/>
      <c r="Y3869" s="77"/>
      <c r="Z3869" s="77"/>
      <c r="AA3869" s="77"/>
      <c r="AB3869" s="77"/>
      <c r="AC3869" s="82" t="s">
        <v>7787</v>
      </c>
      <c r="AD3869" s="77" t="s">
        <v>7793</v>
      </c>
      <c r="AE3869" s="80" t="str">
        <f>HYPERLINK("https://twitter.com/modalmais/status/1692511567252697307")</f>
        <v>https://twitter.com/modalmais/status/1692511567252697307</v>
      </c>
      <c r="AF3869" s="79">
        <v>45156.513622685183</v>
      </c>
      <c r="AG3869" s="85">
        <v>45156</v>
      </c>
      <c r="AH3869" s="82" t="s">
        <v>10278</v>
      </c>
      <c r="AI3869" s="77"/>
      <c r="AJ3869" s="77"/>
      <c r="AK3869" s="77"/>
      <c r="AL3869" s="77"/>
      <c r="AM3869" s="77"/>
      <c r="AN3869" s="77"/>
      <c r="AO3869" s="77"/>
      <c r="AP3869" s="77"/>
      <c r="AQ3869" s="77"/>
      <c r="AR3869" s="77"/>
      <c r="AS3869" s="77"/>
      <c r="AT3869" s="77"/>
      <c r="AU3869" s="77"/>
      <c r="AV3869" s="80" t="str">
        <f>HYPERLINK("https://pbs.twimg.com/profile_images/1067039778795937797/PnnLGTU4_normal.jpg")</f>
        <v>https://pbs.twimg.com/profile_images/1067039778795937797/PnnLGTU4_normal.jpg</v>
      </c>
      <c r="AW3869" s="82" t="s">
        <v>15440</v>
      </c>
      <c r="AX3869" s="82" t="s">
        <v>15440</v>
      </c>
      <c r="AY3869" s="77"/>
      <c r="AZ3869" s="82" t="s">
        <v>15984</v>
      </c>
      <c r="BA3869" s="82" t="s">
        <v>15984</v>
      </c>
      <c r="BB3869" s="82" t="s">
        <v>15984</v>
      </c>
      <c r="BC3869" s="82" t="s">
        <v>15440</v>
      </c>
      <c r="BD3869" s="77">
        <v>2578778256</v>
      </c>
      <c r="BE3869" s="77"/>
      <c r="BF3869" s="77"/>
      <c r="BG3869" s="77"/>
      <c r="BH3869" s="77"/>
      <c r="BI3869" s="77"/>
    </row>
    <row r="3870" spans="1:61" x14ac:dyDescent="0.25">
      <c r="A3870" s="62" t="s">
        <v>735</v>
      </c>
      <c r="B3870" s="62" t="s">
        <v>735</v>
      </c>
      <c r="C3870" s="63"/>
      <c r="D3870" s="64"/>
      <c r="E3870" s="65"/>
      <c r="F3870" s="66"/>
      <c r="G3870" s="63"/>
      <c r="H3870" s="67"/>
      <c r="I3870" s="68"/>
      <c r="J3870" s="68"/>
      <c r="K3870" s="32"/>
      <c r="L3870" s="75">
        <v>3870</v>
      </c>
      <c r="M3870" s="75"/>
      <c r="N3870" s="70"/>
      <c r="O3870" s="77" t="s">
        <v>179</v>
      </c>
      <c r="P3870" s="79">
        <v>45156.512766203705</v>
      </c>
      <c r="Q3870" s="77" t="s">
        <v>4512</v>
      </c>
      <c r="R3870" s="77">
        <v>1</v>
      </c>
      <c r="S3870" s="77">
        <v>0</v>
      </c>
      <c r="T3870" s="77">
        <v>1</v>
      </c>
      <c r="U3870" s="77">
        <v>0</v>
      </c>
      <c r="V3870" s="77">
        <v>346</v>
      </c>
      <c r="W3870" s="82" t="s">
        <v>6414</v>
      </c>
      <c r="X3870" s="77"/>
      <c r="Y3870" s="77"/>
      <c r="Z3870" s="77"/>
      <c r="AA3870" s="77"/>
      <c r="AB3870" s="77"/>
      <c r="AC3870" s="82" t="s">
        <v>7787</v>
      </c>
      <c r="AD3870" s="77" t="s">
        <v>7797</v>
      </c>
      <c r="AE3870" s="80" t="str">
        <f>HYPERLINK("https://twitter.com/modalmais/status/1692511256547037189")</f>
        <v>https://twitter.com/modalmais/status/1692511256547037189</v>
      </c>
      <c r="AF3870" s="79">
        <v>45156.512766203705</v>
      </c>
      <c r="AG3870" s="85">
        <v>45156</v>
      </c>
      <c r="AH3870" s="82" t="s">
        <v>10279</v>
      </c>
      <c r="AI3870" s="77"/>
      <c r="AJ3870" s="77"/>
      <c r="AK3870" s="77"/>
      <c r="AL3870" s="77"/>
      <c r="AM3870" s="77"/>
      <c r="AN3870" s="77"/>
      <c r="AO3870" s="77"/>
      <c r="AP3870" s="77"/>
      <c r="AQ3870" s="77"/>
      <c r="AR3870" s="77"/>
      <c r="AS3870" s="77"/>
      <c r="AT3870" s="77"/>
      <c r="AU3870" s="77"/>
      <c r="AV3870" s="80" t="str">
        <f>HYPERLINK("https://pbs.twimg.com/profile_images/1067039778795937797/PnnLGTU4_normal.jpg")</f>
        <v>https://pbs.twimg.com/profile_images/1067039778795937797/PnnLGTU4_normal.jpg</v>
      </c>
      <c r="AW3870" s="82" t="s">
        <v>15441</v>
      </c>
      <c r="AX3870" s="82" t="s">
        <v>15441</v>
      </c>
      <c r="AY3870" s="77"/>
      <c r="AZ3870" s="82" t="s">
        <v>15984</v>
      </c>
      <c r="BA3870" s="82" t="s">
        <v>15984</v>
      </c>
      <c r="BB3870" s="82" t="s">
        <v>15984</v>
      </c>
      <c r="BC3870" s="82" t="s">
        <v>15441</v>
      </c>
      <c r="BD3870" s="77">
        <v>2578778256</v>
      </c>
      <c r="BE3870" s="77"/>
      <c r="BF3870" s="77"/>
      <c r="BG3870" s="77"/>
      <c r="BH3870" s="77"/>
      <c r="BI3870" s="77"/>
    </row>
    <row r="3871" spans="1:61" x14ac:dyDescent="0.25">
      <c r="A3871" s="62" t="s">
        <v>735</v>
      </c>
      <c r="B3871" s="62" t="s">
        <v>735</v>
      </c>
      <c r="C3871" s="63"/>
      <c r="D3871" s="64"/>
      <c r="E3871" s="65"/>
      <c r="F3871" s="66"/>
      <c r="G3871" s="63"/>
      <c r="H3871" s="67"/>
      <c r="I3871" s="68"/>
      <c r="J3871" s="68"/>
      <c r="K3871" s="32"/>
      <c r="L3871" s="75">
        <v>3871</v>
      </c>
      <c r="M3871" s="75"/>
      <c r="N3871" s="70"/>
      <c r="O3871" s="77" t="s">
        <v>179</v>
      </c>
      <c r="P3871" s="79">
        <v>45156.508344907408</v>
      </c>
      <c r="Q3871" s="77" t="s">
        <v>4513</v>
      </c>
      <c r="R3871" s="77">
        <v>1</v>
      </c>
      <c r="S3871" s="77">
        <v>1</v>
      </c>
      <c r="T3871" s="77">
        <v>2</v>
      </c>
      <c r="U3871" s="77">
        <v>0</v>
      </c>
      <c r="V3871" s="77">
        <v>358</v>
      </c>
      <c r="W3871" s="82" t="s">
        <v>6418</v>
      </c>
      <c r="X3871" s="80" t="str">
        <f>HYPERLINK("https://www.youtube.com/watch?v=44kYRpwqgjU")</f>
        <v>https://www.youtube.com/watch?v=44kYRpwqgjU</v>
      </c>
      <c r="Y3871" s="77" t="s">
        <v>6480</v>
      </c>
      <c r="Z3871" s="77"/>
      <c r="AA3871" s="77"/>
      <c r="AB3871" s="77"/>
      <c r="AC3871" s="82" t="s">
        <v>7787</v>
      </c>
      <c r="AD3871" s="77" t="s">
        <v>7788</v>
      </c>
      <c r="AE3871" s="80" t="str">
        <f>HYPERLINK("https://twitter.com/modalmais/status/1692509652980797652")</f>
        <v>https://twitter.com/modalmais/status/1692509652980797652</v>
      </c>
      <c r="AF3871" s="79">
        <v>45156.508344907408</v>
      </c>
      <c r="AG3871" s="85">
        <v>45156</v>
      </c>
      <c r="AH3871" s="82" t="s">
        <v>10280</v>
      </c>
      <c r="AI3871" s="77" t="b">
        <v>0</v>
      </c>
      <c r="AJ3871" s="77"/>
      <c r="AK3871" s="77"/>
      <c r="AL3871" s="77"/>
      <c r="AM3871" s="77"/>
      <c r="AN3871" s="77"/>
      <c r="AO3871" s="77"/>
      <c r="AP3871" s="77"/>
      <c r="AQ3871" s="77"/>
      <c r="AR3871" s="77"/>
      <c r="AS3871" s="77"/>
      <c r="AT3871" s="77"/>
      <c r="AU3871" s="77"/>
      <c r="AV3871" s="80" t="str">
        <f>HYPERLINK("https://pbs.twimg.com/profile_images/1067039778795937797/PnnLGTU4_normal.jpg")</f>
        <v>https://pbs.twimg.com/profile_images/1067039778795937797/PnnLGTU4_normal.jpg</v>
      </c>
      <c r="AW3871" s="82" t="s">
        <v>15442</v>
      </c>
      <c r="AX3871" s="82" t="s">
        <v>15442</v>
      </c>
      <c r="AY3871" s="77"/>
      <c r="AZ3871" s="82" t="s">
        <v>15984</v>
      </c>
      <c r="BA3871" s="82" t="s">
        <v>15984</v>
      </c>
      <c r="BB3871" s="82" t="s">
        <v>15984</v>
      </c>
      <c r="BC3871" s="82" t="s">
        <v>15442</v>
      </c>
      <c r="BD3871" s="77">
        <v>2578778256</v>
      </c>
      <c r="BE3871" s="77"/>
      <c r="BF3871" s="77"/>
      <c r="BG3871" s="77"/>
      <c r="BH3871" s="77"/>
      <c r="BI3871" s="77"/>
    </row>
    <row r="3872" spans="1:61" x14ac:dyDescent="0.25">
      <c r="A3872" s="62" t="s">
        <v>735</v>
      </c>
      <c r="B3872" s="62" t="s">
        <v>735</v>
      </c>
      <c r="C3872" s="63"/>
      <c r="D3872" s="64"/>
      <c r="E3872" s="65"/>
      <c r="F3872" s="66"/>
      <c r="G3872" s="63"/>
      <c r="H3872" s="67"/>
      <c r="I3872" s="68"/>
      <c r="J3872" s="68"/>
      <c r="K3872" s="32"/>
      <c r="L3872" s="75">
        <v>3872</v>
      </c>
      <c r="M3872" s="75"/>
      <c r="N3872" s="70"/>
      <c r="O3872" s="77" t="s">
        <v>179</v>
      </c>
      <c r="P3872" s="79">
        <v>45133.56962962963</v>
      </c>
      <c r="Q3872" s="77" t="s">
        <v>4514</v>
      </c>
      <c r="R3872" s="77">
        <v>0</v>
      </c>
      <c r="S3872" s="77">
        <v>1</v>
      </c>
      <c r="T3872" s="77">
        <v>0</v>
      </c>
      <c r="U3872" s="77">
        <v>0</v>
      </c>
      <c r="V3872" s="77">
        <v>287</v>
      </c>
      <c r="W3872" s="82" t="s">
        <v>6411</v>
      </c>
      <c r="X3872" s="77"/>
      <c r="Y3872" s="77"/>
      <c r="Z3872" s="77"/>
      <c r="AA3872" s="77"/>
      <c r="AB3872" s="77"/>
      <c r="AC3872" s="82" t="s">
        <v>7787</v>
      </c>
      <c r="AD3872" s="77" t="s">
        <v>7788</v>
      </c>
      <c r="AE3872" s="80" t="str">
        <f>HYPERLINK("https://twitter.com/modalmais/status/1684196942207762433")</f>
        <v>https://twitter.com/modalmais/status/1684196942207762433</v>
      </c>
      <c r="AF3872" s="79">
        <v>45133.56962962963</v>
      </c>
      <c r="AG3872" s="85">
        <v>45133</v>
      </c>
      <c r="AH3872" s="82" t="s">
        <v>10281</v>
      </c>
      <c r="AI3872" s="77"/>
      <c r="AJ3872" s="77"/>
      <c r="AK3872" s="77"/>
      <c r="AL3872" s="77"/>
      <c r="AM3872" s="77"/>
      <c r="AN3872" s="77"/>
      <c r="AO3872" s="77"/>
      <c r="AP3872" s="77"/>
      <c r="AQ3872" s="77"/>
      <c r="AR3872" s="77"/>
      <c r="AS3872" s="77"/>
      <c r="AT3872" s="77"/>
      <c r="AU3872" s="77"/>
      <c r="AV3872" s="80" t="str">
        <f>HYPERLINK("https://pbs.twimg.com/profile_images/1067039778795937797/PnnLGTU4_normal.jpg")</f>
        <v>https://pbs.twimg.com/profile_images/1067039778795937797/PnnLGTU4_normal.jpg</v>
      </c>
      <c r="AW3872" s="82" t="s">
        <v>15443</v>
      </c>
      <c r="AX3872" s="82" t="s">
        <v>15443</v>
      </c>
      <c r="AY3872" s="77"/>
      <c r="AZ3872" s="82" t="s">
        <v>15984</v>
      </c>
      <c r="BA3872" s="82" t="s">
        <v>15984</v>
      </c>
      <c r="BB3872" s="82" t="s">
        <v>15984</v>
      </c>
      <c r="BC3872" s="82" t="s">
        <v>15443</v>
      </c>
      <c r="BD3872" s="77">
        <v>2578778256</v>
      </c>
      <c r="BE3872" s="77"/>
      <c r="BF3872" s="77"/>
      <c r="BG3872" s="77"/>
      <c r="BH3872" s="77"/>
      <c r="BI3872" s="77"/>
    </row>
    <row r="3873" spans="1:61" x14ac:dyDescent="0.25">
      <c r="A3873" s="62" t="s">
        <v>735</v>
      </c>
      <c r="B3873" s="62" t="s">
        <v>735</v>
      </c>
      <c r="C3873" s="63"/>
      <c r="D3873" s="64"/>
      <c r="E3873" s="65"/>
      <c r="F3873" s="66"/>
      <c r="G3873" s="63"/>
      <c r="H3873" s="67"/>
      <c r="I3873" s="68"/>
      <c r="J3873" s="68"/>
      <c r="K3873" s="32"/>
      <c r="L3873" s="75">
        <v>3873</v>
      </c>
      <c r="M3873" s="75"/>
      <c r="N3873" s="70"/>
      <c r="O3873" s="77" t="s">
        <v>179</v>
      </c>
      <c r="P3873" s="79">
        <v>45133.544282407405</v>
      </c>
      <c r="Q3873" s="77" t="s">
        <v>4515</v>
      </c>
      <c r="R3873" s="77">
        <v>0</v>
      </c>
      <c r="S3873" s="77">
        <v>1</v>
      </c>
      <c r="T3873" s="77">
        <v>0</v>
      </c>
      <c r="U3873" s="77">
        <v>0</v>
      </c>
      <c r="V3873" s="77">
        <v>309</v>
      </c>
      <c r="W3873" s="82" t="s">
        <v>6411</v>
      </c>
      <c r="X3873" s="77"/>
      <c r="Y3873" s="77"/>
      <c r="Z3873" s="77"/>
      <c r="AA3873" s="77"/>
      <c r="AB3873" s="77"/>
      <c r="AC3873" s="82" t="s">
        <v>7787</v>
      </c>
      <c r="AD3873" s="77" t="s">
        <v>7793</v>
      </c>
      <c r="AE3873" s="80" t="str">
        <f>HYPERLINK("https://twitter.com/modalmais/status/1684187755641815040")</f>
        <v>https://twitter.com/modalmais/status/1684187755641815040</v>
      </c>
      <c r="AF3873" s="79">
        <v>45133.544282407405</v>
      </c>
      <c r="AG3873" s="85">
        <v>45133</v>
      </c>
      <c r="AH3873" s="82" t="s">
        <v>10282</v>
      </c>
      <c r="AI3873" s="77"/>
      <c r="AJ3873" s="77"/>
      <c r="AK3873" s="77"/>
      <c r="AL3873" s="77"/>
      <c r="AM3873" s="77"/>
      <c r="AN3873" s="77"/>
      <c r="AO3873" s="77"/>
      <c r="AP3873" s="77"/>
      <c r="AQ3873" s="77"/>
      <c r="AR3873" s="77"/>
      <c r="AS3873" s="77"/>
      <c r="AT3873" s="77"/>
      <c r="AU3873" s="77"/>
      <c r="AV3873" s="80" t="str">
        <f>HYPERLINK("https://pbs.twimg.com/profile_images/1067039778795937797/PnnLGTU4_normal.jpg")</f>
        <v>https://pbs.twimg.com/profile_images/1067039778795937797/PnnLGTU4_normal.jpg</v>
      </c>
      <c r="AW3873" s="82" t="s">
        <v>15444</v>
      </c>
      <c r="AX3873" s="82" t="s">
        <v>15444</v>
      </c>
      <c r="AY3873" s="77"/>
      <c r="AZ3873" s="82" t="s">
        <v>15984</v>
      </c>
      <c r="BA3873" s="82" t="s">
        <v>15984</v>
      </c>
      <c r="BB3873" s="82" t="s">
        <v>15984</v>
      </c>
      <c r="BC3873" s="82" t="s">
        <v>15444</v>
      </c>
      <c r="BD3873" s="77">
        <v>2578778256</v>
      </c>
      <c r="BE3873" s="77"/>
      <c r="BF3873" s="77"/>
      <c r="BG3873" s="77"/>
      <c r="BH3873" s="77"/>
      <c r="BI3873" s="77"/>
    </row>
    <row r="3874" spans="1:61" x14ac:dyDescent="0.25">
      <c r="A3874" s="62" t="s">
        <v>735</v>
      </c>
      <c r="B3874" s="62" t="s">
        <v>735</v>
      </c>
      <c r="C3874" s="63"/>
      <c r="D3874" s="64"/>
      <c r="E3874" s="65"/>
      <c r="F3874" s="66"/>
      <c r="G3874" s="63"/>
      <c r="H3874" s="67"/>
      <c r="I3874" s="68"/>
      <c r="J3874" s="68"/>
      <c r="K3874" s="32"/>
      <c r="L3874" s="75">
        <v>3874</v>
      </c>
      <c r="M3874" s="75"/>
      <c r="N3874" s="70"/>
      <c r="O3874" s="77" t="s">
        <v>179</v>
      </c>
      <c r="P3874" s="79">
        <v>45133.543425925927</v>
      </c>
      <c r="Q3874" s="77" t="s">
        <v>4516</v>
      </c>
      <c r="R3874" s="77">
        <v>0</v>
      </c>
      <c r="S3874" s="77">
        <v>1</v>
      </c>
      <c r="T3874" s="77">
        <v>0</v>
      </c>
      <c r="U3874" s="77">
        <v>0</v>
      </c>
      <c r="V3874" s="77">
        <v>282</v>
      </c>
      <c r="W3874" s="82" t="s">
        <v>6411</v>
      </c>
      <c r="X3874" s="77"/>
      <c r="Y3874" s="77"/>
      <c r="Z3874" s="77"/>
      <c r="AA3874" s="77"/>
      <c r="AB3874" s="77"/>
      <c r="AC3874" s="82" t="s">
        <v>7787</v>
      </c>
      <c r="AD3874" s="77" t="s">
        <v>7797</v>
      </c>
      <c r="AE3874" s="80" t="str">
        <f>HYPERLINK("https://twitter.com/modalmais/status/1684187446462894080")</f>
        <v>https://twitter.com/modalmais/status/1684187446462894080</v>
      </c>
      <c r="AF3874" s="79">
        <v>45133.543425925927</v>
      </c>
      <c r="AG3874" s="85">
        <v>45133</v>
      </c>
      <c r="AH3874" s="82" t="s">
        <v>10283</v>
      </c>
      <c r="AI3874" s="77"/>
      <c r="AJ3874" s="77"/>
      <c r="AK3874" s="77"/>
      <c r="AL3874" s="77"/>
      <c r="AM3874" s="77"/>
      <c r="AN3874" s="77"/>
      <c r="AO3874" s="77"/>
      <c r="AP3874" s="77"/>
      <c r="AQ3874" s="77"/>
      <c r="AR3874" s="77"/>
      <c r="AS3874" s="77"/>
      <c r="AT3874" s="77"/>
      <c r="AU3874" s="77"/>
      <c r="AV3874" s="80" t="str">
        <f>HYPERLINK("https://pbs.twimg.com/profile_images/1067039778795937797/PnnLGTU4_normal.jpg")</f>
        <v>https://pbs.twimg.com/profile_images/1067039778795937797/PnnLGTU4_normal.jpg</v>
      </c>
      <c r="AW3874" s="82" t="s">
        <v>15445</v>
      </c>
      <c r="AX3874" s="82" t="s">
        <v>15445</v>
      </c>
      <c r="AY3874" s="77"/>
      <c r="AZ3874" s="82" t="s">
        <v>15984</v>
      </c>
      <c r="BA3874" s="82" t="s">
        <v>15984</v>
      </c>
      <c r="BB3874" s="82" t="s">
        <v>15984</v>
      </c>
      <c r="BC3874" s="82" t="s">
        <v>15445</v>
      </c>
      <c r="BD3874" s="77">
        <v>2578778256</v>
      </c>
      <c r="BE3874" s="77"/>
      <c r="BF3874" s="77"/>
      <c r="BG3874" s="77"/>
      <c r="BH3874" s="77"/>
      <c r="BI3874" s="77"/>
    </row>
    <row r="3875" spans="1:61" x14ac:dyDescent="0.25">
      <c r="A3875" s="62" t="s">
        <v>735</v>
      </c>
      <c r="B3875" s="62" t="s">
        <v>735</v>
      </c>
      <c r="C3875" s="63"/>
      <c r="D3875" s="64"/>
      <c r="E3875" s="65"/>
      <c r="F3875" s="66"/>
      <c r="G3875" s="63"/>
      <c r="H3875" s="67"/>
      <c r="I3875" s="68"/>
      <c r="J3875" s="68"/>
      <c r="K3875" s="32"/>
      <c r="L3875" s="75">
        <v>3875</v>
      </c>
      <c r="M3875" s="75"/>
      <c r="N3875" s="70"/>
      <c r="O3875" s="77" t="s">
        <v>179</v>
      </c>
      <c r="P3875" s="79">
        <v>45133.542905092596</v>
      </c>
      <c r="Q3875" s="77" t="s">
        <v>4517</v>
      </c>
      <c r="R3875" s="77">
        <v>0</v>
      </c>
      <c r="S3875" s="77">
        <v>0</v>
      </c>
      <c r="T3875" s="77">
        <v>0</v>
      </c>
      <c r="U3875" s="77">
        <v>0</v>
      </c>
      <c r="V3875" s="77">
        <v>291</v>
      </c>
      <c r="W3875" s="82" t="s">
        <v>6411</v>
      </c>
      <c r="X3875" s="77"/>
      <c r="Y3875" s="77"/>
      <c r="Z3875" s="77"/>
      <c r="AA3875" s="77"/>
      <c r="AB3875" s="77"/>
      <c r="AC3875" s="82" t="s">
        <v>7787</v>
      </c>
      <c r="AD3875" s="77" t="s">
        <v>7788</v>
      </c>
      <c r="AE3875" s="80" t="str">
        <f>HYPERLINK("https://twitter.com/modalmais/status/1684187258679701507")</f>
        <v>https://twitter.com/modalmais/status/1684187258679701507</v>
      </c>
      <c r="AF3875" s="79">
        <v>45133.542905092596</v>
      </c>
      <c r="AG3875" s="85">
        <v>45133</v>
      </c>
      <c r="AH3875" s="82" t="s">
        <v>10284</v>
      </c>
      <c r="AI3875" s="77"/>
      <c r="AJ3875" s="77"/>
      <c r="AK3875" s="77"/>
      <c r="AL3875" s="77"/>
      <c r="AM3875" s="77"/>
      <c r="AN3875" s="77"/>
      <c r="AO3875" s="77"/>
      <c r="AP3875" s="77"/>
      <c r="AQ3875" s="77"/>
      <c r="AR3875" s="77"/>
      <c r="AS3875" s="77"/>
      <c r="AT3875" s="77"/>
      <c r="AU3875" s="77"/>
      <c r="AV3875" s="80" t="str">
        <f>HYPERLINK("https://pbs.twimg.com/profile_images/1067039778795937797/PnnLGTU4_normal.jpg")</f>
        <v>https://pbs.twimg.com/profile_images/1067039778795937797/PnnLGTU4_normal.jpg</v>
      </c>
      <c r="AW3875" s="82" t="s">
        <v>15446</v>
      </c>
      <c r="AX3875" s="82" t="s">
        <v>15446</v>
      </c>
      <c r="AY3875" s="77"/>
      <c r="AZ3875" s="82" t="s">
        <v>15984</v>
      </c>
      <c r="BA3875" s="82" t="s">
        <v>15984</v>
      </c>
      <c r="BB3875" s="82" t="s">
        <v>15984</v>
      </c>
      <c r="BC3875" s="82" t="s">
        <v>15446</v>
      </c>
      <c r="BD3875" s="77">
        <v>2578778256</v>
      </c>
      <c r="BE3875" s="77"/>
      <c r="BF3875" s="77"/>
      <c r="BG3875" s="77"/>
      <c r="BH3875" s="77"/>
      <c r="BI3875" s="77"/>
    </row>
    <row r="3876" spans="1:61" x14ac:dyDescent="0.25">
      <c r="A3876" s="62" t="s">
        <v>735</v>
      </c>
      <c r="B3876" s="62" t="s">
        <v>735</v>
      </c>
      <c r="C3876" s="63"/>
      <c r="D3876" s="64"/>
      <c r="E3876" s="65"/>
      <c r="F3876" s="66"/>
      <c r="G3876" s="63"/>
      <c r="H3876" s="67"/>
      <c r="I3876" s="68"/>
      <c r="J3876" s="68"/>
      <c r="K3876" s="32"/>
      <c r="L3876" s="75">
        <v>3876</v>
      </c>
      <c r="M3876" s="75"/>
      <c r="N3876" s="70"/>
      <c r="O3876" s="77" t="s">
        <v>179</v>
      </c>
      <c r="P3876" s="79">
        <v>45133.542395833334</v>
      </c>
      <c r="Q3876" s="77" t="s">
        <v>4518</v>
      </c>
      <c r="R3876" s="77">
        <v>0</v>
      </c>
      <c r="S3876" s="77">
        <v>0</v>
      </c>
      <c r="T3876" s="77">
        <v>0</v>
      </c>
      <c r="U3876" s="77">
        <v>0</v>
      </c>
      <c r="V3876" s="77">
        <v>272</v>
      </c>
      <c r="W3876" s="82" t="s">
        <v>6411</v>
      </c>
      <c r="X3876" s="77"/>
      <c r="Y3876" s="77"/>
      <c r="Z3876" s="77"/>
      <c r="AA3876" s="77"/>
      <c r="AB3876" s="77"/>
      <c r="AC3876" s="82" t="s">
        <v>7787</v>
      </c>
      <c r="AD3876" s="77" t="s">
        <v>7788</v>
      </c>
      <c r="AE3876" s="80" t="str">
        <f>HYPERLINK("https://twitter.com/modalmais/status/1684187074730119170")</f>
        <v>https://twitter.com/modalmais/status/1684187074730119170</v>
      </c>
      <c r="AF3876" s="79">
        <v>45133.542395833334</v>
      </c>
      <c r="AG3876" s="85">
        <v>45133</v>
      </c>
      <c r="AH3876" s="82" t="s">
        <v>10285</v>
      </c>
      <c r="AI3876" s="77"/>
      <c r="AJ3876" s="77"/>
      <c r="AK3876" s="77"/>
      <c r="AL3876" s="77"/>
      <c r="AM3876" s="77"/>
      <c r="AN3876" s="77"/>
      <c r="AO3876" s="77"/>
      <c r="AP3876" s="77"/>
      <c r="AQ3876" s="77"/>
      <c r="AR3876" s="77"/>
      <c r="AS3876" s="77"/>
      <c r="AT3876" s="77"/>
      <c r="AU3876" s="77"/>
      <c r="AV3876" s="80" t="str">
        <f>HYPERLINK("https://pbs.twimg.com/profile_images/1067039778795937797/PnnLGTU4_normal.jpg")</f>
        <v>https://pbs.twimg.com/profile_images/1067039778795937797/PnnLGTU4_normal.jpg</v>
      </c>
      <c r="AW3876" s="82" t="s">
        <v>15447</v>
      </c>
      <c r="AX3876" s="82" t="s">
        <v>15447</v>
      </c>
      <c r="AY3876" s="77"/>
      <c r="AZ3876" s="82" t="s">
        <v>15984</v>
      </c>
      <c r="BA3876" s="82" t="s">
        <v>15984</v>
      </c>
      <c r="BB3876" s="82" t="s">
        <v>15984</v>
      </c>
      <c r="BC3876" s="82" t="s">
        <v>15447</v>
      </c>
      <c r="BD3876" s="77">
        <v>2578778256</v>
      </c>
      <c r="BE3876" s="77"/>
      <c r="BF3876" s="77"/>
      <c r="BG3876" s="77"/>
      <c r="BH3876" s="77"/>
      <c r="BI3876" s="77"/>
    </row>
    <row r="3877" spans="1:61" x14ac:dyDescent="0.25">
      <c r="A3877" s="62" t="s">
        <v>735</v>
      </c>
      <c r="B3877" s="62" t="s">
        <v>735</v>
      </c>
      <c r="C3877" s="63"/>
      <c r="D3877" s="64"/>
      <c r="E3877" s="65"/>
      <c r="F3877" s="66"/>
      <c r="G3877" s="63"/>
      <c r="H3877" s="67"/>
      <c r="I3877" s="68"/>
      <c r="J3877" s="68"/>
      <c r="K3877" s="32"/>
      <c r="L3877" s="75">
        <v>3877</v>
      </c>
      <c r="M3877" s="75"/>
      <c r="N3877" s="70"/>
      <c r="O3877" s="77" t="s">
        <v>179</v>
      </c>
      <c r="P3877" s="79">
        <v>45160.586041666669</v>
      </c>
      <c r="Q3877" s="77" t="s">
        <v>4519</v>
      </c>
      <c r="R3877" s="77">
        <v>0</v>
      </c>
      <c r="S3877" s="77">
        <v>2</v>
      </c>
      <c r="T3877" s="77">
        <v>0</v>
      </c>
      <c r="U3877" s="77">
        <v>0</v>
      </c>
      <c r="V3877" s="77">
        <v>346</v>
      </c>
      <c r="W3877" s="82" t="s">
        <v>6414</v>
      </c>
      <c r="X3877" s="77"/>
      <c r="Y3877" s="77"/>
      <c r="Z3877" s="77"/>
      <c r="AA3877" s="77"/>
      <c r="AB3877" s="77"/>
      <c r="AC3877" s="82" t="s">
        <v>7787</v>
      </c>
      <c r="AD3877" s="77" t="s">
        <v>7788</v>
      </c>
      <c r="AE3877" s="80" t="str">
        <f>HYPERLINK("https://twitter.com/modalmais/status/1693987362316210433")</f>
        <v>https://twitter.com/modalmais/status/1693987362316210433</v>
      </c>
      <c r="AF3877" s="79">
        <v>45160.586041666669</v>
      </c>
      <c r="AG3877" s="85">
        <v>45160</v>
      </c>
      <c r="AH3877" s="82" t="s">
        <v>10286</v>
      </c>
      <c r="AI3877" s="77"/>
      <c r="AJ3877" s="77"/>
      <c r="AK3877" s="77"/>
      <c r="AL3877" s="77"/>
      <c r="AM3877" s="77"/>
      <c r="AN3877" s="77"/>
      <c r="AO3877" s="77"/>
      <c r="AP3877" s="77"/>
      <c r="AQ3877" s="77"/>
      <c r="AR3877" s="77"/>
      <c r="AS3877" s="77"/>
      <c r="AT3877" s="77"/>
      <c r="AU3877" s="77"/>
      <c r="AV3877" s="80" t="str">
        <f>HYPERLINK("https://pbs.twimg.com/profile_images/1067039778795937797/PnnLGTU4_normal.jpg")</f>
        <v>https://pbs.twimg.com/profile_images/1067039778795937797/PnnLGTU4_normal.jpg</v>
      </c>
      <c r="AW3877" s="82" t="s">
        <v>15448</v>
      </c>
      <c r="AX3877" s="82" t="s">
        <v>15448</v>
      </c>
      <c r="AY3877" s="77"/>
      <c r="AZ3877" s="82" t="s">
        <v>15984</v>
      </c>
      <c r="BA3877" s="82" t="s">
        <v>15984</v>
      </c>
      <c r="BB3877" s="82" t="s">
        <v>15984</v>
      </c>
      <c r="BC3877" s="82" t="s">
        <v>15448</v>
      </c>
      <c r="BD3877" s="77">
        <v>2578778256</v>
      </c>
      <c r="BE3877" s="77"/>
      <c r="BF3877" s="77"/>
      <c r="BG3877" s="77"/>
      <c r="BH3877" s="77"/>
      <c r="BI3877" s="77"/>
    </row>
    <row r="3878" spans="1:61" x14ac:dyDescent="0.25">
      <c r="A3878" s="62" t="s">
        <v>735</v>
      </c>
      <c r="B3878" s="62" t="s">
        <v>735</v>
      </c>
      <c r="C3878" s="63"/>
      <c r="D3878" s="64"/>
      <c r="E3878" s="65"/>
      <c r="F3878" s="66"/>
      <c r="G3878" s="63"/>
      <c r="H3878" s="67"/>
      <c r="I3878" s="68"/>
      <c r="J3878" s="68"/>
      <c r="K3878" s="32"/>
      <c r="L3878" s="75">
        <v>3878</v>
      </c>
      <c r="M3878" s="75"/>
      <c r="N3878" s="70"/>
      <c r="O3878" s="77" t="s">
        <v>179</v>
      </c>
      <c r="P3878" s="79">
        <v>45160.585706018515</v>
      </c>
      <c r="Q3878" s="77" t="s">
        <v>4520</v>
      </c>
      <c r="R3878" s="77">
        <v>0</v>
      </c>
      <c r="S3878" s="77">
        <v>2</v>
      </c>
      <c r="T3878" s="77">
        <v>0</v>
      </c>
      <c r="U3878" s="77">
        <v>0</v>
      </c>
      <c r="V3878" s="77">
        <v>288</v>
      </c>
      <c r="W3878" s="82" t="s">
        <v>6414</v>
      </c>
      <c r="X3878" s="80" t="str">
        <f>HYPERLINK("https://www.modalmais.com.br/morning-call/igp-m-recua-006-na-segunda-previa-de-agosto/")</f>
        <v>https://www.modalmais.com.br/morning-call/igp-m-recua-006-na-segunda-previa-de-agosto/</v>
      </c>
      <c r="Y3878" s="77" t="s">
        <v>6470</v>
      </c>
      <c r="Z3878" s="77"/>
      <c r="AA3878" s="77"/>
      <c r="AB3878" s="77"/>
      <c r="AC3878" s="82" t="s">
        <v>7787</v>
      </c>
      <c r="AD3878" s="77" t="s">
        <v>7788</v>
      </c>
      <c r="AE3878" s="80" t="str">
        <f>HYPERLINK("https://twitter.com/modalmais/status/1693987240488452465")</f>
        <v>https://twitter.com/modalmais/status/1693987240488452465</v>
      </c>
      <c r="AF3878" s="79">
        <v>45160.585706018515</v>
      </c>
      <c r="AG3878" s="85">
        <v>45160</v>
      </c>
      <c r="AH3878" s="82" t="s">
        <v>10287</v>
      </c>
      <c r="AI3878" s="77" t="b">
        <v>0</v>
      </c>
      <c r="AJ3878" s="77"/>
      <c r="AK3878" s="77"/>
      <c r="AL3878" s="77"/>
      <c r="AM3878" s="77"/>
      <c r="AN3878" s="77"/>
      <c r="AO3878" s="77"/>
      <c r="AP3878" s="77"/>
      <c r="AQ3878" s="77"/>
      <c r="AR3878" s="77"/>
      <c r="AS3878" s="77"/>
      <c r="AT3878" s="77"/>
      <c r="AU3878" s="77"/>
      <c r="AV3878" s="80" t="str">
        <f>HYPERLINK("https://pbs.twimg.com/profile_images/1067039778795937797/PnnLGTU4_normal.jpg")</f>
        <v>https://pbs.twimg.com/profile_images/1067039778795937797/PnnLGTU4_normal.jpg</v>
      </c>
      <c r="AW3878" s="82" t="s">
        <v>15449</v>
      </c>
      <c r="AX3878" s="82" t="s">
        <v>15449</v>
      </c>
      <c r="AY3878" s="77"/>
      <c r="AZ3878" s="82" t="s">
        <v>15984</v>
      </c>
      <c r="BA3878" s="82" t="s">
        <v>15984</v>
      </c>
      <c r="BB3878" s="82" t="s">
        <v>15984</v>
      </c>
      <c r="BC3878" s="82" t="s">
        <v>15449</v>
      </c>
      <c r="BD3878" s="77">
        <v>2578778256</v>
      </c>
      <c r="BE3878" s="77"/>
      <c r="BF3878" s="77"/>
      <c r="BG3878" s="77"/>
      <c r="BH3878" s="77"/>
      <c r="BI3878" s="77"/>
    </row>
    <row r="3879" spans="1:61" x14ac:dyDescent="0.25">
      <c r="A3879" s="62" t="s">
        <v>735</v>
      </c>
      <c r="B3879" s="62" t="s">
        <v>735</v>
      </c>
      <c r="C3879" s="63"/>
      <c r="D3879" s="64"/>
      <c r="E3879" s="65"/>
      <c r="F3879" s="66"/>
      <c r="G3879" s="63"/>
      <c r="H3879" s="67"/>
      <c r="I3879" s="68"/>
      <c r="J3879" s="68"/>
      <c r="K3879" s="32"/>
      <c r="L3879" s="75">
        <v>3879</v>
      </c>
      <c r="M3879" s="75"/>
      <c r="N3879" s="70"/>
      <c r="O3879" s="77" t="s">
        <v>179</v>
      </c>
      <c r="P3879" s="79">
        <v>45153.703657407408</v>
      </c>
      <c r="Q3879" s="77" t="s">
        <v>4521</v>
      </c>
      <c r="R3879" s="77">
        <v>0</v>
      </c>
      <c r="S3879" s="77">
        <v>1</v>
      </c>
      <c r="T3879" s="77">
        <v>0</v>
      </c>
      <c r="U3879" s="77">
        <v>0</v>
      </c>
      <c r="V3879" s="77">
        <v>274</v>
      </c>
      <c r="W3879" s="82" t="s">
        <v>6413</v>
      </c>
      <c r="X3879" s="77"/>
      <c r="Y3879" s="77"/>
      <c r="Z3879" s="77"/>
      <c r="AA3879" s="77"/>
      <c r="AB3879" s="77"/>
      <c r="AC3879" s="82" t="s">
        <v>7787</v>
      </c>
      <c r="AD3879" s="77" t="s">
        <v>7788</v>
      </c>
      <c r="AE3879" s="80" t="str">
        <f>HYPERLINK("https://twitter.com/modalmais/status/1691493270029840391")</f>
        <v>https://twitter.com/modalmais/status/1691493270029840391</v>
      </c>
      <c r="AF3879" s="79">
        <v>45153.703657407408</v>
      </c>
      <c r="AG3879" s="85">
        <v>45153</v>
      </c>
      <c r="AH3879" s="82" t="s">
        <v>10288</v>
      </c>
      <c r="AI3879" s="77"/>
      <c r="AJ3879" s="77"/>
      <c r="AK3879" s="77"/>
      <c r="AL3879" s="77"/>
      <c r="AM3879" s="77"/>
      <c r="AN3879" s="77"/>
      <c r="AO3879" s="77"/>
      <c r="AP3879" s="77"/>
      <c r="AQ3879" s="77"/>
      <c r="AR3879" s="77"/>
      <c r="AS3879" s="77"/>
      <c r="AT3879" s="77"/>
      <c r="AU3879" s="77"/>
      <c r="AV3879" s="80" t="str">
        <f>HYPERLINK("https://pbs.twimg.com/profile_images/1067039778795937797/PnnLGTU4_normal.jpg")</f>
        <v>https://pbs.twimg.com/profile_images/1067039778795937797/PnnLGTU4_normal.jpg</v>
      </c>
      <c r="AW3879" s="82" t="s">
        <v>15450</v>
      </c>
      <c r="AX3879" s="82" t="s">
        <v>15450</v>
      </c>
      <c r="AY3879" s="77"/>
      <c r="AZ3879" s="82" t="s">
        <v>15984</v>
      </c>
      <c r="BA3879" s="82" t="s">
        <v>15984</v>
      </c>
      <c r="BB3879" s="82" t="s">
        <v>15984</v>
      </c>
      <c r="BC3879" s="82" t="s">
        <v>15450</v>
      </c>
      <c r="BD3879" s="77">
        <v>2578778256</v>
      </c>
      <c r="BE3879" s="77"/>
      <c r="BF3879" s="77"/>
      <c r="BG3879" s="77"/>
      <c r="BH3879" s="77"/>
      <c r="BI3879" s="77"/>
    </row>
    <row r="3880" spans="1:61" x14ac:dyDescent="0.25">
      <c r="A3880" s="62" t="s">
        <v>735</v>
      </c>
      <c r="B3880" s="62" t="s">
        <v>735</v>
      </c>
      <c r="C3880" s="63"/>
      <c r="D3880" s="64"/>
      <c r="E3880" s="65"/>
      <c r="F3880" s="66"/>
      <c r="G3880" s="63"/>
      <c r="H3880" s="67"/>
      <c r="I3880" s="68"/>
      <c r="J3880" s="68"/>
      <c r="K3880" s="32"/>
      <c r="L3880" s="75">
        <v>3880</v>
      </c>
      <c r="M3880" s="75"/>
      <c r="N3880" s="70"/>
      <c r="O3880" s="77" t="s">
        <v>179</v>
      </c>
      <c r="P3880" s="79">
        <v>45153.703217592592</v>
      </c>
      <c r="Q3880" s="77" t="s">
        <v>4522</v>
      </c>
      <c r="R3880" s="77">
        <v>0</v>
      </c>
      <c r="S3880" s="77">
        <v>1</v>
      </c>
      <c r="T3880" s="77">
        <v>1</v>
      </c>
      <c r="U3880" s="77">
        <v>0</v>
      </c>
      <c r="V3880" s="77">
        <v>254</v>
      </c>
      <c r="W3880" s="82" t="s">
        <v>6413</v>
      </c>
      <c r="X3880" s="77"/>
      <c r="Y3880" s="77"/>
      <c r="Z3880" s="77"/>
      <c r="AA3880" s="77"/>
      <c r="AB3880" s="77"/>
      <c r="AC3880" s="82" t="s">
        <v>7787</v>
      </c>
      <c r="AD3880" s="77" t="s">
        <v>7790</v>
      </c>
      <c r="AE3880" s="80" t="str">
        <f>HYPERLINK("https://twitter.com/modalmais/status/1691493108318449684")</f>
        <v>https://twitter.com/modalmais/status/1691493108318449684</v>
      </c>
      <c r="AF3880" s="79">
        <v>45153.703217592592</v>
      </c>
      <c r="AG3880" s="85">
        <v>45153</v>
      </c>
      <c r="AH3880" s="82" t="s">
        <v>10289</v>
      </c>
      <c r="AI3880" s="77"/>
      <c r="AJ3880" s="77"/>
      <c r="AK3880" s="77"/>
      <c r="AL3880" s="77"/>
      <c r="AM3880" s="77"/>
      <c r="AN3880" s="77"/>
      <c r="AO3880" s="77"/>
      <c r="AP3880" s="77"/>
      <c r="AQ3880" s="77"/>
      <c r="AR3880" s="77"/>
      <c r="AS3880" s="77"/>
      <c r="AT3880" s="77"/>
      <c r="AU3880" s="77"/>
      <c r="AV3880" s="80" t="str">
        <f>HYPERLINK("https://pbs.twimg.com/profile_images/1067039778795937797/PnnLGTU4_normal.jpg")</f>
        <v>https://pbs.twimg.com/profile_images/1067039778795937797/PnnLGTU4_normal.jpg</v>
      </c>
      <c r="AW3880" s="82" t="s">
        <v>15451</v>
      </c>
      <c r="AX3880" s="82" t="s">
        <v>15451</v>
      </c>
      <c r="AY3880" s="77"/>
      <c r="AZ3880" s="82" t="s">
        <v>15984</v>
      </c>
      <c r="BA3880" s="82" t="s">
        <v>15984</v>
      </c>
      <c r="BB3880" s="82" t="s">
        <v>15984</v>
      </c>
      <c r="BC3880" s="82" t="s">
        <v>15451</v>
      </c>
      <c r="BD3880" s="77">
        <v>2578778256</v>
      </c>
      <c r="BE3880" s="77"/>
      <c r="BF3880" s="77"/>
      <c r="BG3880" s="77"/>
      <c r="BH3880" s="77"/>
      <c r="BI3880" s="77"/>
    </row>
    <row r="3881" spans="1:61" x14ac:dyDescent="0.25">
      <c r="A3881" s="62" t="s">
        <v>735</v>
      </c>
      <c r="B3881" s="62" t="s">
        <v>735</v>
      </c>
      <c r="C3881" s="63"/>
      <c r="D3881" s="64"/>
      <c r="E3881" s="65"/>
      <c r="F3881" s="66"/>
      <c r="G3881" s="63"/>
      <c r="H3881" s="67"/>
      <c r="I3881" s="68"/>
      <c r="J3881" s="68"/>
      <c r="K3881" s="32"/>
      <c r="L3881" s="75">
        <v>3881</v>
      </c>
      <c r="M3881" s="75"/>
      <c r="N3881" s="70"/>
      <c r="O3881" s="77" t="s">
        <v>179</v>
      </c>
      <c r="P3881" s="79">
        <v>45153.701006944444</v>
      </c>
      <c r="Q3881" s="77" t="s">
        <v>4523</v>
      </c>
      <c r="R3881" s="77">
        <v>0</v>
      </c>
      <c r="S3881" s="77">
        <v>1</v>
      </c>
      <c r="T3881" s="77">
        <v>0</v>
      </c>
      <c r="U3881" s="77">
        <v>0</v>
      </c>
      <c r="V3881" s="77">
        <v>318</v>
      </c>
      <c r="W3881" s="82" t="s">
        <v>6419</v>
      </c>
      <c r="X3881" s="77"/>
      <c r="Y3881" s="77"/>
      <c r="Z3881" s="77"/>
      <c r="AA3881" s="77"/>
      <c r="AB3881" s="77"/>
      <c r="AC3881" s="82" t="s">
        <v>7787</v>
      </c>
      <c r="AD3881" s="77" t="s">
        <v>7788</v>
      </c>
      <c r="AE3881" s="80" t="str">
        <f>HYPERLINK("https://twitter.com/modalmais/status/1691492308980576421")</f>
        <v>https://twitter.com/modalmais/status/1691492308980576421</v>
      </c>
      <c r="AF3881" s="79">
        <v>45153.701006944444</v>
      </c>
      <c r="AG3881" s="85">
        <v>45153</v>
      </c>
      <c r="AH3881" s="82" t="s">
        <v>10290</v>
      </c>
      <c r="AI3881" s="77"/>
      <c r="AJ3881" s="77"/>
      <c r="AK3881" s="77"/>
      <c r="AL3881" s="77"/>
      <c r="AM3881" s="77"/>
      <c r="AN3881" s="77"/>
      <c r="AO3881" s="77"/>
      <c r="AP3881" s="77"/>
      <c r="AQ3881" s="77"/>
      <c r="AR3881" s="77"/>
      <c r="AS3881" s="77"/>
      <c r="AT3881" s="77"/>
      <c r="AU3881" s="77"/>
      <c r="AV3881" s="80" t="str">
        <f>HYPERLINK("https://pbs.twimg.com/profile_images/1067039778795937797/PnnLGTU4_normal.jpg")</f>
        <v>https://pbs.twimg.com/profile_images/1067039778795937797/PnnLGTU4_normal.jpg</v>
      </c>
      <c r="AW3881" s="82" t="s">
        <v>15452</v>
      </c>
      <c r="AX3881" s="82" t="s">
        <v>15452</v>
      </c>
      <c r="AY3881" s="77"/>
      <c r="AZ3881" s="82" t="s">
        <v>15984</v>
      </c>
      <c r="BA3881" s="82" t="s">
        <v>15984</v>
      </c>
      <c r="BB3881" s="82" t="s">
        <v>15984</v>
      </c>
      <c r="BC3881" s="82" t="s">
        <v>15452</v>
      </c>
      <c r="BD3881" s="77">
        <v>2578778256</v>
      </c>
      <c r="BE3881" s="77"/>
      <c r="BF3881" s="77"/>
      <c r="BG3881" s="77"/>
      <c r="BH3881" s="77"/>
      <c r="BI3881" s="77"/>
    </row>
    <row r="3882" spans="1:61" x14ac:dyDescent="0.25">
      <c r="A3882" s="62" t="s">
        <v>735</v>
      </c>
      <c r="B3882" s="62" t="s">
        <v>735</v>
      </c>
      <c r="C3882" s="63"/>
      <c r="D3882" s="64"/>
      <c r="E3882" s="65"/>
      <c r="F3882" s="66"/>
      <c r="G3882" s="63"/>
      <c r="H3882" s="67"/>
      <c r="I3882" s="68"/>
      <c r="J3882" s="68"/>
      <c r="K3882" s="32"/>
      <c r="L3882" s="75">
        <v>3882</v>
      </c>
      <c r="M3882" s="75"/>
      <c r="N3882" s="70"/>
      <c r="O3882" s="77" t="s">
        <v>179</v>
      </c>
      <c r="P3882" s="79">
        <v>45132.619351851848</v>
      </c>
      <c r="Q3882" s="77" t="s">
        <v>4524</v>
      </c>
      <c r="R3882" s="77">
        <v>0</v>
      </c>
      <c r="S3882" s="77">
        <v>1</v>
      </c>
      <c r="T3882" s="77">
        <v>0</v>
      </c>
      <c r="U3882" s="77">
        <v>0</v>
      </c>
      <c r="V3882" s="77">
        <v>593</v>
      </c>
      <c r="W3882" s="82" t="s">
        <v>6410</v>
      </c>
      <c r="X3882" s="77"/>
      <c r="Y3882" s="77"/>
      <c r="Z3882" s="77"/>
      <c r="AA3882" s="77"/>
      <c r="AB3882" s="77"/>
      <c r="AC3882" s="82" t="s">
        <v>7787</v>
      </c>
      <c r="AD3882" s="77" t="s">
        <v>7788</v>
      </c>
      <c r="AE3882" s="80" t="str">
        <f>HYPERLINK("https://twitter.com/modalmais/status/1683852573369835520")</f>
        <v>https://twitter.com/modalmais/status/1683852573369835520</v>
      </c>
      <c r="AF3882" s="79">
        <v>45132.619351851848</v>
      </c>
      <c r="AG3882" s="85">
        <v>45132</v>
      </c>
      <c r="AH3882" s="82" t="s">
        <v>10291</v>
      </c>
      <c r="AI3882" s="77"/>
      <c r="AJ3882" s="77"/>
      <c r="AK3882" s="77"/>
      <c r="AL3882" s="77"/>
      <c r="AM3882" s="77"/>
      <c r="AN3882" s="77"/>
      <c r="AO3882" s="77"/>
      <c r="AP3882" s="77"/>
      <c r="AQ3882" s="77"/>
      <c r="AR3882" s="77"/>
      <c r="AS3882" s="77"/>
      <c r="AT3882" s="77"/>
      <c r="AU3882" s="77"/>
      <c r="AV3882" s="80" t="str">
        <f>HYPERLINK("https://pbs.twimg.com/profile_images/1067039778795937797/PnnLGTU4_normal.jpg")</f>
        <v>https://pbs.twimg.com/profile_images/1067039778795937797/PnnLGTU4_normal.jpg</v>
      </c>
      <c r="AW3882" s="82" t="s">
        <v>15453</v>
      </c>
      <c r="AX3882" s="82" t="s">
        <v>15453</v>
      </c>
      <c r="AY3882" s="77"/>
      <c r="AZ3882" s="82" t="s">
        <v>15984</v>
      </c>
      <c r="BA3882" s="82" t="s">
        <v>15984</v>
      </c>
      <c r="BB3882" s="82" t="s">
        <v>15984</v>
      </c>
      <c r="BC3882" s="82" t="s">
        <v>15453</v>
      </c>
      <c r="BD3882" s="77">
        <v>2578778256</v>
      </c>
      <c r="BE3882" s="77"/>
      <c r="BF3882" s="77"/>
      <c r="BG3882" s="77"/>
      <c r="BH3882" s="77"/>
      <c r="BI3882" s="77"/>
    </row>
    <row r="3883" spans="1:61" x14ac:dyDescent="0.25">
      <c r="A3883" s="62" t="s">
        <v>735</v>
      </c>
      <c r="B3883" s="62" t="s">
        <v>735</v>
      </c>
      <c r="C3883" s="63"/>
      <c r="D3883" s="64"/>
      <c r="E3883" s="65"/>
      <c r="F3883" s="66"/>
      <c r="G3883" s="63"/>
      <c r="H3883" s="67"/>
      <c r="I3883" s="68"/>
      <c r="J3883" s="68"/>
      <c r="K3883" s="32"/>
      <c r="L3883" s="75">
        <v>3883</v>
      </c>
      <c r="M3883" s="75"/>
      <c r="N3883" s="70"/>
      <c r="O3883" s="77" t="s">
        <v>179</v>
      </c>
      <c r="P3883" s="79">
        <v>45132.578310185185</v>
      </c>
      <c r="Q3883" s="77" t="s">
        <v>4525</v>
      </c>
      <c r="R3883" s="77">
        <v>0</v>
      </c>
      <c r="S3883" s="77">
        <v>1</v>
      </c>
      <c r="T3883" s="77">
        <v>0</v>
      </c>
      <c r="U3883" s="77">
        <v>0</v>
      </c>
      <c r="V3883" s="77">
        <v>300</v>
      </c>
      <c r="W3883" s="82" t="s">
        <v>6411</v>
      </c>
      <c r="X3883" s="77"/>
      <c r="Y3883" s="77"/>
      <c r="Z3883" s="77"/>
      <c r="AA3883" s="77"/>
      <c r="AB3883" s="77"/>
      <c r="AC3883" s="82" t="s">
        <v>7787</v>
      </c>
      <c r="AD3883" s="77" t="s">
        <v>7788</v>
      </c>
      <c r="AE3883" s="80" t="str">
        <f>HYPERLINK("https://twitter.com/modalmais/status/1683837699067617280")</f>
        <v>https://twitter.com/modalmais/status/1683837699067617280</v>
      </c>
      <c r="AF3883" s="79">
        <v>45132.578310185185</v>
      </c>
      <c r="AG3883" s="85">
        <v>45132</v>
      </c>
      <c r="AH3883" s="82" t="s">
        <v>10292</v>
      </c>
      <c r="AI3883" s="77"/>
      <c r="AJ3883" s="77"/>
      <c r="AK3883" s="77"/>
      <c r="AL3883" s="77"/>
      <c r="AM3883" s="77"/>
      <c r="AN3883" s="77"/>
      <c r="AO3883" s="77"/>
      <c r="AP3883" s="77"/>
      <c r="AQ3883" s="77"/>
      <c r="AR3883" s="77"/>
      <c r="AS3883" s="77"/>
      <c r="AT3883" s="77"/>
      <c r="AU3883" s="77"/>
      <c r="AV3883" s="80" t="str">
        <f>HYPERLINK("https://pbs.twimg.com/profile_images/1067039778795937797/PnnLGTU4_normal.jpg")</f>
        <v>https://pbs.twimg.com/profile_images/1067039778795937797/PnnLGTU4_normal.jpg</v>
      </c>
      <c r="AW3883" s="82" t="s">
        <v>15454</v>
      </c>
      <c r="AX3883" s="82" t="s">
        <v>15454</v>
      </c>
      <c r="AY3883" s="77"/>
      <c r="AZ3883" s="82" t="s">
        <v>15984</v>
      </c>
      <c r="BA3883" s="82" t="s">
        <v>15984</v>
      </c>
      <c r="BB3883" s="82" t="s">
        <v>15984</v>
      </c>
      <c r="BC3883" s="82" t="s">
        <v>15454</v>
      </c>
      <c r="BD3883" s="77">
        <v>2578778256</v>
      </c>
      <c r="BE3883" s="77"/>
      <c r="BF3883" s="77"/>
      <c r="BG3883" s="77"/>
      <c r="BH3883" s="77"/>
      <c r="BI3883" s="77"/>
    </row>
    <row r="3884" spans="1:61" x14ac:dyDescent="0.25">
      <c r="A3884" s="62" t="s">
        <v>735</v>
      </c>
      <c r="B3884" s="62" t="s">
        <v>735</v>
      </c>
      <c r="C3884" s="63"/>
      <c r="D3884" s="64"/>
      <c r="E3884" s="65"/>
      <c r="F3884" s="66"/>
      <c r="G3884" s="63"/>
      <c r="H3884" s="67"/>
      <c r="I3884" s="68"/>
      <c r="J3884" s="68"/>
      <c r="K3884" s="32"/>
      <c r="L3884" s="75">
        <v>3884</v>
      </c>
      <c r="M3884" s="75"/>
      <c r="N3884" s="70"/>
      <c r="O3884" s="77" t="s">
        <v>179</v>
      </c>
      <c r="P3884" s="79">
        <v>45132.577581018515</v>
      </c>
      <c r="Q3884" s="77" t="s">
        <v>4526</v>
      </c>
      <c r="R3884" s="77">
        <v>0</v>
      </c>
      <c r="S3884" s="77">
        <v>2</v>
      </c>
      <c r="T3884" s="77">
        <v>0</v>
      </c>
      <c r="U3884" s="77">
        <v>0</v>
      </c>
      <c r="V3884" s="77">
        <v>406</v>
      </c>
      <c r="W3884" s="82" t="s">
        <v>6410</v>
      </c>
      <c r="X3884" s="77"/>
      <c r="Y3884" s="77"/>
      <c r="Z3884" s="77"/>
      <c r="AA3884" s="77"/>
      <c r="AB3884" s="77"/>
      <c r="AC3884" s="82" t="s">
        <v>7787</v>
      </c>
      <c r="AD3884" s="77" t="s">
        <v>7788</v>
      </c>
      <c r="AE3884" s="80" t="str">
        <f>HYPERLINK("https://twitter.com/modalmais/status/1683837434726092804")</f>
        <v>https://twitter.com/modalmais/status/1683837434726092804</v>
      </c>
      <c r="AF3884" s="79">
        <v>45132.577581018515</v>
      </c>
      <c r="AG3884" s="85">
        <v>45132</v>
      </c>
      <c r="AH3884" s="82" t="s">
        <v>10293</v>
      </c>
      <c r="AI3884" s="77"/>
      <c r="AJ3884" s="77"/>
      <c r="AK3884" s="77"/>
      <c r="AL3884" s="77"/>
      <c r="AM3884" s="77"/>
      <c r="AN3884" s="77"/>
      <c r="AO3884" s="77"/>
      <c r="AP3884" s="77"/>
      <c r="AQ3884" s="77"/>
      <c r="AR3884" s="77"/>
      <c r="AS3884" s="77"/>
      <c r="AT3884" s="77"/>
      <c r="AU3884" s="77"/>
      <c r="AV3884" s="80" t="str">
        <f>HYPERLINK("https://pbs.twimg.com/profile_images/1067039778795937797/PnnLGTU4_normal.jpg")</f>
        <v>https://pbs.twimg.com/profile_images/1067039778795937797/PnnLGTU4_normal.jpg</v>
      </c>
      <c r="AW3884" s="82" t="s">
        <v>15455</v>
      </c>
      <c r="AX3884" s="82" t="s">
        <v>15455</v>
      </c>
      <c r="AY3884" s="77"/>
      <c r="AZ3884" s="82" t="s">
        <v>15984</v>
      </c>
      <c r="BA3884" s="82" t="s">
        <v>15984</v>
      </c>
      <c r="BB3884" s="82" t="s">
        <v>15984</v>
      </c>
      <c r="BC3884" s="82" t="s">
        <v>15455</v>
      </c>
      <c r="BD3884" s="77">
        <v>2578778256</v>
      </c>
      <c r="BE3884" s="77"/>
      <c r="BF3884" s="77"/>
      <c r="BG3884" s="77"/>
      <c r="BH3884" s="77"/>
      <c r="BI3884" s="77"/>
    </row>
    <row r="3885" spans="1:61" x14ac:dyDescent="0.25">
      <c r="A3885" s="62" t="s">
        <v>735</v>
      </c>
      <c r="B3885" s="62" t="s">
        <v>735</v>
      </c>
      <c r="C3885" s="63"/>
      <c r="D3885" s="64"/>
      <c r="E3885" s="65"/>
      <c r="F3885" s="66"/>
      <c r="G3885" s="63"/>
      <c r="H3885" s="67"/>
      <c r="I3885" s="68"/>
      <c r="J3885" s="68"/>
      <c r="K3885" s="32"/>
      <c r="L3885" s="75">
        <v>3885</v>
      </c>
      <c r="M3885" s="75"/>
      <c r="N3885" s="70"/>
      <c r="O3885" s="77" t="s">
        <v>179</v>
      </c>
      <c r="P3885" s="79">
        <v>45132.525324074071</v>
      </c>
      <c r="Q3885" s="77" t="s">
        <v>4527</v>
      </c>
      <c r="R3885" s="77">
        <v>0</v>
      </c>
      <c r="S3885" s="77">
        <v>2</v>
      </c>
      <c r="T3885" s="77">
        <v>0</v>
      </c>
      <c r="U3885" s="77">
        <v>0</v>
      </c>
      <c r="V3885" s="77">
        <v>341</v>
      </c>
      <c r="W3885" s="82" t="s">
        <v>6411</v>
      </c>
      <c r="X3885" s="77"/>
      <c r="Y3885" s="77"/>
      <c r="Z3885" s="77"/>
      <c r="AA3885" s="77"/>
      <c r="AB3885" s="77"/>
      <c r="AC3885" s="82" t="s">
        <v>7787</v>
      </c>
      <c r="AD3885" s="77" t="s">
        <v>7788</v>
      </c>
      <c r="AE3885" s="80" t="str">
        <f>HYPERLINK("https://twitter.com/modalmais/status/1683818496554045440")</f>
        <v>https://twitter.com/modalmais/status/1683818496554045440</v>
      </c>
      <c r="AF3885" s="79">
        <v>45132.525324074071</v>
      </c>
      <c r="AG3885" s="85">
        <v>45132</v>
      </c>
      <c r="AH3885" s="82" t="s">
        <v>10294</v>
      </c>
      <c r="AI3885" s="77"/>
      <c r="AJ3885" s="77"/>
      <c r="AK3885" s="77"/>
      <c r="AL3885" s="77"/>
      <c r="AM3885" s="77"/>
      <c r="AN3885" s="77"/>
      <c r="AO3885" s="77"/>
      <c r="AP3885" s="77"/>
      <c r="AQ3885" s="77"/>
      <c r="AR3885" s="77"/>
      <c r="AS3885" s="77"/>
      <c r="AT3885" s="77"/>
      <c r="AU3885" s="77"/>
      <c r="AV3885" s="80" t="str">
        <f>HYPERLINK("https://pbs.twimg.com/profile_images/1067039778795937797/PnnLGTU4_normal.jpg")</f>
        <v>https://pbs.twimg.com/profile_images/1067039778795937797/PnnLGTU4_normal.jpg</v>
      </c>
      <c r="AW3885" s="82" t="s">
        <v>15456</v>
      </c>
      <c r="AX3885" s="82" t="s">
        <v>15456</v>
      </c>
      <c r="AY3885" s="77"/>
      <c r="AZ3885" s="82" t="s">
        <v>15984</v>
      </c>
      <c r="BA3885" s="82" t="s">
        <v>15984</v>
      </c>
      <c r="BB3885" s="82" t="s">
        <v>15984</v>
      </c>
      <c r="BC3885" s="82" t="s">
        <v>15456</v>
      </c>
      <c r="BD3885" s="77">
        <v>2578778256</v>
      </c>
      <c r="BE3885" s="77"/>
      <c r="BF3885" s="77"/>
      <c r="BG3885" s="77"/>
      <c r="BH3885" s="77"/>
      <c r="BI3885" s="77"/>
    </row>
    <row r="3886" spans="1:61" x14ac:dyDescent="0.25">
      <c r="A3886" s="62" t="s">
        <v>735</v>
      </c>
      <c r="B3886" s="62" t="s">
        <v>735</v>
      </c>
      <c r="C3886" s="63"/>
      <c r="D3886" s="64"/>
      <c r="E3886" s="65"/>
      <c r="F3886" s="66"/>
      <c r="G3886" s="63"/>
      <c r="H3886" s="67"/>
      <c r="I3886" s="68"/>
      <c r="J3886" s="68"/>
      <c r="K3886" s="32"/>
      <c r="L3886" s="75">
        <v>3886</v>
      </c>
      <c r="M3886" s="75"/>
      <c r="N3886" s="70"/>
      <c r="O3886" s="77" t="s">
        <v>179</v>
      </c>
      <c r="P3886" s="79">
        <v>45132.524791666663</v>
      </c>
      <c r="Q3886" s="77" t="s">
        <v>4528</v>
      </c>
      <c r="R3886" s="77">
        <v>0</v>
      </c>
      <c r="S3886" s="77">
        <v>1</v>
      </c>
      <c r="T3886" s="77">
        <v>0</v>
      </c>
      <c r="U3886" s="77">
        <v>0</v>
      </c>
      <c r="V3886" s="77">
        <v>304</v>
      </c>
      <c r="W3886" s="82" t="s">
        <v>6411</v>
      </c>
      <c r="X3886" s="80" t="str">
        <f>HYPERLINK("https://www.youtube.com/watch?v=WMsiED_iPpI")</f>
        <v>https://www.youtube.com/watch?v=WMsiED_iPpI</v>
      </c>
      <c r="Y3886" s="77" t="s">
        <v>6480</v>
      </c>
      <c r="Z3886" s="77"/>
      <c r="AA3886" s="77"/>
      <c r="AB3886" s="77"/>
      <c r="AC3886" s="82" t="s">
        <v>7787</v>
      </c>
      <c r="AD3886" s="77" t="s">
        <v>7788</v>
      </c>
      <c r="AE3886" s="80" t="str">
        <f>HYPERLINK("https://twitter.com/modalmais/status/1683818306187284480")</f>
        <v>https://twitter.com/modalmais/status/1683818306187284480</v>
      </c>
      <c r="AF3886" s="79">
        <v>45132.524791666663</v>
      </c>
      <c r="AG3886" s="85">
        <v>45132</v>
      </c>
      <c r="AH3886" s="82" t="s">
        <v>10295</v>
      </c>
      <c r="AI3886" s="77" t="b">
        <v>0</v>
      </c>
      <c r="AJ3886" s="77"/>
      <c r="AK3886" s="77"/>
      <c r="AL3886" s="77"/>
      <c r="AM3886" s="77"/>
      <c r="AN3886" s="77"/>
      <c r="AO3886" s="77"/>
      <c r="AP3886" s="77"/>
      <c r="AQ3886" s="77"/>
      <c r="AR3886" s="77"/>
      <c r="AS3886" s="77"/>
      <c r="AT3886" s="77"/>
      <c r="AU3886" s="77"/>
      <c r="AV3886" s="80" t="str">
        <f>HYPERLINK("https://pbs.twimg.com/profile_images/1067039778795937797/PnnLGTU4_normal.jpg")</f>
        <v>https://pbs.twimg.com/profile_images/1067039778795937797/PnnLGTU4_normal.jpg</v>
      </c>
      <c r="AW3886" s="82" t="s">
        <v>15457</v>
      </c>
      <c r="AX3886" s="82" t="s">
        <v>15457</v>
      </c>
      <c r="AY3886" s="77"/>
      <c r="AZ3886" s="82" t="s">
        <v>15984</v>
      </c>
      <c r="BA3886" s="82" t="s">
        <v>15984</v>
      </c>
      <c r="BB3886" s="82" t="s">
        <v>15984</v>
      </c>
      <c r="BC3886" s="82" t="s">
        <v>15457</v>
      </c>
      <c r="BD3886" s="77">
        <v>2578778256</v>
      </c>
      <c r="BE3886" s="77"/>
      <c r="BF3886" s="77"/>
      <c r="BG3886" s="77"/>
      <c r="BH3886" s="77"/>
      <c r="BI3886" s="77"/>
    </row>
    <row r="3887" spans="1:61" x14ac:dyDescent="0.25">
      <c r="A3887" s="62" t="s">
        <v>735</v>
      </c>
      <c r="B3887" s="62" t="s">
        <v>735</v>
      </c>
      <c r="C3887" s="63"/>
      <c r="D3887" s="64"/>
      <c r="E3887" s="65"/>
      <c r="F3887" s="66"/>
      <c r="G3887" s="63"/>
      <c r="H3887" s="67"/>
      <c r="I3887" s="68"/>
      <c r="J3887" s="68"/>
      <c r="K3887" s="32"/>
      <c r="L3887" s="75">
        <v>3887</v>
      </c>
      <c r="M3887" s="75"/>
      <c r="N3887" s="70"/>
      <c r="O3887" s="77" t="s">
        <v>179</v>
      </c>
      <c r="P3887" s="79">
        <v>45161.597696759258</v>
      </c>
      <c r="Q3887" s="77" t="s">
        <v>4529</v>
      </c>
      <c r="R3887" s="77">
        <v>0</v>
      </c>
      <c r="S3887" s="77">
        <v>0</v>
      </c>
      <c r="T3887" s="77">
        <v>0</v>
      </c>
      <c r="U3887" s="77">
        <v>0</v>
      </c>
      <c r="V3887" s="77">
        <v>276</v>
      </c>
      <c r="W3887" s="82" t="s">
        <v>6420</v>
      </c>
      <c r="X3887" s="80" t="str">
        <f>HYPERLINK("https://www.modalmais.com.br/morning-call/camara-dos-deputados-aprova-projeto-de-lei-que-trata-do-novo-arcabouco-fiscal/")</f>
        <v>https://www.modalmais.com.br/morning-call/camara-dos-deputados-aprova-projeto-de-lei-que-trata-do-novo-arcabouco-fiscal/</v>
      </c>
      <c r="Y3887" s="77" t="s">
        <v>6470</v>
      </c>
      <c r="Z3887" s="77"/>
      <c r="AA3887" s="77"/>
      <c r="AB3887" s="77"/>
      <c r="AC3887" s="82" t="s">
        <v>7787</v>
      </c>
      <c r="AD3887" s="77" t="s">
        <v>7788</v>
      </c>
      <c r="AE3887" s="80" t="str">
        <f>HYPERLINK("https://twitter.com/modalmais/status/1694353971756826925")</f>
        <v>https://twitter.com/modalmais/status/1694353971756826925</v>
      </c>
      <c r="AF3887" s="79">
        <v>45161.597696759258</v>
      </c>
      <c r="AG3887" s="85">
        <v>45161</v>
      </c>
      <c r="AH3887" s="82" t="s">
        <v>10296</v>
      </c>
      <c r="AI3887" s="77" t="b">
        <v>0</v>
      </c>
      <c r="AJ3887" s="77"/>
      <c r="AK3887" s="77"/>
      <c r="AL3887" s="77"/>
      <c r="AM3887" s="77"/>
      <c r="AN3887" s="77"/>
      <c r="AO3887" s="77"/>
      <c r="AP3887" s="77"/>
      <c r="AQ3887" s="77"/>
      <c r="AR3887" s="77"/>
      <c r="AS3887" s="77"/>
      <c r="AT3887" s="77"/>
      <c r="AU3887" s="77"/>
      <c r="AV3887" s="80" t="str">
        <f>HYPERLINK("https://pbs.twimg.com/profile_images/1067039778795937797/PnnLGTU4_normal.jpg")</f>
        <v>https://pbs.twimg.com/profile_images/1067039778795937797/PnnLGTU4_normal.jpg</v>
      </c>
      <c r="AW3887" s="82" t="s">
        <v>15458</v>
      </c>
      <c r="AX3887" s="82" t="s">
        <v>15458</v>
      </c>
      <c r="AY3887" s="77"/>
      <c r="AZ3887" s="82" t="s">
        <v>15984</v>
      </c>
      <c r="BA3887" s="82" t="s">
        <v>15984</v>
      </c>
      <c r="BB3887" s="82" t="s">
        <v>15984</v>
      </c>
      <c r="BC3887" s="82" t="s">
        <v>15458</v>
      </c>
      <c r="BD3887" s="77">
        <v>2578778256</v>
      </c>
      <c r="BE3887" s="77"/>
      <c r="BF3887" s="77"/>
      <c r="BG3887" s="77"/>
      <c r="BH3887" s="77"/>
      <c r="BI3887" s="77"/>
    </row>
    <row r="3888" spans="1:61" x14ac:dyDescent="0.25">
      <c r="A3888" s="62" t="s">
        <v>735</v>
      </c>
      <c r="B3888" s="62" t="s">
        <v>735</v>
      </c>
      <c r="C3888" s="63"/>
      <c r="D3888" s="64"/>
      <c r="E3888" s="65"/>
      <c r="F3888" s="66"/>
      <c r="G3888" s="63"/>
      <c r="H3888" s="67"/>
      <c r="I3888" s="68"/>
      <c r="J3888" s="68"/>
      <c r="K3888" s="32"/>
      <c r="L3888" s="75">
        <v>3888</v>
      </c>
      <c r="M3888" s="75"/>
      <c r="N3888" s="70"/>
      <c r="O3888" s="77" t="s">
        <v>179</v>
      </c>
      <c r="P3888" s="79">
        <v>45161.595219907409</v>
      </c>
      <c r="Q3888" s="77" t="s">
        <v>4530</v>
      </c>
      <c r="R3888" s="77">
        <v>0</v>
      </c>
      <c r="S3888" s="77">
        <v>0</v>
      </c>
      <c r="T3888" s="77">
        <v>0</v>
      </c>
      <c r="U3888" s="77">
        <v>0</v>
      </c>
      <c r="V3888" s="77">
        <v>292</v>
      </c>
      <c r="W3888" s="82" t="s">
        <v>6420</v>
      </c>
      <c r="X3888" s="80" t="str">
        <f>HYPERLINK("https://www.youtube.com/watch?v=ktqZBIvU2C4")</f>
        <v>https://www.youtube.com/watch?v=ktqZBIvU2C4</v>
      </c>
      <c r="Y3888" s="77" t="s">
        <v>6480</v>
      </c>
      <c r="Z3888" s="77"/>
      <c r="AA3888" s="77"/>
      <c r="AB3888" s="77"/>
      <c r="AC3888" s="82" t="s">
        <v>7787</v>
      </c>
      <c r="AD3888" s="77" t="s">
        <v>7788</v>
      </c>
      <c r="AE3888" s="80" t="str">
        <f>HYPERLINK("https://twitter.com/modalmais/status/1694353075891208668")</f>
        <v>https://twitter.com/modalmais/status/1694353075891208668</v>
      </c>
      <c r="AF3888" s="79">
        <v>45161.595219907409</v>
      </c>
      <c r="AG3888" s="85">
        <v>45161</v>
      </c>
      <c r="AH3888" s="82" t="s">
        <v>10297</v>
      </c>
      <c r="AI3888" s="77" t="b">
        <v>0</v>
      </c>
      <c r="AJ3888" s="77"/>
      <c r="AK3888" s="77"/>
      <c r="AL3888" s="77"/>
      <c r="AM3888" s="77"/>
      <c r="AN3888" s="77"/>
      <c r="AO3888" s="77"/>
      <c r="AP3888" s="77"/>
      <c r="AQ3888" s="77"/>
      <c r="AR3888" s="77"/>
      <c r="AS3888" s="77"/>
      <c r="AT3888" s="77"/>
      <c r="AU3888" s="77"/>
      <c r="AV3888" s="80" t="str">
        <f>HYPERLINK("https://pbs.twimg.com/profile_images/1067039778795937797/PnnLGTU4_normal.jpg")</f>
        <v>https://pbs.twimg.com/profile_images/1067039778795937797/PnnLGTU4_normal.jpg</v>
      </c>
      <c r="AW3888" s="82" t="s">
        <v>15459</v>
      </c>
      <c r="AX3888" s="82" t="s">
        <v>15459</v>
      </c>
      <c r="AY3888" s="77"/>
      <c r="AZ3888" s="82" t="s">
        <v>15984</v>
      </c>
      <c r="BA3888" s="82" t="s">
        <v>15984</v>
      </c>
      <c r="BB3888" s="82" t="s">
        <v>15984</v>
      </c>
      <c r="BC3888" s="82" t="s">
        <v>15459</v>
      </c>
      <c r="BD3888" s="77">
        <v>2578778256</v>
      </c>
      <c r="BE3888" s="77"/>
      <c r="BF3888" s="77"/>
      <c r="BG3888" s="77"/>
      <c r="BH3888" s="77"/>
      <c r="BI3888" s="77"/>
    </row>
    <row r="3889" spans="1:61" x14ac:dyDescent="0.25">
      <c r="A3889" s="62" t="s">
        <v>735</v>
      </c>
      <c r="B3889" s="62" t="s">
        <v>735</v>
      </c>
      <c r="C3889" s="63"/>
      <c r="D3889" s="64"/>
      <c r="E3889" s="65"/>
      <c r="F3889" s="66"/>
      <c r="G3889" s="63"/>
      <c r="H3889" s="67"/>
      <c r="I3889" s="68"/>
      <c r="J3889" s="68"/>
      <c r="K3889" s="32"/>
      <c r="L3889" s="75">
        <v>3889</v>
      </c>
      <c r="M3889" s="75"/>
      <c r="N3889" s="70"/>
      <c r="O3889" s="77" t="s">
        <v>179</v>
      </c>
      <c r="P3889" s="79">
        <v>45161.519004629627</v>
      </c>
      <c r="Q3889" s="77" t="s">
        <v>4531</v>
      </c>
      <c r="R3889" s="77">
        <v>0</v>
      </c>
      <c r="S3889" s="77">
        <v>1</v>
      </c>
      <c r="T3889" s="77">
        <v>0</v>
      </c>
      <c r="U3889" s="77">
        <v>0</v>
      </c>
      <c r="V3889" s="77">
        <v>234</v>
      </c>
      <c r="W3889" s="82" t="s">
        <v>6414</v>
      </c>
      <c r="X3889" s="77"/>
      <c r="Y3889" s="77"/>
      <c r="Z3889" s="77"/>
      <c r="AA3889" s="77"/>
      <c r="AB3889" s="77"/>
      <c r="AC3889" s="82" t="s">
        <v>7787</v>
      </c>
      <c r="AD3889" s="77" t="s">
        <v>7788</v>
      </c>
      <c r="AE3889" s="80" t="str">
        <f>HYPERLINK("https://twitter.com/modalmais/status/1694325456927883332")</f>
        <v>https://twitter.com/modalmais/status/1694325456927883332</v>
      </c>
      <c r="AF3889" s="79">
        <v>45161.519004629627</v>
      </c>
      <c r="AG3889" s="85">
        <v>45161</v>
      </c>
      <c r="AH3889" s="82" t="s">
        <v>10298</v>
      </c>
      <c r="AI3889" s="77"/>
      <c r="AJ3889" s="77"/>
      <c r="AK3889" s="77"/>
      <c r="AL3889" s="77"/>
      <c r="AM3889" s="77"/>
      <c r="AN3889" s="77"/>
      <c r="AO3889" s="77"/>
      <c r="AP3889" s="77"/>
      <c r="AQ3889" s="77"/>
      <c r="AR3889" s="77"/>
      <c r="AS3889" s="77"/>
      <c r="AT3889" s="77"/>
      <c r="AU3889" s="77"/>
      <c r="AV3889" s="80" t="str">
        <f>HYPERLINK("https://pbs.twimg.com/profile_images/1067039778795937797/PnnLGTU4_normal.jpg")</f>
        <v>https://pbs.twimg.com/profile_images/1067039778795937797/PnnLGTU4_normal.jpg</v>
      </c>
      <c r="AW3889" s="82" t="s">
        <v>15460</v>
      </c>
      <c r="AX3889" s="82" t="s">
        <v>15460</v>
      </c>
      <c r="AY3889" s="77"/>
      <c r="AZ3889" s="82" t="s">
        <v>15984</v>
      </c>
      <c r="BA3889" s="82" t="s">
        <v>15984</v>
      </c>
      <c r="BB3889" s="82" t="s">
        <v>15984</v>
      </c>
      <c r="BC3889" s="82" t="s">
        <v>15460</v>
      </c>
      <c r="BD3889" s="77">
        <v>2578778256</v>
      </c>
      <c r="BE3889" s="77"/>
      <c r="BF3889" s="77"/>
      <c r="BG3889" s="77"/>
      <c r="BH3889" s="77"/>
      <c r="BI3889" s="77"/>
    </row>
    <row r="3890" spans="1:61" x14ac:dyDescent="0.25">
      <c r="A3890" s="62" t="s">
        <v>735</v>
      </c>
      <c r="B3890" s="62" t="s">
        <v>735</v>
      </c>
      <c r="C3890" s="63"/>
      <c r="D3890" s="64"/>
      <c r="E3890" s="65"/>
      <c r="F3890" s="66"/>
      <c r="G3890" s="63"/>
      <c r="H3890" s="67"/>
      <c r="I3890" s="68"/>
      <c r="J3890" s="68"/>
      <c r="K3890" s="32"/>
      <c r="L3890" s="75">
        <v>3890</v>
      </c>
      <c r="M3890" s="75"/>
      <c r="N3890" s="70"/>
      <c r="O3890" s="77" t="s">
        <v>179</v>
      </c>
      <c r="P3890" s="79">
        <v>45159.587233796294</v>
      </c>
      <c r="Q3890" s="77" t="s">
        <v>4532</v>
      </c>
      <c r="R3890" s="77">
        <v>1</v>
      </c>
      <c r="S3890" s="77">
        <v>4</v>
      </c>
      <c r="T3890" s="77">
        <v>1</v>
      </c>
      <c r="U3890" s="77">
        <v>0</v>
      </c>
      <c r="V3890" s="77">
        <v>555</v>
      </c>
      <c r="W3890" s="82" t="s">
        <v>6414</v>
      </c>
      <c r="X3890" s="77"/>
      <c r="Y3890" s="77"/>
      <c r="Z3890" s="77"/>
      <c r="AA3890" s="77"/>
      <c r="AB3890" s="77"/>
      <c r="AC3890" s="82" t="s">
        <v>7787</v>
      </c>
      <c r="AD3890" s="77" t="s">
        <v>7788</v>
      </c>
      <c r="AE3890" s="80" t="str">
        <f>HYPERLINK("https://twitter.com/modalmais/status/1693625406258041145")</f>
        <v>https://twitter.com/modalmais/status/1693625406258041145</v>
      </c>
      <c r="AF3890" s="79">
        <v>45159.587233796294</v>
      </c>
      <c r="AG3890" s="85">
        <v>45159</v>
      </c>
      <c r="AH3890" s="82" t="s">
        <v>10299</v>
      </c>
      <c r="AI3890" s="77"/>
      <c r="AJ3890" s="77"/>
      <c r="AK3890" s="77"/>
      <c r="AL3890" s="77"/>
      <c r="AM3890" s="77"/>
      <c r="AN3890" s="77"/>
      <c r="AO3890" s="77"/>
      <c r="AP3890" s="77"/>
      <c r="AQ3890" s="77"/>
      <c r="AR3890" s="77"/>
      <c r="AS3890" s="77"/>
      <c r="AT3890" s="77"/>
      <c r="AU3890" s="77"/>
      <c r="AV3890" s="80" t="str">
        <f>HYPERLINK("https://pbs.twimg.com/profile_images/1067039778795937797/PnnLGTU4_normal.jpg")</f>
        <v>https://pbs.twimg.com/profile_images/1067039778795937797/PnnLGTU4_normal.jpg</v>
      </c>
      <c r="AW3890" s="82" t="s">
        <v>15461</v>
      </c>
      <c r="AX3890" s="82" t="s">
        <v>15461</v>
      </c>
      <c r="AY3890" s="77"/>
      <c r="AZ3890" s="82" t="s">
        <v>15984</v>
      </c>
      <c r="BA3890" s="82" t="s">
        <v>15984</v>
      </c>
      <c r="BB3890" s="82" t="s">
        <v>15984</v>
      </c>
      <c r="BC3890" s="82" t="s">
        <v>15461</v>
      </c>
      <c r="BD3890" s="77">
        <v>2578778256</v>
      </c>
      <c r="BE3890" s="77"/>
      <c r="BF3890" s="77"/>
      <c r="BG3890" s="77"/>
      <c r="BH3890" s="77"/>
      <c r="BI3890" s="77"/>
    </row>
    <row r="3891" spans="1:61" x14ac:dyDescent="0.25">
      <c r="A3891" s="62" t="s">
        <v>735</v>
      </c>
      <c r="B3891" s="62" t="s">
        <v>735</v>
      </c>
      <c r="C3891" s="63"/>
      <c r="D3891" s="64"/>
      <c r="E3891" s="65"/>
      <c r="F3891" s="66"/>
      <c r="G3891" s="63"/>
      <c r="H3891" s="67"/>
      <c r="I3891" s="68"/>
      <c r="J3891" s="68"/>
      <c r="K3891" s="32"/>
      <c r="L3891" s="75">
        <v>3891</v>
      </c>
      <c r="M3891" s="75"/>
      <c r="N3891" s="70"/>
      <c r="O3891" s="77" t="s">
        <v>179</v>
      </c>
      <c r="P3891" s="79">
        <v>45154.661238425928</v>
      </c>
      <c r="Q3891" s="77" t="s">
        <v>4533</v>
      </c>
      <c r="R3891" s="77">
        <v>0</v>
      </c>
      <c r="S3891" s="77">
        <v>0</v>
      </c>
      <c r="T3891" s="77">
        <v>0</v>
      </c>
      <c r="U3891" s="77">
        <v>0</v>
      </c>
      <c r="V3891" s="77">
        <v>257</v>
      </c>
      <c r="W3891" s="82" t="s">
        <v>6421</v>
      </c>
      <c r="X3891" s="77"/>
      <c r="Y3891" s="77"/>
      <c r="Z3891" s="77"/>
      <c r="AA3891" s="77"/>
      <c r="AB3891" s="77"/>
      <c r="AC3891" s="82" t="s">
        <v>7787</v>
      </c>
      <c r="AD3891" s="77" t="s">
        <v>7790</v>
      </c>
      <c r="AE3891" s="80" t="str">
        <f>HYPERLINK("https://twitter.com/modalmais/status/1691840285741826186")</f>
        <v>https://twitter.com/modalmais/status/1691840285741826186</v>
      </c>
      <c r="AF3891" s="79">
        <v>45154.661238425928</v>
      </c>
      <c r="AG3891" s="85">
        <v>45154</v>
      </c>
      <c r="AH3891" s="82" t="s">
        <v>10300</v>
      </c>
      <c r="AI3891" s="77"/>
      <c r="AJ3891" s="77"/>
      <c r="AK3891" s="77"/>
      <c r="AL3891" s="77"/>
      <c r="AM3891" s="77"/>
      <c r="AN3891" s="77"/>
      <c r="AO3891" s="77"/>
      <c r="AP3891" s="77"/>
      <c r="AQ3891" s="77"/>
      <c r="AR3891" s="77"/>
      <c r="AS3891" s="77"/>
      <c r="AT3891" s="77"/>
      <c r="AU3891" s="77"/>
      <c r="AV3891" s="80" t="str">
        <f>HYPERLINK("https://pbs.twimg.com/profile_images/1067039778795937797/PnnLGTU4_normal.jpg")</f>
        <v>https://pbs.twimg.com/profile_images/1067039778795937797/PnnLGTU4_normal.jpg</v>
      </c>
      <c r="AW3891" s="82" t="s">
        <v>15462</v>
      </c>
      <c r="AX3891" s="82" t="s">
        <v>15462</v>
      </c>
      <c r="AY3891" s="77"/>
      <c r="AZ3891" s="82" t="s">
        <v>15984</v>
      </c>
      <c r="BA3891" s="82" t="s">
        <v>15984</v>
      </c>
      <c r="BB3891" s="82" t="s">
        <v>15984</v>
      </c>
      <c r="BC3891" s="82" t="s">
        <v>15462</v>
      </c>
      <c r="BD3891" s="77">
        <v>2578778256</v>
      </c>
      <c r="BE3891" s="77"/>
      <c r="BF3891" s="77"/>
      <c r="BG3891" s="77"/>
      <c r="BH3891" s="77"/>
      <c r="BI3891" s="77"/>
    </row>
    <row r="3892" spans="1:61" x14ac:dyDescent="0.25">
      <c r="A3892" s="62" t="s">
        <v>735</v>
      </c>
      <c r="B3892" s="62" t="s">
        <v>735</v>
      </c>
      <c r="C3892" s="63"/>
      <c r="D3892" s="64"/>
      <c r="E3892" s="65"/>
      <c r="F3892" s="66"/>
      <c r="G3892" s="63"/>
      <c r="H3892" s="67"/>
      <c r="I3892" s="68"/>
      <c r="J3892" s="68"/>
      <c r="K3892" s="32"/>
      <c r="L3892" s="75">
        <v>3892</v>
      </c>
      <c r="M3892" s="75"/>
      <c r="N3892" s="70"/>
      <c r="O3892" s="77" t="s">
        <v>179</v>
      </c>
      <c r="P3892" s="79">
        <v>45154.635717592595</v>
      </c>
      <c r="Q3892" s="77" t="s">
        <v>4534</v>
      </c>
      <c r="R3892" s="77">
        <v>0</v>
      </c>
      <c r="S3892" s="77">
        <v>2</v>
      </c>
      <c r="T3892" s="77">
        <v>0</v>
      </c>
      <c r="U3892" s="77">
        <v>0</v>
      </c>
      <c r="V3892" s="77">
        <v>290</v>
      </c>
      <c r="W3892" s="82" t="s">
        <v>6421</v>
      </c>
      <c r="X3892" s="77"/>
      <c r="Y3892" s="77"/>
      <c r="Z3892" s="77"/>
      <c r="AA3892" s="77"/>
      <c r="AB3892" s="77"/>
      <c r="AC3892" s="82" t="s">
        <v>7787</v>
      </c>
      <c r="AD3892" s="77" t="s">
        <v>7788</v>
      </c>
      <c r="AE3892" s="80" t="str">
        <f>HYPERLINK("https://twitter.com/modalmais/status/1691831036198440981")</f>
        <v>https://twitter.com/modalmais/status/1691831036198440981</v>
      </c>
      <c r="AF3892" s="79">
        <v>45154.635717592595</v>
      </c>
      <c r="AG3892" s="85">
        <v>45154</v>
      </c>
      <c r="AH3892" s="82" t="s">
        <v>10301</v>
      </c>
      <c r="AI3892" s="77"/>
      <c r="AJ3892" s="77"/>
      <c r="AK3892" s="77"/>
      <c r="AL3892" s="77"/>
      <c r="AM3892" s="77"/>
      <c r="AN3892" s="77"/>
      <c r="AO3892" s="77"/>
      <c r="AP3892" s="77"/>
      <c r="AQ3892" s="77"/>
      <c r="AR3892" s="77"/>
      <c r="AS3892" s="77"/>
      <c r="AT3892" s="77"/>
      <c r="AU3892" s="77"/>
      <c r="AV3892" s="80" t="str">
        <f>HYPERLINK("https://pbs.twimg.com/profile_images/1067039778795937797/PnnLGTU4_normal.jpg")</f>
        <v>https://pbs.twimg.com/profile_images/1067039778795937797/PnnLGTU4_normal.jpg</v>
      </c>
      <c r="AW3892" s="82" t="s">
        <v>15463</v>
      </c>
      <c r="AX3892" s="82" t="s">
        <v>15463</v>
      </c>
      <c r="AY3892" s="77"/>
      <c r="AZ3892" s="82" t="s">
        <v>15984</v>
      </c>
      <c r="BA3892" s="82" t="s">
        <v>15984</v>
      </c>
      <c r="BB3892" s="82" t="s">
        <v>15984</v>
      </c>
      <c r="BC3892" s="82" t="s">
        <v>15463</v>
      </c>
      <c r="BD3892" s="77">
        <v>2578778256</v>
      </c>
      <c r="BE3892" s="77"/>
      <c r="BF3892" s="77"/>
      <c r="BG3892" s="77"/>
      <c r="BH3892" s="77"/>
      <c r="BI3892" s="77"/>
    </row>
    <row r="3893" spans="1:61" x14ac:dyDescent="0.25">
      <c r="A3893" s="62" t="s">
        <v>735</v>
      </c>
      <c r="B3893" s="62" t="s">
        <v>735</v>
      </c>
      <c r="C3893" s="63"/>
      <c r="D3893" s="64"/>
      <c r="E3893" s="65"/>
      <c r="F3893" s="66"/>
      <c r="G3893" s="63"/>
      <c r="H3893" s="67"/>
      <c r="I3893" s="68"/>
      <c r="J3893" s="68"/>
      <c r="K3893" s="32"/>
      <c r="L3893" s="75">
        <v>3893</v>
      </c>
      <c r="M3893" s="75"/>
      <c r="N3893" s="70"/>
      <c r="O3893" s="77" t="s">
        <v>179</v>
      </c>
      <c r="P3893" s="79">
        <v>45154.598865740743</v>
      </c>
      <c r="Q3893" s="77" t="s">
        <v>4535</v>
      </c>
      <c r="R3893" s="77">
        <v>0</v>
      </c>
      <c r="S3893" s="77">
        <v>2</v>
      </c>
      <c r="T3893" s="77">
        <v>0</v>
      </c>
      <c r="U3893" s="77">
        <v>0</v>
      </c>
      <c r="V3893" s="77">
        <v>255</v>
      </c>
      <c r="W3893" s="82" t="s">
        <v>6422</v>
      </c>
      <c r="X3893" s="77"/>
      <c r="Y3893" s="77"/>
      <c r="Z3893" s="77"/>
      <c r="AA3893" s="77"/>
      <c r="AB3893" s="77"/>
      <c r="AC3893" s="82" t="s">
        <v>7787</v>
      </c>
      <c r="AD3893" s="77" t="s">
        <v>7788</v>
      </c>
      <c r="AE3893" s="80" t="str">
        <f>HYPERLINK("https://twitter.com/modalmais/status/1691817682553782594")</f>
        <v>https://twitter.com/modalmais/status/1691817682553782594</v>
      </c>
      <c r="AF3893" s="79">
        <v>45154.598865740743</v>
      </c>
      <c r="AG3893" s="85">
        <v>45154</v>
      </c>
      <c r="AH3893" s="82" t="s">
        <v>10302</v>
      </c>
      <c r="AI3893" s="77"/>
      <c r="AJ3893" s="77"/>
      <c r="AK3893" s="77"/>
      <c r="AL3893" s="77"/>
      <c r="AM3893" s="77"/>
      <c r="AN3893" s="77"/>
      <c r="AO3893" s="77"/>
      <c r="AP3893" s="77"/>
      <c r="AQ3893" s="77"/>
      <c r="AR3893" s="77"/>
      <c r="AS3893" s="77"/>
      <c r="AT3893" s="77"/>
      <c r="AU3893" s="77"/>
      <c r="AV3893" s="80" t="str">
        <f>HYPERLINK("https://pbs.twimg.com/profile_images/1067039778795937797/PnnLGTU4_normal.jpg")</f>
        <v>https://pbs.twimg.com/profile_images/1067039778795937797/PnnLGTU4_normal.jpg</v>
      </c>
      <c r="AW3893" s="82" t="s">
        <v>15464</v>
      </c>
      <c r="AX3893" s="82" t="s">
        <v>15464</v>
      </c>
      <c r="AY3893" s="77"/>
      <c r="AZ3893" s="82" t="s">
        <v>15984</v>
      </c>
      <c r="BA3893" s="82" t="s">
        <v>15984</v>
      </c>
      <c r="BB3893" s="82" t="s">
        <v>15984</v>
      </c>
      <c r="BC3893" s="82" t="s">
        <v>15464</v>
      </c>
      <c r="BD3893" s="77">
        <v>2578778256</v>
      </c>
      <c r="BE3893" s="77"/>
      <c r="BF3893" s="77"/>
      <c r="BG3893" s="77"/>
      <c r="BH3893" s="77"/>
      <c r="BI3893" s="77"/>
    </row>
    <row r="3894" spans="1:61" x14ac:dyDescent="0.25">
      <c r="A3894" s="62" t="s">
        <v>735</v>
      </c>
      <c r="B3894" s="62" t="s">
        <v>735</v>
      </c>
      <c r="C3894" s="63"/>
      <c r="D3894" s="64"/>
      <c r="E3894" s="65"/>
      <c r="F3894" s="66"/>
      <c r="G3894" s="63"/>
      <c r="H3894" s="67"/>
      <c r="I3894" s="68"/>
      <c r="J3894" s="68"/>
      <c r="K3894" s="32"/>
      <c r="L3894" s="75">
        <v>3894</v>
      </c>
      <c r="M3894" s="75"/>
      <c r="N3894" s="70"/>
      <c r="O3894" s="77" t="s">
        <v>179</v>
      </c>
      <c r="P3894" s="79">
        <v>45154.598171296297</v>
      </c>
      <c r="Q3894" s="77" t="s">
        <v>4536</v>
      </c>
      <c r="R3894" s="77">
        <v>0</v>
      </c>
      <c r="S3894" s="77">
        <v>3</v>
      </c>
      <c r="T3894" s="77">
        <v>0</v>
      </c>
      <c r="U3894" s="77">
        <v>0</v>
      </c>
      <c r="V3894" s="77">
        <v>251</v>
      </c>
      <c r="W3894" s="82" t="s">
        <v>6422</v>
      </c>
      <c r="X3894" s="80" t="str">
        <f>HYPERLINK("https://www.modalmais.com.br/morning-call/monitor-do-pib-aponta-expansao-de-02-na-atividade-economica")</f>
        <v>https://www.modalmais.com.br/morning-call/monitor-do-pib-aponta-expansao-de-02-na-atividade-economica</v>
      </c>
      <c r="Y3894" s="77" t="s">
        <v>6470</v>
      </c>
      <c r="Z3894" s="77"/>
      <c r="AA3894" s="77"/>
      <c r="AB3894" s="77"/>
      <c r="AC3894" s="82" t="s">
        <v>7787</v>
      </c>
      <c r="AD3894" s="77" t="s">
        <v>7788</v>
      </c>
      <c r="AE3894" s="80" t="str">
        <f>HYPERLINK("https://twitter.com/modalmais/status/1691817428328554687")</f>
        <v>https://twitter.com/modalmais/status/1691817428328554687</v>
      </c>
      <c r="AF3894" s="79">
        <v>45154.598171296297</v>
      </c>
      <c r="AG3894" s="85">
        <v>45154</v>
      </c>
      <c r="AH3894" s="82" t="s">
        <v>10303</v>
      </c>
      <c r="AI3894" s="77" t="b">
        <v>0</v>
      </c>
      <c r="AJ3894" s="77"/>
      <c r="AK3894" s="77"/>
      <c r="AL3894" s="77"/>
      <c r="AM3894" s="77"/>
      <c r="AN3894" s="77"/>
      <c r="AO3894" s="77"/>
      <c r="AP3894" s="77"/>
      <c r="AQ3894" s="77"/>
      <c r="AR3894" s="77"/>
      <c r="AS3894" s="77"/>
      <c r="AT3894" s="77"/>
      <c r="AU3894" s="77"/>
      <c r="AV3894" s="80" t="str">
        <f>HYPERLINK("https://pbs.twimg.com/profile_images/1067039778795937797/PnnLGTU4_normal.jpg")</f>
        <v>https://pbs.twimg.com/profile_images/1067039778795937797/PnnLGTU4_normal.jpg</v>
      </c>
      <c r="AW3894" s="82" t="s">
        <v>15465</v>
      </c>
      <c r="AX3894" s="82" t="s">
        <v>15465</v>
      </c>
      <c r="AY3894" s="77"/>
      <c r="AZ3894" s="82" t="s">
        <v>15984</v>
      </c>
      <c r="BA3894" s="82" t="s">
        <v>15984</v>
      </c>
      <c r="BB3894" s="82" t="s">
        <v>15984</v>
      </c>
      <c r="BC3894" s="82" t="s">
        <v>15465</v>
      </c>
      <c r="BD3894" s="77">
        <v>2578778256</v>
      </c>
      <c r="BE3894" s="77"/>
      <c r="BF3894" s="77"/>
      <c r="BG3894" s="77"/>
      <c r="BH3894" s="77"/>
      <c r="BI3894" s="77"/>
    </row>
    <row r="3895" spans="1:61" x14ac:dyDescent="0.25">
      <c r="A3895" s="62" t="s">
        <v>735</v>
      </c>
      <c r="B3895" s="62" t="s">
        <v>735</v>
      </c>
      <c r="C3895" s="63"/>
      <c r="D3895" s="64"/>
      <c r="E3895" s="65"/>
      <c r="F3895" s="66"/>
      <c r="G3895" s="63"/>
      <c r="H3895" s="67"/>
      <c r="I3895" s="68"/>
      <c r="J3895" s="68"/>
      <c r="K3895" s="32"/>
      <c r="L3895" s="75">
        <v>3895</v>
      </c>
      <c r="M3895" s="75"/>
      <c r="N3895" s="70"/>
      <c r="O3895" s="77" t="s">
        <v>179</v>
      </c>
      <c r="P3895" s="79">
        <v>45154.57885416667</v>
      </c>
      <c r="Q3895" s="77" t="s">
        <v>4537</v>
      </c>
      <c r="R3895" s="77">
        <v>0</v>
      </c>
      <c r="S3895" s="77">
        <v>9</v>
      </c>
      <c r="T3895" s="77">
        <v>2</v>
      </c>
      <c r="U3895" s="77">
        <v>0</v>
      </c>
      <c r="V3895" s="77">
        <v>788</v>
      </c>
      <c r="W3895" s="82" t="s">
        <v>6423</v>
      </c>
      <c r="X3895" s="77"/>
      <c r="Y3895" s="77"/>
      <c r="Z3895" s="77"/>
      <c r="AA3895" s="77"/>
      <c r="AB3895" s="77"/>
      <c r="AC3895" s="82" t="s">
        <v>7787</v>
      </c>
      <c r="AD3895" s="77" t="s">
        <v>7788</v>
      </c>
      <c r="AE3895" s="80" t="str">
        <f>HYPERLINK("https://twitter.com/modalmais/status/1691810432128819537")</f>
        <v>https://twitter.com/modalmais/status/1691810432128819537</v>
      </c>
      <c r="AF3895" s="79">
        <v>45154.57885416667</v>
      </c>
      <c r="AG3895" s="85">
        <v>45154</v>
      </c>
      <c r="AH3895" s="82" t="s">
        <v>10304</v>
      </c>
      <c r="AI3895" s="77"/>
      <c r="AJ3895" s="77"/>
      <c r="AK3895" s="77"/>
      <c r="AL3895" s="77"/>
      <c r="AM3895" s="77"/>
      <c r="AN3895" s="77"/>
      <c r="AO3895" s="77"/>
      <c r="AP3895" s="77"/>
      <c r="AQ3895" s="77"/>
      <c r="AR3895" s="77"/>
      <c r="AS3895" s="77"/>
      <c r="AT3895" s="77"/>
      <c r="AU3895" s="77"/>
      <c r="AV3895" s="80" t="str">
        <f>HYPERLINK("https://pbs.twimg.com/profile_images/1067039778795937797/PnnLGTU4_normal.jpg")</f>
        <v>https://pbs.twimg.com/profile_images/1067039778795937797/PnnLGTU4_normal.jpg</v>
      </c>
      <c r="AW3895" s="82" t="s">
        <v>15466</v>
      </c>
      <c r="AX3895" s="82" t="s">
        <v>15466</v>
      </c>
      <c r="AY3895" s="77"/>
      <c r="AZ3895" s="82" t="s">
        <v>15984</v>
      </c>
      <c r="BA3895" s="82" t="s">
        <v>15984</v>
      </c>
      <c r="BB3895" s="82" t="s">
        <v>15984</v>
      </c>
      <c r="BC3895" s="82" t="s">
        <v>15466</v>
      </c>
      <c r="BD3895" s="77">
        <v>2578778256</v>
      </c>
      <c r="BE3895" s="77"/>
      <c r="BF3895" s="77"/>
      <c r="BG3895" s="77"/>
      <c r="BH3895" s="77"/>
      <c r="BI3895" s="77"/>
    </row>
    <row r="3896" spans="1:61" x14ac:dyDescent="0.25">
      <c r="A3896" s="62" t="s">
        <v>735</v>
      </c>
      <c r="B3896" s="62" t="s">
        <v>735</v>
      </c>
      <c r="C3896" s="63"/>
      <c r="D3896" s="64"/>
      <c r="E3896" s="65"/>
      <c r="F3896" s="66"/>
      <c r="G3896" s="63"/>
      <c r="H3896" s="67"/>
      <c r="I3896" s="68"/>
      <c r="J3896" s="68"/>
      <c r="K3896" s="32"/>
      <c r="L3896" s="75">
        <v>3896</v>
      </c>
      <c r="M3896" s="75"/>
      <c r="N3896" s="70"/>
      <c r="O3896" s="77" t="s">
        <v>179</v>
      </c>
      <c r="P3896" s="79">
        <v>45148.798449074071</v>
      </c>
      <c r="Q3896" s="77" t="s">
        <v>4538</v>
      </c>
      <c r="R3896" s="77">
        <v>0</v>
      </c>
      <c r="S3896" s="77">
        <v>0</v>
      </c>
      <c r="T3896" s="77">
        <v>0</v>
      </c>
      <c r="U3896" s="77">
        <v>0</v>
      </c>
      <c r="V3896" s="77">
        <v>269</v>
      </c>
      <c r="W3896" s="82" t="s">
        <v>6411</v>
      </c>
      <c r="X3896" s="77"/>
      <c r="Y3896" s="77"/>
      <c r="Z3896" s="77"/>
      <c r="AA3896" s="77"/>
      <c r="AB3896" s="77"/>
      <c r="AC3896" s="82" t="s">
        <v>7787</v>
      </c>
      <c r="AD3896" s="77" t="s">
        <v>7790</v>
      </c>
      <c r="AE3896" s="80" t="str">
        <f>HYPERLINK("https://twitter.com/modalmais/status/1689715683095937024")</f>
        <v>https://twitter.com/modalmais/status/1689715683095937024</v>
      </c>
      <c r="AF3896" s="79">
        <v>45148.798449074071</v>
      </c>
      <c r="AG3896" s="85">
        <v>45148</v>
      </c>
      <c r="AH3896" s="82" t="s">
        <v>10305</v>
      </c>
      <c r="AI3896" s="77"/>
      <c r="AJ3896" s="77"/>
      <c r="AK3896" s="77"/>
      <c r="AL3896" s="77"/>
      <c r="AM3896" s="77"/>
      <c r="AN3896" s="77"/>
      <c r="AO3896" s="77"/>
      <c r="AP3896" s="77"/>
      <c r="AQ3896" s="77"/>
      <c r="AR3896" s="77"/>
      <c r="AS3896" s="77"/>
      <c r="AT3896" s="77"/>
      <c r="AU3896" s="77"/>
      <c r="AV3896" s="80" t="str">
        <f>HYPERLINK("https://pbs.twimg.com/profile_images/1067039778795937797/PnnLGTU4_normal.jpg")</f>
        <v>https://pbs.twimg.com/profile_images/1067039778795937797/PnnLGTU4_normal.jpg</v>
      </c>
      <c r="AW3896" s="82" t="s">
        <v>15467</v>
      </c>
      <c r="AX3896" s="82" t="s">
        <v>15467</v>
      </c>
      <c r="AY3896" s="77"/>
      <c r="AZ3896" s="82" t="s">
        <v>15984</v>
      </c>
      <c r="BA3896" s="82" t="s">
        <v>15984</v>
      </c>
      <c r="BB3896" s="82" t="s">
        <v>15984</v>
      </c>
      <c r="BC3896" s="82" t="s">
        <v>15467</v>
      </c>
      <c r="BD3896" s="77">
        <v>2578778256</v>
      </c>
      <c r="BE3896" s="77"/>
      <c r="BF3896" s="77"/>
      <c r="BG3896" s="77"/>
      <c r="BH3896" s="77"/>
      <c r="BI3896" s="77"/>
    </row>
    <row r="3897" spans="1:61" x14ac:dyDescent="0.25">
      <c r="A3897" s="62" t="s">
        <v>735</v>
      </c>
      <c r="B3897" s="62" t="s">
        <v>735</v>
      </c>
      <c r="C3897" s="63"/>
      <c r="D3897" s="64"/>
      <c r="E3897" s="65"/>
      <c r="F3897" s="66"/>
      <c r="G3897" s="63"/>
      <c r="H3897" s="67"/>
      <c r="I3897" s="68"/>
      <c r="J3897" s="68"/>
      <c r="K3897" s="32"/>
      <c r="L3897" s="75">
        <v>3897</v>
      </c>
      <c r="M3897" s="75"/>
      <c r="N3897" s="70"/>
      <c r="O3897" s="77" t="s">
        <v>179</v>
      </c>
      <c r="P3897" s="79">
        <v>45141.597013888888</v>
      </c>
      <c r="Q3897" s="77" t="s">
        <v>4539</v>
      </c>
      <c r="R3897" s="77">
        <v>0</v>
      </c>
      <c r="S3897" s="77">
        <v>1</v>
      </c>
      <c r="T3897" s="77">
        <v>0</v>
      </c>
      <c r="U3897" s="77">
        <v>0</v>
      </c>
      <c r="V3897" s="77">
        <v>286</v>
      </c>
      <c r="W3897" s="82" t="s">
        <v>6411</v>
      </c>
      <c r="X3897" s="80" t="str">
        <f>HYPERLINK("https://www.modalmais.com.br/morning-call/depois-de-quase-tres-anos-taxa-selic-e-reduzida-para-1325-ao-ano")</f>
        <v>https://www.modalmais.com.br/morning-call/depois-de-quase-tres-anos-taxa-selic-e-reduzida-para-1325-ao-ano</v>
      </c>
      <c r="Y3897" s="77" t="s">
        <v>6470</v>
      </c>
      <c r="Z3897" s="77"/>
      <c r="AA3897" s="77"/>
      <c r="AB3897" s="77"/>
      <c r="AC3897" s="82" t="s">
        <v>7787</v>
      </c>
      <c r="AD3897" s="77" t="s">
        <v>7788</v>
      </c>
      <c r="AE3897" s="80" t="str">
        <f>HYPERLINK("https://twitter.com/modalmais/status/1687105970294706177")</f>
        <v>https://twitter.com/modalmais/status/1687105970294706177</v>
      </c>
      <c r="AF3897" s="79">
        <v>45141.597013888888</v>
      </c>
      <c r="AG3897" s="85">
        <v>45141</v>
      </c>
      <c r="AH3897" s="82" t="s">
        <v>10306</v>
      </c>
      <c r="AI3897" s="77" t="b">
        <v>0</v>
      </c>
      <c r="AJ3897" s="77"/>
      <c r="AK3897" s="77"/>
      <c r="AL3897" s="77"/>
      <c r="AM3897" s="77"/>
      <c r="AN3897" s="77"/>
      <c r="AO3897" s="77"/>
      <c r="AP3897" s="77"/>
      <c r="AQ3897" s="77"/>
      <c r="AR3897" s="77"/>
      <c r="AS3897" s="77"/>
      <c r="AT3897" s="77"/>
      <c r="AU3897" s="77"/>
      <c r="AV3897" s="80" t="str">
        <f>HYPERLINK("https://pbs.twimg.com/profile_images/1067039778795937797/PnnLGTU4_normal.jpg")</f>
        <v>https://pbs.twimg.com/profile_images/1067039778795937797/PnnLGTU4_normal.jpg</v>
      </c>
      <c r="AW3897" s="82" t="s">
        <v>15468</v>
      </c>
      <c r="AX3897" s="82" t="s">
        <v>15468</v>
      </c>
      <c r="AY3897" s="77"/>
      <c r="AZ3897" s="82" t="s">
        <v>15984</v>
      </c>
      <c r="BA3897" s="82" t="s">
        <v>15984</v>
      </c>
      <c r="BB3897" s="82" t="s">
        <v>15984</v>
      </c>
      <c r="BC3897" s="82" t="s">
        <v>15468</v>
      </c>
      <c r="BD3897" s="77">
        <v>2578778256</v>
      </c>
      <c r="BE3897" s="77"/>
      <c r="BF3897" s="77"/>
      <c r="BG3897" s="77"/>
      <c r="BH3897" s="77"/>
      <c r="BI3897" s="77"/>
    </row>
    <row r="3898" spans="1:61" x14ac:dyDescent="0.25">
      <c r="A3898" s="62" t="s">
        <v>735</v>
      </c>
      <c r="B3898" s="62" t="s">
        <v>735</v>
      </c>
      <c r="C3898" s="63"/>
      <c r="D3898" s="64"/>
      <c r="E3898" s="65"/>
      <c r="F3898" s="66"/>
      <c r="G3898" s="63"/>
      <c r="H3898" s="67"/>
      <c r="I3898" s="68"/>
      <c r="J3898" s="68"/>
      <c r="K3898" s="32"/>
      <c r="L3898" s="75">
        <v>3898</v>
      </c>
      <c r="M3898" s="75"/>
      <c r="N3898" s="70"/>
      <c r="O3898" s="77" t="s">
        <v>179</v>
      </c>
      <c r="P3898" s="79">
        <v>45141.596574074072</v>
      </c>
      <c r="Q3898" s="77" t="s">
        <v>4540</v>
      </c>
      <c r="R3898" s="77">
        <v>0</v>
      </c>
      <c r="S3898" s="77">
        <v>3</v>
      </c>
      <c r="T3898" s="77">
        <v>0</v>
      </c>
      <c r="U3898" s="77">
        <v>0</v>
      </c>
      <c r="V3898" s="77">
        <v>297</v>
      </c>
      <c r="W3898" s="82" t="s">
        <v>6411</v>
      </c>
      <c r="X3898" s="77"/>
      <c r="Y3898" s="77"/>
      <c r="Z3898" s="77"/>
      <c r="AA3898" s="77"/>
      <c r="AB3898" s="77"/>
      <c r="AC3898" s="82" t="s">
        <v>7787</v>
      </c>
      <c r="AD3898" s="77" t="s">
        <v>7788</v>
      </c>
      <c r="AE3898" s="80" t="str">
        <f>HYPERLINK("https://twitter.com/modalmais/status/1687105809191419905")</f>
        <v>https://twitter.com/modalmais/status/1687105809191419905</v>
      </c>
      <c r="AF3898" s="79">
        <v>45141.596574074072</v>
      </c>
      <c r="AG3898" s="85">
        <v>45141</v>
      </c>
      <c r="AH3898" s="82" t="s">
        <v>10307</v>
      </c>
      <c r="AI3898" s="77"/>
      <c r="AJ3898" s="77"/>
      <c r="AK3898" s="77"/>
      <c r="AL3898" s="77"/>
      <c r="AM3898" s="77"/>
      <c r="AN3898" s="77"/>
      <c r="AO3898" s="77"/>
      <c r="AP3898" s="77"/>
      <c r="AQ3898" s="77"/>
      <c r="AR3898" s="77"/>
      <c r="AS3898" s="77"/>
      <c r="AT3898" s="77"/>
      <c r="AU3898" s="77"/>
      <c r="AV3898" s="80" t="str">
        <f>HYPERLINK("https://pbs.twimg.com/profile_images/1067039778795937797/PnnLGTU4_normal.jpg")</f>
        <v>https://pbs.twimg.com/profile_images/1067039778795937797/PnnLGTU4_normal.jpg</v>
      </c>
      <c r="AW3898" s="82" t="s">
        <v>15469</v>
      </c>
      <c r="AX3898" s="82" t="s">
        <v>15469</v>
      </c>
      <c r="AY3898" s="77"/>
      <c r="AZ3898" s="82" t="s">
        <v>15984</v>
      </c>
      <c r="BA3898" s="82" t="s">
        <v>15984</v>
      </c>
      <c r="BB3898" s="82" t="s">
        <v>15984</v>
      </c>
      <c r="BC3898" s="82" t="s">
        <v>15469</v>
      </c>
      <c r="BD3898" s="77">
        <v>2578778256</v>
      </c>
      <c r="BE3898" s="77"/>
      <c r="BF3898" s="77"/>
      <c r="BG3898" s="77"/>
      <c r="BH3898" s="77"/>
      <c r="BI3898" s="77"/>
    </row>
    <row r="3899" spans="1:61" x14ac:dyDescent="0.25">
      <c r="A3899" s="62" t="s">
        <v>735</v>
      </c>
      <c r="B3899" s="62" t="s">
        <v>735</v>
      </c>
      <c r="C3899" s="63"/>
      <c r="D3899" s="64"/>
      <c r="E3899" s="65"/>
      <c r="F3899" s="66"/>
      <c r="G3899" s="63"/>
      <c r="H3899" s="67"/>
      <c r="I3899" s="68"/>
      <c r="J3899" s="68"/>
      <c r="K3899" s="32"/>
      <c r="L3899" s="75">
        <v>3899</v>
      </c>
      <c r="M3899" s="75"/>
      <c r="N3899" s="70"/>
      <c r="O3899" s="77" t="s">
        <v>179</v>
      </c>
      <c r="P3899" s="79">
        <v>45141.508900462963</v>
      </c>
      <c r="Q3899" s="77" t="s">
        <v>4541</v>
      </c>
      <c r="R3899" s="77">
        <v>0</v>
      </c>
      <c r="S3899" s="77">
        <v>3</v>
      </c>
      <c r="T3899" s="77">
        <v>0</v>
      </c>
      <c r="U3899" s="77">
        <v>0</v>
      </c>
      <c r="V3899" s="77">
        <v>317</v>
      </c>
      <c r="W3899" s="82" t="s">
        <v>6411</v>
      </c>
      <c r="X3899" s="77"/>
      <c r="Y3899" s="77"/>
      <c r="Z3899" s="77"/>
      <c r="AA3899" s="77"/>
      <c r="AB3899" s="77"/>
      <c r="AC3899" s="82" t="s">
        <v>7787</v>
      </c>
      <c r="AD3899" s="77" t="s">
        <v>7793</v>
      </c>
      <c r="AE3899" s="80" t="str">
        <f>HYPERLINK("https://twitter.com/modalmais/status/1687074039091671040")</f>
        <v>https://twitter.com/modalmais/status/1687074039091671040</v>
      </c>
      <c r="AF3899" s="79">
        <v>45141.508900462963</v>
      </c>
      <c r="AG3899" s="85">
        <v>45141</v>
      </c>
      <c r="AH3899" s="82" t="s">
        <v>10308</v>
      </c>
      <c r="AI3899" s="77"/>
      <c r="AJ3899" s="77"/>
      <c r="AK3899" s="77"/>
      <c r="AL3899" s="77"/>
      <c r="AM3899" s="77"/>
      <c r="AN3899" s="77"/>
      <c r="AO3899" s="77"/>
      <c r="AP3899" s="77"/>
      <c r="AQ3899" s="77"/>
      <c r="AR3899" s="77"/>
      <c r="AS3899" s="77"/>
      <c r="AT3899" s="77"/>
      <c r="AU3899" s="77"/>
      <c r="AV3899" s="80" t="str">
        <f>HYPERLINK("https://pbs.twimg.com/profile_images/1067039778795937797/PnnLGTU4_normal.jpg")</f>
        <v>https://pbs.twimg.com/profile_images/1067039778795937797/PnnLGTU4_normal.jpg</v>
      </c>
      <c r="AW3899" s="82" t="s">
        <v>15470</v>
      </c>
      <c r="AX3899" s="82" t="s">
        <v>15470</v>
      </c>
      <c r="AY3899" s="77"/>
      <c r="AZ3899" s="82" t="s">
        <v>15984</v>
      </c>
      <c r="BA3899" s="82" t="s">
        <v>15984</v>
      </c>
      <c r="BB3899" s="82" t="s">
        <v>15984</v>
      </c>
      <c r="BC3899" s="82" t="s">
        <v>15470</v>
      </c>
      <c r="BD3899" s="77">
        <v>2578778256</v>
      </c>
      <c r="BE3899" s="77"/>
      <c r="BF3899" s="77"/>
      <c r="BG3899" s="77"/>
      <c r="BH3899" s="77"/>
      <c r="BI3899" s="77"/>
    </row>
    <row r="3900" spans="1:61" x14ac:dyDescent="0.25">
      <c r="A3900" s="62" t="s">
        <v>735</v>
      </c>
      <c r="B3900" s="62" t="s">
        <v>735</v>
      </c>
      <c r="C3900" s="63"/>
      <c r="D3900" s="64"/>
      <c r="E3900" s="65"/>
      <c r="F3900" s="66"/>
      <c r="G3900" s="63"/>
      <c r="H3900" s="67"/>
      <c r="I3900" s="68"/>
      <c r="J3900" s="68"/>
      <c r="K3900" s="32"/>
      <c r="L3900" s="75">
        <v>3900</v>
      </c>
      <c r="M3900" s="75"/>
      <c r="N3900" s="70"/>
      <c r="O3900" s="77" t="s">
        <v>179</v>
      </c>
      <c r="P3900" s="79">
        <v>45141.508333333331</v>
      </c>
      <c r="Q3900" s="77" t="s">
        <v>4542</v>
      </c>
      <c r="R3900" s="77">
        <v>0</v>
      </c>
      <c r="S3900" s="77">
        <v>3</v>
      </c>
      <c r="T3900" s="77">
        <v>0</v>
      </c>
      <c r="U3900" s="77">
        <v>0</v>
      </c>
      <c r="V3900" s="77">
        <v>284</v>
      </c>
      <c r="W3900" s="82" t="s">
        <v>6411</v>
      </c>
      <c r="X3900" s="77"/>
      <c r="Y3900" s="77"/>
      <c r="Z3900" s="77"/>
      <c r="AA3900" s="77"/>
      <c r="AB3900" s="77"/>
      <c r="AC3900" s="82" t="s">
        <v>7787</v>
      </c>
      <c r="AD3900" s="77" t="s">
        <v>7797</v>
      </c>
      <c r="AE3900" s="80" t="str">
        <f>HYPERLINK("https://twitter.com/modalmais/status/1687073830630498305")</f>
        <v>https://twitter.com/modalmais/status/1687073830630498305</v>
      </c>
      <c r="AF3900" s="79">
        <v>45141.508333333331</v>
      </c>
      <c r="AG3900" s="85">
        <v>45141</v>
      </c>
      <c r="AH3900" s="82" t="s">
        <v>8753</v>
      </c>
      <c r="AI3900" s="77"/>
      <c r="AJ3900" s="77"/>
      <c r="AK3900" s="77"/>
      <c r="AL3900" s="77"/>
      <c r="AM3900" s="77"/>
      <c r="AN3900" s="77"/>
      <c r="AO3900" s="77"/>
      <c r="AP3900" s="77"/>
      <c r="AQ3900" s="77"/>
      <c r="AR3900" s="77"/>
      <c r="AS3900" s="77"/>
      <c r="AT3900" s="77"/>
      <c r="AU3900" s="77"/>
      <c r="AV3900" s="80" t="str">
        <f>HYPERLINK("https://pbs.twimg.com/profile_images/1067039778795937797/PnnLGTU4_normal.jpg")</f>
        <v>https://pbs.twimg.com/profile_images/1067039778795937797/PnnLGTU4_normal.jpg</v>
      </c>
      <c r="AW3900" s="82" t="s">
        <v>15471</v>
      </c>
      <c r="AX3900" s="82" t="s">
        <v>15471</v>
      </c>
      <c r="AY3900" s="77"/>
      <c r="AZ3900" s="82" t="s">
        <v>15984</v>
      </c>
      <c r="BA3900" s="82" t="s">
        <v>15984</v>
      </c>
      <c r="BB3900" s="82" t="s">
        <v>15984</v>
      </c>
      <c r="BC3900" s="82" t="s">
        <v>15471</v>
      </c>
      <c r="BD3900" s="77">
        <v>2578778256</v>
      </c>
      <c r="BE3900" s="77"/>
      <c r="BF3900" s="77"/>
      <c r="BG3900" s="77"/>
      <c r="BH3900" s="77"/>
      <c r="BI3900" s="77"/>
    </row>
    <row r="3901" spans="1:61" x14ac:dyDescent="0.25">
      <c r="A3901" s="62" t="s">
        <v>735</v>
      </c>
      <c r="B3901" s="62" t="s">
        <v>735</v>
      </c>
      <c r="C3901" s="63"/>
      <c r="D3901" s="64"/>
      <c r="E3901" s="65"/>
      <c r="F3901" s="66"/>
      <c r="G3901" s="63"/>
      <c r="H3901" s="67"/>
      <c r="I3901" s="68"/>
      <c r="J3901" s="68"/>
      <c r="K3901" s="32"/>
      <c r="L3901" s="75">
        <v>3901</v>
      </c>
      <c r="M3901" s="75"/>
      <c r="N3901" s="70"/>
      <c r="O3901" s="77" t="s">
        <v>179</v>
      </c>
      <c r="P3901" s="79">
        <v>45141.508043981485</v>
      </c>
      <c r="Q3901" s="77" t="s">
        <v>4543</v>
      </c>
      <c r="R3901" s="77">
        <v>0</v>
      </c>
      <c r="S3901" s="77">
        <v>3</v>
      </c>
      <c r="T3901" s="77">
        <v>0</v>
      </c>
      <c r="U3901" s="77">
        <v>0</v>
      </c>
      <c r="V3901" s="77">
        <v>260</v>
      </c>
      <c r="W3901" s="82" t="s">
        <v>6411</v>
      </c>
      <c r="X3901" s="77"/>
      <c r="Y3901" s="77"/>
      <c r="Z3901" s="77"/>
      <c r="AA3901" s="77"/>
      <c r="AB3901" s="77"/>
      <c r="AC3901" s="82" t="s">
        <v>7787</v>
      </c>
      <c r="AD3901" s="77" t="s">
        <v>7788</v>
      </c>
      <c r="AE3901" s="80" t="str">
        <f>HYPERLINK("https://twitter.com/modalmais/status/1687073725353484288")</f>
        <v>https://twitter.com/modalmais/status/1687073725353484288</v>
      </c>
      <c r="AF3901" s="79">
        <v>45141.508043981485</v>
      </c>
      <c r="AG3901" s="85">
        <v>45141</v>
      </c>
      <c r="AH3901" s="82" t="s">
        <v>10309</v>
      </c>
      <c r="AI3901" s="77"/>
      <c r="AJ3901" s="77"/>
      <c r="AK3901" s="77"/>
      <c r="AL3901" s="77"/>
      <c r="AM3901" s="77"/>
      <c r="AN3901" s="77"/>
      <c r="AO3901" s="77"/>
      <c r="AP3901" s="77"/>
      <c r="AQ3901" s="77"/>
      <c r="AR3901" s="77"/>
      <c r="AS3901" s="77"/>
      <c r="AT3901" s="77"/>
      <c r="AU3901" s="77"/>
      <c r="AV3901" s="80" t="str">
        <f>HYPERLINK("https://pbs.twimg.com/profile_images/1067039778795937797/PnnLGTU4_normal.jpg")</f>
        <v>https://pbs.twimg.com/profile_images/1067039778795937797/PnnLGTU4_normal.jpg</v>
      </c>
      <c r="AW3901" s="82" t="s">
        <v>15472</v>
      </c>
      <c r="AX3901" s="82" t="s">
        <v>15472</v>
      </c>
      <c r="AY3901" s="77"/>
      <c r="AZ3901" s="82" t="s">
        <v>15984</v>
      </c>
      <c r="BA3901" s="82" t="s">
        <v>15984</v>
      </c>
      <c r="BB3901" s="82" t="s">
        <v>15984</v>
      </c>
      <c r="BC3901" s="82" t="s">
        <v>15472</v>
      </c>
      <c r="BD3901" s="77">
        <v>2578778256</v>
      </c>
      <c r="BE3901" s="77"/>
      <c r="BF3901" s="77"/>
      <c r="BG3901" s="77"/>
      <c r="BH3901" s="77"/>
      <c r="BI3901" s="77"/>
    </row>
    <row r="3902" spans="1:61" x14ac:dyDescent="0.25">
      <c r="A3902" s="62" t="s">
        <v>735</v>
      </c>
      <c r="B3902" s="62" t="s">
        <v>735</v>
      </c>
      <c r="C3902" s="63"/>
      <c r="D3902" s="64"/>
      <c r="E3902" s="65"/>
      <c r="F3902" s="66"/>
      <c r="G3902" s="63"/>
      <c r="H3902" s="67"/>
      <c r="I3902" s="68"/>
      <c r="J3902" s="68"/>
      <c r="K3902" s="32"/>
      <c r="L3902" s="75">
        <v>3902</v>
      </c>
      <c r="M3902" s="75"/>
      <c r="N3902" s="70"/>
      <c r="O3902" s="77" t="s">
        <v>179</v>
      </c>
      <c r="P3902" s="79">
        <v>45131.69363425926</v>
      </c>
      <c r="Q3902" s="77" t="s">
        <v>4544</v>
      </c>
      <c r="R3902" s="77">
        <v>0</v>
      </c>
      <c r="S3902" s="77">
        <v>2</v>
      </c>
      <c r="T3902" s="77">
        <v>0</v>
      </c>
      <c r="U3902" s="77">
        <v>0</v>
      </c>
      <c r="V3902" s="77">
        <v>365</v>
      </c>
      <c r="W3902" s="82" t="s">
        <v>6410</v>
      </c>
      <c r="X3902" s="77"/>
      <c r="Y3902" s="77"/>
      <c r="Z3902" s="77"/>
      <c r="AA3902" s="77"/>
      <c r="AB3902" s="77"/>
      <c r="AC3902" s="82" t="s">
        <v>7787</v>
      </c>
      <c r="AD3902" s="77" t="s">
        <v>7788</v>
      </c>
      <c r="AE3902" s="80" t="str">
        <f>HYPERLINK("https://twitter.com/modalmais/status/1683517105520492544")</f>
        <v>https://twitter.com/modalmais/status/1683517105520492544</v>
      </c>
      <c r="AF3902" s="79">
        <v>45131.69363425926</v>
      </c>
      <c r="AG3902" s="85">
        <v>45131</v>
      </c>
      <c r="AH3902" s="82" t="s">
        <v>10310</v>
      </c>
      <c r="AI3902" s="77"/>
      <c r="AJ3902" s="77"/>
      <c r="AK3902" s="77"/>
      <c r="AL3902" s="77"/>
      <c r="AM3902" s="77"/>
      <c r="AN3902" s="77"/>
      <c r="AO3902" s="77"/>
      <c r="AP3902" s="77"/>
      <c r="AQ3902" s="77"/>
      <c r="AR3902" s="77"/>
      <c r="AS3902" s="77"/>
      <c r="AT3902" s="77"/>
      <c r="AU3902" s="77"/>
      <c r="AV3902" s="80" t="str">
        <f>HYPERLINK("https://pbs.twimg.com/profile_images/1067039778795937797/PnnLGTU4_normal.jpg")</f>
        <v>https://pbs.twimg.com/profile_images/1067039778795937797/PnnLGTU4_normal.jpg</v>
      </c>
      <c r="AW3902" s="82" t="s">
        <v>15473</v>
      </c>
      <c r="AX3902" s="82" t="s">
        <v>15473</v>
      </c>
      <c r="AY3902" s="77"/>
      <c r="AZ3902" s="82" t="s">
        <v>15984</v>
      </c>
      <c r="BA3902" s="82" t="s">
        <v>15984</v>
      </c>
      <c r="BB3902" s="82" t="s">
        <v>15984</v>
      </c>
      <c r="BC3902" s="82" t="s">
        <v>15473</v>
      </c>
      <c r="BD3902" s="77">
        <v>2578778256</v>
      </c>
      <c r="BE3902" s="77"/>
      <c r="BF3902" s="77"/>
      <c r="BG3902" s="77"/>
      <c r="BH3902" s="77"/>
      <c r="BI3902" s="77"/>
    </row>
    <row r="3903" spans="1:61" x14ac:dyDescent="0.25">
      <c r="A3903" s="62" t="s">
        <v>735</v>
      </c>
      <c r="B3903" s="62" t="s">
        <v>735</v>
      </c>
      <c r="C3903" s="63"/>
      <c r="D3903" s="64"/>
      <c r="E3903" s="65"/>
      <c r="F3903" s="66"/>
      <c r="G3903" s="63"/>
      <c r="H3903" s="67"/>
      <c r="I3903" s="68"/>
      <c r="J3903" s="68"/>
      <c r="K3903" s="32"/>
      <c r="L3903" s="75">
        <v>3903</v>
      </c>
      <c r="M3903" s="75"/>
      <c r="N3903" s="70"/>
      <c r="O3903" s="77" t="s">
        <v>179</v>
      </c>
      <c r="P3903" s="79">
        <v>45131.693009259259</v>
      </c>
      <c r="Q3903" s="77" t="s">
        <v>4545</v>
      </c>
      <c r="R3903" s="77">
        <v>0</v>
      </c>
      <c r="S3903" s="77">
        <v>3</v>
      </c>
      <c r="T3903" s="77">
        <v>0</v>
      </c>
      <c r="U3903" s="77">
        <v>0</v>
      </c>
      <c r="V3903" s="77">
        <v>396</v>
      </c>
      <c r="W3903" s="82" t="s">
        <v>6410</v>
      </c>
      <c r="X3903" s="77"/>
      <c r="Y3903" s="77"/>
      <c r="Z3903" s="77"/>
      <c r="AA3903" s="77"/>
      <c r="AB3903" s="77"/>
      <c r="AC3903" s="82" t="s">
        <v>7787</v>
      </c>
      <c r="AD3903" s="77" t="s">
        <v>7788</v>
      </c>
      <c r="AE3903" s="80" t="str">
        <f>HYPERLINK("https://twitter.com/modalmais/status/1683516877899800595")</f>
        <v>https://twitter.com/modalmais/status/1683516877899800595</v>
      </c>
      <c r="AF3903" s="79">
        <v>45131.693009259259</v>
      </c>
      <c r="AG3903" s="85">
        <v>45131</v>
      </c>
      <c r="AH3903" s="82" t="s">
        <v>10311</v>
      </c>
      <c r="AI3903" s="77"/>
      <c r="AJ3903" s="77"/>
      <c r="AK3903" s="77"/>
      <c r="AL3903" s="77"/>
      <c r="AM3903" s="77"/>
      <c r="AN3903" s="77"/>
      <c r="AO3903" s="77"/>
      <c r="AP3903" s="77"/>
      <c r="AQ3903" s="77"/>
      <c r="AR3903" s="77"/>
      <c r="AS3903" s="77"/>
      <c r="AT3903" s="77"/>
      <c r="AU3903" s="77"/>
      <c r="AV3903" s="80" t="str">
        <f>HYPERLINK("https://pbs.twimg.com/profile_images/1067039778795937797/PnnLGTU4_normal.jpg")</f>
        <v>https://pbs.twimg.com/profile_images/1067039778795937797/PnnLGTU4_normal.jpg</v>
      </c>
      <c r="AW3903" s="82" t="s">
        <v>15474</v>
      </c>
      <c r="AX3903" s="82" t="s">
        <v>15474</v>
      </c>
      <c r="AY3903" s="77"/>
      <c r="AZ3903" s="82" t="s">
        <v>15984</v>
      </c>
      <c r="BA3903" s="82" t="s">
        <v>15984</v>
      </c>
      <c r="BB3903" s="82" t="s">
        <v>15984</v>
      </c>
      <c r="BC3903" s="82" t="s">
        <v>15474</v>
      </c>
      <c r="BD3903" s="77">
        <v>2578778256</v>
      </c>
      <c r="BE3903" s="77"/>
      <c r="BF3903" s="77"/>
      <c r="BG3903" s="77"/>
      <c r="BH3903" s="77"/>
      <c r="BI3903" s="77"/>
    </row>
    <row r="3904" spans="1:61" x14ac:dyDescent="0.25">
      <c r="A3904" s="62" t="s">
        <v>735</v>
      </c>
      <c r="B3904" s="62" t="s">
        <v>735</v>
      </c>
      <c r="C3904" s="63"/>
      <c r="D3904" s="64"/>
      <c r="E3904" s="65"/>
      <c r="F3904" s="66"/>
      <c r="G3904" s="63"/>
      <c r="H3904" s="67"/>
      <c r="I3904" s="68"/>
      <c r="J3904" s="68"/>
      <c r="K3904" s="32"/>
      <c r="L3904" s="75">
        <v>3904</v>
      </c>
      <c r="M3904" s="75"/>
      <c r="N3904" s="70"/>
      <c r="O3904" s="77" t="s">
        <v>179</v>
      </c>
      <c r="P3904" s="79">
        <v>45121.826388888891</v>
      </c>
      <c r="Q3904" s="77" t="s">
        <v>4546</v>
      </c>
      <c r="R3904" s="77">
        <v>1</v>
      </c>
      <c r="S3904" s="77">
        <v>2</v>
      </c>
      <c r="T3904" s="77">
        <v>1</v>
      </c>
      <c r="U3904" s="77">
        <v>0</v>
      </c>
      <c r="V3904" s="77">
        <v>321</v>
      </c>
      <c r="W3904" s="82" t="s">
        <v>6411</v>
      </c>
      <c r="X3904" s="80" t="str">
        <f>HYPERLINK("https://www.youtube.com/watch?v=fJ9OXZQp6uo&amp;pp=ygUJbW9kYWxtYWlz")</f>
        <v>https://www.youtube.com/watch?v=fJ9OXZQp6uo&amp;pp=ygUJbW9kYWxtYWlz</v>
      </c>
      <c r="Y3904" s="77" t="s">
        <v>6480</v>
      </c>
      <c r="Z3904" s="77"/>
      <c r="AA3904" s="77"/>
      <c r="AB3904" s="77"/>
      <c r="AC3904" s="82" t="s">
        <v>7787</v>
      </c>
      <c r="AD3904" s="77" t="s">
        <v>7788</v>
      </c>
      <c r="AE3904" s="80" t="str">
        <f>HYPERLINK("https://twitter.com/modalmais/status/1679941333069500420")</f>
        <v>https://twitter.com/modalmais/status/1679941333069500420</v>
      </c>
      <c r="AF3904" s="79">
        <v>45121.826388888891</v>
      </c>
      <c r="AG3904" s="85">
        <v>45121</v>
      </c>
      <c r="AH3904" s="82" t="s">
        <v>10312</v>
      </c>
      <c r="AI3904" s="77" t="b">
        <v>0</v>
      </c>
      <c r="AJ3904" s="77"/>
      <c r="AK3904" s="77"/>
      <c r="AL3904" s="77"/>
      <c r="AM3904" s="77"/>
      <c r="AN3904" s="77"/>
      <c r="AO3904" s="77"/>
      <c r="AP3904" s="77"/>
      <c r="AQ3904" s="77"/>
      <c r="AR3904" s="77"/>
      <c r="AS3904" s="77"/>
      <c r="AT3904" s="77"/>
      <c r="AU3904" s="77"/>
      <c r="AV3904" s="80" t="str">
        <f>HYPERLINK("https://pbs.twimg.com/profile_images/1067039778795937797/PnnLGTU4_normal.jpg")</f>
        <v>https://pbs.twimg.com/profile_images/1067039778795937797/PnnLGTU4_normal.jpg</v>
      </c>
      <c r="AW3904" s="82" t="s">
        <v>15475</v>
      </c>
      <c r="AX3904" s="82" t="s">
        <v>15475</v>
      </c>
      <c r="AY3904" s="77"/>
      <c r="AZ3904" s="82" t="s">
        <v>15984</v>
      </c>
      <c r="BA3904" s="82" t="s">
        <v>15984</v>
      </c>
      <c r="BB3904" s="82" t="s">
        <v>15984</v>
      </c>
      <c r="BC3904" s="82" t="s">
        <v>15475</v>
      </c>
      <c r="BD3904" s="77">
        <v>2578778256</v>
      </c>
      <c r="BE3904" s="77"/>
      <c r="BF3904" s="77"/>
      <c r="BG3904" s="77"/>
      <c r="BH3904" s="77"/>
      <c r="BI3904" s="77"/>
    </row>
    <row r="3905" spans="1:61" x14ac:dyDescent="0.25">
      <c r="A3905" s="62" t="s">
        <v>735</v>
      </c>
      <c r="B3905" s="62" t="s">
        <v>735</v>
      </c>
      <c r="C3905" s="63"/>
      <c r="D3905" s="64"/>
      <c r="E3905" s="65"/>
      <c r="F3905" s="66"/>
      <c r="G3905" s="63"/>
      <c r="H3905" s="67"/>
      <c r="I3905" s="68"/>
      <c r="J3905" s="68"/>
      <c r="K3905" s="32"/>
      <c r="L3905" s="75">
        <v>3905</v>
      </c>
      <c r="M3905" s="75"/>
      <c r="N3905" s="70"/>
      <c r="O3905" s="77" t="s">
        <v>179</v>
      </c>
      <c r="P3905" s="79">
        <v>45121.78701388889</v>
      </c>
      <c r="Q3905" s="77" t="s">
        <v>4547</v>
      </c>
      <c r="R3905" s="77">
        <v>0</v>
      </c>
      <c r="S3905" s="77">
        <v>2</v>
      </c>
      <c r="T3905" s="77">
        <v>0</v>
      </c>
      <c r="U3905" s="77">
        <v>0</v>
      </c>
      <c r="V3905" s="77">
        <v>324</v>
      </c>
      <c r="W3905" s="82" t="s">
        <v>6411</v>
      </c>
      <c r="X3905" s="77"/>
      <c r="Y3905" s="77"/>
      <c r="Z3905" s="77"/>
      <c r="AA3905" s="77"/>
      <c r="AB3905" s="77"/>
      <c r="AC3905" s="82" t="s">
        <v>7787</v>
      </c>
      <c r="AD3905" s="77" t="s">
        <v>7788</v>
      </c>
      <c r="AE3905" s="80" t="str">
        <f>HYPERLINK("https://twitter.com/modalmais/status/1679927066354122752")</f>
        <v>https://twitter.com/modalmais/status/1679927066354122752</v>
      </c>
      <c r="AF3905" s="79">
        <v>45121.78701388889</v>
      </c>
      <c r="AG3905" s="85">
        <v>45121</v>
      </c>
      <c r="AH3905" s="82" t="s">
        <v>10313</v>
      </c>
      <c r="AI3905" s="77"/>
      <c r="AJ3905" s="77"/>
      <c r="AK3905" s="77"/>
      <c r="AL3905" s="77"/>
      <c r="AM3905" s="77"/>
      <c r="AN3905" s="77"/>
      <c r="AO3905" s="77"/>
      <c r="AP3905" s="77"/>
      <c r="AQ3905" s="77"/>
      <c r="AR3905" s="77"/>
      <c r="AS3905" s="77"/>
      <c r="AT3905" s="77"/>
      <c r="AU3905" s="77"/>
      <c r="AV3905" s="80" t="str">
        <f>HYPERLINK("https://pbs.twimg.com/profile_images/1067039778795937797/PnnLGTU4_normal.jpg")</f>
        <v>https://pbs.twimg.com/profile_images/1067039778795937797/PnnLGTU4_normal.jpg</v>
      </c>
      <c r="AW3905" s="82" t="s">
        <v>15476</v>
      </c>
      <c r="AX3905" s="82" t="s">
        <v>15476</v>
      </c>
      <c r="AY3905" s="77"/>
      <c r="AZ3905" s="82" t="s">
        <v>15984</v>
      </c>
      <c r="BA3905" s="82" t="s">
        <v>15984</v>
      </c>
      <c r="BB3905" s="82" t="s">
        <v>15984</v>
      </c>
      <c r="BC3905" s="82" t="s">
        <v>15476</v>
      </c>
      <c r="BD3905" s="77">
        <v>2578778256</v>
      </c>
      <c r="BE3905" s="77"/>
      <c r="BF3905" s="77"/>
      <c r="BG3905" s="77"/>
      <c r="BH3905" s="77"/>
      <c r="BI3905" s="77"/>
    </row>
    <row r="3906" spans="1:61" x14ac:dyDescent="0.25">
      <c r="A3906" s="62" t="s">
        <v>735</v>
      </c>
      <c r="B3906" s="62" t="s">
        <v>735</v>
      </c>
      <c r="C3906" s="63"/>
      <c r="D3906" s="64"/>
      <c r="E3906" s="65"/>
      <c r="F3906" s="66"/>
      <c r="G3906" s="63"/>
      <c r="H3906" s="67"/>
      <c r="I3906" s="68"/>
      <c r="J3906" s="68"/>
      <c r="K3906" s="32"/>
      <c r="L3906" s="75">
        <v>3906</v>
      </c>
      <c r="M3906" s="75"/>
      <c r="N3906" s="70"/>
      <c r="O3906" s="77" t="s">
        <v>179</v>
      </c>
      <c r="P3906" s="79">
        <v>45121.759965277779</v>
      </c>
      <c r="Q3906" s="77" t="s">
        <v>4548</v>
      </c>
      <c r="R3906" s="77">
        <v>0</v>
      </c>
      <c r="S3906" s="77">
        <v>2</v>
      </c>
      <c r="T3906" s="77">
        <v>0</v>
      </c>
      <c r="U3906" s="77">
        <v>0</v>
      </c>
      <c r="V3906" s="77">
        <v>315</v>
      </c>
      <c r="W3906" s="82" t="s">
        <v>6411</v>
      </c>
      <c r="X3906" s="77"/>
      <c r="Y3906" s="77"/>
      <c r="Z3906" s="77"/>
      <c r="AA3906" s="77"/>
      <c r="AB3906" s="77"/>
      <c r="AC3906" s="82" t="s">
        <v>7787</v>
      </c>
      <c r="AD3906" s="77" t="s">
        <v>7788</v>
      </c>
      <c r="AE3906" s="80" t="str">
        <f>HYPERLINK("https://twitter.com/modalmais/status/1679917261791072256")</f>
        <v>https://twitter.com/modalmais/status/1679917261791072256</v>
      </c>
      <c r="AF3906" s="79">
        <v>45121.759965277779</v>
      </c>
      <c r="AG3906" s="85">
        <v>45121</v>
      </c>
      <c r="AH3906" s="82" t="s">
        <v>10314</v>
      </c>
      <c r="AI3906" s="77"/>
      <c r="AJ3906" s="77"/>
      <c r="AK3906" s="77"/>
      <c r="AL3906" s="77"/>
      <c r="AM3906" s="77"/>
      <c r="AN3906" s="77"/>
      <c r="AO3906" s="77"/>
      <c r="AP3906" s="77"/>
      <c r="AQ3906" s="77"/>
      <c r="AR3906" s="77"/>
      <c r="AS3906" s="77"/>
      <c r="AT3906" s="77"/>
      <c r="AU3906" s="77"/>
      <c r="AV3906" s="80" t="str">
        <f>HYPERLINK("https://pbs.twimg.com/profile_images/1067039778795937797/PnnLGTU4_normal.jpg")</f>
        <v>https://pbs.twimg.com/profile_images/1067039778795937797/PnnLGTU4_normal.jpg</v>
      </c>
      <c r="AW3906" s="82" t="s">
        <v>15477</v>
      </c>
      <c r="AX3906" s="82" t="s">
        <v>15477</v>
      </c>
      <c r="AY3906" s="77"/>
      <c r="AZ3906" s="82" t="s">
        <v>15984</v>
      </c>
      <c r="BA3906" s="82" t="s">
        <v>15984</v>
      </c>
      <c r="BB3906" s="82" t="s">
        <v>15984</v>
      </c>
      <c r="BC3906" s="82" t="s">
        <v>15477</v>
      </c>
      <c r="BD3906" s="77">
        <v>2578778256</v>
      </c>
      <c r="BE3906" s="77"/>
      <c r="BF3906" s="77"/>
      <c r="BG3906" s="77"/>
      <c r="BH3906" s="77"/>
      <c r="BI3906" s="77"/>
    </row>
    <row r="3907" spans="1:61" x14ac:dyDescent="0.25">
      <c r="A3907" s="62" t="s">
        <v>735</v>
      </c>
      <c r="B3907" s="62" t="s">
        <v>735</v>
      </c>
      <c r="C3907" s="63"/>
      <c r="D3907" s="64"/>
      <c r="E3907" s="65"/>
      <c r="F3907" s="66"/>
      <c r="G3907" s="63"/>
      <c r="H3907" s="67"/>
      <c r="I3907" s="68"/>
      <c r="J3907" s="68"/>
      <c r="K3907" s="32"/>
      <c r="L3907" s="75">
        <v>3907</v>
      </c>
      <c r="M3907" s="75"/>
      <c r="N3907" s="70"/>
      <c r="O3907" s="77" t="s">
        <v>179</v>
      </c>
      <c r="P3907" s="79">
        <v>45166.613078703704</v>
      </c>
      <c r="Q3907" s="77" t="s">
        <v>4549</v>
      </c>
      <c r="R3907" s="77">
        <v>0</v>
      </c>
      <c r="S3907" s="77">
        <v>3</v>
      </c>
      <c r="T3907" s="77">
        <v>0</v>
      </c>
      <c r="U3907" s="77">
        <v>0</v>
      </c>
      <c r="V3907" s="77">
        <v>516</v>
      </c>
      <c r="W3907" s="82" t="s">
        <v>6424</v>
      </c>
      <c r="X3907" s="80" t="str">
        <f>HYPERLINK("https://www.modalmais.com.br/morning-call/pib-do-segundo-trimestre-e-o-destaque-para-semana/")</f>
        <v>https://www.modalmais.com.br/morning-call/pib-do-segundo-trimestre-e-o-destaque-para-semana/</v>
      </c>
      <c r="Y3907" s="77" t="s">
        <v>6470</v>
      </c>
      <c r="Z3907" s="77"/>
      <c r="AA3907" s="77"/>
      <c r="AB3907" s="77"/>
      <c r="AC3907" s="82" t="s">
        <v>7787</v>
      </c>
      <c r="AD3907" s="77" t="s">
        <v>7788</v>
      </c>
      <c r="AE3907" s="80" t="str">
        <f>HYPERLINK("https://twitter.com/modalmais/status/1696171486954868852")</f>
        <v>https://twitter.com/modalmais/status/1696171486954868852</v>
      </c>
      <c r="AF3907" s="79">
        <v>45166.613078703704</v>
      </c>
      <c r="AG3907" s="85">
        <v>45166</v>
      </c>
      <c r="AH3907" s="82" t="s">
        <v>10315</v>
      </c>
      <c r="AI3907" s="77" t="b">
        <v>0</v>
      </c>
      <c r="AJ3907" s="77"/>
      <c r="AK3907" s="77"/>
      <c r="AL3907" s="77"/>
      <c r="AM3907" s="77"/>
      <c r="AN3907" s="77"/>
      <c r="AO3907" s="77"/>
      <c r="AP3907" s="77"/>
      <c r="AQ3907" s="77"/>
      <c r="AR3907" s="77"/>
      <c r="AS3907" s="77"/>
      <c r="AT3907" s="77"/>
      <c r="AU3907" s="77"/>
      <c r="AV3907" s="80" t="str">
        <f>HYPERLINK("https://pbs.twimg.com/profile_images/1067039778795937797/PnnLGTU4_normal.jpg")</f>
        <v>https://pbs.twimg.com/profile_images/1067039778795937797/PnnLGTU4_normal.jpg</v>
      </c>
      <c r="AW3907" s="82" t="s">
        <v>15478</v>
      </c>
      <c r="AX3907" s="82" t="s">
        <v>15478</v>
      </c>
      <c r="AY3907" s="77"/>
      <c r="AZ3907" s="82" t="s">
        <v>15984</v>
      </c>
      <c r="BA3907" s="82" t="s">
        <v>15984</v>
      </c>
      <c r="BB3907" s="82" t="s">
        <v>15984</v>
      </c>
      <c r="BC3907" s="82" t="s">
        <v>15478</v>
      </c>
      <c r="BD3907" s="77">
        <v>2578778256</v>
      </c>
      <c r="BE3907" s="77"/>
      <c r="BF3907" s="77"/>
      <c r="BG3907" s="77"/>
      <c r="BH3907" s="77"/>
      <c r="BI3907" s="77"/>
    </row>
    <row r="3908" spans="1:61" x14ac:dyDescent="0.25">
      <c r="A3908" s="62" t="s">
        <v>735</v>
      </c>
      <c r="B3908" s="62" t="s">
        <v>735</v>
      </c>
      <c r="C3908" s="63"/>
      <c r="D3908" s="64"/>
      <c r="E3908" s="65"/>
      <c r="F3908" s="66"/>
      <c r="G3908" s="63"/>
      <c r="H3908" s="67"/>
      <c r="I3908" s="68"/>
      <c r="J3908" s="68"/>
      <c r="K3908" s="32"/>
      <c r="L3908" s="75">
        <v>3908</v>
      </c>
      <c r="M3908" s="75"/>
      <c r="N3908" s="70"/>
      <c r="O3908" s="77" t="s">
        <v>179</v>
      </c>
      <c r="P3908" s="79">
        <v>45147.578506944446</v>
      </c>
      <c r="Q3908" s="77" t="s">
        <v>4550</v>
      </c>
      <c r="R3908" s="77">
        <v>0</v>
      </c>
      <c r="S3908" s="77">
        <v>2</v>
      </c>
      <c r="T3908" s="77">
        <v>0</v>
      </c>
      <c r="U3908" s="77">
        <v>0</v>
      </c>
      <c r="V3908" s="77">
        <v>330</v>
      </c>
      <c r="W3908" s="82" t="s">
        <v>6411</v>
      </c>
      <c r="X3908" s="77"/>
      <c r="Y3908" s="77"/>
      <c r="Z3908" s="77"/>
      <c r="AA3908" s="77"/>
      <c r="AB3908" s="77"/>
      <c r="AC3908" s="82" t="s">
        <v>7787</v>
      </c>
      <c r="AD3908" s="77" t="s">
        <v>7788</v>
      </c>
      <c r="AE3908" s="80" t="str">
        <f>HYPERLINK("https://twitter.com/modalmais/status/1689273590527442944")</f>
        <v>https://twitter.com/modalmais/status/1689273590527442944</v>
      </c>
      <c r="AF3908" s="79">
        <v>45147.578506944446</v>
      </c>
      <c r="AG3908" s="85">
        <v>45147</v>
      </c>
      <c r="AH3908" s="82" t="s">
        <v>10316</v>
      </c>
      <c r="AI3908" s="77"/>
      <c r="AJ3908" s="77"/>
      <c r="AK3908" s="77"/>
      <c r="AL3908" s="77"/>
      <c r="AM3908" s="77"/>
      <c r="AN3908" s="77"/>
      <c r="AO3908" s="77"/>
      <c r="AP3908" s="77"/>
      <c r="AQ3908" s="77"/>
      <c r="AR3908" s="77"/>
      <c r="AS3908" s="77"/>
      <c r="AT3908" s="77"/>
      <c r="AU3908" s="77"/>
      <c r="AV3908" s="80" t="str">
        <f>HYPERLINK("https://pbs.twimg.com/profile_images/1067039778795937797/PnnLGTU4_normal.jpg")</f>
        <v>https://pbs.twimg.com/profile_images/1067039778795937797/PnnLGTU4_normal.jpg</v>
      </c>
      <c r="AW3908" s="82" t="s">
        <v>15479</v>
      </c>
      <c r="AX3908" s="82" t="s">
        <v>15479</v>
      </c>
      <c r="AY3908" s="77"/>
      <c r="AZ3908" s="82" t="s">
        <v>15984</v>
      </c>
      <c r="BA3908" s="82" t="s">
        <v>15984</v>
      </c>
      <c r="BB3908" s="82" t="s">
        <v>15984</v>
      </c>
      <c r="BC3908" s="82" t="s">
        <v>15479</v>
      </c>
      <c r="BD3908" s="77">
        <v>2578778256</v>
      </c>
      <c r="BE3908" s="77"/>
      <c r="BF3908" s="77"/>
      <c r="BG3908" s="77"/>
      <c r="BH3908" s="77"/>
      <c r="BI3908" s="77"/>
    </row>
    <row r="3909" spans="1:61" x14ac:dyDescent="0.25">
      <c r="A3909" s="62" t="s">
        <v>735</v>
      </c>
      <c r="B3909" s="62" t="s">
        <v>735</v>
      </c>
      <c r="C3909" s="63"/>
      <c r="D3909" s="64"/>
      <c r="E3909" s="65"/>
      <c r="F3909" s="66"/>
      <c r="G3909" s="63"/>
      <c r="H3909" s="67"/>
      <c r="I3909" s="68"/>
      <c r="J3909" s="68"/>
      <c r="K3909" s="32"/>
      <c r="L3909" s="75">
        <v>3909</v>
      </c>
      <c r="M3909" s="75"/>
      <c r="N3909" s="70"/>
      <c r="O3909" s="77" t="s">
        <v>179</v>
      </c>
      <c r="P3909" s="79">
        <v>45147.577997685185</v>
      </c>
      <c r="Q3909" s="77" t="s">
        <v>4551</v>
      </c>
      <c r="R3909" s="77">
        <v>0</v>
      </c>
      <c r="S3909" s="77">
        <v>3</v>
      </c>
      <c r="T3909" s="77">
        <v>0</v>
      </c>
      <c r="U3909" s="77">
        <v>0</v>
      </c>
      <c r="V3909" s="77">
        <v>383</v>
      </c>
      <c r="W3909" s="82" t="s">
        <v>6411</v>
      </c>
      <c r="X3909" s="77"/>
      <c r="Y3909" s="77"/>
      <c r="Z3909" s="77"/>
      <c r="AA3909" s="77"/>
      <c r="AB3909" s="77"/>
      <c r="AC3909" s="82" t="s">
        <v>7787</v>
      </c>
      <c r="AD3909" s="77" t="s">
        <v>7788</v>
      </c>
      <c r="AE3909" s="80" t="str">
        <f>HYPERLINK("https://twitter.com/modalmais/status/1689273404925288448")</f>
        <v>https://twitter.com/modalmais/status/1689273404925288448</v>
      </c>
      <c r="AF3909" s="79">
        <v>45147.577997685185</v>
      </c>
      <c r="AG3909" s="85">
        <v>45147</v>
      </c>
      <c r="AH3909" s="82" t="s">
        <v>10317</v>
      </c>
      <c r="AI3909" s="77"/>
      <c r="AJ3909" s="77"/>
      <c r="AK3909" s="77"/>
      <c r="AL3909" s="77"/>
      <c r="AM3909" s="77"/>
      <c r="AN3909" s="77"/>
      <c r="AO3909" s="77"/>
      <c r="AP3909" s="77"/>
      <c r="AQ3909" s="77"/>
      <c r="AR3909" s="77"/>
      <c r="AS3909" s="77"/>
      <c r="AT3909" s="77"/>
      <c r="AU3909" s="77"/>
      <c r="AV3909" s="80" t="str">
        <f>HYPERLINK("https://pbs.twimg.com/profile_images/1067039778795937797/PnnLGTU4_normal.jpg")</f>
        <v>https://pbs.twimg.com/profile_images/1067039778795937797/PnnLGTU4_normal.jpg</v>
      </c>
      <c r="AW3909" s="82" t="s">
        <v>15480</v>
      </c>
      <c r="AX3909" s="82" t="s">
        <v>15480</v>
      </c>
      <c r="AY3909" s="77"/>
      <c r="AZ3909" s="82" t="s">
        <v>15984</v>
      </c>
      <c r="BA3909" s="82" t="s">
        <v>15984</v>
      </c>
      <c r="BB3909" s="82" t="s">
        <v>15984</v>
      </c>
      <c r="BC3909" s="82" t="s">
        <v>15480</v>
      </c>
      <c r="BD3909" s="77">
        <v>2578778256</v>
      </c>
      <c r="BE3909" s="77"/>
      <c r="BF3909" s="77"/>
      <c r="BG3909" s="77"/>
      <c r="BH3909" s="77"/>
      <c r="BI3909" s="77"/>
    </row>
    <row r="3910" spans="1:61" x14ac:dyDescent="0.25">
      <c r="A3910" s="62" t="s">
        <v>735</v>
      </c>
      <c r="B3910" s="62" t="s">
        <v>735</v>
      </c>
      <c r="C3910" s="63"/>
      <c r="D3910" s="64"/>
      <c r="E3910" s="65"/>
      <c r="F3910" s="66"/>
      <c r="G3910" s="63"/>
      <c r="H3910" s="67"/>
      <c r="I3910" s="68"/>
      <c r="J3910" s="68"/>
      <c r="K3910" s="32"/>
      <c r="L3910" s="75">
        <v>3910</v>
      </c>
      <c r="M3910" s="75"/>
      <c r="N3910" s="70"/>
      <c r="O3910" s="77" t="s">
        <v>179</v>
      </c>
      <c r="P3910" s="79">
        <v>45147.543645833335</v>
      </c>
      <c r="Q3910" s="77" t="s">
        <v>4552</v>
      </c>
      <c r="R3910" s="77">
        <v>0</v>
      </c>
      <c r="S3910" s="77">
        <v>0</v>
      </c>
      <c r="T3910" s="77">
        <v>0</v>
      </c>
      <c r="U3910" s="77">
        <v>0</v>
      </c>
      <c r="V3910" s="77">
        <v>282</v>
      </c>
      <c r="W3910" s="82" t="s">
        <v>6411</v>
      </c>
      <c r="X3910" s="80" t="str">
        <f>HYPERLINK("https://www.youtube.com/watch?v=jljVzbEHqw4")</f>
        <v>https://www.youtube.com/watch?v=jljVzbEHqw4</v>
      </c>
      <c r="Y3910" s="77" t="s">
        <v>6480</v>
      </c>
      <c r="Z3910" s="77"/>
      <c r="AA3910" s="77"/>
      <c r="AB3910" s="77"/>
      <c r="AC3910" s="82" t="s">
        <v>7787</v>
      </c>
      <c r="AD3910" s="77" t="s">
        <v>7788</v>
      </c>
      <c r="AE3910" s="80" t="str">
        <f>HYPERLINK("https://twitter.com/modalmais/status/1689260957673934848")</f>
        <v>https://twitter.com/modalmais/status/1689260957673934848</v>
      </c>
      <c r="AF3910" s="79">
        <v>45147.543645833335</v>
      </c>
      <c r="AG3910" s="85">
        <v>45147</v>
      </c>
      <c r="AH3910" s="82" t="s">
        <v>10318</v>
      </c>
      <c r="AI3910" s="77" t="b">
        <v>0</v>
      </c>
      <c r="AJ3910" s="77"/>
      <c r="AK3910" s="77"/>
      <c r="AL3910" s="77"/>
      <c r="AM3910" s="77"/>
      <c r="AN3910" s="77"/>
      <c r="AO3910" s="77"/>
      <c r="AP3910" s="77"/>
      <c r="AQ3910" s="77"/>
      <c r="AR3910" s="77"/>
      <c r="AS3910" s="77"/>
      <c r="AT3910" s="77"/>
      <c r="AU3910" s="77"/>
      <c r="AV3910" s="80" t="str">
        <f>HYPERLINK("https://pbs.twimg.com/profile_images/1067039778795937797/PnnLGTU4_normal.jpg")</f>
        <v>https://pbs.twimg.com/profile_images/1067039778795937797/PnnLGTU4_normal.jpg</v>
      </c>
      <c r="AW3910" s="82" t="s">
        <v>15481</v>
      </c>
      <c r="AX3910" s="82" t="s">
        <v>15481</v>
      </c>
      <c r="AY3910" s="77"/>
      <c r="AZ3910" s="82" t="s">
        <v>15984</v>
      </c>
      <c r="BA3910" s="82" t="s">
        <v>15984</v>
      </c>
      <c r="BB3910" s="82" t="s">
        <v>15984</v>
      </c>
      <c r="BC3910" s="82" t="s">
        <v>15481</v>
      </c>
      <c r="BD3910" s="77">
        <v>2578778256</v>
      </c>
      <c r="BE3910" s="77"/>
      <c r="BF3910" s="77"/>
      <c r="BG3910" s="77"/>
      <c r="BH3910" s="77"/>
      <c r="BI3910" s="77"/>
    </row>
    <row r="3911" spans="1:61" x14ac:dyDescent="0.25">
      <c r="A3911" s="62" t="s">
        <v>735</v>
      </c>
      <c r="B3911" s="62" t="s">
        <v>735</v>
      </c>
      <c r="C3911" s="63"/>
      <c r="D3911" s="64"/>
      <c r="E3911" s="65"/>
      <c r="F3911" s="66"/>
      <c r="G3911" s="63"/>
      <c r="H3911" s="67"/>
      <c r="I3911" s="68"/>
      <c r="J3911" s="68"/>
      <c r="K3911" s="32"/>
      <c r="L3911" s="75">
        <v>3911</v>
      </c>
      <c r="M3911" s="75"/>
      <c r="N3911" s="70"/>
      <c r="O3911" s="77" t="s">
        <v>179</v>
      </c>
      <c r="P3911" s="79">
        <v>45147.543020833335</v>
      </c>
      <c r="Q3911" s="77" t="s">
        <v>4553</v>
      </c>
      <c r="R3911" s="77">
        <v>0</v>
      </c>
      <c r="S3911" s="77">
        <v>1</v>
      </c>
      <c r="T3911" s="77">
        <v>0</v>
      </c>
      <c r="U3911" s="77">
        <v>0</v>
      </c>
      <c r="V3911" s="77">
        <v>288</v>
      </c>
      <c r="W3911" s="82" t="s">
        <v>6411</v>
      </c>
      <c r="X3911" s="80" t="str">
        <f>HYPERLINK("https://www.youtube.com/watch?v=Y6lLEjA5cm4")</f>
        <v>https://www.youtube.com/watch?v=Y6lLEjA5cm4</v>
      </c>
      <c r="Y3911" s="77" t="s">
        <v>6480</v>
      </c>
      <c r="Z3911" s="77"/>
      <c r="AA3911" s="77"/>
      <c r="AB3911" s="77"/>
      <c r="AC3911" s="82" t="s">
        <v>7787</v>
      </c>
      <c r="AD3911" s="77" t="s">
        <v>7788</v>
      </c>
      <c r="AE3911" s="80" t="str">
        <f>HYPERLINK("https://twitter.com/modalmais/status/1689260729554096128")</f>
        <v>https://twitter.com/modalmais/status/1689260729554096128</v>
      </c>
      <c r="AF3911" s="79">
        <v>45147.543020833335</v>
      </c>
      <c r="AG3911" s="85">
        <v>45147</v>
      </c>
      <c r="AH3911" s="82" t="s">
        <v>10319</v>
      </c>
      <c r="AI3911" s="77" t="b">
        <v>0</v>
      </c>
      <c r="AJ3911" s="77"/>
      <c r="AK3911" s="77"/>
      <c r="AL3911" s="77"/>
      <c r="AM3911" s="77"/>
      <c r="AN3911" s="77"/>
      <c r="AO3911" s="77"/>
      <c r="AP3911" s="77"/>
      <c r="AQ3911" s="77"/>
      <c r="AR3911" s="77"/>
      <c r="AS3911" s="77"/>
      <c r="AT3911" s="77"/>
      <c r="AU3911" s="77"/>
      <c r="AV3911" s="80" t="str">
        <f>HYPERLINK("https://pbs.twimg.com/profile_images/1067039778795937797/PnnLGTU4_normal.jpg")</f>
        <v>https://pbs.twimg.com/profile_images/1067039778795937797/PnnLGTU4_normal.jpg</v>
      </c>
      <c r="AW3911" s="82" t="s">
        <v>15482</v>
      </c>
      <c r="AX3911" s="82" t="s">
        <v>15482</v>
      </c>
      <c r="AY3911" s="77"/>
      <c r="AZ3911" s="82" t="s">
        <v>15984</v>
      </c>
      <c r="BA3911" s="82" t="s">
        <v>15984</v>
      </c>
      <c r="BB3911" s="82" t="s">
        <v>15984</v>
      </c>
      <c r="BC3911" s="82" t="s">
        <v>15482</v>
      </c>
      <c r="BD3911" s="77">
        <v>2578778256</v>
      </c>
      <c r="BE3911" s="77"/>
      <c r="BF3911" s="77"/>
      <c r="BG3911" s="77"/>
      <c r="BH3911" s="77"/>
      <c r="BI3911" s="77"/>
    </row>
    <row r="3912" spans="1:61" x14ac:dyDescent="0.25">
      <c r="A3912" s="62" t="s">
        <v>735</v>
      </c>
      <c r="B3912" s="62" t="s">
        <v>735</v>
      </c>
      <c r="C3912" s="63"/>
      <c r="D3912" s="64"/>
      <c r="E3912" s="65"/>
      <c r="F3912" s="66"/>
      <c r="G3912" s="63"/>
      <c r="H3912" s="67"/>
      <c r="I3912" s="68"/>
      <c r="J3912" s="68"/>
      <c r="K3912" s="32"/>
      <c r="L3912" s="75">
        <v>3912</v>
      </c>
      <c r="M3912" s="75"/>
      <c r="N3912" s="70"/>
      <c r="O3912" s="77" t="s">
        <v>179</v>
      </c>
      <c r="P3912" s="79">
        <v>45168.603541666664</v>
      </c>
      <c r="Q3912" s="77" t="s">
        <v>4554</v>
      </c>
      <c r="R3912" s="77">
        <v>0</v>
      </c>
      <c r="S3912" s="77">
        <v>3</v>
      </c>
      <c r="T3912" s="77">
        <v>2</v>
      </c>
      <c r="U3912" s="77">
        <v>0</v>
      </c>
      <c r="V3912" s="77">
        <v>477</v>
      </c>
      <c r="W3912" s="82" t="s">
        <v>6425</v>
      </c>
      <c r="X3912" s="77"/>
      <c r="Y3912" s="77"/>
      <c r="Z3912" s="77"/>
      <c r="AA3912" s="77"/>
      <c r="AB3912" s="77"/>
      <c r="AC3912" s="82" t="s">
        <v>7787</v>
      </c>
      <c r="AD3912" s="77" t="s">
        <v>7788</v>
      </c>
      <c r="AE3912" s="80" t="str">
        <f>HYPERLINK("https://twitter.com/modalmais/status/1696892808030765341")</f>
        <v>https://twitter.com/modalmais/status/1696892808030765341</v>
      </c>
      <c r="AF3912" s="79">
        <v>45168.603541666664</v>
      </c>
      <c r="AG3912" s="85">
        <v>45168</v>
      </c>
      <c r="AH3912" s="82" t="s">
        <v>10320</v>
      </c>
      <c r="AI3912" s="77"/>
      <c r="AJ3912" s="77"/>
      <c r="AK3912" s="77"/>
      <c r="AL3912" s="77"/>
      <c r="AM3912" s="77"/>
      <c r="AN3912" s="77"/>
      <c r="AO3912" s="77"/>
      <c r="AP3912" s="77"/>
      <c r="AQ3912" s="77"/>
      <c r="AR3912" s="77"/>
      <c r="AS3912" s="77"/>
      <c r="AT3912" s="77"/>
      <c r="AU3912" s="77"/>
      <c r="AV3912" s="80" t="str">
        <f>HYPERLINK("https://pbs.twimg.com/profile_images/1067039778795937797/PnnLGTU4_normal.jpg")</f>
        <v>https://pbs.twimg.com/profile_images/1067039778795937797/PnnLGTU4_normal.jpg</v>
      </c>
      <c r="AW3912" s="82" t="s">
        <v>15483</v>
      </c>
      <c r="AX3912" s="82" t="s">
        <v>15483</v>
      </c>
      <c r="AY3912" s="77"/>
      <c r="AZ3912" s="82" t="s">
        <v>15984</v>
      </c>
      <c r="BA3912" s="82" t="s">
        <v>15984</v>
      </c>
      <c r="BB3912" s="82" t="s">
        <v>15984</v>
      </c>
      <c r="BC3912" s="82" t="s">
        <v>15483</v>
      </c>
      <c r="BD3912" s="77">
        <v>2578778256</v>
      </c>
      <c r="BE3912" s="77"/>
      <c r="BF3912" s="77"/>
      <c r="BG3912" s="77"/>
      <c r="BH3912" s="77"/>
      <c r="BI3912" s="77"/>
    </row>
    <row r="3913" spans="1:61" x14ac:dyDescent="0.25">
      <c r="A3913" s="62" t="s">
        <v>735</v>
      </c>
      <c r="B3913" s="62" t="s">
        <v>735</v>
      </c>
      <c r="C3913" s="63"/>
      <c r="D3913" s="64"/>
      <c r="E3913" s="65"/>
      <c r="F3913" s="66"/>
      <c r="G3913" s="63"/>
      <c r="H3913" s="67"/>
      <c r="I3913" s="68"/>
      <c r="J3913" s="68"/>
      <c r="K3913" s="32"/>
      <c r="L3913" s="75">
        <v>3913</v>
      </c>
      <c r="M3913" s="75"/>
      <c r="N3913" s="70"/>
      <c r="O3913" s="77" t="s">
        <v>179</v>
      </c>
      <c r="P3913" s="79">
        <v>45168.6015162037</v>
      </c>
      <c r="Q3913" s="77" t="s">
        <v>4555</v>
      </c>
      <c r="R3913" s="77">
        <v>0</v>
      </c>
      <c r="S3913" s="77">
        <v>3</v>
      </c>
      <c r="T3913" s="77">
        <v>0</v>
      </c>
      <c r="U3913" s="77">
        <v>0</v>
      </c>
      <c r="V3913" s="77">
        <v>470</v>
      </c>
      <c r="W3913" s="82" t="s">
        <v>6424</v>
      </c>
      <c r="X3913" s="77"/>
      <c r="Y3913" s="77"/>
      <c r="Z3913" s="77"/>
      <c r="AA3913" s="77"/>
      <c r="AB3913" s="77"/>
      <c r="AC3913" s="82" t="s">
        <v>7787</v>
      </c>
      <c r="AD3913" s="77" t="s">
        <v>7788</v>
      </c>
      <c r="AE3913" s="80" t="str">
        <f>HYPERLINK("https://twitter.com/modalmais/status/1696892070978294055")</f>
        <v>https://twitter.com/modalmais/status/1696892070978294055</v>
      </c>
      <c r="AF3913" s="79">
        <v>45168.6015162037</v>
      </c>
      <c r="AG3913" s="85">
        <v>45168</v>
      </c>
      <c r="AH3913" s="82" t="s">
        <v>10321</v>
      </c>
      <c r="AI3913" s="77"/>
      <c r="AJ3913" s="77"/>
      <c r="AK3913" s="77"/>
      <c r="AL3913" s="77"/>
      <c r="AM3913" s="77"/>
      <c r="AN3913" s="77"/>
      <c r="AO3913" s="77"/>
      <c r="AP3913" s="77"/>
      <c r="AQ3913" s="77"/>
      <c r="AR3913" s="77"/>
      <c r="AS3913" s="77"/>
      <c r="AT3913" s="77"/>
      <c r="AU3913" s="77"/>
      <c r="AV3913" s="80" t="str">
        <f>HYPERLINK("https://pbs.twimg.com/profile_images/1067039778795937797/PnnLGTU4_normal.jpg")</f>
        <v>https://pbs.twimg.com/profile_images/1067039778795937797/PnnLGTU4_normal.jpg</v>
      </c>
      <c r="AW3913" s="82" t="s">
        <v>15484</v>
      </c>
      <c r="AX3913" s="82" t="s">
        <v>15484</v>
      </c>
      <c r="AY3913" s="77"/>
      <c r="AZ3913" s="82" t="s">
        <v>15984</v>
      </c>
      <c r="BA3913" s="82" t="s">
        <v>15984</v>
      </c>
      <c r="BB3913" s="82" t="s">
        <v>15984</v>
      </c>
      <c r="BC3913" s="82" t="s">
        <v>15484</v>
      </c>
      <c r="BD3913" s="77">
        <v>2578778256</v>
      </c>
      <c r="BE3913" s="77"/>
      <c r="BF3913" s="77"/>
      <c r="BG3913" s="77"/>
      <c r="BH3913" s="77"/>
      <c r="BI3913" s="77"/>
    </row>
    <row r="3914" spans="1:61" x14ac:dyDescent="0.25">
      <c r="A3914" s="62" t="s">
        <v>735</v>
      </c>
      <c r="B3914" s="62" t="s">
        <v>735</v>
      </c>
      <c r="C3914" s="63"/>
      <c r="D3914" s="64"/>
      <c r="E3914" s="65"/>
      <c r="F3914" s="66"/>
      <c r="G3914" s="63"/>
      <c r="H3914" s="67"/>
      <c r="I3914" s="68"/>
      <c r="J3914" s="68"/>
      <c r="K3914" s="32"/>
      <c r="L3914" s="75">
        <v>3914</v>
      </c>
      <c r="M3914" s="75"/>
      <c r="N3914" s="70"/>
      <c r="O3914" s="77" t="s">
        <v>179</v>
      </c>
      <c r="P3914" s="79">
        <v>45154.813414351855</v>
      </c>
      <c r="Q3914" s="77" t="s">
        <v>4556</v>
      </c>
      <c r="R3914" s="77">
        <v>0</v>
      </c>
      <c r="S3914" s="77">
        <v>0</v>
      </c>
      <c r="T3914" s="77">
        <v>0</v>
      </c>
      <c r="U3914" s="77">
        <v>0</v>
      </c>
      <c r="V3914" s="77">
        <v>293</v>
      </c>
      <c r="W3914" s="82" t="s">
        <v>6421</v>
      </c>
      <c r="X3914" s="80" t="str">
        <f>HYPERLINK("https://www.youtube.com/watch?v=O-LW_EdXHI0")</f>
        <v>https://www.youtube.com/watch?v=O-LW_EdXHI0</v>
      </c>
      <c r="Y3914" s="77" t="s">
        <v>6480</v>
      </c>
      <c r="Z3914" s="77"/>
      <c r="AA3914" s="77"/>
      <c r="AB3914" s="77"/>
      <c r="AC3914" s="82" t="s">
        <v>7787</v>
      </c>
      <c r="AD3914" s="77" t="s">
        <v>7788</v>
      </c>
      <c r="AE3914" s="80" t="str">
        <f>HYPERLINK("https://twitter.com/modalmais/status/1691895430857023679")</f>
        <v>https://twitter.com/modalmais/status/1691895430857023679</v>
      </c>
      <c r="AF3914" s="79">
        <v>45154.813414351855</v>
      </c>
      <c r="AG3914" s="85">
        <v>45154</v>
      </c>
      <c r="AH3914" s="82" t="s">
        <v>10322</v>
      </c>
      <c r="AI3914" s="77" t="b">
        <v>0</v>
      </c>
      <c r="AJ3914" s="77"/>
      <c r="AK3914" s="77"/>
      <c r="AL3914" s="77"/>
      <c r="AM3914" s="77"/>
      <c r="AN3914" s="77"/>
      <c r="AO3914" s="77"/>
      <c r="AP3914" s="77"/>
      <c r="AQ3914" s="77"/>
      <c r="AR3914" s="77"/>
      <c r="AS3914" s="77"/>
      <c r="AT3914" s="77"/>
      <c r="AU3914" s="77"/>
      <c r="AV3914" s="80" t="str">
        <f>HYPERLINK("https://pbs.twimg.com/profile_images/1067039778795937797/PnnLGTU4_normal.jpg")</f>
        <v>https://pbs.twimg.com/profile_images/1067039778795937797/PnnLGTU4_normal.jpg</v>
      </c>
      <c r="AW3914" s="82" t="s">
        <v>15485</v>
      </c>
      <c r="AX3914" s="82" t="s">
        <v>15485</v>
      </c>
      <c r="AY3914" s="77"/>
      <c r="AZ3914" s="82" t="s">
        <v>15984</v>
      </c>
      <c r="BA3914" s="82" t="s">
        <v>15984</v>
      </c>
      <c r="BB3914" s="82" t="s">
        <v>15984</v>
      </c>
      <c r="BC3914" s="82" t="s">
        <v>15485</v>
      </c>
      <c r="BD3914" s="77">
        <v>2578778256</v>
      </c>
      <c r="BE3914" s="77"/>
      <c r="BF3914" s="77"/>
      <c r="BG3914" s="77"/>
      <c r="BH3914" s="77"/>
      <c r="BI3914" s="77"/>
    </row>
    <row r="3915" spans="1:61" x14ac:dyDescent="0.25">
      <c r="A3915" s="62" t="s">
        <v>735</v>
      </c>
      <c r="B3915" s="62" t="s">
        <v>735</v>
      </c>
      <c r="C3915" s="63"/>
      <c r="D3915" s="64"/>
      <c r="E3915" s="65"/>
      <c r="F3915" s="66"/>
      <c r="G3915" s="63"/>
      <c r="H3915" s="67"/>
      <c r="I3915" s="68"/>
      <c r="J3915" s="68"/>
      <c r="K3915" s="32"/>
      <c r="L3915" s="75">
        <v>3915</v>
      </c>
      <c r="M3915" s="75"/>
      <c r="N3915" s="70"/>
      <c r="O3915" s="77" t="s">
        <v>179</v>
      </c>
      <c r="P3915" s="79">
        <v>45146.857025462959</v>
      </c>
      <c r="Q3915" s="77" t="s">
        <v>4557</v>
      </c>
      <c r="R3915" s="77">
        <v>0</v>
      </c>
      <c r="S3915" s="77">
        <v>2</v>
      </c>
      <c r="T3915" s="77">
        <v>0</v>
      </c>
      <c r="U3915" s="77">
        <v>0</v>
      </c>
      <c r="V3915" s="77">
        <v>324</v>
      </c>
      <c r="W3915" s="82" t="s">
        <v>6426</v>
      </c>
      <c r="X3915" s="77"/>
      <c r="Y3915" s="77"/>
      <c r="Z3915" s="77"/>
      <c r="AA3915" s="77"/>
      <c r="AB3915" s="77"/>
      <c r="AC3915" s="82" t="s">
        <v>7787</v>
      </c>
      <c r="AD3915" s="77" t="s">
        <v>7788</v>
      </c>
      <c r="AE3915" s="80" t="str">
        <f>HYPERLINK("https://twitter.com/modalmais/status/1689012133311176705")</f>
        <v>https://twitter.com/modalmais/status/1689012133311176705</v>
      </c>
      <c r="AF3915" s="79">
        <v>45146.857025462959</v>
      </c>
      <c r="AG3915" s="85">
        <v>45146</v>
      </c>
      <c r="AH3915" s="82" t="s">
        <v>10323</v>
      </c>
      <c r="AI3915" s="77"/>
      <c r="AJ3915" s="77"/>
      <c r="AK3915" s="77"/>
      <c r="AL3915" s="77"/>
      <c r="AM3915" s="77"/>
      <c r="AN3915" s="77"/>
      <c r="AO3915" s="77"/>
      <c r="AP3915" s="77"/>
      <c r="AQ3915" s="77"/>
      <c r="AR3915" s="77"/>
      <c r="AS3915" s="77"/>
      <c r="AT3915" s="77"/>
      <c r="AU3915" s="77"/>
      <c r="AV3915" s="80" t="str">
        <f>HYPERLINK("https://pbs.twimg.com/profile_images/1067039778795937797/PnnLGTU4_normal.jpg")</f>
        <v>https://pbs.twimg.com/profile_images/1067039778795937797/PnnLGTU4_normal.jpg</v>
      </c>
      <c r="AW3915" s="82" t="s">
        <v>15486</v>
      </c>
      <c r="AX3915" s="82" t="s">
        <v>15486</v>
      </c>
      <c r="AY3915" s="77"/>
      <c r="AZ3915" s="82" t="s">
        <v>15984</v>
      </c>
      <c r="BA3915" s="82" t="s">
        <v>15984</v>
      </c>
      <c r="BB3915" s="82" t="s">
        <v>15984</v>
      </c>
      <c r="BC3915" s="82" t="s">
        <v>15486</v>
      </c>
      <c r="BD3915" s="77">
        <v>2578778256</v>
      </c>
      <c r="BE3915" s="77"/>
      <c r="BF3915" s="77"/>
      <c r="BG3915" s="77"/>
      <c r="BH3915" s="77"/>
      <c r="BI3915" s="77"/>
    </row>
    <row r="3916" spans="1:61" x14ac:dyDescent="0.25">
      <c r="A3916" s="62" t="s">
        <v>735</v>
      </c>
      <c r="B3916" s="62" t="s">
        <v>735</v>
      </c>
      <c r="C3916" s="63"/>
      <c r="D3916" s="64"/>
      <c r="E3916" s="65"/>
      <c r="F3916" s="66"/>
      <c r="G3916" s="63"/>
      <c r="H3916" s="67"/>
      <c r="I3916" s="68"/>
      <c r="J3916" s="68"/>
      <c r="K3916" s="32"/>
      <c r="L3916" s="75">
        <v>3916</v>
      </c>
      <c r="M3916" s="75"/>
      <c r="N3916" s="70"/>
      <c r="O3916" s="77" t="s">
        <v>179</v>
      </c>
      <c r="P3916" s="79">
        <v>45146.856192129628</v>
      </c>
      <c r="Q3916" s="77" t="s">
        <v>4558</v>
      </c>
      <c r="R3916" s="77">
        <v>0</v>
      </c>
      <c r="S3916" s="77">
        <v>2</v>
      </c>
      <c r="T3916" s="77">
        <v>0</v>
      </c>
      <c r="U3916" s="77">
        <v>0</v>
      </c>
      <c r="V3916" s="77">
        <v>321</v>
      </c>
      <c r="W3916" s="82" t="s">
        <v>6411</v>
      </c>
      <c r="X3916" s="77"/>
      <c r="Y3916" s="77"/>
      <c r="Z3916" s="77"/>
      <c r="AA3916" s="77"/>
      <c r="AB3916" s="77"/>
      <c r="AC3916" s="82" t="s">
        <v>7787</v>
      </c>
      <c r="AD3916" s="77" t="s">
        <v>7788</v>
      </c>
      <c r="AE3916" s="80" t="str">
        <f>HYPERLINK("https://twitter.com/modalmais/status/1689011830008451072")</f>
        <v>https://twitter.com/modalmais/status/1689011830008451072</v>
      </c>
      <c r="AF3916" s="79">
        <v>45146.856192129628</v>
      </c>
      <c r="AG3916" s="85">
        <v>45146</v>
      </c>
      <c r="AH3916" s="82" t="s">
        <v>10324</v>
      </c>
      <c r="AI3916" s="77"/>
      <c r="AJ3916" s="77"/>
      <c r="AK3916" s="77"/>
      <c r="AL3916" s="77"/>
      <c r="AM3916" s="77"/>
      <c r="AN3916" s="77"/>
      <c r="AO3916" s="77"/>
      <c r="AP3916" s="77"/>
      <c r="AQ3916" s="77"/>
      <c r="AR3916" s="77"/>
      <c r="AS3916" s="77"/>
      <c r="AT3916" s="77"/>
      <c r="AU3916" s="77"/>
      <c r="AV3916" s="80" t="str">
        <f>HYPERLINK("https://pbs.twimg.com/profile_images/1067039778795937797/PnnLGTU4_normal.jpg")</f>
        <v>https://pbs.twimg.com/profile_images/1067039778795937797/PnnLGTU4_normal.jpg</v>
      </c>
      <c r="AW3916" s="82" t="s">
        <v>15487</v>
      </c>
      <c r="AX3916" s="82" t="s">
        <v>15487</v>
      </c>
      <c r="AY3916" s="77"/>
      <c r="AZ3916" s="82" t="s">
        <v>15984</v>
      </c>
      <c r="BA3916" s="82" t="s">
        <v>15984</v>
      </c>
      <c r="BB3916" s="82" t="s">
        <v>15984</v>
      </c>
      <c r="BC3916" s="82" t="s">
        <v>15487</v>
      </c>
      <c r="BD3916" s="77">
        <v>2578778256</v>
      </c>
      <c r="BE3916" s="77"/>
      <c r="BF3916" s="77"/>
      <c r="BG3916" s="77"/>
      <c r="BH3916" s="77"/>
      <c r="BI3916" s="77"/>
    </row>
    <row r="3917" spans="1:61" x14ac:dyDescent="0.25">
      <c r="A3917" s="62" t="s">
        <v>735</v>
      </c>
      <c r="B3917" s="62" t="s">
        <v>735</v>
      </c>
      <c r="C3917" s="63"/>
      <c r="D3917" s="64"/>
      <c r="E3917" s="65"/>
      <c r="F3917" s="66"/>
      <c r="G3917" s="63"/>
      <c r="H3917" s="67"/>
      <c r="I3917" s="68"/>
      <c r="J3917" s="68"/>
      <c r="K3917" s="32"/>
      <c r="L3917" s="75">
        <v>3917</v>
      </c>
      <c r="M3917" s="75"/>
      <c r="N3917" s="70"/>
      <c r="O3917" s="77" t="s">
        <v>179</v>
      </c>
      <c r="P3917" s="79">
        <v>45146.855254629627</v>
      </c>
      <c r="Q3917" s="77" t="s">
        <v>4559</v>
      </c>
      <c r="R3917" s="77">
        <v>0</v>
      </c>
      <c r="S3917" s="77">
        <v>3</v>
      </c>
      <c r="T3917" s="77">
        <v>0</v>
      </c>
      <c r="U3917" s="77">
        <v>0</v>
      </c>
      <c r="V3917" s="77">
        <v>424</v>
      </c>
      <c r="W3917" s="82" t="s">
        <v>6427</v>
      </c>
      <c r="X3917" s="77"/>
      <c r="Y3917" s="77"/>
      <c r="Z3917" s="77"/>
      <c r="AA3917" s="77"/>
      <c r="AB3917" s="77"/>
      <c r="AC3917" s="82" t="s">
        <v>7787</v>
      </c>
      <c r="AD3917" s="77" t="s">
        <v>7788</v>
      </c>
      <c r="AE3917" s="80" t="str">
        <f>HYPERLINK("https://twitter.com/modalmais/status/1689011489821097984")</f>
        <v>https://twitter.com/modalmais/status/1689011489821097984</v>
      </c>
      <c r="AF3917" s="79">
        <v>45146.855254629627</v>
      </c>
      <c r="AG3917" s="85">
        <v>45146</v>
      </c>
      <c r="AH3917" s="82" t="s">
        <v>10325</v>
      </c>
      <c r="AI3917" s="77"/>
      <c r="AJ3917" s="77"/>
      <c r="AK3917" s="77"/>
      <c r="AL3917" s="77"/>
      <c r="AM3917" s="77"/>
      <c r="AN3917" s="77"/>
      <c r="AO3917" s="77"/>
      <c r="AP3917" s="77"/>
      <c r="AQ3917" s="77"/>
      <c r="AR3917" s="77"/>
      <c r="AS3917" s="77"/>
      <c r="AT3917" s="77"/>
      <c r="AU3917" s="77"/>
      <c r="AV3917" s="80" t="str">
        <f>HYPERLINK("https://pbs.twimg.com/profile_images/1067039778795937797/PnnLGTU4_normal.jpg")</f>
        <v>https://pbs.twimg.com/profile_images/1067039778795937797/PnnLGTU4_normal.jpg</v>
      </c>
      <c r="AW3917" s="82" t="s">
        <v>15488</v>
      </c>
      <c r="AX3917" s="82" t="s">
        <v>15488</v>
      </c>
      <c r="AY3917" s="77"/>
      <c r="AZ3917" s="82" t="s">
        <v>15984</v>
      </c>
      <c r="BA3917" s="82" t="s">
        <v>15984</v>
      </c>
      <c r="BB3917" s="82" t="s">
        <v>15984</v>
      </c>
      <c r="BC3917" s="82" t="s">
        <v>15488</v>
      </c>
      <c r="BD3917" s="77">
        <v>2578778256</v>
      </c>
      <c r="BE3917" s="77"/>
      <c r="BF3917" s="77"/>
      <c r="BG3917" s="77"/>
      <c r="BH3917" s="77"/>
      <c r="BI3917" s="77"/>
    </row>
    <row r="3918" spans="1:61" x14ac:dyDescent="0.25">
      <c r="A3918" s="62" t="s">
        <v>735</v>
      </c>
      <c r="B3918" s="62" t="s">
        <v>735</v>
      </c>
      <c r="C3918" s="63"/>
      <c r="D3918" s="64"/>
      <c r="E3918" s="65"/>
      <c r="F3918" s="66"/>
      <c r="G3918" s="63"/>
      <c r="H3918" s="67"/>
      <c r="I3918" s="68"/>
      <c r="J3918" s="68"/>
      <c r="K3918" s="32"/>
      <c r="L3918" s="75">
        <v>3918</v>
      </c>
      <c r="M3918" s="75"/>
      <c r="N3918" s="70"/>
      <c r="O3918" s="77" t="s">
        <v>179</v>
      </c>
      <c r="P3918" s="79">
        <v>45146.851701388892</v>
      </c>
      <c r="Q3918" s="77" t="s">
        <v>4560</v>
      </c>
      <c r="R3918" s="77">
        <v>0</v>
      </c>
      <c r="S3918" s="77">
        <v>0</v>
      </c>
      <c r="T3918" s="77">
        <v>0</v>
      </c>
      <c r="U3918" s="77">
        <v>0</v>
      </c>
      <c r="V3918" s="77">
        <v>275</v>
      </c>
      <c r="W3918" s="82" t="s">
        <v>6411</v>
      </c>
      <c r="X3918" s="77"/>
      <c r="Y3918" s="77"/>
      <c r="Z3918" s="77"/>
      <c r="AA3918" s="77"/>
      <c r="AB3918" s="77"/>
      <c r="AC3918" s="82" t="s">
        <v>7787</v>
      </c>
      <c r="AD3918" s="77" t="s">
        <v>7788</v>
      </c>
      <c r="AE3918" s="80" t="str">
        <f>HYPERLINK("https://twitter.com/modalmais/status/1689010203142811649")</f>
        <v>https://twitter.com/modalmais/status/1689010203142811649</v>
      </c>
      <c r="AF3918" s="79">
        <v>45146.851701388892</v>
      </c>
      <c r="AG3918" s="85">
        <v>45146</v>
      </c>
      <c r="AH3918" s="82" t="s">
        <v>10326</v>
      </c>
      <c r="AI3918" s="77"/>
      <c r="AJ3918" s="77"/>
      <c r="AK3918" s="77"/>
      <c r="AL3918" s="77"/>
      <c r="AM3918" s="77"/>
      <c r="AN3918" s="77"/>
      <c r="AO3918" s="77"/>
      <c r="AP3918" s="77"/>
      <c r="AQ3918" s="77"/>
      <c r="AR3918" s="77"/>
      <c r="AS3918" s="77"/>
      <c r="AT3918" s="77"/>
      <c r="AU3918" s="77"/>
      <c r="AV3918" s="80" t="str">
        <f>HYPERLINK("https://pbs.twimg.com/profile_images/1067039778795937797/PnnLGTU4_normal.jpg")</f>
        <v>https://pbs.twimg.com/profile_images/1067039778795937797/PnnLGTU4_normal.jpg</v>
      </c>
      <c r="AW3918" s="82" t="s">
        <v>15489</v>
      </c>
      <c r="AX3918" s="82" t="s">
        <v>15489</v>
      </c>
      <c r="AY3918" s="77"/>
      <c r="AZ3918" s="82" t="s">
        <v>15984</v>
      </c>
      <c r="BA3918" s="82" t="s">
        <v>15984</v>
      </c>
      <c r="BB3918" s="82" t="s">
        <v>15984</v>
      </c>
      <c r="BC3918" s="82" t="s">
        <v>15489</v>
      </c>
      <c r="BD3918" s="77">
        <v>2578778256</v>
      </c>
      <c r="BE3918" s="77"/>
      <c r="BF3918" s="77"/>
      <c r="BG3918" s="77"/>
      <c r="BH3918" s="77"/>
      <c r="BI3918" s="77"/>
    </row>
    <row r="3919" spans="1:61" x14ac:dyDescent="0.25">
      <c r="A3919" s="62" t="s">
        <v>735</v>
      </c>
      <c r="B3919" s="62" t="s">
        <v>735</v>
      </c>
      <c r="C3919" s="63"/>
      <c r="D3919" s="64"/>
      <c r="E3919" s="65"/>
      <c r="F3919" s="66"/>
      <c r="G3919" s="63"/>
      <c r="H3919" s="67"/>
      <c r="I3919" s="68"/>
      <c r="J3919" s="68"/>
      <c r="K3919" s="32"/>
      <c r="L3919" s="75">
        <v>3919</v>
      </c>
      <c r="M3919" s="75"/>
      <c r="N3919" s="70"/>
      <c r="O3919" s="77" t="s">
        <v>179</v>
      </c>
      <c r="P3919" s="79">
        <v>45146.851203703707</v>
      </c>
      <c r="Q3919" s="77" t="s">
        <v>4561</v>
      </c>
      <c r="R3919" s="77">
        <v>0</v>
      </c>
      <c r="S3919" s="77">
        <v>0</v>
      </c>
      <c r="T3919" s="77">
        <v>0</v>
      </c>
      <c r="U3919" s="77">
        <v>0</v>
      </c>
      <c r="V3919" s="77">
        <v>251</v>
      </c>
      <c r="W3919" s="82" t="s">
        <v>6411</v>
      </c>
      <c r="X3919" s="77"/>
      <c r="Y3919" s="77"/>
      <c r="Z3919" s="77"/>
      <c r="AA3919" s="77"/>
      <c r="AB3919" s="77"/>
      <c r="AC3919" s="82" t="s">
        <v>7787</v>
      </c>
      <c r="AD3919" s="77" t="s">
        <v>7788</v>
      </c>
      <c r="AE3919" s="80" t="str">
        <f>HYPERLINK("https://twitter.com/modalmais/status/1689010023450525696")</f>
        <v>https://twitter.com/modalmais/status/1689010023450525696</v>
      </c>
      <c r="AF3919" s="79">
        <v>45146.851203703707</v>
      </c>
      <c r="AG3919" s="85">
        <v>45146</v>
      </c>
      <c r="AH3919" s="82" t="s">
        <v>10327</v>
      </c>
      <c r="AI3919" s="77"/>
      <c r="AJ3919" s="77"/>
      <c r="AK3919" s="77"/>
      <c r="AL3919" s="77"/>
      <c r="AM3919" s="77"/>
      <c r="AN3919" s="77"/>
      <c r="AO3919" s="77"/>
      <c r="AP3919" s="77"/>
      <c r="AQ3919" s="77"/>
      <c r="AR3919" s="77"/>
      <c r="AS3919" s="77"/>
      <c r="AT3919" s="77"/>
      <c r="AU3919" s="77"/>
      <c r="AV3919" s="80" t="str">
        <f>HYPERLINK("https://pbs.twimg.com/profile_images/1067039778795937797/PnnLGTU4_normal.jpg")</f>
        <v>https://pbs.twimg.com/profile_images/1067039778795937797/PnnLGTU4_normal.jpg</v>
      </c>
      <c r="AW3919" s="82" t="s">
        <v>15490</v>
      </c>
      <c r="AX3919" s="82" t="s">
        <v>15490</v>
      </c>
      <c r="AY3919" s="77"/>
      <c r="AZ3919" s="82" t="s">
        <v>15984</v>
      </c>
      <c r="BA3919" s="82" t="s">
        <v>15984</v>
      </c>
      <c r="BB3919" s="82" t="s">
        <v>15984</v>
      </c>
      <c r="BC3919" s="82" t="s">
        <v>15490</v>
      </c>
      <c r="BD3919" s="77">
        <v>2578778256</v>
      </c>
      <c r="BE3919" s="77"/>
      <c r="BF3919" s="77"/>
      <c r="BG3919" s="77"/>
      <c r="BH3919" s="77"/>
      <c r="BI3919" s="77"/>
    </row>
    <row r="3920" spans="1:61" x14ac:dyDescent="0.25">
      <c r="A3920" s="62" t="s">
        <v>735</v>
      </c>
      <c r="B3920" s="62" t="s">
        <v>735</v>
      </c>
      <c r="C3920" s="63"/>
      <c r="D3920" s="64"/>
      <c r="E3920" s="65"/>
      <c r="F3920" s="66"/>
      <c r="G3920" s="63"/>
      <c r="H3920" s="67"/>
      <c r="I3920" s="68"/>
      <c r="J3920" s="68"/>
      <c r="K3920" s="32"/>
      <c r="L3920" s="75">
        <v>3920</v>
      </c>
      <c r="M3920" s="75"/>
      <c r="N3920" s="70"/>
      <c r="O3920" s="77" t="s">
        <v>179</v>
      </c>
      <c r="P3920" s="79">
        <v>45146.85083333333</v>
      </c>
      <c r="Q3920" s="77" t="s">
        <v>4562</v>
      </c>
      <c r="R3920" s="77">
        <v>0</v>
      </c>
      <c r="S3920" s="77">
        <v>2</v>
      </c>
      <c r="T3920" s="77">
        <v>0</v>
      </c>
      <c r="U3920" s="77">
        <v>0</v>
      </c>
      <c r="V3920" s="77">
        <v>280</v>
      </c>
      <c r="W3920" s="82" t="s">
        <v>6411</v>
      </c>
      <c r="X3920" s="80" t="str">
        <f>HYPERLINK("https://www.youtube.com/watch?v=L9QRKJhnAOU")</f>
        <v>https://www.youtube.com/watch?v=L9QRKJhnAOU</v>
      </c>
      <c r="Y3920" s="77" t="s">
        <v>6480</v>
      </c>
      <c r="Z3920" s="77"/>
      <c r="AA3920" s="77"/>
      <c r="AB3920" s="77"/>
      <c r="AC3920" s="82" t="s">
        <v>7787</v>
      </c>
      <c r="AD3920" s="77" t="s">
        <v>7788</v>
      </c>
      <c r="AE3920" s="80" t="str">
        <f>HYPERLINK("https://twitter.com/modalmais/status/1689009888934887425")</f>
        <v>https://twitter.com/modalmais/status/1689009888934887425</v>
      </c>
      <c r="AF3920" s="79">
        <v>45146.85083333333</v>
      </c>
      <c r="AG3920" s="85">
        <v>45146</v>
      </c>
      <c r="AH3920" s="82" t="s">
        <v>10328</v>
      </c>
      <c r="AI3920" s="77" t="b">
        <v>0</v>
      </c>
      <c r="AJ3920" s="77"/>
      <c r="AK3920" s="77"/>
      <c r="AL3920" s="77"/>
      <c r="AM3920" s="77"/>
      <c r="AN3920" s="77"/>
      <c r="AO3920" s="77"/>
      <c r="AP3920" s="77"/>
      <c r="AQ3920" s="77"/>
      <c r="AR3920" s="77"/>
      <c r="AS3920" s="77"/>
      <c r="AT3920" s="77"/>
      <c r="AU3920" s="77"/>
      <c r="AV3920" s="80" t="str">
        <f>HYPERLINK("https://pbs.twimg.com/profile_images/1067039778795937797/PnnLGTU4_normal.jpg")</f>
        <v>https://pbs.twimg.com/profile_images/1067039778795937797/PnnLGTU4_normal.jpg</v>
      </c>
      <c r="AW3920" s="82" t="s">
        <v>15491</v>
      </c>
      <c r="AX3920" s="82" t="s">
        <v>15491</v>
      </c>
      <c r="AY3920" s="77"/>
      <c r="AZ3920" s="82" t="s">
        <v>15984</v>
      </c>
      <c r="BA3920" s="82" t="s">
        <v>15984</v>
      </c>
      <c r="BB3920" s="82" t="s">
        <v>15984</v>
      </c>
      <c r="BC3920" s="82" t="s">
        <v>15491</v>
      </c>
      <c r="BD3920" s="77">
        <v>2578778256</v>
      </c>
      <c r="BE3920" s="77"/>
      <c r="BF3920" s="77"/>
      <c r="BG3920" s="77"/>
      <c r="BH3920" s="77"/>
      <c r="BI3920" s="77"/>
    </row>
    <row r="3921" spans="1:61" x14ac:dyDescent="0.25">
      <c r="A3921" s="62" t="s">
        <v>735</v>
      </c>
      <c r="B3921" s="62" t="s">
        <v>735</v>
      </c>
      <c r="C3921" s="63"/>
      <c r="D3921" s="64"/>
      <c r="E3921" s="65"/>
      <c r="F3921" s="66"/>
      <c r="G3921" s="63"/>
      <c r="H3921" s="67"/>
      <c r="I3921" s="68"/>
      <c r="J3921" s="68"/>
      <c r="K3921" s="32"/>
      <c r="L3921" s="75">
        <v>3921</v>
      </c>
      <c r="M3921" s="75"/>
      <c r="N3921" s="70"/>
      <c r="O3921" s="77" t="s">
        <v>179</v>
      </c>
      <c r="P3921" s="79">
        <v>45135.554305555554</v>
      </c>
      <c r="Q3921" s="77" t="s">
        <v>4563</v>
      </c>
      <c r="R3921" s="77">
        <v>1</v>
      </c>
      <c r="S3921" s="77">
        <v>1</v>
      </c>
      <c r="T3921" s="77">
        <v>0</v>
      </c>
      <c r="U3921" s="77">
        <v>0</v>
      </c>
      <c r="V3921" s="77">
        <v>442</v>
      </c>
      <c r="W3921" s="82" t="s">
        <v>6411</v>
      </c>
      <c r="X3921" s="80" t="str">
        <f>HYPERLINK("https://www.modalmais.com.br/morning-call/igp-m-teve-nova-deflacao-em-julho-desta-vez-de-072")</f>
        <v>https://www.modalmais.com.br/morning-call/igp-m-teve-nova-deflacao-em-julho-desta-vez-de-072</v>
      </c>
      <c r="Y3921" s="77" t="s">
        <v>6470</v>
      </c>
      <c r="Z3921" s="77"/>
      <c r="AA3921" s="77"/>
      <c r="AB3921" s="77"/>
      <c r="AC3921" s="82" t="s">
        <v>7787</v>
      </c>
      <c r="AD3921" s="77" t="s">
        <v>7788</v>
      </c>
      <c r="AE3921" s="80" t="str">
        <f>HYPERLINK("https://twitter.com/modalmais/status/1684916165468921856")</f>
        <v>https://twitter.com/modalmais/status/1684916165468921856</v>
      </c>
      <c r="AF3921" s="79">
        <v>45135.554305555554</v>
      </c>
      <c r="AG3921" s="85">
        <v>45135</v>
      </c>
      <c r="AH3921" s="82" t="s">
        <v>10329</v>
      </c>
      <c r="AI3921" s="77" t="b">
        <v>0</v>
      </c>
      <c r="AJ3921" s="77"/>
      <c r="AK3921" s="77"/>
      <c r="AL3921" s="77"/>
      <c r="AM3921" s="77"/>
      <c r="AN3921" s="77"/>
      <c r="AO3921" s="77"/>
      <c r="AP3921" s="77"/>
      <c r="AQ3921" s="77"/>
      <c r="AR3921" s="77"/>
      <c r="AS3921" s="77"/>
      <c r="AT3921" s="77"/>
      <c r="AU3921" s="77"/>
      <c r="AV3921" s="80" t="str">
        <f>HYPERLINK("https://pbs.twimg.com/profile_images/1067039778795937797/PnnLGTU4_normal.jpg")</f>
        <v>https://pbs.twimg.com/profile_images/1067039778795937797/PnnLGTU4_normal.jpg</v>
      </c>
      <c r="AW3921" s="82" t="s">
        <v>15492</v>
      </c>
      <c r="AX3921" s="82" t="s">
        <v>15492</v>
      </c>
      <c r="AY3921" s="77"/>
      <c r="AZ3921" s="82" t="s">
        <v>15984</v>
      </c>
      <c r="BA3921" s="82" t="s">
        <v>15984</v>
      </c>
      <c r="BB3921" s="82" t="s">
        <v>15984</v>
      </c>
      <c r="BC3921" s="82" t="s">
        <v>15492</v>
      </c>
      <c r="BD3921" s="77">
        <v>2578778256</v>
      </c>
      <c r="BE3921" s="77"/>
      <c r="BF3921" s="77"/>
      <c r="BG3921" s="77"/>
      <c r="BH3921" s="77"/>
      <c r="BI3921" s="77"/>
    </row>
    <row r="3922" spans="1:61" x14ac:dyDescent="0.25">
      <c r="A3922" s="62" t="s">
        <v>735</v>
      </c>
      <c r="B3922" s="62" t="s">
        <v>735</v>
      </c>
      <c r="C3922" s="63"/>
      <c r="D3922" s="64"/>
      <c r="E3922" s="65"/>
      <c r="F3922" s="66"/>
      <c r="G3922" s="63"/>
      <c r="H3922" s="67"/>
      <c r="I3922" s="68"/>
      <c r="J3922" s="68"/>
      <c r="K3922" s="32"/>
      <c r="L3922" s="75">
        <v>3922</v>
      </c>
      <c r="M3922" s="75"/>
      <c r="N3922" s="70"/>
      <c r="O3922" s="77" t="s">
        <v>179</v>
      </c>
      <c r="P3922" s="79">
        <v>45135.525081018517</v>
      </c>
      <c r="Q3922" s="77" t="s">
        <v>4564</v>
      </c>
      <c r="R3922" s="77">
        <v>0</v>
      </c>
      <c r="S3922" s="77">
        <v>2</v>
      </c>
      <c r="T3922" s="77">
        <v>0</v>
      </c>
      <c r="U3922" s="77">
        <v>0</v>
      </c>
      <c r="V3922" s="77">
        <v>415</v>
      </c>
      <c r="W3922" s="82" t="s">
        <v>6411</v>
      </c>
      <c r="X3922" s="77"/>
      <c r="Y3922" s="77"/>
      <c r="Z3922" s="77"/>
      <c r="AA3922" s="77"/>
      <c r="AB3922" s="77"/>
      <c r="AC3922" s="82" t="s">
        <v>7787</v>
      </c>
      <c r="AD3922" s="77" t="s">
        <v>7793</v>
      </c>
      <c r="AE3922" s="80" t="str">
        <f>HYPERLINK("https://twitter.com/modalmais/status/1684905574310264832")</f>
        <v>https://twitter.com/modalmais/status/1684905574310264832</v>
      </c>
      <c r="AF3922" s="79">
        <v>45135.525081018517</v>
      </c>
      <c r="AG3922" s="85">
        <v>45135</v>
      </c>
      <c r="AH3922" s="82" t="s">
        <v>10330</v>
      </c>
      <c r="AI3922" s="77"/>
      <c r="AJ3922" s="77"/>
      <c r="AK3922" s="77"/>
      <c r="AL3922" s="77"/>
      <c r="AM3922" s="77"/>
      <c r="AN3922" s="77"/>
      <c r="AO3922" s="77"/>
      <c r="AP3922" s="77"/>
      <c r="AQ3922" s="77"/>
      <c r="AR3922" s="77"/>
      <c r="AS3922" s="77"/>
      <c r="AT3922" s="77"/>
      <c r="AU3922" s="77"/>
      <c r="AV3922" s="80" t="str">
        <f>HYPERLINK("https://pbs.twimg.com/profile_images/1067039778795937797/PnnLGTU4_normal.jpg")</f>
        <v>https://pbs.twimg.com/profile_images/1067039778795937797/PnnLGTU4_normal.jpg</v>
      </c>
      <c r="AW3922" s="82" t="s">
        <v>15493</v>
      </c>
      <c r="AX3922" s="82" t="s">
        <v>15493</v>
      </c>
      <c r="AY3922" s="77"/>
      <c r="AZ3922" s="82" t="s">
        <v>15984</v>
      </c>
      <c r="BA3922" s="82" t="s">
        <v>15984</v>
      </c>
      <c r="BB3922" s="82" t="s">
        <v>15984</v>
      </c>
      <c r="BC3922" s="82" t="s">
        <v>15493</v>
      </c>
      <c r="BD3922" s="77">
        <v>2578778256</v>
      </c>
      <c r="BE3922" s="77"/>
      <c r="BF3922" s="77"/>
      <c r="BG3922" s="77"/>
      <c r="BH3922" s="77"/>
      <c r="BI3922" s="77"/>
    </row>
    <row r="3923" spans="1:61" x14ac:dyDescent="0.25">
      <c r="A3923" s="62" t="s">
        <v>735</v>
      </c>
      <c r="B3923" s="62" t="s">
        <v>735</v>
      </c>
      <c r="C3923" s="63"/>
      <c r="D3923" s="64"/>
      <c r="E3923" s="65"/>
      <c r="F3923" s="66"/>
      <c r="G3923" s="63"/>
      <c r="H3923" s="67"/>
      <c r="I3923" s="68"/>
      <c r="J3923" s="68"/>
      <c r="K3923" s="32"/>
      <c r="L3923" s="75">
        <v>3923</v>
      </c>
      <c r="M3923" s="75"/>
      <c r="N3923" s="70"/>
      <c r="O3923" s="77" t="s">
        <v>179</v>
      </c>
      <c r="P3923" s="79">
        <v>45135.522222222222</v>
      </c>
      <c r="Q3923" s="77" t="s">
        <v>4565</v>
      </c>
      <c r="R3923" s="77">
        <v>0</v>
      </c>
      <c r="S3923" s="77">
        <v>0</v>
      </c>
      <c r="T3923" s="77">
        <v>0</v>
      </c>
      <c r="U3923" s="77">
        <v>0</v>
      </c>
      <c r="V3923" s="77">
        <v>365</v>
      </c>
      <c r="W3923" s="82" t="s">
        <v>6411</v>
      </c>
      <c r="X3923" s="77"/>
      <c r="Y3923" s="77"/>
      <c r="Z3923" s="77"/>
      <c r="AA3923" s="77"/>
      <c r="AB3923" s="77"/>
      <c r="AC3923" s="82" t="s">
        <v>7787</v>
      </c>
      <c r="AD3923" s="77" t="s">
        <v>7797</v>
      </c>
      <c r="AE3923" s="80" t="str">
        <f>HYPERLINK("https://twitter.com/modalmais/status/1684904538539466752")</f>
        <v>https://twitter.com/modalmais/status/1684904538539466752</v>
      </c>
      <c r="AF3923" s="79">
        <v>45135.522222222222</v>
      </c>
      <c r="AG3923" s="85">
        <v>45135</v>
      </c>
      <c r="AH3923" s="82" t="s">
        <v>10331</v>
      </c>
      <c r="AI3923" s="77"/>
      <c r="AJ3923" s="77"/>
      <c r="AK3923" s="77"/>
      <c r="AL3923" s="77"/>
      <c r="AM3923" s="77"/>
      <c r="AN3923" s="77"/>
      <c r="AO3923" s="77"/>
      <c r="AP3923" s="77"/>
      <c r="AQ3923" s="77"/>
      <c r="AR3923" s="77"/>
      <c r="AS3923" s="77"/>
      <c r="AT3923" s="77"/>
      <c r="AU3923" s="77"/>
      <c r="AV3923" s="80" t="str">
        <f>HYPERLINK("https://pbs.twimg.com/profile_images/1067039778795937797/PnnLGTU4_normal.jpg")</f>
        <v>https://pbs.twimg.com/profile_images/1067039778795937797/PnnLGTU4_normal.jpg</v>
      </c>
      <c r="AW3923" s="82" t="s">
        <v>15494</v>
      </c>
      <c r="AX3923" s="82" t="s">
        <v>15494</v>
      </c>
      <c r="AY3923" s="77"/>
      <c r="AZ3923" s="82" t="s">
        <v>15984</v>
      </c>
      <c r="BA3923" s="82" t="s">
        <v>15984</v>
      </c>
      <c r="BB3923" s="82" t="s">
        <v>15984</v>
      </c>
      <c r="BC3923" s="82" t="s">
        <v>15494</v>
      </c>
      <c r="BD3923" s="77">
        <v>2578778256</v>
      </c>
      <c r="BE3923" s="77"/>
      <c r="BF3923" s="77"/>
      <c r="BG3923" s="77"/>
      <c r="BH3923" s="77"/>
      <c r="BI3923" s="77"/>
    </row>
    <row r="3924" spans="1:61" x14ac:dyDescent="0.25">
      <c r="A3924" s="62" t="s">
        <v>735</v>
      </c>
      <c r="B3924" s="62" t="s">
        <v>735</v>
      </c>
      <c r="C3924" s="63"/>
      <c r="D3924" s="64"/>
      <c r="E3924" s="65"/>
      <c r="F3924" s="66"/>
      <c r="G3924" s="63"/>
      <c r="H3924" s="67"/>
      <c r="I3924" s="68"/>
      <c r="J3924" s="68"/>
      <c r="K3924" s="32"/>
      <c r="L3924" s="75">
        <v>3924</v>
      </c>
      <c r="M3924" s="75"/>
      <c r="N3924" s="70"/>
      <c r="O3924" s="77" t="s">
        <v>179</v>
      </c>
      <c r="P3924" s="79">
        <v>45135.513206018521</v>
      </c>
      <c r="Q3924" s="77" t="s">
        <v>4566</v>
      </c>
      <c r="R3924" s="77">
        <v>1</v>
      </c>
      <c r="S3924" s="77">
        <v>2</v>
      </c>
      <c r="T3924" s="77">
        <v>1</v>
      </c>
      <c r="U3924" s="77">
        <v>0</v>
      </c>
      <c r="V3924" s="77">
        <v>419</v>
      </c>
      <c r="W3924" s="82" t="s">
        <v>6411</v>
      </c>
      <c r="X3924" s="80" t="str">
        <f>HYPERLINK("https://www.youtube.com/watch?v=guLnzpdlBsU")</f>
        <v>https://www.youtube.com/watch?v=guLnzpdlBsU</v>
      </c>
      <c r="Y3924" s="77" t="s">
        <v>6480</v>
      </c>
      <c r="Z3924" s="77"/>
      <c r="AA3924" s="77"/>
      <c r="AB3924" s="77"/>
      <c r="AC3924" s="82" t="s">
        <v>7787</v>
      </c>
      <c r="AD3924" s="77" t="s">
        <v>7788</v>
      </c>
      <c r="AE3924" s="80" t="str">
        <f>HYPERLINK("https://twitter.com/modalmais/status/1684901271248003075")</f>
        <v>https://twitter.com/modalmais/status/1684901271248003075</v>
      </c>
      <c r="AF3924" s="79">
        <v>45135.513206018521</v>
      </c>
      <c r="AG3924" s="85">
        <v>45135</v>
      </c>
      <c r="AH3924" s="82" t="s">
        <v>10332</v>
      </c>
      <c r="AI3924" s="77" t="b">
        <v>0</v>
      </c>
      <c r="AJ3924" s="77"/>
      <c r="AK3924" s="77"/>
      <c r="AL3924" s="77"/>
      <c r="AM3924" s="77"/>
      <c r="AN3924" s="77"/>
      <c r="AO3924" s="77"/>
      <c r="AP3924" s="77"/>
      <c r="AQ3924" s="77"/>
      <c r="AR3924" s="77"/>
      <c r="AS3924" s="77"/>
      <c r="AT3924" s="77"/>
      <c r="AU3924" s="77"/>
      <c r="AV3924" s="80" t="str">
        <f>HYPERLINK("https://pbs.twimg.com/profile_images/1067039778795937797/PnnLGTU4_normal.jpg")</f>
        <v>https://pbs.twimg.com/profile_images/1067039778795937797/PnnLGTU4_normal.jpg</v>
      </c>
      <c r="AW3924" s="82" t="s">
        <v>15495</v>
      </c>
      <c r="AX3924" s="82" t="s">
        <v>15495</v>
      </c>
      <c r="AY3924" s="77"/>
      <c r="AZ3924" s="82" t="s">
        <v>15984</v>
      </c>
      <c r="BA3924" s="82" t="s">
        <v>15984</v>
      </c>
      <c r="BB3924" s="82" t="s">
        <v>15984</v>
      </c>
      <c r="BC3924" s="82" t="s">
        <v>15495</v>
      </c>
      <c r="BD3924" s="77">
        <v>2578778256</v>
      </c>
      <c r="BE3924" s="77"/>
      <c r="BF3924" s="77"/>
      <c r="BG3924" s="77"/>
      <c r="BH3924" s="77"/>
      <c r="BI3924" s="77"/>
    </row>
    <row r="3925" spans="1:61" x14ac:dyDescent="0.25">
      <c r="A3925" s="62" t="s">
        <v>735</v>
      </c>
      <c r="B3925" s="62" t="s">
        <v>735</v>
      </c>
      <c r="C3925" s="63"/>
      <c r="D3925" s="64"/>
      <c r="E3925" s="65"/>
      <c r="F3925" s="66"/>
      <c r="G3925" s="63"/>
      <c r="H3925" s="67"/>
      <c r="I3925" s="68"/>
      <c r="J3925" s="68"/>
      <c r="K3925" s="32"/>
      <c r="L3925" s="75">
        <v>3925</v>
      </c>
      <c r="M3925" s="75"/>
      <c r="N3925" s="70"/>
      <c r="O3925" s="77" t="s">
        <v>179</v>
      </c>
      <c r="P3925" s="79">
        <v>45128.829502314817</v>
      </c>
      <c r="Q3925" s="77" t="s">
        <v>4567</v>
      </c>
      <c r="R3925" s="77">
        <v>0</v>
      </c>
      <c r="S3925" s="77">
        <v>3</v>
      </c>
      <c r="T3925" s="77">
        <v>0</v>
      </c>
      <c r="U3925" s="77">
        <v>0</v>
      </c>
      <c r="V3925" s="77">
        <v>371</v>
      </c>
      <c r="W3925" s="82" t="s">
        <v>6410</v>
      </c>
      <c r="X3925" s="77"/>
      <c r="Y3925" s="77"/>
      <c r="Z3925" s="77"/>
      <c r="AA3925" s="77"/>
      <c r="AB3925" s="77"/>
      <c r="AC3925" s="82" t="s">
        <v>7787</v>
      </c>
      <c r="AD3925" s="77" t="s">
        <v>7788</v>
      </c>
      <c r="AE3925" s="80" t="str">
        <f>HYPERLINK("https://twitter.com/modalmais/status/1682479176798830597")</f>
        <v>https://twitter.com/modalmais/status/1682479176798830597</v>
      </c>
      <c r="AF3925" s="79">
        <v>45128.829502314817</v>
      </c>
      <c r="AG3925" s="85">
        <v>45128</v>
      </c>
      <c r="AH3925" s="82" t="s">
        <v>10333</v>
      </c>
      <c r="AI3925" s="77"/>
      <c r="AJ3925" s="77"/>
      <c r="AK3925" s="77"/>
      <c r="AL3925" s="77"/>
      <c r="AM3925" s="77"/>
      <c r="AN3925" s="77"/>
      <c r="AO3925" s="77"/>
      <c r="AP3925" s="77"/>
      <c r="AQ3925" s="77"/>
      <c r="AR3925" s="77"/>
      <c r="AS3925" s="77"/>
      <c r="AT3925" s="77"/>
      <c r="AU3925" s="77"/>
      <c r="AV3925" s="80" t="str">
        <f>HYPERLINK("https://pbs.twimg.com/profile_images/1067039778795937797/PnnLGTU4_normal.jpg")</f>
        <v>https://pbs.twimg.com/profile_images/1067039778795937797/PnnLGTU4_normal.jpg</v>
      </c>
      <c r="AW3925" s="82" t="s">
        <v>15496</v>
      </c>
      <c r="AX3925" s="82" t="s">
        <v>15496</v>
      </c>
      <c r="AY3925" s="77"/>
      <c r="AZ3925" s="82" t="s">
        <v>15984</v>
      </c>
      <c r="BA3925" s="82" t="s">
        <v>15984</v>
      </c>
      <c r="BB3925" s="82" t="s">
        <v>15984</v>
      </c>
      <c r="BC3925" s="82" t="s">
        <v>15496</v>
      </c>
      <c r="BD3925" s="77">
        <v>2578778256</v>
      </c>
      <c r="BE3925" s="77"/>
      <c r="BF3925" s="77"/>
      <c r="BG3925" s="77"/>
      <c r="BH3925" s="77"/>
      <c r="BI3925" s="77"/>
    </row>
    <row r="3926" spans="1:61" x14ac:dyDescent="0.25">
      <c r="A3926" s="62" t="s">
        <v>735</v>
      </c>
      <c r="B3926" s="62" t="s">
        <v>735</v>
      </c>
      <c r="C3926" s="63"/>
      <c r="D3926" s="64"/>
      <c r="E3926" s="65"/>
      <c r="F3926" s="66"/>
      <c r="G3926" s="63"/>
      <c r="H3926" s="67"/>
      <c r="I3926" s="68"/>
      <c r="J3926" s="68"/>
      <c r="K3926" s="32"/>
      <c r="L3926" s="75">
        <v>3926</v>
      </c>
      <c r="M3926" s="75"/>
      <c r="N3926" s="70"/>
      <c r="O3926" s="77" t="s">
        <v>179</v>
      </c>
      <c r="P3926" s="79">
        <v>45128.693854166668</v>
      </c>
      <c r="Q3926" s="77" t="s">
        <v>4568</v>
      </c>
      <c r="R3926" s="77">
        <v>1</v>
      </c>
      <c r="S3926" s="77">
        <v>2</v>
      </c>
      <c r="T3926" s="77">
        <v>1</v>
      </c>
      <c r="U3926" s="77">
        <v>0</v>
      </c>
      <c r="V3926" s="77">
        <v>339</v>
      </c>
      <c r="W3926" s="82" t="s">
        <v>6410</v>
      </c>
      <c r="X3926" s="77"/>
      <c r="Y3926" s="77"/>
      <c r="Z3926" s="77"/>
      <c r="AA3926" s="77"/>
      <c r="AB3926" s="77"/>
      <c r="AC3926" s="82" t="s">
        <v>7787</v>
      </c>
      <c r="AD3926" s="77" t="s">
        <v>7790</v>
      </c>
      <c r="AE3926" s="80" t="str">
        <f>HYPERLINK("https://twitter.com/modalmais/status/1682430018599677953")</f>
        <v>https://twitter.com/modalmais/status/1682430018599677953</v>
      </c>
      <c r="AF3926" s="79">
        <v>45128.693854166668</v>
      </c>
      <c r="AG3926" s="85">
        <v>45128</v>
      </c>
      <c r="AH3926" s="82" t="s">
        <v>10334</v>
      </c>
      <c r="AI3926" s="77"/>
      <c r="AJ3926" s="77"/>
      <c r="AK3926" s="77"/>
      <c r="AL3926" s="77"/>
      <c r="AM3926" s="77"/>
      <c r="AN3926" s="77"/>
      <c r="AO3926" s="77"/>
      <c r="AP3926" s="77"/>
      <c r="AQ3926" s="77"/>
      <c r="AR3926" s="77"/>
      <c r="AS3926" s="77"/>
      <c r="AT3926" s="77"/>
      <c r="AU3926" s="77"/>
      <c r="AV3926" s="80" t="str">
        <f>HYPERLINK("https://pbs.twimg.com/profile_images/1067039778795937797/PnnLGTU4_normal.jpg")</f>
        <v>https://pbs.twimg.com/profile_images/1067039778795937797/PnnLGTU4_normal.jpg</v>
      </c>
      <c r="AW3926" s="82" t="s">
        <v>15497</v>
      </c>
      <c r="AX3926" s="82" t="s">
        <v>15497</v>
      </c>
      <c r="AY3926" s="77"/>
      <c r="AZ3926" s="82" t="s">
        <v>15984</v>
      </c>
      <c r="BA3926" s="82" t="s">
        <v>15984</v>
      </c>
      <c r="BB3926" s="82" t="s">
        <v>15984</v>
      </c>
      <c r="BC3926" s="82" t="s">
        <v>15497</v>
      </c>
      <c r="BD3926" s="77">
        <v>2578778256</v>
      </c>
      <c r="BE3926" s="77"/>
      <c r="BF3926" s="77"/>
      <c r="BG3926" s="77"/>
      <c r="BH3926" s="77"/>
      <c r="BI3926" s="77"/>
    </row>
    <row r="3927" spans="1:61" x14ac:dyDescent="0.25">
      <c r="A3927" s="62" t="s">
        <v>735</v>
      </c>
      <c r="B3927" s="62" t="s">
        <v>735</v>
      </c>
      <c r="C3927" s="63"/>
      <c r="D3927" s="64"/>
      <c r="E3927" s="65"/>
      <c r="F3927" s="66"/>
      <c r="G3927" s="63"/>
      <c r="H3927" s="67"/>
      <c r="I3927" s="68"/>
      <c r="J3927" s="68"/>
      <c r="K3927" s="32"/>
      <c r="L3927" s="75">
        <v>3927</v>
      </c>
      <c r="M3927" s="75"/>
      <c r="N3927" s="70"/>
      <c r="O3927" s="77" t="s">
        <v>179</v>
      </c>
      <c r="P3927" s="79">
        <v>45128.594085648147</v>
      </c>
      <c r="Q3927" s="77" t="s">
        <v>4569</v>
      </c>
      <c r="R3927" s="77">
        <v>1</v>
      </c>
      <c r="S3927" s="77">
        <v>4</v>
      </c>
      <c r="T3927" s="77">
        <v>0</v>
      </c>
      <c r="U3927" s="77">
        <v>0</v>
      </c>
      <c r="V3927" s="77">
        <v>417</v>
      </c>
      <c r="W3927" s="82" t="s">
        <v>6410</v>
      </c>
      <c r="X3927" s="77"/>
      <c r="Y3927" s="77"/>
      <c r="Z3927" s="77"/>
      <c r="AA3927" s="77"/>
      <c r="AB3927" s="77"/>
      <c r="AC3927" s="82" t="s">
        <v>7787</v>
      </c>
      <c r="AD3927" s="77" t="s">
        <v>7788</v>
      </c>
      <c r="AE3927" s="80" t="str">
        <f>HYPERLINK("https://twitter.com/modalmais/status/1682393864890462209")</f>
        <v>https://twitter.com/modalmais/status/1682393864890462209</v>
      </c>
      <c r="AF3927" s="79">
        <v>45128.594085648147</v>
      </c>
      <c r="AG3927" s="85">
        <v>45128</v>
      </c>
      <c r="AH3927" s="82" t="s">
        <v>10335</v>
      </c>
      <c r="AI3927" s="77"/>
      <c r="AJ3927" s="77"/>
      <c r="AK3927" s="77"/>
      <c r="AL3927" s="77"/>
      <c r="AM3927" s="77"/>
      <c r="AN3927" s="77"/>
      <c r="AO3927" s="77"/>
      <c r="AP3927" s="77"/>
      <c r="AQ3927" s="77"/>
      <c r="AR3927" s="77"/>
      <c r="AS3927" s="77"/>
      <c r="AT3927" s="77"/>
      <c r="AU3927" s="77"/>
      <c r="AV3927" s="80" t="str">
        <f>HYPERLINK("https://pbs.twimg.com/profile_images/1067039778795937797/PnnLGTU4_normal.jpg")</f>
        <v>https://pbs.twimg.com/profile_images/1067039778795937797/PnnLGTU4_normal.jpg</v>
      </c>
      <c r="AW3927" s="82" t="s">
        <v>15498</v>
      </c>
      <c r="AX3927" s="82" t="s">
        <v>15498</v>
      </c>
      <c r="AY3927" s="77"/>
      <c r="AZ3927" s="82" t="s">
        <v>15984</v>
      </c>
      <c r="BA3927" s="82" t="s">
        <v>15984</v>
      </c>
      <c r="BB3927" s="82" t="s">
        <v>15984</v>
      </c>
      <c r="BC3927" s="82" t="s">
        <v>15498</v>
      </c>
      <c r="BD3927" s="77">
        <v>2578778256</v>
      </c>
      <c r="BE3927" s="77"/>
      <c r="BF3927" s="77"/>
      <c r="BG3927" s="77"/>
      <c r="BH3927" s="77"/>
      <c r="BI3927" s="77"/>
    </row>
    <row r="3928" spans="1:61" x14ac:dyDescent="0.25">
      <c r="A3928" s="62" t="s">
        <v>735</v>
      </c>
      <c r="B3928" s="62" t="s">
        <v>735</v>
      </c>
      <c r="C3928" s="63"/>
      <c r="D3928" s="64"/>
      <c r="E3928" s="65"/>
      <c r="F3928" s="66"/>
      <c r="G3928" s="63"/>
      <c r="H3928" s="67"/>
      <c r="I3928" s="68"/>
      <c r="J3928" s="68"/>
      <c r="K3928" s="32"/>
      <c r="L3928" s="75">
        <v>3928</v>
      </c>
      <c r="M3928" s="75"/>
      <c r="N3928" s="70"/>
      <c r="O3928" s="77" t="s">
        <v>179</v>
      </c>
      <c r="P3928" s="79">
        <v>45128.593518518515</v>
      </c>
      <c r="Q3928" s="77" t="s">
        <v>4570</v>
      </c>
      <c r="R3928" s="77">
        <v>0</v>
      </c>
      <c r="S3928" s="77">
        <v>2</v>
      </c>
      <c r="T3928" s="77">
        <v>0</v>
      </c>
      <c r="U3928" s="77">
        <v>0</v>
      </c>
      <c r="V3928" s="77">
        <v>264</v>
      </c>
      <c r="W3928" s="82" t="s">
        <v>6410</v>
      </c>
      <c r="X3928" s="77"/>
      <c r="Y3928" s="77"/>
      <c r="Z3928" s="77"/>
      <c r="AA3928" s="77"/>
      <c r="AB3928" s="77"/>
      <c r="AC3928" s="82" t="s">
        <v>7787</v>
      </c>
      <c r="AD3928" s="77" t="s">
        <v>7788</v>
      </c>
      <c r="AE3928" s="80" t="str">
        <f>HYPERLINK("https://twitter.com/modalmais/status/1682393657889140736")</f>
        <v>https://twitter.com/modalmais/status/1682393657889140736</v>
      </c>
      <c r="AF3928" s="79">
        <v>45128.593518518515</v>
      </c>
      <c r="AG3928" s="85">
        <v>45128</v>
      </c>
      <c r="AH3928" s="82" t="s">
        <v>10336</v>
      </c>
      <c r="AI3928" s="77"/>
      <c r="AJ3928" s="77"/>
      <c r="AK3928" s="77"/>
      <c r="AL3928" s="77"/>
      <c r="AM3928" s="77"/>
      <c r="AN3928" s="77"/>
      <c r="AO3928" s="77"/>
      <c r="AP3928" s="77"/>
      <c r="AQ3928" s="77"/>
      <c r="AR3928" s="77"/>
      <c r="AS3928" s="77"/>
      <c r="AT3928" s="77"/>
      <c r="AU3928" s="77"/>
      <c r="AV3928" s="80" t="str">
        <f>HYPERLINK("https://pbs.twimg.com/profile_images/1067039778795937797/PnnLGTU4_normal.jpg")</f>
        <v>https://pbs.twimg.com/profile_images/1067039778795937797/PnnLGTU4_normal.jpg</v>
      </c>
      <c r="AW3928" s="82" t="s">
        <v>15499</v>
      </c>
      <c r="AX3928" s="82" t="s">
        <v>15499</v>
      </c>
      <c r="AY3928" s="77"/>
      <c r="AZ3928" s="82" t="s">
        <v>15984</v>
      </c>
      <c r="BA3928" s="82" t="s">
        <v>15984</v>
      </c>
      <c r="BB3928" s="82" t="s">
        <v>15984</v>
      </c>
      <c r="BC3928" s="82" t="s">
        <v>15499</v>
      </c>
      <c r="BD3928" s="77">
        <v>2578778256</v>
      </c>
      <c r="BE3928" s="77"/>
      <c r="BF3928" s="77"/>
      <c r="BG3928" s="77"/>
      <c r="BH3928" s="77"/>
      <c r="BI3928" s="77"/>
    </row>
    <row r="3929" spans="1:61" x14ac:dyDescent="0.25">
      <c r="A3929" s="62" t="s">
        <v>735</v>
      </c>
      <c r="B3929" s="62" t="s">
        <v>735</v>
      </c>
      <c r="C3929" s="63"/>
      <c r="D3929" s="64"/>
      <c r="E3929" s="65"/>
      <c r="F3929" s="66"/>
      <c r="G3929" s="63"/>
      <c r="H3929" s="67"/>
      <c r="I3929" s="68"/>
      <c r="J3929" s="68"/>
      <c r="K3929" s="32"/>
      <c r="L3929" s="75">
        <v>3929</v>
      </c>
      <c r="M3929" s="75"/>
      <c r="N3929" s="70"/>
      <c r="O3929" s="77" t="s">
        <v>179</v>
      </c>
      <c r="P3929" s="79">
        <v>45128.593101851853</v>
      </c>
      <c r="Q3929" s="77" t="s">
        <v>4571</v>
      </c>
      <c r="R3929" s="77">
        <v>1</v>
      </c>
      <c r="S3929" s="77">
        <v>3</v>
      </c>
      <c r="T3929" s="77">
        <v>0</v>
      </c>
      <c r="U3929" s="77">
        <v>0</v>
      </c>
      <c r="V3929" s="77">
        <v>392</v>
      </c>
      <c r="W3929" s="82" t="s">
        <v>6428</v>
      </c>
      <c r="X3929" s="77"/>
      <c r="Y3929" s="77"/>
      <c r="Z3929" s="77"/>
      <c r="AA3929" s="77"/>
      <c r="AB3929" s="77"/>
      <c r="AC3929" s="82" t="s">
        <v>7787</v>
      </c>
      <c r="AD3929" s="77" t="s">
        <v>7790</v>
      </c>
      <c r="AE3929" s="80" t="str">
        <f>HYPERLINK("https://twitter.com/modalmais/status/1682393507397345280")</f>
        <v>https://twitter.com/modalmais/status/1682393507397345280</v>
      </c>
      <c r="AF3929" s="79">
        <v>45128.593101851853</v>
      </c>
      <c r="AG3929" s="85">
        <v>45128</v>
      </c>
      <c r="AH3929" s="82" t="s">
        <v>10337</v>
      </c>
      <c r="AI3929" s="77"/>
      <c r="AJ3929" s="77"/>
      <c r="AK3929" s="77"/>
      <c r="AL3929" s="77"/>
      <c r="AM3929" s="77"/>
      <c r="AN3929" s="77"/>
      <c r="AO3929" s="77"/>
      <c r="AP3929" s="77"/>
      <c r="AQ3929" s="77"/>
      <c r="AR3929" s="77"/>
      <c r="AS3929" s="77"/>
      <c r="AT3929" s="77"/>
      <c r="AU3929" s="77"/>
      <c r="AV3929" s="80" t="str">
        <f>HYPERLINK("https://pbs.twimg.com/profile_images/1067039778795937797/PnnLGTU4_normal.jpg")</f>
        <v>https://pbs.twimg.com/profile_images/1067039778795937797/PnnLGTU4_normal.jpg</v>
      </c>
      <c r="AW3929" s="82" t="s">
        <v>15500</v>
      </c>
      <c r="AX3929" s="82" t="s">
        <v>15500</v>
      </c>
      <c r="AY3929" s="77"/>
      <c r="AZ3929" s="82" t="s">
        <v>15984</v>
      </c>
      <c r="BA3929" s="82" t="s">
        <v>15984</v>
      </c>
      <c r="BB3929" s="82" t="s">
        <v>15984</v>
      </c>
      <c r="BC3929" s="82" t="s">
        <v>15500</v>
      </c>
      <c r="BD3929" s="77">
        <v>2578778256</v>
      </c>
      <c r="BE3929" s="77"/>
      <c r="BF3929" s="77"/>
      <c r="BG3929" s="77"/>
      <c r="BH3929" s="77"/>
      <c r="BI3929" s="77"/>
    </row>
    <row r="3930" spans="1:61" x14ac:dyDescent="0.25">
      <c r="A3930" s="62" t="s">
        <v>735</v>
      </c>
      <c r="B3930" s="62" t="s">
        <v>735</v>
      </c>
      <c r="C3930" s="63"/>
      <c r="D3930" s="64"/>
      <c r="E3930" s="65"/>
      <c r="F3930" s="66"/>
      <c r="G3930" s="63"/>
      <c r="H3930" s="67"/>
      <c r="I3930" s="68"/>
      <c r="J3930" s="68"/>
      <c r="K3930" s="32"/>
      <c r="L3930" s="75">
        <v>3930</v>
      </c>
      <c r="M3930" s="75"/>
      <c r="N3930" s="70"/>
      <c r="O3930" s="77" t="s">
        <v>179</v>
      </c>
      <c r="P3930" s="79">
        <v>45128.555023148147</v>
      </c>
      <c r="Q3930" s="77" t="s">
        <v>4572</v>
      </c>
      <c r="R3930" s="77">
        <v>0</v>
      </c>
      <c r="S3930" s="77">
        <v>1</v>
      </c>
      <c r="T3930" s="77">
        <v>0</v>
      </c>
      <c r="U3930" s="77">
        <v>0</v>
      </c>
      <c r="V3930" s="77">
        <v>280</v>
      </c>
      <c r="W3930" s="82" t="s">
        <v>6410</v>
      </c>
      <c r="X3930" s="77"/>
      <c r="Y3930" s="77"/>
      <c r="Z3930" s="77"/>
      <c r="AA3930" s="77"/>
      <c r="AB3930" s="77"/>
      <c r="AC3930" s="82" t="s">
        <v>7787</v>
      </c>
      <c r="AD3930" s="77" t="s">
        <v>7788</v>
      </c>
      <c r="AE3930" s="80" t="str">
        <f>HYPERLINK("https://twitter.com/modalmais/status/1682379709957525504")</f>
        <v>https://twitter.com/modalmais/status/1682379709957525504</v>
      </c>
      <c r="AF3930" s="79">
        <v>45128.555023148147</v>
      </c>
      <c r="AG3930" s="85">
        <v>45128</v>
      </c>
      <c r="AH3930" s="82" t="s">
        <v>10338</v>
      </c>
      <c r="AI3930" s="77"/>
      <c r="AJ3930" s="77"/>
      <c r="AK3930" s="77"/>
      <c r="AL3930" s="77"/>
      <c r="AM3930" s="77"/>
      <c r="AN3930" s="77"/>
      <c r="AO3930" s="77"/>
      <c r="AP3930" s="77"/>
      <c r="AQ3930" s="77"/>
      <c r="AR3930" s="77"/>
      <c r="AS3930" s="77"/>
      <c r="AT3930" s="77"/>
      <c r="AU3930" s="77"/>
      <c r="AV3930" s="80" t="str">
        <f>HYPERLINK("https://pbs.twimg.com/profile_images/1067039778795937797/PnnLGTU4_normal.jpg")</f>
        <v>https://pbs.twimg.com/profile_images/1067039778795937797/PnnLGTU4_normal.jpg</v>
      </c>
      <c r="AW3930" s="82" t="s">
        <v>15501</v>
      </c>
      <c r="AX3930" s="82" t="s">
        <v>15501</v>
      </c>
      <c r="AY3930" s="77"/>
      <c r="AZ3930" s="82" t="s">
        <v>15984</v>
      </c>
      <c r="BA3930" s="82" t="s">
        <v>15984</v>
      </c>
      <c r="BB3930" s="82" t="s">
        <v>15984</v>
      </c>
      <c r="BC3930" s="82" t="s">
        <v>15501</v>
      </c>
      <c r="BD3930" s="77">
        <v>2578778256</v>
      </c>
      <c r="BE3930" s="77"/>
      <c r="BF3930" s="77"/>
      <c r="BG3930" s="77"/>
      <c r="BH3930" s="77"/>
      <c r="BI3930" s="77"/>
    </row>
    <row r="3931" spans="1:61" x14ac:dyDescent="0.25">
      <c r="A3931" s="62" t="s">
        <v>735</v>
      </c>
      <c r="B3931" s="62" t="s">
        <v>735</v>
      </c>
      <c r="C3931" s="63"/>
      <c r="D3931" s="64"/>
      <c r="E3931" s="65"/>
      <c r="F3931" s="66"/>
      <c r="G3931" s="63"/>
      <c r="H3931" s="67"/>
      <c r="I3931" s="68"/>
      <c r="J3931" s="68"/>
      <c r="K3931" s="32"/>
      <c r="L3931" s="75">
        <v>3931</v>
      </c>
      <c r="M3931" s="75"/>
      <c r="N3931" s="70"/>
      <c r="O3931" s="77" t="s">
        <v>179</v>
      </c>
      <c r="P3931" s="79">
        <v>45128.533645833333</v>
      </c>
      <c r="Q3931" s="77" t="s">
        <v>4573</v>
      </c>
      <c r="R3931" s="77">
        <v>0</v>
      </c>
      <c r="S3931" s="77">
        <v>4</v>
      </c>
      <c r="T3931" s="77">
        <v>0</v>
      </c>
      <c r="U3931" s="77">
        <v>0</v>
      </c>
      <c r="V3931" s="77">
        <v>295</v>
      </c>
      <c r="W3931" s="82" t="s">
        <v>6410</v>
      </c>
      <c r="X3931" s="77"/>
      <c r="Y3931" s="77"/>
      <c r="Z3931" s="77"/>
      <c r="AA3931" s="77"/>
      <c r="AB3931" s="77"/>
      <c r="AC3931" s="82" t="s">
        <v>7787</v>
      </c>
      <c r="AD3931" s="77" t="s">
        <v>7797</v>
      </c>
      <c r="AE3931" s="80" t="str">
        <f>HYPERLINK("https://twitter.com/modalmais/status/1682371961630912512")</f>
        <v>https://twitter.com/modalmais/status/1682371961630912512</v>
      </c>
      <c r="AF3931" s="79">
        <v>45128.533645833333</v>
      </c>
      <c r="AG3931" s="85">
        <v>45128</v>
      </c>
      <c r="AH3931" s="82" t="s">
        <v>10339</v>
      </c>
      <c r="AI3931" s="77"/>
      <c r="AJ3931" s="77"/>
      <c r="AK3931" s="77"/>
      <c r="AL3931" s="77"/>
      <c r="AM3931" s="77"/>
      <c r="AN3931" s="77"/>
      <c r="AO3931" s="77"/>
      <c r="AP3931" s="77"/>
      <c r="AQ3931" s="77"/>
      <c r="AR3931" s="77"/>
      <c r="AS3931" s="77"/>
      <c r="AT3931" s="77"/>
      <c r="AU3931" s="77"/>
      <c r="AV3931" s="80" t="str">
        <f>HYPERLINK("https://pbs.twimg.com/profile_images/1067039778795937797/PnnLGTU4_normal.jpg")</f>
        <v>https://pbs.twimg.com/profile_images/1067039778795937797/PnnLGTU4_normal.jpg</v>
      </c>
      <c r="AW3931" s="82" t="s">
        <v>15502</v>
      </c>
      <c r="AX3931" s="82" t="s">
        <v>15502</v>
      </c>
      <c r="AY3931" s="77"/>
      <c r="AZ3931" s="82" t="s">
        <v>15984</v>
      </c>
      <c r="BA3931" s="82" t="s">
        <v>15984</v>
      </c>
      <c r="BB3931" s="82" t="s">
        <v>15984</v>
      </c>
      <c r="BC3931" s="82" t="s">
        <v>15502</v>
      </c>
      <c r="BD3931" s="77">
        <v>2578778256</v>
      </c>
      <c r="BE3931" s="77"/>
      <c r="BF3931" s="77"/>
      <c r="BG3931" s="77"/>
      <c r="BH3931" s="77"/>
      <c r="BI3931" s="77"/>
    </row>
    <row r="3932" spans="1:61" x14ac:dyDescent="0.25">
      <c r="A3932" s="62" t="s">
        <v>735</v>
      </c>
      <c r="B3932" s="62" t="s">
        <v>735</v>
      </c>
      <c r="C3932" s="63"/>
      <c r="D3932" s="64"/>
      <c r="E3932" s="65"/>
      <c r="F3932" s="66"/>
      <c r="G3932" s="63"/>
      <c r="H3932" s="67"/>
      <c r="I3932" s="68"/>
      <c r="J3932" s="68"/>
      <c r="K3932" s="32"/>
      <c r="L3932" s="75">
        <v>3932</v>
      </c>
      <c r="M3932" s="75"/>
      <c r="N3932" s="70"/>
      <c r="O3932" s="77" t="s">
        <v>179</v>
      </c>
      <c r="P3932" s="79">
        <v>45128.533587962964</v>
      </c>
      <c r="Q3932" s="77" t="s">
        <v>4574</v>
      </c>
      <c r="R3932" s="77">
        <v>0</v>
      </c>
      <c r="S3932" s="77">
        <v>1</v>
      </c>
      <c r="T3932" s="77">
        <v>0</v>
      </c>
      <c r="U3932" s="77">
        <v>0</v>
      </c>
      <c r="V3932" s="77">
        <v>296</v>
      </c>
      <c r="W3932" s="82" t="s">
        <v>6410</v>
      </c>
      <c r="X3932" s="77"/>
      <c r="Y3932" s="77"/>
      <c r="Z3932" s="77"/>
      <c r="AA3932" s="77"/>
      <c r="AB3932" s="77"/>
      <c r="AC3932" s="82" t="s">
        <v>7787</v>
      </c>
      <c r="AD3932" s="77" t="s">
        <v>7788</v>
      </c>
      <c r="AE3932" s="80" t="str">
        <f>HYPERLINK("https://twitter.com/modalmais/status/1682371940105826304")</f>
        <v>https://twitter.com/modalmais/status/1682371940105826304</v>
      </c>
      <c r="AF3932" s="79">
        <v>45128.533587962964</v>
      </c>
      <c r="AG3932" s="85">
        <v>45128</v>
      </c>
      <c r="AH3932" s="82" t="s">
        <v>10340</v>
      </c>
      <c r="AI3932" s="77"/>
      <c r="AJ3932" s="77"/>
      <c r="AK3932" s="77"/>
      <c r="AL3932" s="77"/>
      <c r="AM3932" s="77"/>
      <c r="AN3932" s="77"/>
      <c r="AO3932" s="77"/>
      <c r="AP3932" s="77"/>
      <c r="AQ3932" s="77"/>
      <c r="AR3932" s="77"/>
      <c r="AS3932" s="77"/>
      <c r="AT3932" s="77"/>
      <c r="AU3932" s="77"/>
      <c r="AV3932" s="80" t="str">
        <f>HYPERLINK("https://pbs.twimg.com/profile_images/1067039778795937797/PnnLGTU4_normal.jpg")</f>
        <v>https://pbs.twimg.com/profile_images/1067039778795937797/PnnLGTU4_normal.jpg</v>
      </c>
      <c r="AW3932" s="82" t="s">
        <v>15503</v>
      </c>
      <c r="AX3932" s="82" t="s">
        <v>15503</v>
      </c>
      <c r="AY3932" s="77"/>
      <c r="AZ3932" s="82" t="s">
        <v>15984</v>
      </c>
      <c r="BA3932" s="82" t="s">
        <v>15984</v>
      </c>
      <c r="BB3932" s="82" t="s">
        <v>15984</v>
      </c>
      <c r="BC3932" s="82" t="s">
        <v>15503</v>
      </c>
      <c r="BD3932" s="77">
        <v>2578778256</v>
      </c>
      <c r="BE3932" s="77"/>
      <c r="BF3932" s="77"/>
      <c r="BG3932" s="77"/>
      <c r="BH3932" s="77"/>
      <c r="BI3932" s="77"/>
    </row>
    <row r="3933" spans="1:61" x14ac:dyDescent="0.25">
      <c r="A3933" s="62" t="s">
        <v>735</v>
      </c>
      <c r="B3933" s="62" t="s">
        <v>735</v>
      </c>
      <c r="C3933" s="63"/>
      <c r="D3933" s="64"/>
      <c r="E3933" s="65"/>
      <c r="F3933" s="66"/>
      <c r="G3933" s="63"/>
      <c r="H3933" s="67"/>
      <c r="I3933" s="68"/>
      <c r="J3933" s="68"/>
      <c r="K3933" s="32"/>
      <c r="L3933" s="75">
        <v>3933</v>
      </c>
      <c r="M3933" s="75"/>
      <c r="N3933" s="70"/>
      <c r="O3933" s="77" t="s">
        <v>179</v>
      </c>
      <c r="P3933" s="79">
        <v>45128.524791666663</v>
      </c>
      <c r="Q3933" s="77" t="s">
        <v>4575</v>
      </c>
      <c r="R3933" s="77">
        <v>0</v>
      </c>
      <c r="S3933" s="77">
        <v>1</v>
      </c>
      <c r="T3933" s="77">
        <v>0</v>
      </c>
      <c r="U3933" s="77">
        <v>0</v>
      </c>
      <c r="V3933" s="77">
        <v>285</v>
      </c>
      <c r="W3933" s="82" t="s">
        <v>6410</v>
      </c>
      <c r="X3933" s="77"/>
      <c r="Y3933" s="77"/>
      <c r="Z3933" s="77"/>
      <c r="AA3933" s="77"/>
      <c r="AB3933" s="77"/>
      <c r="AC3933" s="82" t="s">
        <v>7787</v>
      </c>
      <c r="AD3933" s="77" t="s">
        <v>7793</v>
      </c>
      <c r="AE3933" s="80" t="str">
        <f>HYPERLINK("https://twitter.com/modalmais/status/1682368753470668802")</f>
        <v>https://twitter.com/modalmais/status/1682368753470668802</v>
      </c>
      <c r="AF3933" s="79">
        <v>45128.524791666663</v>
      </c>
      <c r="AG3933" s="85">
        <v>45128</v>
      </c>
      <c r="AH3933" s="82" t="s">
        <v>10295</v>
      </c>
      <c r="AI3933" s="77"/>
      <c r="AJ3933" s="77"/>
      <c r="AK3933" s="77"/>
      <c r="AL3933" s="77"/>
      <c r="AM3933" s="77"/>
      <c r="AN3933" s="77"/>
      <c r="AO3933" s="77"/>
      <c r="AP3933" s="77"/>
      <c r="AQ3933" s="77"/>
      <c r="AR3933" s="77"/>
      <c r="AS3933" s="77"/>
      <c r="AT3933" s="77"/>
      <c r="AU3933" s="77"/>
      <c r="AV3933" s="80" t="str">
        <f>HYPERLINK("https://pbs.twimg.com/profile_images/1067039778795937797/PnnLGTU4_normal.jpg")</f>
        <v>https://pbs.twimg.com/profile_images/1067039778795937797/PnnLGTU4_normal.jpg</v>
      </c>
      <c r="AW3933" s="82" t="s">
        <v>15504</v>
      </c>
      <c r="AX3933" s="82" t="s">
        <v>15504</v>
      </c>
      <c r="AY3933" s="77"/>
      <c r="AZ3933" s="82" t="s">
        <v>15984</v>
      </c>
      <c r="BA3933" s="82" t="s">
        <v>15984</v>
      </c>
      <c r="BB3933" s="82" t="s">
        <v>15984</v>
      </c>
      <c r="BC3933" s="82" t="s">
        <v>15504</v>
      </c>
      <c r="BD3933" s="77">
        <v>2578778256</v>
      </c>
      <c r="BE3933" s="77"/>
      <c r="BF3933" s="77"/>
      <c r="BG3933" s="77"/>
      <c r="BH3933" s="77"/>
      <c r="BI3933" s="77"/>
    </row>
    <row r="3934" spans="1:61" x14ac:dyDescent="0.25">
      <c r="A3934" s="62" t="s">
        <v>735</v>
      </c>
      <c r="B3934" s="62" t="s">
        <v>735</v>
      </c>
      <c r="C3934" s="63"/>
      <c r="D3934" s="64"/>
      <c r="E3934" s="65"/>
      <c r="F3934" s="66"/>
      <c r="G3934" s="63"/>
      <c r="H3934" s="67"/>
      <c r="I3934" s="68"/>
      <c r="J3934" s="68"/>
      <c r="K3934" s="32"/>
      <c r="L3934" s="75">
        <v>3934</v>
      </c>
      <c r="M3934" s="75"/>
      <c r="N3934" s="70"/>
      <c r="O3934" s="77" t="s">
        <v>179</v>
      </c>
      <c r="P3934" s="79">
        <v>45128.506782407407</v>
      </c>
      <c r="Q3934" s="77" t="s">
        <v>4576</v>
      </c>
      <c r="R3934" s="77">
        <v>0</v>
      </c>
      <c r="S3934" s="77">
        <v>0</v>
      </c>
      <c r="T3934" s="77">
        <v>0</v>
      </c>
      <c r="U3934" s="77">
        <v>0</v>
      </c>
      <c r="V3934" s="77">
        <v>254</v>
      </c>
      <c r="W3934" s="82" t="s">
        <v>6410</v>
      </c>
      <c r="X3934" s="80" t="str">
        <f>HYPERLINK("https://www.youtube.com/watch?v=iGX_ZTHOW0o")</f>
        <v>https://www.youtube.com/watch?v=iGX_ZTHOW0o</v>
      </c>
      <c r="Y3934" s="77" t="s">
        <v>6480</v>
      </c>
      <c r="Z3934" s="77"/>
      <c r="AA3934" s="77"/>
      <c r="AB3934" s="77"/>
      <c r="AC3934" s="82" t="s">
        <v>7787</v>
      </c>
      <c r="AD3934" s="77" t="s">
        <v>7788</v>
      </c>
      <c r="AE3934" s="80" t="str">
        <f>HYPERLINK("https://twitter.com/modalmais/status/1682362226085093378")</f>
        <v>https://twitter.com/modalmais/status/1682362226085093378</v>
      </c>
      <c r="AF3934" s="79">
        <v>45128.506782407407</v>
      </c>
      <c r="AG3934" s="85">
        <v>45128</v>
      </c>
      <c r="AH3934" s="82" t="s">
        <v>10341</v>
      </c>
      <c r="AI3934" s="77" t="b">
        <v>0</v>
      </c>
      <c r="AJ3934" s="77"/>
      <c r="AK3934" s="77"/>
      <c r="AL3934" s="77"/>
      <c r="AM3934" s="77"/>
      <c r="AN3934" s="77"/>
      <c r="AO3934" s="77"/>
      <c r="AP3934" s="77"/>
      <c r="AQ3934" s="77"/>
      <c r="AR3934" s="77"/>
      <c r="AS3934" s="77"/>
      <c r="AT3934" s="77"/>
      <c r="AU3934" s="77"/>
      <c r="AV3934" s="80" t="str">
        <f>HYPERLINK("https://pbs.twimg.com/profile_images/1067039778795937797/PnnLGTU4_normal.jpg")</f>
        <v>https://pbs.twimg.com/profile_images/1067039778795937797/PnnLGTU4_normal.jpg</v>
      </c>
      <c r="AW3934" s="82" t="s">
        <v>15505</v>
      </c>
      <c r="AX3934" s="82" t="s">
        <v>15505</v>
      </c>
      <c r="AY3934" s="77"/>
      <c r="AZ3934" s="82" t="s">
        <v>15984</v>
      </c>
      <c r="BA3934" s="82" t="s">
        <v>15984</v>
      </c>
      <c r="BB3934" s="82" t="s">
        <v>15984</v>
      </c>
      <c r="BC3934" s="82" t="s">
        <v>15505</v>
      </c>
      <c r="BD3934" s="77">
        <v>2578778256</v>
      </c>
      <c r="BE3934" s="77"/>
      <c r="BF3934" s="77"/>
      <c r="BG3934" s="77"/>
      <c r="BH3934" s="77"/>
      <c r="BI3934" s="77"/>
    </row>
    <row r="3935" spans="1:61" x14ac:dyDescent="0.25">
      <c r="A3935" s="62" t="s">
        <v>735</v>
      </c>
      <c r="B3935" s="62" t="s">
        <v>735</v>
      </c>
      <c r="C3935" s="63"/>
      <c r="D3935" s="64"/>
      <c r="E3935" s="65"/>
      <c r="F3935" s="66"/>
      <c r="G3935" s="63"/>
      <c r="H3935" s="67"/>
      <c r="I3935" s="68"/>
      <c r="J3935" s="68"/>
      <c r="K3935" s="32"/>
      <c r="L3935" s="75">
        <v>3935</v>
      </c>
      <c r="M3935" s="75"/>
      <c r="N3935" s="70"/>
      <c r="O3935" s="77" t="s">
        <v>179</v>
      </c>
      <c r="P3935" s="79">
        <v>45128.506435185183</v>
      </c>
      <c r="Q3935" s="77" t="s">
        <v>4577</v>
      </c>
      <c r="R3935" s="77">
        <v>1</v>
      </c>
      <c r="S3935" s="77">
        <v>1</v>
      </c>
      <c r="T3935" s="77">
        <v>0</v>
      </c>
      <c r="U3935" s="77">
        <v>0</v>
      </c>
      <c r="V3935" s="77">
        <v>282</v>
      </c>
      <c r="W3935" s="82" t="s">
        <v>6410</v>
      </c>
      <c r="X3935" s="80" t="str">
        <f>HYPERLINK("https://www.youtube.com/watch?v=TE5hWRHMUFE")</f>
        <v>https://www.youtube.com/watch?v=TE5hWRHMUFE</v>
      </c>
      <c r="Y3935" s="77" t="s">
        <v>6480</v>
      </c>
      <c r="Z3935" s="77"/>
      <c r="AA3935" s="77"/>
      <c r="AB3935" s="77"/>
      <c r="AC3935" s="82" t="s">
        <v>7787</v>
      </c>
      <c r="AD3935" s="77" t="s">
        <v>7788</v>
      </c>
      <c r="AE3935" s="80" t="str">
        <f>HYPERLINK("https://twitter.com/modalmais/status/1682362102059507713")</f>
        <v>https://twitter.com/modalmais/status/1682362102059507713</v>
      </c>
      <c r="AF3935" s="79">
        <v>45128.506435185183</v>
      </c>
      <c r="AG3935" s="85">
        <v>45128</v>
      </c>
      <c r="AH3935" s="82" t="s">
        <v>10342</v>
      </c>
      <c r="AI3935" s="77" t="b">
        <v>0</v>
      </c>
      <c r="AJ3935" s="77"/>
      <c r="AK3935" s="77"/>
      <c r="AL3935" s="77"/>
      <c r="AM3935" s="77"/>
      <c r="AN3935" s="77"/>
      <c r="AO3935" s="77"/>
      <c r="AP3935" s="77"/>
      <c r="AQ3935" s="77"/>
      <c r="AR3935" s="77"/>
      <c r="AS3935" s="77"/>
      <c r="AT3935" s="77"/>
      <c r="AU3935" s="77"/>
      <c r="AV3935" s="80" t="str">
        <f>HYPERLINK("https://pbs.twimg.com/profile_images/1067039778795937797/PnnLGTU4_normal.jpg")</f>
        <v>https://pbs.twimg.com/profile_images/1067039778795937797/PnnLGTU4_normal.jpg</v>
      </c>
      <c r="AW3935" s="82" t="s">
        <v>15506</v>
      </c>
      <c r="AX3935" s="82" t="s">
        <v>15506</v>
      </c>
      <c r="AY3935" s="77"/>
      <c r="AZ3935" s="82" t="s">
        <v>15984</v>
      </c>
      <c r="BA3935" s="82" t="s">
        <v>15984</v>
      </c>
      <c r="BB3935" s="82" t="s">
        <v>15984</v>
      </c>
      <c r="BC3935" s="82" t="s">
        <v>15506</v>
      </c>
      <c r="BD3935" s="77">
        <v>2578778256</v>
      </c>
      <c r="BE3935" s="77"/>
      <c r="BF3935" s="77"/>
      <c r="BG3935" s="77"/>
      <c r="BH3935" s="77"/>
      <c r="BI3935" s="77"/>
    </row>
    <row r="3936" spans="1:61" x14ac:dyDescent="0.25">
      <c r="A3936" s="62" t="s">
        <v>735</v>
      </c>
      <c r="B3936" s="62" t="s">
        <v>735</v>
      </c>
      <c r="C3936" s="63"/>
      <c r="D3936" s="64"/>
      <c r="E3936" s="65"/>
      <c r="F3936" s="66"/>
      <c r="G3936" s="63"/>
      <c r="H3936" s="67"/>
      <c r="I3936" s="68"/>
      <c r="J3936" s="68"/>
      <c r="K3936" s="32"/>
      <c r="L3936" s="75">
        <v>3936</v>
      </c>
      <c r="M3936" s="75"/>
      <c r="N3936" s="70"/>
      <c r="O3936" s="77" t="s">
        <v>179</v>
      </c>
      <c r="P3936" s="79">
        <v>45168.599108796298</v>
      </c>
      <c r="Q3936" s="77" t="s">
        <v>4578</v>
      </c>
      <c r="R3936" s="77">
        <v>0</v>
      </c>
      <c r="S3936" s="77">
        <v>3</v>
      </c>
      <c r="T3936" s="77">
        <v>0</v>
      </c>
      <c r="U3936" s="77">
        <v>0</v>
      </c>
      <c r="V3936" s="77">
        <v>286</v>
      </c>
      <c r="W3936" s="82" t="s">
        <v>6424</v>
      </c>
      <c r="X3936" s="77"/>
      <c r="Y3936" s="77"/>
      <c r="Z3936" s="77"/>
      <c r="AA3936" s="77"/>
      <c r="AB3936" s="77"/>
      <c r="AC3936" s="82" t="s">
        <v>7787</v>
      </c>
      <c r="AD3936" s="77" t="s">
        <v>7788</v>
      </c>
      <c r="AE3936" s="80" t="str">
        <f>HYPERLINK("https://twitter.com/modalmais/status/1696891199875948624")</f>
        <v>https://twitter.com/modalmais/status/1696891199875948624</v>
      </c>
      <c r="AF3936" s="79">
        <v>45168.599108796298</v>
      </c>
      <c r="AG3936" s="85">
        <v>45168</v>
      </c>
      <c r="AH3936" s="82" t="s">
        <v>10343</v>
      </c>
      <c r="AI3936" s="77"/>
      <c r="AJ3936" s="77"/>
      <c r="AK3936" s="77"/>
      <c r="AL3936" s="77"/>
      <c r="AM3936" s="77"/>
      <c r="AN3936" s="77"/>
      <c r="AO3936" s="77"/>
      <c r="AP3936" s="77"/>
      <c r="AQ3936" s="77"/>
      <c r="AR3936" s="77"/>
      <c r="AS3936" s="77"/>
      <c r="AT3936" s="77"/>
      <c r="AU3936" s="77"/>
      <c r="AV3936" s="80" t="str">
        <f>HYPERLINK("https://pbs.twimg.com/profile_images/1067039778795937797/PnnLGTU4_normal.jpg")</f>
        <v>https://pbs.twimg.com/profile_images/1067039778795937797/PnnLGTU4_normal.jpg</v>
      </c>
      <c r="AW3936" s="82" t="s">
        <v>15507</v>
      </c>
      <c r="AX3936" s="82" t="s">
        <v>15507</v>
      </c>
      <c r="AY3936" s="77"/>
      <c r="AZ3936" s="82" t="s">
        <v>15984</v>
      </c>
      <c r="BA3936" s="82" t="s">
        <v>15984</v>
      </c>
      <c r="BB3936" s="82" t="s">
        <v>15984</v>
      </c>
      <c r="BC3936" s="82" t="s">
        <v>15507</v>
      </c>
      <c r="BD3936" s="77">
        <v>2578778256</v>
      </c>
      <c r="BE3936" s="77"/>
      <c r="BF3936" s="77"/>
      <c r="BG3936" s="77"/>
      <c r="BH3936" s="77"/>
      <c r="BI3936" s="77"/>
    </row>
    <row r="3937" spans="1:61" x14ac:dyDescent="0.25">
      <c r="A3937" s="62" t="s">
        <v>735</v>
      </c>
      <c r="B3937" s="62" t="s">
        <v>735</v>
      </c>
      <c r="C3937" s="63"/>
      <c r="D3937" s="64"/>
      <c r="E3937" s="65"/>
      <c r="F3937" s="66"/>
      <c r="G3937" s="63"/>
      <c r="H3937" s="67"/>
      <c r="I3937" s="68"/>
      <c r="J3937" s="68"/>
      <c r="K3937" s="32"/>
      <c r="L3937" s="75">
        <v>3937</v>
      </c>
      <c r="M3937" s="75"/>
      <c r="N3937" s="70"/>
      <c r="O3937" s="77" t="s">
        <v>179</v>
      </c>
      <c r="P3937" s="79">
        <v>45168.598611111112</v>
      </c>
      <c r="Q3937" s="77" t="s">
        <v>4579</v>
      </c>
      <c r="R3937" s="77">
        <v>0</v>
      </c>
      <c r="S3937" s="77">
        <v>2</v>
      </c>
      <c r="T3937" s="77">
        <v>0</v>
      </c>
      <c r="U3937" s="77">
        <v>0</v>
      </c>
      <c r="V3937" s="77">
        <v>379</v>
      </c>
      <c r="W3937" s="82" t="s">
        <v>6424</v>
      </c>
      <c r="X3937" s="77"/>
      <c r="Y3937" s="77"/>
      <c r="Z3937" s="77"/>
      <c r="AA3937" s="77"/>
      <c r="AB3937" s="77"/>
      <c r="AC3937" s="82" t="s">
        <v>7787</v>
      </c>
      <c r="AD3937" s="77" t="s">
        <v>7788</v>
      </c>
      <c r="AE3937" s="80" t="str">
        <f>HYPERLINK("https://twitter.com/modalmais/status/1696891020959498617")</f>
        <v>https://twitter.com/modalmais/status/1696891020959498617</v>
      </c>
      <c r="AF3937" s="79">
        <v>45168.598611111112</v>
      </c>
      <c r="AG3937" s="85">
        <v>45168</v>
      </c>
      <c r="AH3937" s="82" t="s">
        <v>10344</v>
      </c>
      <c r="AI3937" s="77"/>
      <c r="AJ3937" s="77"/>
      <c r="AK3937" s="77"/>
      <c r="AL3937" s="77"/>
      <c r="AM3937" s="77"/>
      <c r="AN3937" s="77"/>
      <c r="AO3937" s="77"/>
      <c r="AP3937" s="77"/>
      <c r="AQ3937" s="77"/>
      <c r="AR3937" s="77"/>
      <c r="AS3937" s="77"/>
      <c r="AT3937" s="77"/>
      <c r="AU3937" s="77"/>
      <c r="AV3937" s="80" t="str">
        <f>HYPERLINK("https://pbs.twimg.com/profile_images/1067039778795937797/PnnLGTU4_normal.jpg")</f>
        <v>https://pbs.twimg.com/profile_images/1067039778795937797/PnnLGTU4_normal.jpg</v>
      </c>
      <c r="AW3937" s="82" t="s">
        <v>15508</v>
      </c>
      <c r="AX3937" s="82" t="s">
        <v>15508</v>
      </c>
      <c r="AY3937" s="77"/>
      <c r="AZ3937" s="82" t="s">
        <v>15984</v>
      </c>
      <c r="BA3937" s="82" t="s">
        <v>15984</v>
      </c>
      <c r="BB3937" s="82" t="s">
        <v>15984</v>
      </c>
      <c r="BC3937" s="82" t="s">
        <v>15508</v>
      </c>
      <c r="BD3937" s="77">
        <v>2578778256</v>
      </c>
      <c r="BE3937" s="77"/>
      <c r="BF3937" s="77"/>
      <c r="BG3937" s="77"/>
      <c r="BH3937" s="77"/>
      <c r="BI3937" s="77"/>
    </row>
    <row r="3938" spans="1:61" x14ac:dyDescent="0.25">
      <c r="A3938" s="62" t="s">
        <v>735</v>
      </c>
      <c r="B3938" s="62" t="s">
        <v>735</v>
      </c>
      <c r="C3938" s="63"/>
      <c r="D3938" s="64"/>
      <c r="E3938" s="65"/>
      <c r="F3938" s="66"/>
      <c r="G3938" s="63"/>
      <c r="H3938" s="67"/>
      <c r="I3938" s="68"/>
      <c r="J3938" s="68"/>
      <c r="K3938" s="32"/>
      <c r="L3938" s="75">
        <v>3938</v>
      </c>
      <c r="M3938" s="75"/>
      <c r="N3938" s="70"/>
      <c r="O3938" s="77" t="s">
        <v>179</v>
      </c>
      <c r="P3938" s="79">
        <v>45160.58662037037</v>
      </c>
      <c r="Q3938" s="77" t="s">
        <v>4580</v>
      </c>
      <c r="R3938" s="77">
        <v>0</v>
      </c>
      <c r="S3938" s="77">
        <v>6</v>
      </c>
      <c r="T3938" s="77">
        <v>0</v>
      </c>
      <c r="U3938" s="77">
        <v>0</v>
      </c>
      <c r="V3938" s="77">
        <v>500</v>
      </c>
      <c r="W3938" s="82" t="s">
        <v>6429</v>
      </c>
      <c r="X3938" s="77"/>
      <c r="Y3938" s="77"/>
      <c r="Z3938" s="77"/>
      <c r="AA3938" s="77"/>
      <c r="AB3938" s="77"/>
      <c r="AC3938" s="82" t="s">
        <v>7787</v>
      </c>
      <c r="AD3938" s="77" t="s">
        <v>7788</v>
      </c>
      <c r="AE3938" s="80" t="str">
        <f>HYPERLINK("https://twitter.com/modalmais/status/1693987569586065672")</f>
        <v>https://twitter.com/modalmais/status/1693987569586065672</v>
      </c>
      <c r="AF3938" s="79">
        <v>45160.58662037037</v>
      </c>
      <c r="AG3938" s="85">
        <v>45160</v>
      </c>
      <c r="AH3938" s="82" t="s">
        <v>10345</v>
      </c>
      <c r="AI3938" s="77"/>
      <c r="AJ3938" s="77"/>
      <c r="AK3938" s="77"/>
      <c r="AL3938" s="77"/>
      <c r="AM3938" s="77"/>
      <c r="AN3938" s="77"/>
      <c r="AO3938" s="77"/>
      <c r="AP3938" s="77"/>
      <c r="AQ3938" s="77"/>
      <c r="AR3938" s="77"/>
      <c r="AS3938" s="77"/>
      <c r="AT3938" s="77"/>
      <c r="AU3938" s="77"/>
      <c r="AV3938" s="80" t="str">
        <f>HYPERLINK("https://pbs.twimg.com/profile_images/1067039778795937797/PnnLGTU4_normal.jpg")</f>
        <v>https://pbs.twimg.com/profile_images/1067039778795937797/PnnLGTU4_normal.jpg</v>
      </c>
      <c r="AW3938" s="82" t="s">
        <v>15509</v>
      </c>
      <c r="AX3938" s="82" t="s">
        <v>15509</v>
      </c>
      <c r="AY3938" s="77"/>
      <c r="AZ3938" s="82" t="s">
        <v>15984</v>
      </c>
      <c r="BA3938" s="82" t="s">
        <v>15984</v>
      </c>
      <c r="BB3938" s="82" t="s">
        <v>15984</v>
      </c>
      <c r="BC3938" s="82" t="s">
        <v>15509</v>
      </c>
      <c r="BD3938" s="77">
        <v>2578778256</v>
      </c>
      <c r="BE3938" s="77"/>
      <c r="BF3938" s="77"/>
      <c r="BG3938" s="77"/>
      <c r="BH3938" s="77"/>
      <c r="BI3938" s="77"/>
    </row>
    <row r="3939" spans="1:61" x14ac:dyDescent="0.25">
      <c r="A3939" s="62" t="s">
        <v>735</v>
      </c>
      <c r="B3939" s="62" t="s">
        <v>735</v>
      </c>
      <c r="C3939" s="63"/>
      <c r="D3939" s="64"/>
      <c r="E3939" s="65"/>
      <c r="F3939" s="66"/>
      <c r="G3939" s="63"/>
      <c r="H3939" s="67"/>
      <c r="I3939" s="68"/>
      <c r="J3939" s="68"/>
      <c r="K3939" s="32"/>
      <c r="L3939" s="75">
        <v>3939</v>
      </c>
      <c r="M3939" s="75"/>
      <c r="N3939" s="70"/>
      <c r="O3939" s="77" t="s">
        <v>179</v>
      </c>
      <c r="P3939" s="79">
        <v>45153.511319444442</v>
      </c>
      <c r="Q3939" s="77" t="s">
        <v>4581</v>
      </c>
      <c r="R3939" s="77">
        <v>0</v>
      </c>
      <c r="S3939" s="77">
        <v>2</v>
      </c>
      <c r="T3939" s="77">
        <v>1</v>
      </c>
      <c r="U3939" s="77">
        <v>0</v>
      </c>
      <c r="V3939" s="77">
        <v>326</v>
      </c>
      <c r="W3939" s="82" t="s">
        <v>6411</v>
      </c>
      <c r="X3939" s="80" t="str">
        <f>HYPERLINK("https://www.youtube.com/watch?v=DyWgsLFLz9c")</f>
        <v>https://www.youtube.com/watch?v=DyWgsLFLz9c</v>
      </c>
      <c r="Y3939" s="77" t="s">
        <v>6480</v>
      </c>
      <c r="Z3939" s="77"/>
      <c r="AA3939" s="77"/>
      <c r="AB3939" s="77"/>
      <c r="AC3939" s="82" t="s">
        <v>7787</v>
      </c>
      <c r="AD3939" s="77" t="s">
        <v>7788</v>
      </c>
      <c r="AE3939" s="80" t="str">
        <f>HYPERLINK("https://twitter.com/modalmais/status/1691423567047479298")</f>
        <v>https://twitter.com/modalmais/status/1691423567047479298</v>
      </c>
      <c r="AF3939" s="79">
        <v>45153.511319444442</v>
      </c>
      <c r="AG3939" s="85">
        <v>45153</v>
      </c>
      <c r="AH3939" s="82" t="s">
        <v>10346</v>
      </c>
      <c r="AI3939" s="77" t="b">
        <v>0</v>
      </c>
      <c r="AJ3939" s="77"/>
      <c r="AK3939" s="77"/>
      <c r="AL3939" s="77"/>
      <c r="AM3939" s="77"/>
      <c r="AN3939" s="77"/>
      <c r="AO3939" s="77"/>
      <c r="AP3939" s="77"/>
      <c r="AQ3939" s="77"/>
      <c r="AR3939" s="77"/>
      <c r="AS3939" s="77"/>
      <c r="AT3939" s="77"/>
      <c r="AU3939" s="77"/>
      <c r="AV3939" s="80" t="str">
        <f>HYPERLINK("https://pbs.twimg.com/profile_images/1067039778795937797/PnnLGTU4_normal.jpg")</f>
        <v>https://pbs.twimg.com/profile_images/1067039778795937797/PnnLGTU4_normal.jpg</v>
      </c>
      <c r="AW3939" s="82" t="s">
        <v>15510</v>
      </c>
      <c r="AX3939" s="82" t="s">
        <v>15510</v>
      </c>
      <c r="AY3939" s="77"/>
      <c r="AZ3939" s="82" t="s">
        <v>15984</v>
      </c>
      <c r="BA3939" s="82" t="s">
        <v>15984</v>
      </c>
      <c r="BB3939" s="82" t="s">
        <v>15984</v>
      </c>
      <c r="BC3939" s="82" t="s">
        <v>15510</v>
      </c>
      <c r="BD3939" s="77">
        <v>2578778256</v>
      </c>
      <c r="BE3939" s="77"/>
      <c r="BF3939" s="77"/>
      <c r="BG3939" s="77"/>
      <c r="BH3939" s="77"/>
      <c r="BI3939" s="77"/>
    </row>
    <row r="3940" spans="1:61" x14ac:dyDescent="0.25">
      <c r="A3940" s="62" t="s">
        <v>735</v>
      </c>
      <c r="B3940" s="62" t="s">
        <v>735</v>
      </c>
      <c r="C3940" s="63"/>
      <c r="D3940" s="64"/>
      <c r="E3940" s="65"/>
      <c r="F3940" s="66"/>
      <c r="G3940" s="63"/>
      <c r="H3940" s="67"/>
      <c r="I3940" s="68"/>
      <c r="J3940" s="68"/>
      <c r="K3940" s="32"/>
      <c r="L3940" s="75">
        <v>3940</v>
      </c>
      <c r="M3940" s="75"/>
      <c r="N3940" s="70"/>
      <c r="O3940" s="77" t="s">
        <v>179</v>
      </c>
      <c r="P3940" s="79">
        <v>45153.511076388888</v>
      </c>
      <c r="Q3940" s="77" t="s">
        <v>4582</v>
      </c>
      <c r="R3940" s="77">
        <v>0</v>
      </c>
      <c r="S3940" s="77">
        <v>0</v>
      </c>
      <c r="T3940" s="77">
        <v>0</v>
      </c>
      <c r="U3940" s="77">
        <v>0</v>
      </c>
      <c r="V3940" s="77">
        <v>281</v>
      </c>
      <c r="W3940" s="82" t="s">
        <v>6411</v>
      </c>
      <c r="X3940" s="80" t="str">
        <f>HYPERLINK("https://www.youtube.com/watch?v=yH-JudLqCzo")</f>
        <v>https://www.youtube.com/watch?v=yH-JudLqCzo</v>
      </c>
      <c r="Y3940" s="77" t="s">
        <v>6480</v>
      </c>
      <c r="Z3940" s="77"/>
      <c r="AA3940" s="77"/>
      <c r="AB3940" s="77"/>
      <c r="AC3940" s="82" t="s">
        <v>7787</v>
      </c>
      <c r="AD3940" s="77" t="s">
        <v>7788</v>
      </c>
      <c r="AE3940" s="80" t="str">
        <f>HYPERLINK("https://twitter.com/modalmais/status/1691423479684374528")</f>
        <v>https://twitter.com/modalmais/status/1691423479684374528</v>
      </c>
      <c r="AF3940" s="79">
        <v>45153.511076388888</v>
      </c>
      <c r="AG3940" s="85">
        <v>45153</v>
      </c>
      <c r="AH3940" s="82" t="s">
        <v>10347</v>
      </c>
      <c r="AI3940" s="77" t="b">
        <v>0</v>
      </c>
      <c r="AJ3940" s="77"/>
      <c r="AK3940" s="77"/>
      <c r="AL3940" s="77"/>
      <c r="AM3940" s="77"/>
      <c r="AN3940" s="77"/>
      <c r="AO3940" s="77"/>
      <c r="AP3940" s="77"/>
      <c r="AQ3940" s="77"/>
      <c r="AR3940" s="77"/>
      <c r="AS3940" s="77"/>
      <c r="AT3940" s="77"/>
      <c r="AU3940" s="77"/>
      <c r="AV3940" s="80" t="str">
        <f>HYPERLINK("https://pbs.twimg.com/profile_images/1067039778795937797/PnnLGTU4_normal.jpg")</f>
        <v>https://pbs.twimg.com/profile_images/1067039778795937797/PnnLGTU4_normal.jpg</v>
      </c>
      <c r="AW3940" s="82" t="s">
        <v>15511</v>
      </c>
      <c r="AX3940" s="82" t="s">
        <v>15511</v>
      </c>
      <c r="AY3940" s="77"/>
      <c r="AZ3940" s="82" t="s">
        <v>15984</v>
      </c>
      <c r="BA3940" s="82" t="s">
        <v>15984</v>
      </c>
      <c r="BB3940" s="82" t="s">
        <v>15984</v>
      </c>
      <c r="BC3940" s="82" t="s">
        <v>15511</v>
      </c>
      <c r="BD3940" s="77">
        <v>2578778256</v>
      </c>
      <c r="BE3940" s="77"/>
      <c r="BF3940" s="77"/>
      <c r="BG3940" s="77"/>
      <c r="BH3940" s="77"/>
      <c r="BI3940" s="77"/>
    </row>
    <row r="3941" spans="1:61" x14ac:dyDescent="0.25">
      <c r="A3941" s="62" t="s">
        <v>735</v>
      </c>
      <c r="B3941" s="62" t="s">
        <v>735</v>
      </c>
      <c r="C3941" s="63"/>
      <c r="D3941" s="64"/>
      <c r="E3941" s="65"/>
      <c r="F3941" s="66"/>
      <c r="G3941" s="63"/>
      <c r="H3941" s="67"/>
      <c r="I3941" s="68"/>
      <c r="J3941" s="68"/>
      <c r="K3941" s="32"/>
      <c r="L3941" s="75">
        <v>3941</v>
      </c>
      <c r="M3941" s="75"/>
      <c r="N3941" s="70"/>
      <c r="O3941" s="77" t="s">
        <v>179</v>
      </c>
      <c r="P3941" s="79">
        <v>45141.599282407406</v>
      </c>
      <c r="Q3941" s="77" t="s">
        <v>4583</v>
      </c>
      <c r="R3941" s="77">
        <v>0</v>
      </c>
      <c r="S3941" s="77">
        <v>1</v>
      </c>
      <c r="T3941" s="77">
        <v>0</v>
      </c>
      <c r="U3941" s="77">
        <v>0</v>
      </c>
      <c r="V3941" s="77">
        <v>307</v>
      </c>
      <c r="W3941" s="82" t="s">
        <v>6411</v>
      </c>
      <c r="X3941" s="77"/>
      <c r="Y3941" s="77"/>
      <c r="Z3941" s="77"/>
      <c r="AA3941" s="77"/>
      <c r="AB3941" s="77"/>
      <c r="AC3941" s="82" t="s">
        <v>7787</v>
      </c>
      <c r="AD3941" s="77" t="s">
        <v>7788</v>
      </c>
      <c r="AE3941" s="80" t="str">
        <f>HYPERLINK("https://twitter.com/modalmais/status/1687106789635203073")</f>
        <v>https://twitter.com/modalmais/status/1687106789635203073</v>
      </c>
      <c r="AF3941" s="79">
        <v>45141.599282407406</v>
      </c>
      <c r="AG3941" s="85">
        <v>45141</v>
      </c>
      <c r="AH3941" s="82" t="s">
        <v>10348</v>
      </c>
      <c r="AI3941" s="77"/>
      <c r="AJ3941" s="77"/>
      <c r="AK3941" s="77"/>
      <c r="AL3941" s="77"/>
      <c r="AM3941" s="77"/>
      <c r="AN3941" s="77"/>
      <c r="AO3941" s="77"/>
      <c r="AP3941" s="77"/>
      <c r="AQ3941" s="77"/>
      <c r="AR3941" s="77"/>
      <c r="AS3941" s="77"/>
      <c r="AT3941" s="77"/>
      <c r="AU3941" s="77"/>
      <c r="AV3941" s="80" t="str">
        <f>HYPERLINK("https://pbs.twimg.com/profile_images/1067039778795937797/PnnLGTU4_normal.jpg")</f>
        <v>https://pbs.twimg.com/profile_images/1067039778795937797/PnnLGTU4_normal.jpg</v>
      </c>
      <c r="AW3941" s="82" t="s">
        <v>15512</v>
      </c>
      <c r="AX3941" s="82" t="s">
        <v>15512</v>
      </c>
      <c r="AY3941" s="77"/>
      <c r="AZ3941" s="82" t="s">
        <v>15984</v>
      </c>
      <c r="BA3941" s="82" t="s">
        <v>15984</v>
      </c>
      <c r="BB3941" s="82" t="s">
        <v>15984</v>
      </c>
      <c r="BC3941" s="82" t="s">
        <v>15512</v>
      </c>
      <c r="BD3941" s="77">
        <v>2578778256</v>
      </c>
      <c r="BE3941" s="77"/>
      <c r="BF3941" s="77"/>
      <c r="BG3941" s="77"/>
      <c r="BH3941" s="77"/>
      <c r="BI3941" s="77"/>
    </row>
    <row r="3942" spans="1:61" x14ac:dyDescent="0.25">
      <c r="A3942" s="62" t="s">
        <v>735</v>
      </c>
      <c r="B3942" s="62" t="s">
        <v>735</v>
      </c>
      <c r="C3942" s="63"/>
      <c r="D3942" s="64"/>
      <c r="E3942" s="65"/>
      <c r="F3942" s="66"/>
      <c r="G3942" s="63"/>
      <c r="H3942" s="67"/>
      <c r="I3942" s="68"/>
      <c r="J3942" s="68"/>
      <c r="K3942" s="32"/>
      <c r="L3942" s="75">
        <v>3942</v>
      </c>
      <c r="M3942" s="75"/>
      <c r="N3942" s="70"/>
      <c r="O3942" s="77" t="s">
        <v>179</v>
      </c>
      <c r="P3942" s="79">
        <v>45141.598668981482</v>
      </c>
      <c r="Q3942" s="77" t="s">
        <v>4584</v>
      </c>
      <c r="R3942" s="77">
        <v>0</v>
      </c>
      <c r="S3942" s="77">
        <v>4</v>
      </c>
      <c r="T3942" s="77">
        <v>0</v>
      </c>
      <c r="U3942" s="77">
        <v>0</v>
      </c>
      <c r="V3942" s="77">
        <v>381</v>
      </c>
      <c r="W3942" s="82" t="s">
        <v>6411</v>
      </c>
      <c r="X3942" s="77"/>
      <c r="Y3942" s="77"/>
      <c r="Z3942" s="77"/>
      <c r="AA3942" s="77"/>
      <c r="AB3942" s="77"/>
      <c r="AC3942" s="82" t="s">
        <v>7787</v>
      </c>
      <c r="AD3942" s="77" t="s">
        <v>7788</v>
      </c>
      <c r="AE3942" s="80" t="str">
        <f>HYPERLINK("https://twitter.com/modalmais/status/1687106570482794497")</f>
        <v>https://twitter.com/modalmais/status/1687106570482794497</v>
      </c>
      <c r="AF3942" s="79">
        <v>45141.598668981482</v>
      </c>
      <c r="AG3942" s="85">
        <v>45141</v>
      </c>
      <c r="AH3942" s="82" t="s">
        <v>10349</v>
      </c>
      <c r="AI3942" s="77"/>
      <c r="AJ3942" s="77"/>
      <c r="AK3942" s="77"/>
      <c r="AL3942" s="77"/>
      <c r="AM3942" s="77"/>
      <c r="AN3942" s="77"/>
      <c r="AO3942" s="77"/>
      <c r="AP3942" s="77"/>
      <c r="AQ3942" s="77"/>
      <c r="AR3942" s="77"/>
      <c r="AS3942" s="77"/>
      <c r="AT3942" s="77"/>
      <c r="AU3942" s="77"/>
      <c r="AV3942" s="80" t="str">
        <f>HYPERLINK("https://pbs.twimg.com/profile_images/1067039778795937797/PnnLGTU4_normal.jpg")</f>
        <v>https://pbs.twimg.com/profile_images/1067039778795937797/PnnLGTU4_normal.jpg</v>
      </c>
      <c r="AW3942" s="82" t="s">
        <v>15513</v>
      </c>
      <c r="AX3942" s="82" t="s">
        <v>15513</v>
      </c>
      <c r="AY3942" s="77"/>
      <c r="AZ3942" s="82" t="s">
        <v>15984</v>
      </c>
      <c r="BA3942" s="82" t="s">
        <v>15984</v>
      </c>
      <c r="BB3942" s="82" t="s">
        <v>15984</v>
      </c>
      <c r="BC3942" s="82" t="s">
        <v>15513</v>
      </c>
      <c r="BD3942" s="77">
        <v>2578778256</v>
      </c>
      <c r="BE3942" s="77"/>
      <c r="BF3942" s="77"/>
      <c r="BG3942" s="77"/>
      <c r="BH3942" s="77"/>
      <c r="BI3942" s="77"/>
    </row>
    <row r="3943" spans="1:61" x14ac:dyDescent="0.25">
      <c r="A3943" s="62" t="s">
        <v>735</v>
      </c>
      <c r="B3943" s="62" t="s">
        <v>735</v>
      </c>
      <c r="C3943" s="63"/>
      <c r="D3943" s="64"/>
      <c r="E3943" s="65"/>
      <c r="F3943" s="66"/>
      <c r="G3943" s="63"/>
      <c r="H3943" s="67"/>
      <c r="I3943" s="68"/>
      <c r="J3943" s="68"/>
      <c r="K3943" s="32"/>
      <c r="L3943" s="75">
        <v>3943</v>
      </c>
      <c r="M3943" s="75"/>
      <c r="N3943" s="70"/>
      <c r="O3943" s="77" t="s">
        <v>179</v>
      </c>
      <c r="P3943" s="79">
        <v>45141.597766203704</v>
      </c>
      <c r="Q3943" s="77" t="s">
        <v>4585</v>
      </c>
      <c r="R3943" s="77">
        <v>0</v>
      </c>
      <c r="S3943" s="77">
        <v>2</v>
      </c>
      <c r="T3943" s="77">
        <v>0</v>
      </c>
      <c r="U3943" s="77">
        <v>0</v>
      </c>
      <c r="V3943" s="77">
        <v>331</v>
      </c>
      <c r="W3943" s="82" t="s">
        <v>6411</v>
      </c>
      <c r="X3943" s="77"/>
      <c r="Y3943" s="77"/>
      <c r="Z3943" s="77"/>
      <c r="AA3943" s="77"/>
      <c r="AB3943" s="77"/>
      <c r="AC3943" s="82" t="s">
        <v>7787</v>
      </c>
      <c r="AD3943" s="77" t="s">
        <v>7788</v>
      </c>
      <c r="AE3943" s="80" t="str">
        <f>HYPERLINK("https://twitter.com/modalmais/status/1687106241359990784")</f>
        <v>https://twitter.com/modalmais/status/1687106241359990784</v>
      </c>
      <c r="AF3943" s="79">
        <v>45141.597766203704</v>
      </c>
      <c r="AG3943" s="85">
        <v>45141</v>
      </c>
      <c r="AH3943" s="82" t="s">
        <v>10350</v>
      </c>
      <c r="AI3943" s="77"/>
      <c r="AJ3943" s="77"/>
      <c r="AK3943" s="77"/>
      <c r="AL3943" s="77"/>
      <c r="AM3943" s="77"/>
      <c r="AN3943" s="77"/>
      <c r="AO3943" s="77"/>
      <c r="AP3943" s="77"/>
      <c r="AQ3943" s="77"/>
      <c r="AR3943" s="77"/>
      <c r="AS3943" s="77"/>
      <c r="AT3943" s="77"/>
      <c r="AU3943" s="77"/>
      <c r="AV3943" s="80" t="str">
        <f>HYPERLINK("https://pbs.twimg.com/profile_images/1067039778795937797/PnnLGTU4_normal.jpg")</f>
        <v>https://pbs.twimg.com/profile_images/1067039778795937797/PnnLGTU4_normal.jpg</v>
      </c>
      <c r="AW3943" s="82" t="s">
        <v>15514</v>
      </c>
      <c r="AX3943" s="82" t="s">
        <v>15514</v>
      </c>
      <c r="AY3943" s="77"/>
      <c r="AZ3943" s="82" t="s">
        <v>15984</v>
      </c>
      <c r="BA3943" s="82" t="s">
        <v>15984</v>
      </c>
      <c r="BB3943" s="82" t="s">
        <v>15984</v>
      </c>
      <c r="BC3943" s="82" t="s">
        <v>15514</v>
      </c>
      <c r="BD3943" s="77">
        <v>2578778256</v>
      </c>
      <c r="BE3943" s="77"/>
      <c r="BF3943" s="77"/>
      <c r="BG3943" s="77"/>
      <c r="BH3943" s="77"/>
      <c r="BI3943" s="77"/>
    </row>
    <row r="3944" spans="1:61" x14ac:dyDescent="0.25">
      <c r="A3944" s="62" t="s">
        <v>735</v>
      </c>
      <c r="B3944" s="62" t="s">
        <v>735</v>
      </c>
      <c r="C3944" s="63"/>
      <c r="D3944" s="64"/>
      <c r="E3944" s="65"/>
      <c r="F3944" s="66"/>
      <c r="G3944" s="63"/>
      <c r="H3944" s="67"/>
      <c r="I3944" s="68"/>
      <c r="J3944" s="68"/>
      <c r="K3944" s="32"/>
      <c r="L3944" s="75">
        <v>3944</v>
      </c>
      <c r="M3944" s="75"/>
      <c r="N3944" s="70"/>
      <c r="O3944" s="77" t="s">
        <v>179</v>
      </c>
      <c r="P3944" s="79">
        <v>45141.597395833334</v>
      </c>
      <c r="Q3944" s="77" t="s">
        <v>4586</v>
      </c>
      <c r="R3944" s="77">
        <v>0</v>
      </c>
      <c r="S3944" s="77">
        <v>3</v>
      </c>
      <c r="T3944" s="77">
        <v>0</v>
      </c>
      <c r="U3944" s="77">
        <v>0</v>
      </c>
      <c r="V3944" s="77">
        <v>302</v>
      </c>
      <c r="W3944" s="82" t="s">
        <v>6411</v>
      </c>
      <c r="X3944" s="77"/>
      <c r="Y3944" s="77"/>
      <c r="Z3944" s="77"/>
      <c r="AA3944" s="77"/>
      <c r="AB3944" s="77"/>
      <c r="AC3944" s="82" t="s">
        <v>7787</v>
      </c>
      <c r="AD3944" s="77" t="s">
        <v>7788</v>
      </c>
      <c r="AE3944" s="80" t="str">
        <f>HYPERLINK("https://twitter.com/modalmais/status/1687106105703645184")</f>
        <v>https://twitter.com/modalmais/status/1687106105703645184</v>
      </c>
      <c r="AF3944" s="79">
        <v>45141.597395833334</v>
      </c>
      <c r="AG3944" s="85">
        <v>45141</v>
      </c>
      <c r="AH3944" s="82" t="s">
        <v>10351</v>
      </c>
      <c r="AI3944" s="77"/>
      <c r="AJ3944" s="77"/>
      <c r="AK3944" s="77"/>
      <c r="AL3944" s="77"/>
      <c r="AM3944" s="77"/>
      <c r="AN3944" s="77"/>
      <c r="AO3944" s="77"/>
      <c r="AP3944" s="77"/>
      <c r="AQ3944" s="77"/>
      <c r="AR3944" s="77"/>
      <c r="AS3944" s="77"/>
      <c r="AT3944" s="77"/>
      <c r="AU3944" s="77"/>
      <c r="AV3944" s="80" t="str">
        <f>HYPERLINK("https://pbs.twimg.com/profile_images/1067039778795937797/PnnLGTU4_normal.jpg")</f>
        <v>https://pbs.twimg.com/profile_images/1067039778795937797/PnnLGTU4_normal.jpg</v>
      </c>
      <c r="AW3944" s="82" t="s">
        <v>15515</v>
      </c>
      <c r="AX3944" s="82" t="s">
        <v>15515</v>
      </c>
      <c r="AY3944" s="77"/>
      <c r="AZ3944" s="82" t="s">
        <v>15984</v>
      </c>
      <c r="BA3944" s="82" t="s">
        <v>15984</v>
      </c>
      <c r="BB3944" s="82" t="s">
        <v>15984</v>
      </c>
      <c r="BC3944" s="82" t="s">
        <v>15515</v>
      </c>
      <c r="BD3944" s="77">
        <v>2578778256</v>
      </c>
      <c r="BE3944" s="77"/>
      <c r="BF3944" s="77"/>
      <c r="BG3944" s="77"/>
      <c r="BH3944" s="77"/>
      <c r="BI3944" s="77"/>
    </row>
    <row r="3945" spans="1:61" x14ac:dyDescent="0.25">
      <c r="A3945" s="62" t="s">
        <v>735</v>
      </c>
      <c r="B3945" s="62" t="s">
        <v>735</v>
      </c>
      <c r="C3945" s="63"/>
      <c r="D3945" s="64"/>
      <c r="E3945" s="65"/>
      <c r="F3945" s="66"/>
      <c r="G3945" s="63"/>
      <c r="H3945" s="67"/>
      <c r="I3945" s="68"/>
      <c r="J3945" s="68"/>
      <c r="K3945" s="32"/>
      <c r="L3945" s="75">
        <v>3945</v>
      </c>
      <c r="M3945" s="75"/>
      <c r="N3945" s="70"/>
      <c r="O3945" s="77" t="s">
        <v>179</v>
      </c>
      <c r="P3945" s="79">
        <v>45168.599918981483</v>
      </c>
      <c r="Q3945" s="77" t="s">
        <v>4587</v>
      </c>
      <c r="R3945" s="77">
        <v>0</v>
      </c>
      <c r="S3945" s="77">
        <v>3</v>
      </c>
      <c r="T3945" s="77">
        <v>0</v>
      </c>
      <c r="U3945" s="77">
        <v>0</v>
      </c>
      <c r="V3945" s="77">
        <v>423</v>
      </c>
      <c r="W3945" s="82" t="s">
        <v>6424</v>
      </c>
      <c r="X3945" s="77"/>
      <c r="Y3945" s="77"/>
      <c r="Z3945" s="77"/>
      <c r="AA3945" s="77"/>
      <c r="AB3945" s="77"/>
      <c r="AC3945" s="82" t="s">
        <v>7787</v>
      </c>
      <c r="AD3945" s="77" t="s">
        <v>7788</v>
      </c>
      <c r="AE3945" s="80" t="str">
        <f>HYPERLINK("https://twitter.com/modalmais/status/1696891492185313499")</f>
        <v>https://twitter.com/modalmais/status/1696891492185313499</v>
      </c>
      <c r="AF3945" s="79">
        <v>45168.599918981483</v>
      </c>
      <c r="AG3945" s="85">
        <v>45168</v>
      </c>
      <c r="AH3945" s="82" t="s">
        <v>10352</v>
      </c>
      <c r="AI3945" s="77"/>
      <c r="AJ3945" s="77"/>
      <c r="AK3945" s="77"/>
      <c r="AL3945" s="77"/>
      <c r="AM3945" s="77"/>
      <c r="AN3945" s="77"/>
      <c r="AO3945" s="77"/>
      <c r="AP3945" s="77"/>
      <c r="AQ3945" s="77"/>
      <c r="AR3945" s="77"/>
      <c r="AS3945" s="77"/>
      <c r="AT3945" s="77"/>
      <c r="AU3945" s="77"/>
      <c r="AV3945" s="80" t="str">
        <f>HYPERLINK("https://pbs.twimg.com/profile_images/1067039778795937797/PnnLGTU4_normal.jpg")</f>
        <v>https://pbs.twimg.com/profile_images/1067039778795937797/PnnLGTU4_normal.jpg</v>
      </c>
      <c r="AW3945" s="82" t="s">
        <v>15516</v>
      </c>
      <c r="AX3945" s="82" t="s">
        <v>15516</v>
      </c>
      <c r="AY3945" s="77"/>
      <c r="AZ3945" s="82" t="s">
        <v>15984</v>
      </c>
      <c r="BA3945" s="82" t="s">
        <v>15984</v>
      </c>
      <c r="BB3945" s="82" t="s">
        <v>15984</v>
      </c>
      <c r="BC3945" s="82" t="s">
        <v>15516</v>
      </c>
      <c r="BD3945" s="77">
        <v>2578778256</v>
      </c>
      <c r="BE3945" s="77"/>
      <c r="BF3945" s="77"/>
      <c r="BG3945" s="77"/>
      <c r="BH3945" s="77"/>
      <c r="BI3945" s="77"/>
    </row>
    <row r="3946" spans="1:61" x14ac:dyDescent="0.25">
      <c r="A3946" s="62" t="s">
        <v>735</v>
      </c>
      <c r="B3946" s="62" t="s">
        <v>735</v>
      </c>
      <c r="C3946" s="63"/>
      <c r="D3946" s="64"/>
      <c r="E3946" s="65"/>
      <c r="F3946" s="66"/>
      <c r="G3946" s="63"/>
      <c r="H3946" s="67"/>
      <c r="I3946" s="68"/>
      <c r="J3946" s="68"/>
      <c r="K3946" s="32"/>
      <c r="L3946" s="75">
        <v>3946</v>
      </c>
      <c r="M3946" s="75"/>
      <c r="N3946" s="70"/>
      <c r="O3946" s="77" t="s">
        <v>179</v>
      </c>
      <c r="P3946" s="79">
        <v>45160.510775462964</v>
      </c>
      <c r="Q3946" s="77" t="s">
        <v>4588</v>
      </c>
      <c r="R3946" s="77">
        <v>0</v>
      </c>
      <c r="S3946" s="77">
        <v>3</v>
      </c>
      <c r="T3946" s="77">
        <v>0</v>
      </c>
      <c r="U3946" s="77">
        <v>0</v>
      </c>
      <c r="V3946" s="77">
        <v>299</v>
      </c>
      <c r="W3946" s="82" t="s">
        <v>6414</v>
      </c>
      <c r="X3946" s="77"/>
      <c r="Y3946" s="77"/>
      <c r="Z3946" s="77"/>
      <c r="AA3946" s="77"/>
      <c r="AB3946" s="77"/>
      <c r="AC3946" s="82" t="s">
        <v>7787</v>
      </c>
      <c r="AD3946" s="77" t="s">
        <v>7793</v>
      </c>
      <c r="AE3946" s="80" t="str">
        <f>HYPERLINK("https://twitter.com/modalmais/status/1693960085431521327")</f>
        <v>https://twitter.com/modalmais/status/1693960085431521327</v>
      </c>
      <c r="AF3946" s="79">
        <v>45160.510775462964</v>
      </c>
      <c r="AG3946" s="85">
        <v>45160</v>
      </c>
      <c r="AH3946" s="82" t="s">
        <v>10353</v>
      </c>
      <c r="AI3946" s="77"/>
      <c r="AJ3946" s="77"/>
      <c r="AK3946" s="77"/>
      <c r="AL3946" s="77"/>
      <c r="AM3946" s="77"/>
      <c r="AN3946" s="77"/>
      <c r="AO3946" s="77"/>
      <c r="AP3946" s="77"/>
      <c r="AQ3946" s="77"/>
      <c r="AR3946" s="77"/>
      <c r="AS3946" s="77"/>
      <c r="AT3946" s="77"/>
      <c r="AU3946" s="77"/>
      <c r="AV3946" s="80" t="str">
        <f>HYPERLINK("https://pbs.twimg.com/profile_images/1067039778795937797/PnnLGTU4_normal.jpg")</f>
        <v>https://pbs.twimg.com/profile_images/1067039778795937797/PnnLGTU4_normal.jpg</v>
      </c>
      <c r="AW3946" s="82" t="s">
        <v>15517</v>
      </c>
      <c r="AX3946" s="82" t="s">
        <v>15517</v>
      </c>
      <c r="AY3946" s="77"/>
      <c r="AZ3946" s="82" t="s">
        <v>15984</v>
      </c>
      <c r="BA3946" s="82" t="s">
        <v>15984</v>
      </c>
      <c r="BB3946" s="82" t="s">
        <v>15984</v>
      </c>
      <c r="BC3946" s="82" t="s">
        <v>15517</v>
      </c>
      <c r="BD3946" s="77">
        <v>2578778256</v>
      </c>
      <c r="BE3946" s="77"/>
      <c r="BF3946" s="77"/>
      <c r="BG3946" s="77"/>
      <c r="BH3946" s="77"/>
      <c r="BI3946" s="77"/>
    </row>
    <row r="3947" spans="1:61" x14ac:dyDescent="0.25">
      <c r="A3947" s="62" t="s">
        <v>735</v>
      </c>
      <c r="B3947" s="62" t="s">
        <v>735</v>
      </c>
      <c r="C3947" s="63"/>
      <c r="D3947" s="64"/>
      <c r="E3947" s="65"/>
      <c r="F3947" s="66"/>
      <c r="G3947" s="63"/>
      <c r="H3947" s="67"/>
      <c r="I3947" s="68"/>
      <c r="J3947" s="68"/>
      <c r="K3947" s="32"/>
      <c r="L3947" s="75">
        <v>3947</v>
      </c>
      <c r="M3947" s="75"/>
      <c r="N3947" s="70"/>
      <c r="O3947" s="77" t="s">
        <v>179</v>
      </c>
      <c r="P3947" s="79">
        <v>45160.510462962964</v>
      </c>
      <c r="Q3947" s="77" t="s">
        <v>4589</v>
      </c>
      <c r="R3947" s="77">
        <v>0</v>
      </c>
      <c r="S3947" s="77">
        <v>3</v>
      </c>
      <c r="T3947" s="77">
        <v>0</v>
      </c>
      <c r="U3947" s="77">
        <v>0</v>
      </c>
      <c r="V3947" s="77">
        <v>292</v>
      </c>
      <c r="W3947" s="82" t="s">
        <v>6414</v>
      </c>
      <c r="X3947" s="77"/>
      <c r="Y3947" s="77"/>
      <c r="Z3947" s="77"/>
      <c r="AA3947" s="77"/>
      <c r="AB3947" s="77"/>
      <c r="AC3947" s="82" t="s">
        <v>7787</v>
      </c>
      <c r="AD3947" s="77" t="s">
        <v>7797</v>
      </c>
      <c r="AE3947" s="80" t="str">
        <f>HYPERLINK("https://twitter.com/modalmais/status/1693959973649227889")</f>
        <v>https://twitter.com/modalmais/status/1693959973649227889</v>
      </c>
      <c r="AF3947" s="79">
        <v>45160.510462962964</v>
      </c>
      <c r="AG3947" s="85">
        <v>45160</v>
      </c>
      <c r="AH3947" s="82" t="s">
        <v>10354</v>
      </c>
      <c r="AI3947" s="77"/>
      <c r="AJ3947" s="77"/>
      <c r="AK3947" s="77"/>
      <c r="AL3947" s="77"/>
      <c r="AM3947" s="77"/>
      <c r="AN3947" s="77"/>
      <c r="AO3947" s="77"/>
      <c r="AP3947" s="77"/>
      <c r="AQ3947" s="77"/>
      <c r="AR3947" s="77"/>
      <c r="AS3947" s="77"/>
      <c r="AT3947" s="77"/>
      <c r="AU3947" s="77"/>
      <c r="AV3947" s="80" t="str">
        <f>HYPERLINK("https://pbs.twimg.com/profile_images/1067039778795937797/PnnLGTU4_normal.jpg")</f>
        <v>https://pbs.twimg.com/profile_images/1067039778795937797/PnnLGTU4_normal.jpg</v>
      </c>
      <c r="AW3947" s="82" t="s">
        <v>15518</v>
      </c>
      <c r="AX3947" s="82" t="s">
        <v>15518</v>
      </c>
      <c r="AY3947" s="77"/>
      <c r="AZ3947" s="82" t="s">
        <v>15984</v>
      </c>
      <c r="BA3947" s="82" t="s">
        <v>15984</v>
      </c>
      <c r="BB3947" s="82" t="s">
        <v>15984</v>
      </c>
      <c r="BC3947" s="82" t="s">
        <v>15518</v>
      </c>
      <c r="BD3947" s="77">
        <v>2578778256</v>
      </c>
      <c r="BE3947" s="77"/>
      <c r="BF3947" s="77"/>
      <c r="BG3947" s="77"/>
      <c r="BH3947" s="77"/>
      <c r="BI3947" s="77"/>
    </row>
    <row r="3948" spans="1:61" x14ac:dyDescent="0.25">
      <c r="A3948" s="62" t="s">
        <v>735</v>
      </c>
      <c r="B3948" s="62" t="s">
        <v>735</v>
      </c>
      <c r="C3948" s="63"/>
      <c r="D3948" s="64"/>
      <c r="E3948" s="65"/>
      <c r="F3948" s="66"/>
      <c r="G3948" s="63"/>
      <c r="H3948" s="67"/>
      <c r="I3948" s="68"/>
      <c r="J3948" s="68"/>
      <c r="K3948" s="32"/>
      <c r="L3948" s="75">
        <v>3948</v>
      </c>
      <c r="M3948" s="75"/>
      <c r="N3948" s="70"/>
      <c r="O3948" s="77" t="s">
        <v>179</v>
      </c>
      <c r="P3948" s="79">
        <v>45155.890601851854</v>
      </c>
      <c r="Q3948" s="77" t="s">
        <v>4590</v>
      </c>
      <c r="R3948" s="77">
        <v>0</v>
      </c>
      <c r="S3948" s="77">
        <v>1</v>
      </c>
      <c r="T3948" s="77">
        <v>0</v>
      </c>
      <c r="U3948" s="77">
        <v>0</v>
      </c>
      <c r="V3948" s="77">
        <v>466</v>
      </c>
      <c r="W3948" s="82" t="s">
        <v>6415</v>
      </c>
      <c r="X3948" s="77"/>
      <c r="Y3948" s="77"/>
      <c r="Z3948" s="77"/>
      <c r="AA3948" s="77"/>
      <c r="AB3948" s="77"/>
      <c r="AC3948" s="82" t="s">
        <v>7787</v>
      </c>
      <c r="AD3948" s="77" t="s">
        <v>7788</v>
      </c>
      <c r="AE3948" s="80" t="str">
        <f>HYPERLINK("https://twitter.com/modalmais/status/1692285792180138140")</f>
        <v>https://twitter.com/modalmais/status/1692285792180138140</v>
      </c>
      <c r="AF3948" s="79">
        <v>45155.890601851854</v>
      </c>
      <c r="AG3948" s="85">
        <v>45155</v>
      </c>
      <c r="AH3948" s="82" t="s">
        <v>10355</v>
      </c>
      <c r="AI3948" s="77"/>
      <c r="AJ3948" s="77"/>
      <c r="AK3948" s="77"/>
      <c r="AL3948" s="77"/>
      <c r="AM3948" s="77"/>
      <c r="AN3948" s="77"/>
      <c r="AO3948" s="77"/>
      <c r="AP3948" s="77"/>
      <c r="AQ3948" s="77"/>
      <c r="AR3948" s="77"/>
      <c r="AS3948" s="77"/>
      <c r="AT3948" s="77"/>
      <c r="AU3948" s="77"/>
      <c r="AV3948" s="80" t="str">
        <f>HYPERLINK("https://pbs.twimg.com/profile_images/1067039778795937797/PnnLGTU4_normal.jpg")</f>
        <v>https://pbs.twimg.com/profile_images/1067039778795937797/PnnLGTU4_normal.jpg</v>
      </c>
      <c r="AW3948" s="82" t="s">
        <v>15519</v>
      </c>
      <c r="AX3948" s="82" t="s">
        <v>15519</v>
      </c>
      <c r="AY3948" s="77"/>
      <c r="AZ3948" s="82" t="s">
        <v>15984</v>
      </c>
      <c r="BA3948" s="82" t="s">
        <v>15984</v>
      </c>
      <c r="BB3948" s="82" t="s">
        <v>15984</v>
      </c>
      <c r="BC3948" s="82" t="s">
        <v>15519</v>
      </c>
      <c r="BD3948" s="77">
        <v>2578778256</v>
      </c>
      <c r="BE3948" s="77"/>
      <c r="BF3948" s="77"/>
      <c r="BG3948" s="77"/>
      <c r="BH3948" s="77"/>
      <c r="BI3948" s="77"/>
    </row>
    <row r="3949" spans="1:61" x14ac:dyDescent="0.25">
      <c r="A3949" s="62" t="s">
        <v>735</v>
      </c>
      <c r="B3949" s="62" t="s">
        <v>735</v>
      </c>
      <c r="C3949" s="63"/>
      <c r="D3949" s="64"/>
      <c r="E3949" s="65"/>
      <c r="F3949" s="66"/>
      <c r="G3949" s="63"/>
      <c r="H3949" s="67"/>
      <c r="I3949" s="68"/>
      <c r="J3949" s="68"/>
      <c r="K3949" s="32"/>
      <c r="L3949" s="75">
        <v>3949</v>
      </c>
      <c r="M3949" s="75"/>
      <c r="N3949" s="70"/>
      <c r="O3949" s="77" t="s">
        <v>179</v>
      </c>
      <c r="P3949" s="79">
        <v>45155.889826388891</v>
      </c>
      <c r="Q3949" s="77" t="s">
        <v>4591</v>
      </c>
      <c r="R3949" s="77">
        <v>0</v>
      </c>
      <c r="S3949" s="77">
        <v>3</v>
      </c>
      <c r="T3949" s="77">
        <v>0</v>
      </c>
      <c r="U3949" s="77">
        <v>0</v>
      </c>
      <c r="V3949" s="77">
        <v>465</v>
      </c>
      <c r="W3949" s="82" t="s">
        <v>6430</v>
      </c>
      <c r="X3949" s="77"/>
      <c r="Y3949" s="77"/>
      <c r="Z3949" s="77"/>
      <c r="AA3949" s="77"/>
      <c r="AB3949" s="77"/>
      <c r="AC3949" s="82" t="s">
        <v>7787</v>
      </c>
      <c r="AD3949" s="77" t="s">
        <v>7788</v>
      </c>
      <c r="AE3949" s="80" t="str">
        <f>HYPERLINK("https://twitter.com/modalmais/status/1692285512352989692")</f>
        <v>https://twitter.com/modalmais/status/1692285512352989692</v>
      </c>
      <c r="AF3949" s="79">
        <v>45155.889826388891</v>
      </c>
      <c r="AG3949" s="85">
        <v>45155</v>
      </c>
      <c r="AH3949" s="82" t="s">
        <v>10356</v>
      </c>
      <c r="AI3949" s="77"/>
      <c r="AJ3949" s="77"/>
      <c r="AK3949" s="77"/>
      <c r="AL3949" s="77"/>
      <c r="AM3949" s="77"/>
      <c r="AN3949" s="77"/>
      <c r="AO3949" s="77"/>
      <c r="AP3949" s="77"/>
      <c r="AQ3949" s="77"/>
      <c r="AR3949" s="77"/>
      <c r="AS3949" s="77"/>
      <c r="AT3949" s="77"/>
      <c r="AU3949" s="77"/>
      <c r="AV3949" s="80" t="str">
        <f>HYPERLINK("https://pbs.twimg.com/profile_images/1067039778795937797/PnnLGTU4_normal.jpg")</f>
        <v>https://pbs.twimg.com/profile_images/1067039778795937797/PnnLGTU4_normal.jpg</v>
      </c>
      <c r="AW3949" s="82" t="s">
        <v>15520</v>
      </c>
      <c r="AX3949" s="82" t="s">
        <v>15520</v>
      </c>
      <c r="AY3949" s="77"/>
      <c r="AZ3949" s="82" t="s">
        <v>15984</v>
      </c>
      <c r="BA3949" s="82" t="s">
        <v>15984</v>
      </c>
      <c r="BB3949" s="82" t="s">
        <v>15984</v>
      </c>
      <c r="BC3949" s="82" t="s">
        <v>15520</v>
      </c>
      <c r="BD3949" s="77">
        <v>2578778256</v>
      </c>
      <c r="BE3949" s="77"/>
      <c r="BF3949" s="77"/>
      <c r="BG3949" s="77"/>
      <c r="BH3949" s="77"/>
      <c r="BI3949" s="77"/>
    </row>
    <row r="3950" spans="1:61" x14ac:dyDescent="0.25">
      <c r="A3950" s="62" t="s">
        <v>735</v>
      </c>
      <c r="B3950" s="62" t="s">
        <v>735</v>
      </c>
      <c r="C3950" s="63"/>
      <c r="D3950" s="64"/>
      <c r="E3950" s="65"/>
      <c r="F3950" s="66"/>
      <c r="G3950" s="63"/>
      <c r="H3950" s="67"/>
      <c r="I3950" s="68"/>
      <c r="J3950" s="68"/>
      <c r="K3950" s="32"/>
      <c r="L3950" s="75">
        <v>3950</v>
      </c>
      <c r="M3950" s="75"/>
      <c r="N3950" s="70"/>
      <c r="O3950" s="77" t="s">
        <v>179</v>
      </c>
      <c r="P3950" s="79">
        <v>45155.868263888886</v>
      </c>
      <c r="Q3950" s="77" t="s">
        <v>4592</v>
      </c>
      <c r="R3950" s="77">
        <v>0</v>
      </c>
      <c r="S3950" s="77">
        <v>0</v>
      </c>
      <c r="T3950" s="77">
        <v>0</v>
      </c>
      <c r="U3950" s="77">
        <v>0</v>
      </c>
      <c r="V3950" s="77">
        <v>338</v>
      </c>
      <c r="W3950" s="82" t="s">
        <v>6430</v>
      </c>
      <c r="X3950" s="80" t="str">
        <f>HYPERLINK("https://www.youtube.com/watch?v=uiPLmsRgkAA")</f>
        <v>https://www.youtube.com/watch?v=uiPLmsRgkAA</v>
      </c>
      <c r="Y3950" s="77" t="s">
        <v>6480</v>
      </c>
      <c r="Z3950" s="77"/>
      <c r="AA3950" s="77"/>
      <c r="AB3950" s="77"/>
      <c r="AC3950" s="82" t="s">
        <v>7787</v>
      </c>
      <c r="AD3950" s="77" t="s">
        <v>7788</v>
      </c>
      <c r="AE3950" s="80" t="str">
        <f>HYPERLINK("https://twitter.com/modalmais/status/1692277695835431119")</f>
        <v>https://twitter.com/modalmais/status/1692277695835431119</v>
      </c>
      <c r="AF3950" s="79">
        <v>45155.868263888886</v>
      </c>
      <c r="AG3950" s="85">
        <v>45155</v>
      </c>
      <c r="AH3950" s="82" t="s">
        <v>10357</v>
      </c>
      <c r="AI3950" s="77" t="b">
        <v>0</v>
      </c>
      <c r="AJ3950" s="77"/>
      <c r="AK3950" s="77"/>
      <c r="AL3950" s="77"/>
      <c r="AM3950" s="77"/>
      <c r="AN3950" s="77"/>
      <c r="AO3950" s="77"/>
      <c r="AP3950" s="77"/>
      <c r="AQ3950" s="77"/>
      <c r="AR3950" s="77"/>
      <c r="AS3950" s="77"/>
      <c r="AT3950" s="77"/>
      <c r="AU3950" s="77"/>
      <c r="AV3950" s="80" t="str">
        <f>HYPERLINK("https://pbs.twimg.com/profile_images/1067039778795937797/PnnLGTU4_normal.jpg")</f>
        <v>https://pbs.twimg.com/profile_images/1067039778795937797/PnnLGTU4_normal.jpg</v>
      </c>
      <c r="AW3950" s="82" t="s">
        <v>15521</v>
      </c>
      <c r="AX3950" s="82" t="s">
        <v>15521</v>
      </c>
      <c r="AY3950" s="77"/>
      <c r="AZ3950" s="82" t="s">
        <v>15984</v>
      </c>
      <c r="BA3950" s="82" t="s">
        <v>15984</v>
      </c>
      <c r="BB3950" s="82" t="s">
        <v>15984</v>
      </c>
      <c r="BC3950" s="82" t="s">
        <v>15521</v>
      </c>
      <c r="BD3950" s="77">
        <v>2578778256</v>
      </c>
      <c r="BE3950" s="77"/>
      <c r="BF3950" s="77"/>
      <c r="BG3950" s="77"/>
      <c r="BH3950" s="77"/>
      <c r="BI3950" s="77"/>
    </row>
    <row r="3951" spans="1:61" x14ac:dyDescent="0.25">
      <c r="A3951" s="62" t="s">
        <v>735</v>
      </c>
      <c r="B3951" s="62" t="s">
        <v>735</v>
      </c>
      <c r="C3951" s="63"/>
      <c r="D3951" s="64"/>
      <c r="E3951" s="65"/>
      <c r="F3951" s="66"/>
      <c r="G3951" s="63"/>
      <c r="H3951" s="67"/>
      <c r="I3951" s="68"/>
      <c r="J3951" s="68"/>
      <c r="K3951" s="32"/>
      <c r="L3951" s="75">
        <v>3951</v>
      </c>
      <c r="M3951" s="75"/>
      <c r="N3951" s="70"/>
      <c r="O3951" s="77" t="s">
        <v>179</v>
      </c>
      <c r="P3951" s="79">
        <v>45147.635740740741</v>
      </c>
      <c r="Q3951" s="77" t="s">
        <v>4593</v>
      </c>
      <c r="R3951" s="77">
        <v>0</v>
      </c>
      <c r="S3951" s="77">
        <v>0</v>
      </c>
      <c r="T3951" s="77">
        <v>0</v>
      </c>
      <c r="U3951" s="77">
        <v>0</v>
      </c>
      <c r="V3951" s="77">
        <v>309</v>
      </c>
      <c r="W3951" s="82" t="s">
        <v>6411</v>
      </c>
      <c r="X3951" s="77"/>
      <c r="Y3951" s="77"/>
      <c r="Z3951" s="77"/>
      <c r="AA3951" s="77"/>
      <c r="AB3951" s="77"/>
      <c r="AC3951" s="82" t="s">
        <v>7787</v>
      </c>
      <c r="AD3951" s="77" t="s">
        <v>7793</v>
      </c>
      <c r="AE3951" s="80" t="str">
        <f>HYPERLINK("https://twitter.com/modalmais/status/1689294331964747776")</f>
        <v>https://twitter.com/modalmais/status/1689294331964747776</v>
      </c>
      <c r="AF3951" s="79">
        <v>45147.635740740741</v>
      </c>
      <c r="AG3951" s="85">
        <v>45147</v>
      </c>
      <c r="AH3951" s="82" t="s">
        <v>10358</v>
      </c>
      <c r="AI3951" s="77"/>
      <c r="AJ3951" s="77"/>
      <c r="AK3951" s="77"/>
      <c r="AL3951" s="77"/>
      <c r="AM3951" s="77"/>
      <c r="AN3951" s="77"/>
      <c r="AO3951" s="77"/>
      <c r="AP3951" s="77"/>
      <c r="AQ3951" s="77"/>
      <c r="AR3951" s="77"/>
      <c r="AS3951" s="77"/>
      <c r="AT3951" s="77"/>
      <c r="AU3951" s="77"/>
      <c r="AV3951" s="80" t="str">
        <f>HYPERLINK("https://pbs.twimg.com/profile_images/1067039778795937797/PnnLGTU4_normal.jpg")</f>
        <v>https://pbs.twimg.com/profile_images/1067039778795937797/PnnLGTU4_normal.jpg</v>
      </c>
      <c r="AW3951" s="82" t="s">
        <v>15522</v>
      </c>
      <c r="AX3951" s="82" t="s">
        <v>15522</v>
      </c>
      <c r="AY3951" s="77"/>
      <c r="AZ3951" s="82" t="s">
        <v>15984</v>
      </c>
      <c r="BA3951" s="82" t="s">
        <v>15984</v>
      </c>
      <c r="BB3951" s="82" t="s">
        <v>15984</v>
      </c>
      <c r="BC3951" s="82" t="s">
        <v>15522</v>
      </c>
      <c r="BD3951" s="77">
        <v>2578778256</v>
      </c>
      <c r="BE3951" s="77"/>
      <c r="BF3951" s="77"/>
      <c r="BG3951" s="77"/>
      <c r="BH3951" s="77"/>
      <c r="BI3951" s="77"/>
    </row>
    <row r="3952" spans="1:61" x14ac:dyDescent="0.25">
      <c r="A3952" s="62" t="s">
        <v>735</v>
      </c>
      <c r="B3952" s="62" t="s">
        <v>735</v>
      </c>
      <c r="C3952" s="63"/>
      <c r="D3952" s="64"/>
      <c r="E3952" s="65"/>
      <c r="F3952" s="66"/>
      <c r="G3952" s="63"/>
      <c r="H3952" s="67"/>
      <c r="I3952" s="68"/>
      <c r="J3952" s="68"/>
      <c r="K3952" s="32"/>
      <c r="L3952" s="75">
        <v>3952</v>
      </c>
      <c r="M3952" s="75"/>
      <c r="N3952" s="70"/>
      <c r="O3952" s="77" t="s">
        <v>179</v>
      </c>
      <c r="P3952" s="79">
        <v>45147.635439814818</v>
      </c>
      <c r="Q3952" s="77" t="s">
        <v>4594</v>
      </c>
      <c r="R3952" s="77">
        <v>0</v>
      </c>
      <c r="S3952" s="77">
        <v>0</v>
      </c>
      <c r="T3952" s="77">
        <v>0</v>
      </c>
      <c r="U3952" s="77">
        <v>0</v>
      </c>
      <c r="V3952" s="77">
        <v>247</v>
      </c>
      <c r="W3952" s="82" t="s">
        <v>6411</v>
      </c>
      <c r="X3952" s="77"/>
      <c r="Y3952" s="77"/>
      <c r="Z3952" s="77"/>
      <c r="AA3952" s="77"/>
      <c r="AB3952" s="77"/>
      <c r="AC3952" s="82" t="s">
        <v>7787</v>
      </c>
      <c r="AD3952" s="77" t="s">
        <v>7797</v>
      </c>
      <c r="AE3952" s="80" t="str">
        <f>HYPERLINK("https://twitter.com/modalmais/status/1689294222556299264")</f>
        <v>https://twitter.com/modalmais/status/1689294222556299264</v>
      </c>
      <c r="AF3952" s="79">
        <v>45147.635439814818</v>
      </c>
      <c r="AG3952" s="85">
        <v>45147</v>
      </c>
      <c r="AH3952" s="82" t="s">
        <v>10359</v>
      </c>
      <c r="AI3952" s="77"/>
      <c r="AJ3952" s="77"/>
      <c r="AK3952" s="77"/>
      <c r="AL3952" s="77"/>
      <c r="AM3952" s="77"/>
      <c r="AN3952" s="77"/>
      <c r="AO3952" s="77"/>
      <c r="AP3952" s="77"/>
      <c r="AQ3952" s="77"/>
      <c r="AR3952" s="77"/>
      <c r="AS3952" s="77"/>
      <c r="AT3952" s="77"/>
      <c r="AU3952" s="77"/>
      <c r="AV3952" s="80" t="str">
        <f>HYPERLINK("https://pbs.twimg.com/profile_images/1067039778795937797/PnnLGTU4_normal.jpg")</f>
        <v>https://pbs.twimg.com/profile_images/1067039778795937797/PnnLGTU4_normal.jpg</v>
      </c>
      <c r="AW3952" s="82" t="s">
        <v>15523</v>
      </c>
      <c r="AX3952" s="82" t="s">
        <v>15523</v>
      </c>
      <c r="AY3952" s="77"/>
      <c r="AZ3952" s="82" t="s">
        <v>15984</v>
      </c>
      <c r="BA3952" s="82" t="s">
        <v>15984</v>
      </c>
      <c r="BB3952" s="82" t="s">
        <v>15984</v>
      </c>
      <c r="BC3952" s="82" t="s">
        <v>15523</v>
      </c>
      <c r="BD3952" s="77">
        <v>2578778256</v>
      </c>
      <c r="BE3952" s="77"/>
      <c r="BF3952" s="77"/>
      <c r="BG3952" s="77"/>
      <c r="BH3952" s="77"/>
      <c r="BI3952" s="77"/>
    </row>
    <row r="3953" spans="1:61" x14ac:dyDescent="0.25">
      <c r="A3953" s="62" t="s">
        <v>735</v>
      </c>
      <c r="B3953" s="62" t="s">
        <v>735</v>
      </c>
      <c r="C3953" s="63"/>
      <c r="D3953" s="64"/>
      <c r="E3953" s="65"/>
      <c r="F3953" s="66"/>
      <c r="G3953" s="63"/>
      <c r="H3953" s="67"/>
      <c r="I3953" s="68"/>
      <c r="J3953" s="68"/>
      <c r="K3953" s="32"/>
      <c r="L3953" s="75">
        <v>3953</v>
      </c>
      <c r="M3953" s="75"/>
      <c r="N3953" s="70"/>
      <c r="O3953" s="77" t="s">
        <v>179</v>
      </c>
      <c r="P3953" s="79">
        <v>45147.634363425925</v>
      </c>
      <c r="Q3953" s="77" t="s">
        <v>4595</v>
      </c>
      <c r="R3953" s="77">
        <v>0</v>
      </c>
      <c r="S3953" s="77">
        <v>1</v>
      </c>
      <c r="T3953" s="77">
        <v>0</v>
      </c>
      <c r="U3953" s="77">
        <v>0</v>
      </c>
      <c r="V3953" s="77">
        <v>261</v>
      </c>
      <c r="W3953" s="82" t="s">
        <v>6411</v>
      </c>
      <c r="X3953" s="77"/>
      <c r="Y3953" s="77"/>
      <c r="Z3953" s="77"/>
      <c r="AA3953" s="77"/>
      <c r="AB3953" s="77"/>
      <c r="AC3953" s="82" t="s">
        <v>7787</v>
      </c>
      <c r="AD3953" s="77" t="s">
        <v>7788</v>
      </c>
      <c r="AE3953" s="80" t="str">
        <f>HYPERLINK("https://twitter.com/modalmais/status/1689293830745440257")</f>
        <v>https://twitter.com/modalmais/status/1689293830745440257</v>
      </c>
      <c r="AF3953" s="79">
        <v>45147.634363425925</v>
      </c>
      <c r="AG3953" s="85">
        <v>45147</v>
      </c>
      <c r="AH3953" s="82" t="s">
        <v>10360</v>
      </c>
      <c r="AI3953" s="77"/>
      <c r="AJ3953" s="77"/>
      <c r="AK3953" s="77"/>
      <c r="AL3953" s="77"/>
      <c r="AM3953" s="77"/>
      <c r="AN3953" s="77"/>
      <c r="AO3953" s="77"/>
      <c r="AP3953" s="77"/>
      <c r="AQ3953" s="77"/>
      <c r="AR3953" s="77"/>
      <c r="AS3953" s="77"/>
      <c r="AT3953" s="77"/>
      <c r="AU3953" s="77"/>
      <c r="AV3953" s="80" t="str">
        <f>HYPERLINK("https://pbs.twimg.com/profile_images/1067039778795937797/PnnLGTU4_normal.jpg")</f>
        <v>https://pbs.twimg.com/profile_images/1067039778795937797/PnnLGTU4_normal.jpg</v>
      </c>
      <c r="AW3953" s="82" t="s">
        <v>15524</v>
      </c>
      <c r="AX3953" s="82" t="s">
        <v>15524</v>
      </c>
      <c r="AY3953" s="77"/>
      <c r="AZ3953" s="82" t="s">
        <v>15984</v>
      </c>
      <c r="BA3953" s="82" t="s">
        <v>15984</v>
      </c>
      <c r="BB3953" s="82" t="s">
        <v>15984</v>
      </c>
      <c r="BC3953" s="82" t="s">
        <v>15524</v>
      </c>
      <c r="BD3953" s="77">
        <v>2578778256</v>
      </c>
      <c r="BE3953" s="77"/>
      <c r="BF3953" s="77"/>
      <c r="BG3953" s="77"/>
      <c r="BH3953" s="77"/>
      <c r="BI3953" s="77"/>
    </row>
    <row r="3954" spans="1:61" x14ac:dyDescent="0.25">
      <c r="A3954" s="62" t="s">
        <v>735</v>
      </c>
      <c r="B3954" s="62" t="s">
        <v>735</v>
      </c>
      <c r="C3954" s="63"/>
      <c r="D3954" s="64"/>
      <c r="E3954" s="65"/>
      <c r="F3954" s="66"/>
      <c r="G3954" s="63"/>
      <c r="H3954" s="67"/>
      <c r="I3954" s="68"/>
      <c r="J3954" s="68"/>
      <c r="K3954" s="32"/>
      <c r="L3954" s="75">
        <v>3954</v>
      </c>
      <c r="M3954" s="75"/>
      <c r="N3954" s="70"/>
      <c r="O3954" s="77" t="s">
        <v>179</v>
      </c>
      <c r="P3954" s="79">
        <v>45147.634027777778</v>
      </c>
      <c r="Q3954" s="77" t="s">
        <v>4596</v>
      </c>
      <c r="R3954" s="77">
        <v>0</v>
      </c>
      <c r="S3954" s="77">
        <v>2</v>
      </c>
      <c r="T3954" s="77">
        <v>0</v>
      </c>
      <c r="U3954" s="77">
        <v>0</v>
      </c>
      <c r="V3954" s="77">
        <v>264</v>
      </c>
      <c r="W3954" s="82" t="s">
        <v>6411</v>
      </c>
      <c r="X3954" s="77"/>
      <c r="Y3954" s="77"/>
      <c r="Z3954" s="77"/>
      <c r="AA3954" s="77"/>
      <c r="AB3954" s="77"/>
      <c r="AC3954" s="82" t="s">
        <v>7787</v>
      </c>
      <c r="AD3954" s="77" t="s">
        <v>7788</v>
      </c>
      <c r="AE3954" s="80" t="str">
        <f>HYPERLINK("https://twitter.com/modalmais/status/1689293708644978688")</f>
        <v>https://twitter.com/modalmais/status/1689293708644978688</v>
      </c>
      <c r="AF3954" s="79">
        <v>45147.634027777778</v>
      </c>
      <c r="AG3954" s="85">
        <v>45147</v>
      </c>
      <c r="AH3954" s="82" t="s">
        <v>8304</v>
      </c>
      <c r="AI3954" s="77"/>
      <c r="AJ3954" s="77"/>
      <c r="AK3954" s="77"/>
      <c r="AL3954" s="77"/>
      <c r="AM3954" s="77"/>
      <c r="AN3954" s="77"/>
      <c r="AO3954" s="77"/>
      <c r="AP3954" s="77"/>
      <c r="AQ3954" s="77"/>
      <c r="AR3954" s="77"/>
      <c r="AS3954" s="77"/>
      <c r="AT3954" s="77"/>
      <c r="AU3954" s="77"/>
      <c r="AV3954" s="80" t="str">
        <f>HYPERLINK("https://pbs.twimg.com/profile_images/1067039778795937797/PnnLGTU4_normal.jpg")</f>
        <v>https://pbs.twimg.com/profile_images/1067039778795937797/PnnLGTU4_normal.jpg</v>
      </c>
      <c r="AW3954" s="82" t="s">
        <v>15525</v>
      </c>
      <c r="AX3954" s="82" t="s">
        <v>15525</v>
      </c>
      <c r="AY3954" s="77"/>
      <c r="AZ3954" s="82" t="s">
        <v>15984</v>
      </c>
      <c r="BA3954" s="82" t="s">
        <v>15984</v>
      </c>
      <c r="BB3954" s="82" t="s">
        <v>15984</v>
      </c>
      <c r="BC3954" s="82" t="s">
        <v>15525</v>
      </c>
      <c r="BD3954" s="77">
        <v>2578778256</v>
      </c>
      <c r="BE3954" s="77"/>
      <c r="BF3954" s="77"/>
      <c r="BG3954" s="77"/>
      <c r="BH3954" s="77"/>
      <c r="BI3954" s="77"/>
    </row>
    <row r="3955" spans="1:61" x14ac:dyDescent="0.25">
      <c r="A3955" s="62" t="s">
        <v>735</v>
      </c>
      <c r="B3955" s="62" t="s">
        <v>735</v>
      </c>
      <c r="C3955" s="63"/>
      <c r="D3955" s="64"/>
      <c r="E3955" s="65"/>
      <c r="F3955" s="66"/>
      <c r="G3955" s="63"/>
      <c r="H3955" s="67"/>
      <c r="I3955" s="68"/>
      <c r="J3955" s="68"/>
      <c r="K3955" s="32"/>
      <c r="L3955" s="75">
        <v>3955</v>
      </c>
      <c r="M3955" s="75"/>
      <c r="N3955" s="70"/>
      <c r="O3955" s="77" t="s">
        <v>179</v>
      </c>
      <c r="P3955" s="79">
        <v>45147.633715277778</v>
      </c>
      <c r="Q3955" s="77" t="s">
        <v>4597</v>
      </c>
      <c r="R3955" s="77">
        <v>0</v>
      </c>
      <c r="S3955" s="77">
        <v>1</v>
      </c>
      <c r="T3955" s="77">
        <v>0</v>
      </c>
      <c r="U3955" s="77">
        <v>0</v>
      </c>
      <c r="V3955" s="77">
        <v>253</v>
      </c>
      <c r="W3955" s="82" t="s">
        <v>6411</v>
      </c>
      <c r="X3955" s="77"/>
      <c r="Y3955" s="77"/>
      <c r="Z3955" s="77"/>
      <c r="AA3955" s="77"/>
      <c r="AB3955" s="77"/>
      <c r="AC3955" s="82" t="s">
        <v>7787</v>
      </c>
      <c r="AD3955" s="77" t="s">
        <v>7788</v>
      </c>
      <c r="AE3955" s="80" t="str">
        <f>HYPERLINK("https://twitter.com/modalmais/status/1689293597697327104")</f>
        <v>https://twitter.com/modalmais/status/1689293597697327104</v>
      </c>
      <c r="AF3955" s="79">
        <v>45147.633715277778</v>
      </c>
      <c r="AG3955" s="85">
        <v>45147</v>
      </c>
      <c r="AH3955" s="82" t="s">
        <v>10361</v>
      </c>
      <c r="AI3955" s="77"/>
      <c r="AJ3955" s="77"/>
      <c r="AK3955" s="77"/>
      <c r="AL3955" s="77"/>
      <c r="AM3955" s="77"/>
      <c r="AN3955" s="77"/>
      <c r="AO3955" s="77"/>
      <c r="AP3955" s="77"/>
      <c r="AQ3955" s="77"/>
      <c r="AR3955" s="77"/>
      <c r="AS3955" s="77"/>
      <c r="AT3955" s="77"/>
      <c r="AU3955" s="77"/>
      <c r="AV3955" s="80" t="str">
        <f>HYPERLINK("https://pbs.twimg.com/profile_images/1067039778795937797/PnnLGTU4_normal.jpg")</f>
        <v>https://pbs.twimg.com/profile_images/1067039778795937797/PnnLGTU4_normal.jpg</v>
      </c>
      <c r="AW3955" s="82" t="s">
        <v>15526</v>
      </c>
      <c r="AX3955" s="82" t="s">
        <v>15526</v>
      </c>
      <c r="AY3955" s="77"/>
      <c r="AZ3955" s="82" t="s">
        <v>15984</v>
      </c>
      <c r="BA3955" s="82" t="s">
        <v>15984</v>
      </c>
      <c r="BB3955" s="82" t="s">
        <v>15984</v>
      </c>
      <c r="BC3955" s="82" t="s">
        <v>15526</v>
      </c>
      <c r="BD3955" s="77">
        <v>2578778256</v>
      </c>
      <c r="BE3955" s="77"/>
      <c r="BF3955" s="77"/>
      <c r="BG3955" s="77"/>
      <c r="BH3955" s="77"/>
      <c r="BI3955" s="77"/>
    </row>
    <row r="3956" spans="1:61" x14ac:dyDescent="0.25">
      <c r="A3956" s="62" t="s">
        <v>735</v>
      </c>
      <c r="B3956" s="62" t="s">
        <v>735</v>
      </c>
      <c r="C3956" s="63"/>
      <c r="D3956" s="64"/>
      <c r="E3956" s="65"/>
      <c r="F3956" s="66"/>
      <c r="G3956" s="63"/>
      <c r="H3956" s="67"/>
      <c r="I3956" s="68"/>
      <c r="J3956" s="68"/>
      <c r="K3956" s="32"/>
      <c r="L3956" s="75">
        <v>3956</v>
      </c>
      <c r="M3956" s="75"/>
      <c r="N3956" s="70"/>
      <c r="O3956" s="77" t="s">
        <v>179</v>
      </c>
      <c r="P3956" s="79">
        <v>45138.544791666667</v>
      </c>
      <c r="Q3956" s="77" t="s">
        <v>4598</v>
      </c>
      <c r="R3956" s="77">
        <v>0</v>
      </c>
      <c r="S3956" s="77">
        <v>2</v>
      </c>
      <c r="T3956" s="77">
        <v>0</v>
      </c>
      <c r="U3956" s="77">
        <v>0</v>
      </c>
      <c r="V3956" s="77">
        <v>334</v>
      </c>
      <c r="W3956" s="82" t="s">
        <v>6411</v>
      </c>
      <c r="X3956" s="77"/>
      <c r="Y3956" s="77"/>
      <c r="Z3956" s="77"/>
      <c r="AA3956" s="77"/>
      <c r="AB3956" s="77"/>
      <c r="AC3956" s="82" t="s">
        <v>7787</v>
      </c>
      <c r="AD3956" s="77" t="s">
        <v>7788</v>
      </c>
      <c r="AE3956" s="80" t="str">
        <f>HYPERLINK("https://twitter.com/modalmais/status/1685999881465270274")</f>
        <v>https://twitter.com/modalmais/status/1685999881465270274</v>
      </c>
      <c r="AF3956" s="79">
        <v>45138.544791666667</v>
      </c>
      <c r="AG3956" s="85">
        <v>45138</v>
      </c>
      <c r="AH3956" s="82" t="s">
        <v>10362</v>
      </c>
      <c r="AI3956" s="77"/>
      <c r="AJ3956" s="77"/>
      <c r="AK3956" s="77"/>
      <c r="AL3956" s="77"/>
      <c r="AM3956" s="77"/>
      <c r="AN3956" s="77"/>
      <c r="AO3956" s="77"/>
      <c r="AP3956" s="77"/>
      <c r="AQ3956" s="77"/>
      <c r="AR3956" s="77"/>
      <c r="AS3956" s="77"/>
      <c r="AT3956" s="77"/>
      <c r="AU3956" s="77"/>
      <c r="AV3956" s="80" t="str">
        <f>HYPERLINK("https://pbs.twimg.com/profile_images/1067039778795937797/PnnLGTU4_normal.jpg")</f>
        <v>https://pbs.twimg.com/profile_images/1067039778795937797/PnnLGTU4_normal.jpg</v>
      </c>
      <c r="AW3956" s="82" t="s">
        <v>15527</v>
      </c>
      <c r="AX3956" s="82" t="s">
        <v>15527</v>
      </c>
      <c r="AY3956" s="77"/>
      <c r="AZ3956" s="82" t="s">
        <v>15984</v>
      </c>
      <c r="BA3956" s="82" t="s">
        <v>15984</v>
      </c>
      <c r="BB3956" s="82" t="s">
        <v>15984</v>
      </c>
      <c r="BC3956" s="82" t="s">
        <v>15527</v>
      </c>
      <c r="BD3956" s="77">
        <v>2578778256</v>
      </c>
      <c r="BE3956" s="77"/>
      <c r="BF3956" s="77"/>
      <c r="BG3956" s="77"/>
      <c r="BH3956" s="77"/>
      <c r="BI3956" s="77"/>
    </row>
    <row r="3957" spans="1:61" x14ac:dyDescent="0.25">
      <c r="A3957" s="62" t="s">
        <v>735</v>
      </c>
      <c r="B3957" s="62" t="s">
        <v>735</v>
      </c>
      <c r="C3957" s="63"/>
      <c r="D3957" s="64"/>
      <c r="E3957" s="65"/>
      <c r="F3957" s="66"/>
      <c r="G3957" s="63"/>
      <c r="H3957" s="67"/>
      <c r="I3957" s="68"/>
      <c r="J3957" s="68"/>
      <c r="K3957" s="32"/>
      <c r="L3957" s="75">
        <v>3957</v>
      </c>
      <c r="M3957" s="75"/>
      <c r="N3957" s="70"/>
      <c r="O3957" s="77" t="s">
        <v>179</v>
      </c>
      <c r="P3957" s="79">
        <v>45138.506736111114</v>
      </c>
      <c r="Q3957" s="77" t="s">
        <v>4599</v>
      </c>
      <c r="R3957" s="77">
        <v>1</v>
      </c>
      <c r="S3957" s="77">
        <v>2</v>
      </c>
      <c r="T3957" s="77">
        <v>0</v>
      </c>
      <c r="U3957" s="77">
        <v>0</v>
      </c>
      <c r="V3957" s="77">
        <v>382</v>
      </c>
      <c r="W3957" s="82" t="s">
        <v>6411</v>
      </c>
      <c r="X3957" s="80" t="str">
        <f>HYPERLINK("https://www.youtube.com/watch?v=94OqB45OBDA")</f>
        <v>https://www.youtube.com/watch?v=94OqB45OBDA</v>
      </c>
      <c r="Y3957" s="77" t="s">
        <v>6480</v>
      </c>
      <c r="Z3957" s="77"/>
      <c r="AA3957" s="77"/>
      <c r="AB3957" s="77"/>
      <c r="AC3957" s="82" t="s">
        <v>7787</v>
      </c>
      <c r="AD3957" s="77" t="s">
        <v>7788</v>
      </c>
      <c r="AE3957" s="80" t="str">
        <f>HYPERLINK("https://twitter.com/modalmais/status/1685986088978968576")</f>
        <v>https://twitter.com/modalmais/status/1685986088978968576</v>
      </c>
      <c r="AF3957" s="79">
        <v>45138.506736111114</v>
      </c>
      <c r="AG3957" s="85">
        <v>45138</v>
      </c>
      <c r="AH3957" s="82" t="s">
        <v>10363</v>
      </c>
      <c r="AI3957" s="77" t="b">
        <v>0</v>
      </c>
      <c r="AJ3957" s="77"/>
      <c r="AK3957" s="77"/>
      <c r="AL3957" s="77"/>
      <c r="AM3957" s="77"/>
      <c r="AN3957" s="77"/>
      <c r="AO3957" s="77"/>
      <c r="AP3957" s="77"/>
      <c r="AQ3957" s="77"/>
      <c r="AR3957" s="77"/>
      <c r="AS3957" s="77"/>
      <c r="AT3957" s="77"/>
      <c r="AU3957" s="77"/>
      <c r="AV3957" s="80" t="str">
        <f>HYPERLINK("https://pbs.twimg.com/profile_images/1067039778795937797/PnnLGTU4_normal.jpg")</f>
        <v>https://pbs.twimg.com/profile_images/1067039778795937797/PnnLGTU4_normal.jpg</v>
      </c>
      <c r="AW3957" s="82" t="s">
        <v>15528</v>
      </c>
      <c r="AX3957" s="82" t="s">
        <v>15528</v>
      </c>
      <c r="AY3957" s="77"/>
      <c r="AZ3957" s="82" t="s">
        <v>15984</v>
      </c>
      <c r="BA3957" s="82" t="s">
        <v>15984</v>
      </c>
      <c r="BB3957" s="82" t="s">
        <v>15984</v>
      </c>
      <c r="BC3957" s="82" t="s">
        <v>15528</v>
      </c>
      <c r="BD3957" s="77">
        <v>2578778256</v>
      </c>
      <c r="BE3957" s="77"/>
      <c r="BF3957" s="77"/>
      <c r="BG3957" s="77"/>
      <c r="BH3957" s="77"/>
      <c r="BI3957" s="77"/>
    </row>
    <row r="3958" spans="1:61" x14ac:dyDescent="0.25">
      <c r="A3958" s="62" t="s">
        <v>735</v>
      </c>
      <c r="B3958" s="62" t="s">
        <v>735</v>
      </c>
      <c r="C3958" s="63"/>
      <c r="D3958" s="64"/>
      <c r="E3958" s="65"/>
      <c r="F3958" s="66"/>
      <c r="G3958" s="63"/>
      <c r="H3958" s="67"/>
      <c r="I3958" s="68"/>
      <c r="J3958" s="68"/>
      <c r="K3958" s="32"/>
      <c r="L3958" s="75">
        <v>3958</v>
      </c>
      <c r="M3958" s="75"/>
      <c r="N3958" s="70"/>
      <c r="O3958" s="77" t="s">
        <v>179</v>
      </c>
      <c r="P3958" s="79">
        <v>45138.505196759259</v>
      </c>
      <c r="Q3958" s="77" t="s">
        <v>4600</v>
      </c>
      <c r="R3958" s="77">
        <v>1</v>
      </c>
      <c r="S3958" s="77">
        <v>3</v>
      </c>
      <c r="T3958" s="77">
        <v>0</v>
      </c>
      <c r="U3958" s="77">
        <v>0</v>
      </c>
      <c r="V3958" s="77">
        <v>373</v>
      </c>
      <c r="W3958" s="82" t="s">
        <v>6411</v>
      </c>
      <c r="X3958" s="77"/>
      <c r="Y3958" s="77"/>
      <c r="Z3958" s="77"/>
      <c r="AA3958" s="77"/>
      <c r="AB3958" s="77"/>
      <c r="AC3958" s="82" t="s">
        <v>7787</v>
      </c>
      <c r="AD3958" s="77" t="s">
        <v>7793</v>
      </c>
      <c r="AE3958" s="80" t="str">
        <f>HYPERLINK("https://twitter.com/modalmais/status/1685985529802735616")</f>
        <v>https://twitter.com/modalmais/status/1685985529802735616</v>
      </c>
      <c r="AF3958" s="79">
        <v>45138.505196759259</v>
      </c>
      <c r="AG3958" s="85">
        <v>45138</v>
      </c>
      <c r="AH3958" s="82" t="s">
        <v>10364</v>
      </c>
      <c r="AI3958" s="77"/>
      <c r="AJ3958" s="77"/>
      <c r="AK3958" s="77"/>
      <c r="AL3958" s="77"/>
      <c r="AM3958" s="77"/>
      <c r="AN3958" s="77"/>
      <c r="AO3958" s="77"/>
      <c r="AP3958" s="77"/>
      <c r="AQ3958" s="77"/>
      <c r="AR3958" s="77"/>
      <c r="AS3958" s="77"/>
      <c r="AT3958" s="77"/>
      <c r="AU3958" s="77"/>
      <c r="AV3958" s="80" t="str">
        <f>HYPERLINK("https://pbs.twimg.com/profile_images/1067039778795937797/PnnLGTU4_normal.jpg")</f>
        <v>https://pbs.twimg.com/profile_images/1067039778795937797/PnnLGTU4_normal.jpg</v>
      </c>
      <c r="AW3958" s="82" t="s">
        <v>15529</v>
      </c>
      <c r="AX3958" s="82" t="s">
        <v>15529</v>
      </c>
      <c r="AY3958" s="77"/>
      <c r="AZ3958" s="82" t="s">
        <v>15984</v>
      </c>
      <c r="BA3958" s="82" t="s">
        <v>15984</v>
      </c>
      <c r="BB3958" s="82" t="s">
        <v>15984</v>
      </c>
      <c r="BC3958" s="82" t="s">
        <v>15529</v>
      </c>
      <c r="BD3958" s="77">
        <v>2578778256</v>
      </c>
      <c r="BE3958" s="77"/>
      <c r="BF3958" s="77"/>
      <c r="BG3958" s="77"/>
      <c r="BH3958" s="77"/>
      <c r="BI3958" s="77"/>
    </row>
    <row r="3959" spans="1:61" x14ac:dyDescent="0.25">
      <c r="A3959" s="62" t="s">
        <v>735</v>
      </c>
      <c r="B3959" s="62" t="s">
        <v>735</v>
      </c>
      <c r="C3959" s="63"/>
      <c r="D3959" s="64"/>
      <c r="E3959" s="65"/>
      <c r="F3959" s="66"/>
      <c r="G3959" s="63"/>
      <c r="H3959" s="67"/>
      <c r="I3959" s="68"/>
      <c r="J3959" s="68"/>
      <c r="K3959" s="32"/>
      <c r="L3959" s="75">
        <v>3959</v>
      </c>
      <c r="M3959" s="75"/>
      <c r="N3959" s="70"/>
      <c r="O3959" s="77" t="s">
        <v>179</v>
      </c>
      <c r="P3959" s="79">
        <v>45168.600624999999</v>
      </c>
      <c r="Q3959" s="77" t="s">
        <v>4601</v>
      </c>
      <c r="R3959" s="77">
        <v>0</v>
      </c>
      <c r="S3959" s="77">
        <v>3</v>
      </c>
      <c r="T3959" s="77">
        <v>0</v>
      </c>
      <c r="U3959" s="77">
        <v>0</v>
      </c>
      <c r="V3959" s="77">
        <v>451</v>
      </c>
      <c r="W3959" s="82" t="s">
        <v>6424</v>
      </c>
      <c r="X3959" s="77"/>
      <c r="Y3959" s="77"/>
      <c r="Z3959" s="77"/>
      <c r="AA3959" s="77"/>
      <c r="AB3959" s="77"/>
      <c r="AC3959" s="82" t="s">
        <v>7787</v>
      </c>
      <c r="AD3959" s="77" t="s">
        <v>7788</v>
      </c>
      <c r="AE3959" s="80" t="str">
        <f>HYPERLINK("https://twitter.com/modalmais/status/1696891750625812990")</f>
        <v>https://twitter.com/modalmais/status/1696891750625812990</v>
      </c>
      <c r="AF3959" s="79">
        <v>45168.600624999999</v>
      </c>
      <c r="AG3959" s="85">
        <v>45168</v>
      </c>
      <c r="AH3959" s="82" t="s">
        <v>10365</v>
      </c>
      <c r="AI3959" s="77"/>
      <c r="AJ3959" s="77"/>
      <c r="AK3959" s="77"/>
      <c r="AL3959" s="77"/>
      <c r="AM3959" s="77"/>
      <c r="AN3959" s="77"/>
      <c r="AO3959" s="77"/>
      <c r="AP3959" s="77"/>
      <c r="AQ3959" s="77"/>
      <c r="AR3959" s="77"/>
      <c r="AS3959" s="77"/>
      <c r="AT3959" s="77"/>
      <c r="AU3959" s="77"/>
      <c r="AV3959" s="80" t="str">
        <f>HYPERLINK("https://pbs.twimg.com/profile_images/1067039778795937797/PnnLGTU4_normal.jpg")</f>
        <v>https://pbs.twimg.com/profile_images/1067039778795937797/PnnLGTU4_normal.jpg</v>
      </c>
      <c r="AW3959" s="82" t="s">
        <v>15530</v>
      </c>
      <c r="AX3959" s="82" t="s">
        <v>15530</v>
      </c>
      <c r="AY3959" s="77"/>
      <c r="AZ3959" s="82" t="s">
        <v>15984</v>
      </c>
      <c r="BA3959" s="82" t="s">
        <v>15984</v>
      </c>
      <c r="BB3959" s="82" t="s">
        <v>15984</v>
      </c>
      <c r="BC3959" s="82" t="s">
        <v>15530</v>
      </c>
      <c r="BD3959" s="77">
        <v>2578778256</v>
      </c>
      <c r="BE3959" s="77"/>
      <c r="BF3959" s="77"/>
      <c r="BG3959" s="77"/>
      <c r="BH3959" s="77"/>
      <c r="BI3959" s="77"/>
    </row>
    <row r="3960" spans="1:61" x14ac:dyDescent="0.25">
      <c r="A3960" s="62" t="s">
        <v>735</v>
      </c>
      <c r="B3960" s="62" t="s">
        <v>735</v>
      </c>
      <c r="C3960" s="63"/>
      <c r="D3960" s="64"/>
      <c r="E3960" s="65"/>
      <c r="F3960" s="66"/>
      <c r="G3960" s="63"/>
      <c r="H3960" s="67"/>
      <c r="I3960" s="68"/>
      <c r="J3960" s="68"/>
      <c r="K3960" s="32"/>
      <c r="L3960" s="75">
        <v>3960</v>
      </c>
      <c r="M3960" s="75"/>
      <c r="N3960" s="70"/>
      <c r="O3960" s="77" t="s">
        <v>179</v>
      </c>
      <c r="P3960" s="79">
        <v>45155.867997685185</v>
      </c>
      <c r="Q3960" s="77" t="s">
        <v>4602</v>
      </c>
      <c r="R3960" s="77">
        <v>0</v>
      </c>
      <c r="S3960" s="77">
        <v>0</v>
      </c>
      <c r="T3960" s="77">
        <v>0</v>
      </c>
      <c r="U3960" s="77">
        <v>0</v>
      </c>
      <c r="V3960" s="77">
        <v>299</v>
      </c>
      <c r="W3960" s="82" t="s">
        <v>6430</v>
      </c>
      <c r="X3960" s="80" t="str">
        <f>HYPERLINK("https://www.youtube.com/watch?v=An7zh0msEl4")</f>
        <v>https://www.youtube.com/watch?v=An7zh0msEl4</v>
      </c>
      <c r="Y3960" s="77" t="s">
        <v>6480</v>
      </c>
      <c r="Z3960" s="77"/>
      <c r="AA3960" s="77"/>
      <c r="AB3960" s="77"/>
      <c r="AC3960" s="82" t="s">
        <v>7787</v>
      </c>
      <c r="AD3960" s="77" t="s">
        <v>7788</v>
      </c>
      <c r="AE3960" s="80" t="str">
        <f>HYPERLINK("https://twitter.com/modalmais/status/1692277598758310194")</f>
        <v>https://twitter.com/modalmais/status/1692277598758310194</v>
      </c>
      <c r="AF3960" s="79">
        <v>45155.867997685185</v>
      </c>
      <c r="AG3960" s="85">
        <v>45155</v>
      </c>
      <c r="AH3960" s="82" t="s">
        <v>10366</v>
      </c>
      <c r="AI3960" s="77" t="b">
        <v>0</v>
      </c>
      <c r="AJ3960" s="77"/>
      <c r="AK3960" s="77"/>
      <c r="AL3960" s="77"/>
      <c r="AM3960" s="77"/>
      <c r="AN3960" s="77"/>
      <c r="AO3960" s="77"/>
      <c r="AP3960" s="77"/>
      <c r="AQ3960" s="77"/>
      <c r="AR3960" s="77"/>
      <c r="AS3960" s="77"/>
      <c r="AT3960" s="77"/>
      <c r="AU3960" s="77"/>
      <c r="AV3960" s="80" t="str">
        <f>HYPERLINK("https://pbs.twimg.com/profile_images/1067039778795937797/PnnLGTU4_normal.jpg")</f>
        <v>https://pbs.twimg.com/profile_images/1067039778795937797/PnnLGTU4_normal.jpg</v>
      </c>
      <c r="AW3960" s="82" t="s">
        <v>15531</v>
      </c>
      <c r="AX3960" s="82" t="s">
        <v>15531</v>
      </c>
      <c r="AY3960" s="77"/>
      <c r="AZ3960" s="82" t="s">
        <v>15984</v>
      </c>
      <c r="BA3960" s="82" t="s">
        <v>15984</v>
      </c>
      <c r="BB3960" s="82" t="s">
        <v>15984</v>
      </c>
      <c r="BC3960" s="82" t="s">
        <v>15531</v>
      </c>
      <c r="BD3960" s="77">
        <v>2578778256</v>
      </c>
      <c r="BE3960" s="77"/>
      <c r="BF3960" s="77"/>
      <c r="BG3960" s="77"/>
      <c r="BH3960" s="77"/>
      <c r="BI3960" s="77"/>
    </row>
    <row r="3961" spans="1:61" x14ac:dyDescent="0.25">
      <c r="A3961" s="62" t="s">
        <v>735</v>
      </c>
      <c r="B3961" s="62" t="s">
        <v>735</v>
      </c>
      <c r="C3961" s="63"/>
      <c r="D3961" s="64"/>
      <c r="E3961" s="65"/>
      <c r="F3961" s="66"/>
      <c r="G3961" s="63"/>
      <c r="H3961" s="67"/>
      <c r="I3961" s="68"/>
      <c r="J3961" s="68"/>
      <c r="K3961" s="32"/>
      <c r="L3961" s="75">
        <v>3961</v>
      </c>
      <c r="M3961" s="75"/>
      <c r="N3961" s="70"/>
      <c r="O3961" s="77" t="s">
        <v>179</v>
      </c>
      <c r="P3961" s="79">
        <v>45155.866875</v>
      </c>
      <c r="Q3961" s="77" t="s">
        <v>4603</v>
      </c>
      <c r="R3961" s="77">
        <v>0</v>
      </c>
      <c r="S3961" s="77">
        <v>0</v>
      </c>
      <c r="T3961" s="77">
        <v>0</v>
      </c>
      <c r="U3961" s="77">
        <v>0</v>
      </c>
      <c r="V3961" s="77">
        <v>291</v>
      </c>
      <c r="W3961" s="82" t="s">
        <v>6430</v>
      </c>
      <c r="X3961" s="77"/>
      <c r="Y3961" s="77"/>
      <c r="Z3961" s="77"/>
      <c r="AA3961" s="77"/>
      <c r="AB3961" s="77"/>
      <c r="AC3961" s="82" t="s">
        <v>7787</v>
      </c>
      <c r="AD3961" s="77" t="s">
        <v>7788</v>
      </c>
      <c r="AE3961" s="80" t="str">
        <f>HYPERLINK("https://twitter.com/modalmais/status/1692277191394951269")</f>
        <v>https://twitter.com/modalmais/status/1692277191394951269</v>
      </c>
      <c r="AF3961" s="79">
        <v>45155.866875</v>
      </c>
      <c r="AG3961" s="85">
        <v>45155</v>
      </c>
      <c r="AH3961" s="82" t="s">
        <v>10367</v>
      </c>
      <c r="AI3961" s="77"/>
      <c r="AJ3961" s="77"/>
      <c r="AK3961" s="77"/>
      <c r="AL3961" s="77"/>
      <c r="AM3961" s="77"/>
      <c r="AN3961" s="77"/>
      <c r="AO3961" s="77"/>
      <c r="AP3961" s="77"/>
      <c r="AQ3961" s="77"/>
      <c r="AR3961" s="77"/>
      <c r="AS3961" s="77"/>
      <c r="AT3961" s="77"/>
      <c r="AU3961" s="77"/>
      <c r="AV3961" s="80" t="str">
        <f>HYPERLINK("https://pbs.twimg.com/profile_images/1067039778795937797/PnnLGTU4_normal.jpg")</f>
        <v>https://pbs.twimg.com/profile_images/1067039778795937797/PnnLGTU4_normal.jpg</v>
      </c>
      <c r="AW3961" s="82" t="s">
        <v>15532</v>
      </c>
      <c r="AX3961" s="82" t="s">
        <v>15532</v>
      </c>
      <c r="AY3961" s="77"/>
      <c r="AZ3961" s="82" t="s">
        <v>15984</v>
      </c>
      <c r="BA3961" s="82" t="s">
        <v>15984</v>
      </c>
      <c r="BB3961" s="82" t="s">
        <v>15984</v>
      </c>
      <c r="BC3961" s="82" t="s">
        <v>15532</v>
      </c>
      <c r="BD3961" s="77">
        <v>2578778256</v>
      </c>
      <c r="BE3961" s="77"/>
      <c r="BF3961" s="77"/>
      <c r="BG3961" s="77"/>
      <c r="BH3961" s="77"/>
      <c r="BI3961" s="77"/>
    </row>
    <row r="3962" spans="1:61" x14ac:dyDescent="0.25">
      <c r="A3962" s="62" t="s">
        <v>735</v>
      </c>
      <c r="B3962" s="62" t="s">
        <v>735</v>
      </c>
      <c r="C3962" s="63"/>
      <c r="D3962" s="64"/>
      <c r="E3962" s="65"/>
      <c r="F3962" s="66"/>
      <c r="G3962" s="63"/>
      <c r="H3962" s="67"/>
      <c r="I3962" s="68"/>
      <c r="J3962" s="68"/>
      <c r="K3962" s="32"/>
      <c r="L3962" s="75">
        <v>3962</v>
      </c>
      <c r="M3962" s="75"/>
      <c r="N3962" s="70"/>
      <c r="O3962" s="77" t="s">
        <v>179</v>
      </c>
      <c r="P3962" s="79">
        <v>45153.602638888886</v>
      </c>
      <c r="Q3962" s="77" t="s">
        <v>4604</v>
      </c>
      <c r="R3962" s="77">
        <v>0</v>
      </c>
      <c r="S3962" s="77">
        <v>2</v>
      </c>
      <c r="T3962" s="77">
        <v>0</v>
      </c>
      <c r="U3962" s="77">
        <v>0</v>
      </c>
      <c r="V3962" s="77">
        <v>375</v>
      </c>
      <c r="W3962" s="82" t="s">
        <v>6412</v>
      </c>
      <c r="X3962" s="77"/>
      <c r="Y3962" s="77"/>
      <c r="Z3962" s="77"/>
      <c r="AA3962" s="77"/>
      <c r="AB3962" s="77"/>
      <c r="AC3962" s="82" t="s">
        <v>7787</v>
      </c>
      <c r="AD3962" s="77" t="s">
        <v>7788</v>
      </c>
      <c r="AE3962" s="80" t="str">
        <f>HYPERLINK("https://twitter.com/modalmais/status/1691456659561037825")</f>
        <v>https://twitter.com/modalmais/status/1691456659561037825</v>
      </c>
      <c r="AF3962" s="79">
        <v>45153.602638888886</v>
      </c>
      <c r="AG3962" s="85">
        <v>45153</v>
      </c>
      <c r="AH3962" s="82" t="s">
        <v>10368</v>
      </c>
      <c r="AI3962" s="77"/>
      <c r="AJ3962" s="77"/>
      <c r="AK3962" s="77"/>
      <c r="AL3962" s="77"/>
      <c r="AM3962" s="77"/>
      <c r="AN3962" s="77"/>
      <c r="AO3962" s="77"/>
      <c r="AP3962" s="77"/>
      <c r="AQ3962" s="77"/>
      <c r="AR3962" s="77"/>
      <c r="AS3962" s="77"/>
      <c r="AT3962" s="77"/>
      <c r="AU3962" s="77"/>
      <c r="AV3962" s="80" t="str">
        <f>HYPERLINK("https://pbs.twimg.com/profile_images/1067039778795937797/PnnLGTU4_normal.jpg")</f>
        <v>https://pbs.twimg.com/profile_images/1067039778795937797/PnnLGTU4_normal.jpg</v>
      </c>
      <c r="AW3962" s="82" t="s">
        <v>15533</v>
      </c>
      <c r="AX3962" s="82" t="s">
        <v>15533</v>
      </c>
      <c r="AY3962" s="77"/>
      <c r="AZ3962" s="82" t="s">
        <v>15984</v>
      </c>
      <c r="BA3962" s="82" t="s">
        <v>15984</v>
      </c>
      <c r="BB3962" s="82" t="s">
        <v>15984</v>
      </c>
      <c r="BC3962" s="82" t="s">
        <v>15533</v>
      </c>
      <c r="BD3962" s="77">
        <v>2578778256</v>
      </c>
      <c r="BE3962" s="77"/>
      <c r="BF3962" s="77"/>
      <c r="BG3962" s="77"/>
      <c r="BH3962" s="77"/>
      <c r="BI3962" s="77"/>
    </row>
    <row r="3963" spans="1:61" x14ac:dyDescent="0.25">
      <c r="A3963" s="62" t="s">
        <v>735</v>
      </c>
      <c r="B3963" s="62" t="s">
        <v>735</v>
      </c>
      <c r="C3963" s="63"/>
      <c r="D3963" s="64"/>
      <c r="E3963" s="65"/>
      <c r="F3963" s="66"/>
      <c r="G3963" s="63"/>
      <c r="H3963" s="67"/>
      <c r="I3963" s="68"/>
      <c r="J3963" s="68"/>
      <c r="K3963" s="32"/>
      <c r="L3963" s="75">
        <v>3963</v>
      </c>
      <c r="M3963" s="75"/>
      <c r="N3963" s="70"/>
      <c r="O3963" s="77" t="s">
        <v>179</v>
      </c>
      <c r="P3963" s="79">
        <v>45153.569745370369</v>
      </c>
      <c r="Q3963" s="77" t="s">
        <v>4605</v>
      </c>
      <c r="R3963" s="77">
        <v>0</v>
      </c>
      <c r="S3963" s="77">
        <v>1</v>
      </c>
      <c r="T3963" s="77">
        <v>0</v>
      </c>
      <c r="U3963" s="77">
        <v>0</v>
      </c>
      <c r="V3963" s="77">
        <v>343</v>
      </c>
      <c r="W3963" s="82" t="s">
        <v>6411</v>
      </c>
      <c r="X3963" s="77"/>
      <c r="Y3963" s="77"/>
      <c r="Z3963" s="77"/>
      <c r="AA3963" s="77"/>
      <c r="AB3963" s="77"/>
      <c r="AC3963" s="82" t="s">
        <v>7787</v>
      </c>
      <c r="AD3963" s="77" t="s">
        <v>7788</v>
      </c>
      <c r="AE3963" s="80" t="str">
        <f>HYPERLINK("https://twitter.com/modalmais/status/1691444741429235712")</f>
        <v>https://twitter.com/modalmais/status/1691444741429235712</v>
      </c>
      <c r="AF3963" s="79">
        <v>45153.569745370369</v>
      </c>
      <c r="AG3963" s="85">
        <v>45153</v>
      </c>
      <c r="AH3963" s="82" t="s">
        <v>10369</v>
      </c>
      <c r="AI3963" s="77"/>
      <c r="AJ3963" s="77"/>
      <c r="AK3963" s="77"/>
      <c r="AL3963" s="77"/>
      <c r="AM3963" s="77"/>
      <c r="AN3963" s="77"/>
      <c r="AO3963" s="77"/>
      <c r="AP3963" s="77"/>
      <c r="AQ3963" s="77"/>
      <c r="AR3963" s="77"/>
      <c r="AS3963" s="77"/>
      <c r="AT3963" s="77"/>
      <c r="AU3963" s="77"/>
      <c r="AV3963" s="80" t="str">
        <f>HYPERLINK("https://pbs.twimg.com/profile_images/1067039778795937797/PnnLGTU4_normal.jpg")</f>
        <v>https://pbs.twimg.com/profile_images/1067039778795937797/PnnLGTU4_normal.jpg</v>
      </c>
      <c r="AW3963" s="82" t="s">
        <v>15534</v>
      </c>
      <c r="AX3963" s="82" t="s">
        <v>15534</v>
      </c>
      <c r="AY3963" s="77"/>
      <c r="AZ3963" s="82" t="s">
        <v>15984</v>
      </c>
      <c r="BA3963" s="82" t="s">
        <v>15984</v>
      </c>
      <c r="BB3963" s="82" t="s">
        <v>15984</v>
      </c>
      <c r="BC3963" s="82" t="s">
        <v>15534</v>
      </c>
      <c r="BD3963" s="77">
        <v>2578778256</v>
      </c>
      <c r="BE3963" s="77"/>
      <c r="BF3963" s="77"/>
      <c r="BG3963" s="77"/>
      <c r="BH3963" s="77"/>
      <c r="BI3963" s="77"/>
    </row>
    <row r="3964" spans="1:61" x14ac:dyDescent="0.25">
      <c r="A3964" s="62" t="s">
        <v>735</v>
      </c>
      <c r="B3964" s="62" t="s">
        <v>735</v>
      </c>
      <c r="C3964" s="63"/>
      <c r="D3964" s="64"/>
      <c r="E3964" s="65"/>
      <c r="F3964" s="66"/>
      <c r="G3964" s="63"/>
      <c r="H3964" s="67"/>
      <c r="I3964" s="68"/>
      <c r="J3964" s="68"/>
      <c r="K3964" s="32"/>
      <c r="L3964" s="75">
        <v>3964</v>
      </c>
      <c r="M3964" s="75"/>
      <c r="N3964" s="70"/>
      <c r="O3964" s="77" t="s">
        <v>179</v>
      </c>
      <c r="P3964" s="79">
        <v>45153.569328703707</v>
      </c>
      <c r="Q3964" s="77" t="s">
        <v>4606</v>
      </c>
      <c r="R3964" s="77">
        <v>0</v>
      </c>
      <c r="S3964" s="77">
        <v>1</v>
      </c>
      <c r="T3964" s="77">
        <v>0</v>
      </c>
      <c r="U3964" s="77">
        <v>0</v>
      </c>
      <c r="V3964" s="77">
        <v>353</v>
      </c>
      <c r="W3964" s="82" t="s">
        <v>6411</v>
      </c>
      <c r="X3964" s="77"/>
      <c r="Y3964" s="77"/>
      <c r="Z3964" s="77"/>
      <c r="AA3964" s="77"/>
      <c r="AB3964" s="77"/>
      <c r="AC3964" s="82" t="s">
        <v>7787</v>
      </c>
      <c r="AD3964" s="77" t="s">
        <v>7788</v>
      </c>
      <c r="AE3964" s="80" t="str">
        <f>HYPERLINK("https://twitter.com/modalmais/status/1691444591369564160")</f>
        <v>https://twitter.com/modalmais/status/1691444591369564160</v>
      </c>
      <c r="AF3964" s="79">
        <v>45153.569328703707</v>
      </c>
      <c r="AG3964" s="85">
        <v>45153</v>
      </c>
      <c r="AH3964" s="82" t="s">
        <v>10370</v>
      </c>
      <c r="AI3964" s="77"/>
      <c r="AJ3964" s="77"/>
      <c r="AK3964" s="77"/>
      <c r="AL3964" s="77"/>
      <c r="AM3964" s="77"/>
      <c r="AN3964" s="77"/>
      <c r="AO3964" s="77"/>
      <c r="AP3964" s="77"/>
      <c r="AQ3964" s="77"/>
      <c r="AR3964" s="77"/>
      <c r="AS3964" s="77"/>
      <c r="AT3964" s="77"/>
      <c r="AU3964" s="77"/>
      <c r="AV3964" s="80" t="str">
        <f>HYPERLINK("https://pbs.twimg.com/profile_images/1067039778795937797/PnnLGTU4_normal.jpg")</f>
        <v>https://pbs.twimg.com/profile_images/1067039778795937797/PnnLGTU4_normal.jpg</v>
      </c>
      <c r="AW3964" s="82" t="s">
        <v>15535</v>
      </c>
      <c r="AX3964" s="82" t="s">
        <v>15535</v>
      </c>
      <c r="AY3964" s="77"/>
      <c r="AZ3964" s="82" t="s">
        <v>15984</v>
      </c>
      <c r="BA3964" s="82" t="s">
        <v>15984</v>
      </c>
      <c r="BB3964" s="82" t="s">
        <v>15984</v>
      </c>
      <c r="BC3964" s="82" t="s">
        <v>15535</v>
      </c>
      <c r="BD3964" s="77">
        <v>2578778256</v>
      </c>
      <c r="BE3964" s="77"/>
      <c r="BF3964" s="77"/>
      <c r="BG3964" s="77"/>
      <c r="BH3964" s="77"/>
      <c r="BI3964" s="77"/>
    </row>
    <row r="3965" spans="1:61" x14ac:dyDescent="0.25">
      <c r="A3965" s="62" t="s">
        <v>735</v>
      </c>
      <c r="B3965" s="62" t="s">
        <v>735</v>
      </c>
      <c r="C3965" s="63"/>
      <c r="D3965" s="64"/>
      <c r="E3965" s="65"/>
      <c r="F3965" s="66"/>
      <c r="G3965" s="63"/>
      <c r="H3965" s="67"/>
      <c r="I3965" s="68"/>
      <c r="J3965" s="68"/>
      <c r="K3965" s="32"/>
      <c r="L3965" s="75">
        <v>3965</v>
      </c>
      <c r="M3965" s="75"/>
      <c r="N3965" s="70"/>
      <c r="O3965" s="77" t="s">
        <v>179</v>
      </c>
      <c r="P3965" s="79">
        <v>45153.55096064815</v>
      </c>
      <c r="Q3965" s="77" t="s">
        <v>4607</v>
      </c>
      <c r="R3965" s="77">
        <v>0</v>
      </c>
      <c r="S3965" s="77">
        <v>0</v>
      </c>
      <c r="T3965" s="77">
        <v>0</v>
      </c>
      <c r="U3965" s="77">
        <v>0</v>
      </c>
      <c r="V3965" s="77">
        <v>257</v>
      </c>
      <c r="W3965" s="82" t="s">
        <v>6411</v>
      </c>
      <c r="X3965" s="77"/>
      <c r="Y3965" s="77"/>
      <c r="Z3965" s="77"/>
      <c r="AA3965" s="77"/>
      <c r="AB3965" s="77"/>
      <c r="AC3965" s="82" t="s">
        <v>7787</v>
      </c>
      <c r="AD3965" s="77" t="s">
        <v>7788</v>
      </c>
      <c r="AE3965" s="80" t="str">
        <f>HYPERLINK("https://twitter.com/modalmais/status/1691437933755027456")</f>
        <v>https://twitter.com/modalmais/status/1691437933755027456</v>
      </c>
      <c r="AF3965" s="79">
        <v>45153.55096064815</v>
      </c>
      <c r="AG3965" s="85">
        <v>45153</v>
      </c>
      <c r="AH3965" s="82" t="s">
        <v>10371</v>
      </c>
      <c r="AI3965" s="77"/>
      <c r="AJ3965" s="77"/>
      <c r="AK3965" s="77"/>
      <c r="AL3965" s="77"/>
      <c r="AM3965" s="77"/>
      <c r="AN3965" s="77"/>
      <c r="AO3965" s="77"/>
      <c r="AP3965" s="77"/>
      <c r="AQ3965" s="77"/>
      <c r="AR3965" s="77"/>
      <c r="AS3965" s="77"/>
      <c r="AT3965" s="77"/>
      <c r="AU3965" s="77"/>
      <c r="AV3965" s="80" t="str">
        <f>HYPERLINK("https://pbs.twimg.com/profile_images/1067039778795937797/PnnLGTU4_normal.jpg")</f>
        <v>https://pbs.twimg.com/profile_images/1067039778795937797/PnnLGTU4_normal.jpg</v>
      </c>
      <c r="AW3965" s="82" t="s">
        <v>15536</v>
      </c>
      <c r="AX3965" s="82" t="s">
        <v>15536</v>
      </c>
      <c r="AY3965" s="77"/>
      <c r="AZ3965" s="82" t="s">
        <v>15984</v>
      </c>
      <c r="BA3965" s="82" t="s">
        <v>15984</v>
      </c>
      <c r="BB3965" s="82" t="s">
        <v>15984</v>
      </c>
      <c r="BC3965" s="82" t="s">
        <v>15536</v>
      </c>
      <c r="BD3965" s="77">
        <v>2578778256</v>
      </c>
      <c r="BE3965" s="77"/>
      <c r="BF3965" s="77"/>
      <c r="BG3965" s="77"/>
      <c r="BH3965" s="77"/>
      <c r="BI3965" s="77"/>
    </row>
    <row r="3966" spans="1:61" x14ac:dyDescent="0.25">
      <c r="A3966" s="62" t="s">
        <v>735</v>
      </c>
      <c r="B3966" s="62" t="s">
        <v>735</v>
      </c>
      <c r="C3966" s="63"/>
      <c r="D3966" s="64"/>
      <c r="E3966" s="65"/>
      <c r="F3966" s="66"/>
      <c r="G3966" s="63"/>
      <c r="H3966" s="67"/>
      <c r="I3966" s="68"/>
      <c r="J3966" s="68"/>
      <c r="K3966" s="32"/>
      <c r="L3966" s="75">
        <v>3966</v>
      </c>
      <c r="M3966" s="75"/>
      <c r="N3966" s="70"/>
      <c r="O3966" s="77" t="s">
        <v>179</v>
      </c>
      <c r="P3966" s="79">
        <v>45153.55060185185</v>
      </c>
      <c r="Q3966" s="77" t="s">
        <v>4608</v>
      </c>
      <c r="R3966" s="77">
        <v>0</v>
      </c>
      <c r="S3966" s="77">
        <v>2</v>
      </c>
      <c r="T3966" s="77">
        <v>0</v>
      </c>
      <c r="U3966" s="77">
        <v>0</v>
      </c>
      <c r="V3966" s="77">
        <v>287</v>
      </c>
      <c r="W3966" s="82" t="s">
        <v>6411</v>
      </c>
      <c r="X3966" s="77"/>
      <c r="Y3966" s="77"/>
      <c r="Z3966" s="77"/>
      <c r="AA3966" s="77"/>
      <c r="AB3966" s="77"/>
      <c r="AC3966" s="82" t="s">
        <v>7787</v>
      </c>
      <c r="AD3966" s="77" t="s">
        <v>7797</v>
      </c>
      <c r="AE3966" s="80" t="str">
        <f>HYPERLINK("https://twitter.com/modalmais/status/1691437804276916224")</f>
        <v>https://twitter.com/modalmais/status/1691437804276916224</v>
      </c>
      <c r="AF3966" s="79">
        <v>45153.55060185185</v>
      </c>
      <c r="AG3966" s="85">
        <v>45153</v>
      </c>
      <c r="AH3966" s="82" t="s">
        <v>10372</v>
      </c>
      <c r="AI3966" s="77"/>
      <c r="AJ3966" s="77"/>
      <c r="AK3966" s="77"/>
      <c r="AL3966" s="77"/>
      <c r="AM3966" s="77"/>
      <c r="AN3966" s="77"/>
      <c r="AO3966" s="77"/>
      <c r="AP3966" s="77"/>
      <c r="AQ3966" s="77"/>
      <c r="AR3966" s="77"/>
      <c r="AS3966" s="77"/>
      <c r="AT3966" s="77"/>
      <c r="AU3966" s="77"/>
      <c r="AV3966" s="80" t="str">
        <f>HYPERLINK("https://pbs.twimg.com/profile_images/1067039778795937797/PnnLGTU4_normal.jpg")</f>
        <v>https://pbs.twimg.com/profile_images/1067039778795937797/PnnLGTU4_normal.jpg</v>
      </c>
      <c r="AW3966" s="82" t="s">
        <v>15537</v>
      </c>
      <c r="AX3966" s="82" t="s">
        <v>15537</v>
      </c>
      <c r="AY3966" s="77"/>
      <c r="AZ3966" s="82" t="s">
        <v>15984</v>
      </c>
      <c r="BA3966" s="82" t="s">
        <v>15984</v>
      </c>
      <c r="BB3966" s="82" t="s">
        <v>15984</v>
      </c>
      <c r="BC3966" s="82" t="s">
        <v>15537</v>
      </c>
      <c r="BD3966" s="77">
        <v>2578778256</v>
      </c>
      <c r="BE3966" s="77"/>
      <c r="BF3966" s="77"/>
      <c r="BG3966" s="77"/>
      <c r="BH3966" s="77"/>
      <c r="BI3966" s="77"/>
    </row>
    <row r="3967" spans="1:61" x14ac:dyDescent="0.25">
      <c r="A3967" s="62" t="s">
        <v>735</v>
      </c>
      <c r="B3967" s="62" t="s">
        <v>735</v>
      </c>
      <c r="C3967" s="63"/>
      <c r="D3967" s="64"/>
      <c r="E3967" s="65"/>
      <c r="F3967" s="66"/>
      <c r="G3967" s="63"/>
      <c r="H3967" s="67"/>
      <c r="I3967" s="68"/>
      <c r="J3967" s="68"/>
      <c r="K3967" s="32"/>
      <c r="L3967" s="75">
        <v>3967</v>
      </c>
      <c r="M3967" s="75"/>
      <c r="N3967" s="70"/>
      <c r="O3967" s="77" t="s">
        <v>179</v>
      </c>
      <c r="P3967" s="79">
        <v>45153.550300925926</v>
      </c>
      <c r="Q3967" s="77" t="s">
        <v>4609</v>
      </c>
      <c r="R3967" s="77">
        <v>0</v>
      </c>
      <c r="S3967" s="77">
        <v>2</v>
      </c>
      <c r="T3967" s="77">
        <v>0</v>
      </c>
      <c r="U3967" s="77">
        <v>0</v>
      </c>
      <c r="V3967" s="77">
        <v>287</v>
      </c>
      <c r="W3967" s="82" t="s">
        <v>6411</v>
      </c>
      <c r="X3967" s="77"/>
      <c r="Y3967" s="77"/>
      <c r="Z3967" s="77"/>
      <c r="AA3967" s="77"/>
      <c r="AB3967" s="77"/>
      <c r="AC3967" s="82" t="s">
        <v>7787</v>
      </c>
      <c r="AD3967" s="77" t="s">
        <v>7793</v>
      </c>
      <c r="AE3967" s="80" t="str">
        <f>HYPERLINK("https://twitter.com/modalmais/status/1691437696588136448")</f>
        <v>https://twitter.com/modalmais/status/1691437696588136448</v>
      </c>
      <c r="AF3967" s="79">
        <v>45153.550300925926</v>
      </c>
      <c r="AG3967" s="85">
        <v>45153</v>
      </c>
      <c r="AH3967" s="82" t="s">
        <v>10373</v>
      </c>
      <c r="AI3967" s="77"/>
      <c r="AJ3967" s="77"/>
      <c r="AK3967" s="77"/>
      <c r="AL3967" s="77"/>
      <c r="AM3967" s="77"/>
      <c r="AN3967" s="77"/>
      <c r="AO3967" s="77"/>
      <c r="AP3967" s="77"/>
      <c r="AQ3967" s="77"/>
      <c r="AR3967" s="77"/>
      <c r="AS3967" s="77"/>
      <c r="AT3967" s="77"/>
      <c r="AU3967" s="77"/>
      <c r="AV3967" s="80" t="str">
        <f>HYPERLINK("https://pbs.twimg.com/profile_images/1067039778795937797/PnnLGTU4_normal.jpg")</f>
        <v>https://pbs.twimg.com/profile_images/1067039778795937797/PnnLGTU4_normal.jpg</v>
      </c>
      <c r="AW3967" s="82" t="s">
        <v>15538</v>
      </c>
      <c r="AX3967" s="82" t="s">
        <v>15538</v>
      </c>
      <c r="AY3967" s="77"/>
      <c r="AZ3967" s="82" t="s">
        <v>15984</v>
      </c>
      <c r="BA3967" s="82" t="s">
        <v>15984</v>
      </c>
      <c r="BB3967" s="82" t="s">
        <v>15984</v>
      </c>
      <c r="BC3967" s="82" t="s">
        <v>15538</v>
      </c>
      <c r="BD3967" s="77">
        <v>2578778256</v>
      </c>
      <c r="BE3967" s="77"/>
      <c r="BF3967" s="77"/>
      <c r="BG3967" s="77"/>
      <c r="BH3967" s="77"/>
      <c r="BI3967" s="77"/>
    </row>
    <row r="3968" spans="1:61" x14ac:dyDescent="0.25">
      <c r="A3968" s="62" t="s">
        <v>735</v>
      </c>
      <c r="B3968" s="62" t="s">
        <v>735</v>
      </c>
      <c r="C3968" s="63"/>
      <c r="D3968" s="64"/>
      <c r="E3968" s="65"/>
      <c r="F3968" s="66"/>
      <c r="G3968" s="63"/>
      <c r="H3968" s="67"/>
      <c r="I3968" s="68"/>
      <c r="J3968" s="68"/>
      <c r="K3968" s="32"/>
      <c r="L3968" s="75">
        <v>3968</v>
      </c>
      <c r="M3968" s="75"/>
      <c r="N3968" s="70"/>
      <c r="O3968" s="77" t="s">
        <v>179</v>
      </c>
      <c r="P3968" s="79">
        <v>45118.839398148149</v>
      </c>
      <c r="Q3968" s="77" t="s">
        <v>4610</v>
      </c>
      <c r="R3968" s="77">
        <v>0</v>
      </c>
      <c r="S3968" s="77">
        <v>1</v>
      </c>
      <c r="T3968" s="77">
        <v>1</v>
      </c>
      <c r="U3968" s="77">
        <v>0</v>
      </c>
      <c r="V3968" s="77">
        <v>309</v>
      </c>
      <c r="W3968" s="82" t="s">
        <v>6411</v>
      </c>
      <c r="X3968" s="80" t="str">
        <f>HYPERLINK("https://link.sst.trade/comunidade_sst")</f>
        <v>https://link.sst.trade/comunidade_sst</v>
      </c>
      <c r="Y3968" s="77" t="s">
        <v>6563</v>
      </c>
      <c r="Z3968" s="77"/>
      <c r="AA3968" s="77" t="s">
        <v>7739</v>
      </c>
      <c r="AB3968" s="77" t="s">
        <v>7742</v>
      </c>
      <c r="AC3968" s="82" t="s">
        <v>7787</v>
      </c>
      <c r="AD3968" s="77" t="s">
        <v>7788</v>
      </c>
      <c r="AE3968" s="80" t="str">
        <f>HYPERLINK("https://twitter.com/modalmais/status/1678858885933801473")</f>
        <v>https://twitter.com/modalmais/status/1678858885933801473</v>
      </c>
      <c r="AF3968" s="79">
        <v>45118.839398148149</v>
      </c>
      <c r="AG3968" s="85">
        <v>45118</v>
      </c>
      <c r="AH3968" s="82" t="s">
        <v>10374</v>
      </c>
      <c r="AI3968" s="77" t="b">
        <v>0</v>
      </c>
      <c r="AJ3968" s="77"/>
      <c r="AK3968" s="77"/>
      <c r="AL3968" s="77"/>
      <c r="AM3968" s="77"/>
      <c r="AN3968" s="77"/>
      <c r="AO3968" s="77"/>
      <c r="AP3968" s="77"/>
      <c r="AQ3968" s="77" t="s">
        <v>11711</v>
      </c>
      <c r="AR3968" s="77"/>
      <c r="AS3968" s="77"/>
      <c r="AT3968" s="77"/>
      <c r="AU3968" s="77"/>
      <c r="AV3968" s="80" t="str">
        <f>HYPERLINK("https://pbs.twimg.com/media/F0yBQmBXsAAQxMN.jpg")</f>
        <v>https://pbs.twimg.com/media/F0yBQmBXsAAQxMN.jpg</v>
      </c>
      <c r="AW3968" s="82" t="s">
        <v>15539</v>
      </c>
      <c r="AX3968" s="82" t="s">
        <v>15539</v>
      </c>
      <c r="AY3968" s="77"/>
      <c r="AZ3968" s="82" t="s">
        <v>15984</v>
      </c>
      <c r="BA3968" s="82" t="s">
        <v>15984</v>
      </c>
      <c r="BB3968" s="82" t="s">
        <v>15984</v>
      </c>
      <c r="BC3968" s="82" t="s">
        <v>15539</v>
      </c>
      <c r="BD3968" s="77">
        <v>2578778256</v>
      </c>
      <c r="BE3968" s="77"/>
      <c r="BF3968" s="77"/>
      <c r="BG3968" s="77"/>
      <c r="BH3968" s="77"/>
      <c r="BI3968" s="77"/>
    </row>
    <row r="3969" spans="1:61" x14ac:dyDescent="0.25">
      <c r="A3969" s="62" t="s">
        <v>735</v>
      </c>
      <c r="B3969" s="62" t="s">
        <v>735</v>
      </c>
      <c r="C3969" s="63"/>
      <c r="D3969" s="64"/>
      <c r="E3969" s="65"/>
      <c r="F3969" s="66"/>
      <c r="G3969" s="63"/>
      <c r="H3969" s="67"/>
      <c r="I3969" s="68"/>
      <c r="J3969" s="68"/>
      <c r="K3969" s="32"/>
      <c r="L3969" s="75">
        <v>3969</v>
      </c>
      <c r="M3969" s="75"/>
      <c r="N3969" s="70"/>
      <c r="O3969" s="77" t="s">
        <v>179</v>
      </c>
      <c r="P3969" s="79">
        <v>45118.830381944441</v>
      </c>
      <c r="Q3969" s="77" t="s">
        <v>4611</v>
      </c>
      <c r="R3969" s="77">
        <v>0</v>
      </c>
      <c r="S3969" s="77">
        <v>1</v>
      </c>
      <c r="T3969" s="77">
        <v>0</v>
      </c>
      <c r="U3969" s="77">
        <v>0</v>
      </c>
      <c r="V3969" s="77">
        <v>305</v>
      </c>
      <c r="W3969" s="82" t="s">
        <v>6411</v>
      </c>
      <c r="X3969" s="80" t="str">
        <f>HYPERLINK("https://www.youtube.com/watch?v=mtEjg71K_FQ")</f>
        <v>https://www.youtube.com/watch?v=mtEjg71K_FQ</v>
      </c>
      <c r="Y3969" s="77" t="s">
        <v>6480</v>
      </c>
      <c r="Z3969" s="77"/>
      <c r="AA3969" s="77"/>
      <c r="AB3969" s="77"/>
      <c r="AC3969" s="82" t="s">
        <v>7787</v>
      </c>
      <c r="AD3969" s="77" t="s">
        <v>7788</v>
      </c>
      <c r="AE3969" s="80" t="str">
        <f>HYPERLINK("https://twitter.com/modalmais/status/1678855619560742912")</f>
        <v>https://twitter.com/modalmais/status/1678855619560742912</v>
      </c>
      <c r="AF3969" s="79">
        <v>45118.830381944441</v>
      </c>
      <c r="AG3969" s="85">
        <v>45118</v>
      </c>
      <c r="AH3969" s="82" t="s">
        <v>10375</v>
      </c>
      <c r="AI3969" s="77" t="b">
        <v>0</v>
      </c>
      <c r="AJ3969" s="77"/>
      <c r="AK3969" s="77"/>
      <c r="AL3969" s="77"/>
      <c r="AM3969" s="77"/>
      <c r="AN3969" s="77"/>
      <c r="AO3969" s="77"/>
      <c r="AP3969" s="77"/>
      <c r="AQ3969" s="77"/>
      <c r="AR3969" s="77"/>
      <c r="AS3969" s="77"/>
      <c r="AT3969" s="77"/>
      <c r="AU3969" s="77"/>
      <c r="AV3969" s="80" t="str">
        <f>HYPERLINK("https://pbs.twimg.com/profile_images/1067039778795937797/PnnLGTU4_normal.jpg")</f>
        <v>https://pbs.twimg.com/profile_images/1067039778795937797/PnnLGTU4_normal.jpg</v>
      </c>
      <c r="AW3969" s="82" t="s">
        <v>15540</v>
      </c>
      <c r="AX3969" s="82" t="s">
        <v>15540</v>
      </c>
      <c r="AY3969" s="77"/>
      <c r="AZ3969" s="82" t="s">
        <v>15984</v>
      </c>
      <c r="BA3969" s="82" t="s">
        <v>15984</v>
      </c>
      <c r="BB3969" s="82" t="s">
        <v>15984</v>
      </c>
      <c r="BC3969" s="82" t="s">
        <v>15540</v>
      </c>
      <c r="BD3969" s="77">
        <v>2578778256</v>
      </c>
      <c r="BE3969" s="77"/>
      <c r="BF3969" s="77"/>
      <c r="BG3969" s="77"/>
      <c r="BH3969" s="77"/>
      <c r="BI3969" s="77"/>
    </row>
    <row r="3970" spans="1:61" x14ac:dyDescent="0.25">
      <c r="A3970" s="62" t="s">
        <v>735</v>
      </c>
      <c r="B3970" s="62" t="s">
        <v>735</v>
      </c>
      <c r="C3970" s="63"/>
      <c r="D3970" s="64"/>
      <c r="E3970" s="65"/>
      <c r="F3970" s="66"/>
      <c r="G3970" s="63"/>
      <c r="H3970" s="67"/>
      <c r="I3970" s="68"/>
      <c r="J3970" s="68"/>
      <c r="K3970" s="32"/>
      <c r="L3970" s="75">
        <v>3970</v>
      </c>
      <c r="M3970" s="75"/>
      <c r="N3970" s="70"/>
      <c r="O3970" s="77" t="s">
        <v>179</v>
      </c>
      <c r="P3970" s="79">
        <v>45118.817384259259</v>
      </c>
      <c r="Q3970" s="77" t="s">
        <v>4612</v>
      </c>
      <c r="R3970" s="77">
        <v>0</v>
      </c>
      <c r="S3970" s="77">
        <v>2</v>
      </c>
      <c r="T3970" s="77">
        <v>0</v>
      </c>
      <c r="U3970" s="77">
        <v>0</v>
      </c>
      <c r="V3970" s="77">
        <v>314</v>
      </c>
      <c r="W3970" s="82" t="s">
        <v>6411</v>
      </c>
      <c r="X3970" s="80" t="str">
        <f>HYPERLINK("https://www.youtube.com/watch?v=Fmbj0TpiJ9s")</f>
        <v>https://www.youtube.com/watch?v=Fmbj0TpiJ9s</v>
      </c>
      <c r="Y3970" s="77" t="s">
        <v>6480</v>
      </c>
      <c r="Z3970" s="77"/>
      <c r="AA3970" s="77"/>
      <c r="AB3970" s="77"/>
      <c r="AC3970" s="82" t="s">
        <v>7787</v>
      </c>
      <c r="AD3970" s="77" t="s">
        <v>7788</v>
      </c>
      <c r="AE3970" s="80" t="str">
        <f>HYPERLINK("https://twitter.com/modalmais/status/1678850909034496000")</f>
        <v>https://twitter.com/modalmais/status/1678850909034496000</v>
      </c>
      <c r="AF3970" s="79">
        <v>45118.817384259259</v>
      </c>
      <c r="AG3970" s="85">
        <v>45118</v>
      </c>
      <c r="AH3970" s="82" t="s">
        <v>10376</v>
      </c>
      <c r="AI3970" s="77" t="b">
        <v>0</v>
      </c>
      <c r="AJ3970" s="77"/>
      <c r="AK3970" s="77"/>
      <c r="AL3970" s="77"/>
      <c r="AM3970" s="77"/>
      <c r="AN3970" s="77"/>
      <c r="AO3970" s="77"/>
      <c r="AP3970" s="77"/>
      <c r="AQ3970" s="77"/>
      <c r="AR3970" s="77"/>
      <c r="AS3970" s="77"/>
      <c r="AT3970" s="77"/>
      <c r="AU3970" s="77"/>
      <c r="AV3970" s="80" t="str">
        <f>HYPERLINK("https://pbs.twimg.com/profile_images/1067039778795937797/PnnLGTU4_normal.jpg")</f>
        <v>https://pbs.twimg.com/profile_images/1067039778795937797/PnnLGTU4_normal.jpg</v>
      </c>
      <c r="AW3970" s="82" t="s">
        <v>15541</v>
      </c>
      <c r="AX3970" s="82" t="s">
        <v>15541</v>
      </c>
      <c r="AY3970" s="77"/>
      <c r="AZ3970" s="82" t="s">
        <v>15984</v>
      </c>
      <c r="BA3970" s="82" t="s">
        <v>15984</v>
      </c>
      <c r="BB3970" s="82" t="s">
        <v>15984</v>
      </c>
      <c r="BC3970" s="82" t="s">
        <v>15541</v>
      </c>
      <c r="BD3970" s="77">
        <v>2578778256</v>
      </c>
      <c r="BE3970" s="77"/>
      <c r="BF3970" s="77"/>
      <c r="BG3970" s="77"/>
      <c r="BH3970" s="77"/>
      <c r="BI3970" s="77"/>
    </row>
    <row r="3971" spans="1:61" x14ac:dyDescent="0.25">
      <c r="A3971" s="62" t="s">
        <v>735</v>
      </c>
      <c r="B3971" s="62" t="s">
        <v>735</v>
      </c>
      <c r="C3971" s="63"/>
      <c r="D3971" s="64"/>
      <c r="E3971" s="65"/>
      <c r="F3971" s="66"/>
      <c r="G3971" s="63"/>
      <c r="H3971" s="67"/>
      <c r="I3971" s="68"/>
      <c r="J3971" s="68"/>
      <c r="K3971" s="32"/>
      <c r="L3971" s="75">
        <v>3971</v>
      </c>
      <c r="M3971" s="75"/>
      <c r="N3971" s="70"/>
      <c r="O3971" s="77" t="s">
        <v>179</v>
      </c>
      <c r="P3971" s="79">
        <v>45183.744513888887</v>
      </c>
      <c r="Q3971" s="77" t="s">
        <v>4613</v>
      </c>
      <c r="R3971" s="77">
        <v>0</v>
      </c>
      <c r="S3971" s="77">
        <v>0</v>
      </c>
      <c r="T3971" s="77">
        <v>0</v>
      </c>
      <c r="U3971" s="77">
        <v>0</v>
      </c>
      <c r="V3971" s="77">
        <v>310</v>
      </c>
      <c r="W3971" s="82" t="s">
        <v>6424</v>
      </c>
      <c r="X3971" s="80" t="str">
        <f>HYPERLINK("https://www.modalmais.com.br/morning-call/volume-de-servicos-no-pais-subiu-05/")</f>
        <v>https://www.modalmais.com.br/morning-call/volume-de-servicos-no-pais-subiu-05/</v>
      </c>
      <c r="Y3971" s="77" t="s">
        <v>6470</v>
      </c>
      <c r="Z3971" s="77"/>
      <c r="AA3971" s="77"/>
      <c r="AB3971" s="77"/>
      <c r="AC3971" s="82" t="s">
        <v>7787</v>
      </c>
      <c r="AD3971" s="77" t="s">
        <v>7788</v>
      </c>
      <c r="AE3971" s="80" t="str">
        <f>HYPERLINK("https://twitter.com/modalmais/status/1702379711165308972")</f>
        <v>https://twitter.com/modalmais/status/1702379711165308972</v>
      </c>
      <c r="AF3971" s="79">
        <v>45183.744513888887</v>
      </c>
      <c r="AG3971" s="85">
        <v>45183</v>
      </c>
      <c r="AH3971" s="82" t="s">
        <v>10377</v>
      </c>
      <c r="AI3971" s="77" t="b">
        <v>0</v>
      </c>
      <c r="AJ3971" s="77"/>
      <c r="AK3971" s="77"/>
      <c r="AL3971" s="77"/>
      <c r="AM3971" s="77"/>
      <c r="AN3971" s="77"/>
      <c r="AO3971" s="77"/>
      <c r="AP3971" s="77"/>
      <c r="AQ3971" s="77"/>
      <c r="AR3971" s="77"/>
      <c r="AS3971" s="77"/>
      <c r="AT3971" s="77"/>
      <c r="AU3971" s="77"/>
      <c r="AV3971" s="80" t="str">
        <f>HYPERLINK("https://pbs.twimg.com/profile_images/1067039778795937797/PnnLGTU4_normal.jpg")</f>
        <v>https://pbs.twimg.com/profile_images/1067039778795937797/PnnLGTU4_normal.jpg</v>
      </c>
      <c r="AW3971" s="82" t="s">
        <v>15542</v>
      </c>
      <c r="AX3971" s="82" t="s">
        <v>15542</v>
      </c>
      <c r="AY3971" s="77"/>
      <c r="AZ3971" s="82" t="s">
        <v>15984</v>
      </c>
      <c r="BA3971" s="82" t="s">
        <v>15984</v>
      </c>
      <c r="BB3971" s="82" t="s">
        <v>15984</v>
      </c>
      <c r="BC3971" s="82" t="s">
        <v>15542</v>
      </c>
      <c r="BD3971" s="77">
        <v>2578778256</v>
      </c>
      <c r="BE3971" s="77"/>
      <c r="BF3971" s="77"/>
      <c r="BG3971" s="77"/>
      <c r="BH3971" s="77"/>
      <c r="BI3971" s="77"/>
    </row>
    <row r="3972" spans="1:61" x14ac:dyDescent="0.25">
      <c r="A3972" s="62" t="s">
        <v>735</v>
      </c>
      <c r="B3972" s="62" t="s">
        <v>735</v>
      </c>
      <c r="C3972" s="63"/>
      <c r="D3972" s="64"/>
      <c r="E3972" s="65"/>
      <c r="F3972" s="66"/>
      <c r="G3972" s="63"/>
      <c r="H3972" s="67"/>
      <c r="I3972" s="68"/>
      <c r="J3972" s="68"/>
      <c r="K3972" s="32"/>
      <c r="L3972" s="75">
        <v>3972</v>
      </c>
      <c r="M3972" s="75"/>
      <c r="N3972" s="70"/>
      <c r="O3972" s="77" t="s">
        <v>179</v>
      </c>
      <c r="P3972" s="79">
        <v>45149.599780092591</v>
      </c>
      <c r="Q3972" s="77" t="s">
        <v>4614</v>
      </c>
      <c r="R3972" s="77">
        <v>0</v>
      </c>
      <c r="S3972" s="77">
        <v>1</v>
      </c>
      <c r="T3972" s="77">
        <v>0</v>
      </c>
      <c r="U3972" s="77">
        <v>0</v>
      </c>
      <c r="V3972" s="77">
        <v>271</v>
      </c>
      <c r="W3972" s="82" t="s">
        <v>6411</v>
      </c>
      <c r="X3972" s="77"/>
      <c r="Y3972" s="77"/>
      <c r="Z3972" s="77"/>
      <c r="AA3972" s="77"/>
      <c r="AB3972" s="77"/>
      <c r="AC3972" s="82" t="s">
        <v>7787</v>
      </c>
      <c r="AD3972" s="77" t="s">
        <v>7788</v>
      </c>
      <c r="AE3972" s="80" t="str">
        <f>HYPERLINK("https://twitter.com/modalmais/status/1690006074407919616")</f>
        <v>https://twitter.com/modalmais/status/1690006074407919616</v>
      </c>
      <c r="AF3972" s="79">
        <v>45149.599780092591</v>
      </c>
      <c r="AG3972" s="85">
        <v>45149</v>
      </c>
      <c r="AH3972" s="82" t="s">
        <v>10378</v>
      </c>
      <c r="AI3972" s="77"/>
      <c r="AJ3972" s="77"/>
      <c r="AK3972" s="77"/>
      <c r="AL3972" s="77"/>
      <c r="AM3972" s="77"/>
      <c r="AN3972" s="77"/>
      <c r="AO3972" s="77"/>
      <c r="AP3972" s="77"/>
      <c r="AQ3972" s="77"/>
      <c r="AR3972" s="77"/>
      <c r="AS3972" s="77"/>
      <c r="AT3972" s="77"/>
      <c r="AU3972" s="77"/>
      <c r="AV3972" s="80" t="str">
        <f>HYPERLINK("https://pbs.twimg.com/profile_images/1067039778795937797/PnnLGTU4_normal.jpg")</f>
        <v>https://pbs.twimg.com/profile_images/1067039778795937797/PnnLGTU4_normal.jpg</v>
      </c>
      <c r="AW3972" s="82" t="s">
        <v>15543</v>
      </c>
      <c r="AX3972" s="82" t="s">
        <v>15543</v>
      </c>
      <c r="AY3972" s="77"/>
      <c r="AZ3972" s="82" t="s">
        <v>15984</v>
      </c>
      <c r="BA3972" s="82" t="s">
        <v>15984</v>
      </c>
      <c r="BB3972" s="82" t="s">
        <v>15984</v>
      </c>
      <c r="BC3972" s="82" t="s">
        <v>15543</v>
      </c>
      <c r="BD3972" s="77">
        <v>2578778256</v>
      </c>
      <c r="BE3972" s="77"/>
      <c r="BF3972" s="77"/>
      <c r="BG3972" s="77"/>
      <c r="BH3972" s="77"/>
      <c r="BI3972" s="77"/>
    </row>
    <row r="3973" spans="1:61" x14ac:dyDescent="0.25">
      <c r="A3973" s="62" t="s">
        <v>735</v>
      </c>
      <c r="B3973" s="62" t="s">
        <v>735</v>
      </c>
      <c r="C3973" s="63"/>
      <c r="D3973" s="64"/>
      <c r="E3973" s="65"/>
      <c r="F3973" s="66"/>
      <c r="G3973" s="63"/>
      <c r="H3973" s="67"/>
      <c r="I3973" s="68"/>
      <c r="J3973" s="68"/>
      <c r="K3973" s="32"/>
      <c r="L3973" s="75">
        <v>3973</v>
      </c>
      <c r="M3973" s="75"/>
      <c r="N3973" s="70"/>
      <c r="O3973" s="77" t="s">
        <v>179</v>
      </c>
      <c r="P3973" s="79">
        <v>45149.570104166669</v>
      </c>
      <c r="Q3973" s="77" t="s">
        <v>4615</v>
      </c>
      <c r="R3973" s="77">
        <v>0</v>
      </c>
      <c r="S3973" s="77">
        <v>1</v>
      </c>
      <c r="T3973" s="77">
        <v>0</v>
      </c>
      <c r="U3973" s="77">
        <v>0</v>
      </c>
      <c r="V3973" s="77">
        <v>284</v>
      </c>
      <c r="W3973" s="82" t="s">
        <v>6411</v>
      </c>
      <c r="X3973" s="80" t="str">
        <f>HYPERLINK("https://www.modalmais.com.br/morning-call/ipca-tem-alta-de-012-em-julho")</f>
        <v>https://www.modalmais.com.br/morning-call/ipca-tem-alta-de-012-em-julho</v>
      </c>
      <c r="Y3973" s="77" t="s">
        <v>6470</v>
      </c>
      <c r="Z3973" s="77"/>
      <c r="AA3973" s="77"/>
      <c r="AB3973" s="77"/>
      <c r="AC3973" s="82" t="s">
        <v>7787</v>
      </c>
      <c r="AD3973" s="77" t="s">
        <v>7788</v>
      </c>
      <c r="AE3973" s="80" t="str">
        <f>HYPERLINK("https://twitter.com/modalmais/status/1689995319080009728")</f>
        <v>https://twitter.com/modalmais/status/1689995319080009728</v>
      </c>
      <c r="AF3973" s="79">
        <v>45149.570104166669</v>
      </c>
      <c r="AG3973" s="85">
        <v>45149</v>
      </c>
      <c r="AH3973" s="82" t="s">
        <v>10379</v>
      </c>
      <c r="AI3973" s="77" t="b">
        <v>0</v>
      </c>
      <c r="AJ3973" s="77"/>
      <c r="AK3973" s="77"/>
      <c r="AL3973" s="77"/>
      <c r="AM3973" s="77"/>
      <c r="AN3973" s="77"/>
      <c r="AO3973" s="77"/>
      <c r="AP3973" s="77"/>
      <c r="AQ3973" s="77"/>
      <c r="AR3973" s="77"/>
      <c r="AS3973" s="77"/>
      <c r="AT3973" s="77"/>
      <c r="AU3973" s="77"/>
      <c r="AV3973" s="80" t="str">
        <f>HYPERLINK("https://pbs.twimg.com/profile_images/1067039778795937797/PnnLGTU4_normal.jpg")</f>
        <v>https://pbs.twimg.com/profile_images/1067039778795937797/PnnLGTU4_normal.jpg</v>
      </c>
      <c r="AW3973" s="82" t="s">
        <v>15544</v>
      </c>
      <c r="AX3973" s="82" t="s">
        <v>15544</v>
      </c>
      <c r="AY3973" s="77"/>
      <c r="AZ3973" s="82" t="s">
        <v>15984</v>
      </c>
      <c r="BA3973" s="82" t="s">
        <v>15984</v>
      </c>
      <c r="BB3973" s="82" t="s">
        <v>15984</v>
      </c>
      <c r="BC3973" s="82" t="s">
        <v>15544</v>
      </c>
      <c r="BD3973" s="77">
        <v>2578778256</v>
      </c>
      <c r="BE3973" s="77"/>
      <c r="BF3973" s="77"/>
      <c r="BG3973" s="77"/>
      <c r="BH3973" s="77"/>
      <c r="BI3973" s="77"/>
    </row>
    <row r="3974" spans="1:61" x14ac:dyDescent="0.25">
      <c r="A3974" s="62" t="s">
        <v>735</v>
      </c>
      <c r="B3974" s="62" t="s">
        <v>735</v>
      </c>
      <c r="C3974" s="63"/>
      <c r="D3974" s="64"/>
      <c r="E3974" s="65"/>
      <c r="F3974" s="66"/>
      <c r="G3974" s="63"/>
      <c r="H3974" s="67"/>
      <c r="I3974" s="68"/>
      <c r="J3974" s="68"/>
      <c r="K3974" s="32"/>
      <c r="L3974" s="75">
        <v>3974</v>
      </c>
      <c r="M3974" s="75"/>
      <c r="N3974" s="70"/>
      <c r="O3974" s="77" t="s">
        <v>179</v>
      </c>
      <c r="P3974" s="79">
        <v>45149.52957175926</v>
      </c>
      <c r="Q3974" s="77" t="s">
        <v>4616</v>
      </c>
      <c r="R3974" s="77">
        <v>1</v>
      </c>
      <c r="S3974" s="77">
        <v>3</v>
      </c>
      <c r="T3974" s="77">
        <v>0</v>
      </c>
      <c r="U3974" s="77">
        <v>0</v>
      </c>
      <c r="V3974" s="77">
        <v>298</v>
      </c>
      <c r="W3974" s="82" t="s">
        <v>6411</v>
      </c>
      <c r="X3974" s="77"/>
      <c r="Y3974" s="77"/>
      <c r="Z3974" s="77"/>
      <c r="AA3974" s="77"/>
      <c r="AB3974" s="77"/>
      <c r="AC3974" s="82" t="s">
        <v>7787</v>
      </c>
      <c r="AD3974" s="77" t="s">
        <v>7793</v>
      </c>
      <c r="AE3974" s="80" t="str">
        <f>HYPERLINK("https://twitter.com/modalmais/status/1689980633282400256")</f>
        <v>https://twitter.com/modalmais/status/1689980633282400256</v>
      </c>
      <c r="AF3974" s="79">
        <v>45149.52957175926</v>
      </c>
      <c r="AG3974" s="85">
        <v>45149</v>
      </c>
      <c r="AH3974" s="82" t="s">
        <v>10380</v>
      </c>
      <c r="AI3974" s="77"/>
      <c r="AJ3974" s="77"/>
      <c r="AK3974" s="77"/>
      <c r="AL3974" s="77"/>
      <c r="AM3974" s="77"/>
      <c r="AN3974" s="77"/>
      <c r="AO3974" s="77"/>
      <c r="AP3974" s="77"/>
      <c r="AQ3974" s="77"/>
      <c r="AR3974" s="77"/>
      <c r="AS3974" s="77"/>
      <c r="AT3974" s="77"/>
      <c r="AU3974" s="77"/>
      <c r="AV3974" s="80" t="str">
        <f>HYPERLINK("https://pbs.twimg.com/profile_images/1067039778795937797/PnnLGTU4_normal.jpg")</f>
        <v>https://pbs.twimg.com/profile_images/1067039778795937797/PnnLGTU4_normal.jpg</v>
      </c>
      <c r="AW3974" s="82" t="s">
        <v>15545</v>
      </c>
      <c r="AX3974" s="82" t="s">
        <v>15545</v>
      </c>
      <c r="AY3974" s="77"/>
      <c r="AZ3974" s="82" t="s">
        <v>15984</v>
      </c>
      <c r="BA3974" s="82" t="s">
        <v>15984</v>
      </c>
      <c r="BB3974" s="82" t="s">
        <v>15984</v>
      </c>
      <c r="BC3974" s="82" t="s">
        <v>15545</v>
      </c>
      <c r="BD3974" s="77">
        <v>2578778256</v>
      </c>
      <c r="BE3974" s="77"/>
      <c r="BF3974" s="77"/>
      <c r="BG3974" s="77"/>
      <c r="BH3974" s="77"/>
      <c r="BI3974" s="77"/>
    </row>
    <row r="3975" spans="1:61" x14ac:dyDescent="0.25">
      <c r="A3975" s="62" t="s">
        <v>735</v>
      </c>
      <c r="B3975" s="62" t="s">
        <v>735</v>
      </c>
      <c r="C3975" s="63"/>
      <c r="D3975" s="64"/>
      <c r="E3975" s="65"/>
      <c r="F3975" s="66"/>
      <c r="G3975" s="63"/>
      <c r="H3975" s="67"/>
      <c r="I3975" s="68"/>
      <c r="J3975" s="68"/>
      <c r="K3975" s="32"/>
      <c r="L3975" s="75">
        <v>3975</v>
      </c>
      <c r="M3975" s="75"/>
      <c r="N3975" s="70"/>
      <c r="O3975" s="77" t="s">
        <v>179</v>
      </c>
      <c r="P3975" s="79">
        <v>45149.52925925926</v>
      </c>
      <c r="Q3975" s="77" t="s">
        <v>4617</v>
      </c>
      <c r="R3975" s="77">
        <v>1</v>
      </c>
      <c r="S3975" s="77">
        <v>2</v>
      </c>
      <c r="T3975" s="77">
        <v>0</v>
      </c>
      <c r="U3975" s="77">
        <v>0</v>
      </c>
      <c r="V3975" s="77">
        <v>255</v>
      </c>
      <c r="W3975" s="82" t="s">
        <v>6411</v>
      </c>
      <c r="X3975" s="77"/>
      <c r="Y3975" s="77"/>
      <c r="Z3975" s="77"/>
      <c r="AA3975" s="77"/>
      <c r="AB3975" s="77"/>
      <c r="AC3975" s="82" t="s">
        <v>7787</v>
      </c>
      <c r="AD3975" s="77" t="s">
        <v>7797</v>
      </c>
      <c r="AE3975" s="80" t="str">
        <f>HYPERLINK("https://twitter.com/modalmais/status/1689980518081646592")</f>
        <v>https://twitter.com/modalmais/status/1689980518081646592</v>
      </c>
      <c r="AF3975" s="79">
        <v>45149.52925925926</v>
      </c>
      <c r="AG3975" s="85">
        <v>45149</v>
      </c>
      <c r="AH3975" s="82" t="s">
        <v>10381</v>
      </c>
      <c r="AI3975" s="77"/>
      <c r="AJ3975" s="77"/>
      <c r="AK3975" s="77"/>
      <c r="AL3975" s="77"/>
      <c r="AM3975" s="77"/>
      <c r="AN3975" s="77"/>
      <c r="AO3975" s="77"/>
      <c r="AP3975" s="77"/>
      <c r="AQ3975" s="77"/>
      <c r="AR3975" s="77"/>
      <c r="AS3975" s="77"/>
      <c r="AT3975" s="77"/>
      <c r="AU3975" s="77"/>
      <c r="AV3975" s="80" t="str">
        <f>HYPERLINK("https://pbs.twimg.com/profile_images/1067039778795937797/PnnLGTU4_normal.jpg")</f>
        <v>https://pbs.twimg.com/profile_images/1067039778795937797/PnnLGTU4_normal.jpg</v>
      </c>
      <c r="AW3975" s="82" t="s">
        <v>15546</v>
      </c>
      <c r="AX3975" s="82" t="s">
        <v>15546</v>
      </c>
      <c r="AY3975" s="77"/>
      <c r="AZ3975" s="82" t="s">
        <v>15984</v>
      </c>
      <c r="BA3975" s="82" t="s">
        <v>15984</v>
      </c>
      <c r="BB3975" s="82" t="s">
        <v>15984</v>
      </c>
      <c r="BC3975" s="82" t="s">
        <v>15546</v>
      </c>
      <c r="BD3975" s="77">
        <v>2578778256</v>
      </c>
      <c r="BE3975" s="77"/>
      <c r="BF3975" s="77"/>
      <c r="BG3975" s="77"/>
      <c r="BH3975" s="77"/>
      <c r="BI3975" s="77"/>
    </row>
    <row r="3976" spans="1:61" x14ac:dyDescent="0.25">
      <c r="A3976" s="62" t="s">
        <v>735</v>
      </c>
      <c r="B3976" s="62" t="s">
        <v>735</v>
      </c>
      <c r="C3976" s="63"/>
      <c r="D3976" s="64"/>
      <c r="E3976" s="65"/>
      <c r="F3976" s="66"/>
      <c r="G3976" s="63"/>
      <c r="H3976" s="67"/>
      <c r="I3976" s="68"/>
      <c r="J3976" s="68"/>
      <c r="K3976" s="32"/>
      <c r="L3976" s="75">
        <v>3976</v>
      </c>
      <c r="M3976" s="75"/>
      <c r="N3976" s="70"/>
      <c r="O3976" s="77" t="s">
        <v>179</v>
      </c>
      <c r="P3976" s="79">
        <v>45149.528946759259</v>
      </c>
      <c r="Q3976" s="77" t="s">
        <v>4618</v>
      </c>
      <c r="R3976" s="77">
        <v>0</v>
      </c>
      <c r="S3976" s="77">
        <v>2</v>
      </c>
      <c r="T3976" s="77">
        <v>0</v>
      </c>
      <c r="U3976" s="77">
        <v>0</v>
      </c>
      <c r="V3976" s="77">
        <v>267</v>
      </c>
      <c r="W3976" s="82" t="s">
        <v>6411</v>
      </c>
      <c r="X3976" s="77"/>
      <c r="Y3976" s="77"/>
      <c r="Z3976" s="77"/>
      <c r="AA3976" s="77"/>
      <c r="AB3976" s="77"/>
      <c r="AC3976" s="82" t="s">
        <v>7787</v>
      </c>
      <c r="AD3976" s="77" t="s">
        <v>7788</v>
      </c>
      <c r="AE3976" s="80" t="str">
        <f>HYPERLINK("https://twitter.com/modalmais/status/1689980403107442690")</f>
        <v>https://twitter.com/modalmais/status/1689980403107442690</v>
      </c>
      <c r="AF3976" s="79">
        <v>45149.528946759259</v>
      </c>
      <c r="AG3976" s="85">
        <v>45149</v>
      </c>
      <c r="AH3976" s="82" t="s">
        <v>10382</v>
      </c>
      <c r="AI3976" s="77"/>
      <c r="AJ3976" s="77"/>
      <c r="AK3976" s="77"/>
      <c r="AL3976" s="77"/>
      <c r="AM3976" s="77"/>
      <c r="AN3976" s="77"/>
      <c r="AO3976" s="77"/>
      <c r="AP3976" s="77"/>
      <c r="AQ3976" s="77"/>
      <c r="AR3976" s="77"/>
      <c r="AS3976" s="77"/>
      <c r="AT3976" s="77"/>
      <c r="AU3976" s="77"/>
      <c r="AV3976" s="80" t="str">
        <f>HYPERLINK("https://pbs.twimg.com/profile_images/1067039778795937797/PnnLGTU4_normal.jpg")</f>
        <v>https://pbs.twimg.com/profile_images/1067039778795937797/PnnLGTU4_normal.jpg</v>
      </c>
      <c r="AW3976" s="82" t="s">
        <v>15547</v>
      </c>
      <c r="AX3976" s="82" t="s">
        <v>15547</v>
      </c>
      <c r="AY3976" s="77"/>
      <c r="AZ3976" s="82" t="s">
        <v>15984</v>
      </c>
      <c r="BA3976" s="82" t="s">
        <v>15984</v>
      </c>
      <c r="BB3976" s="82" t="s">
        <v>15984</v>
      </c>
      <c r="BC3976" s="82" t="s">
        <v>15547</v>
      </c>
      <c r="BD3976" s="77">
        <v>2578778256</v>
      </c>
      <c r="BE3976" s="77"/>
      <c r="BF3976" s="77"/>
      <c r="BG3976" s="77"/>
      <c r="BH3976" s="77"/>
      <c r="BI3976" s="77"/>
    </row>
    <row r="3977" spans="1:61" x14ac:dyDescent="0.25">
      <c r="A3977" s="62" t="s">
        <v>735</v>
      </c>
      <c r="B3977" s="62" t="s">
        <v>735</v>
      </c>
      <c r="C3977" s="63"/>
      <c r="D3977" s="64"/>
      <c r="E3977" s="65"/>
      <c r="F3977" s="66"/>
      <c r="G3977" s="63"/>
      <c r="H3977" s="67"/>
      <c r="I3977" s="68"/>
      <c r="J3977" s="68"/>
      <c r="K3977" s="32"/>
      <c r="L3977" s="75">
        <v>3977</v>
      </c>
      <c r="M3977" s="75"/>
      <c r="N3977" s="70"/>
      <c r="O3977" s="77" t="s">
        <v>179</v>
      </c>
      <c r="P3977" s="79">
        <v>45149.528657407405</v>
      </c>
      <c r="Q3977" s="77" t="s">
        <v>4619</v>
      </c>
      <c r="R3977" s="77">
        <v>0</v>
      </c>
      <c r="S3977" s="77">
        <v>1</v>
      </c>
      <c r="T3977" s="77">
        <v>0</v>
      </c>
      <c r="U3977" s="77">
        <v>0</v>
      </c>
      <c r="V3977" s="77">
        <v>234</v>
      </c>
      <c r="W3977" s="82" t="s">
        <v>6411</v>
      </c>
      <c r="X3977" s="77"/>
      <c r="Y3977" s="77"/>
      <c r="Z3977" s="77"/>
      <c r="AA3977" s="77"/>
      <c r="AB3977" s="77"/>
      <c r="AC3977" s="82" t="s">
        <v>7787</v>
      </c>
      <c r="AD3977" s="77" t="s">
        <v>7788</v>
      </c>
      <c r="AE3977" s="80" t="str">
        <f>HYPERLINK("https://twitter.com/modalmais/status/1689980297968861185")</f>
        <v>https://twitter.com/modalmais/status/1689980297968861185</v>
      </c>
      <c r="AF3977" s="79">
        <v>45149.528657407405</v>
      </c>
      <c r="AG3977" s="85">
        <v>45149</v>
      </c>
      <c r="AH3977" s="82" t="s">
        <v>10383</v>
      </c>
      <c r="AI3977" s="77"/>
      <c r="AJ3977" s="77"/>
      <c r="AK3977" s="77"/>
      <c r="AL3977" s="77"/>
      <c r="AM3977" s="77"/>
      <c r="AN3977" s="77"/>
      <c r="AO3977" s="77"/>
      <c r="AP3977" s="77"/>
      <c r="AQ3977" s="77"/>
      <c r="AR3977" s="77"/>
      <c r="AS3977" s="77"/>
      <c r="AT3977" s="77"/>
      <c r="AU3977" s="77"/>
      <c r="AV3977" s="80" t="str">
        <f>HYPERLINK("https://pbs.twimg.com/profile_images/1067039778795937797/PnnLGTU4_normal.jpg")</f>
        <v>https://pbs.twimg.com/profile_images/1067039778795937797/PnnLGTU4_normal.jpg</v>
      </c>
      <c r="AW3977" s="82" t="s">
        <v>15548</v>
      </c>
      <c r="AX3977" s="82" t="s">
        <v>15548</v>
      </c>
      <c r="AY3977" s="77"/>
      <c r="AZ3977" s="82" t="s">
        <v>15984</v>
      </c>
      <c r="BA3977" s="82" t="s">
        <v>15984</v>
      </c>
      <c r="BB3977" s="82" t="s">
        <v>15984</v>
      </c>
      <c r="BC3977" s="82" t="s">
        <v>15548</v>
      </c>
      <c r="BD3977" s="77">
        <v>2578778256</v>
      </c>
      <c r="BE3977" s="77"/>
      <c r="BF3977" s="77"/>
      <c r="BG3977" s="77"/>
      <c r="BH3977" s="77"/>
      <c r="BI3977" s="77"/>
    </row>
    <row r="3978" spans="1:61" x14ac:dyDescent="0.25">
      <c r="A3978" s="62" t="s">
        <v>735</v>
      </c>
      <c r="B3978" s="62" t="s">
        <v>735</v>
      </c>
      <c r="C3978" s="63"/>
      <c r="D3978" s="64"/>
      <c r="E3978" s="65"/>
      <c r="F3978" s="66"/>
      <c r="G3978" s="63"/>
      <c r="H3978" s="67"/>
      <c r="I3978" s="68"/>
      <c r="J3978" s="68"/>
      <c r="K3978" s="32"/>
      <c r="L3978" s="75">
        <v>3978</v>
      </c>
      <c r="M3978" s="75"/>
      <c r="N3978" s="70"/>
      <c r="O3978" s="77" t="s">
        <v>179</v>
      </c>
      <c r="P3978" s="79">
        <v>45131.821875000001</v>
      </c>
      <c r="Q3978" s="77" t="s">
        <v>4620</v>
      </c>
      <c r="R3978" s="77">
        <v>0</v>
      </c>
      <c r="S3978" s="77">
        <v>0</v>
      </c>
      <c r="T3978" s="77">
        <v>0</v>
      </c>
      <c r="U3978" s="77">
        <v>0</v>
      </c>
      <c r="V3978" s="77">
        <v>392</v>
      </c>
      <c r="W3978" s="82" t="s">
        <v>6411</v>
      </c>
      <c r="X3978" s="80" t="str">
        <f>HYPERLINK("https://www.youtube.com/watch?v=lKGWEMfyZAw")</f>
        <v>https://www.youtube.com/watch?v=lKGWEMfyZAw</v>
      </c>
      <c r="Y3978" s="77" t="s">
        <v>6480</v>
      </c>
      <c r="Z3978" s="77"/>
      <c r="AA3978" s="77"/>
      <c r="AB3978" s="77"/>
      <c r="AC3978" s="82" t="s">
        <v>7787</v>
      </c>
      <c r="AD3978" s="77" t="s">
        <v>7788</v>
      </c>
      <c r="AE3978" s="80" t="str">
        <f>HYPERLINK("https://twitter.com/modalmais/status/1683563578496802820")</f>
        <v>https://twitter.com/modalmais/status/1683563578496802820</v>
      </c>
      <c r="AF3978" s="79">
        <v>45131.821875000001</v>
      </c>
      <c r="AG3978" s="85">
        <v>45131</v>
      </c>
      <c r="AH3978" s="82" t="s">
        <v>10384</v>
      </c>
      <c r="AI3978" s="77" t="b">
        <v>0</v>
      </c>
      <c r="AJ3978" s="77"/>
      <c r="AK3978" s="77"/>
      <c r="AL3978" s="77"/>
      <c r="AM3978" s="77"/>
      <c r="AN3978" s="77"/>
      <c r="AO3978" s="77"/>
      <c r="AP3978" s="77"/>
      <c r="AQ3978" s="77"/>
      <c r="AR3978" s="77"/>
      <c r="AS3978" s="77"/>
      <c r="AT3978" s="77"/>
      <c r="AU3978" s="77"/>
      <c r="AV3978" s="80" t="str">
        <f>HYPERLINK("https://pbs.twimg.com/profile_images/1067039778795937797/PnnLGTU4_normal.jpg")</f>
        <v>https://pbs.twimg.com/profile_images/1067039778795937797/PnnLGTU4_normal.jpg</v>
      </c>
      <c r="AW3978" s="82" t="s">
        <v>15549</v>
      </c>
      <c r="AX3978" s="82" t="s">
        <v>15549</v>
      </c>
      <c r="AY3978" s="77"/>
      <c r="AZ3978" s="82" t="s">
        <v>15984</v>
      </c>
      <c r="BA3978" s="82" t="s">
        <v>15984</v>
      </c>
      <c r="BB3978" s="82" t="s">
        <v>15984</v>
      </c>
      <c r="BC3978" s="82" t="s">
        <v>15549</v>
      </c>
      <c r="BD3978" s="77">
        <v>2578778256</v>
      </c>
      <c r="BE3978" s="77"/>
      <c r="BF3978" s="77"/>
      <c r="BG3978" s="77"/>
      <c r="BH3978" s="77"/>
      <c r="BI3978" s="77"/>
    </row>
    <row r="3979" spans="1:61" x14ac:dyDescent="0.25">
      <c r="A3979" s="62" t="s">
        <v>735</v>
      </c>
      <c r="B3979" s="62" t="s">
        <v>735</v>
      </c>
      <c r="C3979" s="63"/>
      <c r="D3979" s="64"/>
      <c r="E3979" s="65"/>
      <c r="F3979" s="66"/>
      <c r="G3979" s="63"/>
      <c r="H3979" s="67"/>
      <c r="I3979" s="68"/>
      <c r="J3979" s="68"/>
      <c r="K3979" s="32"/>
      <c r="L3979" s="75">
        <v>3979</v>
      </c>
      <c r="M3979" s="75"/>
      <c r="N3979" s="70"/>
      <c r="O3979" s="77" t="s">
        <v>179</v>
      </c>
      <c r="P3979" s="79">
        <v>45131.821539351855</v>
      </c>
      <c r="Q3979" s="77" t="s">
        <v>4621</v>
      </c>
      <c r="R3979" s="77">
        <v>0</v>
      </c>
      <c r="S3979" s="77">
        <v>1</v>
      </c>
      <c r="T3979" s="77">
        <v>0</v>
      </c>
      <c r="U3979" s="77">
        <v>0</v>
      </c>
      <c r="V3979" s="77">
        <v>356</v>
      </c>
      <c r="W3979" s="82" t="s">
        <v>6411</v>
      </c>
      <c r="X3979" s="77"/>
      <c r="Y3979" s="77"/>
      <c r="Z3979" s="77"/>
      <c r="AA3979" s="77"/>
      <c r="AB3979" s="77"/>
      <c r="AC3979" s="82" t="s">
        <v>7787</v>
      </c>
      <c r="AD3979" s="77" t="s">
        <v>7790</v>
      </c>
      <c r="AE3979" s="80" t="str">
        <f>HYPERLINK("https://twitter.com/modalmais/status/1683563453712068610")</f>
        <v>https://twitter.com/modalmais/status/1683563453712068610</v>
      </c>
      <c r="AF3979" s="79">
        <v>45131.821539351855</v>
      </c>
      <c r="AG3979" s="85">
        <v>45131</v>
      </c>
      <c r="AH3979" s="82" t="s">
        <v>10385</v>
      </c>
      <c r="AI3979" s="77"/>
      <c r="AJ3979" s="77"/>
      <c r="AK3979" s="77"/>
      <c r="AL3979" s="77"/>
      <c r="AM3979" s="77"/>
      <c r="AN3979" s="77"/>
      <c r="AO3979" s="77"/>
      <c r="AP3979" s="77"/>
      <c r="AQ3979" s="77"/>
      <c r="AR3979" s="77"/>
      <c r="AS3979" s="77"/>
      <c r="AT3979" s="77"/>
      <c r="AU3979" s="77"/>
      <c r="AV3979" s="80" t="str">
        <f>HYPERLINK("https://pbs.twimg.com/profile_images/1067039778795937797/PnnLGTU4_normal.jpg")</f>
        <v>https://pbs.twimg.com/profile_images/1067039778795937797/PnnLGTU4_normal.jpg</v>
      </c>
      <c r="AW3979" s="82" t="s">
        <v>15550</v>
      </c>
      <c r="AX3979" s="82" t="s">
        <v>15550</v>
      </c>
      <c r="AY3979" s="77"/>
      <c r="AZ3979" s="82" t="s">
        <v>15984</v>
      </c>
      <c r="BA3979" s="82" t="s">
        <v>15984</v>
      </c>
      <c r="BB3979" s="82" t="s">
        <v>15984</v>
      </c>
      <c r="BC3979" s="82" t="s">
        <v>15550</v>
      </c>
      <c r="BD3979" s="77">
        <v>2578778256</v>
      </c>
      <c r="BE3979" s="77"/>
      <c r="BF3979" s="77"/>
      <c r="BG3979" s="77"/>
      <c r="BH3979" s="77"/>
      <c r="BI3979" s="77"/>
    </row>
    <row r="3980" spans="1:61" x14ac:dyDescent="0.25">
      <c r="A3980" s="62" t="s">
        <v>735</v>
      </c>
      <c r="B3980" s="62" t="s">
        <v>735</v>
      </c>
      <c r="C3980" s="63"/>
      <c r="D3980" s="64"/>
      <c r="E3980" s="65"/>
      <c r="F3980" s="66"/>
      <c r="G3980" s="63"/>
      <c r="H3980" s="67"/>
      <c r="I3980" s="68"/>
      <c r="J3980" s="68"/>
      <c r="K3980" s="32"/>
      <c r="L3980" s="75">
        <v>3980</v>
      </c>
      <c r="M3980" s="75"/>
      <c r="N3980" s="70"/>
      <c r="O3980" s="77" t="s">
        <v>179</v>
      </c>
      <c r="P3980" s="79">
        <v>45131.821064814816</v>
      </c>
      <c r="Q3980" s="77" t="s">
        <v>4622</v>
      </c>
      <c r="R3980" s="77">
        <v>0</v>
      </c>
      <c r="S3980" s="77">
        <v>0</v>
      </c>
      <c r="T3980" s="77">
        <v>0</v>
      </c>
      <c r="U3980" s="77">
        <v>0</v>
      </c>
      <c r="V3980" s="77">
        <v>326</v>
      </c>
      <c r="W3980" s="82" t="s">
        <v>6411</v>
      </c>
      <c r="X3980" s="77"/>
      <c r="Y3980" s="77"/>
      <c r="Z3980" s="77"/>
      <c r="AA3980" s="77"/>
      <c r="AB3980" s="77"/>
      <c r="AC3980" s="82" t="s">
        <v>7787</v>
      </c>
      <c r="AD3980" s="77" t="s">
        <v>7788</v>
      </c>
      <c r="AE3980" s="80" t="str">
        <f>HYPERLINK("https://twitter.com/modalmais/status/1683563282253201410")</f>
        <v>https://twitter.com/modalmais/status/1683563282253201410</v>
      </c>
      <c r="AF3980" s="79">
        <v>45131.821064814816</v>
      </c>
      <c r="AG3980" s="85">
        <v>45131</v>
      </c>
      <c r="AH3980" s="82" t="s">
        <v>10386</v>
      </c>
      <c r="AI3980" s="77"/>
      <c r="AJ3980" s="77"/>
      <c r="AK3980" s="77"/>
      <c r="AL3980" s="77"/>
      <c r="AM3980" s="77"/>
      <c r="AN3980" s="77"/>
      <c r="AO3980" s="77"/>
      <c r="AP3980" s="77"/>
      <c r="AQ3980" s="77"/>
      <c r="AR3980" s="77"/>
      <c r="AS3980" s="77"/>
      <c r="AT3980" s="77"/>
      <c r="AU3980" s="77"/>
      <c r="AV3980" s="80" t="str">
        <f>HYPERLINK("https://pbs.twimg.com/profile_images/1067039778795937797/PnnLGTU4_normal.jpg")</f>
        <v>https://pbs.twimg.com/profile_images/1067039778795937797/PnnLGTU4_normal.jpg</v>
      </c>
      <c r="AW3980" s="82" t="s">
        <v>15551</v>
      </c>
      <c r="AX3980" s="82" t="s">
        <v>15551</v>
      </c>
      <c r="AY3980" s="77"/>
      <c r="AZ3980" s="82" t="s">
        <v>15984</v>
      </c>
      <c r="BA3980" s="82" t="s">
        <v>15984</v>
      </c>
      <c r="BB3980" s="82" t="s">
        <v>15984</v>
      </c>
      <c r="BC3980" s="82" t="s">
        <v>15551</v>
      </c>
      <c r="BD3980" s="77">
        <v>2578778256</v>
      </c>
      <c r="BE3980" s="77"/>
      <c r="BF3980" s="77"/>
      <c r="BG3980" s="77"/>
      <c r="BH3980" s="77"/>
      <c r="BI3980" s="77"/>
    </row>
    <row r="3981" spans="1:61" x14ac:dyDescent="0.25">
      <c r="A3981" s="62" t="s">
        <v>735</v>
      </c>
      <c r="B3981" s="62" t="s">
        <v>735</v>
      </c>
      <c r="C3981" s="63"/>
      <c r="D3981" s="64"/>
      <c r="E3981" s="65"/>
      <c r="F3981" s="66"/>
      <c r="G3981" s="63"/>
      <c r="H3981" s="67"/>
      <c r="I3981" s="68"/>
      <c r="J3981" s="68"/>
      <c r="K3981" s="32"/>
      <c r="L3981" s="75">
        <v>3981</v>
      </c>
      <c r="M3981" s="75"/>
      <c r="N3981" s="70"/>
      <c r="O3981" s="77" t="s">
        <v>179</v>
      </c>
      <c r="P3981" s="79">
        <v>45181.571319444447</v>
      </c>
      <c r="Q3981" s="77" t="s">
        <v>4623</v>
      </c>
      <c r="R3981" s="77">
        <v>0</v>
      </c>
      <c r="S3981" s="77">
        <v>0</v>
      </c>
      <c r="T3981" s="77">
        <v>0</v>
      </c>
      <c r="U3981" s="77">
        <v>0</v>
      </c>
      <c r="V3981" s="77">
        <v>428</v>
      </c>
      <c r="W3981" s="82" t="s">
        <v>6424</v>
      </c>
      <c r="X3981" s="80" t="str">
        <f>HYPERLINK("https://www.youtube.com/watch?v=2af7b0cJkKU")</f>
        <v>https://www.youtube.com/watch?v=2af7b0cJkKU</v>
      </c>
      <c r="Y3981" s="77" t="s">
        <v>6480</v>
      </c>
      <c r="Z3981" s="77"/>
      <c r="AA3981" s="77"/>
      <c r="AB3981" s="77"/>
      <c r="AC3981" s="82" t="s">
        <v>7787</v>
      </c>
      <c r="AD3981" s="77" t="s">
        <v>7788</v>
      </c>
      <c r="AE3981" s="80" t="str">
        <f>HYPERLINK("https://twitter.com/modalmais/status/1701592172947288426")</f>
        <v>https://twitter.com/modalmais/status/1701592172947288426</v>
      </c>
      <c r="AF3981" s="79">
        <v>45181.571319444447</v>
      </c>
      <c r="AG3981" s="85">
        <v>45181</v>
      </c>
      <c r="AH3981" s="82" t="s">
        <v>10387</v>
      </c>
      <c r="AI3981" s="77" t="b">
        <v>0</v>
      </c>
      <c r="AJ3981" s="77"/>
      <c r="AK3981" s="77"/>
      <c r="AL3981" s="77"/>
      <c r="AM3981" s="77"/>
      <c r="AN3981" s="77"/>
      <c r="AO3981" s="77"/>
      <c r="AP3981" s="77"/>
      <c r="AQ3981" s="77"/>
      <c r="AR3981" s="77"/>
      <c r="AS3981" s="77"/>
      <c r="AT3981" s="77"/>
      <c r="AU3981" s="77"/>
      <c r="AV3981" s="80" t="str">
        <f>HYPERLINK("https://pbs.twimg.com/profile_images/1067039778795937797/PnnLGTU4_normal.jpg")</f>
        <v>https://pbs.twimg.com/profile_images/1067039778795937797/PnnLGTU4_normal.jpg</v>
      </c>
      <c r="AW3981" s="82" t="s">
        <v>15552</v>
      </c>
      <c r="AX3981" s="82" t="s">
        <v>15552</v>
      </c>
      <c r="AY3981" s="77"/>
      <c r="AZ3981" s="82" t="s">
        <v>15984</v>
      </c>
      <c r="BA3981" s="82" t="s">
        <v>15984</v>
      </c>
      <c r="BB3981" s="82" t="s">
        <v>15984</v>
      </c>
      <c r="BC3981" s="82" t="s">
        <v>15552</v>
      </c>
      <c r="BD3981" s="77">
        <v>2578778256</v>
      </c>
      <c r="BE3981" s="77"/>
      <c r="BF3981" s="77"/>
      <c r="BG3981" s="77"/>
      <c r="BH3981" s="77"/>
      <c r="BI3981" s="77"/>
    </row>
    <row r="3982" spans="1:61" x14ac:dyDescent="0.25">
      <c r="A3982" s="62" t="s">
        <v>735</v>
      </c>
      <c r="B3982" s="62" t="s">
        <v>735</v>
      </c>
      <c r="C3982" s="63"/>
      <c r="D3982" s="64"/>
      <c r="E3982" s="65"/>
      <c r="F3982" s="66"/>
      <c r="G3982" s="63"/>
      <c r="H3982" s="67"/>
      <c r="I3982" s="68"/>
      <c r="J3982" s="68"/>
      <c r="K3982" s="32"/>
      <c r="L3982" s="75">
        <v>3982</v>
      </c>
      <c r="M3982" s="75"/>
      <c r="N3982" s="70"/>
      <c r="O3982" s="77" t="s">
        <v>179</v>
      </c>
      <c r="P3982" s="79">
        <v>45155.512708333335</v>
      </c>
      <c r="Q3982" s="77" t="s">
        <v>4624</v>
      </c>
      <c r="R3982" s="77">
        <v>0</v>
      </c>
      <c r="S3982" s="77">
        <v>1</v>
      </c>
      <c r="T3982" s="77">
        <v>0</v>
      </c>
      <c r="U3982" s="77">
        <v>0</v>
      </c>
      <c r="V3982" s="77">
        <v>324</v>
      </c>
      <c r="W3982" s="82" t="s">
        <v>6413</v>
      </c>
      <c r="X3982" s="77"/>
      <c r="Y3982" s="77"/>
      <c r="Z3982" s="77"/>
      <c r="AA3982" s="77"/>
      <c r="AB3982" s="77"/>
      <c r="AC3982" s="82" t="s">
        <v>7787</v>
      </c>
      <c r="AD3982" s="77" t="s">
        <v>7797</v>
      </c>
      <c r="AE3982" s="80" t="str">
        <f>HYPERLINK("https://twitter.com/modalmais/status/1692148845491130533")</f>
        <v>https://twitter.com/modalmais/status/1692148845491130533</v>
      </c>
      <c r="AF3982" s="79">
        <v>45155.512708333335</v>
      </c>
      <c r="AG3982" s="85">
        <v>45155</v>
      </c>
      <c r="AH3982" s="82" t="s">
        <v>10388</v>
      </c>
      <c r="AI3982" s="77"/>
      <c r="AJ3982" s="77"/>
      <c r="AK3982" s="77"/>
      <c r="AL3982" s="77"/>
      <c r="AM3982" s="77"/>
      <c r="AN3982" s="77"/>
      <c r="AO3982" s="77"/>
      <c r="AP3982" s="77"/>
      <c r="AQ3982" s="77"/>
      <c r="AR3982" s="77"/>
      <c r="AS3982" s="77"/>
      <c r="AT3982" s="77"/>
      <c r="AU3982" s="77"/>
      <c r="AV3982" s="80" t="str">
        <f>HYPERLINK("https://pbs.twimg.com/profile_images/1067039778795937797/PnnLGTU4_normal.jpg")</f>
        <v>https://pbs.twimg.com/profile_images/1067039778795937797/PnnLGTU4_normal.jpg</v>
      </c>
      <c r="AW3982" s="82" t="s">
        <v>15553</v>
      </c>
      <c r="AX3982" s="82" t="s">
        <v>15553</v>
      </c>
      <c r="AY3982" s="77"/>
      <c r="AZ3982" s="82" t="s">
        <v>15984</v>
      </c>
      <c r="BA3982" s="82" t="s">
        <v>15984</v>
      </c>
      <c r="BB3982" s="82" t="s">
        <v>15984</v>
      </c>
      <c r="BC3982" s="82" t="s">
        <v>15553</v>
      </c>
      <c r="BD3982" s="77">
        <v>2578778256</v>
      </c>
      <c r="BE3982" s="77"/>
      <c r="BF3982" s="77"/>
      <c r="BG3982" s="77"/>
      <c r="BH3982" s="77"/>
      <c r="BI3982" s="77"/>
    </row>
    <row r="3983" spans="1:61" x14ac:dyDescent="0.25">
      <c r="A3983" s="62" t="s">
        <v>735</v>
      </c>
      <c r="B3983" s="62" t="s">
        <v>735</v>
      </c>
      <c r="C3983" s="63"/>
      <c r="D3983" s="64"/>
      <c r="E3983" s="65"/>
      <c r="F3983" s="66"/>
      <c r="G3983" s="63"/>
      <c r="H3983" s="67"/>
      <c r="I3983" s="68"/>
      <c r="J3983" s="68"/>
      <c r="K3983" s="32"/>
      <c r="L3983" s="75">
        <v>3983</v>
      </c>
      <c r="M3983" s="75"/>
      <c r="N3983" s="70"/>
      <c r="O3983" s="77" t="s">
        <v>179</v>
      </c>
      <c r="P3983" s="79">
        <v>45155.512280092589</v>
      </c>
      <c r="Q3983" s="77" t="s">
        <v>4625</v>
      </c>
      <c r="R3983" s="77">
        <v>0</v>
      </c>
      <c r="S3983" s="77">
        <v>0</v>
      </c>
      <c r="T3983" s="77">
        <v>0</v>
      </c>
      <c r="U3983" s="77">
        <v>0</v>
      </c>
      <c r="V3983" s="77">
        <v>299</v>
      </c>
      <c r="W3983" s="82" t="s">
        <v>6414</v>
      </c>
      <c r="X3983" s="77"/>
      <c r="Y3983" s="77"/>
      <c r="Z3983" s="77"/>
      <c r="AA3983" s="77"/>
      <c r="AB3983" s="77"/>
      <c r="AC3983" s="82" t="s">
        <v>7787</v>
      </c>
      <c r="AD3983" s="77" t="s">
        <v>7793</v>
      </c>
      <c r="AE3983" s="80" t="str">
        <f>HYPERLINK("https://twitter.com/modalmais/status/1692148690889154886")</f>
        <v>https://twitter.com/modalmais/status/1692148690889154886</v>
      </c>
      <c r="AF3983" s="79">
        <v>45155.512280092589</v>
      </c>
      <c r="AG3983" s="85">
        <v>45155</v>
      </c>
      <c r="AH3983" s="82" t="s">
        <v>10389</v>
      </c>
      <c r="AI3983" s="77"/>
      <c r="AJ3983" s="77"/>
      <c r="AK3983" s="77"/>
      <c r="AL3983" s="77"/>
      <c r="AM3983" s="77"/>
      <c r="AN3983" s="77"/>
      <c r="AO3983" s="77"/>
      <c r="AP3983" s="77"/>
      <c r="AQ3983" s="77"/>
      <c r="AR3983" s="77"/>
      <c r="AS3983" s="77"/>
      <c r="AT3983" s="77"/>
      <c r="AU3983" s="77"/>
      <c r="AV3983" s="80" t="str">
        <f>HYPERLINK("https://pbs.twimg.com/profile_images/1067039778795937797/PnnLGTU4_normal.jpg")</f>
        <v>https://pbs.twimg.com/profile_images/1067039778795937797/PnnLGTU4_normal.jpg</v>
      </c>
      <c r="AW3983" s="82" t="s">
        <v>15554</v>
      </c>
      <c r="AX3983" s="82" t="s">
        <v>15554</v>
      </c>
      <c r="AY3983" s="77"/>
      <c r="AZ3983" s="82" t="s">
        <v>15984</v>
      </c>
      <c r="BA3983" s="82" t="s">
        <v>15984</v>
      </c>
      <c r="BB3983" s="82" t="s">
        <v>15984</v>
      </c>
      <c r="BC3983" s="82" t="s">
        <v>15554</v>
      </c>
      <c r="BD3983" s="77">
        <v>2578778256</v>
      </c>
      <c r="BE3983" s="77"/>
      <c r="BF3983" s="77"/>
      <c r="BG3983" s="77"/>
      <c r="BH3983" s="77"/>
      <c r="BI3983" s="77"/>
    </row>
    <row r="3984" spans="1:61" x14ac:dyDescent="0.25">
      <c r="A3984" s="62" t="s">
        <v>735</v>
      </c>
      <c r="B3984" s="62" t="s">
        <v>735</v>
      </c>
      <c r="C3984" s="63"/>
      <c r="D3984" s="64"/>
      <c r="E3984" s="65"/>
      <c r="F3984" s="66"/>
      <c r="G3984" s="63"/>
      <c r="H3984" s="67"/>
      <c r="I3984" s="68"/>
      <c r="J3984" s="68"/>
      <c r="K3984" s="32"/>
      <c r="L3984" s="75">
        <v>3984</v>
      </c>
      <c r="M3984" s="75"/>
      <c r="N3984" s="70"/>
      <c r="O3984" s="77" t="s">
        <v>179</v>
      </c>
      <c r="P3984" s="79">
        <v>45155.511307870373</v>
      </c>
      <c r="Q3984" s="77" t="s">
        <v>4626</v>
      </c>
      <c r="R3984" s="77">
        <v>0</v>
      </c>
      <c r="S3984" s="77">
        <v>0</v>
      </c>
      <c r="T3984" s="77">
        <v>0</v>
      </c>
      <c r="U3984" s="77">
        <v>0</v>
      </c>
      <c r="V3984" s="77">
        <v>318</v>
      </c>
      <c r="W3984" s="82" t="s">
        <v>6421</v>
      </c>
      <c r="X3984" s="80" t="str">
        <f>HYPERLINK("https://www.youtube.com/watch?v=xs4OpOtI5aQ")</f>
        <v>https://www.youtube.com/watch?v=xs4OpOtI5aQ</v>
      </c>
      <c r="Y3984" s="77" t="s">
        <v>6480</v>
      </c>
      <c r="Z3984" s="77"/>
      <c r="AA3984" s="77"/>
      <c r="AB3984" s="77"/>
      <c r="AC3984" s="82" t="s">
        <v>7787</v>
      </c>
      <c r="AD3984" s="77" t="s">
        <v>7788</v>
      </c>
      <c r="AE3984" s="80" t="str">
        <f>HYPERLINK("https://twitter.com/modalmais/status/1692148338752115055")</f>
        <v>https://twitter.com/modalmais/status/1692148338752115055</v>
      </c>
      <c r="AF3984" s="79">
        <v>45155.511307870373</v>
      </c>
      <c r="AG3984" s="85">
        <v>45155</v>
      </c>
      <c r="AH3984" s="82" t="s">
        <v>10390</v>
      </c>
      <c r="AI3984" s="77" t="b">
        <v>0</v>
      </c>
      <c r="AJ3984" s="77"/>
      <c r="AK3984" s="77"/>
      <c r="AL3984" s="77"/>
      <c r="AM3984" s="77"/>
      <c r="AN3984" s="77"/>
      <c r="AO3984" s="77"/>
      <c r="AP3984" s="77"/>
      <c r="AQ3984" s="77"/>
      <c r="AR3984" s="77"/>
      <c r="AS3984" s="77"/>
      <c r="AT3984" s="77"/>
      <c r="AU3984" s="77"/>
      <c r="AV3984" s="80" t="str">
        <f>HYPERLINK("https://pbs.twimg.com/profile_images/1067039778795937797/PnnLGTU4_normal.jpg")</f>
        <v>https://pbs.twimg.com/profile_images/1067039778795937797/PnnLGTU4_normal.jpg</v>
      </c>
      <c r="AW3984" s="82" t="s">
        <v>15555</v>
      </c>
      <c r="AX3984" s="82" t="s">
        <v>15555</v>
      </c>
      <c r="AY3984" s="77"/>
      <c r="AZ3984" s="82" t="s">
        <v>15984</v>
      </c>
      <c r="BA3984" s="82" t="s">
        <v>15984</v>
      </c>
      <c r="BB3984" s="82" t="s">
        <v>15984</v>
      </c>
      <c r="BC3984" s="82" t="s">
        <v>15555</v>
      </c>
      <c r="BD3984" s="77">
        <v>2578778256</v>
      </c>
      <c r="BE3984" s="77"/>
      <c r="BF3984" s="77"/>
      <c r="BG3984" s="77"/>
      <c r="BH3984" s="77"/>
      <c r="BI3984" s="77"/>
    </row>
    <row r="3985" spans="1:61" x14ac:dyDescent="0.25">
      <c r="A3985" s="62" t="s">
        <v>735</v>
      </c>
      <c r="B3985" s="62" t="s">
        <v>735</v>
      </c>
      <c r="C3985" s="63"/>
      <c r="D3985" s="64"/>
      <c r="E3985" s="65"/>
      <c r="F3985" s="66"/>
      <c r="G3985" s="63"/>
      <c r="H3985" s="67"/>
      <c r="I3985" s="68"/>
      <c r="J3985" s="68"/>
      <c r="K3985" s="32"/>
      <c r="L3985" s="75">
        <v>3985</v>
      </c>
      <c r="M3985" s="75"/>
      <c r="N3985" s="70"/>
      <c r="O3985" s="77" t="s">
        <v>179</v>
      </c>
      <c r="P3985" s="79">
        <v>45155.510740740741</v>
      </c>
      <c r="Q3985" s="77" t="s">
        <v>4627</v>
      </c>
      <c r="R3985" s="77">
        <v>0</v>
      </c>
      <c r="S3985" s="77">
        <v>0</v>
      </c>
      <c r="T3985" s="77">
        <v>0</v>
      </c>
      <c r="U3985" s="77">
        <v>0</v>
      </c>
      <c r="V3985" s="77">
        <v>299</v>
      </c>
      <c r="W3985" s="82" t="s">
        <v>6421</v>
      </c>
      <c r="X3985" s="80" t="str">
        <f>HYPERLINK("https://www.youtube.com/watch?v=SBdNlNbjGpQ")</f>
        <v>https://www.youtube.com/watch?v=SBdNlNbjGpQ</v>
      </c>
      <c r="Y3985" s="77" t="s">
        <v>6480</v>
      </c>
      <c r="Z3985" s="77"/>
      <c r="AA3985" s="77"/>
      <c r="AB3985" s="77"/>
      <c r="AC3985" s="82" t="s">
        <v>7787</v>
      </c>
      <c r="AD3985" s="77" t="s">
        <v>7788</v>
      </c>
      <c r="AE3985" s="80" t="str">
        <f>HYPERLINK("https://twitter.com/modalmais/status/1692148133621358624")</f>
        <v>https://twitter.com/modalmais/status/1692148133621358624</v>
      </c>
      <c r="AF3985" s="79">
        <v>45155.510740740741</v>
      </c>
      <c r="AG3985" s="85">
        <v>45155</v>
      </c>
      <c r="AH3985" s="82" t="s">
        <v>8940</v>
      </c>
      <c r="AI3985" s="77" t="b">
        <v>0</v>
      </c>
      <c r="AJ3985" s="77"/>
      <c r="AK3985" s="77"/>
      <c r="AL3985" s="77"/>
      <c r="AM3985" s="77"/>
      <c r="AN3985" s="77"/>
      <c r="AO3985" s="77"/>
      <c r="AP3985" s="77"/>
      <c r="AQ3985" s="77"/>
      <c r="AR3985" s="77"/>
      <c r="AS3985" s="77"/>
      <c r="AT3985" s="77"/>
      <c r="AU3985" s="77"/>
      <c r="AV3985" s="80" t="str">
        <f>HYPERLINK("https://pbs.twimg.com/profile_images/1067039778795937797/PnnLGTU4_normal.jpg")</f>
        <v>https://pbs.twimg.com/profile_images/1067039778795937797/PnnLGTU4_normal.jpg</v>
      </c>
      <c r="AW3985" s="82" t="s">
        <v>15556</v>
      </c>
      <c r="AX3985" s="82" t="s">
        <v>15556</v>
      </c>
      <c r="AY3985" s="77"/>
      <c r="AZ3985" s="82" t="s">
        <v>15984</v>
      </c>
      <c r="BA3985" s="82" t="s">
        <v>15984</v>
      </c>
      <c r="BB3985" s="82" t="s">
        <v>15984</v>
      </c>
      <c r="BC3985" s="82" t="s">
        <v>15556</v>
      </c>
      <c r="BD3985" s="77">
        <v>2578778256</v>
      </c>
      <c r="BE3985" s="77"/>
      <c r="BF3985" s="77"/>
      <c r="BG3985" s="77"/>
      <c r="BH3985" s="77"/>
      <c r="BI3985" s="77"/>
    </row>
    <row r="3986" spans="1:61" x14ac:dyDescent="0.25">
      <c r="A3986" s="62" t="s">
        <v>735</v>
      </c>
      <c r="B3986" s="62" t="s">
        <v>735</v>
      </c>
      <c r="C3986" s="63"/>
      <c r="D3986" s="64"/>
      <c r="E3986" s="65"/>
      <c r="F3986" s="66"/>
      <c r="G3986" s="63"/>
      <c r="H3986" s="67"/>
      <c r="I3986" s="68"/>
      <c r="J3986" s="68"/>
      <c r="K3986" s="32"/>
      <c r="L3986" s="75">
        <v>3986</v>
      </c>
      <c r="M3986" s="75"/>
      <c r="N3986" s="70"/>
      <c r="O3986" s="77" t="s">
        <v>179</v>
      </c>
      <c r="P3986" s="79">
        <v>45145.841157407405</v>
      </c>
      <c r="Q3986" s="77" t="s">
        <v>4628</v>
      </c>
      <c r="R3986" s="77">
        <v>1</v>
      </c>
      <c r="S3986" s="77">
        <v>1</v>
      </c>
      <c r="T3986" s="77">
        <v>0</v>
      </c>
      <c r="U3986" s="77">
        <v>0</v>
      </c>
      <c r="V3986" s="77">
        <v>339</v>
      </c>
      <c r="W3986" s="82" t="s">
        <v>6411</v>
      </c>
      <c r="X3986" s="80" t="str">
        <f>HYPERLINK("https://www.youtube.com/watch?v=YSUtlDmTccE")</f>
        <v>https://www.youtube.com/watch?v=YSUtlDmTccE</v>
      </c>
      <c r="Y3986" s="77" t="s">
        <v>6480</v>
      </c>
      <c r="Z3986" s="77"/>
      <c r="AA3986" s="77"/>
      <c r="AB3986" s="77"/>
      <c r="AC3986" s="82" t="s">
        <v>7787</v>
      </c>
      <c r="AD3986" s="77" t="s">
        <v>7788</v>
      </c>
      <c r="AE3986" s="80" t="str">
        <f>HYPERLINK("https://twitter.com/modalmais/status/1688643995553992704")</f>
        <v>https://twitter.com/modalmais/status/1688643995553992704</v>
      </c>
      <c r="AF3986" s="79">
        <v>45145.841157407405</v>
      </c>
      <c r="AG3986" s="85">
        <v>45145</v>
      </c>
      <c r="AH3986" s="82" t="s">
        <v>10391</v>
      </c>
      <c r="AI3986" s="77" t="b">
        <v>0</v>
      </c>
      <c r="AJ3986" s="77"/>
      <c r="AK3986" s="77"/>
      <c r="AL3986" s="77"/>
      <c r="AM3986" s="77"/>
      <c r="AN3986" s="77"/>
      <c r="AO3986" s="77"/>
      <c r="AP3986" s="77"/>
      <c r="AQ3986" s="77"/>
      <c r="AR3986" s="77"/>
      <c r="AS3986" s="77"/>
      <c r="AT3986" s="77"/>
      <c r="AU3986" s="77"/>
      <c r="AV3986" s="80" t="str">
        <f>HYPERLINK("https://pbs.twimg.com/profile_images/1067039778795937797/PnnLGTU4_normal.jpg")</f>
        <v>https://pbs.twimg.com/profile_images/1067039778795937797/PnnLGTU4_normal.jpg</v>
      </c>
      <c r="AW3986" s="82" t="s">
        <v>15557</v>
      </c>
      <c r="AX3986" s="82" t="s">
        <v>15557</v>
      </c>
      <c r="AY3986" s="77"/>
      <c r="AZ3986" s="82" t="s">
        <v>15984</v>
      </c>
      <c r="BA3986" s="82" t="s">
        <v>15984</v>
      </c>
      <c r="BB3986" s="82" t="s">
        <v>15984</v>
      </c>
      <c r="BC3986" s="82" t="s">
        <v>15557</v>
      </c>
      <c r="BD3986" s="77">
        <v>2578778256</v>
      </c>
      <c r="BE3986" s="77"/>
      <c r="BF3986" s="77"/>
      <c r="BG3986" s="77"/>
      <c r="BH3986" s="77"/>
      <c r="BI3986" s="77"/>
    </row>
    <row r="3987" spans="1:61" x14ac:dyDescent="0.25">
      <c r="A3987" s="62" t="s">
        <v>735</v>
      </c>
      <c r="B3987" s="62" t="s">
        <v>735</v>
      </c>
      <c r="C3987" s="63"/>
      <c r="D3987" s="64"/>
      <c r="E3987" s="65"/>
      <c r="F3987" s="66"/>
      <c r="G3987" s="63"/>
      <c r="H3987" s="67"/>
      <c r="I3987" s="68"/>
      <c r="J3987" s="68"/>
      <c r="K3987" s="32"/>
      <c r="L3987" s="75">
        <v>3987</v>
      </c>
      <c r="M3987" s="75"/>
      <c r="N3987" s="70"/>
      <c r="O3987" s="77" t="s">
        <v>179</v>
      </c>
      <c r="P3987" s="79">
        <v>45127.532372685186</v>
      </c>
      <c r="Q3987" s="77" t="s">
        <v>4629</v>
      </c>
      <c r="R3987" s="77">
        <v>0</v>
      </c>
      <c r="S3987" s="77">
        <v>1</v>
      </c>
      <c r="T3987" s="77">
        <v>0</v>
      </c>
      <c r="U3987" s="77">
        <v>0</v>
      </c>
      <c r="V3987" s="77">
        <v>241</v>
      </c>
      <c r="W3987" s="82" t="s">
        <v>6410</v>
      </c>
      <c r="X3987" s="77"/>
      <c r="Y3987" s="77"/>
      <c r="Z3987" s="77"/>
      <c r="AA3987" s="77"/>
      <c r="AB3987" s="77"/>
      <c r="AC3987" s="82" t="s">
        <v>7787</v>
      </c>
      <c r="AD3987" s="77" t="s">
        <v>7788</v>
      </c>
      <c r="AE3987" s="80" t="str">
        <f>HYPERLINK("https://twitter.com/modalmais/status/1682009112740089862")</f>
        <v>https://twitter.com/modalmais/status/1682009112740089862</v>
      </c>
      <c r="AF3987" s="79">
        <v>45127.532372685186</v>
      </c>
      <c r="AG3987" s="85">
        <v>45127</v>
      </c>
      <c r="AH3987" s="82" t="s">
        <v>10392</v>
      </c>
      <c r="AI3987" s="77"/>
      <c r="AJ3987" s="77"/>
      <c r="AK3987" s="77"/>
      <c r="AL3987" s="77"/>
      <c r="AM3987" s="77"/>
      <c r="AN3987" s="77"/>
      <c r="AO3987" s="77"/>
      <c r="AP3987" s="77"/>
      <c r="AQ3987" s="77"/>
      <c r="AR3987" s="77"/>
      <c r="AS3987" s="77"/>
      <c r="AT3987" s="77"/>
      <c r="AU3987" s="77"/>
      <c r="AV3987" s="80" t="str">
        <f>HYPERLINK("https://pbs.twimg.com/profile_images/1067039778795937797/PnnLGTU4_normal.jpg")</f>
        <v>https://pbs.twimg.com/profile_images/1067039778795937797/PnnLGTU4_normal.jpg</v>
      </c>
      <c r="AW3987" s="82" t="s">
        <v>15558</v>
      </c>
      <c r="AX3987" s="82" t="s">
        <v>15558</v>
      </c>
      <c r="AY3987" s="77"/>
      <c r="AZ3987" s="82" t="s">
        <v>15984</v>
      </c>
      <c r="BA3987" s="82" t="s">
        <v>15984</v>
      </c>
      <c r="BB3987" s="82" t="s">
        <v>15984</v>
      </c>
      <c r="BC3987" s="82" t="s">
        <v>15558</v>
      </c>
      <c r="BD3987" s="77">
        <v>2578778256</v>
      </c>
      <c r="BE3987" s="77"/>
      <c r="BF3987" s="77"/>
      <c r="BG3987" s="77"/>
      <c r="BH3987" s="77"/>
      <c r="BI3987" s="77"/>
    </row>
    <row r="3988" spans="1:61" x14ac:dyDescent="0.25">
      <c r="A3988" s="62" t="s">
        <v>735</v>
      </c>
      <c r="B3988" s="62" t="s">
        <v>735</v>
      </c>
      <c r="C3988" s="63"/>
      <c r="D3988" s="64"/>
      <c r="E3988" s="65"/>
      <c r="F3988" s="66"/>
      <c r="G3988" s="63"/>
      <c r="H3988" s="67"/>
      <c r="I3988" s="68"/>
      <c r="J3988" s="68"/>
      <c r="K3988" s="32"/>
      <c r="L3988" s="75">
        <v>3988</v>
      </c>
      <c r="M3988" s="75"/>
      <c r="N3988" s="70"/>
      <c r="O3988" s="77" t="s">
        <v>179</v>
      </c>
      <c r="P3988" s="79">
        <v>45127.532025462962</v>
      </c>
      <c r="Q3988" s="77" t="s">
        <v>4630</v>
      </c>
      <c r="R3988" s="77">
        <v>0</v>
      </c>
      <c r="S3988" s="77">
        <v>2</v>
      </c>
      <c r="T3988" s="77">
        <v>0</v>
      </c>
      <c r="U3988" s="77">
        <v>0</v>
      </c>
      <c r="V3988" s="77">
        <v>262</v>
      </c>
      <c r="W3988" s="82" t="s">
        <v>6410</v>
      </c>
      <c r="X3988" s="77"/>
      <c r="Y3988" s="77"/>
      <c r="Z3988" s="77"/>
      <c r="AA3988" s="77"/>
      <c r="AB3988" s="77"/>
      <c r="AC3988" s="82" t="s">
        <v>7787</v>
      </c>
      <c r="AD3988" s="77" t="s">
        <v>7788</v>
      </c>
      <c r="AE3988" s="80" t="str">
        <f>HYPERLINK("https://twitter.com/modalmais/status/1682008986998931458")</f>
        <v>https://twitter.com/modalmais/status/1682008986998931458</v>
      </c>
      <c r="AF3988" s="79">
        <v>45127.532025462962</v>
      </c>
      <c r="AG3988" s="85">
        <v>45127</v>
      </c>
      <c r="AH3988" s="82" t="s">
        <v>10393</v>
      </c>
      <c r="AI3988" s="77"/>
      <c r="AJ3988" s="77"/>
      <c r="AK3988" s="77"/>
      <c r="AL3988" s="77"/>
      <c r="AM3988" s="77"/>
      <c r="AN3988" s="77"/>
      <c r="AO3988" s="77"/>
      <c r="AP3988" s="77"/>
      <c r="AQ3988" s="77"/>
      <c r="AR3988" s="77"/>
      <c r="AS3988" s="77"/>
      <c r="AT3988" s="77"/>
      <c r="AU3988" s="77"/>
      <c r="AV3988" s="80" t="str">
        <f>HYPERLINK("https://pbs.twimg.com/profile_images/1067039778795937797/PnnLGTU4_normal.jpg")</f>
        <v>https://pbs.twimg.com/profile_images/1067039778795937797/PnnLGTU4_normal.jpg</v>
      </c>
      <c r="AW3988" s="82" t="s">
        <v>15559</v>
      </c>
      <c r="AX3988" s="82" t="s">
        <v>15559</v>
      </c>
      <c r="AY3988" s="77"/>
      <c r="AZ3988" s="82" t="s">
        <v>15984</v>
      </c>
      <c r="BA3988" s="82" t="s">
        <v>15984</v>
      </c>
      <c r="BB3988" s="82" t="s">
        <v>15984</v>
      </c>
      <c r="BC3988" s="82" t="s">
        <v>15559</v>
      </c>
      <c r="BD3988" s="77">
        <v>2578778256</v>
      </c>
      <c r="BE3988" s="77"/>
      <c r="BF3988" s="77"/>
      <c r="BG3988" s="77"/>
      <c r="BH3988" s="77"/>
      <c r="BI3988" s="77"/>
    </row>
    <row r="3989" spans="1:61" x14ac:dyDescent="0.25">
      <c r="A3989" s="62" t="s">
        <v>735</v>
      </c>
      <c r="B3989" s="62" t="s">
        <v>735</v>
      </c>
      <c r="C3989" s="63"/>
      <c r="D3989" s="64"/>
      <c r="E3989" s="65"/>
      <c r="F3989" s="66"/>
      <c r="G3989" s="63"/>
      <c r="H3989" s="67"/>
      <c r="I3989" s="68"/>
      <c r="J3989" s="68"/>
      <c r="K3989" s="32"/>
      <c r="L3989" s="75">
        <v>3989</v>
      </c>
      <c r="M3989" s="75"/>
      <c r="N3989" s="70"/>
      <c r="O3989" s="77" t="s">
        <v>179</v>
      </c>
      <c r="P3989" s="79">
        <v>45127.531701388885</v>
      </c>
      <c r="Q3989" s="77" t="s">
        <v>4631</v>
      </c>
      <c r="R3989" s="77">
        <v>0</v>
      </c>
      <c r="S3989" s="77">
        <v>1</v>
      </c>
      <c r="T3989" s="77">
        <v>0</v>
      </c>
      <c r="U3989" s="77">
        <v>0</v>
      </c>
      <c r="V3989" s="77">
        <v>247</v>
      </c>
      <c r="W3989" s="82" t="s">
        <v>6410</v>
      </c>
      <c r="X3989" s="77"/>
      <c r="Y3989" s="77"/>
      <c r="Z3989" s="77"/>
      <c r="AA3989" s="77"/>
      <c r="AB3989" s="77"/>
      <c r="AC3989" s="82" t="s">
        <v>7787</v>
      </c>
      <c r="AD3989" s="77" t="s">
        <v>7788</v>
      </c>
      <c r="AE3989" s="80" t="str">
        <f>HYPERLINK("https://twitter.com/modalmais/status/1682008868933476352")</f>
        <v>https://twitter.com/modalmais/status/1682008868933476352</v>
      </c>
      <c r="AF3989" s="79">
        <v>45127.531701388885</v>
      </c>
      <c r="AG3989" s="85">
        <v>45127</v>
      </c>
      <c r="AH3989" s="82" t="s">
        <v>10394</v>
      </c>
      <c r="AI3989" s="77"/>
      <c r="AJ3989" s="77"/>
      <c r="AK3989" s="77"/>
      <c r="AL3989" s="77"/>
      <c r="AM3989" s="77"/>
      <c r="AN3989" s="77"/>
      <c r="AO3989" s="77"/>
      <c r="AP3989" s="77"/>
      <c r="AQ3989" s="77"/>
      <c r="AR3989" s="77"/>
      <c r="AS3989" s="77"/>
      <c r="AT3989" s="77"/>
      <c r="AU3989" s="77"/>
      <c r="AV3989" s="80" t="str">
        <f>HYPERLINK("https://pbs.twimg.com/profile_images/1067039778795937797/PnnLGTU4_normal.jpg")</f>
        <v>https://pbs.twimg.com/profile_images/1067039778795937797/PnnLGTU4_normal.jpg</v>
      </c>
      <c r="AW3989" s="82" t="s">
        <v>15560</v>
      </c>
      <c r="AX3989" s="82" t="s">
        <v>15560</v>
      </c>
      <c r="AY3989" s="77"/>
      <c r="AZ3989" s="82" t="s">
        <v>15984</v>
      </c>
      <c r="BA3989" s="82" t="s">
        <v>15984</v>
      </c>
      <c r="BB3989" s="82" t="s">
        <v>15984</v>
      </c>
      <c r="BC3989" s="82" t="s">
        <v>15560</v>
      </c>
      <c r="BD3989" s="77">
        <v>2578778256</v>
      </c>
      <c r="BE3989" s="77"/>
      <c r="BF3989" s="77"/>
      <c r="BG3989" s="77"/>
      <c r="BH3989" s="77"/>
      <c r="BI3989" s="77"/>
    </row>
    <row r="3990" spans="1:61" x14ac:dyDescent="0.25">
      <c r="A3990" s="62" t="s">
        <v>735</v>
      </c>
      <c r="B3990" s="62" t="s">
        <v>735</v>
      </c>
      <c r="C3990" s="63"/>
      <c r="D3990" s="64"/>
      <c r="E3990" s="65"/>
      <c r="F3990" s="66"/>
      <c r="G3990" s="63"/>
      <c r="H3990" s="67"/>
      <c r="I3990" s="68"/>
      <c r="J3990" s="68"/>
      <c r="K3990" s="32"/>
      <c r="L3990" s="75">
        <v>3990</v>
      </c>
      <c r="M3990" s="75"/>
      <c r="N3990" s="70"/>
      <c r="O3990" s="77" t="s">
        <v>179</v>
      </c>
      <c r="P3990" s="79">
        <v>45127.531111111108</v>
      </c>
      <c r="Q3990" s="77" t="s">
        <v>4632</v>
      </c>
      <c r="R3990" s="77">
        <v>0</v>
      </c>
      <c r="S3990" s="77">
        <v>0</v>
      </c>
      <c r="T3990" s="77">
        <v>0</v>
      </c>
      <c r="U3990" s="77">
        <v>0</v>
      </c>
      <c r="V3990" s="77">
        <v>243</v>
      </c>
      <c r="W3990" s="82" t="s">
        <v>6410</v>
      </c>
      <c r="X3990" s="77"/>
      <c r="Y3990" s="77"/>
      <c r="Z3990" s="77"/>
      <c r="AA3990" s="77"/>
      <c r="AB3990" s="77"/>
      <c r="AC3990" s="82" t="s">
        <v>7787</v>
      </c>
      <c r="AD3990" s="77" t="s">
        <v>7793</v>
      </c>
      <c r="AE3990" s="80" t="str">
        <f>HYPERLINK("https://twitter.com/modalmais/status/1682008657733533696")</f>
        <v>https://twitter.com/modalmais/status/1682008657733533696</v>
      </c>
      <c r="AF3990" s="79">
        <v>45127.531111111108</v>
      </c>
      <c r="AG3990" s="85">
        <v>45127</v>
      </c>
      <c r="AH3990" s="82" t="s">
        <v>10395</v>
      </c>
      <c r="AI3990" s="77"/>
      <c r="AJ3990" s="77"/>
      <c r="AK3990" s="77"/>
      <c r="AL3990" s="77"/>
      <c r="AM3990" s="77"/>
      <c r="AN3990" s="77"/>
      <c r="AO3990" s="77"/>
      <c r="AP3990" s="77"/>
      <c r="AQ3990" s="77"/>
      <c r="AR3990" s="77"/>
      <c r="AS3990" s="77"/>
      <c r="AT3990" s="77"/>
      <c r="AU3990" s="77"/>
      <c r="AV3990" s="80" t="str">
        <f>HYPERLINK("https://pbs.twimg.com/profile_images/1067039778795937797/PnnLGTU4_normal.jpg")</f>
        <v>https://pbs.twimg.com/profile_images/1067039778795937797/PnnLGTU4_normal.jpg</v>
      </c>
      <c r="AW3990" s="82" t="s">
        <v>15561</v>
      </c>
      <c r="AX3990" s="82" t="s">
        <v>15561</v>
      </c>
      <c r="AY3990" s="77"/>
      <c r="AZ3990" s="82" t="s">
        <v>15984</v>
      </c>
      <c r="BA3990" s="82" t="s">
        <v>15984</v>
      </c>
      <c r="BB3990" s="82" t="s">
        <v>15984</v>
      </c>
      <c r="BC3990" s="82" t="s">
        <v>15561</v>
      </c>
      <c r="BD3990" s="77">
        <v>2578778256</v>
      </c>
      <c r="BE3990" s="77"/>
      <c r="BF3990" s="77"/>
      <c r="BG3990" s="77"/>
      <c r="BH3990" s="77"/>
      <c r="BI3990" s="77"/>
    </row>
    <row r="3991" spans="1:61" x14ac:dyDescent="0.25">
      <c r="A3991" s="62" t="s">
        <v>735</v>
      </c>
      <c r="B3991" s="62" t="s">
        <v>735</v>
      </c>
      <c r="C3991" s="63"/>
      <c r="D3991" s="64"/>
      <c r="E3991" s="65"/>
      <c r="F3991" s="66"/>
      <c r="G3991" s="63"/>
      <c r="H3991" s="67"/>
      <c r="I3991" s="68"/>
      <c r="J3991" s="68"/>
      <c r="K3991" s="32"/>
      <c r="L3991" s="75">
        <v>3991</v>
      </c>
      <c r="M3991" s="75"/>
      <c r="N3991" s="70"/>
      <c r="O3991" s="77" t="s">
        <v>179</v>
      </c>
      <c r="P3991" s="79">
        <v>45127.530775462961</v>
      </c>
      <c r="Q3991" s="77" t="s">
        <v>4633</v>
      </c>
      <c r="R3991" s="77">
        <v>0</v>
      </c>
      <c r="S3991" s="77">
        <v>3</v>
      </c>
      <c r="T3991" s="77">
        <v>0</v>
      </c>
      <c r="U3991" s="77">
        <v>0</v>
      </c>
      <c r="V3991" s="77">
        <v>261</v>
      </c>
      <c r="W3991" s="82" t="s">
        <v>6410</v>
      </c>
      <c r="X3991" s="77"/>
      <c r="Y3991" s="77"/>
      <c r="Z3991" s="77"/>
      <c r="AA3991" s="77"/>
      <c r="AB3991" s="77"/>
      <c r="AC3991" s="82" t="s">
        <v>7787</v>
      </c>
      <c r="AD3991" s="77" t="s">
        <v>7797</v>
      </c>
      <c r="AE3991" s="80" t="str">
        <f>HYPERLINK("https://twitter.com/modalmais/status/1682008532873359360")</f>
        <v>https://twitter.com/modalmais/status/1682008532873359360</v>
      </c>
      <c r="AF3991" s="79">
        <v>45127.530775462961</v>
      </c>
      <c r="AG3991" s="85">
        <v>45127</v>
      </c>
      <c r="AH3991" s="82" t="s">
        <v>10396</v>
      </c>
      <c r="AI3991" s="77"/>
      <c r="AJ3991" s="77"/>
      <c r="AK3991" s="77"/>
      <c r="AL3991" s="77"/>
      <c r="AM3991" s="77"/>
      <c r="AN3991" s="77"/>
      <c r="AO3991" s="77"/>
      <c r="AP3991" s="77"/>
      <c r="AQ3991" s="77"/>
      <c r="AR3991" s="77"/>
      <c r="AS3991" s="77"/>
      <c r="AT3991" s="77"/>
      <c r="AU3991" s="77"/>
      <c r="AV3991" s="80" t="str">
        <f>HYPERLINK("https://pbs.twimg.com/profile_images/1067039778795937797/PnnLGTU4_normal.jpg")</f>
        <v>https://pbs.twimg.com/profile_images/1067039778795937797/PnnLGTU4_normal.jpg</v>
      </c>
      <c r="AW3991" s="82" t="s">
        <v>15562</v>
      </c>
      <c r="AX3991" s="82" t="s">
        <v>15562</v>
      </c>
      <c r="AY3991" s="77"/>
      <c r="AZ3991" s="82" t="s">
        <v>15984</v>
      </c>
      <c r="BA3991" s="82" t="s">
        <v>15984</v>
      </c>
      <c r="BB3991" s="82" t="s">
        <v>15984</v>
      </c>
      <c r="BC3991" s="82" t="s">
        <v>15562</v>
      </c>
      <c r="BD3991" s="77">
        <v>2578778256</v>
      </c>
      <c r="BE3991" s="77"/>
      <c r="BF3991" s="77"/>
      <c r="BG3991" s="77"/>
      <c r="BH3991" s="77"/>
      <c r="BI3991" s="77"/>
    </row>
    <row r="3992" spans="1:61" x14ac:dyDescent="0.25">
      <c r="A3992" s="62" t="s">
        <v>735</v>
      </c>
      <c r="B3992" s="62" t="s">
        <v>735</v>
      </c>
      <c r="C3992" s="63"/>
      <c r="D3992" s="64"/>
      <c r="E3992" s="65"/>
      <c r="F3992" s="66"/>
      <c r="G3992" s="63"/>
      <c r="H3992" s="67"/>
      <c r="I3992" s="68"/>
      <c r="J3992" s="68"/>
      <c r="K3992" s="32"/>
      <c r="L3992" s="75">
        <v>3992</v>
      </c>
      <c r="M3992" s="75"/>
      <c r="N3992" s="70"/>
      <c r="O3992" s="77" t="s">
        <v>179</v>
      </c>
      <c r="P3992" s="79">
        <v>45127.497627314813</v>
      </c>
      <c r="Q3992" s="77" t="s">
        <v>4634</v>
      </c>
      <c r="R3992" s="77">
        <v>0</v>
      </c>
      <c r="S3992" s="77">
        <v>1</v>
      </c>
      <c r="T3992" s="77">
        <v>0</v>
      </c>
      <c r="U3992" s="77">
        <v>0</v>
      </c>
      <c r="V3992" s="77">
        <v>303</v>
      </c>
      <c r="W3992" s="82" t="s">
        <v>6410</v>
      </c>
      <c r="X3992" s="80" t="str">
        <f>HYPERLINK("https://www.youtube.com/watch?v=43T5BF0-1ns")</f>
        <v>https://www.youtube.com/watch?v=43T5BF0-1ns</v>
      </c>
      <c r="Y3992" s="77" t="s">
        <v>6480</v>
      </c>
      <c r="Z3992" s="77"/>
      <c r="AA3992" s="77"/>
      <c r="AB3992" s="77"/>
      <c r="AC3992" s="82" t="s">
        <v>7787</v>
      </c>
      <c r="AD3992" s="77" t="s">
        <v>7788</v>
      </c>
      <c r="AE3992" s="80" t="str">
        <f>HYPERLINK("https://twitter.com/modalmais/status/1681996521103929345")</f>
        <v>https://twitter.com/modalmais/status/1681996521103929345</v>
      </c>
      <c r="AF3992" s="79">
        <v>45127.497627314813</v>
      </c>
      <c r="AG3992" s="85">
        <v>45127</v>
      </c>
      <c r="AH3992" s="82" t="s">
        <v>10397</v>
      </c>
      <c r="AI3992" s="77" t="b">
        <v>0</v>
      </c>
      <c r="AJ3992" s="77"/>
      <c r="AK3992" s="77"/>
      <c r="AL3992" s="77"/>
      <c r="AM3992" s="77"/>
      <c r="AN3992" s="77"/>
      <c r="AO3992" s="77"/>
      <c r="AP3992" s="77"/>
      <c r="AQ3992" s="77"/>
      <c r="AR3992" s="77"/>
      <c r="AS3992" s="77"/>
      <c r="AT3992" s="77"/>
      <c r="AU3992" s="77"/>
      <c r="AV3992" s="80" t="str">
        <f>HYPERLINK("https://pbs.twimg.com/profile_images/1067039778795937797/PnnLGTU4_normal.jpg")</f>
        <v>https://pbs.twimg.com/profile_images/1067039778795937797/PnnLGTU4_normal.jpg</v>
      </c>
      <c r="AW3992" s="82" t="s">
        <v>15563</v>
      </c>
      <c r="AX3992" s="82" t="s">
        <v>15563</v>
      </c>
      <c r="AY3992" s="77"/>
      <c r="AZ3992" s="82" t="s">
        <v>15984</v>
      </c>
      <c r="BA3992" s="82" t="s">
        <v>15984</v>
      </c>
      <c r="BB3992" s="82" t="s">
        <v>15984</v>
      </c>
      <c r="BC3992" s="82" t="s">
        <v>15563</v>
      </c>
      <c r="BD3992" s="77">
        <v>2578778256</v>
      </c>
      <c r="BE3992" s="77"/>
      <c r="BF3992" s="77"/>
      <c r="BG3992" s="77"/>
      <c r="BH3992" s="77"/>
      <c r="BI3992" s="77"/>
    </row>
    <row r="3993" spans="1:61" x14ac:dyDescent="0.25">
      <c r="A3993" s="62" t="s">
        <v>735</v>
      </c>
      <c r="B3993" s="62" t="s">
        <v>735</v>
      </c>
      <c r="C3993" s="63"/>
      <c r="D3993" s="64"/>
      <c r="E3993" s="65"/>
      <c r="F3993" s="66"/>
      <c r="G3993" s="63"/>
      <c r="H3993" s="67"/>
      <c r="I3993" s="68"/>
      <c r="J3993" s="68"/>
      <c r="K3993" s="32"/>
      <c r="L3993" s="75">
        <v>3993</v>
      </c>
      <c r="M3993" s="75"/>
      <c r="N3993" s="70"/>
      <c r="O3993" s="77" t="s">
        <v>179</v>
      </c>
      <c r="P3993" s="79">
        <v>45126.824780092589</v>
      </c>
      <c r="Q3993" s="77" t="s">
        <v>4635</v>
      </c>
      <c r="R3993" s="77">
        <v>0</v>
      </c>
      <c r="S3993" s="77">
        <v>2</v>
      </c>
      <c r="T3993" s="77">
        <v>0</v>
      </c>
      <c r="U3993" s="77">
        <v>0</v>
      </c>
      <c r="V3993" s="77">
        <v>472</v>
      </c>
      <c r="W3993" s="82" t="s">
        <v>6410</v>
      </c>
      <c r="X3993" s="77"/>
      <c r="Y3993" s="77"/>
      <c r="Z3993" s="77"/>
      <c r="AA3993" s="77"/>
      <c r="AB3993" s="77"/>
      <c r="AC3993" s="82" t="s">
        <v>7787</v>
      </c>
      <c r="AD3993" s="77" t="s">
        <v>7788</v>
      </c>
      <c r="AE3993" s="80" t="str">
        <f>HYPERLINK("https://twitter.com/modalmais/status/1681752690148225024")</f>
        <v>https://twitter.com/modalmais/status/1681752690148225024</v>
      </c>
      <c r="AF3993" s="79">
        <v>45126.824780092589</v>
      </c>
      <c r="AG3993" s="85">
        <v>45126</v>
      </c>
      <c r="AH3993" s="82" t="s">
        <v>10398</v>
      </c>
      <c r="AI3993" s="77"/>
      <c r="AJ3993" s="77"/>
      <c r="AK3993" s="77"/>
      <c r="AL3993" s="77"/>
      <c r="AM3993" s="77"/>
      <c r="AN3993" s="77"/>
      <c r="AO3993" s="77"/>
      <c r="AP3993" s="77"/>
      <c r="AQ3993" s="77"/>
      <c r="AR3993" s="77"/>
      <c r="AS3993" s="77"/>
      <c r="AT3993" s="77"/>
      <c r="AU3993" s="77"/>
      <c r="AV3993" s="80" t="str">
        <f>HYPERLINK("https://pbs.twimg.com/profile_images/1067039778795937797/PnnLGTU4_normal.jpg")</f>
        <v>https://pbs.twimg.com/profile_images/1067039778795937797/PnnLGTU4_normal.jpg</v>
      </c>
      <c r="AW3993" s="82" t="s">
        <v>15564</v>
      </c>
      <c r="AX3993" s="82" t="s">
        <v>15564</v>
      </c>
      <c r="AY3993" s="77"/>
      <c r="AZ3993" s="82" t="s">
        <v>15984</v>
      </c>
      <c r="BA3993" s="82" t="s">
        <v>15984</v>
      </c>
      <c r="BB3993" s="82" t="s">
        <v>15984</v>
      </c>
      <c r="BC3993" s="82" t="s">
        <v>15564</v>
      </c>
      <c r="BD3993" s="77">
        <v>2578778256</v>
      </c>
      <c r="BE3993" s="77"/>
      <c r="BF3993" s="77"/>
      <c r="BG3993" s="77"/>
      <c r="BH3993" s="77"/>
      <c r="BI3993" s="77"/>
    </row>
    <row r="3994" spans="1:61" x14ac:dyDescent="0.25">
      <c r="A3994" s="62" t="s">
        <v>735</v>
      </c>
      <c r="B3994" s="62" t="s">
        <v>735</v>
      </c>
      <c r="C3994" s="63"/>
      <c r="D3994" s="64"/>
      <c r="E3994" s="65"/>
      <c r="F3994" s="66"/>
      <c r="G3994" s="63"/>
      <c r="H3994" s="67"/>
      <c r="I3994" s="68"/>
      <c r="J3994" s="68"/>
      <c r="K3994" s="32"/>
      <c r="L3994" s="75">
        <v>3994</v>
      </c>
      <c r="M3994" s="75"/>
      <c r="N3994" s="70"/>
      <c r="O3994" s="77" t="s">
        <v>179</v>
      </c>
      <c r="P3994" s="79">
        <v>45126.824247685188</v>
      </c>
      <c r="Q3994" s="77" t="s">
        <v>4636</v>
      </c>
      <c r="R3994" s="77">
        <v>0</v>
      </c>
      <c r="S3994" s="77">
        <v>1</v>
      </c>
      <c r="T3994" s="77">
        <v>0</v>
      </c>
      <c r="U3994" s="77">
        <v>0</v>
      </c>
      <c r="V3994" s="77">
        <v>345</v>
      </c>
      <c r="W3994" s="82" t="s">
        <v>6411</v>
      </c>
      <c r="X3994" s="80" t="str">
        <f>HYPERLINK("https://www.youtube.com/watch?v=0MEwYpsMOwk")</f>
        <v>https://www.youtube.com/watch?v=0MEwYpsMOwk</v>
      </c>
      <c r="Y3994" s="77" t="s">
        <v>6480</v>
      </c>
      <c r="Z3994" s="77"/>
      <c r="AA3994" s="77"/>
      <c r="AB3994" s="77"/>
      <c r="AC3994" s="82" t="s">
        <v>7787</v>
      </c>
      <c r="AD3994" s="77" t="s">
        <v>7788</v>
      </c>
      <c r="AE3994" s="80" t="str">
        <f>HYPERLINK("https://twitter.com/modalmais/status/1681752498124603392")</f>
        <v>https://twitter.com/modalmais/status/1681752498124603392</v>
      </c>
      <c r="AF3994" s="79">
        <v>45126.824247685188</v>
      </c>
      <c r="AG3994" s="85">
        <v>45126</v>
      </c>
      <c r="AH3994" s="82" t="s">
        <v>10399</v>
      </c>
      <c r="AI3994" s="77" t="b">
        <v>0</v>
      </c>
      <c r="AJ3994" s="77"/>
      <c r="AK3994" s="77"/>
      <c r="AL3994" s="77"/>
      <c r="AM3994" s="77"/>
      <c r="AN3994" s="77"/>
      <c r="AO3994" s="77"/>
      <c r="AP3994" s="77"/>
      <c r="AQ3994" s="77"/>
      <c r="AR3994" s="77"/>
      <c r="AS3994" s="77"/>
      <c r="AT3994" s="77"/>
      <c r="AU3994" s="77"/>
      <c r="AV3994" s="80" t="str">
        <f>HYPERLINK("https://pbs.twimg.com/profile_images/1067039778795937797/PnnLGTU4_normal.jpg")</f>
        <v>https://pbs.twimg.com/profile_images/1067039778795937797/PnnLGTU4_normal.jpg</v>
      </c>
      <c r="AW3994" s="82" t="s">
        <v>15565</v>
      </c>
      <c r="AX3994" s="82" t="s">
        <v>15565</v>
      </c>
      <c r="AY3994" s="77"/>
      <c r="AZ3994" s="82" t="s">
        <v>15984</v>
      </c>
      <c r="BA3994" s="82" t="s">
        <v>15984</v>
      </c>
      <c r="BB3994" s="82" t="s">
        <v>15984</v>
      </c>
      <c r="BC3994" s="82" t="s">
        <v>15565</v>
      </c>
      <c r="BD3994" s="77">
        <v>2578778256</v>
      </c>
      <c r="BE3994" s="77"/>
      <c r="BF3994" s="77"/>
      <c r="BG3994" s="77"/>
      <c r="BH3994" s="77"/>
      <c r="BI3994" s="77"/>
    </row>
    <row r="3995" spans="1:61" x14ac:dyDescent="0.25">
      <c r="A3995" s="62" t="s">
        <v>735</v>
      </c>
      <c r="B3995" s="62" t="s">
        <v>735</v>
      </c>
      <c r="C3995" s="63"/>
      <c r="D3995" s="64"/>
      <c r="E3995" s="65"/>
      <c r="F3995" s="66"/>
      <c r="G3995" s="63"/>
      <c r="H3995" s="67"/>
      <c r="I3995" s="68"/>
      <c r="J3995" s="68"/>
      <c r="K3995" s="32"/>
      <c r="L3995" s="75">
        <v>3995</v>
      </c>
      <c r="M3995" s="75"/>
      <c r="N3995" s="70"/>
      <c r="O3995" s="77" t="s">
        <v>179</v>
      </c>
      <c r="P3995" s="79">
        <v>45126.816805555558</v>
      </c>
      <c r="Q3995" s="77" t="s">
        <v>4637</v>
      </c>
      <c r="R3995" s="77">
        <v>0</v>
      </c>
      <c r="S3995" s="77">
        <v>2</v>
      </c>
      <c r="T3995" s="77">
        <v>0</v>
      </c>
      <c r="U3995" s="77">
        <v>0</v>
      </c>
      <c r="V3995" s="77">
        <v>295</v>
      </c>
      <c r="W3995" s="82" t="s">
        <v>6411</v>
      </c>
      <c r="X3995" s="77"/>
      <c r="Y3995" s="77"/>
      <c r="Z3995" s="77"/>
      <c r="AA3995" s="77"/>
      <c r="AB3995" s="77"/>
      <c r="AC3995" s="82" t="s">
        <v>7787</v>
      </c>
      <c r="AD3995" s="77" t="s">
        <v>7788</v>
      </c>
      <c r="AE3995" s="80" t="str">
        <f>HYPERLINK("https://twitter.com/modalmais/status/1681749799526100994")</f>
        <v>https://twitter.com/modalmais/status/1681749799526100994</v>
      </c>
      <c r="AF3995" s="79">
        <v>45126.816805555558</v>
      </c>
      <c r="AG3995" s="85">
        <v>45126</v>
      </c>
      <c r="AH3995" s="82" t="s">
        <v>10400</v>
      </c>
      <c r="AI3995" s="77"/>
      <c r="AJ3995" s="77"/>
      <c r="AK3995" s="77"/>
      <c r="AL3995" s="77"/>
      <c r="AM3995" s="77"/>
      <c r="AN3995" s="77"/>
      <c r="AO3995" s="77"/>
      <c r="AP3995" s="77"/>
      <c r="AQ3995" s="77"/>
      <c r="AR3995" s="77"/>
      <c r="AS3995" s="77"/>
      <c r="AT3995" s="77"/>
      <c r="AU3995" s="77"/>
      <c r="AV3995" s="80" t="str">
        <f>HYPERLINK("https://pbs.twimg.com/profile_images/1067039778795937797/PnnLGTU4_normal.jpg")</f>
        <v>https://pbs.twimg.com/profile_images/1067039778795937797/PnnLGTU4_normal.jpg</v>
      </c>
      <c r="AW3995" s="82" t="s">
        <v>15566</v>
      </c>
      <c r="AX3995" s="82" t="s">
        <v>15566</v>
      </c>
      <c r="AY3995" s="77"/>
      <c r="AZ3995" s="82" t="s">
        <v>15984</v>
      </c>
      <c r="BA3995" s="82" t="s">
        <v>15984</v>
      </c>
      <c r="BB3995" s="82" t="s">
        <v>15984</v>
      </c>
      <c r="BC3995" s="82" t="s">
        <v>15566</v>
      </c>
      <c r="BD3995" s="77">
        <v>2578778256</v>
      </c>
      <c r="BE3995" s="77"/>
      <c r="BF3995" s="77"/>
      <c r="BG3995" s="77"/>
      <c r="BH3995" s="77"/>
      <c r="BI3995" s="77"/>
    </row>
    <row r="3996" spans="1:61" x14ac:dyDescent="0.25">
      <c r="A3996" s="62" t="s">
        <v>735</v>
      </c>
      <c r="B3996" s="62" t="s">
        <v>735</v>
      </c>
      <c r="C3996" s="63"/>
      <c r="D3996" s="64"/>
      <c r="E3996" s="65"/>
      <c r="F3996" s="66"/>
      <c r="G3996" s="63"/>
      <c r="H3996" s="67"/>
      <c r="I3996" s="68"/>
      <c r="J3996" s="68"/>
      <c r="K3996" s="32"/>
      <c r="L3996" s="75">
        <v>3996</v>
      </c>
      <c r="M3996" s="75"/>
      <c r="N3996" s="70"/>
      <c r="O3996" s="77" t="s">
        <v>179</v>
      </c>
      <c r="P3996" s="79">
        <v>45183.529004629629</v>
      </c>
      <c r="Q3996" s="77" t="s">
        <v>4638</v>
      </c>
      <c r="R3996" s="77">
        <v>0</v>
      </c>
      <c r="S3996" s="77">
        <v>1</v>
      </c>
      <c r="T3996" s="77">
        <v>0</v>
      </c>
      <c r="U3996" s="77">
        <v>0</v>
      </c>
      <c r="V3996" s="77">
        <v>329</v>
      </c>
      <c r="W3996" s="82" t="s">
        <v>6431</v>
      </c>
      <c r="X3996" s="80" t="str">
        <f>HYPERLINK("https://www.youtube.com/watch?v=5mwK0lgvL-8")</f>
        <v>https://www.youtube.com/watch?v=5mwK0lgvL-8</v>
      </c>
      <c r="Y3996" s="77" t="s">
        <v>6480</v>
      </c>
      <c r="Z3996" s="77"/>
      <c r="AA3996" s="77"/>
      <c r="AB3996" s="77"/>
      <c r="AC3996" s="82" t="s">
        <v>7787</v>
      </c>
      <c r="AD3996" s="77" t="s">
        <v>7788</v>
      </c>
      <c r="AE3996" s="80" t="str">
        <f>HYPERLINK("https://twitter.com/modalmais/status/1702301611714908529")</f>
        <v>https://twitter.com/modalmais/status/1702301611714908529</v>
      </c>
      <c r="AF3996" s="79">
        <v>45183.529004629629</v>
      </c>
      <c r="AG3996" s="85">
        <v>45183</v>
      </c>
      <c r="AH3996" s="82" t="s">
        <v>10401</v>
      </c>
      <c r="AI3996" s="77" t="b">
        <v>0</v>
      </c>
      <c r="AJ3996" s="77"/>
      <c r="AK3996" s="77"/>
      <c r="AL3996" s="77"/>
      <c r="AM3996" s="77"/>
      <c r="AN3996" s="77"/>
      <c r="AO3996" s="77"/>
      <c r="AP3996" s="77"/>
      <c r="AQ3996" s="77"/>
      <c r="AR3996" s="77"/>
      <c r="AS3996" s="77"/>
      <c r="AT3996" s="77"/>
      <c r="AU3996" s="77"/>
      <c r="AV3996" s="80" t="str">
        <f>HYPERLINK("https://pbs.twimg.com/profile_images/1067039778795937797/PnnLGTU4_normal.jpg")</f>
        <v>https://pbs.twimg.com/profile_images/1067039778795937797/PnnLGTU4_normal.jpg</v>
      </c>
      <c r="AW3996" s="82" t="s">
        <v>15567</v>
      </c>
      <c r="AX3996" s="82" t="s">
        <v>15567</v>
      </c>
      <c r="AY3996" s="77"/>
      <c r="AZ3996" s="82" t="s">
        <v>15984</v>
      </c>
      <c r="BA3996" s="82" t="s">
        <v>15984</v>
      </c>
      <c r="BB3996" s="82" t="s">
        <v>15984</v>
      </c>
      <c r="BC3996" s="82" t="s">
        <v>15567</v>
      </c>
      <c r="BD3996" s="77">
        <v>2578778256</v>
      </c>
      <c r="BE3996" s="77"/>
      <c r="BF3996" s="77"/>
      <c r="BG3996" s="77"/>
      <c r="BH3996" s="77"/>
      <c r="BI3996" s="77"/>
    </row>
    <row r="3997" spans="1:61" x14ac:dyDescent="0.25">
      <c r="A3997" s="62" t="s">
        <v>735</v>
      </c>
      <c r="B3997" s="62" t="s">
        <v>735</v>
      </c>
      <c r="C3997" s="63"/>
      <c r="D3997" s="64"/>
      <c r="E3997" s="65"/>
      <c r="F3997" s="66"/>
      <c r="G3997" s="63"/>
      <c r="H3997" s="67"/>
      <c r="I3997" s="68"/>
      <c r="J3997" s="68"/>
      <c r="K3997" s="32"/>
      <c r="L3997" s="75">
        <v>3997</v>
      </c>
      <c r="M3997" s="75"/>
      <c r="N3997" s="70"/>
      <c r="O3997" s="77" t="s">
        <v>179</v>
      </c>
      <c r="P3997" s="79">
        <v>45183.52789351852</v>
      </c>
      <c r="Q3997" s="77" t="s">
        <v>4639</v>
      </c>
      <c r="R3997" s="77">
        <v>0</v>
      </c>
      <c r="S3997" s="77">
        <v>2</v>
      </c>
      <c r="T3997" s="77">
        <v>0</v>
      </c>
      <c r="U3997" s="77">
        <v>0</v>
      </c>
      <c r="V3997" s="77">
        <v>304</v>
      </c>
      <c r="W3997" s="82" t="s">
        <v>6424</v>
      </c>
      <c r="X3997" s="80" t="str">
        <f>HYPERLINK("https://www.youtube.com/watch?v=yt7ocsWdD7U")</f>
        <v>https://www.youtube.com/watch?v=yt7ocsWdD7U</v>
      </c>
      <c r="Y3997" s="77" t="s">
        <v>6480</v>
      </c>
      <c r="Z3997" s="77"/>
      <c r="AA3997" s="77"/>
      <c r="AB3997" s="77"/>
      <c r="AC3997" s="82" t="s">
        <v>7787</v>
      </c>
      <c r="AD3997" s="77" t="s">
        <v>7788</v>
      </c>
      <c r="AE3997" s="80" t="str">
        <f>HYPERLINK("https://twitter.com/modalmais/status/1702301210684871039")</f>
        <v>https://twitter.com/modalmais/status/1702301210684871039</v>
      </c>
      <c r="AF3997" s="79">
        <v>45183.52789351852</v>
      </c>
      <c r="AG3997" s="85">
        <v>45183</v>
      </c>
      <c r="AH3997" s="82" t="s">
        <v>10402</v>
      </c>
      <c r="AI3997" s="77" t="b">
        <v>0</v>
      </c>
      <c r="AJ3997" s="77"/>
      <c r="AK3997" s="77"/>
      <c r="AL3997" s="77"/>
      <c r="AM3997" s="77"/>
      <c r="AN3997" s="77"/>
      <c r="AO3997" s="77"/>
      <c r="AP3997" s="77"/>
      <c r="AQ3997" s="77"/>
      <c r="AR3997" s="77"/>
      <c r="AS3997" s="77"/>
      <c r="AT3997" s="77"/>
      <c r="AU3997" s="77"/>
      <c r="AV3997" s="80" t="str">
        <f>HYPERLINK("https://pbs.twimg.com/profile_images/1067039778795937797/PnnLGTU4_normal.jpg")</f>
        <v>https://pbs.twimg.com/profile_images/1067039778795937797/PnnLGTU4_normal.jpg</v>
      </c>
      <c r="AW3997" s="82" t="s">
        <v>15568</v>
      </c>
      <c r="AX3997" s="82" t="s">
        <v>15568</v>
      </c>
      <c r="AY3997" s="77"/>
      <c r="AZ3997" s="82" t="s">
        <v>15984</v>
      </c>
      <c r="BA3997" s="82" t="s">
        <v>15984</v>
      </c>
      <c r="BB3997" s="82" t="s">
        <v>15984</v>
      </c>
      <c r="BC3997" s="82" t="s">
        <v>15568</v>
      </c>
      <c r="BD3997" s="77">
        <v>2578778256</v>
      </c>
      <c r="BE3997" s="77"/>
      <c r="BF3997" s="77"/>
      <c r="BG3997" s="77"/>
      <c r="BH3997" s="77"/>
      <c r="BI3997" s="77"/>
    </row>
    <row r="3998" spans="1:61" x14ac:dyDescent="0.25">
      <c r="A3998" s="62" t="s">
        <v>735</v>
      </c>
      <c r="B3998" s="62" t="s">
        <v>735</v>
      </c>
      <c r="C3998" s="63"/>
      <c r="D3998" s="64"/>
      <c r="E3998" s="65"/>
      <c r="F3998" s="66"/>
      <c r="G3998" s="63"/>
      <c r="H3998" s="67"/>
      <c r="I3998" s="68"/>
      <c r="J3998" s="68"/>
      <c r="K3998" s="32"/>
      <c r="L3998" s="75">
        <v>3998</v>
      </c>
      <c r="M3998" s="75"/>
      <c r="N3998" s="70"/>
      <c r="O3998" s="77" t="s">
        <v>179</v>
      </c>
      <c r="P3998" s="79">
        <v>45155.756053240744</v>
      </c>
      <c r="Q3998" s="77" t="s">
        <v>4640</v>
      </c>
      <c r="R3998" s="77">
        <v>0</v>
      </c>
      <c r="S3998" s="77">
        <v>1</v>
      </c>
      <c r="T3998" s="77">
        <v>0</v>
      </c>
      <c r="U3998" s="77">
        <v>0</v>
      </c>
      <c r="V3998" s="77">
        <v>308</v>
      </c>
      <c r="W3998" s="82" t="s">
        <v>6430</v>
      </c>
      <c r="X3998" s="77"/>
      <c r="Y3998" s="77"/>
      <c r="Z3998" s="77"/>
      <c r="AA3998" s="77"/>
      <c r="AB3998" s="77"/>
      <c r="AC3998" s="82" t="s">
        <v>7787</v>
      </c>
      <c r="AD3998" s="77" t="s">
        <v>7788</v>
      </c>
      <c r="AE3998" s="80" t="str">
        <f>HYPERLINK("https://twitter.com/modalmais/status/1692237033471701335")</f>
        <v>https://twitter.com/modalmais/status/1692237033471701335</v>
      </c>
      <c r="AF3998" s="79">
        <v>45155.756053240744</v>
      </c>
      <c r="AG3998" s="85">
        <v>45155</v>
      </c>
      <c r="AH3998" s="82" t="s">
        <v>10403</v>
      </c>
      <c r="AI3998" s="77"/>
      <c r="AJ3998" s="77"/>
      <c r="AK3998" s="77"/>
      <c r="AL3998" s="77"/>
      <c r="AM3998" s="77"/>
      <c r="AN3998" s="77"/>
      <c r="AO3998" s="77"/>
      <c r="AP3998" s="77"/>
      <c r="AQ3998" s="77"/>
      <c r="AR3998" s="77"/>
      <c r="AS3998" s="77"/>
      <c r="AT3998" s="77"/>
      <c r="AU3998" s="77"/>
      <c r="AV3998" s="80" t="str">
        <f>HYPERLINK("https://pbs.twimg.com/profile_images/1067039778795937797/PnnLGTU4_normal.jpg")</f>
        <v>https://pbs.twimg.com/profile_images/1067039778795937797/PnnLGTU4_normal.jpg</v>
      </c>
      <c r="AW3998" s="82" t="s">
        <v>15569</v>
      </c>
      <c r="AX3998" s="82" t="s">
        <v>15569</v>
      </c>
      <c r="AY3998" s="77"/>
      <c r="AZ3998" s="82" t="s">
        <v>15984</v>
      </c>
      <c r="BA3998" s="82" t="s">
        <v>15984</v>
      </c>
      <c r="BB3998" s="82" t="s">
        <v>15984</v>
      </c>
      <c r="BC3998" s="82" t="s">
        <v>15569</v>
      </c>
      <c r="BD3998" s="77">
        <v>2578778256</v>
      </c>
      <c r="BE3998" s="77"/>
      <c r="BF3998" s="77"/>
      <c r="BG3998" s="77"/>
      <c r="BH3998" s="77"/>
      <c r="BI3998" s="77"/>
    </row>
    <row r="3999" spans="1:61" x14ac:dyDescent="0.25">
      <c r="A3999" s="62" t="s">
        <v>735</v>
      </c>
      <c r="B3999" s="62" t="s">
        <v>735</v>
      </c>
      <c r="C3999" s="63"/>
      <c r="D3999" s="64"/>
      <c r="E3999" s="65"/>
      <c r="F3999" s="66"/>
      <c r="G3999" s="63"/>
      <c r="H3999" s="67"/>
      <c r="I3999" s="68"/>
      <c r="J3999" s="68"/>
      <c r="K3999" s="32"/>
      <c r="L3999" s="75">
        <v>3999</v>
      </c>
      <c r="M3999" s="75"/>
      <c r="N3999" s="70"/>
      <c r="O3999" s="77" t="s">
        <v>179</v>
      </c>
      <c r="P3999" s="79">
        <v>45155.755509259259</v>
      </c>
      <c r="Q3999" s="77" t="s">
        <v>4641</v>
      </c>
      <c r="R3999" s="77">
        <v>0</v>
      </c>
      <c r="S3999" s="77">
        <v>2</v>
      </c>
      <c r="T3999" s="77">
        <v>0</v>
      </c>
      <c r="U3999" s="77">
        <v>0</v>
      </c>
      <c r="V3999" s="77">
        <v>356</v>
      </c>
      <c r="W3999" s="82" t="s">
        <v>6432</v>
      </c>
      <c r="X3999" s="77"/>
      <c r="Y3999" s="77"/>
      <c r="Z3999" s="77"/>
      <c r="AA3999" s="77"/>
      <c r="AB3999" s="77"/>
      <c r="AC3999" s="82" t="s">
        <v>7787</v>
      </c>
      <c r="AD3999" s="77" t="s">
        <v>7788</v>
      </c>
      <c r="AE3999" s="80" t="str">
        <f>HYPERLINK("https://twitter.com/modalmais/status/1692236835550798253")</f>
        <v>https://twitter.com/modalmais/status/1692236835550798253</v>
      </c>
      <c r="AF3999" s="79">
        <v>45155.755509259259</v>
      </c>
      <c r="AG3999" s="85">
        <v>45155</v>
      </c>
      <c r="AH3999" s="82" t="s">
        <v>10404</v>
      </c>
      <c r="AI3999" s="77"/>
      <c r="AJ3999" s="77"/>
      <c r="AK3999" s="77"/>
      <c r="AL3999" s="77"/>
      <c r="AM3999" s="77"/>
      <c r="AN3999" s="77"/>
      <c r="AO3999" s="77"/>
      <c r="AP3999" s="77"/>
      <c r="AQ3999" s="77"/>
      <c r="AR3999" s="77"/>
      <c r="AS3999" s="77"/>
      <c r="AT3999" s="77"/>
      <c r="AU3999" s="77"/>
      <c r="AV3999" s="80" t="str">
        <f>HYPERLINK("https://pbs.twimg.com/profile_images/1067039778795937797/PnnLGTU4_normal.jpg")</f>
        <v>https://pbs.twimg.com/profile_images/1067039778795937797/PnnLGTU4_normal.jpg</v>
      </c>
      <c r="AW3999" s="82" t="s">
        <v>15570</v>
      </c>
      <c r="AX3999" s="82" t="s">
        <v>15570</v>
      </c>
      <c r="AY3999" s="77"/>
      <c r="AZ3999" s="82" t="s">
        <v>15984</v>
      </c>
      <c r="BA3999" s="82" t="s">
        <v>15984</v>
      </c>
      <c r="BB3999" s="82" t="s">
        <v>15984</v>
      </c>
      <c r="BC3999" s="82" t="s">
        <v>15570</v>
      </c>
      <c r="BD3999" s="77">
        <v>2578778256</v>
      </c>
      <c r="BE3999" s="77"/>
      <c r="BF3999" s="77"/>
      <c r="BG3999" s="77"/>
      <c r="BH3999" s="77"/>
      <c r="BI3999" s="77"/>
    </row>
    <row r="4000" spans="1:61" x14ac:dyDescent="0.25">
      <c r="A4000" s="62" t="s">
        <v>735</v>
      </c>
      <c r="B4000" s="62" t="s">
        <v>735</v>
      </c>
      <c r="C4000" s="63"/>
      <c r="D4000" s="64"/>
      <c r="E4000" s="65"/>
      <c r="F4000" s="66"/>
      <c r="G4000" s="63"/>
      <c r="H4000" s="67"/>
      <c r="I4000" s="68"/>
      <c r="J4000" s="68"/>
      <c r="K4000" s="32"/>
      <c r="L4000" s="75">
        <v>4000</v>
      </c>
      <c r="M4000" s="75"/>
      <c r="N4000" s="70"/>
      <c r="O4000" s="77" t="s">
        <v>179</v>
      </c>
      <c r="P4000" s="79">
        <v>45146.850289351853</v>
      </c>
      <c r="Q4000" s="77" t="s">
        <v>4642</v>
      </c>
      <c r="R4000" s="77">
        <v>0</v>
      </c>
      <c r="S4000" s="77">
        <v>0</v>
      </c>
      <c r="T4000" s="77">
        <v>0</v>
      </c>
      <c r="U4000" s="77">
        <v>0</v>
      </c>
      <c r="V4000" s="77">
        <v>284</v>
      </c>
      <c r="W4000" s="82" t="s">
        <v>6411</v>
      </c>
      <c r="X4000" s="80" t="str">
        <f>HYPERLINK("https://www.youtube.com/watch?v=JyLCwnLYTpA")</f>
        <v>https://www.youtube.com/watch?v=JyLCwnLYTpA</v>
      </c>
      <c r="Y4000" s="77" t="s">
        <v>6480</v>
      </c>
      <c r="Z4000" s="77"/>
      <c r="AA4000" s="77"/>
      <c r="AB4000" s="77"/>
      <c r="AC4000" s="82" t="s">
        <v>7787</v>
      </c>
      <c r="AD4000" s="77" t="s">
        <v>7788</v>
      </c>
      <c r="AE4000" s="80" t="str">
        <f>HYPERLINK("https://twitter.com/modalmais/status/1689009692805087233")</f>
        <v>https://twitter.com/modalmais/status/1689009692805087233</v>
      </c>
      <c r="AF4000" s="79">
        <v>45146.850289351853</v>
      </c>
      <c r="AG4000" s="85">
        <v>45146</v>
      </c>
      <c r="AH4000" s="82" t="s">
        <v>10405</v>
      </c>
      <c r="AI4000" s="77" t="b">
        <v>0</v>
      </c>
      <c r="AJ4000" s="77"/>
      <c r="AK4000" s="77"/>
      <c r="AL4000" s="77"/>
      <c r="AM4000" s="77"/>
      <c r="AN4000" s="77"/>
      <c r="AO4000" s="77"/>
      <c r="AP4000" s="77"/>
      <c r="AQ4000" s="77"/>
      <c r="AR4000" s="77"/>
      <c r="AS4000" s="77"/>
      <c r="AT4000" s="77"/>
      <c r="AU4000" s="77"/>
      <c r="AV4000" s="80" t="str">
        <f>HYPERLINK("https://pbs.twimg.com/profile_images/1067039778795937797/PnnLGTU4_normal.jpg")</f>
        <v>https://pbs.twimg.com/profile_images/1067039778795937797/PnnLGTU4_normal.jpg</v>
      </c>
      <c r="AW4000" s="82" t="s">
        <v>15571</v>
      </c>
      <c r="AX4000" s="82" t="s">
        <v>15571</v>
      </c>
      <c r="AY4000" s="77"/>
      <c r="AZ4000" s="82" t="s">
        <v>15984</v>
      </c>
      <c r="BA4000" s="82" t="s">
        <v>15984</v>
      </c>
      <c r="BB4000" s="82" t="s">
        <v>15984</v>
      </c>
      <c r="BC4000" s="82" t="s">
        <v>15571</v>
      </c>
      <c r="BD4000" s="77">
        <v>2578778256</v>
      </c>
      <c r="BE4000" s="77"/>
      <c r="BF4000" s="77"/>
      <c r="BG4000" s="77"/>
      <c r="BH4000" s="77"/>
      <c r="BI4000" s="77"/>
    </row>
    <row r="4001" spans="1:61" x14ac:dyDescent="0.25">
      <c r="A4001" s="62" t="s">
        <v>735</v>
      </c>
      <c r="B4001" s="62" t="s">
        <v>735</v>
      </c>
      <c r="C4001" s="63"/>
      <c r="D4001" s="64"/>
      <c r="E4001" s="65"/>
      <c r="F4001" s="66"/>
      <c r="G4001" s="63"/>
      <c r="H4001" s="67"/>
      <c r="I4001" s="68"/>
      <c r="J4001" s="68"/>
      <c r="K4001" s="32"/>
      <c r="L4001" s="75">
        <v>4001</v>
      </c>
      <c r="M4001" s="75"/>
      <c r="N4001" s="70"/>
      <c r="O4001" s="77" t="s">
        <v>179</v>
      </c>
      <c r="P4001" s="79">
        <v>45146.7425</v>
      </c>
      <c r="Q4001" s="77" t="s">
        <v>4643</v>
      </c>
      <c r="R4001" s="77">
        <v>0</v>
      </c>
      <c r="S4001" s="77">
        <v>0</v>
      </c>
      <c r="T4001" s="77">
        <v>0</v>
      </c>
      <c r="U4001" s="77">
        <v>0</v>
      </c>
      <c r="V4001" s="77">
        <v>222</v>
      </c>
      <c r="W4001" s="82" t="s">
        <v>6411</v>
      </c>
      <c r="X4001" s="77"/>
      <c r="Y4001" s="77"/>
      <c r="Z4001" s="77"/>
      <c r="AA4001" s="77"/>
      <c r="AB4001" s="77"/>
      <c r="AC4001" s="82" t="s">
        <v>7787</v>
      </c>
      <c r="AD4001" s="77" t="s">
        <v>7790</v>
      </c>
      <c r="AE4001" s="80" t="str">
        <f>HYPERLINK("https://twitter.com/modalmais/status/1688970631067406342")</f>
        <v>https://twitter.com/modalmais/status/1688970631067406342</v>
      </c>
      <c r="AF4001" s="79">
        <v>45146.7425</v>
      </c>
      <c r="AG4001" s="85">
        <v>45146</v>
      </c>
      <c r="AH4001" s="82" t="s">
        <v>10406</v>
      </c>
      <c r="AI4001" s="77"/>
      <c r="AJ4001" s="77"/>
      <c r="AK4001" s="77"/>
      <c r="AL4001" s="77"/>
      <c r="AM4001" s="77"/>
      <c r="AN4001" s="77"/>
      <c r="AO4001" s="77"/>
      <c r="AP4001" s="77"/>
      <c r="AQ4001" s="77"/>
      <c r="AR4001" s="77"/>
      <c r="AS4001" s="77"/>
      <c r="AT4001" s="77"/>
      <c r="AU4001" s="77"/>
      <c r="AV4001" s="80" t="str">
        <f>HYPERLINK("https://pbs.twimg.com/profile_images/1067039778795937797/PnnLGTU4_normal.jpg")</f>
        <v>https://pbs.twimg.com/profile_images/1067039778795937797/PnnLGTU4_normal.jpg</v>
      </c>
      <c r="AW4001" s="82" t="s">
        <v>15572</v>
      </c>
      <c r="AX4001" s="82" t="s">
        <v>15572</v>
      </c>
      <c r="AY4001" s="77"/>
      <c r="AZ4001" s="82" t="s">
        <v>15984</v>
      </c>
      <c r="BA4001" s="82" t="s">
        <v>15984</v>
      </c>
      <c r="BB4001" s="82" t="s">
        <v>15984</v>
      </c>
      <c r="BC4001" s="82" t="s">
        <v>15572</v>
      </c>
      <c r="BD4001" s="77">
        <v>2578778256</v>
      </c>
      <c r="BE4001" s="77"/>
      <c r="BF4001" s="77"/>
      <c r="BG4001" s="77"/>
      <c r="BH4001" s="77"/>
      <c r="BI4001" s="77"/>
    </row>
    <row r="4002" spans="1:61" x14ac:dyDescent="0.25">
      <c r="A4002" s="62" t="s">
        <v>735</v>
      </c>
      <c r="B4002" s="62" t="s">
        <v>735</v>
      </c>
      <c r="C4002" s="63"/>
      <c r="D4002" s="64"/>
      <c r="E4002" s="65"/>
      <c r="F4002" s="66"/>
      <c r="G4002" s="63"/>
      <c r="H4002" s="67"/>
      <c r="I4002" s="68"/>
      <c r="J4002" s="68"/>
      <c r="K4002" s="32"/>
      <c r="L4002" s="75">
        <v>4002</v>
      </c>
      <c r="M4002" s="75"/>
      <c r="N4002" s="70"/>
      <c r="O4002" s="77" t="s">
        <v>179</v>
      </c>
      <c r="P4002" s="79">
        <v>45146.742129629631</v>
      </c>
      <c r="Q4002" s="77" t="s">
        <v>4644</v>
      </c>
      <c r="R4002" s="77">
        <v>0</v>
      </c>
      <c r="S4002" s="77">
        <v>0</v>
      </c>
      <c r="T4002" s="77">
        <v>0</v>
      </c>
      <c r="U4002" s="77">
        <v>0</v>
      </c>
      <c r="V4002" s="77">
        <v>232</v>
      </c>
      <c r="W4002" s="82" t="s">
        <v>6427</v>
      </c>
      <c r="X4002" s="77"/>
      <c r="Y4002" s="77"/>
      <c r="Z4002" s="77"/>
      <c r="AA4002" s="77"/>
      <c r="AB4002" s="77"/>
      <c r="AC4002" s="82" t="s">
        <v>7787</v>
      </c>
      <c r="AD4002" s="77" t="s">
        <v>7788</v>
      </c>
      <c r="AE4002" s="80" t="str">
        <f>HYPERLINK("https://twitter.com/modalmais/status/1688970497751396352")</f>
        <v>https://twitter.com/modalmais/status/1688970497751396352</v>
      </c>
      <c r="AF4002" s="79">
        <v>45146.742129629631</v>
      </c>
      <c r="AG4002" s="85">
        <v>45146</v>
      </c>
      <c r="AH4002" s="82" t="s">
        <v>10407</v>
      </c>
      <c r="AI4002" s="77"/>
      <c r="AJ4002" s="77"/>
      <c r="AK4002" s="77"/>
      <c r="AL4002" s="77"/>
      <c r="AM4002" s="77"/>
      <c r="AN4002" s="77"/>
      <c r="AO4002" s="77"/>
      <c r="AP4002" s="77"/>
      <c r="AQ4002" s="77"/>
      <c r="AR4002" s="77"/>
      <c r="AS4002" s="77"/>
      <c r="AT4002" s="77"/>
      <c r="AU4002" s="77"/>
      <c r="AV4002" s="80" t="str">
        <f>HYPERLINK("https://pbs.twimg.com/profile_images/1067039778795937797/PnnLGTU4_normal.jpg")</f>
        <v>https://pbs.twimg.com/profile_images/1067039778795937797/PnnLGTU4_normal.jpg</v>
      </c>
      <c r="AW4002" s="82" t="s">
        <v>15573</v>
      </c>
      <c r="AX4002" s="82" t="s">
        <v>15573</v>
      </c>
      <c r="AY4002" s="77"/>
      <c r="AZ4002" s="82" t="s">
        <v>15984</v>
      </c>
      <c r="BA4002" s="82" t="s">
        <v>15984</v>
      </c>
      <c r="BB4002" s="82" t="s">
        <v>15984</v>
      </c>
      <c r="BC4002" s="82" t="s">
        <v>15573</v>
      </c>
      <c r="BD4002" s="77">
        <v>2578778256</v>
      </c>
      <c r="BE4002" s="77"/>
      <c r="BF4002" s="77"/>
      <c r="BG4002" s="77"/>
      <c r="BH4002" s="77"/>
      <c r="BI4002" s="77"/>
    </row>
    <row r="4003" spans="1:61" x14ac:dyDescent="0.25">
      <c r="A4003" s="62" t="s">
        <v>735</v>
      </c>
      <c r="B4003" s="62" t="s">
        <v>735</v>
      </c>
      <c r="C4003" s="63"/>
      <c r="D4003" s="64"/>
      <c r="E4003" s="65"/>
      <c r="F4003" s="66"/>
      <c r="G4003" s="63"/>
      <c r="H4003" s="67"/>
      <c r="I4003" s="68"/>
      <c r="J4003" s="68"/>
      <c r="K4003" s="32"/>
      <c r="L4003" s="75">
        <v>4003</v>
      </c>
      <c r="M4003" s="75"/>
      <c r="N4003" s="70"/>
      <c r="O4003" s="77" t="s">
        <v>179</v>
      </c>
      <c r="P4003" s="79">
        <v>45135.584976851853</v>
      </c>
      <c r="Q4003" s="77" t="s">
        <v>4645</v>
      </c>
      <c r="R4003" s="77">
        <v>0</v>
      </c>
      <c r="S4003" s="77">
        <v>2</v>
      </c>
      <c r="T4003" s="77">
        <v>1</v>
      </c>
      <c r="U4003" s="77">
        <v>0</v>
      </c>
      <c r="V4003" s="77">
        <v>636</v>
      </c>
      <c r="W4003" s="82" t="s">
        <v>6411</v>
      </c>
      <c r="X4003" s="77"/>
      <c r="Y4003" s="77"/>
      <c r="Z4003" s="77"/>
      <c r="AA4003" s="77"/>
      <c r="AB4003" s="77"/>
      <c r="AC4003" s="82" t="s">
        <v>7787</v>
      </c>
      <c r="AD4003" s="77" t="s">
        <v>7788</v>
      </c>
      <c r="AE4003" s="80" t="str">
        <f>HYPERLINK("https://twitter.com/modalmais/status/1684927279359488000")</f>
        <v>https://twitter.com/modalmais/status/1684927279359488000</v>
      </c>
      <c r="AF4003" s="79">
        <v>45135.584976851853</v>
      </c>
      <c r="AG4003" s="85">
        <v>45135</v>
      </c>
      <c r="AH4003" s="82" t="s">
        <v>10408</v>
      </c>
      <c r="AI4003" s="77"/>
      <c r="AJ4003" s="77"/>
      <c r="AK4003" s="77"/>
      <c r="AL4003" s="77"/>
      <c r="AM4003" s="77"/>
      <c r="AN4003" s="77"/>
      <c r="AO4003" s="77"/>
      <c r="AP4003" s="77"/>
      <c r="AQ4003" s="77"/>
      <c r="AR4003" s="77"/>
      <c r="AS4003" s="77"/>
      <c r="AT4003" s="77"/>
      <c r="AU4003" s="77"/>
      <c r="AV4003" s="80" t="str">
        <f>HYPERLINK("https://pbs.twimg.com/profile_images/1067039778795937797/PnnLGTU4_normal.jpg")</f>
        <v>https://pbs.twimg.com/profile_images/1067039778795937797/PnnLGTU4_normal.jpg</v>
      </c>
      <c r="AW4003" s="82" t="s">
        <v>15574</v>
      </c>
      <c r="AX4003" s="82" t="s">
        <v>15574</v>
      </c>
      <c r="AY4003" s="77"/>
      <c r="AZ4003" s="82" t="s">
        <v>15984</v>
      </c>
      <c r="BA4003" s="82" t="s">
        <v>15984</v>
      </c>
      <c r="BB4003" s="82" t="s">
        <v>15984</v>
      </c>
      <c r="BC4003" s="82" t="s">
        <v>15574</v>
      </c>
      <c r="BD4003" s="77">
        <v>2578778256</v>
      </c>
      <c r="BE4003" s="77"/>
      <c r="BF4003" s="77"/>
      <c r="BG4003" s="77"/>
      <c r="BH4003" s="77"/>
      <c r="BI4003" s="77"/>
    </row>
    <row r="4004" spans="1:61" x14ac:dyDescent="0.25">
      <c r="A4004" s="62" t="s">
        <v>735</v>
      </c>
      <c r="B4004" s="62" t="s">
        <v>735</v>
      </c>
      <c r="C4004" s="63"/>
      <c r="D4004" s="64"/>
      <c r="E4004" s="65"/>
      <c r="F4004" s="66"/>
      <c r="G4004" s="63"/>
      <c r="H4004" s="67"/>
      <c r="I4004" s="68"/>
      <c r="J4004" s="68"/>
      <c r="K4004" s="32"/>
      <c r="L4004" s="75">
        <v>4004</v>
      </c>
      <c r="M4004" s="75"/>
      <c r="N4004" s="70"/>
      <c r="O4004" s="77" t="s">
        <v>179</v>
      </c>
      <c r="P4004" s="79">
        <v>45135.584664351853</v>
      </c>
      <c r="Q4004" s="77" t="s">
        <v>4646</v>
      </c>
      <c r="R4004" s="77">
        <v>0</v>
      </c>
      <c r="S4004" s="77">
        <v>2</v>
      </c>
      <c r="T4004" s="77">
        <v>0</v>
      </c>
      <c r="U4004" s="77">
        <v>0</v>
      </c>
      <c r="V4004" s="77">
        <v>556</v>
      </c>
      <c r="W4004" s="82" t="s">
        <v>6411</v>
      </c>
      <c r="X4004" s="77"/>
      <c r="Y4004" s="77"/>
      <c r="Z4004" s="77"/>
      <c r="AA4004" s="77"/>
      <c r="AB4004" s="77"/>
      <c r="AC4004" s="82" t="s">
        <v>7787</v>
      </c>
      <c r="AD4004" s="77" t="s">
        <v>7788</v>
      </c>
      <c r="AE4004" s="80" t="str">
        <f>HYPERLINK("https://twitter.com/modalmais/status/1684927166490746880")</f>
        <v>https://twitter.com/modalmais/status/1684927166490746880</v>
      </c>
      <c r="AF4004" s="79">
        <v>45135.584664351853</v>
      </c>
      <c r="AG4004" s="85">
        <v>45135</v>
      </c>
      <c r="AH4004" s="82" t="s">
        <v>10409</v>
      </c>
      <c r="AI4004" s="77"/>
      <c r="AJ4004" s="77"/>
      <c r="AK4004" s="77"/>
      <c r="AL4004" s="77"/>
      <c r="AM4004" s="77"/>
      <c r="AN4004" s="77"/>
      <c r="AO4004" s="77"/>
      <c r="AP4004" s="77"/>
      <c r="AQ4004" s="77"/>
      <c r="AR4004" s="77"/>
      <c r="AS4004" s="77"/>
      <c r="AT4004" s="77"/>
      <c r="AU4004" s="77"/>
      <c r="AV4004" s="80" t="str">
        <f>HYPERLINK("https://pbs.twimg.com/profile_images/1067039778795937797/PnnLGTU4_normal.jpg")</f>
        <v>https://pbs.twimg.com/profile_images/1067039778795937797/PnnLGTU4_normal.jpg</v>
      </c>
      <c r="AW4004" s="82" t="s">
        <v>15575</v>
      </c>
      <c r="AX4004" s="82" t="s">
        <v>15575</v>
      </c>
      <c r="AY4004" s="77"/>
      <c r="AZ4004" s="82" t="s">
        <v>15984</v>
      </c>
      <c r="BA4004" s="82" t="s">
        <v>15984</v>
      </c>
      <c r="BB4004" s="82" t="s">
        <v>15984</v>
      </c>
      <c r="BC4004" s="82" t="s">
        <v>15575</v>
      </c>
      <c r="BD4004" s="77">
        <v>2578778256</v>
      </c>
      <c r="BE4004" s="77"/>
      <c r="BF4004" s="77"/>
      <c r="BG4004" s="77"/>
      <c r="BH4004" s="77"/>
      <c r="BI4004" s="77"/>
    </row>
    <row r="4005" spans="1:61" x14ac:dyDescent="0.25">
      <c r="A4005" s="62" t="s">
        <v>735</v>
      </c>
      <c r="B4005" s="62" t="s">
        <v>735</v>
      </c>
      <c r="C4005" s="63"/>
      <c r="D4005" s="64"/>
      <c r="E4005" s="65"/>
      <c r="F4005" s="66"/>
      <c r="G4005" s="63"/>
      <c r="H4005" s="67"/>
      <c r="I4005" s="68"/>
      <c r="J4005" s="68"/>
      <c r="K4005" s="32"/>
      <c r="L4005" s="75">
        <v>4005</v>
      </c>
      <c r="M4005" s="75"/>
      <c r="N4005" s="70"/>
      <c r="O4005" s="77" t="s">
        <v>179</v>
      </c>
      <c r="P4005" s="79">
        <v>45135.554699074077</v>
      </c>
      <c r="Q4005" s="77" t="s">
        <v>4647</v>
      </c>
      <c r="R4005" s="77">
        <v>0</v>
      </c>
      <c r="S4005" s="77">
        <v>0</v>
      </c>
      <c r="T4005" s="77">
        <v>0</v>
      </c>
      <c r="U4005" s="77">
        <v>0</v>
      </c>
      <c r="V4005" s="77">
        <v>443</v>
      </c>
      <c r="W4005" s="82" t="s">
        <v>6411</v>
      </c>
      <c r="X4005" s="77"/>
      <c r="Y4005" s="77"/>
      <c r="Z4005" s="77"/>
      <c r="AA4005" s="77"/>
      <c r="AB4005" s="77"/>
      <c r="AC4005" s="82" t="s">
        <v>7787</v>
      </c>
      <c r="AD4005" s="77" t="s">
        <v>7788</v>
      </c>
      <c r="AE4005" s="80" t="str">
        <f>HYPERLINK("https://twitter.com/modalmais/status/1684916306800259072")</f>
        <v>https://twitter.com/modalmais/status/1684916306800259072</v>
      </c>
      <c r="AF4005" s="79">
        <v>45135.554699074077</v>
      </c>
      <c r="AG4005" s="85">
        <v>45135</v>
      </c>
      <c r="AH4005" s="82" t="s">
        <v>10410</v>
      </c>
      <c r="AI4005" s="77"/>
      <c r="AJ4005" s="77"/>
      <c r="AK4005" s="77"/>
      <c r="AL4005" s="77"/>
      <c r="AM4005" s="77"/>
      <c r="AN4005" s="77"/>
      <c r="AO4005" s="77"/>
      <c r="AP4005" s="77"/>
      <c r="AQ4005" s="77"/>
      <c r="AR4005" s="77"/>
      <c r="AS4005" s="77"/>
      <c r="AT4005" s="77"/>
      <c r="AU4005" s="77"/>
      <c r="AV4005" s="80" t="str">
        <f>HYPERLINK("https://pbs.twimg.com/profile_images/1067039778795937797/PnnLGTU4_normal.jpg")</f>
        <v>https://pbs.twimg.com/profile_images/1067039778795937797/PnnLGTU4_normal.jpg</v>
      </c>
      <c r="AW4005" s="82" t="s">
        <v>15576</v>
      </c>
      <c r="AX4005" s="82" t="s">
        <v>15576</v>
      </c>
      <c r="AY4005" s="77"/>
      <c r="AZ4005" s="82" t="s">
        <v>15984</v>
      </c>
      <c r="BA4005" s="82" t="s">
        <v>15984</v>
      </c>
      <c r="BB4005" s="82" t="s">
        <v>15984</v>
      </c>
      <c r="BC4005" s="82" t="s">
        <v>15576</v>
      </c>
      <c r="BD4005" s="77">
        <v>2578778256</v>
      </c>
      <c r="BE4005" s="77"/>
      <c r="BF4005" s="77"/>
      <c r="BG4005" s="77"/>
      <c r="BH4005" s="77"/>
      <c r="BI4005" s="77"/>
    </row>
    <row r="4006" spans="1:61" x14ac:dyDescent="0.25">
      <c r="A4006" s="62" t="s">
        <v>735</v>
      </c>
      <c r="B4006" s="62" t="s">
        <v>735</v>
      </c>
      <c r="C4006" s="63"/>
      <c r="D4006" s="64"/>
      <c r="E4006" s="65"/>
      <c r="F4006" s="66"/>
      <c r="G4006" s="63"/>
      <c r="H4006" s="67"/>
      <c r="I4006" s="68"/>
      <c r="J4006" s="68"/>
      <c r="K4006" s="32"/>
      <c r="L4006" s="75">
        <v>4006</v>
      </c>
      <c r="M4006" s="75"/>
      <c r="N4006" s="70"/>
      <c r="O4006" s="77" t="s">
        <v>179</v>
      </c>
      <c r="P4006" s="79">
        <v>45118.487222222226</v>
      </c>
      <c r="Q4006" s="77" t="s">
        <v>4648</v>
      </c>
      <c r="R4006" s="77">
        <v>0</v>
      </c>
      <c r="S4006" s="77">
        <v>0</v>
      </c>
      <c r="T4006" s="77">
        <v>0</v>
      </c>
      <c r="U4006" s="77">
        <v>0</v>
      </c>
      <c r="V4006" s="77">
        <v>345</v>
      </c>
      <c r="W4006" s="82" t="s">
        <v>6411</v>
      </c>
      <c r="X4006" s="80" t="str">
        <f>HYPERLINK("https://www.youtube.com/watch?v=KRLZchEklkM")</f>
        <v>https://www.youtube.com/watch?v=KRLZchEklkM</v>
      </c>
      <c r="Y4006" s="77" t="s">
        <v>6480</v>
      </c>
      <c r="Z4006" s="77"/>
      <c r="AA4006" s="77"/>
      <c r="AB4006" s="77"/>
      <c r="AC4006" s="82" t="s">
        <v>7787</v>
      </c>
      <c r="AD4006" s="77" t="s">
        <v>7788</v>
      </c>
      <c r="AE4006" s="80" t="str">
        <f>HYPERLINK("https://twitter.com/modalmais/status/1678731258803699714")</f>
        <v>https://twitter.com/modalmais/status/1678731258803699714</v>
      </c>
      <c r="AF4006" s="79">
        <v>45118.487222222226</v>
      </c>
      <c r="AG4006" s="85">
        <v>45118</v>
      </c>
      <c r="AH4006" s="82" t="s">
        <v>10411</v>
      </c>
      <c r="AI4006" s="77" t="b">
        <v>0</v>
      </c>
      <c r="AJ4006" s="77"/>
      <c r="AK4006" s="77"/>
      <c r="AL4006" s="77"/>
      <c r="AM4006" s="77"/>
      <c r="AN4006" s="77"/>
      <c r="AO4006" s="77"/>
      <c r="AP4006" s="77"/>
      <c r="AQ4006" s="77"/>
      <c r="AR4006" s="77"/>
      <c r="AS4006" s="77"/>
      <c r="AT4006" s="77"/>
      <c r="AU4006" s="77"/>
      <c r="AV4006" s="80" t="str">
        <f>HYPERLINK("https://pbs.twimg.com/profile_images/1067039778795937797/PnnLGTU4_normal.jpg")</f>
        <v>https://pbs.twimg.com/profile_images/1067039778795937797/PnnLGTU4_normal.jpg</v>
      </c>
      <c r="AW4006" s="82" t="s">
        <v>15577</v>
      </c>
      <c r="AX4006" s="82" t="s">
        <v>15577</v>
      </c>
      <c r="AY4006" s="77"/>
      <c r="AZ4006" s="82" t="s">
        <v>15984</v>
      </c>
      <c r="BA4006" s="82" t="s">
        <v>15984</v>
      </c>
      <c r="BB4006" s="82" t="s">
        <v>15984</v>
      </c>
      <c r="BC4006" s="82" t="s">
        <v>15577</v>
      </c>
      <c r="BD4006" s="77">
        <v>2578778256</v>
      </c>
      <c r="BE4006" s="77"/>
      <c r="BF4006" s="77"/>
      <c r="BG4006" s="77"/>
      <c r="BH4006" s="77"/>
      <c r="BI4006" s="77"/>
    </row>
    <row r="4007" spans="1:61" x14ac:dyDescent="0.25">
      <c r="A4007" s="62" t="s">
        <v>735</v>
      </c>
      <c r="B4007" s="62" t="s">
        <v>735</v>
      </c>
      <c r="C4007" s="63"/>
      <c r="D4007" s="64"/>
      <c r="E4007" s="65"/>
      <c r="F4007" s="66"/>
      <c r="G4007" s="63"/>
      <c r="H4007" s="67"/>
      <c r="I4007" s="68"/>
      <c r="J4007" s="68"/>
      <c r="K4007" s="32"/>
      <c r="L4007" s="75">
        <v>4007</v>
      </c>
      <c r="M4007" s="75"/>
      <c r="N4007" s="70"/>
      <c r="O4007" s="77" t="s">
        <v>179</v>
      </c>
      <c r="P4007" s="79">
        <v>45117.839085648149</v>
      </c>
      <c r="Q4007" s="77" t="s">
        <v>4649</v>
      </c>
      <c r="R4007" s="77">
        <v>0</v>
      </c>
      <c r="S4007" s="77">
        <v>1</v>
      </c>
      <c r="T4007" s="77">
        <v>0</v>
      </c>
      <c r="U4007" s="77">
        <v>0</v>
      </c>
      <c r="V4007" s="77">
        <v>326</v>
      </c>
      <c r="W4007" s="82" t="s">
        <v>6411</v>
      </c>
      <c r="X4007" s="77"/>
      <c r="Y4007" s="77"/>
      <c r="Z4007" s="77"/>
      <c r="AA4007" s="77"/>
      <c r="AB4007" s="77"/>
      <c r="AC4007" s="82" t="s">
        <v>7787</v>
      </c>
      <c r="AD4007" s="77" t="s">
        <v>7788</v>
      </c>
      <c r="AE4007" s="80" t="str">
        <f>HYPERLINK("https://twitter.com/modalmais/status/1678496385321037851")</f>
        <v>https://twitter.com/modalmais/status/1678496385321037851</v>
      </c>
      <c r="AF4007" s="79">
        <v>45117.839085648149</v>
      </c>
      <c r="AG4007" s="85">
        <v>45117</v>
      </c>
      <c r="AH4007" s="82" t="s">
        <v>10412</v>
      </c>
      <c r="AI4007" s="77"/>
      <c r="AJ4007" s="77"/>
      <c r="AK4007" s="77"/>
      <c r="AL4007" s="77"/>
      <c r="AM4007" s="77"/>
      <c r="AN4007" s="77"/>
      <c r="AO4007" s="77"/>
      <c r="AP4007" s="77"/>
      <c r="AQ4007" s="77"/>
      <c r="AR4007" s="77"/>
      <c r="AS4007" s="77"/>
      <c r="AT4007" s="77"/>
      <c r="AU4007" s="77"/>
      <c r="AV4007" s="80" t="str">
        <f>HYPERLINK("https://pbs.twimg.com/profile_images/1067039778795937797/PnnLGTU4_normal.jpg")</f>
        <v>https://pbs.twimg.com/profile_images/1067039778795937797/PnnLGTU4_normal.jpg</v>
      </c>
      <c r="AW4007" s="82" t="s">
        <v>15578</v>
      </c>
      <c r="AX4007" s="82" t="s">
        <v>15578</v>
      </c>
      <c r="AY4007" s="77"/>
      <c r="AZ4007" s="82" t="s">
        <v>15984</v>
      </c>
      <c r="BA4007" s="82" t="s">
        <v>15984</v>
      </c>
      <c r="BB4007" s="82" t="s">
        <v>15984</v>
      </c>
      <c r="BC4007" s="82" t="s">
        <v>15578</v>
      </c>
      <c r="BD4007" s="77">
        <v>2578778256</v>
      </c>
      <c r="BE4007" s="77"/>
      <c r="BF4007" s="77"/>
      <c r="BG4007" s="77"/>
      <c r="BH4007" s="77"/>
      <c r="BI4007" s="77"/>
    </row>
    <row r="4008" spans="1:61" x14ac:dyDescent="0.25">
      <c r="A4008" s="62" t="s">
        <v>735</v>
      </c>
      <c r="B4008" s="62" t="s">
        <v>735</v>
      </c>
      <c r="C4008" s="63"/>
      <c r="D4008" s="64"/>
      <c r="E4008" s="65"/>
      <c r="F4008" s="66"/>
      <c r="G4008" s="63"/>
      <c r="H4008" s="67"/>
      <c r="I4008" s="68"/>
      <c r="J4008" s="68"/>
      <c r="K4008" s="32"/>
      <c r="L4008" s="75">
        <v>4008</v>
      </c>
      <c r="M4008" s="75"/>
      <c r="N4008" s="70"/>
      <c r="O4008" s="77" t="s">
        <v>179</v>
      </c>
      <c r="P4008" s="79">
        <v>45187.783865740741</v>
      </c>
      <c r="Q4008" s="77" t="s">
        <v>4650</v>
      </c>
      <c r="R4008" s="77">
        <v>0</v>
      </c>
      <c r="S4008" s="77">
        <v>2</v>
      </c>
      <c r="T4008" s="77">
        <v>0</v>
      </c>
      <c r="U4008" s="77">
        <v>0</v>
      </c>
      <c r="V4008" s="77">
        <v>354</v>
      </c>
      <c r="W4008" s="82" t="s">
        <v>6433</v>
      </c>
      <c r="X4008" s="77"/>
      <c r="Y4008" s="77"/>
      <c r="Z4008" s="77"/>
      <c r="AA4008" s="77"/>
      <c r="AB4008" s="77"/>
      <c r="AC4008" s="82" t="s">
        <v>7787</v>
      </c>
      <c r="AD4008" s="77" t="s">
        <v>7788</v>
      </c>
      <c r="AE4008" s="80" t="str">
        <f>HYPERLINK("https://twitter.com/modalmais/status/1703843525056507980")</f>
        <v>https://twitter.com/modalmais/status/1703843525056507980</v>
      </c>
      <c r="AF4008" s="79">
        <v>45187.783865740741</v>
      </c>
      <c r="AG4008" s="85">
        <v>45187</v>
      </c>
      <c r="AH4008" s="82" t="s">
        <v>10413</v>
      </c>
      <c r="AI4008" s="77"/>
      <c r="AJ4008" s="77"/>
      <c r="AK4008" s="77"/>
      <c r="AL4008" s="77"/>
      <c r="AM4008" s="77"/>
      <c r="AN4008" s="77"/>
      <c r="AO4008" s="77"/>
      <c r="AP4008" s="77"/>
      <c r="AQ4008" s="77"/>
      <c r="AR4008" s="77"/>
      <c r="AS4008" s="77"/>
      <c r="AT4008" s="77"/>
      <c r="AU4008" s="77"/>
      <c r="AV4008" s="80" t="str">
        <f>HYPERLINK("https://pbs.twimg.com/profile_images/1067039778795937797/PnnLGTU4_normal.jpg")</f>
        <v>https://pbs.twimg.com/profile_images/1067039778795937797/PnnLGTU4_normal.jpg</v>
      </c>
      <c r="AW4008" s="82" t="s">
        <v>15579</v>
      </c>
      <c r="AX4008" s="82" t="s">
        <v>15579</v>
      </c>
      <c r="AY4008" s="77"/>
      <c r="AZ4008" s="82" t="s">
        <v>15984</v>
      </c>
      <c r="BA4008" s="82" t="s">
        <v>15984</v>
      </c>
      <c r="BB4008" s="82" t="s">
        <v>15984</v>
      </c>
      <c r="BC4008" s="82" t="s">
        <v>15579</v>
      </c>
      <c r="BD4008" s="77">
        <v>2578778256</v>
      </c>
      <c r="BE4008" s="77"/>
      <c r="BF4008" s="77"/>
      <c r="BG4008" s="77"/>
      <c r="BH4008" s="77"/>
      <c r="BI4008" s="77"/>
    </row>
    <row r="4009" spans="1:61" x14ac:dyDescent="0.25">
      <c r="A4009" s="62" t="s">
        <v>735</v>
      </c>
      <c r="B4009" s="62" t="s">
        <v>735</v>
      </c>
      <c r="C4009" s="63"/>
      <c r="D4009" s="64"/>
      <c r="E4009" s="65"/>
      <c r="F4009" s="66"/>
      <c r="G4009" s="63"/>
      <c r="H4009" s="67"/>
      <c r="I4009" s="68"/>
      <c r="J4009" s="68"/>
      <c r="K4009" s="32"/>
      <c r="L4009" s="75">
        <v>4009</v>
      </c>
      <c r="M4009" s="75"/>
      <c r="N4009" s="70"/>
      <c r="O4009" s="77" t="s">
        <v>179</v>
      </c>
      <c r="P4009" s="79">
        <v>45160.540856481479</v>
      </c>
      <c r="Q4009" s="77" t="s">
        <v>4651</v>
      </c>
      <c r="R4009" s="77">
        <v>0</v>
      </c>
      <c r="S4009" s="77">
        <v>1</v>
      </c>
      <c r="T4009" s="77">
        <v>0</v>
      </c>
      <c r="U4009" s="77">
        <v>0</v>
      </c>
      <c r="V4009" s="77">
        <v>316</v>
      </c>
      <c r="W4009" s="82" t="s">
        <v>6414</v>
      </c>
      <c r="X4009" s="80" t="str">
        <f>HYPERLINK("https://www.youtube.com/watch?v=K_FWhajppa4")</f>
        <v>https://www.youtube.com/watch?v=K_FWhajppa4</v>
      </c>
      <c r="Y4009" s="77" t="s">
        <v>6480</v>
      </c>
      <c r="Z4009" s="77"/>
      <c r="AA4009" s="77"/>
      <c r="AB4009" s="77"/>
      <c r="AC4009" s="82" t="s">
        <v>7787</v>
      </c>
      <c r="AD4009" s="77" t="s">
        <v>7788</v>
      </c>
      <c r="AE4009" s="80" t="str">
        <f>HYPERLINK("https://twitter.com/modalmais/status/1693970986331156690")</f>
        <v>https://twitter.com/modalmais/status/1693970986331156690</v>
      </c>
      <c r="AF4009" s="79">
        <v>45160.540856481479</v>
      </c>
      <c r="AG4009" s="85">
        <v>45160</v>
      </c>
      <c r="AH4009" s="82" t="s">
        <v>10414</v>
      </c>
      <c r="AI4009" s="77" t="b">
        <v>0</v>
      </c>
      <c r="AJ4009" s="77"/>
      <c r="AK4009" s="77"/>
      <c r="AL4009" s="77"/>
      <c r="AM4009" s="77"/>
      <c r="AN4009" s="77"/>
      <c r="AO4009" s="77"/>
      <c r="AP4009" s="77"/>
      <c r="AQ4009" s="77"/>
      <c r="AR4009" s="77"/>
      <c r="AS4009" s="77"/>
      <c r="AT4009" s="77"/>
      <c r="AU4009" s="77"/>
      <c r="AV4009" s="80" t="str">
        <f>HYPERLINK("https://pbs.twimg.com/profile_images/1067039778795937797/PnnLGTU4_normal.jpg")</f>
        <v>https://pbs.twimg.com/profile_images/1067039778795937797/PnnLGTU4_normal.jpg</v>
      </c>
      <c r="AW4009" s="82" t="s">
        <v>15580</v>
      </c>
      <c r="AX4009" s="82" t="s">
        <v>15580</v>
      </c>
      <c r="AY4009" s="77"/>
      <c r="AZ4009" s="82" t="s">
        <v>15984</v>
      </c>
      <c r="BA4009" s="82" t="s">
        <v>15984</v>
      </c>
      <c r="BB4009" s="82" t="s">
        <v>15984</v>
      </c>
      <c r="BC4009" s="82" t="s">
        <v>15580</v>
      </c>
      <c r="BD4009" s="77">
        <v>2578778256</v>
      </c>
      <c r="BE4009" s="77"/>
      <c r="BF4009" s="77"/>
      <c r="BG4009" s="77"/>
      <c r="BH4009" s="77"/>
      <c r="BI4009" s="77"/>
    </row>
    <row r="4010" spans="1:61" x14ac:dyDescent="0.25">
      <c r="A4010" s="62" t="s">
        <v>735</v>
      </c>
      <c r="B4010" s="62" t="s">
        <v>735</v>
      </c>
      <c r="C4010" s="63"/>
      <c r="D4010" s="64"/>
      <c r="E4010" s="65"/>
      <c r="F4010" s="66"/>
      <c r="G4010" s="63"/>
      <c r="H4010" s="67"/>
      <c r="I4010" s="68"/>
      <c r="J4010" s="68"/>
      <c r="K4010" s="32"/>
      <c r="L4010" s="75">
        <v>4010</v>
      </c>
      <c r="M4010" s="75"/>
      <c r="N4010" s="70"/>
      <c r="O4010" s="77" t="s">
        <v>179</v>
      </c>
      <c r="P4010" s="79">
        <v>45154.577662037038</v>
      </c>
      <c r="Q4010" s="77" t="s">
        <v>4652</v>
      </c>
      <c r="R4010" s="77">
        <v>0</v>
      </c>
      <c r="S4010" s="77">
        <v>3</v>
      </c>
      <c r="T4010" s="77">
        <v>0</v>
      </c>
      <c r="U4010" s="77">
        <v>0</v>
      </c>
      <c r="V4010" s="77">
        <v>307</v>
      </c>
      <c r="W4010" s="82" t="s">
        <v>6422</v>
      </c>
      <c r="X4010" s="77"/>
      <c r="Y4010" s="77"/>
      <c r="Z4010" s="77"/>
      <c r="AA4010" s="77"/>
      <c r="AB4010" s="77"/>
      <c r="AC4010" s="82" t="s">
        <v>7787</v>
      </c>
      <c r="AD4010" s="77" t="s">
        <v>7788</v>
      </c>
      <c r="AE4010" s="80" t="str">
        <f>HYPERLINK("https://twitter.com/modalmais/status/1691809996076364122")</f>
        <v>https://twitter.com/modalmais/status/1691809996076364122</v>
      </c>
      <c r="AF4010" s="79">
        <v>45154.577662037038</v>
      </c>
      <c r="AG4010" s="85">
        <v>45154</v>
      </c>
      <c r="AH4010" s="82" t="s">
        <v>10415</v>
      </c>
      <c r="AI4010" s="77"/>
      <c r="AJ4010" s="77"/>
      <c r="AK4010" s="77"/>
      <c r="AL4010" s="77"/>
      <c r="AM4010" s="77"/>
      <c r="AN4010" s="77"/>
      <c r="AO4010" s="77"/>
      <c r="AP4010" s="77"/>
      <c r="AQ4010" s="77"/>
      <c r="AR4010" s="77"/>
      <c r="AS4010" s="77"/>
      <c r="AT4010" s="77"/>
      <c r="AU4010" s="77"/>
      <c r="AV4010" s="80" t="str">
        <f>HYPERLINK("https://pbs.twimg.com/profile_images/1067039778795937797/PnnLGTU4_normal.jpg")</f>
        <v>https://pbs.twimg.com/profile_images/1067039778795937797/PnnLGTU4_normal.jpg</v>
      </c>
      <c r="AW4010" s="82" t="s">
        <v>15581</v>
      </c>
      <c r="AX4010" s="82" t="s">
        <v>15581</v>
      </c>
      <c r="AY4010" s="77"/>
      <c r="AZ4010" s="82" t="s">
        <v>15984</v>
      </c>
      <c r="BA4010" s="82" t="s">
        <v>15984</v>
      </c>
      <c r="BB4010" s="82" t="s">
        <v>15984</v>
      </c>
      <c r="BC4010" s="82" t="s">
        <v>15581</v>
      </c>
      <c r="BD4010" s="77">
        <v>2578778256</v>
      </c>
      <c r="BE4010" s="77"/>
      <c r="BF4010" s="77"/>
      <c r="BG4010" s="77"/>
      <c r="BH4010" s="77"/>
      <c r="BI4010" s="77"/>
    </row>
    <row r="4011" spans="1:61" x14ac:dyDescent="0.25">
      <c r="A4011" s="62" t="s">
        <v>735</v>
      </c>
      <c r="B4011" s="62" t="s">
        <v>735</v>
      </c>
      <c r="C4011" s="63"/>
      <c r="D4011" s="64"/>
      <c r="E4011" s="65"/>
      <c r="F4011" s="66"/>
      <c r="G4011" s="63"/>
      <c r="H4011" s="67"/>
      <c r="I4011" s="68"/>
      <c r="J4011" s="68"/>
      <c r="K4011" s="32"/>
      <c r="L4011" s="75">
        <v>4011</v>
      </c>
      <c r="M4011" s="75"/>
      <c r="N4011" s="70"/>
      <c r="O4011" s="77" t="s">
        <v>179</v>
      </c>
      <c r="P4011" s="79">
        <v>45154.510729166665</v>
      </c>
      <c r="Q4011" s="77" t="s">
        <v>4653</v>
      </c>
      <c r="R4011" s="77">
        <v>0</v>
      </c>
      <c r="S4011" s="77">
        <v>1</v>
      </c>
      <c r="T4011" s="77">
        <v>0</v>
      </c>
      <c r="U4011" s="77">
        <v>0</v>
      </c>
      <c r="V4011" s="77">
        <v>239</v>
      </c>
      <c r="W4011" s="82" t="s">
        <v>6414</v>
      </c>
      <c r="X4011" s="77"/>
      <c r="Y4011" s="77"/>
      <c r="Z4011" s="77"/>
      <c r="AA4011" s="77"/>
      <c r="AB4011" s="77"/>
      <c r="AC4011" s="82" t="s">
        <v>7787</v>
      </c>
      <c r="AD4011" s="77" t="s">
        <v>7793</v>
      </c>
      <c r="AE4011" s="80" t="str">
        <f>HYPERLINK("https://twitter.com/modalmais/status/1691785741448237527")</f>
        <v>https://twitter.com/modalmais/status/1691785741448237527</v>
      </c>
      <c r="AF4011" s="79">
        <v>45154.510729166665</v>
      </c>
      <c r="AG4011" s="85">
        <v>45154</v>
      </c>
      <c r="AH4011" s="82" t="s">
        <v>10416</v>
      </c>
      <c r="AI4011" s="77"/>
      <c r="AJ4011" s="77"/>
      <c r="AK4011" s="77"/>
      <c r="AL4011" s="77"/>
      <c r="AM4011" s="77"/>
      <c r="AN4011" s="77"/>
      <c r="AO4011" s="77"/>
      <c r="AP4011" s="77"/>
      <c r="AQ4011" s="77"/>
      <c r="AR4011" s="77"/>
      <c r="AS4011" s="77"/>
      <c r="AT4011" s="77"/>
      <c r="AU4011" s="77"/>
      <c r="AV4011" s="80" t="str">
        <f>HYPERLINK("https://pbs.twimg.com/profile_images/1067039778795937797/PnnLGTU4_normal.jpg")</f>
        <v>https://pbs.twimg.com/profile_images/1067039778795937797/PnnLGTU4_normal.jpg</v>
      </c>
      <c r="AW4011" s="82" t="s">
        <v>15582</v>
      </c>
      <c r="AX4011" s="82" t="s">
        <v>15582</v>
      </c>
      <c r="AY4011" s="77"/>
      <c r="AZ4011" s="82" t="s">
        <v>15984</v>
      </c>
      <c r="BA4011" s="82" t="s">
        <v>15984</v>
      </c>
      <c r="BB4011" s="82" t="s">
        <v>15984</v>
      </c>
      <c r="BC4011" s="82" t="s">
        <v>15582</v>
      </c>
      <c r="BD4011" s="77">
        <v>2578778256</v>
      </c>
      <c r="BE4011" s="77"/>
      <c r="BF4011" s="77"/>
      <c r="BG4011" s="77"/>
      <c r="BH4011" s="77"/>
      <c r="BI4011" s="77"/>
    </row>
    <row r="4012" spans="1:61" x14ac:dyDescent="0.25">
      <c r="A4012" s="62" t="s">
        <v>735</v>
      </c>
      <c r="B4012" s="62" t="s">
        <v>735</v>
      </c>
      <c r="C4012" s="63"/>
      <c r="D4012" s="64"/>
      <c r="E4012" s="65"/>
      <c r="F4012" s="66"/>
      <c r="G4012" s="63"/>
      <c r="H4012" s="67"/>
      <c r="I4012" s="68"/>
      <c r="J4012" s="68"/>
      <c r="K4012" s="32"/>
      <c r="L4012" s="75">
        <v>4012</v>
      </c>
      <c r="M4012" s="75"/>
      <c r="N4012" s="70"/>
      <c r="O4012" s="77" t="s">
        <v>179</v>
      </c>
      <c r="P4012" s="79">
        <v>45154.509525462963</v>
      </c>
      <c r="Q4012" s="77" t="s">
        <v>4654</v>
      </c>
      <c r="R4012" s="77">
        <v>0</v>
      </c>
      <c r="S4012" s="77">
        <v>2</v>
      </c>
      <c r="T4012" s="77">
        <v>0</v>
      </c>
      <c r="U4012" s="77">
        <v>0</v>
      </c>
      <c r="V4012" s="77">
        <v>248</v>
      </c>
      <c r="W4012" s="82" t="s">
        <v>6413</v>
      </c>
      <c r="X4012" s="77"/>
      <c r="Y4012" s="77"/>
      <c r="Z4012" s="77"/>
      <c r="AA4012" s="77"/>
      <c r="AB4012" s="77"/>
      <c r="AC4012" s="82" t="s">
        <v>7787</v>
      </c>
      <c r="AD4012" s="77" t="s">
        <v>7797</v>
      </c>
      <c r="AE4012" s="80" t="str">
        <f>HYPERLINK("https://twitter.com/modalmais/status/1691785305383161924")</f>
        <v>https://twitter.com/modalmais/status/1691785305383161924</v>
      </c>
      <c r="AF4012" s="79">
        <v>45154.509525462963</v>
      </c>
      <c r="AG4012" s="85">
        <v>45154</v>
      </c>
      <c r="AH4012" s="82" t="s">
        <v>10417</v>
      </c>
      <c r="AI4012" s="77"/>
      <c r="AJ4012" s="77"/>
      <c r="AK4012" s="77"/>
      <c r="AL4012" s="77"/>
      <c r="AM4012" s="77"/>
      <c r="AN4012" s="77"/>
      <c r="AO4012" s="77"/>
      <c r="AP4012" s="77"/>
      <c r="AQ4012" s="77"/>
      <c r="AR4012" s="77"/>
      <c r="AS4012" s="77"/>
      <c r="AT4012" s="77"/>
      <c r="AU4012" s="77"/>
      <c r="AV4012" s="80" t="str">
        <f>HYPERLINK("https://pbs.twimg.com/profile_images/1067039778795937797/PnnLGTU4_normal.jpg")</f>
        <v>https://pbs.twimg.com/profile_images/1067039778795937797/PnnLGTU4_normal.jpg</v>
      </c>
      <c r="AW4012" s="82" t="s">
        <v>15583</v>
      </c>
      <c r="AX4012" s="82" t="s">
        <v>15583</v>
      </c>
      <c r="AY4012" s="77"/>
      <c r="AZ4012" s="82" t="s">
        <v>15984</v>
      </c>
      <c r="BA4012" s="82" t="s">
        <v>15984</v>
      </c>
      <c r="BB4012" s="82" t="s">
        <v>15984</v>
      </c>
      <c r="BC4012" s="82" t="s">
        <v>15583</v>
      </c>
      <c r="BD4012" s="77">
        <v>2578778256</v>
      </c>
      <c r="BE4012" s="77"/>
      <c r="BF4012" s="77"/>
      <c r="BG4012" s="77"/>
      <c r="BH4012" s="77"/>
      <c r="BI4012" s="77"/>
    </row>
    <row r="4013" spans="1:61" x14ac:dyDescent="0.25">
      <c r="A4013" s="62" t="s">
        <v>735</v>
      </c>
      <c r="B4013" s="62" t="s">
        <v>735</v>
      </c>
      <c r="C4013" s="63"/>
      <c r="D4013" s="64"/>
      <c r="E4013" s="65"/>
      <c r="F4013" s="66"/>
      <c r="G4013" s="63"/>
      <c r="H4013" s="67"/>
      <c r="I4013" s="68"/>
      <c r="J4013" s="68"/>
      <c r="K4013" s="32"/>
      <c r="L4013" s="75">
        <v>4013</v>
      </c>
      <c r="M4013" s="75"/>
      <c r="N4013" s="70"/>
      <c r="O4013" s="77" t="s">
        <v>179</v>
      </c>
      <c r="P4013" s="79">
        <v>45154.493773148148</v>
      </c>
      <c r="Q4013" s="77" t="s">
        <v>4655</v>
      </c>
      <c r="R4013" s="77">
        <v>1</v>
      </c>
      <c r="S4013" s="77">
        <v>2</v>
      </c>
      <c r="T4013" s="77">
        <v>1</v>
      </c>
      <c r="U4013" s="77">
        <v>0</v>
      </c>
      <c r="V4013" s="77">
        <v>266</v>
      </c>
      <c r="W4013" s="82" t="s">
        <v>6412</v>
      </c>
      <c r="X4013" s="80" t="str">
        <f>HYPERLINK("https://www.youtube.com/watch?v=J1l8859hdu4")</f>
        <v>https://www.youtube.com/watch?v=J1l8859hdu4</v>
      </c>
      <c r="Y4013" s="77" t="s">
        <v>6480</v>
      </c>
      <c r="Z4013" s="77"/>
      <c r="AA4013" s="77"/>
      <c r="AB4013" s="77"/>
      <c r="AC4013" s="82" t="s">
        <v>7787</v>
      </c>
      <c r="AD4013" s="77" t="s">
        <v>7788</v>
      </c>
      <c r="AE4013" s="80" t="str">
        <f>HYPERLINK("https://twitter.com/modalmais/status/1691779597925233099")</f>
        <v>https://twitter.com/modalmais/status/1691779597925233099</v>
      </c>
      <c r="AF4013" s="79">
        <v>45154.493773148148</v>
      </c>
      <c r="AG4013" s="85">
        <v>45154</v>
      </c>
      <c r="AH4013" s="82" t="s">
        <v>8878</v>
      </c>
      <c r="AI4013" s="77" t="b">
        <v>0</v>
      </c>
      <c r="AJ4013" s="77"/>
      <c r="AK4013" s="77"/>
      <c r="AL4013" s="77"/>
      <c r="AM4013" s="77"/>
      <c r="AN4013" s="77"/>
      <c r="AO4013" s="77"/>
      <c r="AP4013" s="77"/>
      <c r="AQ4013" s="77"/>
      <c r="AR4013" s="77"/>
      <c r="AS4013" s="77"/>
      <c r="AT4013" s="77"/>
      <c r="AU4013" s="77"/>
      <c r="AV4013" s="80" t="str">
        <f>HYPERLINK("https://pbs.twimg.com/profile_images/1067039778795937797/PnnLGTU4_normal.jpg")</f>
        <v>https://pbs.twimg.com/profile_images/1067039778795937797/PnnLGTU4_normal.jpg</v>
      </c>
      <c r="AW4013" s="82" t="s">
        <v>15584</v>
      </c>
      <c r="AX4013" s="82" t="s">
        <v>15584</v>
      </c>
      <c r="AY4013" s="77"/>
      <c r="AZ4013" s="82" t="s">
        <v>15984</v>
      </c>
      <c r="BA4013" s="82" t="s">
        <v>15984</v>
      </c>
      <c r="BB4013" s="82" t="s">
        <v>15984</v>
      </c>
      <c r="BC4013" s="82" t="s">
        <v>15584</v>
      </c>
      <c r="BD4013" s="77">
        <v>2578778256</v>
      </c>
      <c r="BE4013" s="77"/>
      <c r="BF4013" s="77"/>
      <c r="BG4013" s="77"/>
      <c r="BH4013" s="77"/>
      <c r="BI4013" s="77"/>
    </row>
    <row r="4014" spans="1:61" x14ac:dyDescent="0.25">
      <c r="A4014" s="62" t="s">
        <v>735</v>
      </c>
      <c r="B4014" s="62" t="s">
        <v>735</v>
      </c>
      <c r="C4014" s="63"/>
      <c r="D4014" s="64"/>
      <c r="E4014" s="65"/>
      <c r="F4014" s="66"/>
      <c r="G4014" s="63"/>
      <c r="H4014" s="67"/>
      <c r="I4014" s="68"/>
      <c r="J4014" s="68"/>
      <c r="K4014" s="32"/>
      <c r="L4014" s="75">
        <v>4014</v>
      </c>
      <c r="M4014" s="75"/>
      <c r="N4014" s="70"/>
      <c r="O4014" s="77" t="s">
        <v>179</v>
      </c>
      <c r="P4014" s="79">
        <v>45154.475624999999</v>
      </c>
      <c r="Q4014" s="77" t="s">
        <v>4656</v>
      </c>
      <c r="R4014" s="77">
        <v>0</v>
      </c>
      <c r="S4014" s="77">
        <v>1</v>
      </c>
      <c r="T4014" s="77">
        <v>0</v>
      </c>
      <c r="U4014" s="77">
        <v>0</v>
      </c>
      <c r="V4014" s="77">
        <v>238</v>
      </c>
      <c r="W4014" s="82" t="s">
        <v>6412</v>
      </c>
      <c r="X4014" s="80" t="str">
        <f>HYPERLINK("https://www.youtube.com/watch?v=N9-im2NeE_A")</f>
        <v>https://www.youtube.com/watch?v=N9-im2NeE_A</v>
      </c>
      <c r="Y4014" s="77" t="s">
        <v>6480</v>
      </c>
      <c r="Z4014" s="77"/>
      <c r="AA4014" s="77"/>
      <c r="AB4014" s="77"/>
      <c r="AC4014" s="82" t="s">
        <v>7787</v>
      </c>
      <c r="AD4014" s="77" t="s">
        <v>7788</v>
      </c>
      <c r="AE4014" s="80" t="str">
        <f>HYPERLINK("https://twitter.com/modalmais/status/1691773019964813680")</f>
        <v>https://twitter.com/modalmais/status/1691773019964813680</v>
      </c>
      <c r="AF4014" s="79">
        <v>45154.475624999999</v>
      </c>
      <c r="AG4014" s="85">
        <v>45154</v>
      </c>
      <c r="AH4014" s="82" t="s">
        <v>10418</v>
      </c>
      <c r="AI4014" s="77" t="b">
        <v>0</v>
      </c>
      <c r="AJ4014" s="77"/>
      <c r="AK4014" s="77"/>
      <c r="AL4014" s="77"/>
      <c r="AM4014" s="77"/>
      <c r="AN4014" s="77"/>
      <c r="AO4014" s="77"/>
      <c r="AP4014" s="77"/>
      <c r="AQ4014" s="77"/>
      <c r="AR4014" s="77"/>
      <c r="AS4014" s="77"/>
      <c r="AT4014" s="77"/>
      <c r="AU4014" s="77"/>
      <c r="AV4014" s="80" t="str">
        <f>HYPERLINK("https://pbs.twimg.com/profile_images/1067039778795937797/PnnLGTU4_normal.jpg")</f>
        <v>https://pbs.twimg.com/profile_images/1067039778795937797/PnnLGTU4_normal.jpg</v>
      </c>
      <c r="AW4014" s="82" t="s">
        <v>15585</v>
      </c>
      <c r="AX4014" s="82" t="s">
        <v>15585</v>
      </c>
      <c r="AY4014" s="77"/>
      <c r="AZ4014" s="82" t="s">
        <v>15984</v>
      </c>
      <c r="BA4014" s="82" t="s">
        <v>15984</v>
      </c>
      <c r="BB4014" s="82" t="s">
        <v>15984</v>
      </c>
      <c r="BC4014" s="82" t="s">
        <v>15585</v>
      </c>
      <c r="BD4014" s="77">
        <v>2578778256</v>
      </c>
      <c r="BE4014" s="77"/>
      <c r="BF4014" s="77"/>
      <c r="BG4014" s="77"/>
      <c r="BH4014" s="77"/>
      <c r="BI4014" s="77"/>
    </row>
    <row r="4015" spans="1:61" x14ac:dyDescent="0.25">
      <c r="A4015" s="62" t="s">
        <v>735</v>
      </c>
      <c r="B4015" s="62" t="s">
        <v>735</v>
      </c>
      <c r="C4015" s="63"/>
      <c r="D4015" s="64"/>
      <c r="E4015" s="65"/>
      <c r="F4015" s="66"/>
      <c r="G4015" s="63"/>
      <c r="H4015" s="67"/>
      <c r="I4015" s="68"/>
      <c r="J4015" s="68"/>
      <c r="K4015" s="32"/>
      <c r="L4015" s="75">
        <v>4015</v>
      </c>
      <c r="M4015" s="75"/>
      <c r="N4015" s="70"/>
      <c r="O4015" s="77" t="s">
        <v>179</v>
      </c>
      <c r="P4015" s="79">
        <v>45145.539444444446</v>
      </c>
      <c r="Q4015" s="77" t="s">
        <v>4657</v>
      </c>
      <c r="R4015" s="77">
        <v>0</v>
      </c>
      <c r="S4015" s="77">
        <v>1</v>
      </c>
      <c r="T4015" s="77">
        <v>0</v>
      </c>
      <c r="U4015" s="77">
        <v>0</v>
      </c>
      <c r="V4015" s="77">
        <v>301</v>
      </c>
      <c r="W4015" s="82" t="s">
        <v>6411</v>
      </c>
      <c r="X4015" s="77"/>
      <c r="Y4015" s="77"/>
      <c r="Z4015" s="77"/>
      <c r="AA4015" s="77"/>
      <c r="AB4015" s="77"/>
      <c r="AC4015" s="82" t="s">
        <v>7787</v>
      </c>
      <c r="AD4015" s="77" t="s">
        <v>7797</v>
      </c>
      <c r="AE4015" s="80" t="str">
        <f>HYPERLINK("https://twitter.com/modalmais/status/1688534657539710976")</f>
        <v>https://twitter.com/modalmais/status/1688534657539710976</v>
      </c>
      <c r="AF4015" s="79">
        <v>45145.539444444446</v>
      </c>
      <c r="AG4015" s="85">
        <v>45145</v>
      </c>
      <c r="AH4015" s="82" t="s">
        <v>10419</v>
      </c>
      <c r="AI4015" s="77"/>
      <c r="AJ4015" s="77"/>
      <c r="AK4015" s="77"/>
      <c r="AL4015" s="77"/>
      <c r="AM4015" s="77"/>
      <c r="AN4015" s="77"/>
      <c r="AO4015" s="77"/>
      <c r="AP4015" s="77"/>
      <c r="AQ4015" s="77"/>
      <c r="AR4015" s="77"/>
      <c r="AS4015" s="77"/>
      <c r="AT4015" s="77"/>
      <c r="AU4015" s="77"/>
      <c r="AV4015" s="80" t="str">
        <f>HYPERLINK("https://pbs.twimg.com/profile_images/1067039778795937797/PnnLGTU4_normal.jpg")</f>
        <v>https://pbs.twimg.com/profile_images/1067039778795937797/PnnLGTU4_normal.jpg</v>
      </c>
      <c r="AW4015" s="82" t="s">
        <v>15586</v>
      </c>
      <c r="AX4015" s="82" t="s">
        <v>15586</v>
      </c>
      <c r="AY4015" s="77"/>
      <c r="AZ4015" s="82" t="s">
        <v>15984</v>
      </c>
      <c r="BA4015" s="82" t="s">
        <v>15984</v>
      </c>
      <c r="BB4015" s="82" t="s">
        <v>15984</v>
      </c>
      <c r="BC4015" s="82" t="s">
        <v>15586</v>
      </c>
      <c r="BD4015" s="77">
        <v>2578778256</v>
      </c>
      <c r="BE4015" s="77"/>
      <c r="BF4015" s="77"/>
      <c r="BG4015" s="77"/>
      <c r="BH4015" s="77"/>
      <c r="BI4015" s="77"/>
    </row>
    <row r="4016" spans="1:61" x14ac:dyDescent="0.25">
      <c r="A4016" s="62" t="s">
        <v>735</v>
      </c>
      <c r="B4016" s="62" t="s">
        <v>735</v>
      </c>
      <c r="C4016" s="63"/>
      <c r="D4016" s="64"/>
      <c r="E4016" s="65"/>
      <c r="F4016" s="66"/>
      <c r="G4016" s="63"/>
      <c r="H4016" s="67"/>
      <c r="I4016" s="68"/>
      <c r="J4016" s="68"/>
      <c r="K4016" s="32"/>
      <c r="L4016" s="75">
        <v>4016</v>
      </c>
      <c r="M4016" s="75"/>
      <c r="N4016" s="70"/>
      <c r="O4016" s="77" t="s">
        <v>179</v>
      </c>
      <c r="P4016" s="79">
        <v>45145.539039351854</v>
      </c>
      <c r="Q4016" s="77" t="s">
        <v>4658</v>
      </c>
      <c r="R4016" s="77">
        <v>0</v>
      </c>
      <c r="S4016" s="77">
        <v>1</v>
      </c>
      <c r="T4016" s="77">
        <v>0</v>
      </c>
      <c r="U4016" s="77">
        <v>0</v>
      </c>
      <c r="V4016" s="77">
        <v>276</v>
      </c>
      <c r="W4016" s="82" t="s">
        <v>6411</v>
      </c>
      <c r="X4016" s="77"/>
      <c r="Y4016" s="77"/>
      <c r="Z4016" s="77"/>
      <c r="AA4016" s="77"/>
      <c r="AB4016" s="77"/>
      <c r="AC4016" s="82" t="s">
        <v>7787</v>
      </c>
      <c r="AD4016" s="77" t="s">
        <v>7793</v>
      </c>
      <c r="AE4016" s="80" t="str">
        <f>HYPERLINK("https://twitter.com/modalmais/status/1688534510365753344")</f>
        <v>https://twitter.com/modalmais/status/1688534510365753344</v>
      </c>
      <c r="AF4016" s="79">
        <v>45145.539039351854</v>
      </c>
      <c r="AG4016" s="85">
        <v>45145</v>
      </c>
      <c r="AH4016" s="82" t="s">
        <v>10420</v>
      </c>
      <c r="AI4016" s="77"/>
      <c r="AJ4016" s="77"/>
      <c r="AK4016" s="77"/>
      <c r="AL4016" s="77"/>
      <c r="AM4016" s="77"/>
      <c r="AN4016" s="77"/>
      <c r="AO4016" s="77"/>
      <c r="AP4016" s="77"/>
      <c r="AQ4016" s="77"/>
      <c r="AR4016" s="77"/>
      <c r="AS4016" s="77"/>
      <c r="AT4016" s="77"/>
      <c r="AU4016" s="77"/>
      <c r="AV4016" s="80" t="str">
        <f>HYPERLINK("https://pbs.twimg.com/profile_images/1067039778795937797/PnnLGTU4_normal.jpg")</f>
        <v>https://pbs.twimg.com/profile_images/1067039778795937797/PnnLGTU4_normal.jpg</v>
      </c>
      <c r="AW4016" s="82" t="s">
        <v>15587</v>
      </c>
      <c r="AX4016" s="82" t="s">
        <v>15587</v>
      </c>
      <c r="AY4016" s="77"/>
      <c r="AZ4016" s="82" t="s">
        <v>15984</v>
      </c>
      <c r="BA4016" s="82" t="s">
        <v>15984</v>
      </c>
      <c r="BB4016" s="82" t="s">
        <v>15984</v>
      </c>
      <c r="BC4016" s="82" t="s">
        <v>15587</v>
      </c>
      <c r="BD4016" s="77">
        <v>2578778256</v>
      </c>
      <c r="BE4016" s="77"/>
      <c r="BF4016" s="77"/>
      <c r="BG4016" s="77"/>
      <c r="BH4016" s="77"/>
      <c r="BI4016" s="77"/>
    </row>
    <row r="4017" spans="1:61" x14ac:dyDescent="0.25">
      <c r="A4017" s="62" t="s">
        <v>735</v>
      </c>
      <c r="B4017" s="62" t="s">
        <v>735</v>
      </c>
      <c r="C4017" s="63"/>
      <c r="D4017" s="64"/>
      <c r="E4017" s="65"/>
      <c r="F4017" s="66"/>
      <c r="G4017" s="63"/>
      <c r="H4017" s="67"/>
      <c r="I4017" s="68"/>
      <c r="J4017" s="68"/>
      <c r="K4017" s="32"/>
      <c r="L4017" s="75">
        <v>4017</v>
      </c>
      <c r="M4017" s="75"/>
      <c r="N4017" s="70"/>
      <c r="O4017" s="77" t="s">
        <v>179</v>
      </c>
      <c r="P4017" s="79">
        <v>45145.497835648152</v>
      </c>
      <c r="Q4017" s="77" t="s">
        <v>4659</v>
      </c>
      <c r="R4017" s="77">
        <v>1</v>
      </c>
      <c r="S4017" s="77">
        <v>1</v>
      </c>
      <c r="T4017" s="77">
        <v>1</v>
      </c>
      <c r="U4017" s="77">
        <v>0</v>
      </c>
      <c r="V4017" s="77">
        <v>313</v>
      </c>
      <c r="W4017" s="82" t="s">
        <v>6411</v>
      </c>
      <c r="X4017" s="80" t="str">
        <f>HYPERLINK("https://www.youtube.com/watch?v=PBSYsc2A4jc")</f>
        <v>https://www.youtube.com/watch?v=PBSYsc2A4jc</v>
      </c>
      <c r="Y4017" s="77" t="s">
        <v>6480</v>
      </c>
      <c r="Z4017" s="77"/>
      <c r="AA4017" s="77"/>
      <c r="AB4017" s="77"/>
      <c r="AC4017" s="82" t="s">
        <v>7787</v>
      </c>
      <c r="AD4017" s="77" t="s">
        <v>7788</v>
      </c>
      <c r="AE4017" s="80" t="str">
        <f>HYPERLINK("https://twitter.com/modalmais/status/1688519578287058944")</f>
        <v>https://twitter.com/modalmais/status/1688519578287058944</v>
      </c>
      <c r="AF4017" s="79">
        <v>45145.497835648152</v>
      </c>
      <c r="AG4017" s="85">
        <v>45145</v>
      </c>
      <c r="AH4017" s="82" t="s">
        <v>10421</v>
      </c>
      <c r="AI4017" s="77" t="b">
        <v>0</v>
      </c>
      <c r="AJ4017" s="77"/>
      <c r="AK4017" s="77"/>
      <c r="AL4017" s="77"/>
      <c r="AM4017" s="77"/>
      <c r="AN4017" s="77"/>
      <c r="AO4017" s="77"/>
      <c r="AP4017" s="77"/>
      <c r="AQ4017" s="77"/>
      <c r="AR4017" s="77"/>
      <c r="AS4017" s="77"/>
      <c r="AT4017" s="77"/>
      <c r="AU4017" s="77"/>
      <c r="AV4017" s="80" t="str">
        <f>HYPERLINK("https://pbs.twimg.com/profile_images/1067039778795937797/PnnLGTU4_normal.jpg")</f>
        <v>https://pbs.twimg.com/profile_images/1067039778795937797/PnnLGTU4_normal.jpg</v>
      </c>
      <c r="AW4017" s="82" t="s">
        <v>15588</v>
      </c>
      <c r="AX4017" s="82" t="s">
        <v>15588</v>
      </c>
      <c r="AY4017" s="77"/>
      <c r="AZ4017" s="82" t="s">
        <v>15984</v>
      </c>
      <c r="BA4017" s="82" t="s">
        <v>15984</v>
      </c>
      <c r="BB4017" s="82" t="s">
        <v>15984</v>
      </c>
      <c r="BC4017" s="82" t="s">
        <v>15588</v>
      </c>
      <c r="BD4017" s="77">
        <v>2578778256</v>
      </c>
      <c r="BE4017" s="77"/>
      <c r="BF4017" s="77"/>
      <c r="BG4017" s="77"/>
      <c r="BH4017" s="77"/>
      <c r="BI4017" s="77"/>
    </row>
    <row r="4018" spans="1:61" x14ac:dyDescent="0.25">
      <c r="A4018" s="62" t="s">
        <v>735</v>
      </c>
      <c r="B4018" s="62" t="s">
        <v>735</v>
      </c>
      <c r="C4018" s="63"/>
      <c r="D4018" s="64"/>
      <c r="E4018" s="65"/>
      <c r="F4018" s="66"/>
      <c r="G4018" s="63"/>
      <c r="H4018" s="67"/>
      <c r="I4018" s="68"/>
      <c r="J4018" s="68"/>
      <c r="K4018" s="32"/>
      <c r="L4018" s="75">
        <v>4018</v>
      </c>
      <c r="M4018" s="75"/>
      <c r="N4018" s="70"/>
      <c r="O4018" s="77" t="s">
        <v>179</v>
      </c>
      <c r="P4018" s="79">
        <v>45145.497407407405</v>
      </c>
      <c r="Q4018" s="77" t="s">
        <v>4660</v>
      </c>
      <c r="R4018" s="77">
        <v>0</v>
      </c>
      <c r="S4018" s="77">
        <v>0</v>
      </c>
      <c r="T4018" s="77">
        <v>0</v>
      </c>
      <c r="U4018" s="77">
        <v>0</v>
      </c>
      <c r="V4018" s="77">
        <v>306</v>
      </c>
      <c r="W4018" s="82" t="s">
        <v>6411</v>
      </c>
      <c r="X4018" s="80" t="str">
        <f>HYPERLINK("https://www.youtube.com/watch?v=3j3pktY2ZdU")</f>
        <v>https://www.youtube.com/watch?v=3j3pktY2ZdU</v>
      </c>
      <c r="Y4018" s="77" t="s">
        <v>6480</v>
      </c>
      <c r="Z4018" s="77"/>
      <c r="AA4018" s="77"/>
      <c r="AB4018" s="77"/>
      <c r="AC4018" s="82" t="s">
        <v>7787</v>
      </c>
      <c r="AD4018" s="77" t="s">
        <v>7788</v>
      </c>
      <c r="AE4018" s="80" t="str">
        <f>HYPERLINK("https://twitter.com/modalmais/status/1688519425496961024")</f>
        <v>https://twitter.com/modalmais/status/1688519425496961024</v>
      </c>
      <c r="AF4018" s="79">
        <v>45145.497407407405</v>
      </c>
      <c r="AG4018" s="85">
        <v>45145</v>
      </c>
      <c r="AH4018" s="82" t="s">
        <v>10422</v>
      </c>
      <c r="AI4018" s="77" t="b">
        <v>0</v>
      </c>
      <c r="AJ4018" s="77"/>
      <c r="AK4018" s="77"/>
      <c r="AL4018" s="77"/>
      <c r="AM4018" s="77"/>
      <c r="AN4018" s="77"/>
      <c r="AO4018" s="77"/>
      <c r="AP4018" s="77"/>
      <c r="AQ4018" s="77"/>
      <c r="AR4018" s="77"/>
      <c r="AS4018" s="77"/>
      <c r="AT4018" s="77"/>
      <c r="AU4018" s="77"/>
      <c r="AV4018" s="80" t="str">
        <f>HYPERLINK("https://pbs.twimg.com/profile_images/1067039778795937797/PnnLGTU4_normal.jpg")</f>
        <v>https://pbs.twimg.com/profile_images/1067039778795937797/PnnLGTU4_normal.jpg</v>
      </c>
      <c r="AW4018" s="82" t="s">
        <v>15589</v>
      </c>
      <c r="AX4018" s="82" t="s">
        <v>15589</v>
      </c>
      <c r="AY4018" s="77"/>
      <c r="AZ4018" s="82" t="s">
        <v>15984</v>
      </c>
      <c r="BA4018" s="82" t="s">
        <v>15984</v>
      </c>
      <c r="BB4018" s="82" t="s">
        <v>15984</v>
      </c>
      <c r="BC4018" s="82" t="s">
        <v>15589</v>
      </c>
      <c r="BD4018" s="77">
        <v>2578778256</v>
      </c>
      <c r="BE4018" s="77"/>
      <c r="BF4018" s="77"/>
      <c r="BG4018" s="77"/>
      <c r="BH4018" s="77"/>
      <c r="BI4018" s="77"/>
    </row>
    <row r="4019" spans="1:61" x14ac:dyDescent="0.25">
      <c r="A4019" s="62" t="s">
        <v>735</v>
      </c>
      <c r="B4019" s="62" t="s">
        <v>735</v>
      </c>
      <c r="C4019" s="63"/>
      <c r="D4019" s="64"/>
      <c r="E4019" s="65"/>
      <c r="F4019" s="66"/>
      <c r="G4019" s="63"/>
      <c r="H4019" s="67"/>
      <c r="I4019" s="68"/>
      <c r="J4019" s="68"/>
      <c r="K4019" s="32"/>
      <c r="L4019" s="75">
        <v>4019</v>
      </c>
      <c r="M4019" s="75"/>
      <c r="N4019" s="70"/>
      <c r="O4019" s="77" t="s">
        <v>179</v>
      </c>
      <c r="P4019" s="79">
        <v>45126.569108796299</v>
      </c>
      <c r="Q4019" s="77" t="s">
        <v>4661</v>
      </c>
      <c r="R4019" s="77">
        <v>0</v>
      </c>
      <c r="S4019" s="77">
        <v>2</v>
      </c>
      <c r="T4019" s="77">
        <v>0</v>
      </c>
      <c r="U4019" s="77">
        <v>0</v>
      </c>
      <c r="V4019" s="77">
        <v>429</v>
      </c>
      <c r="W4019" s="82" t="s">
        <v>6410</v>
      </c>
      <c r="X4019" s="77"/>
      <c r="Y4019" s="77"/>
      <c r="Z4019" s="77"/>
      <c r="AA4019" s="77"/>
      <c r="AB4019" s="77"/>
      <c r="AC4019" s="82" t="s">
        <v>7787</v>
      </c>
      <c r="AD4019" s="77" t="s">
        <v>7788</v>
      </c>
      <c r="AE4019" s="80" t="str">
        <f>HYPERLINK("https://twitter.com/modalmais/status/1681660038828503040")</f>
        <v>https://twitter.com/modalmais/status/1681660038828503040</v>
      </c>
      <c r="AF4019" s="79">
        <v>45126.569108796299</v>
      </c>
      <c r="AG4019" s="85">
        <v>45126</v>
      </c>
      <c r="AH4019" s="82" t="s">
        <v>10423</v>
      </c>
      <c r="AI4019" s="77"/>
      <c r="AJ4019" s="77"/>
      <c r="AK4019" s="77"/>
      <c r="AL4019" s="77"/>
      <c r="AM4019" s="77"/>
      <c r="AN4019" s="77"/>
      <c r="AO4019" s="77"/>
      <c r="AP4019" s="77"/>
      <c r="AQ4019" s="77"/>
      <c r="AR4019" s="77"/>
      <c r="AS4019" s="77"/>
      <c r="AT4019" s="77"/>
      <c r="AU4019" s="77"/>
      <c r="AV4019" s="80" t="str">
        <f>HYPERLINK("https://pbs.twimg.com/profile_images/1067039778795937797/PnnLGTU4_normal.jpg")</f>
        <v>https://pbs.twimg.com/profile_images/1067039778795937797/PnnLGTU4_normal.jpg</v>
      </c>
      <c r="AW4019" s="82" t="s">
        <v>15590</v>
      </c>
      <c r="AX4019" s="82" t="s">
        <v>15590</v>
      </c>
      <c r="AY4019" s="77"/>
      <c r="AZ4019" s="82" t="s">
        <v>15984</v>
      </c>
      <c r="BA4019" s="82" t="s">
        <v>15984</v>
      </c>
      <c r="BB4019" s="82" t="s">
        <v>15984</v>
      </c>
      <c r="BC4019" s="82" t="s">
        <v>15590</v>
      </c>
      <c r="BD4019" s="77">
        <v>2578778256</v>
      </c>
      <c r="BE4019" s="77"/>
      <c r="BF4019" s="77"/>
      <c r="BG4019" s="77"/>
      <c r="BH4019" s="77"/>
      <c r="BI4019" s="77"/>
    </row>
    <row r="4020" spans="1:61" x14ac:dyDescent="0.25">
      <c r="A4020" s="62" t="s">
        <v>735</v>
      </c>
      <c r="B4020" s="62" t="s">
        <v>735</v>
      </c>
      <c r="C4020" s="63"/>
      <c r="D4020" s="64"/>
      <c r="E4020" s="65"/>
      <c r="F4020" s="66"/>
      <c r="G4020" s="63"/>
      <c r="H4020" s="67"/>
      <c r="I4020" s="68"/>
      <c r="J4020" s="68"/>
      <c r="K4020" s="32"/>
      <c r="L4020" s="75">
        <v>4020</v>
      </c>
      <c r="M4020" s="75"/>
      <c r="N4020" s="70"/>
      <c r="O4020" s="77" t="s">
        <v>179</v>
      </c>
      <c r="P4020" s="79">
        <v>45126.553252314814</v>
      </c>
      <c r="Q4020" s="77" t="s">
        <v>4662</v>
      </c>
      <c r="R4020" s="77">
        <v>0</v>
      </c>
      <c r="S4020" s="77">
        <v>0</v>
      </c>
      <c r="T4020" s="77">
        <v>0</v>
      </c>
      <c r="U4020" s="77">
        <v>0</v>
      </c>
      <c r="V4020" s="77">
        <v>228</v>
      </c>
      <c r="W4020" s="82" t="s">
        <v>6411</v>
      </c>
      <c r="X4020" s="77"/>
      <c r="Y4020" s="77"/>
      <c r="Z4020" s="77"/>
      <c r="AA4020" s="77"/>
      <c r="AB4020" s="77"/>
      <c r="AC4020" s="82" t="s">
        <v>7787</v>
      </c>
      <c r="AD4020" s="77" t="s">
        <v>7788</v>
      </c>
      <c r="AE4020" s="80" t="str">
        <f>HYPERLINK("https://twitter.com/modalmais/status/1681654293395390464")</f>
        <v>https://twitter.com/modalmais/status/1681654293395390464</v>
      </c>
      <c r="AF4020" s="79">
        <v>45126.553252314814</v>
      </c>
      <c r="AG4020" s="85">
        <v>45126</v>
      </c>
      <c r="AH4020" s="82" t="s">
        <v>10424</v>
      </c>
      <c r="AI4020" s="77"/>
      <c r="AJ4020" s="77"/>
      <c r="AK4020" s="77"/>
      <c r="AL4020" s="77"/>
      <c r="AM4020" s="77"/>
      <c r="AN4020" s="77"/>
      <c r="AO4020" s="77"/>
      <c r="AP4020" s="77"/>
      <c r="AQ4020" s="77"/>
      <c r="AR4020" s="77"/>
      <c r="AS4020" s="77"/>
      <c r="AT4020" s="77"/>
      <c r="AU4020" s="77"/>
      <c r="AV4020" s="80" t="str">
        <f>HYPERLINK("https://pbs.twimg.com/profile_images/1067039778795937797/PnnLGTU4_normal.jpg")</f>
        <v>https://pbs.twimg.com/profile_images/1067039778795937797/PnnLGTU4_normal.jpg</v>
      </c>
      <c r="AW4020" s="82" t="s">
        <v>15591</v>
      </c>
      <c r="AX4020" s="82" t="s">
        <v>15591</v>
      </c>
      <c r="AY4020" s="77"/>
      <c r="AZ4020" s="82" t="s">
        <v>15984</v>
      </c>
      <c r="BA4020" s="82" t="s">
        <v>15984</v>
      </c>
      <c r="BB4020" s="82" t="s">
        <v>15984</v>
      </c>
      <c r="BC4020" s="82" t="s">
        <v>15591</v>
      </c>
      <c r="BD4020" s="77">
        <v>2578778256</v>
      </c>
      <c r="BE4020" s="77"/>
      <c r="BF4020" s="77"/>
      <c r="BG4020" s="77"/>
      <c r="BH4020" s="77"/>
      <c r="BI4020" s="77"/>
    </row>
    <row r="4021" spans="1:61" x14ac:dyDescent="0.25">
      <c r="A4021" s="62" t="s">
        <v>735</v>
      </c>
      <c r="B4021" s="62" t="s">
        <v>735</v>
      </c>
      <c r="C4021" s="63"/>
      <c r="D4021" s="64"/>
      <c r="E4021" s="65"/>
      <c r="F4021" s="66"/>
      <c r="G4021" s="63"/>
      <c r="H4021" s="67"/>
      <c r="I4021" s="68"/>
      <c r="J4021" s="68"/>
      <c r="K4021" s="32"/>
      <c r="L4021" s="75">
        <v>4021</v>
      </c>
      <c r="M4021" s="75"/>
      <c r="N4021" s="70"/>
      <c r="O4021" s="77" t="s">
        <v>179</v>
      </c>
      <c r="P4021" s="79">
        <v>45126.532141203701</v>
      </c>
      <c r="Q4021" s="77" t="s">
        <v>4663</v>
      </c>
      <c r="R4021" s="77">
        <v>1</v>
      </c>
      <c r="S4021" s="77">
        <v>1</v>
      </c>
      <c r="T4021" s="77">
        <v>0</v>
      </c>
      <c r="U4021" s="77">
        <v>0</v>
      </c>
      <c r="V4021" s="77">
        <v>277</v>
      </c>
      <c r="W4021" s="82" t="s">
        <v>6411</v>
      </c>
      <c r="X4021" s="80" t="str">
        <f>HYPERLINK("https://www.modalmais.com.br/morning-call/industria-registrou-declinio-no-desempenho-em-junho/")</f>
        <v>https://www.modalmais.com.br/morning-call/industria-registrou-declinio-no-desempenho-em-junho/</v>
      </c>
      <c r="Y4021" s="77" t="s">
        <v>6470</v>
      </c>
      <c r="Z4021" s="77"/>
      <c r="AA4021" s="77"/>
      <c r="AB4021" s="77"/>
      <c r="AC4021" s="82" t="s">
        <v>7787</v>
      </c>
      <c r="AD4021" s="77" t="s">
        <v>7788</v>
      </c>
      <c r="AE4021" s="80" t="str">
        <f>HYPERLINK("https://twitter.com/modalmais/status/1681646643119104000")</f>
        <v>https://twitter.com/modalmais/status/1681646643119104000</v>
      </c>
      <c r="AF4021" s="79">
        <v>45126.532141203701</v>
      </c>
      <c r="AG4021" s="85">
        <v>45126</v>
      </c>
      <c r="AH4021" s="82" t="s">
        <v>10425</v>
      </c>
      <c r="AI4021" s="77" t="b">
        <v>0</v>
      </c>
      <c r="AJ4021" s="77"/>
      <c r="AK4021" s="77"/>
      <c r="AL4021" s="77"/>
      <c r="AM4021" s="77"/>
      <c r="AN4021" s="77"/>
      <c r="AO4021" s="77"/>
      <c r="AP4021" s="77"/>
      <c r="AQ4021" s="77"/>
      <c r="AR4021" s="77"/>
      <c r="AS4021" s="77"/>
      <c r="AT4021" s="77"/>
      <c r="AU4021" s="77"/>
      <c r="AV4021" s="80" t="str">
        <f>HYPERLINK("https://pbs.twimg.com/profile_images/1067039778795937797/PnnLGTU4_normal.jpg")</f>
        <v>https://pbs.twimg.com/profile_images/1067039778795937797/PnnLGTU4_normal.jpg</v>
      </c>
      <c r="AW4021" s="82" t="s">
        <v>15592</v>
      </c>
      <c r="AX4021" s="82" t="s">
        <v>15592</v>
      </c>
      <c r="AY4021" s="77"/>
      <c r="AZ4021" s="82" t="s">
        <v>15984</v>
      </c>
      <c r="BA4021" s="82" t="s">
        <v>15984</v>
      </c>
      <c r="BB4021" s="82" t="s">
        <v>15984</v>
      </c>
      <c r="BC4021" s="82" t="s">
        <v>15592</v>
      </c>
      <c r="BD4021" s="77">
        <v>2578778256</v>
      </c>
      <c r="BE4021" s="77"/>
      <c r="BF4021" s="77"/>
      <c r="BG4021" s="77"/>
      <c r="BH4021" s="77"/>
      <c r="BI4021" s="77"/>
    </row>
    <row r="4022" spans="1:61" x14ac:dyDescent="0.25">
      <c r="A4022" s="62" t="s">
        <v>735</v>
      </c>
      <c r="B4022" s="62" t="s">
        <v>735</v>
      </c>
      <c r="C4022" s="63"/>
      <c r="D4022" s="64"/>
      <c r="E4022" s="65"/>
      <c r="F4022" s="66"/>
      <c r="G4022" s="63"/>
      <c r="H4022" s="67"/>
      <c r="I4022" s="68"/>
      <c r="J4022" s="68"/>
      <c r="K4022" s="32"/>
      <c r="L4022" s="75">
        <v>4022</v>
      </c>
      <c r="M4022" s="75"/>
      <c r="N4022" s="70"/>
      <c r="O4022" s="77" t="s">
        <v>179</v>
      </c>
      <c r="P4022" s="79">
        <v>45126.51353009259</v>
      </c>
      <c r="Q4022" s="77" t="s">
        <v>4664</v>
      </c>
      <c r="R4022" s="77">
        <v>0</v>
      </c>
      <c r="S4022" s="77">
        <v>0</v>
      </c>
      <c r="T4022" s="77">
        <v>0</v>
      </c>
      <c r="U4022" s="77">
        <v>0</v>
      </c>
      <c r="V4022" s="77">
        <v>287</v>
      </c>
      <c r="W4022" s="82" t="s">
        <v>6411</v>
      </c>
      <c r="X4022" s="77"/>
      <c r="Y4022" s="77"/>
      <c r="Z4022" s="77"/>
      <c r="AA4022" s="77"/>
      <c r="AB4022" s="77"/>
      <c r="AC4022" s="82" t="s">
        <v>7787</v>
      </c>
      <c r="AD4022" s="77" t="s">
        <v>7797</v>
      </c>
      <c r="AE4022" s="80" t="str">
        <f>HYPERLINK("https://twitter.com/modalmais/status/1681639896329379840")</f>
        <v>https://twitter.com/modalmais/status/1681639896329379840</v>
      </c>
      <c r="AF4022" s="79">
        <v>45126.51353009259</v>
      </c>
      <c r="AG4022" s="85">
        <v>45126</v>
      </c>
      <c r="AH4022" s="82" t="s">
        <v>10426</v>
      </c>
      <c r="AI4022" s="77"/>
      <c r="AJ4022" s="77"/>
      <c r="AK4022" s="77"/>
      <c r="AL4022" s="77"/>
      <c r="AM4022" s="77"/>
      <c r="AN4022" s="77"/>
      <c r="AO4022" s="77"/>
      <c r="AP4022" s="77"/>
      <c r="AQ4022" s="77"/>
      <c r="AR4022" s="77"/>
      <c r="AS4022" s="77"/>
      <c r="AT4022" s="77"/>
      <c r="AU4022" s="77"/>
      <c r="AV4022" s="80" t="str">
        <f>HYPERLINK("https://pbs.twimg.com/profile_images/1067039778795937797/PnnLGTU4_normal.jpg")</f>
        <v>https://pbs.twimg.com/profile_images/1067039778795937797/PnnLGTU4_normal.jpg</v>
      </c>
      <c r="AW4022" s="82" t="s">
        <v>15593</v>
      </c>
      <c r="AX4022" s="82" t="s">
        <v>15593</v>
      </c>
      <c r="AY4022" s="77"/>
      <c r="AZ4022" s="82" t="s">
        <v>15984</v>
      </c>
      <c r="BA4022" s="82" t="s">
        <v>15984</v>
      </c>
      <c r="BB4022" s="82" t="s">
        <v>15984</v>
      </c>
      <c r="BC4022" s="82" t="s">
        <v>15593</v>
      </c>
      <c r="BD4022" s="77">
        <v>2578778256</v>
      </c>
      <c r="BE4022" s="77"/>
      <c r="BF4022" s="77"/>
      <c r="BG4022" s="77"/>
      <c r="BH4022" s="77"/>
      <c r="BI4022" s="77"/>
    </row>
    <row r="4023" spans="1:61" x14ac:dyDescent="0.25">
      <c r="A4023" s="62" t="s">
        <v>735</v>
      </c>
      <c r="B4023" s="62" t="s">
        <v>735</v>
      </c>
      <c r="C4023" s="63"/>
      <c r="D4023" s="64"/>
      <c r="E4023" s="65"/>
      <c r="F4023" s="66"/>
      <c r="G4023" s="63"/>
      <c r="H4023" s="67"/>
      <c r="I4023" s="68"/>
      <c r="J4023" s="68"/>
      <c r="K4023" s="32"/>
      <c r="L4023" s="75">
        <v>4023</v>
      </c>
      <c r="M4023" s="75"/>
      <c r="N4023" s="70"/>
      <c r="O4023" s="77" t="s">
        <v>179</v>
      </c>
      <c r="P4023" s="79">
        <v>45126.513252314813</v>
      </c>
      <c r="Q4023" s="77" t="s">
        <v>4665</v>
      </c>
      <c r="R4023" s="77">
        <v>0</v>
      </c>
      <c r="S4023" s="77">
        <v>0</v>
      </c>
      <c r="T4023" s="77">
        <v>0</v>
      </c>
      <c r="U4023" s="77">
        <v>0</v>
      </c>
      <c r="V4023" s="77">
        <v>252</v>
      </c>
      <c r="W4023" s="82" t="s">
        <v>6411</v>
      </c>
      <c r="X4023" s="77"/>
      <c r="Y4023" s="77"/>
      <c r="Z4023" s="77"/>
      <c r="AA4023" s="77"/>
      <c r="AB4023" s="77"/>
      <c r="AC4023" s="82" t="s">
        <v>7787</v>
      </c>
      <c r="AD4023" s="77" t="s">
        <v>7793</v>
      </c>
      <c r="AE4023" s="80" t="str">
        <f>HYPERLINK("https://twitter.com/modalmais/status/1681639797390036993")</f>
        <v>https://twitter.com/modalmais/status/1681639797390036993</v>
      </c>
      <c r="AF4023" s="79">
        <v>45126.513252314813</v>
      </c>
      <c r="AG4023" s="85">
        <v>45126</v>
      </c>
      <c r="AH4023" s="82" t="s">
        <v>8250</v>
      </c>
      <c r="AI4023" s="77"/>
      <c r="AJ4023" s="77"/>
      <c r="AK4023" s="77"/>
      <c r="AL4023" s="77"/>
      <c r="AM4023" s="77"/>
      <c r="AN4023" s="77"/>
      <c r="AO4023" s="77"/>
      <c r="AP4023" s="77"/>
      <c r="AQ4023" s="77"/>
      <c r="AR4023" s="77"/>
      <c r="AS4023" s="77"/>
      <c r="AT4023" s="77"/>
      <c r="AU4023" s="77"/>
      <c r="AV4023" s="80" t="str">
        <f>HYPERLINK("https://pbs.twimg.com/profile_images/1067039778795937797/PnnLGTU4_normal.jpg")</f>
        <v>https://pbs.twimg.com/profile_images/1067039778795937797/PnnLGTU4_normal.jpg</v>
      </c>
      <c r="AW4023" s="82" t="s">
        <v>15594</v>
      </c>
      <c r="AX4023" s="82" t="s">
        <v>15594</v>
      </c>
      <c r="AY4023" s="77"/>
      <c r="AZ4023" s="82" t="s">
        <v>15984</v>
      </c>
      <c r="BA4023" s="82" t="s">
        <v>15984</v>
      </c>
      <c r="BB4023" s="82" t="s">
        <v>15984</v>
      </c>
      <c r="BC4023" s="82" t="s">
        <v>15594</v>
      </c>
      <c r="BD4023" s="77">
        <v>2578778256</v>
      </c>
      <c r="BE4023" s="77"/>
      <c r="BF4023" s="77"/>
      <c r="BG4023" s="77"/>
      <c r="BH4023" s="77"/>
      <c r="BI4023" s="77"/>
    </row>
    <row r="4024" spans="1:61" x14ac:dyDescent="0.25">
      <c r="A4024" s="62" t="s">
        <v>735</v>
      </c>
      <c r="B4024" s="62" t="s">
        <v>735</v>
      </c>
      <c r="C4024" s="63"/>
      <c r="D4024" s="64"/>
      <c r="E4024" s="65"/>
      <c r="F4024" s="66"/>
      <c r="G4024" s="63"/>
      <c r="H4024" s="67"/>
      <c r="I4024" s="68"/>
      <c r="J4024" s="68"/>
      <c r="K4024" s="32"/>
      <c r="L4024" s="75">
        <v>4024</v>
      </c>
      <c r="M4024" s="75"/>
      <c r="N4024" s="70"/>
      <c r="O4024" s="77" t="s">
        <v>179</v>
      </c>
      <c r="P4024" s="79">
        <v>45126.496087962965</v>
      </c>
      <c r="Q4024" s="77" t="s">
        <v>4666</v>
      </c>
      <c r="R4024" s="77">
        <v>0</v>
      </c>
      <c r="S4024" s="77">
        <v>1</v>
      </c>
      <c r="T4024" s="77">
        <v>0</v>
      </c>
      <c r="U4024" s="77">
        <v>0</v>
      </c>
      <c r="V4024" s="77">
        <v>282</v>
      </c>
      <c r="W4024" s="82" t="s">
        <v>6411</v>
      </c>
      <c r="X4024" s="80" t="str">
        <f>HYPERLINK("https://www.youtube.com/watch?v=H-8yFRnRs-0")</f>
        <v>https://www.youtube.com/watch?v=H-8yFRnRs-0</v>
      </c>
      <c r="Y4024" s="77" t="s">
        <v>6480</v>
      </c>
      <c r="Z4024" s="77"/>
      <c r="AA4024" s="77"/>
      <c r="AB4024" s="77"/>
      <c r="AC4024" s="82" t="s">
        <v>7787</v>
      </c>
      <c r="AD4024" s="77" t="s">
        <v>7788</v>
      </c>
      <c r="AE4024" s="80" t="str">
        <f>HYPERLINK("https://twitter.com/modalmais/status/1681633578013151233")</f>
        <v>https://twitter.com/modalmais/status/1681633578013151233</v>
      </c>
      <c r="AF4024" s="79">
        <v>45126.496087962965</v>
      </c>
      <c r="AG4024" s="85">
        <v>45126</v>
      </c>
      <c r="AH4024" s="82" t="s">
        <v>10427</v>
      </c>
      <c r="AI4024" s="77" t="b">
        <v>0</v>
      </c>
      <c r="AJ4024" s="77"/>
      <c r="AK4024" s="77"/>
      <c r="AL4024" s="77"/>
      <c r="AM4024" s="77"/>
      <c r="AN4024" s="77"/>
      <c r="AO4024" s="77"/>
      <c r="AP4024" s="77"/>
      <c r="AQ4024" s="77"/>
      <c r="AR4024" s="77"/>
      <c r="AS4024" s="77"/>
      <c r="AT4024" s="77"/>
      <c r="AU4024" s="77"/>
      <c r="AV4024" s="80" t="str">
        <f>HYPERLINK("https://pbs.twimg.com/profile_images/1067039778795937797/PnnLGTU4_normal.jpg")</f>
        <v>https://pbs.twimg.com/profile_images/1067039778795937797/PnnLGTU4_normal.jpg</v>
      </c>
      <c r="AW4024" s="82" t="s">
        <v>15595</v>
      </c>
      <c r="AX4024" s="82" t="s">
        <v>15595</v>
      </c>
      <c r="AY4024" s="77"/>
      <c r="AZ4024" s="82" t="s">
        <v>15984</v>
      </c>
      <c r="BA4024" s="82" t="s">
        <v>15984</v>
      </c>
      <c r="BB4024" s="82" t="s">
        <v>15984</v>
      </c>
      <c r="BC4024" s="82" t="s">
        <v>15595</v>
      </c>
      <c r="BD4024" s="77">
        <v>2578778256</v>
      </c>
      <c r="BE4024" s="77"/>
      <c r="BF4024" s="77"/>
      <c r="BG4024" s="77"/>
      <c r="BH4024" s="77"/>
      <c r="BI4024" s="77"/>
    </row>
    <row r="4025" spans="1:61" x14ac:dyDescent="0.25">
      <c r="A4025" s="62" t="s">
        <v>735</v>
      </c>
      <c r="B4025" s="62" t="s">
        <v>735</v>
      </c>
      <c r="C4025" s="63"/>
      <c r="D4025" s="64"/>
      <c r="E4025" s="65"/>
      <c r="F4025" s="66"/>
      <c r="G4025" s="63"/>
      <c r="H4025" s="67"/>
      <c r="I4025" s="68"/>
      <c r="J4025" s="68"/>
      <c r="K4025" s="32"/>
      <c r="L4025" s="75">
        <v>4025</v>
      </c>
      <c r="M4025" s="75"/>
      <c r="N4025" s="70"/>
      <c r="O4025" s="77" t="s">
        <v>179</v>
      </c>
      <c r="P4025" s="79">
        <v>45126.495729166665</v>
      </c>
      <c r="Q4025" s="77" t="s">
        <v>4667</v>
      </c>
      <c r="R4025" s="77">
        <v>0</v>
      </c>
      <c r="S4025" s="77">
        <v>1</v>
      </c>
      <c r="T4025" s="77">
        <v>0</v>
      </c>
      <c r="U4025" s="77">
        <v>0</v>
      </c>
      <c r="V4025" s="77">
        <v>278</v>
      </c>
      <c r="W4025" s="82" t="s">
        <v>6411</v>
      </c>
      <c r="X4025" s="80" t="str">
        <f>HYPERLINK("https://www.youtube.com/watch?v=koy-kRXP2No")</f>
        <v>https://www.youtube.com/watch?v=koy-kRXP2No</v>
      </c>
      <c r="Y4025" s="77" t="s">
        <v>6480</v>
      </c>
      <c r="Z4025" s="77"/>
      <c r="AA4025" s="77"/>
      <c r="AB4025" s="77"/>
      <c r="AC4025" s="82" t="s">
        <v>7787</v>
      </c>
      <c r="AD4025" s="77" t="s">
        <v>7788</v>
      </c>
      <c r="AE4025" s="80" t="str">
        <f>HYPERLINK("https://twitter.com/modalmais/status/1681633445687050240")</f>
        <v>https://twitter.com/modalmais/status/1681633445687050240</v>
      </c>
      <c r="AF4025" s="79">
        <v>45126.495729166665</v>
      </c>
      <c r="AG4025" s="85">
        <v>45126</v>
      </c>
      <c r="AH4025" s="82" t="s">
        <v>10428</v>
      </c>
      <c r="AI4025" s="77" t="b">
        <v>0</v>
      </c>
      <c r="AJ4025" s="77"/>
      <c r="AK4025" s="77"/>
      <c r="AL4025" s="77"/>
      <c r="AM4025" s="77"/>
      <c r="AN4025" s="77"/>
      <c r="AO4025" s="77"/>
      <c r="AP4025" s="77"/>
      <c r="AQ4025" s="77"/>
      <c r="AR4025" s="77"/>
      <c r="AS4025" s="77"/>
      <c r="AT4025" s="77"/>
      <c r="AU4025" s="77"/>
      <c r="AV4025" s="80" t="str">
        <f>HYPERLINK("https://pbs.twimg.com/profile_images/1067039778795937797/PnnLGTU4_normal.jpg")</f>
        <v>https://pbs.twimg.com/profile_images/1067039778795937797/PnnLGTU4_normal.jpg</v>
      </c>
      <c r="AW4025" s="82" t="s">
        <v>15596</v>
      </c>
      <c r="AX4025" s="82" t="s">
        <v>15596</v>
      </c>
      <c r="AY4025" s="77"/>
      <c r="AZ4025" s="82" t="s">
        <v>15984</v>
      </c>
      <c r="BA4025" s="82" t="s">
        <v>15984</v>
      </c>
      <c r="BB4025" s="82" t="s">
        <v>15984</v>
      </c>
      <c r="BC4025" s="82" t="s">
        <v>15596</v>
      </c>
      <c r="BD4025" s="77">
        <v>2578778256</v>
      </c>
      <c r="BE4025" s="77"/>
      <c r="BF4025" s="77"/>
      <c r="BG4025" s="77"/>
      <c r="BH4025" s="77"/>
      <c r="BI4025" s="77"/>
    </row>
    <row r="4026" spans="1:61" x14ac:dyDescent="0.25">
      <c r="A4026" s="62" t="s">
        <v>735</v>
      </c>
      <c r="B4026" s="62" t="s">
        <v>735</v>
      </c>
      <c r="C4026" s="63"/>
      <c r="D4026" s="64"/>
      <c r="E4026" s="65"/>
      <c r="F4026" s="66"/>
      <c r="G4026" s="63"/>
      <c r="H4026" s="67"/>
      <c r="I4026" s="68"/>
      <c r="J4026" s="68"/>
      <c r="K4026" s="32"/>
      <c r="L4026" s="75">
        <v>4026</v>
      </c>
      <c r="M4026" s="75"/>
      <c r="N4026" s="70"/>
      <c r="O4026" s="77" t="s">
        <v>179</v>
      </c>
      <c r="P4026" s="79">
        <v>45187.570787037039</v>
      </c>
      <c r="Q4026" s="77" t="s">
        <v>4668</v>
      </c>
      <c r="R4026" s="77">
        <v>0</v>
      </c>
      <c r="S4026" s="77">
        <v>0</v>
      </c>
      <c r="T4026" s="77">
        <v>0</v>
      </c>
      <c r="U4026" s="77">
        <v>0</v>
      </c>
      <c r="V4026" s="77">
        <v>353</v>
      </c>
      <c r="W4026" s="82" t="s">
        <v>6434</v>
      </c>
      <c r="X4026" s="80" t="str">
        <f>HYPERLINK("https://www.youtube.com/watch?v=GpU2NBKSE08")</f>
        <v>https://www.youtube.com/watch?v=GpU2NBKSE08</v>
      </c>
      <c r="Y4026" s="77" t="s">
        <v>6480</v>
      </c>
      <c r="Z4026" s="77"/>
      <c r="AA4026" s="77"/>
      <c r="AB4026" s="77"/>
      <c r="AC4026" s="82" t="s">
        <v>7787</v>
      </c>
      <c r="AD4026" s="77" t="s">
        <v>7788</v>
      </c>
      <c r="AE4026" s="80" t="str">
        <f>HYPERLINK("https://twitter.com/modalmais/status/1703766306124685535")</f>
        <v>https://twitter.com/modalmais/status/1703766306124685535</v>
      </c>
      <c r="AF4026" s="79">
        <v>45187.570787037039</v>
      </c>
      <c r="AG4026" s="85">
        <v>45187</v>
      </c>
      <c r="AH4026" s="82" t="s">
        <v>10429</v>
      </c>
      <c r="AI4026" s="77" t="b">
        <v>0</v>
      </c>
      <c r="AJ4026" s="77"/>
      <c r="AK4026" s="77"/>
      <c r="AL4026" s="77"/>
      <c r="AM4026" s="77"/>
      <c r="AN4026" s="77"/>
      <c r="AO4026" s="77"/>
      <c r="AP4026" s="77"/>
      <c r="AQ4026" s="77"/>
      <c r="AR4026" s="77"/>
      <c r="AS4026" s="77"/>
      <c r="AT4026" s="77"/>
      <c r="AU4026" s="77"/>
      <c r="AV4026" s="80" t="str">
        <f>HYPERLINK("https://pbs.twimg.com/profile_images/1067039778795937797/PnnLGTU4_normal.jpg")</f>
        <v>https://pbs.twimg.com/profile_images/1067039778795937797/PnnLGTU4_normal.jpg</v>
      </c>
      <c r="AW4026" s="82" t="s">
        <v>15597</v>
      </c>
      <c r="AX4026" s="82" t="s">
        <v>15597</v>
      </c>
      <c r="AY4026" s="77"/>
      <c r="AZ4026" s="82" t="s">
        <v>15984</v>
      </c>
      <c r="BA4026" s="82" t="s">
        <v>15984</v>
      </c>
      <c r="BB4026" s="82" t="s">
        <v>15984</v>
      </c>
      <c r="BC4026" s="82" t="s">
        <v>15597</v>
      </c>
      <c r="BD4026" s="77">
        <v>2578778256</v>
      </c>
      <c r="BE4026" s="77"/>
      <c r="BF4026" s="77"/>
      <c r="BG4026" s="77"/>
      <c r="BH4026" s="77"/>
      <c r="BI4026" s="77"/>
    </row>
    <row r="4027" spans="1:61" x14ac:dyDescent="0.25">
      <c r="A4027" s="62" t="s">
        <v>735</v>
      </c>
      <c r="B4027" s="62" t="s">
        <v>735</v>
      </c>
      <c r="C4027" s="63"/>
      <c r="D4027" s="64"/>
      <c r="E4027" s="65"/>
      <c r="F4027" s="66"/>
      <c r="G4027" s="63"/>
      <c r="H4027" s="67"/>
      <c r="I4027" s="68"/>
      <c r="J4027" s="68"/>
      <c r="K4027" s="32"/>
      <c r="L4027" s="75">
        <v>4027</v>
      </c>
      <c r="M4027" s="75"/>
      <c r="N4027" s="70"/>
      <c r="O4027" s="77" t="s">
        <v>179</v>
      </c>
      <c r="P4027" s="79">
        <v>45152.879745370374</v>
      </c>
      <c r="Q4027" s="77" t="s">
        <v>4669</v>
      </c>
      <c r="R4027" s="77">
        <v>0</v>
      </c>
      <c r="S4027" s="77">
        <v>3</v>
      </c>
      <c r="T4027" s="77">
        <v>0</v>
      </c>
      <c r="U4027" s="77">
        <v>0</v>
      </c>
      <c r="V4027" s="77">
        <v>334</v>
      </c>
      <c r="W4027" s="82" t="s">
        <v>6411</v>
      </c>
      <c r="X4027" s="77"/>
      <c r="Y4027" s="77"/>
      <c r="Z4027" s="77"/>
      <c r="AA4027" s="77"/>
      <c r="AB4027" s="77"/>
      <c r="AC4027" s="82" t="s">
        <v>7787</v>
      </c>
      <c r="AD4027" s="77" t="s">
        <v>7788</v>
      </c>
      <c r="AE4027" s="80" t="str">
        <f>HYPERLINK("https://twitter.com/modalmais/status/1691194693411811328")</f>
        <v>https://twitter.com/modalmais/status/1691194693411811328</v>
      </c>
      <c r="AF4027" s="79">
        <v>45152.879745370374</v>
      </c>
      <c r="AG4027" s="85">
        <v>45152</v>
      </c>
      <c r="AH4027" s="82" t="s">
        <v>10430</v>
      </c>
      <c r="AI4027" s="77"/>
      <c r="AJ4027" s="77"/>
      <c r="AK4027" s="77"/>
      <c r="AL4027" s="77"/>
      <c r="AM4027" s="77"/>
      <c r="AN4027" s="77"/>
      <c r="AO4027" s="77"/>
      <c r="AP4027" s="77"/>
      <c r="AQ4027" s="77"/>
      <c r="AR4027" s="77"/>
      <c r="AS4027" s="77"/>
      <c r="AT4027" s="77"/>
      <c r="AU4027" s="77"/>
      <c r="AV4027" s="80" t="str">
        <f>HYPERLINK("https://pbs.twimg.com/profile_images/1067039778795937797/PnnLGTU4_normal.jpg")</f>
        <v>https://pbs.twimg.com/profile_images/1067039778795937797/PnnLGTU4_normal.jpg</v>
      </c>
      <c r="AW4027" s="82" t="s">
        <v>15598</v>
      </c>
      <c r="AX4027" s="82" t="s">
        <v>15598</v>
      </c>
      <c r="AY4027" s="77"/>
      <c r="AZ4027" s="82" t="s">
        <v>15984</v>
      </c>
      <c r="BA4027" s="82" t="s">
        <v>15984</v>
      </c>
      <c r="BB4027" s="82" t="s">
        <v>15984</v>
      </c>
      <c r="BC4027" s="82" t="s">
        <v>15598</v>
      </c>
      <c r="BD4027" s="77">
        <v>2578778256</v>
      </c>
      <c r="BE4027" s="77"/>
      <c r="BF4027" s="77"/>
      <c r="BG4027" s="77"/>
      <c r="BH4027" s="77"/>
      <c r="BI4027" s="77"/>
    </row>
    <row r="4028" spans="1:61" x14ac:dyDescent="0.25">
      <c r="A4028" s="62" t="s">
        <v>735</v>
      </c>
      <c r="B4028" s="62" t="s">
        <v>735</v>
      </c>
      <c r="C4028" s="63"/>
      <c r="D4028" s="64"/>
      <c r="E4028" s="65"/>
      <c r="F4028" s="66"/>
      <c r="G4028" s="63"/>
      <c r="H4028" s="67"/>
      <c r="I4028" s="68"/>
      <c r="J4028" s="68"/>
      <c r="K4028" s="32"/>
      <c r="L4028" s="75">
        <v>4028</v>
      </c>
      <c r="M4028" s="75"/>
      <c r="N4028" s="70"/>
      <c r="O4028" s="77" t="s">
        <v>179</v>
      </c>
      <c r="P4028" s="79">
        <v>45152.878912037035</v>
      </c>
      <c r="Q4028" s="77" t="s">
        <v>4670</v>
      </c>
      <c r="R4028" s="77">
        <v>0</v>
      </c>
      <c r="S4028" s="77">
        <v>2</v>
      </c>
      <c r="T4028" s="77">
        <v>0</v>
      </c>
      <c r="U4028" s="77">
        <v>0</v>
      </c>
      <c r="V4028" s="77">
        <v>295</v>
      </c>
      <c r="W4028" s="82" t="s">
        <v>6411</v>
      </c>
      <c r="X4028" s="80" t="str">
        <f>HYPERLINK("https://www.youtube.com/watch?v=aTKh_c0pdvI")</f>
        <v>https://www.youtube.com/watch?v=aTKh_c0pdvI</v>
      </c>
      <c r="Y4028" s="77" t="s">
        <v>6480</v>
      </c>
      <c r="Z4028" s="77"/>
      <c r="AA4028" s="77"/>
      <c r="AB4028" s="77"/>
      <c r="AC4028" s="82" t="s">
        <v>7787</v>
      </c>
      <c r="AD4028" s="77" t="s">
        <v>7788</v>
      </c>
      <c r="AE4028" s="80" t="str">
        <f>HYPERLINK("https://twitter.com/modalmais/status/1691194393728847874")</f>
        <v>https://twitter.com/modalmais/status/1691194393728847874</v>
      </c>
      <c r="AF4028" s="79">
        <v>45152.878912037035</v>
      </c>
      <c r="AG4028" s="85">
        <v>45152</v>
      </c>
      <c r="AH4028" s="82" t="s">
        <v>10431</v>
      </c>
      <c r="AI4028" s="77" t="b">
        <v>0</v>
      </c>
      <c r="AJ4028" s="77"/>
      <c r="AK4028" s="77"/>
      <c r="AL4028" s="77"/>
      <c r="AM4028" s="77"/>
      <c r="AN4028" s="77"/>
      <c r="AO4028" s="77"/>
      <c r="AP4028" s="77"/>
      <c r="AQ4028" s="77"/>
      <c r="AR4028" s="77"/>
      <c r="AS4028" s="77"/>
      <c r="AT4028" s="77"/>
      <c r="AU4028" s="77"/>
      <c r="AV4028" s="80" t="str">
        <f>HYPERLINK("https://pbs.twimg.com/profile_images/1067039778795937797/PnnLGTU4_normal.jpg")</f>
        <v>https://pbs.twimg.com/profile_images/1067039778795937797/PnnLGTU4_normal.jpg</v>
      </c>
      <c r="AW4028" s="82" t="s">
        <v>15599</v>
      </c>
      <c r="AX4028" s="82" t="s">
        <v>15599</v>
      </c>
      <c r="AY4028" s="77"/>
      <c r="AZ4028" s="82" t="s">
        <v>15984</v>
      </c>
      <c r="BA4028" s="82" t="s">
        <v>15984</v>
      </c>
      <c r="BB4028" s="82" t="s">
        <v>15984</v>
      </c>
      <c r="BC4028" s="82" t="s">
        <v>15599</v>
      </c>
      <c r="BD4028" s="77">
        <v>2578778256</v>
      </c>
      <c r="BE4028" s="77"/>
      <c r="BF4028" s="77"/>
      <c r="BG4028" s="77"/>
      <c r="BH4028" s="77"/>
      <c r="BI4028" s="77"/>
    </row>
    <row r="4029" spans="1:61" x14ac:dyDescent="0.25">
      <c r="A4029" s="62" t="s">
        <v>735</v>
      </c>
      <c r="B4029" s="62" t="s">
        <v>735</v>
      </c>
      <c r="C4029" s="63"/>
      <c r="D4029" s="64"/>
      <c r="E4029" s="65"/>
      <c r="F4029" s="66"/>
      <c r="G4029" s="63"/>
      <c r="H4029" s="67"/>
      <c r="I4029" s="68"/>
      <c r="J4029" s="68"/>
      <c r="K4029" s="32"/>
      <c r="L4029" s="75">
        <v>4029</v>
      </c>
      <c r="M4029" s="75"/>
      <c r="N4029" s="70"/>
      <c r="O4029" s="77" t="s">
        <v>179</v>
      </c>
      <c r="P4029" s="79">
        <v>45152.878611111111</v>
      </c>
      <c r="Q4029" s="77" t="s">
        <v>4671</v>
      </c>
      <c r="R4029" s="77">
        <v>0</v>
      </c>
      <c r="S4029" s="77">
        <v>2</v>
      </c>
      <c r="T4029" s="77">
        <v>0</v>
      </c>
      <c r="U4029" s="77">
        <v>0</v>
      </c>
      <c r="V4029" s="77">
        <v>289</v>
      </c>
      <c r="W4029" s="82" t="s">
        <v>6411</v>
      </c>
      <c r="X4029" s="77"/>
      <c r="Y4029" s="77"/>
      <c r="Z4029" s="77"/>
      <c r="AA4029" s="77"/>
      <c r="AB4029" s="77"/>
      <c r="AC4029" s="82" t="s">
        <v>7787</v>
      </c>
      <c r="AD4029" s="77" t="s">
        <v>7790</v>
      </c>
      <c r="AE4029" s="80" t="str">
        <f>HYPERLINK("https://twitter.com/modalmais/status/1691194283884216325")</f>
        <v>https://twitter.com/modalmais/status/1691194283884216325</v>
      </c>
      <c r="AF4029" s="79">
        <v>45152.878611111111</v>
      </c>
      <c r="AG4029" s="85">
        <v>45152</v>
      </c>
      <c r="AH4029" s="82" t="s">
        <v>10432</v>
      </c>
      <c r="AI4029" s="77"/>
      <c r="AJ4029" s="77"/>
      <c r="AK4029" s="77"/>
      <c r="AL4029" s="77"/>
      <c r="AM4029" s="77"/>
      <c r="AN4029" s="77"/>
      <c r="AO4029" s="77"/>
      <c r="AP4029" s="77"/>
      <c r="AQ4029" s="77"/>
      <c r="AR4029" s="77"/>
      <c r="AS4029" s="77"/>
      <c r="AT4029" s="77"/>
      <c r="AU4029" s="77"/>
      <c r="AV4029" s="80" t="str">
        <f>HYPERLINK("https://pbs.twimg.com/profile_images/1067039778795937797/PnnLGTU4_normal.jpg")</f>
        <v>https://pbs.twimg.com/profile_images/1067039778795937797/PnnLGTU4_normal.jpg</v>
      </c>
      <c r="AW4029" s="82" t="s">
        <v>15600</v>
      </c>
      <c r="AX4029" s="82" t="s">
        <v>15600</v>
      </c>
      <c r="AY4029" s="77"/>
      <c r="AZ4029" s="82" t="s">
        <v>15984</v>
      </c>
      <c r="BA4029" s="82" t="s">
        <v>15984</v>
      </c>
      <c r="BB4029" s="82" t="s">
        <v>15984</v>
      </c>
      <c r="BC4029" s="82" t="s">
        <v>15600</v>
      </c>
      <c r="BD4029" s="77">
        <v>2578778256</v>
      </c>
      <c r="BE4029" s="77"/>
      <c r="BF4029" s="77"/>
      <c r="BG4029" s="77"/>
      <c r="BH4029" s="77"/>
      <c r="BI4029" s="77"/>
    </row>
    <row r="4030" spans="1:61" x14ac:dyDescent="0.25">
      <c r="A4030" s="62" t="s">
        <v>735</v>
      </c>
      <c r="B4030" s="62" t="s">
        <v>735</v>
      </c>
      <c r="C4030" s="63"/>
      <c r="D4030" s="64"/>
      <c r="E4030" s="65"/>
      <c r="F4030" s="66"/>
      <c r="G4030" s="63"/>
      <c r="H4030" s="67"/>
      <c r="I4030" s="68"/>
      <c r="J4030" s="68"/>
      <c r="K4030" s="32"/>
      <c r="L4030" s="75">
        <v>4030</v>
      </c>
      <c r="M4030" s="75"/>
      <c r="N4030" s="70"/>
      <c r="O4030" s="77" t="s">
        <v>179</v>
      </c>
      <c r="P4030" s="79">
        <v>45132.8359375</v>
      </c>
      <c r="Q4030" s="77" t="s">
        <v>4672</v>
      </c>
      <c r="R4030" s="77">
        <v>0</v>
      </c>
      <c r="S4030" s="77">
        <v>3</v>
      </c>
      <c r="T4030" s="77">
        <v>0</v>
      </c>
      <c r="U4030" s="77">
        <v>0</v>
      </c>
      <c r="V4030" s="77">
        <v>421</v>
      </c>
      <c r="W4030" s="82" t="s">
        <v>6411</v>
      </c>
      <c r="X4030" s="80" t="str">
        <f>HYPERLINK("https://www.youtube.com/watch?v=LNJ5VFkWlRU")</f>
        <v>https://www.youtube.com/watch?v=LNJ5VFkWlRU</v>
      </c>
      <c r="Y4030" s="77" t="s">
        <v>6480</v>
      </c>
      <c r="Z4030" s="77"/>
      <c r="AA4030" s="77"/>
      <c r="AB4030" s="77"/>
      <c r="AC4030" s="82" t="s">
        <v>7787</v>
      </c>
      <c r="AD4030" s="77" t="s">
        <v>7788</v>
      </c>
      <c r="AE4030" s="80" t="str">
        <f>HYPERLINK("https://twitter.com/modalmais/status/1683931059677696001")</f>
        <v>https://twitter.com/modalmais/status/1683931059677696001</v>
      </c>
      <c r="AF4030" s="79">
        <v>45132.8359375</v>
      </c>
      <c r="AG4030" s="85">
        <v>45132</v>
      </c>
      <c r="AH4030" s="82" t="s">
        <v>10433</v>
      </c>
      <c r="AI4030" s="77" t="b">
        <v>0</v>
      </c>
      <c r="AJ4030" s="77"/>
      <c r="AK4030" s="77"/>
      <c r="AL4030" s="77"/>
      <c r="AM4030" s="77"/>
      <c r="AN4030" s="77"/>
      <c r="AO4030" s="77"/>
      <c r="AP4030" s="77"/>
      <c r="AQ4030" s="77"/>
      <c r="AR4030" s="77"/>
      <c r="AS4030" s="77"/>
      <c r="AT4030" s="77"/>
      <c r="AU4030" s="77"/>
      <c r="AV4030" s="80" t="str">
        <f>HYPERLINK("https://pbs.twimg.com/profile_images/1067039778795937797/PnnLGTU4_normal.jpg")</f>
        <v>https://pbs.twimg.com/profile_images/1067039778795937797/PnnLGTU4_normal.jpg</v>
      </c>
      <c r="AW4030" s="82" t="s">
        <v>15601</v>
      </c>
      <c r="AX4030" s="82" t="s">
        <v>15601</v>
      </c>
      <c r="AY4030" s="77"/>
      <c r="AZ4030" s="82" t="s">
        <v>15984</v>
      </c>
      <c r="BA4030" s="82" t="s">
        <v>15984</v>
      </c>
      <c r="BB4030" s="82" t="s">
        <v>15984</v>
      </c>
      <c r="BC4030" s="82" t="s">
        <v>15601</v>
      </c>
      <c r="BD4030" s="77">
        <v>2578778256</v>
      </c>
      <c r="BE4030" s="77"/>
      <c r="BF4030" s="77"/>
      <c r="BG4030" s="77"/>
      <c r="BH4030" s="77"/>
      <c r="BI4030" s="77"/>
    </row>
    <row r="4031" spans="1:61" x14ac:dyDescent="0.25">
      <c r="A4031" s="62" t="s">
        <v>735</v>
      </c>
      <c r="B4031" s="62" t="s">
        <v>735</v>
      </c>
      <c r="C4031" s="63"/>
      <c r="D4031" s="64"/>
      <c r="E4031" s="65"/>
      <c r="F4031" s="66"/>
      <c r="G4031" s="63"/>
      <c r="H4031" s="67"/>
      <c r="I4031" s="68"/>
      <c r="J4031" s="68"/>
      <c r="K4031" s="32"/>
      <c r="L4031" s="75">
        <v>4031</v>
      </c>
      <c r="M4031" s="75"/>
      <c r="N4031" s="70"/>
      <c r="O4031" s="77" t="s">
        <v>179</v>
      </c>
      <c r="P4031" s="79">
        <v>45132.835428240738</v>
      </c>
      <c r="Q4031" s="77" t="s">
        <v>4673</v>
      </c>
      <c r="R4031" s="77">
        <v>0</v>
      </c>
      <c r="S4031" s="77">
        <v>1</v>
      </c>
      <c r="T4031" s="77">
        <v>0</v>
      </c>
      <c r="U4031" s="77">
        <v>0</v>
      </c>
      <c r="V4031" s="77">
        <v>380</v>
      </c>
      <c r="W4031" s="82" t="s">
        <v>6411</v>
      </c>
      <c r="X4031" s="80" t="str">
        <f>HYPERLINK("https://www.youtube.com/watch?v=Vvj07ojn1Pg")</f>
        <v>https://www.youtube.com/watch?v=Vvj07ojn1Pg</v>
      </c>
      <c r="Y4031" s="77" t="s">
        <v>6480</v>
      </c>
      <c r="Z4031" s="77"/>
      <c r="AA4031" s="77"/>
      <c r="AB4031" s="77"/>
      <c r="AC4031" s="82" t="s">
        <v>7787</v>
      </c>
      <c r="AD4031" s="77" t="s">
        <v>7788</v>
      </c>
      <c r="AE4031" s="80" t="str">
        <f>HYPERLINK("https://twitter.com/modalmais/status/1683930874788581381")</f>
        <v>https://twitter.com/modalmais/status/1683930874788581381</v>
      </c>
      <c r="AF4031" s="79">
        <v>45132.835428240738</v>
      </c>
      <c r="AG4031" s="85">
        <v>45132</v>
      </c>
      <c r="AH4031" s="82" t="s">
        <v>10434</v>
      </c>
      <c r="AI4031" s="77" t="b">
        <v>0</v>
      </c>
      <c r="AJ4031" s="77"/>
      <c r="AK4031" s="77"/>
      <c r="AL4031" s="77"/>
      <c r="AM4031" s="77"/>
      <c r="AN4031" s="77"/>
      <c r="AO4031" s="77"/>
      <c r="AP4031" s="77"/>
      <c r="AQ4031" s="77"/>
      <c r="AR4031" s="77"/>
      <c r="AS4031" s="77"/>
      <c r="AT4031" s="77"/>
      <c r="AU4031" s="77"/>
      <c r="AV4031" s="80" t="str">
        <f>HYPERLINK("https://pbs.twimg.com/profile_images/1067039778795937797/PnnLGTU4_normal.jpg")</f>
        <v>https://pbs.twimg.com/profile_images/1067039778795937797/PnnLGTU4_normal.jpg</v>
      </c>
      <c r="AW4031" s="82" t="s">
        <v>15602</v>
      </c>
      <c r="AX4031" s="82" t="s">
        <v>15602</v>
      </c>
      <c r="AY4031" s="77"/>
      <c r="AZ4031" s="82" t="s">
        <v>15984</v>
      </c>
      <c r="BA4031" s="82" t="s">
        <v>15984</v>
      </c>
      <c r="BB4031" s="82" t="s">
        <v>15984</v>
      </c>
      <c r="BC4031" s="82" t="s">
        <v>15602</v>
      </c>
      <c r="BD4031" s="77">
        <v>2578778256</v>
      </c>
      <c r="BE4031" s="77"/>
      <c r="BF4031" s="77"/>
      <c r="BG4031" s="77"/>
      <c r="BH4031" s="77"/>
      <c r="BI4031" s="77"/>
    </row>
    <row r="4032" spans="1:61" x14ac:dyDescent="0.25">
      <c r="A4032" s="62" t="s">
        <v>735</v>
      </c>
      <c r="B4032" s="62" t="s">
        <v>735</v>
      </c>
      <c r="C4032" s="63"/>
      <c r="D4032" s="64"/>
      <c r="E4032" s="65"/>
      <c r="F4032" s="66"/>
      <c r="G4032" s="63"/>
      <c r="H4032" s="67"/>
      <c r="I4032" s="68"/>
      <c r="J4032" s="68"/>
      <c r="K4032" s="32"/>
      <c r="L4032" s="75">
        <v>4032</v>
      </c>
      <c r="M4032" s="75"/>
      <c r="N4032" s="70"/>
      <c r="O4032" s="77" t="s">
        <v>179</v>
      </c>
      <c r="P4032" s="79">
        <v>45132.835104166668</v>
      </c>
      <c r="Q4032" s="77" t="s">
        <v>4674</v>
      </c>
      <c r="R4032" s="77">
        <v>0</v>
      </c>
      <c r="S4032" s="77">
        <v>5</v>
      </c>
      <c r="T4032" s="77">
        <v>0</v>
      </c>
      <c r="U4032" s="77">
        <v>0</v>
      </c>
      <c r="V4032" s="77">
        <v>547</v>
      </c>
      <c r="W4032" s="82" t="s">
        <v>6410</v>
      </c>
      <c r="X4032" s="77"/>
      <c r="Y4032" s="77"/>
      <c r="Z4032" s="77"/>
      <c r="AA4032" s="77"/>
      <c r="AB4032" s="77"/>
      <c r="AC4032" s="82" t="s">
        <v>7787</v>
      </c>
      <c r="AD4032" s="77" t="s">
        <v>7788</v>
      </c>
      <c r="AE4032" s="80" t="str">
        <f>HYPERLINK("https://twitter.com/modalmais/status/1683930758782545921")</f>
        <v>https://twitter.com/modalmais/status/1683930758782545921</v>
      </c>
      <c r="AF4032" s="79">
        <v>45132.835104166668</v>
      </c>
      <c r="AG4032" s="85">
        <v>45132</v>
      </c>
      <c r="AH4032" s="82" t="s">
        <v>10435</v>
      </c>
      <c r="AI4032" s="77"/>
      <c r="AJ4032" s="77"/>
      <c r="AK4032" s="77"/>
      <c r="AL4032" s="77"/>
      <c r="AM4032" s="77"/>
      <c r="AN4032" s="77"/>
      <c r="AO4032" s="77"/>
      <c r="AP4032" s="77"/>
      <c r="AQ4032" s="77"/>
      <c r="AR4032" s="77"/>
      <c r="AS4032" s="77"/>
      <c r="AT4032" s="77"/>
      <c r="AU4032" s="77"/>
      <c r="AV4032" s="80" t="str">
        <f>HYPERLINK("https://pbs.twimg.com/profile_images/1067039778795937797/PnnLGTU4_normal.jpg")</f>
        <v>https://pbs.twimg.com/profile_images/1067039778795937797/PnnLGTU4_normal.jpg</v>
      </c>
      <c r="AW4032" s="82" t="s">
        <v>15603</v>
      </c>
      <c r="AX4032" s="82" t="s">
        <v>15603</v>
      </c>
      <c r="AY4032" s="77"/>
      <c r="AZ4032" s="82" t="s">
        <v>15984</v>
      </c>
      <c r="BA4032" s="82" t="s">
        <v>15984</v>
      </c>
      <c r="BB4032" s="82" t="s">
        <v>15984</v>
      </c>
      <c r="BC4032" s="82" t="s">
        <v>15603</v>
      </c>
      <c r="BD4032" s="77">
        <v>2578778256</v>
      </c>
      <c r="BE4032" s="77"/>
      <c r="BF4032" s="77"/>
      <c r="BG4032" s="77"/>
      <c r="BH4032" s="77"/>
      <c r="BI4032" s="77"/>
    </row>
    <row r="4033" spans="1:61" x14ac:dyDescent="0.25">
      <c r="A4033" s="62" t="s">
        <v>735</v>
      </c>
      <c r="B4033" s="62" t="s">
        <v>735</v>
      </c>
      <c r="C4033" s="63"/>
      <c r="D4033" s="64"/>
      <c r="E4033" s="65"/>
      <c r="F4033" s="66"/>
      <c r="G4033" s="63"/>
      <c r="H4033" s="67"/>
      <c r="I4033" s="68"/>
      <c r="J4033" s="68"/>
      <c r="K4033" s="32"/>
      <c r="L4033" s="75">
        <v>4033</v>
      </c>
      <c r="M4033" s="75"/>
      <c r="N4033" s="70"/>
      <c r="O4033" s="77" t="s">
        <v>179</v>
      </c>
      <c r="P4033" s="79">
        <v>45187.865069444444</v>
      </c>
      <c r="Q4033" s="77" t="s">
        <v>4675</v>
      </c>
      <c r="R4033" s="77">
        <v>0</v>
      </c>
      <c r="S4033" s="77">
        <v>3</v>
      </c>
      <c r="T4033" s="77">
        <v>0</v>
      </c>
      <c r="U4033" s="77">
        <v>0</v>
      </c>
      <c r="V4033" s="77">
        <v>393</v>
      </c>
      <c r="W4033" s="82" t="s">
        <v>6435</v>
      </c>
      <c r="X4033" s="77"/>
      <c r="Y4033" s="77"/>
      <c r="Z4033" s="77"/>
      <c r="AA4033" s="77"/>
      <c r="AB4033" s="77"/>
      <c r="AC4033" s="82" t="s">
        <v>7787</v>
      </c>
      <c r="AD4033" s="77" t="s">
        <v>7788</v>
      </c>
      <c r="AE4033" s="80" t="str">
        <f>HYPERLINK("https://twitter.com/modalmais/status/1703872951206994218")</f>
        <v>https://twitter.com/modalmais/status/1703872951206994218</v>
      </c>
      <c r="AF4033" s="79">
        <v>45187.865069444444</v>
      </c>
      <c r="AG4033" s="85">
        <v>45187</v>
      </c>
      <c r="AH4033" s="82" t="s">
        <v>10436</v>
      </c>
      <c r="AI4033" s="77"/>
      <c r="AJ4033" s="77"/>
      <c r="AK4033" s="77"/>
      <c r="AL4033" s="77"/>
      <c r="AM4033" s="77"/>
      <c r="AN4033" s="77"/>
      <c r="AO4033" s="77"/>
      <c r="AP4033" s="77"/>
      <c r="AQ4033" s="77"/>
      <c r="AR4033" s="77"/>
      <c r="AS4033" s="77"/>
      <c r="AT4033" s="77"/>
      <c r="AU4033" s="77"/>
      <c r="AV4033" s="80" t="str">
        <f>HYPERLINK("https://pbs.twimg.com/profile_images/1067039778795937797/PnnLGTU4_normal.jpg")</f>
        <v>https://pbs.twimg.com/profile_images/1067039778795937797/PnnLGTU4_normal.jpg</v>
      </c>
      <c r="AW4033" s="82" t="s">
        <v>15604</v>
      </c>
      <c r="AX4033" s="82" t="s">
        <v>15604</v>
      </c>
      <c r="AY4033" s="77"/>
      <c r="AZ4033" s="82" t="s">
        <v>15984</v>
      </c>
      <c r="BA4033" s="82" t="s">
        <v>15984</v>
      </c>
      <c r="BB4033" s="82" t="s">
        <v>15984</v>
      </c>
      <c r="BC4033" s="82" t="s">
        <v>15604</v>
      </c>
      <c r="BD4033" s="77">
        <v>2578778256</v>
      </c>
      <c r="BE4033" s="77"/>
      <c r="BF4033" s="77"/>
      <c r="BG4033" s="77"/>
      <c r="BH4033" s="77"/>
      <c r="BI4033" s="77"/>
    </row>
    <row r="4034" spans="1:61" x14ac:dyDescent="0.25">
      <c r="A4034" s="62" t="s">
        <v>735</v>
      </c>
      <c r="B4034" s="62" t="s">
        <v>735</v>
      </c>
      <c r="C4034" s="63"/>
      <c r="D4034" s="64"/>
      <c r="E4034" s="65"/>
      <c r="F4034" s="66"/>
      <c r="G4034" s="63"/>
      <c r="H4034" s="67"/>
      <c r="I4034" s="68"/>
      <c r="J4034" s="68"/>
      <c r="K4034" s="32"/>
      <c r="L4034" s="75">
        <v>4034</v>
      </c>
      <c r="M4034" s="75"/>
      <c r="N4034" s="70"/>
      <c r="O4034" s="77" t="s">
        <v>179</v>
      </c>
      <c r="P4034" s="79">
        <v>45142.604884259257</v>
      </c>
      <c r="Q4034" s="77" t="s">
        <v>4676</v>
      </c>
      <c r="R4034" s="77">
        <v>1</v>
      </c>
      <c r="S4034" s="77">
        <v>2</v>
      </c>
      <c r="T4034" s="77">
        <v>0</v>
      </c>
      <c r="U4034" s="77">
        <v>0</v>
      </c>
      <c r="V4034" s="77">
        <v>285</v>
      </c>
      <c r="W4034" s="82" t="s">
        <v>6411</v>
      </c>
      <c r="X4034" s="77"/>
      <c r="Y4034" s="77"/>
      <c r="Z4034" s="77"/>
      <c r="AA4034" s="77"/>
      <c r="AB4034" s="77"/>
      <c r="AC4034" s="82" t="s">
        <v>7787</v>
      </c>
      <c r="AD4034" s="77" t="s">
        <v>7788</v>
      </c>
      <c r="AE4034" s="80" t="str">
        <f>HYPERLINK("https://twitter.com/modalmais/status/1687471210160910337")</f>
        <v>https://twitter.com/modalmais/status/1687471210160910337</v>
      </c>
      <c r="AF4034" s="79">
        <v>45142.604884259257</v>
      </c>
      <c r="AG4034" s="85">
        <v>45142</v>
      </c>
      <c r="AH4034" s="82" t="s">
        <v>10437</v>
      </c>
      <c r="AI4034" s="77"/>
      <c r="AJ4034" s="77"/>
      <c r="AK4034" s="77"/>
      <c r="AL4034" s="77"/>
      <c r="AM4034" s="77"/>
      <c r="AN4034" s="77"/>
      <c r="AO4034" s="77"/>
      <c r="AP4034" s="77"/>
      <c r="AQ4034" s="77"/>
      <c r="AR4034" s="77"/>
      <c r="AS4034" s="77"/>
      <c r="AT4034" s="77"/>
      <c r="AU4034" s="77"/>
      <c r="AV4034" s="80" t="str">
        <f>HYPERLINK("https://pbs.twimg.com/profile_images/1067039778795937797/PnnLGTU4_normal.jpg")</f>
        <v>https://pbs.twimg.com/profile_images/1067039778795937797/PnnLGTU4_normal.jpg</v>
      </c>
      <c r="AW4034" s="82" t="s">
        <v>15605</v>
      </c>
      <c r="AX4034" s="82" t="s">
        <v>15605</v>
      </c>
      <c r="AY4034" s="77"/>
      <c r="AZ4034" s="82" t="s">
        <v>15984</v>
      </c>
      <c r="BA4034" s="82" t="s">
        <v>15984</v>
      </c>
      <c r="BB4034" s="82" t="s">
        <v>15984</v>
      </c>
      <c r="BC4034" s="82" t="s">
        <v>15605</v>
      </c>
      <c r="BD4034" s="77">
        <v>2578778256</v>
      </c>
      <c r="BE4034" s="77"/>
      <c r="BF4034" s="77"/>
      <c r="BG4034" s="77"/>
      <c r="BH4034" s="77"/>
      <c r="BI4034" s="77"/>
    </row>
    <row r="4035" spans="1:61" x14ac:dyDescent="0.25">
      <c r="A4035" s="62" t="s">
        <v>735</v>
      </c>
      <c r="B4035" s="62" t="s">
        <v>735</v>
      </c>
      <c r="C4035" s="63"/>
      <c r="D4035" s="64"/>
      <c r="E4035" s="65"/>
      <c r="F4035" s="66"/>
      <c r="G4035" s="63"/>
      <c r="H4035" s="67"/>
      <c r="I4035" s="68"/>
      <c r="J4035" s="68"/>
      <c r="K4035" s="32"/>
      <c r="L4035" s="75">
        <v>4035</v>
      </c>
      <c r="M4035" s="75"/>
      <c r="N4035" s="70"/>
      <c r="O4035" s="77" t="s">
        <v>179</v>
      </c>
      <c r="P4035" s="79">
        <v>45142.60429398148</v>
      </c>
      <c r="Q4035" s="77" t="s">
        <v>4677</v>
      </c>
      <c r="R4035" s="77">
        <v>0</v>
      </c>
      <c r="S4035" s="77">
        <v>1</v>
      </c>
      <c r="T4035" s="77">
        <v>0</v>
      </c>
      <c r="U4035" s="77">
        <v>0</v>
      </c>
      <c r="V4035" s="77">
        <v>317</v>
      </c>
      <c r="W4035" s="82" t="s">
        <v>6411</v>
      </c>
      <c r="X4035" s="80" t="str">
        <f>HYPERLINK("https://www.modalmais.com.br/morning-call/investidores-repercutem-os-balancos-de-bradesco-e-petrobras")</f>
        <v>https://www.modalmais.com.br/morning-call/investidores-repercutem-os-balancos-de-bradesco-e-petrobras</v>
      </c>
      <c r="Y4035" s="77" t="s">
        <v>6470</v>
      </c>
      <c r="Z4035" s="77"/>
      <c r="AA4035" s="77"/>
      <c r="AB4035" s="77"/>
      <c r="AC4035" s="82" t="s">
        <v>7787</v>
      </c>
      <c r="AD4035" s="77" t="s">
        <v>7788</v>
      </c>
      <c r="AE4035" s="80" t="str">
        <f>HYPERLINK("https://twitter.com/modalmais/status/1687470994313637889")</f>
        <v>https://twitter.com/modalmais/status/1687470994313637889</v>
      </c>
      <c r="AF4035" s="79">
        <v>45142.60429398148</v>
      </c>
      <c r="AG4035" s="85">
        <v>45142</v>
      </c>
      <c r="AH4035" s="82" t="s">
        <v>10438</v>
      </c>
      <c r="AI4035" s="77" t="b">
        <v>0</v>
      </c>
      <c r="AJ4035" s="77"/>
      <c r="AK4035" s="77"/>
      <c r="AL4035" s="77"/>
      <c r="AM4035" s="77"/>
      <c r="AN4035" s="77"/>
      <c r="AO4035" s="77"/>
      <c r="AP4035" s="77"/>
      <c r="AQ4035" s="77"/>
      <c r="AR4035" s="77"/>
      <c r="AS4035" s="77"/>
      <c r="AT4035" s="77"/>
      <c r="AU4035" s="77"/>
      <c r="AV4035" s="80" t="str">
        <f>HYPERLINK("https://pbs.twimg.com/profile_images/1067039778795937797/PnnLGTU4_normal.jpg")</f>
        <v>https://pbs.twimg.com/profile_images/1067039778795937797/PnnLGTU4_normal.jpg</v>
      </c>
      <c r="AW4035" s="82" t="s">
        <v>15606</v>
      </c>
      <c r="AX4035" s="82" t="s">
        <v>15606</v>
      </c>
      <c r="AY4035" s="77"/>
      <c r="AZ4035" s="82" t="s">
        <v>15984</v>
      </c>
      <c r="BA4035" s="82" t="s">
        <v>15984</v>
      </c>
      <c r="BB4035" s="82" t="s">
        <v>15984</v>
      </c>
      <c r="BC4035" s="82" t="s">
        <v>15606</v>
      </c>
      <c r="BD4035" s="77">
        <v>2578778256</v>
      </c>
      <c r="BE4035" s="77"/>
      <c r="BF4035" s="77"/>
      <c r="BG4035" s="77"/>
      <c r="BH4035" s="77"/>
      <c r="BI4035" s="77"/>
    </row>
    <row r="4036" spans="1:61" x14ac:dyDescent="0.25">
      <c r="A4036" s="62" t="s">
        <v>735</v>
      </c>
      <c r="B4036" s="62" t="s">
        <v>735</v>
      </c>
      <c r="C4036" s="63"/>
      <c r="D4036" s="64"/>
      <c r="E4036" s="65"/>
      <c r="F4036" s="66"/>
      <c r="G4036" s="63"/>
      <c r="H4036" s="67"/>
      <c r="I4036" s="68"/>
      <c r="J4036" s="68"/>
      <c r="K4036" s="32"/>
      <c r="L4036" s="75">
        <v>4036</v>
      </c>
      <c r="M4036" s="75"/>
      <c r="N4036" s="70"/>
      <c r="O4036" s="77" t="s">
        <v>179</v>
      </c>
      <c r="P4036" s="79">
        <v>45142.543229166666</v>
      </c>
      <c r="Q4036" s="77" t="s">
        <v>4678</v>
      </c>
      <c r="R4036" s="77">
        <v>0</v>
      </c>
      <c r="S4036" s="77">
        <v>4</v>
      </c>
      <c r="T4036" s="77">
        <v>0</v>
      </c>
      <c r="U4036" s="77">
        <v>0</v>
      </c>
      <c r="V4036" s="77">
        <v>312</v>
      </c>
      <c r="W4036" s="82" t="s">
        <v>6411</v>
      </c>
      <c r="X4036" s="77"/>
      <c r="Y4036" s="77"/>
      <c r="Z4036" s="77"/>
      <c r="AA4036" s="77"/>
      <c r="AB4036" s="77"/>
      <c r="AC4036" s="82" t="s">
        <v>7787</v>
      </c>
      <c r="AD4036" s="77" t="s">
        <v>7788</v>
      </c>
      <c r="AE4036" s="80" t="str">
        <f>HYPERLINK("https://twitter.com/modalmais/status/1687448865442496512")</f>
        <v>https://twitter.com/modalmais/status/1687448865442496512</v>
      </c>
      <c r="AF4036" s="79">
        <v>45142.543229166666</v>
      </c>
      <c r="AG4036" s="85">
        <v>45142</v>
      </c>
      <c r="AH4036" s="82" t="s">
        <v>10439</v>
      </c>
      <c r="AI4036" s="77"/>
      <c r="AJ4036" s="77"/>
      <c r="AK4036" s="77"/>
      <c r="AL4036" s="77"/>
      <c r="AM4036" s="77"/>
      <c r="AN4036" s="77"/>
      <c r="AO4036" s="77"/>
      <c r="AP4036" s="77"/>
      <c r="AQ4036" s="77"/>
      <c r="AR4036" s="77"/>
      <c r="AS4036" s="77"/>
      <c r="AT4036" s="77"/>
      <c r="AU4036" s="77"/>
      <c r="AV4036" s="80" t="str">
        <f>HYPERLINK("https://pbs.twimg.com/profile_images/1067039778795937797/PnnLGTU4_normal.jpg")</f>
        <v>https://pbs.twimg.com/profile_images/1067039778795937797/PnnLGTU4_normal.jpg</v>
      </c>
      <c r="AW4036" s="82" t="s">
        <v>15607</v>
      </c>
      <c r="AX4036" s="82" t="s">
        <v>15607</v>
      </c>
      <c r="AY4036" s="77"/>
      <c r="AZ4036" s="82" t="s">
        <v>15984</v>
      </c>
      <c r="BA4036" s="82" t="s">
        <v>15984</v>
      </c>
      <c r="BB4036" s="82" t="s">
        <v>15984</v>
      </c>
      <c r="BC4036" s="82" t="s">
        <v>15607</v>
      </c>
      <c r="BD4036" s="77">
        <v>2578778256</v>
      </c>
      <c r="BE4036" s="77"/>
      <c r="BF4036" s="77"/>
      <c r="BG4036" s="77"/>
      <c r="BH4036" s="77"/>
      <c r="BI4036" s="77"/>
    </row>
    <row r="4037" spans="1:61" x14ac:dyDescent="0.25">
      <c r="A4037" s="62" t="s">
        <v>735</v>
      </c>
      <c r="B4037" s="62" t="s">
        <v>735</v>
      </c>
      <c r="C4037" s="63"/>
      <c r="D4037" s="64"/>
      <c r="E4037" s="65"/>
      <c r="F4037" s="66"/>
      <c r="G4037" s="63"/>
      <c r="H4037" s="67"/>
      <c r="I4037" s="68"/>
      <c r="J4037" s="68"/>
      <c r="K4037" s="32"/>
      <c r="L4037" s="75">
        <v>4037</v>
      </c>
      <c r="M4037" s="75"/>
      <c r="N4037" s="70"/>
      <c r="O4037" s="77" t="s">
        <v>179</v>
      </c>
      <c r="P4037" s="79">
        <v>45142.542951388888</v>
      </c>
      <c r="Q4037" s="77" t="s">
        <v>4679</v>
      </c>
      <c r="R4037" s="77">
        <v>0</v>
      </c>
      <c r="S4037" s="77">
        <v>2</v>
      </c>
      <c r="T4037" s="77">
        <v>0</v>
      </c>
      <c r="U4037" s="77">
        <v>0</v>
      </c>
      <c r="V4037" s="77">
        <v>257</v>
      </c>
      <c r="W4037" s="82" t="s">
        <v>6411</v>
      </c>
      <c r="X4037" s="77"/>
      <c r="Y4037" s="77"/>
      <c r="Z4037" s="77"/>
      <c r="AA4037" s="77"/>
      <c r="AB4037" s="77"/>
      <c r="AC4037" s="82" t="s">
        <v>7787</v>
      </c>
      <c r="AD4037" s="77" t="s">
        <v>7788</v>
      </c>
      <c r="AE4037" s="80" t="str">
        <f>HYPERLINK("https://twitter.com/modalmais/status/1687448763453898752")</f>
        <v>https://twitter.com/modalmais/status/1687448763453898752</v>
      </c>
      <c r="AF4037" s="79">
        <v>45142.542951388888</v>
      </c>
      <c r="AG4037" s="85">
        <v>45142</v>
      </c>
      <c r="AH4037" s="82" t="s">
        <v>10440</v>
      </c>
      <c r="AI4037" s="77"/>
      <c r="AJ4037" s="77"/>
      <c r="AK4037" s="77"/>
      <c r="AL4037" s="77"/>
      <c r="AM4037" s="77"/>
      <c r="AN4037" s="77"/>
      <c r="AO4037" s="77"/>
      <c r="AP4037" s="77"/>
      <c r="AQ4037" s="77"/>
      <c r="AR4037" s="77"/>
      <c r="AS4037" s="77"/>
      <c r="AT4037" s="77"/>
      <c r="AU4037" s="77"/>
      <c r="AV4037" s="80" t="str">
        <f>HYPERLINK("https://pbs.twimg.com/profile_images/1067039778795937797/PnnLGTU4_normal.jpg")</f>
        <v>https://pbs.twimg.com/profile_images/1067039778795937797/PnnLGTU4_normal.jpg</v>
      </c>
      <c r="AW4037" s="82" t="s">
        <v>15608</v>
      </c>
      <c r="AX4037" s="82" t="s">
        <v>15608</v>
      </c>
      <c r="AY4037" s="77"/>
      <c r="AZ4037" s="82" t="s">
        <v>15984</v>
      </c>
      <c r="BA4037" s="82" t="s">
        <v>15984</v>
      </c>
      <c r="BB4037" s="82" t="s">
        <v>15984</v>
      </c>
      <c r="BC4037" s="82" t="s">
        <v>15608</v>
      </c>
      <c r="BD4037" s="77">
        <v>2578778256</v>
      </c>
      <c r="BE4037" s="77"/>
      <c r="BF4037" s="77"/>
      <c r="BG4037" s="77"/>
      <c r="BH4037" s="77"/>
      <c r="BI4037" s="77"/>
    </row>
    <row r="4038" spans="1:61" x14ac:dyDescent="0.25">
      <c r="A4038" s="62" t="s">
        <v>735</v>
      </c>
      <c r="B4038" s="62" t="s">
        <v>735</v>
      </c>
      <c r="C4038" s="63"/>
      <c r="D4038" s="64"/>
      <c r="E4038" s="65"/>
      <c r="F4038" s="66"/>
      <c r="G4038" s="63"/>
      <c r="H4038" s="67"/>
      <c r="I4038" s="68"/>
      <c r="J4038" s="68"/>
      <c r="K4038" s="32"/>
      <c r="L4038" s="75">
        <v>4038</v>
      </c>
      <c r="M4038" s="75"/>
      <c r="N4038" s="70"/>
      <c r="O4038" s="77" t="s">
        <v>179</v>
      </c>
      <c r="P4038" s="79">
        <v>45142.542615740742</v>
      </c>
      <c r="Q4038" s="77" t="s">
        <v>4680</v>
      </c>
      <c r="R4038" s="77">
        <v>0</v>
      </c>
      <c r="S4038" s="77">
        <v>1</v>
      </c>
      <c r="T4038" s="77">
        <v>0</v>
      </c>
      <c r="U4038" s="77">
        <v>0</v>
      </c>
      <c r="V4038" s="77">
        <v>251</v>
      </c>
      <c r="W4038" s="82" t="s">
        <v>6411</v>
      </c>
      <c r="X4038" s="77"/>
      <c r="Y4038" s="77"/>
      <c r="Z4038" s="77"/>
      <c r="AA4038" s="77"/>
      <c r="AB4038" s="77"/>
      <c r="AC4038" s="82" t="s">
        <v>7787</v>
      </c>
      <c r="AD4038" s="77" t="s">
        <v>7793</v>
      </c>
      <c r="AE4038" s="80" t="str">
        <f>HYPERLINK("https://twitter.com/modalmais/status/1687448644599906304")</f>
        <v>https://twitter.com/modalmais/status/1687448644599906304</v>
      </c>
      <c r="AF4038" s="79">
        <v>45142.542615740742</v>
      </c>
      <c r="AG4038" s="85">
        <v>45142</v>
      </c>
      <c r="AH4038" s="82" t="s">
        <v>10441</v>
      </c>
      <c r="AI4038" s="77"/>
      <c r="AJ4038" s="77"/>
      <c r="AK4038" s="77"/>
      <c r="AL4038" s="77"/>
      <c r="AM4038" s="77"/>
      <c r="AN4038" s="77"/>
      <c r="AO4038" s="77"/>
      <c r="AP4038" s="77"/>
      <c r="AQ4038" s="77"/>
      <c r="AR4038" s="77"/>
      <c r="AS4038" s="77"/>
      <c r="AT4038" s="77"/>
      <c r="AU4038" s="77"/>
      <c r="AV4038" s="80" t="str">
        <f>HYPERLINK("https://pbs.twimg.com/profile_images/1067039778795937797/PnnLGTU4_normal.jpg")</f>
        <v>https://pbs.twimg.com/profile_images/1067039778795937797/PnnLGTU4_normal.jpg</v>
      </c>
      <c r="AW4038" s="82" t="s">
        <v>15609</v>
      </c>
      <c r="AX4038" s="82" t="s">
        <v>15609</v>
      </c>
      <c r="AY4038" s="77"/>
      <c r="AZ4038" s="82" t="s">
        <v>15984</v>
      </c>
      <c r="BA4038" s="82" t="s">
        <v>15984</v>
      </c>
      <c r="BB4038" s="82" t="s">
        <v>15984</v>
      </c>
      <c r="BC4038" s="82" t="s">
        <v>15609</v>
      </c>
      <c r="BD4038" s="77">
        <v>2578778256</v>
      </c>
      <c r="BE4038" s="77"/>
      <c r="BF4038" s="77"/>
      <c r="BG4038" s="77"/>
      <c r="BH4038" s="77"/>
      <c r="BI4038" s="77"/>
    </row>
    <row r="4039" spans="1:61" x14ac:dyDescent="0.25">
      <c r="A4039" s="62" t="s">
        <v>735</v>
      </c>
      <c r="B4039" s="62" t="s">
        <v>735</v>
      </c>
      <c r="C4039" s="63"/>
      <c r="D4039" s="64"/>
      <c r="E4039" s="65"/>
      <c r="F4039" s="66"/>
      <c r="G4039" s="63"/>
      <c r="H4039" s="67"/>
      <c r="I4039" s="68"/>
      <c r="J4039" s="68"/>
      <c r="K4039" s="32"/>
      <c r="L4039" s="75">
        <v>4039</v>
      </c>
      <c r="M4039" s="75"/>
      <c r="N4039" s="70"/>
      <c r="O4039" s="77" t="s">
        <v>179</v>
      </c>
      <c r="P4039" s="79">
        <v>45142.542291666665</v>
      </c>
      <c r="Q4039" s="77" t="s">
        <v>4681</v>
      </c>
      <c r="R4039" s="77">
        <v>0</v>
      </c>
      <c r="S4039" s="77">
        <v>2</v>
      </c>
      <c r="T4039" s="77">
        <v>0</v>
      </c>
      <c r="U4039" s="77">
        <v>0</v>
      </c>
      <c r="V4039" s="77">
        <v>233</v>
      </c>
      <c r="W4039" s="82" t="s">
        <v>6411</v>
      </c>
      <c r="X4039" s="77"/>
      <c r="Y4039" s="77"/>
      <c r="Z4039" s="77"/>
      <c r="AA4039" s="77"/>
      <c r="AB4039" s="77"/>
      <c r="AC4039" s="82" t="s">
        <v>7787</v>
      </c>
      <c r="AD4039" s="77" t="s">
        <v>7797</v>
      </c>
      <c r="AE4039" s="80" t="str">
        <f>HYPERLINK("https://twitter.com/modalmais/status/1687448523912998912")</f>
        <v>https://twitter.com/modalmais/status/1687448523912998912</v>
      </c>
      <c r="AF4039" s="79">
        <v>45142.542291666665</v>
      </c>
      <c r="AG4039" s="85">
        <v>45142</v>
      </c>
      <c r="AH4039" s="82" t="s">
        <v>10442</v>
      </c>
      <c r="AI4039" s="77"/>
      <c r="AJ4039" s="77"/>
      <c r="AK4039" s="77"/>
      <c r="AL4039" s="77"/>
      <c r="AM4039" s="77"/>
      <c r="AN4039" s="77"/>
      <c r="AO4039" s="77"/>
      <c r="AP4039" s="77"/>
      <c r="AQ4039" s="77"/>
      <c r="AR4039" s="77"/>
      <c r="AS4039" s="77"/>
      <c r="AT4039" s="77"/>
      <c r="AU4039" s="77"/>
      <c r="AV4039" s="80" t="str">
        <f>HYPERLINK("https://pbs.twimg.com/profile_images/1067039778795937797/PnnLGTU4_normal.jpg")</f>
        <v>https://pbs.twimg.com/profile_images/1067039778795937797/PnnLGTU4_normal.jpg</v>
      </c>
      <c r="AW4039" s="82" t="s">
        <v>15610</v>
      </c>
      <c r="AX4039" s="82" t="s">
        <v>15610</v>
      </c>
      <c r="AY4039" s="77"/>
      <c r="AZ4039" s="82" t="s">
        <v>15984</v>
      </c>
      <c r="BA4039" s="82" t="s">
        <v>15984</v>
      </c>
      <c r="BB4039" s="82" t="s">
        <v>15984</v>
      </c>
      <c r="BC4039" s="82" t="s">
        <v>15610</v>
      </c>
      <c r="BD4039" s="77">
        <v>2578778256</v>
      </c>
      <c r="BE4039" s="77"/>
      <c r="BF4039" s="77"/>
      <c r="BG4039" s="77"/>
      <c r="BH4039" s="77"/>
      <c r="BI4039" s="77"/>
    </row>
    <row r="4040" spans="1:61" x14ac:dyDescent="0.25">
      <c r="A4040" s="62" t="s">
        <v>735</v>
      </c>
      <c r="B4040" s="62" t="s">
        <v>735</v>
      </c>
      <c r="C4040" s="63"/>
      <c r="D4040" s="64"/>
      <c r="E4040" s="65"/>
      <c r="F4040" s="66"/>
      <c r="G4040" s="63"/>
      <c r="H4040" s="67"/>
      <c r="I4040" s="68"/>
      <c r="J4040" s="68"/>
      <c r="K4040" s="32"/>
      <c r="L4040" s="75">
        <v>4040</v>
      </c>
      <c r="M4040" s="75"/>
      <c r="N4040" s="70"/>
      <c r="O4040" s="77" t="s">
        <v>179</v>
      </c>
      <c r="P4040" s="79">
        <v>45142.513923611114</v>
      </c>
      <c r="Q4040" s="77" t="s">
        <v>4682</v>
      </c>
      <c r="R4040" s="77">
        <v>0</v>
      </c>
      <c r="S4040" s="77">
        <v>0</v>
      </c>
      <c r="T4040" s="77">
        <v>0</v>
      </c>
      <c r="U4040" s="77">
        <v>0</v>
      </c>
      <c r="V4040" s="77">
        <v>283</v>
      </c>
      <c r="W4040" s="82" t="s">
        <v>6411</v>
      </c>
      <c r="X4040" s="80" t="str">
        <f>HYPERLINK("https://www.youtube.com/live/9t3C2vYzatA?feature=share")</f>
        <v>https://www.youtube.com/live/9t3C2vYzatA?feature=share</v>
      </c>
      <c r="Y4040" s="77" t="s">
        <v>6480</v>
      </c>
      <c r="Z4040" s="77"/>
      <c r="AA4040" s="77"/>
      <c r="AB4040" s="77"/>
      <c r="AC4040" s="82" t="s">
        <v>7787</v>
      </c>
      <c r="AD4040" s="77" t="s">
        <v>7788</v>
      </c>
      <c r="AE4040" s="80" t="str">
        <f>HYPERLINK("https://twitter.com/modalmais/status/1687438247159353344")</f>
        <v>https://twitter.com/modalmais/status/1687438247159353344</v>
      </c>
      <c r="AF4040" s="79">
        <v>45142.513923611114</v>
      </c>
      <c r="AG4040" s="85">
        <v>45142</v>
      </c>
      <c r="AH4040" s="82" t="s">
        <v>10443</v>
      </c>
      <c r="AI4040" s="77" t="b">
        <v>0</v>
      </c>
      <c r="AJ4040" s="77"/>
      <c r="AK4040" s="77"/>
      <c r="AL4040" s="77"/>
      <c r="AM4040" s="77"/>
      <c r="AN4040" s="77"/>
      <c r="AO4040" s="77"/>
      <c r="AP4040" s="77"/>
      <c r="AQ4040" s="77"/>
      <c r="AR4040" s="77"/>
      <c r="AS4040" s="77"/>
      <c r="AT4040" s="77"/>
      <c r="AU4040" s="77"/>
      <c r="AV4040" s="80" t="str">
        <f>HYPERLINK("https://pbs.twimg.com/profile_images/1067039778795937797/PnnLGTU4_normal.jpg")</f>
        <v>https://pbs.twimg.com/profile_images/1067039778795937797/PnnLGTU4_normal.jpg</v>
      </c>
      <c r="AW4040" s="82" t="s">
        <v>15611</v>
      </c>
      <c r="AX4040" s="82" t="s">
        <v>15611</v>
      </c>
      <c r="AY4040" s="77"/>
      <c r="AZ4040" s="82" t="s">
        <v>15984</v>
      </c>
      <c r="BA4040" s="82" t="s">
        <v>15984</v>
      </c>
      <c r="BB4040" s="82" t="s">
        <v>15984</v>
      </c>
      <c r="BC4040" s="82" t="s">
        <v>15611</v>
      </c>
      <c r="BD4040" s="77">
        <v>2578778256</v>
      </c>
      <c r="BE4040" s="77"/>
      <c r="BF4040" s="77"/>
      <c r="BG4040" s="77"/>
      <c r="BH4040" s="77"/>
      <c r="BI4040" s="77"/>
    </row>
    <row r="4041" spans="1:61" x14ac:dyDescent="0.25">
      <c r="A4041" s="62" t="s">
        <v>735</v>
      </c>
      <c r="B4041" s="62" t="s">
        <v>735</v>
      </c>
      <c r="C4041" s="63"/>
      <c r="D4041" s="64"/>
      <c r="E4041" s="65"/>
      <c r="F4041" s="66"/>
      <c r="G4041" s="63"/>
      <c r="H4041" s="67"/>
      <c r="I4041" s="68"/>
      <c r="J4041" s="68"/>
      <c r="K4041" s="32"/>
      <c r="L4041" s="75">
        <v>4041</v>
      </c>
      <c r="M4041" s="75"/>
      <c r="N4041" s="70"/>
      <c r="O4041" s="77" t="s">
        <v>179</v>
      </c>
      <c r="P4041" s="79">
        <v>45142.472442129627</v>
      </c>
      <c r="Q4041" s="77" t="s">
        <v>4683</v>
      </c>
      <c r="R4041" s="77">
        <v>1</v>
      </c>
      <c r="S4041" s="77">
        <v>1</v>
      </c>
      <c r="T4041" s="77">
        <v>0</v>
      </c>
      <c r="U4041" s="77">
        <v>0</v>
      </c>
      <c r="V4041" s="77">
        <v>364</v>
      </c>
      <c r="W4041" s="82" t="s">
        <v>6411</v>
      </c>
      <c r="X4041" s="80" t="str">
        <f>HYPERLINK("https://www.youtube.com/watch?v=tAJTHGYeLtY")</f>
        <v>https://www.youtube.com/watch?v=tAJTHGYeLtY</v>
      </c>
      <c r="Y4041" s="77" t="s">
        <v>6480</v>
      </c>
      <c r="Z4041" s="77"/>
      <c r="AA4041" s="77"/>
      <c r="AB4041" s="77"/>
      <c r="AC4041" s="82" t="s">
        <v>7787</v>
      </c>
      <c r="AD4041" s="77" t="s">
        <v>7788</v>
      </c>
      <c r="AE4041" s="80" t="str">
        <f>HYPERLINK("https://twitter.com/modalmais/status/1687423213536460800")</f>
        <v>https://twitter.com/modalmais/status/1687423213536460800</v>
      </c>
      <c r="AF4041" s="79">
        <v>45142.472442129627</v>
      </c>
      <c r="AG4041" s="85">
        <v>45142</v>
      </c>
      <c r="AH4041" s="82" t="s">
        <v>10444</v>
      </c>
      <c r="AI4041" s="77" t="b">
        <v>0</v>
      </c>
      <c r="AJ4041" s="77"/>
      <c r="AK4041" s="77"/>
      <c r="AL4041" s="77"/>
      <c r="AM4041" s="77"/>
      <c r="AN4041" s="77"/>
      <c r="AO4041" s="77"/>
      <c r="AP4041" s="77"/>
      <c r="AQ4041" s="77"/>
      <c r="AR4041" s="77"/>
      <c r="AS4041" s="77"/>
      <c r="AT4041" s="77"/>
      <c r="AU4041" s="77"/>
      <c r="AV4041" s="80" t="str">
        <f>HYPERLINK("https://pbs.twimg.com/profile_images/1067039778795937797/PnnLGTU4_normal.jpg")</f>
        <v>https://pbs.twimg.com/profile_images/1067039778795937797/PnnLGTU4_normal.jpg</v>
      </c>
      <c r="AW4041" s="82" t="s">
        <v>15612</v>
      </c>
      <c r="AX4041" s="82" t="s">
        <v>15612</v>
      </c>
      <c r="AY4041" s="77"/>
      <c r="AZ4041" s="82" t="s">
        <v>15984</v>
      </c>
      <c r="BA4041" s="82" t="s">
        <v>15984</v>
      </c>
      <c r="BB4041" s="82" t="s">
        <v>15984</v>
      </c>
      <c r="BC4041" s="82" t="s">
        <v>15612</v>
      </c>
      <c r="BD4041" s="77">
        <v>2578778256</v>
      </c>
      <c r="BE4041" s="77"/>
      <c r="BF4041" s="77"/>
      <c r="BG4041" s="77"/>
      <c r="BH4041" s="77"/>
      <c r="BI4041" s="77"/>
    </row>
    <row r="4042" spans="1:61" x14ac:dyDescent="0.25">
      <c r="A4042" s="62" t="s">
        <v>735</v>
      </c>
      <c r="B4042" s="62" t="s">
        <v>735</v>
      </c>
      <c r="C4042" s="63"/>
      <c r="D4042" s="64"/>
      <c r="E4042" s="65"/>
      <c r="F4042" s="66"/>
      <c r="G4042" s="63"/>
      <c r="H4042" s="67"/>
      <c r="I4042" s="68"/>
      <c r="J4042" s="68"/>
      <c r="K4042" s="32"/>
      <c r="L4042" s="75">
        <v>4042</v>
      </c>
      <c r="M4042" s="75"/>
      <c r="N4042" s="70"/>
      <c r="O4042" s="77" t="s">
        <v>179</v>
      </c>
      <c r="P4042" s="79">
        <v>45124.829918981479</v>
      </c>
      <c r="Q4042" s="77" t="s">
        <v>4684</v>
      </c>
      <c r="R4042" s="77">
        <v>0</v>
      </c>
      <c r="S4042" s="77">
        <v>1</v>
      </c>
      <c r="T4042" s="77">
        <v>0</v>
      </c>
      <c r="U4042" s="77">
        <v>0</v>
      </c>
      <c r="V4042" s="77">
        <v>366</v>
      </c>
      <c r="W4042" s="82" t="s">
        <v>6411</v>
      </c>
      <c r="X4042" s="80" t="str">
        <f>HYPERLINK("https://www.youtube.com/watch?v=6NeWEdUHuj8")</f>
        <v>https://www.youtube.com/watch?v=6NeWEdUHuj8</v>
      </c>
      <c r="Y4042" s="77" t="s">
        <v>6480</v>
      </c>
      <c r="Z4042" s="77"/>
      <c r="AA4042" s="77"/>
      <c r="AB4042" s="77"/>
      <c r="AC4042" s="82" t="s">
        <v>7787</v>
      </c>
      <c r="AD4042" s="77" t="s">
        <v>7788</v>
      </c>
      <c r="AE4042" s="80" t="str">
        <f>HYPERLINK("https://twitter.com/modalmais/status/1681029775555526656")</f>
        <v>https://twitter.com/modalmais/status/1681029775555526656</v>
      </c>
      <c r="AF4042" s="79">
        <v>45124.829918981479</v>
      </c>
      <c r="AG4042" s="85">
        <v>45124</v>
      </c>
      <c r="AH4042" s="82" t="s">
        <v>10445</v>
      </c>
      <c r="AI4042" s="77" t="b">
        <v>0</v>
      </c>
      <c r="AJ4042" s="77"/>
      <c r="AK4042" s="77"/>
      <c r="AL4042" s="77"/>
      <c r="AM4042" s="77"/>
      <c r="AN4042" s="77"/>
      <c r="AO4042" s="77"/>
      <c r="AP4042" s="77"/>
      <c r="AQ4042" s="77"/>
      <c r="AR4042" s="77"/>
      <c r="AS4042" s="77"/>
      <c r="AT4042" s="77"/>
      <c r="AU4042" s="77"/>
      <c r="AV4042" s="80" t="str">
        <f>HYPERLINK("https://pbs.twimg.com/profile_images/1067039778795937797/PnnLGTU4_normal.jpg")</f>
        <v>https://pbs.twimg.com/profile_images/1067039778795937797/PnnLGTU4_normal.jpg</v>
      </c>
      <c r="AW4042" s="82" t="s">
        <v>15613</v>
      </c>
      <c r="AX4042" s="82" t="s">
        <v>15613</v>
      </c>
      <c r="AY4042" s="77"/>
      <c r="AZ4042" s="82" t="s">
        <v>15984</v>
      </c>
      <c r="BA4042" s="82" t="s">
        <v>15984</v>
      </c>
      <c r="BB4042" s="82" t="s">
        <v>15984</v>
      </c>
      <c r="BC4042" s="82" t="s">
        <v>15613</v>
      </c>
      <c r="BD4042" s="77">
        <v>2578778256</v>
      </c>
      <c r="BE4042" s="77"/>
      <c r="BF4042" s="77"/>
      <c r="BG4042" s="77"/>
      <c r="BH4042" s="77"/>
      <c r="BI4042" s="77"/>
    </row>
    <row r="4043" spans="1:61" x14ac:dyDescent="0.25">
      <c r="A4043" s="62" t="s">
        <v>735</v>
      </c>
      <c r="B4043" s="62" t="s">
        <v>735</v>
      </c>
      <c r="C4043" s="63"/>
      <c r="D4043" s="64"/>
      <c r="E4043" s="65"/>
      <c r="F4043" s="66"/>
      <c r="G4043" s="63"/>
      <c r="H4043" s="67"/>
      <c r="I4043" s="68"/>
      <c r="J4043" s="68"/>
      <c r="K4043" s="32"/>
      <c r="L4043" s="75">
        <v>4043</v>
      </c>
      <c r="M4043" s="75"/>
      <c r="N4043" s="70"/>
      <c r="O4043" s="77" t="s">
        <v>179</v>
      </c>
      <c r="P4043" s="79">
        <v>45124.817430555559</v>
      </c>
      <c r="Q4043" s="77" t="s">
        <v>4685</v>
      </c>
      <c r="R4043" s="77">
        <v>0</v>
      </c>
      <c r="S4043" s="77">
        <v>0</v>
      </c>
      <c r="T4043" s="77">
        <v>0</v>
      </c>
      <c r="U4043" s="77">
        <v>0</v>
      </c>
      <c r="V4043" s="77">
        <v>302</v>
      </c>
      <c r="W4043" s="82" t="s">
        <v>6411</v>
      </c>
      <c r="X4043" s="80" t="str">
        <f>HYPERLINK("https://www.youtube.com/watch?v=sRyVAfqKmqM")</f>
        <v>https://www.youtube.com/watch?v=sRyVAfqKmqM</v>
      </c>
      <c r="Y4043" s="77" t="s">
        <v>6480</v>
      </c>
      <c r="Z4043" s="77"/>
      <c r="AA4043" s="77"/>
      <c r="AB4043" s="77"/>
      <c r="AC4043" s="82" t="s">
        <v>7787</v>
      </c>
      <c r="AD4043" s="77" t="s">
        <v>7788</v>
      </c>
      <c r="AE4043" s="80" t="str">
        <f>HYPERLINK("https://twitter.com/modalmais/status/1681025252564901893")</f>
        <v>https://twitter.com/modalmais/status/1681025252564901893</v>
      </c>
      <c r="AF4043" s="79">
        <v>45124.817430555559</v>
      </c>
      <c r="AG4043" s="85">
        <v>45124</v>
      </c>
      <c r="AH4043" s="82" t="s">
        <v>10446</v>
      </c>
      <c r="AI4043" s="77" t="b">
        <v>0</v>
      </c>
      <c r="AJ4043" s="77"/>
      <c r="AK4043" s="77"/>
      <c r="AL4043" s="77"/>
      <c r="AM4043" s="77"/>
      <c r="AN4043" s="77"/>
      <c r="AO4043" s="77"/>
      <c r="AP4043" s="77"/>
      <c r="AQ4043" s="77"/>
      <c r="AR4043" s="77"/>
      <c r="AS4043" s="77"/>
      <c r="AT4043" s="77"/>
      <c r="AU4043" s="77"/>
      <c r="AV4043" s="80" t="str">
        <f>HYPERLINK("https://pbs.twimg.com/profile_images/1067039778795937797/PnnLGTU4_normal.jpg")</f>
        <v>https://pbs.twimg.com/profile_images/1067039778795937797/PnnLGTU4_normal.jpg</v>
      </c>
      <c r="AW4043" s="82" t="s">
        <v>15614</v>
      </c>
      <c r="AX4043" s="82" t="s">
        <v>15614</v>
      </c>
      <c r="AY4043" s="77"/>
      <c r="AZ4043" s="82" t="s">
        <v>15984</v>
      </c>
      <c r="BA4043" s="82" t="s">
        <v>15984</v>
      </c>
      <c r="BB4043" s="82" t="s">
        <v>15984</v>
      </c>
      <c r="BC4043" s="82" t="s">
        <v>15614</v>
      </c>
      <c r="BD4043" s="77">
        <v>2578778256</v>
      </c>
      <c r="BE4043" s="77"/>
      <c r="BF4043" s="77"/>
      <c r="BG4043" s="77"/>
      <c r="BH4043" s="77"/>
      <c r="BI4043" s="77"/>
    </row>
    <row r="4044" spans="1:61" x14ac:dyDescent="0.25">
      <c r="A4044" s="62" t="s">
        <v>735</v>
      </c>
      <c r="B4044" s="62" t="s">
        <v>735</v>
      </c>
      <c r="C4044" s="63"/>
      <c r="D4044" s="64"/>
      <c r="E4044" s="65"/>
      <c r="F4044" s="66"/>
      <c r="G4044" s="63"/>
      <c r="H4044" s="67"/>
      <c r="I4044" s="68"/>
      <c r="J4044" s="68"/>
      <c r="K4044" s="32"/>
      <c r="L4044" s="75">
        <v>4044</v>
      </c>
      <c r="M4044" s="75"/>
      <c r="N4044" s="70"/>
      <c r="O4044" s="77" t="s">
        <v>179</v>
      </c>
      <c r="P4044" s="79">
        <v>45124.798009259262</v>
      </c>
      <c r="Q4044" s="77" t="s">
        <v>4686</v>
      </c>
      <c r="R4044" s="77">
        <v>0</v>
      </c>
      <c r="S4044" s="77">
        <v>1</v>
      </c>
      <c r="T4044" s="77">
        <v>0</v>
      </c>
      <c r="U4044" s="77">
        <v>0</v>
      </c>
      <c r="V4044" s="77">
        <v>331</v>
      </c>
      <c r="W4044" s="82" t="s">
        <v>6411</v>
      </c>
      <c r="X4044" s="77"/>
      <c r="Y4044" s="77"/>
      <c r="Z4044" s="77"/>
      <c r="AA4044" s="77"/>
      <c r="AB4044" s="77"/>
      <c r="AC4044" s="82" t="s">
        <v>7787</v>
      </c>
      <c r="AD4044" s="77" t="s">
        <v>7790</v>
      </c>
      <c r="AE4044" s="80" t="str">
        <f>HYPERLINK("https://twitter.com/modalmais/status/1681018212887015427")</f>
        <v>https://twitter.com/modalmais/status/1681018212887015427</v>
      </c>
      <c r="AF4044" s="79">
        <v>45124.798009259262</v>
      </c>
      <c r="AG4044" s="85">
        <v>45124</v>
      </c>
      <c r="AH4044" s="82" t="s">
        <v>10447</v>
      </c>
      <c r="AI4044" s="77"/>
      <c r="AJ4044" s="77"/>
      <c r="AK4044" s="77"/>
      <c r="AL4044" s="77"/>
      <c r="AM4044" s="77"/>
      <c r="AN4044" s="77"/>
      <c r="AO4044" s="77"/>
      <c r="AP4044" s="77"/>
      <c r="AQ4044" s="77"/>
      <c r="AR4044" s="77"/>
      <c r="AS4044" s="77"/>
      <c r="AT4044" s="77"/>
      <c r="AU4044" s="77"/>
      <c r="AV4044" s="80" t="str">
        <f>HYPERLINK("https://pbs.twimg.com/profile_images/1067039778795937797/PnnLGTU4_normal.jpg")</f>
        <v>https://pbs.twimg.com/profile_images/1067039778795937797/PnnLGTU4_normal.jpg</v>
      </c>
      <c r="AW4044" s="82" t="s">
        <v>15615</v>
      </c>
      <c r="AX4044" s="82" t="s">
        <v>15615</v>
      </c>
      <c r="AY4044" s="77"/>
      <c r="AZ4044" s="82" t="s">
        <v>15984</v>
      </c>
      <c r="BA4044" s="82" t="s">
        <v>15984</v>
      </c>
      <c r="BB4044" s="82" t="s">
        <v>15984</v>
      </c>
      <c r="BC4044" s="82" t="s">
        <v>15615</v>
      </c>
      <c r="BD4044" s="77">
        <v>2578778256</v>
      </c>
      <c r="BE4044" s="77"/>
      <c r="BF4044" s="77"/>
      <c r="BG4044" s="77"/>
      <c r="BH4044" s="77"/>
      <c r="BI4044" s="77"/>
    </row>
    <row r="4045" spans="1:61" x14ac:dyDescent="0.25">
      <c r="A4045" s="62" t="s">
        <v>735</v>
      </c>
      <c r="B4045" s="62" t="s">
        <v>735</v>
      </c>
      <c r="C4045" s="63"/>
      <c r="D4045" s="64"/>
      <c r="E4045" s="65"/>
      <c r="F4045" s="66"/>
      <c r="G4045" s="63"/>
      <c r="H4045" s="67"/>
      <c r="I4045" s="68"/>
      <c r="J4045" s="68"/>
      <c r="K4045" s="32"/>
      <c r="L4045" s="75">
        <v>4045</v>
      </c>
      <c r="M4045" s="75"/>
      <c r="N4045" s="70"/>
      <c r="O4045" s="77" t="s">
        <v>179</v>
      </c>
      <c r="P4045" s="79">
        <v>45124.781388888892</v>
      </c>
      <c r="Q4045" s="77" t="s">
        <v>4687</v>
      </c>
      <c r="R4045" s="77">
        <v>0</v>
      </c>
      <c r="S4045" s="77">
        <v>0</v>
      </c>
      <c r="T4045" s="77">
        <v>0</v>
      </c>
      <c r="U4045" s="77">
        <v>0</v>
      </c>
      <c r="V4045" s="77">
        <v>291</v>
      </c>
      <c r="W4045" s="82" t="s">
        <v>6411</v>
      </c>
      <c r="X4045" s="77"/>
      <c r="Y4045" s="77"/>
      <c r="Z4045" s="77"/>
      <c r="AA4045" s="77"/>
      <c r="AB4045" s="77"/>
      <c r="AC4045" s="82" t="s">
        <v>7787</v>
      </c>
      <c r="AD4045" s="77" t="s">
        <v>7788</v>
      </c>
      <c r="AE4045" s="80" t="str">
        <f>HYPERLINK("https://twitter.com/modalmais/status/1681012191560974337")</f>
        <v>https://twitter.com/modalmais/status/1681012191560974337</v>
      </c>
      <c r="AF4045" s="79">
        <v>45124.781388888892</v>
      </c>
      <c r="AG4045" s="85">
        <v>45124</v>
      </c>
      <c r="AH4045" s="82" t="s">
        <v>10448</v>
      </c>
      <c r="AI4045" s="77"/>
      <c r="AJ4045" s="77"/>
      <c r="AK4045" s="77"/>
      <c r="AL4045" s="77"/>
      <c r="AM4045" s="77"/>
      <c r="AN4045" s="77"/>
      <c r="AO4045" s="77"/>
      <c r="AP4045" s="77"/>
      <c r="AQ4045" s="77"/>
      <c r="AR4045" s="77"/>
      <c r="AS4045" s="77"/>
      <c r="AT4045" s="77"/>
      <c r="AU4045" s="77"/>
      <c r="AV4045" s="80" t="str">
        <f>HYPERLINK("https://pbs.twimg.com/profile_images/1067039778795937797/PnnLGTU4_normal.jpg")</f>
        <v>https://pbs.twimg.com/profile_images/1067039778795937797/PnnLGTU4_normal.jpg</v>
      </c>
      <c r="AW4045" s="82" t="s">
        <v>15616</v>
      </c>
      <c r="AX4045" s="82" t="s">
        <v>15616</v>
      </c>
      <c r="AY4045" s="77"/>
      <c r="AZ4045" s="82" t="s">
        <v>15984</v>
      </c>
      <c r="BA4045" s="82" t="s">
        <v>15984</v>
      </c>
      <c r="BB4045" s="82" t="s">
        <v>15984</v>
      </c>
      <c r="BC4045" s="82" t="s">
        <v>15616</v>
      </c>
      <c r="BD4045" s="77">
        <v>2578778256</v>
      </c>
      <c r="BE4045" s="77"/>
      <c r="BF4045" s="77"/>
      <c r="BG4045" s="77"/>
      <c r="BH4045" s="77"/>
      <c r="BI4045" s="77"/>
    </row>
    <row r="4046" spans="1:61" x14ac:dyDescent="0.25">
      <c r="A4046" s="62" t="s">
        <v>735</v>
      </c>
      <c r="B4046" s="62" t="s">
        <v>735</v>
      </c>
      <c r="C4046" s="63"/>
      <c r="D4046" s="64"/>
      <c r="E4046" s="65"/>
      <c r="F4046" s="66"/>
      <c r="G4046" s="63"/>
      <c r="H4046" s="67"/>
      <c r="I4046" s="68"/>
      <c r="J4046" s="68"/>
      <c r="K4046" s="32"/>
      <c r="L4046" s="75">
        <v>4046</v>
      </c>
      <c r="M4046" s="75"/>
      <c r="N4046" s="70"/>
      <c r="O4046" s="77" t="s">
        <v>179</v>
      </c>
      <c r="P4046" s="79">
        <v>45188.544733796298</v>
      </c>
      <c r="Q4046" s="77" t="s">
        <v>4688</v>
      </c>
      <c r="R4046" s="77">
        <v>0</v>
      </c>
      <c r="S4046" s="77">
        <v>1</v>
      </c>
      <c r="T4046" s="77">
        <v>0</v>
      </c>
      <c r="U4046" s="77">
        <v>0</v>
      </c>
      <c r="V4046" s="77">
        <v>282</v>
      </c>
      <c r="W4046" s="82" t="s">
        <v>6434</v>
      </c>
      <c r="X4046" s="80" t="str">
        <f>HYPERLINK("https://www.youtube.com/watch?v=nFIKGJW1KT4")</f>
        <v>https://www.youtube.com/watch?v=nFIKGJW1KT4</v>
      </c>
      <c r="Y4046" s="77" t="s">
        <v>6480</v>
      </c>
      <c r="Z4046" s="77"/>
      <c r="AA4046" s="77"/>
      <c r="AB4046" s="77"/>
      <c r="AC4046" s="82" t="s">
        <v>7787</v>
      </c>
      <c r="AD4046" s="77" t="s">
        <v>7788</v>
      </c>
      <c r="AE4046" s="80" t="str">
        <f>HYPERLINK("https://twitter.com/modalmais/status/1704119254214136167")</f>
        <v>https://twitter.com/modalmais/status/1704119254214136167</v>
      </c>
      <c r="AF4046" s="79">
        <v>45188.544733796298</v>
      </c>
      <c r="AG4046" s="85">
        <v>45188</v>
      </c>
      <c r="AH4046" s="82" t="s">
        <v>10449</v>
      </c>
      <c r="AI4046" s="77" t="b">
        <v>0</v>
      </c>
      <c r="AJ4046" s="77"/>
      <c r="AK4046" s="77"/>
      <c r="AL4046" s="77"/>
      <c r="AM4046" s="77"/>
      <c r="AN4046" s="77"/>
      <c r="AO4046" s="77"/>
      <c r="AP4046" s="77"/>
      <c r="AQ4046" s="77"/>
      <c r="AR4046" s="77"/>
      <c r="AS4046" s="77"/>
      <c r="AT4046" s="77"/>
      <c r="AU4046" s="77"/>
      <c r="AV4046" s="80" t="str">
        <f>HYPERLINK("https://pbs.twimg.com/profile_images/1067039778795937797/PnnLGTU4_normal.jpg")</f>
        <v>https://pbs.twimg.com/profile_images/1067039778795937797/PnnLGTU4_normal.jpg</v>
      </c>
      <c r="AW4046" s="82" t="s">
        <v>15617</v>
      </c>
      <c r="AX4046" s="82" t="s">
        <v>15617</v>
      </c>
      <c r="AY4046" s="77"/>
      <c r="AZ4046" s="82" t="s">
        <v>15984</v>
      </c>
      <c r="BA4046" s="82" t="s">
        <v>15984</v>
      </c>
      <c r="BB4046" s="82" t="s">
        <v>15984</v>
      </c>
      <c r="BC4046" s="82" t="s">
        <v>15617</v>
      </c>
      <c r="BD4046" s="77">
        <v>2578778256</v>
      </c>
      <c r="BE4046" s="77"/>
      <c r="BF4046" s="77"/>
      <c r="BG4046" s="77"/>
      <c r="BH4046" s="77"/>
      <c r="BI4046" s="77"/>
    </row>
    <row r="4047" spans="1:61" x14ac:dyDescent="0.25">
      <c r="A4047" s="62" t="s">
        <v>735</v>
      </c>
      <c r="B4047" s="62" t="s">
        <v>735</v>
      </c>
      <c r="C4047" s="63"/>
      <c r="D4047" s="64"/>
      <c r="E4047" s="65"/>
      <c r="F4047" s="66"/>
      <c r="G4047" s="63"/>
      <c r="H4047" s="67"/>
      <c r="I4047" s="68"/>
      <c r="J4047" s="68"/>
      <c r="K4047" s="32"/>
      <c r="L4047" s="75">
        <v>4047</v>
      </c>
      <c r="M4047" s="75"/>
      <c r="N4047" s="70"/>
      <c r="O4047" s="77" t="s">
        <v>179</v>
      </c>
      <c r="P4047" s="79">
        <v>45188.544108796297</v>
      </c>
      <c r="Q4047" s="77" t="s">
        <v>4689</v>
      </c>
      <c r="R4047" s="77">
        <v>0</v>
      </c>
      <c r="S4047" s="77">
        <v>1</v>
      </c>
      <c r="T4047" s="77">
        <v>0</v>
      </c>
      <c r="U4047" s="77">
        <v>0</v>
      </c>
      <c r="V4047" s="77">
        <v>256</v>
      </c>
      <c r="W4047" s="82" t="s">
        <v>6434</v>
      </c>
      <c r="X4047" s="80" t="str">
        <f>HYPERLINK("https://www.youtube.com/watch?v=zuatxpgsg-0&amp;t=3s")</f>
        <v>https://www.youtube.com/watch?v=zuatxpgsg-0&amp;t=3s</v>
      </c>
      <c r="Y4047" s="77" t="s">
        <v>6480</v>
      </c>
      <c r="Z4047" s="77"/>
      <c r="AA4047" s="77"/>
      <c r="AB4047" s="77"/>
      <c r="AC4047" s="82" t="s">
        <v>7787</v>
      </c>
      <c r="AD4047" s="77" t="s">
        <v>7788</v>
      </c>
      <c r="AE4047" s="80" t="str">
        <f>HYPERLINK("https://twitter.com/modalmais/status/1704119027444920654")</f>
        <v>https://twitter.com/modalmais/status/1704119027444920654</v>
      </c>
      <c r="AF4047" s="79">
        <v>45188.544108796297</v>
      </c>
      <c r="AG4047" s="85">
        <v>45188</v>
      </c>
      <c r="AH4047" s="82" t="s">
        <v>10450</v>
      </c>
      <c r="AI4047" s="77" t="b">
        <v>0</v>
      </c>
      <c r="AJ4047" s="77"/>
      <c r="AK4047" s="77"/>
      <c r="AL4047" s="77"/>
      <c r="AM4047" s="77"/>
      <c r="AN4047" s="77"/>
      <c r="AO4047" s="77"/>
      <c r="AP4047" s="77"/>
      <c r="AQ4047" s="77"/>
      <c r="AR4047" s="77"/>
      <c r="AS4047" s="77"/>
      <c r="AT4047" s="77"/>
      <c r="AU4047" s="77"/>
      <c r="AV4047" s="80" t="str">
        <f>HYPERLINK("https://pbs.twimg.com/profile_images/1067039778795937797/PnnLGTU4_normal.jpg")</f>
        <v>https://pbs.twimg.com/profile_images/1067039778795937797/PnnLGTU4_normal.jpg</v>
      </c>
      <c r="AW4047" s="82" t="s">
        <v>15618</v>
      </c>
      <c r="AX4047" s="82" t="s">
        <v>15618</v>
      </c>
      <c r="AY4047" s="77"/>
      <c r="AZ4047" s="82" t="s">
        <v>15984</v>
      </c>
      <c r="BA4047" s="82" t="s">
        <v>15984</v>
      </c>
      <c r="BB4047" s="82" t="s">
        <v>15984</v>
      </c>
      <c r="BC4047" s="82" t="s">
        <v>15618</v>
      </c>
      <c r="BD4047" s="77">
        <v>2578778256</v>
      </c>
      <c r="BE4047" s="77"/>
      <c r="BF4047" s="77"/>
      <c r="BG4047" s="77"/>
      <c r="BH4047" s="77"/>
      <c r="BI4047" s="77"/>
    </row>
    <row r="4048" spans="1:61" x14ac:dyDescent="0.25">
      <c r="A4048" s="62" t="s">
        <v>735</v>
      </c>
      <c r="B4048" s="62" t="s">
        <v>735</v>
      </c>
      <c r="C4048" s="63"/>
      <c r="D4048" s="64"/>
      <c r="E4048" s="65"/>
      <c r="F4048" s="66"/>
      <c r="G4048" s="63"/>
      <c r="H4048" s="67"/>
      <c r="I4048" s="68"/>
      <c r="J4048" s="68"/>
      <c r="K4048" s="32"/>
      <c r="L4048" s="75">
        <v>4048</v>
      </c>
      <c r="M4048" s="75"/>
      <c r="N4048" s="70"/>
      <c r="O4048" s="77" t="s">
        <v>179</v>
      </c>
      <c r="P4048" s="79">
        <v>45187.571331018517</v>
      </c>
      <c r="Q4048" s="77" t="s">
        <v>4690</v>
      </c>
      <c r="R4048" s="77">
        <v>0</v>
      </c>
      <c r="S4048" s="77">
        <v>0</v>
      </c>
      <c r="T4048" s="77">
        <v>0</v>
      </c>
      <c r="U4048" s="77">
        <v>0</v>
      </c>
      <c r="V4048" s="77">
        <v>336</v>
      </c>
      <c r="W4048" s="82" t="s">
        <v>6434</v>
      </c>
      <c r="X4048" s="80" t="str">
        <f>HYPERLINK("https://www.youtube.com/watch?v=C2507VBKpKw")</f>
        <v>https://www.youtube.com/watch?v=C2507VBKpKw</v>
      </c>
      <c r="Y4048" s="77" t="s">
        <v>6480</v>
      </c>
      <c r="Z4048" s="77"/>
      <c r="AA4048" s="77"/>
      <c r="AB4048" s="77"/>
      <c r="AC4048" s="82" t="s">
        <v>7787</v>
      </c>
      <c r="AD4048" s="77" t="s">
        <v>7788</v>
      </c>
      <c r="AE4048" s="80" t="str">
        <f>HYPERLINK("https://twitter.com/modalmais/status/1703766504548807130")</f>
        <v>https://twitter.com/modalmais/status/1703766504548807130</v>
      </c>
      <c r="AF4048" s="79">
        <v>45187.571331018517</v>
      </c>
      <c r="AG4048" s="85">
        <v>45187</v>
      </c>
      <c r="AH4048" s="82" t="s">
        <v>10451</v>
      </c>
      <c r="AI4048" s="77" t="b">
        <v>0</v>
      </c>
      <c r="AJ4048" s="77"/>
      <c r="AK4048" s="77"/>
      <c r="AL4048" s="77"/>
      <c r="AM4048" s="77"/>
      <c r="AN4048" s="77"/>
      <c r="AO4048" s="77"/>
      <c r="AP4048" s="77"/>
      <c r="AQ4048" s="77"/>
      <c r="AR4048" s="77"/>
      <c r="AS4048" s="77"/>
      <c r="AT4048" s="77"/>
      <c r="AU4048" s="77"/>
      <c r="AV4048" s="80" t="str">
        <f>HYPERLINK("https://pbs.twimg.com/profile_images/1067039778795937797/PnnLGTU4_normal.jpg")</f>
        <v>https://pbs.twimg.com/profile_images/1067039778795937797/PnnLGTU4_normal.jpg</v>
      </c>
      <c r="AW4048" s="82" t="s">
        <v>15619</v>
      </c>
      <c r="AX4048" s="82" t="s">
        <v>15619</v>
      </c>
      <c r="AY4048" s="77"/>
      <c r="AZ4048" s="82" t="s">
        <v>15984</v>
      </c>
      <c r="BA4048" s="82" t="s">
        <v>15984</v>
      </c>
      <c r="BB4048" s="82" t="s">
        <v>15984</v>
      </c>
      <c r="BC4048" s="82" t="s">
        <v>15619</v>
      </c>
      <c r="BD4048" s="77">
        <v>2578778256</v>
      </c>
      <c r="BE4048" s="77"/>
      <c r="BF4048" s="77"/>
      <c r="BG4048" s="77"/>
      <c r="BH4048" s="77"/>
      <c r="BI4048" s="77"/>
    </row>
    <row r="4049" spans="1:61" x14ac:dyDescent="0.25">
      <c r="A4049" s="62" t="s">
        <v>735</v>
      </c>
      <c r="B4049" s="62" t="s">
        <v>735</v>
      </c>
      <c r="C4049" s="63"/>
      <c r="D4049" s="64"/>
      <c r="E4049" s="65"/>
      <c r="F4049" s="66"/>
      <c r="G4049" s="63"/>
      <c r="H4049" s="67"/>
      <c r="I4049" s="68"/>
      <c r="J4049" s="68"/>
      <c r="K4049" s="32"/>
      <c r="L4049" s="75">
        <v>4049</v>
      </c>
      <c r="M4049" s="75"/>
      <c r="N4049" s="70"/>
      <c r="O4049" s="77" t="s">
        <v>179</v>
      </c>
      <c r="P4049" s="79">
        <v>45146.630243055559</v>
      </c>
      <c r="Q4049" s="77" t="s">
        <v>4691</v>
      </c>
      <c r="R4049" s="77">
        <v>0</v>
      </c>
      <c r="S4049" s="77">
        <v>3</v>
      </c>
      <c r="T4049" s="77">
        <v>0</v>
      </c>
      <c r="U4049" s="77">
        <v>0</v>
      </c>
      <c r="V4049" s="77">
        <v>330</v>
      </c>
      <c r="W4049" s="82" t="s">
        <v>6426</v>
      </c>
      <c r="X4049" s="77"/>
      <c r="Y4049" s="77"/>
      <c r="Z4049" s="77"/>
      <c r="AA4049" s="77"/>
      <c r="AB4049" s="77"/>
      <c r="AC4049" s="82" t="s">
        <v>7787</v>
      </c>
      <c r="AD4049" s="77" t="s">
        <v>7788</v>
      </c>
      <c r="AE4049" s="80" t="str">
        <f>HYPERLINK("https://twitter.com/modalmais/status/1688929949896544257")</f>
        <v>https://twitter.com/modalmais/status/1688929949896544257</v>
      </c>
      <c r="AF4049" s="79">
        <v>45146.630243055559</v>
      </c>
      <c r="AG4049" s="85">
        <v>45146</v>
      </c>
      <c r="AH4049" s="82" t="s">
        <v>10452</v>
      </c>
      <c r="AI4049" s="77"/>
      <c r="AJ4049" s="77"/>
      <c r="AK4049" s="77"/>
      <c r="AL4049" s="77"/>
      <c r="AM4049" s="77"/>
      <c r="AN4049" s="77"/>
      <c r="AO4049" s="77"/>
      <c r="AP4049" s="77"/>
      <c r="AQ4049" s="77"/>
      <c r="AR4049" s="77"/>
      <c r="AS4049" s="77"/>
      <c r="AT4049" s="77"/>
      <c r="AU4049" s="77"/>
      <c r="AV4049" s="80" t="str">
        <f>HYPERLINK("https://pbs.twimg.com/profile_images/1067039778795937797/PnnLGTU4_normal.jpg")</f>
        <v>https://pbs.twimg.com/profile_images/1067039778795937797/PnnLGTU4_normal.jpg</v>
      </c>
      <c r="AW4049" s="82" t="s">
        <v>15620</v>
      </c>
      <c r="AX4049" s="82" t="s">
        <v>15620</v>
      </c>
      <c r="AY4049" s="77"/>
      <c r="AZ4049" s="82" t="s">
        <v>15984</v>
      </c>
      <c r="BA4049" s="82" t="s">
        <v>15984</v>
      </c>
      <c r="BB4049" s="82" t="s">
        <v>15984</v>
      </c>
      <c r="BC4049" s="82" t="s">
        <v>15620</v>
      </c>
      <c r="BD4049" s="77">
        <v>2578778256</v>
      </c>
      <c r="BE4049" s="77"/>
      <c r="BF4049" s="77"/>
      <c r="BG4049" s="77"/>
      <c r="BH4049" s="77"/>
      <c r="BI4049" s="77"/>
    </row>
    <row r="4050" spans="1:61" x14ac:dyDescent="0.25">
      <c r="A4050" s="62" t="s">
        <v>735</v>
      </c>
      <c r="B4050" s="62" t="s">
        <v>735</v>
      </c>
      <c r="C4050" s="63"/>
      <c r="D4050" s="64"/>
      <c r="E4050" s="65"/>
      <c r="F4050" s="66"/>
      <c r="G4050" s="63"/>
      <c r="H4050" s="67"/>
      <c r="I4050" s="68"/>
      <c r="J4050" s="68"/>
      <c r="K4050" s="32"/>
      <c r="L4050" s="75">
        <v>4050</v>
      </c>
      <c r="M4050" s="75"/>
      <c r="N4050" s="70"/>
      <c r="O4050" s="77" t="s">
        <v>179</v>
      </c>
      <c r="P4050" s="79">
        <v>45146.551736111112</v>
      </c>
      <c r="Q4050" s="77" t="s">
        <v>4692</v>
      </c>
      <c r="R4050" s="77">
        <v>1</v>
      </c>
      <c r="S4050" s="77">
        <v>3</v>
      </c>
      <c r="T4050" s="77">
        <v>0</v>
      </c>
      <c r="U4050" s="77">
        <v>0</v>
      </c>
      <c r="V4050" s="77">
        <v>257</v>
      </c>
      <c r="W4050" s="82" t="s">
        <v>6411</v>
      </c>
      <c r="X4050" s="80" t="str">
        <f>HYPERLINK("https://www.modalmais.com.br/morning-call/ata-do-copom-avalia-ciclo-gradual-de-flexibilizacao-monetaria/")</f>
        <v>https://www.modalmais.com.br/morning-call/ata-do-copom-avalia-ciclo-gradual-de-flexibilizacao-monetaria/</v>
      </c>
      <c r="Y4050" s="77" t="s">
        <v>6470</v>
      </c>
      <c r="Z4050" s="77"/>
      <c r="AA4050" s="77"/>
      <c r="AB4050" s="77"/>
      <c r="AC4050" s="82" t="s">
        <v>7787</v>
      </c>
      <c r="AD4050" s="77" t="s">
        <v>7788</v>
      </c>
      <c r="AE4050" s="80" t="str">
        <f>HYPERLINK("https://twitter.com/modalmais/status/1688901500976701440")</f>
        <v>https://twitter.com/modalmais/status/1688901500976701440</v>
      </c>
      <c r="AF4050" s="79">
        <v>45146.551736111112</v>
      </c>
      <c r="AG4050" s="85">
        <v>45146</v>
      </c>
      <c r="AH4050" s="82" t="s">
        <v>10453</v>
      </c>
      <c r="AI4050" s="77" t="b">
        <v>0</v>
      </c>
      <c r="AJ4050" s="77"/>
      <c r="AK4050" s="77"/>
      <c r="AL4050" s="77"/>
      <c r="AM4050" s="77"/>
      <c r="AN4050" s="77"/>
      <c r="AO4050" s="77"/>
      <c r="AP4050" s="77"/>
      <c r="AQ4050" s="77"/>
      <c r="AR4050" s="77"/>
      <c r="AS4050" s="77"/>
      <c r="AT4050" s="77"/>
      <c r="AU4050" s="77"/>
      <c r="AV4050" s="80" t="str">
        <f>HYPERLINK("https://pbs.twimg.com/profile_images/1067039778795937797/PnnLGTU4_normal.jpg")</f>
        <v>https://pbs.twimg.com/profile_images/1067039778795937797/PnnLGTU4_normal.jpg</v>
      </c>
      <c r="AW4050" s="82" t="s">
        <v>15621</v>
      </c>
      <c r="AX4050" s="82" t="s">
        <v>15621</v>
      </c>
      <c r="AY4050" s="77"/>
      <c r="AZ4050" s="82" t="s">
        <v>15984</v>
      </c>
      <c r="BA4050" s="82" t="s">
        <v>15984</v>
      </c>
      <c r="BB4050" s="82" t="s">
        <v>15984</v>
      </c>
      <c r="BC4050" s="82" t="s">
        <v>15621</v>
      </c>
      <c r="BD4050" s="77">
        <v>2578778256</v>
      </c>
      <c r="BE4050" s="77"/>
      <c r="BF4050" s="77"/>
      <c r="BG4050" s="77"/>
      <c r="BH4050" s="77"/>
      <c r="BI4050" s="77"/>
    </row>
    <row r="4051" spans="1:61" x14ac:dyDescent="0.25">
      <c r="A4051" s="62" t="s">
        <v>735</v>
      </c>
      <c r="B4051" s="62" t="s">
        <v>735</v>
      </c>
      <c r="C4051" s="63"/>
      <c r="D4051" s="64"/>
      <c r="E4051" s="65"/>
      <c r="F4051" s="66"/>
      <c r="G4051" s="63"/>
      <c r="H4051" s="67"/>
      <c r="I4051" s="68"/>
      <c r="J4051" s="68"/>
      <c r="K4051" s="32"/>
      <c r="L4051" s="75">
        <v>4051</v>
      </c>
      <c r="M4051" s="75"/>
      <c r="N4051" s="70"/>
      <c r="O4051" s="77" t="s">
        <v>179</v>
      </c>
      <c r="P4051" s="79">
        <v>45146.513622685183</v>
      </c>
      <c r="Q4051" s="77" t="s">
        <v>4693</v>
      </c>
      <c r="R4051" s="77">
        <v>0</v>
      </c>
      <c r="S4051" s="77">
        <v>0</v>
      </c>
      <c r="T4051" s="77">
        <v>0</v>
      </c>
      <c r="U4051" s="77">
        <v>0</v>
      </c>
      <c r="V4051" s="77">
        <v>240</v>
      </c>
      <c r="W4051" s="82" t="s">
        <v>6436</v>
      </c>
      <c r="X4051" s="80" t="str">
        <f>HYPERLINK("https://www.bcb.gov.br/publicacoes/atascopom/02082023")</f>
        <v>https://www.bcb.gov.br/publicacoes/atascopom/02082023</v>
      </c>
      <c r="Y4051" s="77" t="s">
        <v>6553</v>
      </c>
      <c r="Z4051" s="77"/>
      <c r="AA4051" s="77"/>
      <c r="AB4051" s="77"/>
      <c r="AC4051" s="82" t="s">
        <v>7787</v>
      </c>
      <c r="AD4051" s="77" t="s">
        <v>7788</v>
      </c>
      <c r="AE4051" s="80" t="str">
        <f>HYPERLINK("https://twitter.com/modalmais/status/1688887688089534465")</f>
        <v>https://twitter.com/modalmais/status/1688887688089534465</v>
      </c>
      <c r="AF4051" s="79">
        <v>45146.513622685183</v>
      </c>
      <c r="AG4051" s="85">
        <v>45146</v>
      </c>
      <c r="AH4051" s="82" t="s">
        <v>10278</v>
      </c>
      <c r="AI4051" s="77" t="b">
        <v>0</v>
      </c>
      <c r="AJ4051" s="77"/>
      <c r="AK4051" s="77"/>
      <c r="AL4051" s="77"/>
      <c r="AM4051" s="77"/>
      <c r="AN4051" s="77"/>
      <c r="AO4051" s="77"/>
      <c r="AP4051" s="77"/>
      <c r="AQ4051" s="77"/>
      <c r="AR4051" s="77"/>
      <c r="AS4051" s="77"/>
      <c r="AT4051" s="77"/>
      <c r="AU4051" s="77"/>
      <c r="AV4051" s="80" t="str">
        <f>HYPERLINK("https://pbs.twimg.com/profile_images/1067039778795937797/PnnLGTU4_normal.jpg")</f>
        <v>https://pbs.twimg.com/profile_images/1067039778795937797/PnnLGTU4_normal.jpg</v>
      </c>
      <c r="AW4051" s="82" t="s">
        <v>15622</v>
      </c>
      <c r="AX4051" s="82" t="s">
        <v>15622</v>
      </c>
      <c r="AY4051" s="77"/>
      <c r="AZ4051" s="82" t="s">
        <v>15984</v>
      </c>
      <c r="BA4051" s="82" t="s">
        <v>15984</v>
      </c>
      <c r="BB4051" s="82" t="s">
        <v>15984</v>
      </c>
      <c r="BC4051" s="82" t="s">
        <v>15622</v>
      </c>
      <c r="BD4051" s="77">
        <v>2578778256</v>
      </c>
      <c r="BE4051" s="77"/>
      <c r="BF4051" s="77"/>
      <c r="BG4051" s="77"/>
      <c r="BH4051" s="77"/>
      <c r="BI4051" s="77"/>
    </row>
    <row r="4052" spans="1:61" x14ac:dyDescent="0.25">
      <c r="A4052" s="62" t="s">
        <v>735</v>
      </c>
      <c r="B4052" s="62" t="s">
        <v>735</v>
      </c>
      <c r="C4052" s="63"/>
      <c r="D4052" s="64"/>
      <c r="E4052" s="65"/>
      <c r="F4052" s="66"/>
      <c r="G4052" s="63"/>
      <c r="H4052" s="67"/>
      <c r="I4052" s="68"/>
      <c r="J4052" s="68"/>
      <c r="K4052" s="32"/>
      <c r="L4052" s="75">
        <v>4052</v>
      </c>
      <c r="M4052" s="75"/>
      <c r="N4052" s="70"/>
      <c r="O4052" s="77" t="s">
        <v>179</v>
      </c>
      <c r="P4052" s="79">
        <v>45146.513113425928</v>
      </c>
      <c r="Q4052" s="77" t="s">
        <v>4694</v>
      </c>
      <c r="R4052" s="77">
        <v>1</v>
      </c>
      <c r="S4052" s="77">
        <v>2</v>
      </c>
      <c r="T4052" s="77">
        <v>0</v>
      </c>
      <c r="U4052" s="77">
        <v>0</v>
      </c>
      <c r="V4052" s="77">
        <v>258</v>
      </c>
      <c r="W4052" s="82" t="s">
        <v>6411</v>
      </c>
      <c r="X4052" s="77"/>
      <c r="Y4052" s="77"/>
      <c r="Z4052" s="77"/>
      <c r="AA4052" s="77"/>
      <c r="AB4052" s="77"/>
      <c r="AC4052" s="82" t="s">
        <v>7787</v>
      </c>
      <c r="AD4052" s="77" t="s">
        <v>7797</v>
      </c>
      <c r="AE4052" s="80" t="str">
        <f>HYPERLINK("https://twitter.com/modalmais/status/1688887502361231360")</f>
        <v>https://twitter.com/modalmais/status/1688887502361231360</v>
      </c>
      <c r="AF4052" s="79">
        <v>45146.513113425928</v>
      </c>
      <c r="AG4052" s="85">
        <v>45146</v>
      </c>
      <c r="AH4052" s="82" t="s">
        <v>10454</v>
      </c>
      <c r="AI4052" s="77"/>
      <c r="AJ4052" s="77"/>
      <c r="AK4052" s="77"/>
      <c r="AL4052" s="77"/>
      <c r="AM4052" s="77"/>
      <c r="AN4052" s="77"/>
      <c r="AO4052" s="77"/>
      <c r="AP4052" s="77"/>
      <c r="AQ4052" s="77"/>
      <c r="AR4052" s="77"/>
      <c r="AS4052" s="77"/>
      <c r="AT4052" s="77"/>
      <c r="AU4052" s="77"/>
      <c r="AV4052" s="80" t="str">
        <f>HYPERLINK("https://pbs.twimg.com/profile_images/1067039778795937797/PnnLGTU4_normal.jpg")</f>
        <v>https://pbs.twimg.com/profile_images/1067039778795937797/PnnLGTU4_normal.jpg</v>
      </c>
      <c r="AW4052" s="82" t="s">
        <v>15623</v>
      </c>
      <c r="AX4052" s="82" t="s">
        <v>15623</v>
      </c>
      <c r="AY4052" s="77"/>
      <c r="AZ4052" s="82" t="s">
        <v>15984</v>
      </c>
      <c r="BA4052" s="82" t="s">
        <v>15984</v>
      </c>
      <c r="BB4052" s="82" t="s">
        <v>15984</v>
      </c>
      <c r="BC4052" s="82" t="s">
        <v>15623</v>
      </c>
      <c r="BD4052" s="77">
        <v>2578778256</v>
      </c>
      <c r="BE4052" s="77"/>
      <c r="BF4052" s="77"/>
      <c r="BG4052" s="77"/>
      <c r="BH4052" s="77"/>
      <c r="BI4052" s="77"/>
    </row>
    <row r="4053" spans="1:61" x14ac:dyDescent="0.25">
      <c r="A4053" s="62" t="s">
        <v>735</v>
      </c>
      <c r="B4053" s="62" t="s">
        <v>735</v>
      </c>
      <c r="C4053" s="63"/>
      <c r="D4053" s="64"/>
      <c r="E4053" s="65"/>
      <c r="F4053" s="66"/>
      <c r="G4053" s="63"/>
      <c r="H4053" s="67"/>
      <c r="I4053" s="68"/>
      <c r="J4053" s="68"/>
      <c r="K4053" s="32"/>
      <c r="L4053" s="75">
        <v>4053</v>
      </c>
      <c r="M4053" s="75"/>
      <c r="N4053" s="70"/>
      <c r="O4053" s="77" t="s">
        <v>179</v>
      </c>
      <c r="P4053" s="79">
        <v>45146.513078703705</v>
      </c>
      <c r="Q4053" s="77" t="s">
        <v>4695</v>
      </c>
      <c r="R4053" s="77">
        <v>1</v>
      </c>
      <c r="S4053" s="77">
        <v>1</v>
      </c>
      <c r="T4053" s="77">
        <v>1</v>
      </c>
      <c r="U4053" s="77">
        <v>0</v>
      </c>
      <c r="V4053" s="77">
        <v>249</v>
      </c>
      <c r="W4053" s="82" t="s">
        <v>6411</v>
      </c>
      <c r="X4053" s="77"/>
      <c r="Y4053" s="77"/>
      <c r="Z4053" s="77"/>
      <c r="AA4053" s="77"/>
      <c r="AB4053" s="77"/>
      <c r="AC4053" s="82" t="s">
        <v>7787</v>
      </c>
      <c r="AD4053" s="77" t="s">
        <v>7788</v>
      </c>
      <c r="AE4053" s="80" t="str">
        <f>HYPERLINK("https://twitter.com/modalmais/status/1688887490097143809")</f>
        <v>https://twitter.com/modalmais/status/1688887490097143809</v>
      </c>
      <c r="AF4053" s="79">
        <v>45146.513078703705</v>
      </c>
      <c r="AG4053" s="85">
        <v>45146</v>
      </c>
      <c r="AH4053" s="82" t="s">
        <v>10455</v>
      </c>
      <c r="AI4053" s="77"/>
      <c r="AJ4053" s="77"/>
      <c r="AK4053" s="77"/>
      <c r="AL4053" s="77"/>
      <c r="AM4053" s="77"/>
      <c r="AN4053" s="77"/>
      <c r="AO4053" s="77"/>
      <c r="AP4053" s="77"/>
      <c r="AQ4053" s="77"/>
      <c r="AR4053" s="77"/>
      <c r="AS4053" s="77"/>
      <c r="AT4053" s="77"/>
      <c r="AU4053" s="77"/>
      <c r="AV4053" s="80" t="str">
        <f>HYPERLINK("https://pbs.twimg.com/profile_images/1067039778795937797/PnnLGTU4_normal.jpg")</f>
        <v>https://pbs.twimg.com/profile_images/1067039778795937797/PnnLGTU4_normal.jpg</v>
      </c>
      <c r="AW4053" s="82" t="s">
        <v>15624</v>
      </c>
      <c r="AX4053" s="82" t="s">
        <v>15624</v>
      </c>
      <c r="AY4053" s="77"/>
      <c r="AZ4053" s="82" t="s">
        <v>15984</v>
      </c>
      <c r="BA4053" s="82" t="s">
        <v>15984</v>
      </c>
      <c r="BB4053" s="82" t="s">
        <v>15984</v>
      </c>
      <c r="BC4053" s="82" t="s">
        <v>15624</v>
      </c>
      <c r="BD4053" s="77">
        <v>2578778256</v>
      </c>
      <c r="BE4053" s="77"/>
      <c r="BF4053" s="77"/>
      <c r="BG4053" s="77"/>
      <c r="BH4053" s="77"/>
      <c r="BI4053" s="77"/>
    </row>
    <row r="4054" spans="1:61" x14ac:dyDescent="0.25">
      <c r="A4054" s="62" t="s">
        <v>735</v>
      </c>
      <c r="B4054" s="62" t="s">
        <v>735</v>
      </c>
      <c r="C4054" s="63"/>
      <c r="D4054" s="64"/>
      <c r="E4054" s="65"/>
      <c r="F4054" s="66"/>
      <c r="G4054" s="63"/>
      <c r="H4054" s="67"/>
      <c r="I4054" s="68"/>
      <c r="J4054" s="68"/>
      <c r="K4054" s="32"/>
      <c r="L4054" s="75">
        <v>4054</v>
      </c>
      <c r="M4054" s="75"/>
      <c r="N4054" s="70"/>
      <c r="O4054" s="77" t="s">
        <v>179</v>
      </c>
      <c r="P4054" s="79">
        <v>45146.512361111112</v>
      </c>
      <c r="Q4054" s="77" t="s">
        <v>4696</v>
      </c>
      <c r="R4054" s="77">
        <v>1</v>
      </c>
      <c r="S4054" s="77">
        <v>2</v>
      </c>
      <c r="T4054" s="77">
        <v>0</v>
      </c>
      <c r="U4054" s="77">
        <v>0</v>
      </c>
      <c r="V4054" s="77">
        <v>268</v>
      </c>
      <c r="W4054" s="82" t="s">
        <v>6411</v>
      </c>
      <c r="X4054" s="77"/>
      <c r="Y4054" s="77"/>
      <c r="Z4054" s="77"/>
      <c r="AA4054" s="77"/>
      <c r="AB4054" s="77"/>
      <c r="AC4054" s="82" t="s">
        <v>7787</v>
      </c>
      <c r="AD4054" s="77" t="s">
        <v>7793</v>
      </c>
      <c r="AE4054" s="80" t="str">
        <f>HYPERLINK("https://twitter.com/modalmais/status/1688887229937008640")</f>
        <v>https://twitter.com/modalmais/status/1688887229937008640</v>
      </c>
      <c r="AF4054" s="79">
        <v>45146.512361111112</v>
      </c>
      <c r="AG4054" s="85">
        <v>45146</v>
      </c>
      <c r="AH4054" s="82" t="s">
        <v>10456</v>
      </c>
      <c r="AI4054" s="77"/>
      <c r="AJ4054" s="77"/>
      <c r="AK4054" s="77"/>
      <c r="AL4054" s="77"/>
      <c r="AM4054" s="77"/>
      <c r="AN4054" s="77"/>
      <c r="AO4054" s="77"/>
      <c r="AP4054" s="77"/>
      <c r="AQ4054" s="77"/>
      <c r="AR4054" s="77"/>
      <c r="AS4054" s="77"/>
      <c r="AT4054" s="77"/>
      <c r="AU4054" s="77"/>
      <c r="AV4054" s="80" t="str">
        <f>HYPERLINK("https://pbs.twimg.com/profile_images/1067039778795937797/PnnLGTU4_normal.jpg")</f>
        <v>https://pbs.twimg.com/profile_images/1067039778795937797/PnnLGTU4_normal.jpg</v>
      </c>
      <c r="AW4054" s="82" t="s">
        <v>15625</v>
      </c>
      <c r="AX4054" s="82" t="s">
        <v>15625</v>
      </c>
      <c r="AY4054" s="77"/>
      <c r="AZ4054" s="82" t="s">
        <v>15984</v>
      </c>
      <c r="BA4054" s="82" t="s">
        <v>15984</v>
      </c>
      <c r="BB4054" s="82" t="s">
        <v>15984</v>
      </c>
      <c r="BC4054" s="82" t="s">
        <v>15625</v>
      </c>
      <c r="BD4054" s="77">
        <v>2578778256</v>
      </c>
      <c r="BE4054" s="77"/>
      <c r="BF4054" s="77"/>
      <c r="BG4054" s="77"/>
      <c r="BH4054" s="77"/>
      <c r="BI4054" s="77"/>
    </row>
    <row r="4055" spans="1:61" x14ac:dyDescent="0.25">
      <c r="A4055" s="62" t="s">
        <v>735</v>
      </c>
      <c r="B4055" s="62" t="s">
        <v>735</v>
      </c>
      <c r="C4055" s="63"/>
      <c r="D4055" s="64"/>
      <c r="E4055" s="65"/>
      <c r="F4055" s="66"/>
      <c r="G4055" s="63"/>
      <c r="H4055" s="67"/>
      <c r="I4055" s="68"/>
      <c r="J4055" s="68"/>
      <c r="K4055" s="32"/>
      <c r="L4055" s="75">
        <v>4055</v>
      </c>
      <c r="M4055" s="75"/>
      <c r="N4055" s="70"/>
      <c r="O4055" s="77" t="s">
        <v>179</v>
      </c>
      <c r="P4055" s="79">
        <v>45146.511979166666</v>
      </c>
      <c r="Q4055" s="77" t="s">
        <v>4697</v>
      </c>
      <c r="R4055" s="77">
        <v>1</v>
      </c>
      <c r="S4055" s="77">
        <v>1</v>
      </c>
      <c r="T4055" s="77">
        <v>1</v>
      </c>
      <c r="U4055" s="77">
        <v>0</v>
      </c>
      <c r="V4055" s="77">
        <v>260</v>
      </c>
      <c r="W4055" s="82" t="s">
        <v>6411</v>
      </c>
      <c r="X4055" s="80" t="str">
        <f>HYPERLINK("https://www.youtube.com/watch?v=InAQPSOLwGM")</f>
        <v>https://www.youtube.com/watch?v=InAQPSOLwGM</v>
      </c>
      <c r="Y4055" s="77" t="s">
        <v>6480</v>
      </c>
      <c r="Z4055" s="77"/>
      <c r="AA4055" s="77"/>
      <c r="AB4055" s="77"/>
      <c r="AC4055" s="82" t="s">
        <v>7787</v>
      </c>
      <c r="AD4055" s="77" t="s">
        <v>7788</v>
      </c>
      <c r="AE4055" s="80" t="str">
        <f>HYPERLINK("https://twitter.com/modalmais/status/1688887093743771649")</f>
        <v>https://twitter.com/modalmais/status/1688887093743771649</v>
      </c>
      <c r="AF4055" s="79">
        <v>45146.511979166666</v>
      </c>
      <c r="AG4055" s="85">
        <v>45146</v>
      </c>
      <c r="AH4055" s="82" t="s">
        <v>10457</v>
      </c>
      <c r="AI4055" s="77" t="b">
        <v>0</v>
      </c>
      <c r="AJ4055" s="77"/>
      <c r="AK4055" s="77"/>
      <c r="AL4055" s="77"/>
      <c r="AM4055" s="77"/>
      <c r="AN4055" s="77"/>
      <c r="AO4055" s="77"/>
      <c r="AP4055" s="77"/>
      <c r="AQ4055" s="77"/>
      <c r="AR4055" s="77"/>
      <c r="AS4055" s="77"/>
      <c r="AT4055" s="77"/>
      <c r="AU4055" s="77"/>
      <c r="AV4055" s="80" t="str">
        <f>HYPERLINK("https://pbs.twimg.com/profile_images/1067039778795937797/PnnLGTU4_normal.jpg")</f>
        <v>https://pbs.twimg.com/profile_images/1067039778795937797/PnnLGTU4_normal.jpg</v>
      </c>
      <c r="AW4055" s="82" t="s">
        <v>15626</v>
      </c>
      <c r="AX4055" s="82" t="s">
        <v>15626</v>
      </c>
      <c r="AY4055" s="77"/>
      <c r="AZ4055" s="82" t="s">
        <v>15984</v>
      </c>
      <c r="BA4055" s="82" t="s">
        <v>15984</v>
      </c>
      <c r="BB4055" s="82" t="s">
        <v>15984</v>
      </c>
      <c r="BC4055" s="82" t="s">
        <v>15626</v>
      </c>
      <c r="BD4055" s="77">
        <v>2578778256</v>
      </c>
      <c r="BE4055" s="77"/>
      <c r="BF4055" s="77"/>
      <c r="BG4055" s="77"/>
      <c r="BH4055" s="77"/>
      <c r="BI4055" s="77"/>
    </row>
    <row r="4056" spans="1:61" x14ac:dyDescent="0.25">
      <c r="A4056" s="62" t="s">
        <v>735</v>
      </c>
      <c r="B4056" s="62" t="s">
        <v>735</v>
      </c>
      <c r="C4056" s="63"/>
      <c r="D4056" s="64"/>
      <c r="E4056" s="65"/>
      <c r="F4056" s="66"/>
      <c r="G4056" s="63"/>
      <c r="H4056" s="67"/>
      <c r="I4056" s="68"/>
      <c r="J4056" s="68"/>
      <c r="K4056" s="32"/>
      <c r="L4056" s="75">
        <v>4056</v>
      </c>
      <c r="M4056" s="75"/>
      <c r="N4056" s="70"/>
      <c r="O4056" s="77" t="s">
        <v>179</v>
      </c>
      <c r="P4056" s="79">
        <v>45146.511504629627</v>
      </c>
      <c r="Q4056" s="77" t="s">
        <v>4698</v>
      </c>
      <c r="R4056" s="77">
        <v>1</v>
      </c>
      <c r="S4056" s="77">
        <v>1</v>
      </c>
      <c r="T4056" s="77">
        <v>0</v>
      </c>
      <c r="U4056" s="77">
        <v>0</v>
      </c>
      <c r="V4056" s="77">
        <v>240</v>
      </c>
      <c r="W4056" s="82" t="s">
        <v>6411</v>
      </c>
      <c r="X4056" s="80" t="str">
        <f>HYPERLINK("https://www.youtube.com/watch?v=drDyzOPFJow")</f>
        <v>https://www.youtube.com/watch?v=drDyzOPFJow</v>
      </c>
      <c r="Y4056" s="77" t="s">
        <v>6480</v>
      </c>
      <c r="Z4056" s="77"/>
      <c r="AA4056" s="77"/>
      <c r="AB4056" s="77"/>
      <c r="AC4056" s="82" t="s">
        <v>7787</v>
      </c>
      <c r="AD4056" s="77" t="s">
        <v>7788</v>
      </c>
      <c r="AE4056" s="80" t="str">
        <f>HYPERLINK("https://twitter.com/modalmais/status/1688886921919860736")</f>
        <v>https://twitter.com/modalmais/status/1688886921919860736</v>
      </c>
      <c r="AF4056" s="79">
        <v>45146.511504629627</v>
      </c>
      <c r="AG4056" s="85">
        <v>45146</v>
      </c>
      <c r="AH4056" s="82" t="s">
        <v>10458</v>
      </c>
      <c r="AI4056" s="77" t="b">
        <v>0</v>
      </c>
      <c r="AJ4056" s="77"/>
      <c r="AK4056" s="77"/>
      <c r="AL4056" s="77"/>
      <c r="AM4056" s="77"/>
      <c r="AN4056" s="77"/>
      <c r="AO4056" s="77"/>
      <c r="AP4056" s="77"/>
      <c r="AQ4056" s="77"/>
      <c r="AR4056" s="77"/>
      <c r="AS4056" s="77"/>
      <c r="AT4056" s="77"/>
      <c r="AU4056" s="77"/>
      <c r="AV4056" s="80" t="str">
        <f>HYPERLINK("https://pbs.twimg.com/profile_images/1067039778795937797/PnnLGTU4_normal.jpg")</f>
        <v>https://pbs.twimg.com/profile_images/1067039778795937797/PnnLGTU4_normal.jpg</v>
      </c>
      <c r="AW4056" s="82" t="s">
        <v>15627</v>
      </c>
      <c r="AX4056" s="82" t="s">
        <v>15627</v>
      </c>
      <c r="AY4056" s="77"/>
      <c r="AZ4056" s="82" t="s">
        <v>15984</v>
      </c>
      <c r="BA4056" s="82" t="s">
        <v>15984</v>
      </c>
      <c r="BB4056" s="82" t="s">
        <v>15984</v>
      </c>
      <c r="BC4056" s="82" t="s">
        <v>15627</v>
      </c>
      <c r="BD4056" s="77">
        <v>2578778256</v>
      </c>
      <c r="BE4056" s="77"/>
      <c r="BF4056" s="77"/>
      <c r="BG4056" s="77"/>
      <c r="BH4056" s="77"/>
      <c r="BI4056" s="77"/>
    </row>
    <row r="4057" spans="1:61" x14ac:dyDescent="0.25">
      <c r="A4057" s="62" t="s">
        <v>735</v>
      </c>
      <c r="B4057" s="62" t="s">
        <v>735</v>
      </c>
      <c r="C4057" s="63"/>
      <c r="D4057" s="64"/>
      <c r="E4057" s="65"/>
      <c r="F4057" s="66"/>
      <c r="G4057" s="63"/>
      <c r="H4057" s="67"/>
      <c r="I4057" s="68"/>
      <c r="J4057" s="68"/>
      <c r="K4057" s="32"/>
      <c r="L4057" s="75">
        <v>4057</v>
      </c>
      <c r="M4057" s="75"/>
      <c r="N4057" s="70"/>
      <c r="O4057" s="77" t="s">
        <v>179</v>
      </c>
      <c r="P4057" s="79">
        <v>45127.837384259263</v>
      </c>
      <c r="Q4057" s="77" t="s">
        <v>4699</v>
      </c>
      <c r="R4057" s="77">
        <v>1</v>
      </c>
      <c r="S4057" s="77">
        <v>3</v>
      </c>
      <c r="T4057" s="77">
        <v>1</v>
      </c>
      <c r="U4057" s="77">
        <v>0</v>
      </c>
      <c r="V4057" s="77">
        <v>360</v>
      </c>
      <c r="W4057" s="82" t="s">
        <v>6410</v>
      </c>
      <c r="X4057" s="77"/>
      <c r="Y4057" s="77"/>
      <c r="Z4057" s="77"/>
      <c r="AA4057" s="77"/>
      <c r="AB4057" s="77"/>
      <c r="AC4057" s="82" t="s">
        <v>7787</v>
      </c>
      <c r="AD4057" s="77" t="s">
        <v>7788</v>
      </c>
      <c r="AE4057" s="80" t="str">
        <f>HYPERLINK("https://twitter.com/modalmais/status/1682119643903717386")</f>
        <v>https://twitter.com/modalmais/status/1682119643903717386</v>
      </c>
      <c r="AF4057" s="79">
        <v>45127.837384259263</v>
      </c>
      <c r="AG4057" s="85">
        <v>45127</v>
      </c>
      <c r="AH4057" s="82" t="s">
        <v>10459</v>
      </c>
      <c r="AI4057" s="77"/>
      <c r="AJ4057" s="77"/>
      <c r="AK4057" s="77"/>
      <c r="AL4057" s="77"/>
      <c r="AM4057" s="77"/>
      <c r="AN4057" s="77"/>
      <c r="AO4057" s="77"/>
      <c r="AP4057" s="77"/>
      <c r="AQ4057" s="77"/>
      <c r="AR4057" s="77"/>
      <c r="AS4057" s="77"/>
      <c r="AT4057" s="77"/>
      <c r="AU4057" s="77"/>
      <c r="AV4057" s="80" t="str">
        <f>HYPERLINK("https://pbs.twimg.com/profile_images/1067039778795937797/PnnLGTU4_normal.jpg")</f>
        <v>https://pbs.twimg.com/profile_images/1067039778795937797/PnnLGTU4_normal.jpg</v>
      </c>
      <c r="AW4057" s="82" t="s">
        <v>15628</v>
      </c>
      <c r="AX4057" s="82" t="s">
        <v>15628</v>
      </c>
      <c r="AY4057" s="77"/>
      <c r="AZ4057" s="82" t="s">
        <v>15984</v>
      </c>
      <c r="BA4057" s="82" t="s">
        <v>15984</v>
      </c>
      <c r="BB4057" s="82" t="s">
        <v>15984</v>
      </c>
      <c r="BC4057" s="82" t="s">
        <v>15628</v>
      </c>
      <c r="BD4057" s="77">
        <v>2578778256</v>
      </c>
      <c r="BE4057" s="77"/>
      <c r="BF4057" s="77"/>
      <c r="BG4057" s="77"/>
      <c r="BH4057" s="77"/>
      <c r="BI4057" s="77"/>
    </row>
    <row r="4058" spans="1:61" x14ac:dyDescent="0.25">
      <c r="A4058" s="62" t="s">
        <v>735</v>
      </c>
      <c r="B4058" s="62" t="s">
        <v>735</v>
      </c>
      <c r="C4058" s="63"/>
      <c r="D4058" s="64"/>
      <c r="E4058" s="65"/>
      <c r="F4058" s="66"/>
      <c r="G4058" s="63"/>
      <c r="H4058" s="67"/>
      <c r="I4058" s="68"/>
      <c r="J4058" s="68"/>
      <c r="K4058" s="32"/>
      <c r="L4058" s="75">
        <v>4058</v>
      </c>
      <c r="M4058" s="75"/>
      <c r="N4058" s="70"/>
      <c r="O4058" s="77" t="s">
        <v>179</v>
      </c>
      <c r="P4058" s="79">
        <v>45127.837129629632</v>
      </c>
      <c r="Q4058" s="77" t="s">
        <v>4700</v>
      </c>
      <c r="R4058" s="77">
        <v>0</v>
      </c>
      <c r="S4058" s="77">
        <v>1</v>
      </c>
      <c r="T4058" s="77">
        <v>0</v>
      </c>
      <c r="U4058" s="77">
        <v>0</v>
      </c>
      <c r="V4058" s="77">
        <v>319</v>
      </c>
      <c r="W4058" s="82" t="s">
        <v>6410</v>
      </c>
      <c r="X4058" s="80" t="str">
        <f>HYPERLINK("https://www.youtube.com/watch?v=C-xNMh9_g0E")</f>
        <v>https://www.youtube.com/watch?v=C-xNMh9_g0E</v>
      </c>
      <c r="Y4058" s="77" t="s">
        <v>6480</v>
      </c>
      <c r="Z4058" s="77"/>
      <c r="AA4058" s="77"/>
      <c r="AB4058" s="77"/>
      <c r="AC4058" s="82" t="s">
        <v>7787</v>
      </c>
      <c r="AD4058" s="77" t="s">
        <v>7788</v>
      </c>
      <c r="AE4058" s="80" t="str">
        <f>HYPERLINK("https://twitter.com/modalmais/status/1682119553801756675")</f>
        <v>https://twitter.com/modalmais/status/1682119553801756675</v>
      </c>
      <c r="AF4058" s="79">
        <v>45127.837129629632</v>
      </c>
      <c r="AG4058" s="85">
        <v>45127</v>
      </c>
      <c r="AH4058" s="82" t="s">
        <v>10460</v>
      </c>
      <c r="AI4058" s="77" t="b">
        <v>0</v>
      </c>
      <c r="AJ4058" s="77"/>
      <c r="AK4058" s="77"/>
      <c r="AL4058" s="77"/>
      <c r="AM4058" s="77"/>
      <c r="AN4058" s="77"/>
      <c r="AO4058" s="77"/>
      <c r="AP4058" s="77"/>
      <c r="AQ4058" s="77"/>
      <c r="AR4058" s="77"/>
      <c r="AS4058" s="77"/>
      <c r="AT4058" s="77"/>
      <c r="AU4058" s="77"/>
      <c r="AV4058" s="80" t="str">
        <f>HYPERLINK("https://pbs.twimg.com/profile_images/1067039778795937797/PnnLGTU4_normal.jpg")</f>
        <v>https://pbs.twimg.com/profile_images/1067039778795937797/PnnLGTU4_normal.jpg</v>
      </c>
      <c r="AW4058" s="82" t="s">
        <v>15629</v>
      </c>
      <c r="AX4058" s="82" t="s">
        <v>15629</v>
      </c>
      <c r="AY4058" s="77"/>
      <c r="AZ4058" s="82" t="s">
        <v>15984</v>
      </c>
      <c r="BA4058" s="82" t="s">
        <v>15984</v>
      </c>
      <c r="BB4058" s="82" t="s">
        <v>15984</v>
      </c>
      <c r="BC4058" s="82" t="s">
        <v>15629</v>
      </c>
      <c r="BD4058" s="77">
        <v>2578778256</v>
      </c>
      <c r="BE4058" s="77"/>
      <c r="BF4058" s="77"/>
      <c r="BG4058" s="77"/>
      <c r="BH4058" s="77"/>
      <c r="BI4058" s="77"/>
    </row>
    <row r="4059" spans="1:61" x14ac:dyDescent="0.25">
      <c r="A4059" s="62" t="s">
        <v>735</v>
      </c>
      <c r="B4059" s="62" t="s">
        <v>735</v>
      </c>
      <c r="C4059" s="63"/>
      <c r="D4059" s="64"/>
      <c r="E4059" s="65"/>
      <c r="F4059" s="66"/>
      <c r="G4059" s="63"/>
      <c r="H4059" s="67"/>
      <c r="I4059" s="68"/>
      <c r="J4059" s="68"/>
      <c r="K4059" s="32"/>
      <c r="L4059" s="75">
        <v>4059</v>
      </c>
      <c r="M4059" s="75"/>
      <c r="N4059" s="70"/>
      <c r="O4059" s="77" t="s">
        <v>179</v>
      </c>
      <c r="P4059" s="79">
        <v>45127.837118055555</v>
      </c>
      <c r="Q4059" s="77" t="s">
        <v>4701</v>
      </c>
      <c r="R4059" s="77">
        <v>0</v>
      </c>
      <c r="S4059" s="77">
        <v>2</v>
      </c>
      <c r="T4059" s="77">
        <v>0</v>
      </c>
      <c r="U4059" s="77">
        <v>0</v>
      </c>
      <c r="V4059" s="77">
        <v>317</v>
      </c>
      <c r="W4059" s="82" t="s">
        <v>6410</v>
      </c>
      <c r="X4059" s="77"/>
      <c r="Y4059" s="77"/>
      <c r="Z4059" s="77"/>
      <c r="AA4059" s="77"/>
      <c r="AB4059" s="77"/>
      <c r="AC4059" s="82" t="s">
        <v>7787</v>
      </c>
      <c r="AD4059" s="77" t="s">
        <v>7788</v>
      </c>
      <c r="AE4059" s="80" t="str">
        <f>HYPERLINK("https://twitter.com/modalmais/status/1682119548256788482")</f>
        <v>https://twitter.com/modalmais/status/1682119548256788482</v>
      </c>
      <c r="AF4059" s="79">
        <v>45127.837118055555</v>
      </c>
      <c r="AG4059" s="85">
        <v>45127</v>
      </c>
      <c r="AH4059" s="82" t="s">
        <v>10461</v>
      </c>
      <c r="AI4059" s="77"/>
      <c r="AJ4059" s="77"/>
      <c r="AK4059" s="77"/>
      <c r="AL4059" s="77"/>
      <c r="AM4059" s="77"/>
      <c r="AN4059" s="77"/>
      <c r="AO4059" s="77"/>
      <c r="AP4059" s="77"/>
      <c r="AQ4059" s="77"/>
      <c r="AR4059" s="77"/>
      <c r="AS4059" s="77"/>
      <c r="AT4059" s="77"/>
      <c r="AU4059" s="77"/>
      <c r="AV4059" s="80" t="str">
        <f>HYPERLINK("https://pbs.twimg.com/profile_images/1067039778795937797/PnnLGTU4_normal.jpg")</f>
        <v>https://pbs.twimg.com/profile_images/1067039778795937797/PnnLGTU4_normal.jpg</v>
      </c>
      <c r="AW4059" s="82" t="s">
        <v>15630</v>
      </c>
      <c r="AX4059" s="82" t="s">
        <v>15630</v>
      </c>
      <c r="AY4059" s="77"/>
      <c r="AZ4059" s="82" t="s">
        <v>15984</v>
      </c>
      <c r="BA4059" s="82" t="s">
        <v>15984</v>
      </c>
      <c r="BB4059" s="82" t="s">
        <v>15984</v>
      </c>
      <c r="BC4059" s="82" t="s">
        <v>15630</v>
      </c>
      <c r="BD4059" s="77">
        <v>2578778256</v>
      </c>
      <c r="BE4059" s="77"/>
      <c r="BF4059" s="77"/>
      <c r="BG4059" s="77"/>
      <c r="BH4059" s="77"/>
      <c r="BI4059" s="77"/>
    </row>
    <row r="4060" spans="1:61" x14ac:dyDescent="0.25">
      <c r="A4060" s="62" t="s">
        <v>735</v>
      </c>
      <c r="B4060" s="62" t="s">
        <v>735</v>
      </c>
      <c r="C4060" s="63"/>
      <c r="D4060" s="64"/>
      <c r="E4060" s="65"/>
      <c r="F4060" s="66"/>
      <c r="G4060" s="63"/>
      <c r="H4060" s="67"/>
      <c r="I4060" s="68"/>
      <c r="J4060" s="68"/>
      <c r="K4060" s="32"/>
      <c r="L4060" s="75">
        <v>4060</v>
      </c>
      <c r="M4060" s="75"/>
      <c r="N4060" s="70"/>
      <c r="O4060" s="77" t="s">
        <v>179</v>
      </c>
      <c r="P4060" s="79">
        <v>45127.836863425924</v>
      </c>
      <c r="Q4060" s="77" t="s">
        <v>4702</v>
      </c>
      <c r="R4060" s="77">
        <v>1</v>
      </c>
      <c r="S4060" s="77">
        <v>1</v>
      </c>
      <c r="T4060" s="77">
        <v>0</v>
      </c>
      <c r="U4060" s="77">
        <v>0</v>
      </c>
      <c r="V4060" s="77">
        <v>294</v>
      </c>
      <c r="W4060" s="82" t="s">
        <v>6410</v>
      </c>
      <c r="X4060" s="80" t="str">
        <f>HYPERLINK("https://www.youtube.com/watch?v=SRGH_MyMY1k")</f>
        <v>https://www.youtube.com/watch?v=SRGH_MyMY1k</v>
      </c>
      <c r="Y4060" s="77" t="s">
        <v>6480</v>
      </c>
      <c r="Z4060" s="77"/>
      <c r="AA4060" s="77"/>
      <c r="AB4060" s="77"/>
      <c r="AC4060" s="82" t="s">
        <v>7787</v>
      </c>
      <c r="AD4060" s="77" t="s">
        <v>7788</v>
      </c>
      <c r="AE4060" s="80" t="str">
        <f>HYPERLINK("https://twitter.com/modalmais/status/1682119455390695424")</f>
        <v>https://twitter.com/modalmais/status/1682119455390695424</v>
      </c>
      <c r="AF4060" s="79">
        <v>45127.836863425924</v>
      </c>
      <c r="AG4060" s="85">
        <v>45127</v>
      </c>
      <c r="AH4060" s="82" t="s">
        <v>10462</v>
      </c>
      <c r="AI4060" s="77" t="b">
        <v>0</v>
      </c>
      <c r="AJ4060" s="77"/>
      <c r="AK4060" s="77"/>
      <c r="AL4060" s="77"/>
      <c r="AM4060" s="77"/>
      <c r="AN4060" s="77"/>
      <c r="AO4060" s="77"/>
      <c r="AP4060" s="77"/>
      <c r="AQ4060" s="77"/>
      <c r="AR4060" s="77"/>
      <c r="AS4060" s="77"/>
      <c r="AT4060" s="77"/>
      <c r="AU4060" s="77"/>
      <c r="AV4060" s="80" t="str">
        <f>HYPERLINK("https://pbs.twimg.com/profile_images/1067039778795937797/PnnLGTU4_normal.jpg")</f>
        <v>https://pbs.twimg.com/profile_images/1067039778795937797/PnnLGTU4_normal.jpg</v>
      </c>
      <c r="AW4060" s="82" t="s">
        <v>15631</v>
      </c>
      <c r="AX4060" s="82" t="s">
        <v>15631</v>
      </c>
      <c r="AY4060" s="77"/>
      <c r="AZ4060" s="82" t="s">
        <v>15984</v>
      </c>
      <c r="BA4060" s="82" t="s">
        <v>15984</v>
      </c>
      <c r="BB4060" s="82" t="s">
        <v>15984</v>
      </c>
      <c r="BC4060" s="82" t="s">
        <v>15631</v>
      </c>
      <c r="BD4060" s="77">
        <v>2578778256</v>
      </c>
      <c r="BE4060" s="77"/>
      <c r="BF4060" s="77"/>
      <c r="BG4060" s="77"/>
      <c r="BH4060" s="77"/>
      <c r="BI4060" s="77"/>
    </row>
    <row r="4061" spans="1:61" x14ac:dyDescent="0.25">
      <c r="A4061" s="62" t="s">
        <v>735</v>
      </c>
      <c r="B4061" s="62" t="s">
        <v>735</v>
      </c>
      <c r="C4061" s="63"/>
      <c r="D4061" s="64"/>
      <c r="E4061" s="65"/>
      <c r="F4061" s="66"/>
      <c r="G4061" s="63"/>
      <c r="H4061" s="67"/>
      <c r="I4061" s="68"/>
      <c r="J4061" s="68"/>
      <c r="K4061" s="32"/>
      <c r="L4061" s="75">
        <v>4061</v>
      </c>
      <c r="M4061" s="75"/>
      <c r="N4061" s="70"/>
      <c r="O4061" s="77" t="s">
        <v>179</v>
      </c>
      <c r="P4061" s="79">
        <v>45127.763749999998</v>
      </c>
      <c r="Q4061" s="77" t="s">
        <v>4703</v>
      </c>
      <c r="R4061" s="77">
        <v>0</v>
      </c>
      <c r="S4061" s="77">
        <v>0</v>
      </c>
      <c r="T4061" s="77">
        <v>0</v>
      </c>
      <c r="U4061" s="77">
        <v>0</v>
      </c>
      <c r="V4061" s="77">
        <v>256</v>
      </c>
      <c r="W4061" s="82" t="s">
        <v>6410</v>
      </c>
      <c r="X4061" s="77"/>
      <c r="Y4061" s="77"/>
      <c r="Z4061" s="77"/>
      <c r="AA4061" s="77"/>
      <c r="AB4061" s="77"/>
      <c r="AC4061" s="82" t="s">
        <v>7787</v>
      </c>
      <c r="AD4061" s="77" t="s">
        <v>7788</v>
      </c>
      <c r="AE4061" s="80" t="str">
        <f>HYPERLINK("https://twitter.com/modalmais/status/1682092961096409092")</f>
        <v>https://twitter.com/modalmais/status/1682092961096409092</v>
      </c>
      <c r="AF4061" s="79">
        <v>45127.763749999998</v>
      </c>
      <c r="AG4061" s="85">
        <v>45127</v>
      </c>
      <c r="AH4061" s="82" t="s">
        <v>10463</v>
      </c>
      <c r="AI4061" s="77"/>
      <c r="AJ4061" s="77"/>
      <c r="AK4061" s="77"/>
      <c r="AL4061" s="77"/>
      <c r="AM4061" s="77"/>
      <c r="AN4061" s="77"/>
      <c r="AO4061" s="77"/>
      <c r="AP4061" s="77"/>
      <c r="AQ4061" s="77"/>
      <c r="AR4061" s="77"/>
      <c r="AS4061" s="77"/>
      <c r="AT4061" s="77"/>
      <c r="AU4061" s="77"/>
      <c r="AV4061" s="80" t="str">
        <f>HYPERLINK("https://pbs.twimg.com/profile_images/1067039778795937797/PnnLGTU4_normal.jpg")</f>
        <v>https://pbs.twimg.com/profile_images/1067039778795937797/PnnLGTU4_normal.jpg</v>
      </c>
      <c r="AW4061" s="82" t="s">
        <v>15632</v>
      </c>
      <c r="AX4061" s="82" t="s">
        <v>15632</v>
      </c>
      <c r="AY4061" s="77"/>
      <c r="AZ4061" s="82" t="s">
        <v>15984</v>
      </c>
      <c r="BA4061" s="82" t="s">
        <v>15984</v>
      </c>
      <c r="BB4061" s="82" t="s">
        <v>15984</v>
      </c>
      <c r="BC4061" s="82" t="s">
        <v>15632</v>
      </c>
      <c r="BD4061" s="77">
        <v>2578778256</v>
      </c>
      <c r="BE4061" s="77"/>
      <c r="BF4061" s="77"/>
      <c r="BG4061" s="77"/>
      <c r="BH4061" s="77"/>
      <c r="BI4061" s="77"/>
    </row>
    <row r="4062" spans="1:61" x14ac:dyDescent="0.25">
      <c r="A4062" s="62" t="s">
        <v>735</v>
      </c>
      <c r="B4062" s="62" t="s">
        <v>735</v>
      </c>
      <c r="C4062" s="63"/>
      <c r="D4062" s="64"/>
      <c r="E4062" s="65"/>
      <c r="F4062" s="66"/>
      <c r="G4062" s="63"/>
      <c r="H4062" s="67"/>
      <c r="I4062" s="68"/>
      <c r="J4062" s="68"/>
      <c r="K4062" s="32"/>
      <c r="L4062" s="75">
        <v>4062</v>
      </c>
      <c r="M4062" s="75"/>
      <c r="N4062" s="70"/>
      <c r="O4062" s="77" t="s">
        <v>179</v>
      </c>
      <c r="P4062" s="79">
        <v>45127.763333333336</v>
      </c>
      <c r="Q4062" s="77" t="s">
        <v>4704</v>
      </c>
      <c r="R4062" s="77">
        <v>0</v>
      </c>
      <c r="S4062" s="77">
        <v>0</v>
      </c>
      <c r="T4062" s="77">
        <v>0</v>
      </c>
      <c r="U4062" s="77">
        <v>0</v>
      </c>
      <c r="V4062" s="77">
        <v>561</v>
      </c>
      <c r="W4062" s="82" t="s">
        <v>6410</v>
      </c>
      <c r="X4062" s="77"/>
      <c r="Y4062" s="77"/>
      <c r="Z4062" s="77"/>
      <c r="AA4062" s="77"/>
      <c r="AB4062" s="77"/>
      <c r="AC4062" s="82" t="s">
        <v>7787</v>
      </c>
      <c r="AD4062" s="77" t="s">
        <v>7788</v>
      </c>
      <c r="AE4062" s="80" t="str">
        <f>HYPERLINK("https://twitter.com/modalmais/status/1682092810810302465")</f>
        <v>https://twitter.com/modalmais/status/1682092810810302465</v>
      </c>
      <c r="AF4062" s="79">
        <v>45127.763333333336</v>
      </c>
      <c r="AG4062" s="85">
        <v>45127</v>
      </c>
      <c r="AH4062" s="82" t="s">
        <v>10464</v>
      </c>
      <c r="AI4062" s="77"/>
      <c r="AJ4062" s="77"/>
      <c r="AK4062" s="77"/>
      <c r="AL4062" s="77"/>
      <c r="AM4062" s="77"/>
      <c r="AN4062" s="77"/>
      <c r="AO4062" s="77"/>
      <c r="AP4062" s="77"/>
      <c r="AQ4062" s="77"/>
      <c r="AR4062" s="77"/>
      <c r="AS4062" s="77"/>
      <c r="AT4062" s="77"/>
      <c r="AU4062" s="77"/>
      <c r="AV4062" s="80" t="str">
        <f>HYPERLINK("https://pbs.twimg.com/profile_images/1067039778795937797/PnnLGTU4_normal.jpg")</f>
        <v>https://pbs.twimg.com/profile_images/1067039778795937797/PnnLGTU4_normal.jpg</v>
      </c>
      <c r="AW4062" s="82" t="s">
        <v>15633</v>
      </c>
      <c r="AX4062" s="82" t="s">
        <v>15633</v>
      </c>
      <c r="AY4062" s="77"/>
      <c r="AZ4062" s="82" t="s">
        <v>15984</v>
      </c>
      <c r="BA4062" s="82" t="s">
        <v>15984</v>
      </c>
      <c r="BB4062" s="82" t="s">
        <v>15984</v>
      </c>
      <c r="BC4062" s="82" t="s">
        <v>15633</v>
      </c>
      <c r="BD4062" s="77">
        <v>2578778256</v>
      </c>
      <c r="BE4062" s="77"/>
      <c r="BF4062" s="77"/>
      <c r="BG4062" s="77"/>
      <c r="BH4062" s="77"/>
      <c r="BI4062" s="77"/>
    </row>
    <row r="4063" spans="1:61" x14ac:dyDescent="0.25">
      <c r="A4063" s="62" t="s">
        <v>735</v>
      </c>
      <c r="B4063" s="62" t="s">
        <v>735</v>
      </c>
      <c r="C4063" s="63"/>
      <c r="D4063" s="64"/>
      <c r="E4063" s="65"/>
      <c r="F4063" s="66"/>
      <c r="G4063" s="63"/>
      <c r="H4063" s="67"/>
      <c r="I4063" s="68"/>
      <c r="J4063" s="68"/>
      <c r="K4063" s="32"/>
      <c r="L4063" s="75">
        <v>4063</v>
      </c>
      <c r="M4063" s="75"/>
      <c r="N4063" s="70"/>
      <c r="O4063" s="77" t="s">
        <v>179</v>
      </c>
      <c r="P4063" s="79">
        <v>45127.762928240743</v>
      </c>
      <c r="Q4063" s="77" t="s">
        <v>4705</v>
      </c>
      <c r="R4063" s="77">
        <v>0</v>
      </c>
      <c r="S4063" s="77">
        <v>0</v>
      </c>
      <c r="T4063" s="77">
        <v>0</v>
      </c>
      <c r="U4063" s="77">
        <v>0</v>
      </c>
      <c r="V4063" s="77">
        <v>260</v>
      </c>
      <c r="W4063" s="82" t="s">
        <v>6410</v>
      </c>
      <c r="X4063" s="77"/>
      <c r="Y4063" s="77"/>
      <c r="Z4063" s="77"/>
      <c r="AA4063" s="77"/>
      <c r="AB4063" s="77"/>
      <c r="AC4063" s="82" t="s">
        <v>7787</v>
      </c>
      <c r="AD4063" s="77" t="s">
        <v>7788</v>
      </c>
      <c r="AE4063" s="80" t="str">
        <f>HYPERLINK("https://twitter.com/modalmais/status/1682092662478761984")</f>
        <v>https://twitter.com/modalmais/status/1682092662478761984</v>
      </c>
      <c r="AF4063" s="79">
        <v>45127.762928240743</v>
      </c>
      <c r="AG4063" s="85">
        <v>45127</v>
      </c>
      <c r="AH4063" s="82" t="s">
        <v>10465</v>
      </c>
      <c r="AI4063" s="77"/>
      <c r="AJ4063" s="77"/>
      <c r="AK4063" s="77"/>
      <c r="AL4063" s="77"/>
      <c r="AM4063" s="77"/>
      <c r="AN4063" s="77"/>
      <c r="AO4063" s="77"/>
      <c r="AP4063" s="77"/>
      <c r="AQ4063" s="77"/>
      <c r="AR4063" s="77"/>
      <c r="AS4063" s="77"/>
      <c r="AT4063" s="77"/>
      <c r="AU4063" s="77"/>
      <c r="AV4063" s="80" t="str">
        <f>HYPERLINK("https://pbs.twimg.com/profile_images/1067039778795937797/PnnLGTU4_normal.jpg")</f>
        <v>https://pbs.twimg.com/profile_images/1067039778795937797/PnnLGTU4_normal.jpg</v>
      </c>
      <c r="AW4063" s="82" t="s">
        <v>15634</v>
      </c>
      <c r="AX4063" s="82" t="s">
        <v>15634</v>
      </c>
      <c r="AY4063" s="77"/>
      <c r="AZ4063" s="82" t="s">
        <v>15984</v>
      </c>
      <c r="BA4063" s="82" t="s">
        <v>15984</v>
      </c>
      <c r="BB4063" s="82" t="s">
        <v>15984</v>
      </c>
      <c r="BC4063" s="82" t="s">
        <v>15634</v>
      </c>
      <c r="BD4063" s="77">
        <v>2578778256</v>
      </c>
      <c r="BE4063" s="77"/>
      <c r="BF4063" s="77"/>
      <c r="BG4063" s="77"/>
      <c r="BH4063" s="77"/>
      <c r="BI4063" s="77"/>
    </row>
    <row r="4064" spans="1:61" x14ac:dyDescent="0.25">
      <c r="A4064" s="62" t="s">
        <v>735</v>
      </c>
      <c r="B4064" s="62" t="s">
        <v>735</v>
      </c>
      <c r="C4064" s="63"/>
      <c r="D4064" s="64"/>
      <c r="E4064" s="65"/>
      <c r="F4064" s="66"/>
      <c r="G4064" s="63"/>
      <c r="H4064" s="67"/>
      <c r="I4064" s="68"/>
      <c r="J4064" s="68"/>
      <c r="K4064" s="32"/>
      <c r="L4064" s="75">
        <v>4064</v>
      </c>
      <c r="M4064" s="75"/>
      <c r="N4064" s="70"/>
      <c r="O4064" s="77" t="s">
        <v>179</v>
      </c>
      <c r="P4064" s="79">
        <v>45127.697638888887</v>
      </c>
      <c r="Q4064" s="77" t="s">
        <v>4706</v>
      </c>
      <c r="R4064" s="77">
        <v>0</v>
      </c>
      <c r="S4064" s="77">
        <v>2</v>
      </c>
      <c r="T4064" s="77">
        <v>0</v>
      </c>
      <c r="U4064" s="77">
        <v>0</v>
      </c>
      <c r="V4064" s="77">
        <v>270</v>
      </c>
      <c r="W4064" s="82" t="s">
        <v>6410</v>
      </c>
      <c r="X4064" s="77"/>
      <c r="Y4064" s="77"/>
      <c r="Z4064" s="77"/>
      <c r="AA4064" s="77"/>
      <c r="AB4064" s="77"/>
      <c r="AC4064" s="82" t="s">
        <v>7787</v>
      </c>
      <c r="AD4064" s="77" t="s">
        <v>7790</v>
      </c>
      <c r="AE4064" s="80" t="str">
        <f>HYPERLINK("https://twitter.com/modalmais/status/1682069001860534272")</f>
        <v>https://twitter.com/modalmais/status/1682069001860534272</v>
      </c>
      <c r="AF4064" s="79">
        <v>45127.697638888887</v>
      </c>
      <c r="AG4064" s="85">
        <v>45127</v>
      </c>
      <c r="AH4064" s="82" t="s">
        <v>10466</v>
      </c>
      <c r="AI4064" s="77"/>
      <c r="AJ4064" s="77"/>
      <c r="AK4064" s="77"/>
      <c r="AL4064" s="77"/>
      <c r="AM4064" s="77"/>
      <c r="AN4064" s="77"/>
      <c r="AO4064" s="77"/>
      <c r="AP4064" s="77"/>
      <c r="AQ4064" s="77"/>
      <c r="AR4064" s="77"/>
      <c r="AS4064" s="77"/>
      <c r="AT4064" s="77"/>
      <c r="AU4064" s="77"/>
      <c r="AV4064" s="80" t="str">
        <f>HYPERLINK("https://pbs.twimg.com/profile_images/1067039778795937797/PnnLGTU4_normal.jpg")</f>
        <v>https://pbs.twimg.com/profile_images/1067039778795937797/PnnLGTU4_normal.jpg</v>
      </c>
      <c r="AW4064" s="82" t="s">
        <v>15635</v>
      </c>
      <c r="AX4064" s="82" t="s">
        <v>15635</v>
      </c>
      <c r="AY4064" s="77"/>
      <c r="AZ4064" s="82" t="s">
        <v>15984</v>
      </c>
      <c r="BA4064" s="82" t="s">
        <v>15984</v>
      </c>
      <c r="BB4064" s="82" t="s">
        <v>15984</v>
      </c>
      <c r="BC4064" s="82" t="s">
        <v>15635</v>
      </c>
      <c r="BD4064" s="77">
        <v>2578778256</v>
      </c>
      <c r="BE4064" s="77"/>
      <c r="BF4064" s="77"/>
      <c r="BG4064" s="77"/>
      <c r="BH4064" s="77"/>
      <c r="BI4064" s="77"/>
    </row>
    <row r="4065" spans="1:61" x14ac:dyDescent="0.25">
      <c r="A4065" s="62" t="s">
        <v>735</v>
      </c>
      <c r="B4065" s="62" t="s">
        <v>735</v>
      </c>
      <c r="C4065" s="63"/>
      <c r="D4065" s="64"/>
      <c r="E4065" s="65"/>
      <c r="F4065" s="66"/>
      <c r="G4065" s="63"/>
      <c r="H4065" s="67"/>
      <c r="I4065" s="68"/>
      <c r="J4065" s="68"/>
      <c r="K4065" s="32"/>
      <c r="L4065" s="75">
        <v>4065</v>
      </c>
      <c r="M4065" s="75"/>
      <c r="N4065" s="70"/>
      <c r="O4065" s="77" t="s">
        <v>179</v>
      </c>
      <c r="P4065" s="79">
        <v>45127.694872685184</v>
      </c>
      <c r="Q4065" s="77" t="s">
        <v>4707</v>
      </c>
      <c r="R4065" s="77">
        <v>0</v>
      </c>
      <c r="S4065" s="77">
        <v>2</v>
      </c>
      <c r="T4065" s="77">
        <v>1</v>
      </c>
      <c r="U4065" s="77">
        <v>0</v>
      </c>
      <c r="V4065" s="77">
        <v>341</v>
      </c>
      <c r="W4065" s="82" t="s">
        <v>6410</v>
      </c>
      <c r="X4065" s="77"/>
      <c r="Y4065" s="77"/>
      <c r="Z4065" s="77"/>
      <c r="AA4065" s="77"/>
      <c r="AB4065" s="77"/>
      <c r="AC4065" s="82" t="s">
        <v>7787</v>
      </c>
      <c r="AD4065" s="77" t="s">
        <v>7788</v>
      </c>
      <c r="AE4065" s="80" t="str">
        <f>HYPERLINK("https://twitter.com/modalmais/status/1682068003138011136")</f>
        <v>https://twitter.com/modalmais/status/1682068003138011136</v>
      </c>
      <c r="AF4065" s="79">
        <v>45127.694872685184</v>
      </c>
      <c r="AG4065" s="85">
        <v>45127</v>
      </c>
      <c r="AH4065" s="82" t="s">
        <v>10467</v>
      </c>
      <c r="AI4065" s="77"/>
      <c r="AJ4065" s="77"/>
      <c r="AK4065" s="77"/>
      <c r="AL4065" s="77"/>
      <c r="AM4065" s="77"/>
      <c r="AN4065" s="77"/>
      <c r="AO4065" s="77"/>
      <c r="AP4065" s="77"/>
      <c r="AQ4065" s="77"/>
      <c r="AR4065" s="77"/>
      <c r="AS4065" s="77"/>
      <c r="AT4065" s="77"/>
      <c r="AU4065" s="77"/>
      <c r="AV4065" s="80" t="str">
        <f>HYPERLINK("https://pbs.twimg.com/profile_images/1067039778795937797/PnnLGTU4_normal.jpg")</f>
        <v>https://pbs.twimg.com/profile_images/1067039778795937797/PnnLGTU4_normal.jpg</v>
      </c>
      <c r="AW4065" s="82" t="s">
        <v>15636</v>
      </c>
      <c r="AX4065" s="82" t="s">
        <v>15636</v>
      </c>
      <c r="AY4065" s="77"/>
      <c r="AZ4065" s="82" t="s">
        <v>15984</v>
      </c>
      <c r="BA4065" s="82" t="s">
        <v>15984</v>
      </c>
      <c r="BB4065" s="82" t="s">
        <v>15984</v>
      </c>
      <c r="BC4065" s="82" t="s">
        <v>15636</v>
      </c>
      <c r="BD4065" s="77">
        <v>2578778256</v>
      </c>
      <c r="BE4065" s="77"/>
      <c r="BF4065" s="77"/>
      <c r="BG4065" s="77"/>
      <c r="BH4065" s="77"/>
      <c r="BI4065" s="77"/>
    </row>
    <row r="4066" spans="1:61" x14ac:dyDescent="0.25">
      <c r="A4066" s="62" t="s">
        <v>735</v>
      </c>
      <c r="B4066" s="62" t="s">
        <v>735</v>
      </c>
      <c r="C4066" s="63"/>
      <c r="D4066" s="64"/>
      <c r="E4066" s="65"/>
      <c r="F4066" s="66"/>
      <c r="G4066" s="63"/>
      <c r="H4066" s="67"/>
      <c r="I4066" s="68"/>
      <c r="J4066" s="68"/>
      <c r="K4066" s="32"/>
      <c r="L4066" s="75">
        <v>4066</v>
      </c>
      <c r="M4066" s="75"/>
      <c r="N4066" s="70"/>
      <c r="O4066" s="77" t="s">
        <v>179</v>
      </c>
      <c r="P4066" s="79">
        <v>45127.616226851853</v>
      </c>
      <c r="Q4066" s="77" t="s">
        <v>4708</v>
      </c>
      <c r="R4066" s="77">
        <v>0</v>
      </c>
      <c r="S4066" s="77">
        <v>0</v>
      </c>
      <c r="T4066" s="77">
        <v>0</v>
      </c>
      <c r="U4066" s="77">
        <v>0</v>
      </c>
      <c r="V4066" s="77">
        <v>281</v>
      </c>
      <c r="W4066" s="82" t="s">
        <v>6410</v>
      </c>
      <c r="X4066" s="77"/>
      <c r="Y4066" s="77"/>
      <c r="Z4066" s="77"/>
      <c r="AA4066" s="77"/>
      <c r="AB4066" s="77"/>
      <c r="AC4066" s="82" t="s">
        <v>7787</v>
      </c>
      <c r="AD4066" s="77" t="s">
        <v>7788</v>
      </c>
      <c r="AE4066" s="80" t="str">
        <f>HYPERLINK("https://twitter.com/modalmais/status/1682039503001878528")</f>
        <v>https://twitter.com/modalmais/status/1682039503001878528</v>
      </c>
      <c r="AF4066" s="79">
        <v>45127.616226851853</v>
      </c>
      <c r="AG4066" s="85">
        <v>45127</v>
      </c>
      <c r="AH4066" s="82" t="s">
        <v>10468</v>
      </c>
      <c r="AI4066" s="77"/>
      <c r="AJ4066" s="77"/>
      <c r="AK4066" s="77"/>
      <c r="AL4066" s="77"/>
      <c r="AM4066" s="77"/>
      <c r="AN4066" s="77"/>
      <c r="AO4066" s="77"/>
      <c r="AP4066" s="77"/>
      <c r="AQ4066" s="77"/>
      <c r="AR4066" s="77"/>
      <c r="AS4066" s="77"/>
      <c r="AT4066" s="77"/>
      <c r="AU4066" s="77"/>
      <c r="AV4066" s="80" t="str">
        <f>HYPERLINK("https://pbs.twimg.com/profile_images/1067039778795937797/PnnLGTU4_normal.jpg")</f>
        <v>https://pbs.twimg.com/profile_images/1067039778795937797/PnnLGTU4_normal.jpg</v>
      </c>
      <c r="AW4066" s="82" t="s">
        <v>15637</v>
      </c>
      <c r="AX4066" s="82" t="s">
        <v>15637</v>
      </c>
      <c r="AY4066" s="77"/>
      <c r="AZ4066" s="82" t="s">
        <v>15984</v>
      </c>
      <c r="BA4066" s="82" t="s">
        <v>15984</v>
      </c>
      <c r="BB4066" s="82" t="s">
        <v>15984</v>
      </c>
      <c r="BC4066" s="82" t="s">
        <v>15637</v>
      </c>
      <c r="BD4066" s="77">
        <v>2578778256</v>
      </c>
      <c r="BE4066" s="77"/>
      <c r="BF4066" s="77"/>
      <c r="BG4066" s="77"/>
      <c r="BH4066" s="77"/>
      <c r="BI4066" s="77"/>
    </row>
    <row r="4067" spans="1:61" x14ac:dyDescent="0.25">
      <c r="A4067" s="62" t="s">
        <v>735</v>
      </c>
      <c r="B4067" s="62" t="s">
        <v>735</v>
      </c>
      <c r="C4067" s="63"/>
      <c r="D4067" s="64"/>
      <c r="E4067" s="65"/>
      <c r="F4067" s="66"/>
      <c r="G4067" s="63"/>
      <c r="H4067" s="67"/>
      <c r="I4067" s="68"/>
      <c r="J4067" s="68"/>
      <c r="K4067" s="32"/>
      <c r="L4067" s="75">
        <v>4067</v>
      </c>
      <c r="M4067" s="75"/>
      <c r="N4067" s="70"/>
      <c r="O4067" s="77" t="s">
        <v>179</v>
      </c>
      <c r="P4067" s="79">
        <v>45127.615613425929</v>
      </c>
      <c r="Q4067" s="77" t="s">
        <v>4709</v>
      </c>
      <c r="R4067" s="77">
        <v>0</v>
      </c>
      <c r="S4067" s="77">
        <v>0</v>
      </c>
      <c r="T4067" s="77">
        <v>0</v>
      </c>
      <c r="U4067" s="77">
        <v>0</v>
      </c>
      <c r="V4067" s="77">
        <v>283</v>
      </c>
      <c r="W4067" s="82" t="s">
        <v>6410</v>
      </c>
      <c r="X4067" s="77"/>
      <c r="Y4067" s="77"/>
      <c r="Z4067" s="77"/>
      <c r="AA4067" s="77"/>
      <c r="AB4067" s="77"/>
      <c r="AC4067" s="82" t="s">
        <v>7787</v>
      </c>
      <c r="AD4067" s="77" t="s">
        <v>7788</v>
      </c>
      <c r="AE4067" s="80" t="str">
        <f>HYPERLINK("https://twitter.com/modalmais/status/1682039280687001600")</f>
        <v>https://twitter.com/modalmais/status/1682039280687001600</v>
      </c>
      <c r="AF4067" s="79">
        <v>45127.615613425929</v>
      </c>
      <c r="AG4067" s="85">
        <v>45127</v>
      </c>
      <c r="AH4067" s="82" t="s">
        <v>10469</v>
      </c>
      <c r="AI4067" s="77"/>
      <c r="AJ4067" s="77"/>
      <c r="AK4067" s="77"/>
      <c r="AL4067" s="77"/>
      <c r="AM4067" s="77"/>
      <c r="AN4067" s="77"/>
      <c r="AO4067" s="77"/>
      <c r="AP4067" s="77"/>
      <c r="AQ4067" s="77"/>
      <c r="AR4067" s="77"/>
      <c r="AS4067" s="77"/>
      <c r="AT4067" s="77"/>
      <c r="AU4067" s="77"/>
      <c r="AV4067" s="80" t="str">
        <f>HYPERLINK("https://pbs.twimg.com/profile_images/1067039778795937797/PnnLGTU4_normal.jpg")</f>
        <v>https://pbs.twimg.com/profile_images/1067039778795937797/PnnLGTU4_normal.jpg</v>
      </c>
      <c r="AW4067" s="82" t="s">
        <v>15638</v>
      </c>
      <c r="AX4067" s="82" t="s">
        <v>15638</v>
      </c>
      <c r="AY4067" s="77"/>
      <c r="AZ4067" s="82" t="s">
        <v>15984</v>
      </c>
      <c r="BA4067" s="82" t="s">
        <v>15984</v>
      </c>
      <c r="BB4067" s="82" t="s">
        <v>15984</v>
      </c>
      <c r="BC4067" s="82" t="s">
        <v>15638</v>
      </c>
      <c r="BD4067" s="77">
        <v>2578778256</v>
      </c>
      <c r="BE4067" s="77"/>
      <c r="BF4067" s="77"/>
      <c r="BG4067" s="77"/>
      <c r="BH4067" s="77"/>
      <c r="BI4067" s="77"/>
    </row>
    <row r="4068" spans="1:61" x14ac:dyDescent="0.25">
      <c r="A4068" s="62" t="s">
        <v>735</v>
      </c>
      <c r="B4068" s="62" t="s">
        <v>735</v>
      </c>
      <c r="C4068" s="63"/>
      <c r="D4068" s="64"/>
      <c r="E4068" s="65"/>
      <c r="F4068" s="66"/>
      <c r="G4068" s="63"/>
      <c r="H4068" s="67"/>
      <c r="I4068" s="68"/>
      <c r="J4068" s="68"/>
      <c r="K4068" s="32"/>
      <c r="L4068" s="75">
        <v>4068</v>
      </c>
      <c r="M4068" s="75"/>
      <c r="N4068" s="70"/>
      <c r="O4068" s="77" t="s">
        <v>179</v>
      </c>
      <c r="P4068" s="79">
        <v>45127.615300925929</v>
      </c>
      <c r="Q4068" s="77" t="s">
        <v>4710</v>
      </c>
      <c r="R4068" s="77">
        <v>0</v>
      </c>
      <c r="S4068" s="77">
        <v>2</v>
      </c>
      <c r="T4068" s="77">
        <v>0</v>
      </c>
      <c r="U4068" s="77">
        <v>0</v>
      </c>
      <c r="V4068" s="77">
        <v>288</v>
      </c>
      <c r="W4068" s="82" t="s">
        <v>6410</v>
      </c>
      <c r="X4068" s="77"/>
      <c r="Y4068" s="77"/>
      <c r="Z4068" s="77"/>
      <c r="AA4068" s="77"/>
      <c r="AB4068" s="77"/>
      <c r="AC4068" s="82" t="s">
        <v>7787</v>
      </c>
      <c r="AD4068" s="77" t="s">
        <v>7788</v>
      </c>
      <c r="AE4068" s="80" t="str">
        <f>HYPERLINK("https://twitter.com/modalmais/status/1682039166341873665")</f>
        <v>https://twitter.com/modalmais/status/1682039166341873665</v>
      </c>
      <c r="AF4068" s="79">
        <v>45127.615300925929</v>
      </c>
      <c r="AG4068" s="85">
        <v>45127</v>
      </c>
      <c r="AH4068" s="82" t="s">
        <v>10470</v>
      </c>
      <c r="AI4068" s="77"/>
      <c r="AJ4068" s="77"/>
      <c r="AK4068" s="77"/>
      <c r="AL4068" s="77"/>
      <c r="AM4068" s="77"/>
      <c r="AN4068" s="77"/>
      <c r="AO4068" s="77"/>
      <c r="AP4068" s="77"/>
      <c r="AQ4068" s="77"/>
      <c r="AR4068" s="77"/>
      <c r="AS4068" s="77"/>
      <c r="AT4068" s="77"/>
      <c r="AU4068" s="77"/>
      <c r="AV4068" s="80" t="str">
        <f>HYPERLINK("https://pbs.twimg.com/profile_images/1067039778795937797/PnnLGTU4_normal.jpg")</f>
        <v>https://pbs.twimg.com/profile_images/1067039778795937797/PnnLGTU4_normal.jpg</v>
      </c>
      <c r="AW4068" s="82" t="s">
        <v>15639</v>
      </c>
      <c r="AX4068" s="82" t="s">
        <v>15639</v>
      </c>
      <c r="AY4068" s="77"/>
      <c r="AZ4068" s="82" t="s">
        <v>15984</v>
      </c>
      <c r="BA4068" s="82" t="s">
        <v>15984</v>
      </c>
      <c r="BB4068" s="82" t="s">
        <v>15984</v>
      </c>
      <c r="BC4068" s="82" t="s">
        <v>15639</v>
      </c>
      <c r="BD4068" s="77">
        <v>2578778256</v>
      </c>
      <c r="BE4068" s="77"/>
      <c r="BF4068" s="77"/>
      <c r="BG4068" s="77"/>
      <c r="BH4068" s="77"/>
      <c r="BI4068" s="77"/>
    </row>
    <row r="4069" spans="1:61" x14ac:dyDescent="0.25">
      <c r="A4069" s="62" t="s">
        <v>735</v>
      </c>
      <c r="B4069" s="62" t="s">
        <v>735</v>
      </c>
      <c r="C4069" s="63"/>
      <c r="D4069" s="64"/>
      <c r="E4069" s="65"/>
      <c r="F4069" s="66"/>
      <c r="G4069" s="63"/>
      <c r="H4069" s="67"/>
      <c r="I4069" s="68"/>
      <c r="J4069" s="68"/>
      <c r="K4069" s="32"/>
      <c r="L4069" s="75">
        <v>4069</v>
      </c>
      <c r="M4069" s="75"/>
      <c r="N4069" s="70"/>
      <c r="O4069" s="77" t="s">
        <v>179</v>
      </c>
      <c r="P4069" s="79">
        <v>45191.541527777779</v>
      </c>
      <c r="Q4069" s="77" t="s">
        <v>4711</v>
      </c>
      <c r="R4069" s="77">
        <v>0</v>
      </c>
      <c r="S4069" s="77">
        <v>0</v>
      </c>
      <c r="T4069" s="77">
        <v>0</v>
      </c>
      <c r="U4069" s="77">
        <v>0</v>
      </c>
      <c r="V4069" s="77">
        <v>266</v>
      </c>
      <c r="W4069" s="82" t="s">
        <v>6434</v>
      </c>
      <c r="X4069" s="80" t="str">
        <f>HYPERLINK("https://www.youtube.com/watch?v=gWPP2ymrBlc")</f>
        <v>https://www.youtube.com/watch?v=gWPP2ymrBlc</v>
      </c>
      <c r="Y4069" s="77" t="s">
        <v>6480</v>
      </c>
      <c r="Z4069" s="77"/>
      <c r="AA4069" s="77"/>
      <c r="AB4069" s="77"/>
      <c r="AC4069" s="82" t="s">
        <v>7787</v>
      </c>
      <c r="AD4069" s="77" t="s">
        <v>7788</v>
      </c>
      <c r="AE4069" s="80" t="str">
        <f>HYPERLINK("https://twitter.com/modalmais/status/1705205254285844553")</f>
        <v>https://twitter.com/modalmais/status/1705205254285844553</v>
      </c>
      <c r="AF4069" s="79">
        <v>45191.541527777779</v>
      </c>
      <c r="AG4069" s="85">
        <v>45191</v>
      </c>
      <c r="AH4069" s="82" t="s">
        <v>10471</v>
      </c>
      <c r="AI4069" s="77" t="b">
        <v>0</v>
      </c>
      <c r="AJ4069" s="77"/>
      <c r="AK4069" s="77"/>
      <c r="AL4069" s="77"/>
      <c r="AM4069" s="77"/>
      <c r="AN4069" s="77"/>
      <c r="AO4069" s="77"/>
      <c r="AP4069" s="77"/>
      <c r="AQ4069" s="77"/>
      <c r="AR4069" s="77"/>
      <c r="AS4069" s="77"/>
      <c r="AT4069" s="77"/>
      <c r="AU4069" s="77"/>
      <c r="AV4069" s="80" t="str">
        <f>HYPERLINK("https://pbs.twimg.com/profile_images/1067039778795937797/PnnLGTU4_normal.jpg")</f>
        <v>https://pbs.twimg.com/profile_images/1067039778795937797/PnnLGTU4_normal.jpg</v>
      </c>
      <c r="AW4069" s="82" t="s">
        <v>15640</v>
      </c>
      <c r="AX4069" s="82" t="s">
        <v>15640</v>
      </c>
      <c r="AY4069" s="77"/>
      <c r="AZ4069" s="82" t="s">
        <v>15984</v>
      </c>
      <c r="BA4069" s="82" t="s">
        <v>15984</v>
      </c>
      <c r="BB4069" s="82" t="s">
        <v>15984</v>
      </c>
      <c r="BC4069" s="82" t="s">
        <v>15640</v>
      </c>
      <c r="BD4069" s="77">
        <v>2578778256</v>
      </c>
      <c r="BE4069" s="77"/>
      <c r="BF4069" s="77"/>
      <c r="BG4069" s="77"/>
      <c r="BH4069" s="77"/>
      <c r="BI4069" s="77"/>
    </row>
    <row r="4070" spans="1:61" x14ac:dyDescent="0.25">
      <c r="A4070" s="62" t="s">
        <v>735</v>
      </c>
      <c r="B4070" s="62" t="s">
        <v>735</v>
      </c>
      <c r="C4070" s="63"/>
      <c r="D4070" s="64"/>
      <c r="E4070" s="65"/>
      <c r="F4070" s="66"/>
      <c r="G4070" s="63"/>
      <c r="H4070" s="67"/>
      <c r="I4070" s="68"/>
      <c r="J4070" s="68"/>
      <c r="K4070" s="32"/>
      <c r="L4070" s="75">
        <v>4070</v>
      </c>
      <c r="M4070" s="75"/>
      <c r="N4070" s="70"/>
      <c r="O4070" s="77" t="s">
        <v>179</v>
      </c>
      <c r="P4070" s="79">
        <v>45191.54078703704</v>
      </c>
      <c r="Q4070" s="77" t="s">
        <v>4712</v>
      </c>
      <c r="R4070" s="77">
        <v>0</v>
      </c>
      <c r="S4070" s="77">
        <v>0</v>
      </c>
      <c r="T4070" s="77">
        <v>0</v>
      </c>
      <c r="U4070" s="77">
        <v>0</v>
      </c>
      <c r="V4070" s="77">
        <v>233</v>
      </c>
      <c r="W4070" s="82" t="s">
        <v>6434</v>
      </c>
      <c r="X4070" s="80" t="str">
        <f>HYPERLINK("https://www.youtube.com/watch?v=KSsbQTTHFmE")</f>
        <v>https://www.youtube.com/watch?v=KSsbQTTHFmE</v>
      </c>
      <c r="Y4070" s="77" t="s">
        <v>6480</v>
      </c>
      <c r="Z4070" s="77"/>
      <c r="AA4070" s="77"/>
      <c r="AB4070" s="77"/>
      <c r="AC4070" s="82" t="s">
        <v>7787</v>
      </c>
      <c r="AD4070" s="77" t="s">
        <v>7788</v>
      </c>
      <c r="AE4070" s="80" t="str">
        <f>HYPERLINK("https://twitter.com/modalmais/status/1705204985678426598")</f>
        <v>https://twitter.com/modalmais/status/1705204985678426598</v>
      </c>
      <c r="AF4070" s="79">
        <v>45191.54078703704</v>
      </c>
      <c r="AG4070" s="85">
        <v>45191</v>
      </c>
      <c r="AH4070" s="82" t="s">
        <v>10472</v>
      </c>
      <c r="AI4070" s="77" t="b">
        <v>0</v>
      </c>
      <c r="AJ4070" s="77"/>
      <c r="AK4070" s="77"/>
      <c r="AL4070" s="77"/>
      <c r="AM4070" s="77"/>
      <c r="AN4070" s="77"/>
      <c r="AO4070" s="77"/>
      <c r="AP4070" s="77"/>
      <c r="AQ4070" s="77"/>
      <c r="AR4070" s="77"/>
      <c r="AS4070" s="77"/>
      <c r="AT4070" s="77"/>
      <c r="AU4070" s="77"/>
      <c r="AV4070" s="80" t="str">
        <f>HYPERLINK("https://pbs.twimg.com/profile_images/1067039778795937797/PnnLGTU4_normal.jpg")</f>
        <v>https://pbs.twimg.com/profile_images/1067039778795937797/PnnLGTU4_normal.jpg</v>
      </c>
      <c r="AW4070" s="82" t="s">
        <v>15641</v>
      </c>
      <c r="AX4070" s="82" t="s">
        <v>15641</v>
      </c>
      <c r="AY4070" s="77"/>
      <c r="AZ4070" s="82" t="s">
        <v>15984</v>
      </c>
      <c r="BA4070" s="82" t="s">
        <v>15984</v>
      </c>
      <c r="BB4070" s="82" t="s">
        <v>15984</v>
      </c>
      <c r="BC4070" s="82" t="s">
        <v>15641</v>
      </c>
      <c r="BD4070" s="77">
        <v>2578778256</v>
      </c>
      <c r="BE4070" s="77"/>
      <c r="BF4070" s="77"/>
      <c r="BG4070" s="77"/>
      <c r="BH4070" s="77"/>
      <c r="BI4070" s="77"/>
    </row>
    <row r="4071" spans="1:61" x14ac:dyDescent="0.25">
      <c r="A4071" s="62" t="s">
        <v>735</v>
      </c>
      <c r="B4071" s="62" t="s">
        <v>735</v>
      </c>
      <c r="C4071" s="63"/>
      <c r="D4071" s="64"/>
      <c r="E4071" s="65"/>
      <c r="F4071" s="66"/>
      <c r="G4071" s="63"/>
      <c r="H4071" s="67"/>
      <c r="I4071" s="68"/>
      <c r="J4071" s="68"/>
      <c r="K4071" s="32"/>
      <c r="L4071" s="75">
        <v>4071</v>
      </c>
      <c r="M4071" s="75"/>
      <c r="N4071" s="70"/>
      <c r="O4071" s="77" t="s">
        <v>179</v>
      </c>
      <c r="P4071" s="79">
        <v>45180.552800925929</v>
      </c>
      <c r="Q4071" s="77" t="s">
        <v>4713</v>
      </c>
      <c r="R4071" s="77">
        <v>0</v>
      </c>
      <c r="S4071" s="77">
        <v>0</v>
      </c>
      <c r="T4071" s="77">
        <v>0</v>
      </c>
      <c r="U4071" s="77">
        <v>0</v>
      </c>
      <c r="V4071" s="77">
        <v>321</v>
      </c>
      <c r="W4071" s="82" t="s">
        <v>6424</v>
      </c>
      <c r="X4071" s="80" t="str">
        <f>HYPERLINK("https://www.youtube.com/watch?v=bgWftp0iznc")</f>
        <v>https://www.youtube.com/watch?v=bgWftp0iznc</v>
      </c>
      <c r="Y4071" s="77" t="s">
        <v>6480</v>
      </c>
      <c r="Z4071" s="77"/>
      <c r="AA4071" s="77"/>
      <c r="AB4071" s="77"/>
      <c r="AC4071" s="82" t="s">
        <v>7787</v>
      </c>
      <c r="AD4071" s="77" t="s">
        <v>7788</v>
      </c>
      <c r="AE4071" s="80" t="str">
        <f>HYPERLINK("https://twitter.com/modalmais/status/1701223072387244323")</f>
        <v>https://twitter.com/modalmais/status/1701223072387244323</v>
      </c>
      <c r="AF4071" s="79">
        <v>45180.552800925929</v>
      </c>
      <c r="AG4071" s="85">
        <v>45180</v>
      </c>
      <c r="AH4071" s="82" t="s">
        <v>8336</v>
      </c>
      <c r="AI4071" s="77" t="b">
        <v>0</v>
      </c>
      <c r="AJ4071" s="77"/>
      <c r="AK4071" s="77"/>
      <c r="AL4071" s="77"/>
      <c r="AM4071" s="77"/>
      <c r="AN4071" s="77"/>
      <c r="AO4071" s="77"/>
      <c r="AP4071" s="77"/>
      <c r="AQ4071" s="77"/>
      <c r="AR4071" s="77"/>
      <c r="AS4071" s="77"/>
      <c r="AT4071" s="77"/>
      <c r="AU4071" s="77"/>
      <c r="AV4071" s="80" t="str">
        <f>HYPERLINK("https://pbs.twimg.com/profile_images/1067039778795937797/PnnLGTU4_normal.jpg")</f>
        <v>https://pbs.twimg.com/profile_images/1067039778795937797/PnnLGTU4_normal.jpg</v>
      </c>
      <c r="AW4071" s="82" t="s">
        <v>15642</v>
      </c>
      <c r="AX4071" s="82" t="s">
        <v>15642</v>
      </c>
      <c r="AY4071" s="77"/>
      <c r="AZ4071" s="82" t="s">
        <v>15984</v>
      </c>
      <c r="BA4071" s="82" t="s">
        <v>15984</v>
      </c>
      <c r="BB4071" s="82" t="s">
        <v>15984</v>
      </c>
      <c r="BC4071" s="82" t="s">
        <v>15642</v>
      </c>
      <c r="BD4071" s="77">
        <v>2578778256</v>
      </c>
      <c r="BE4071" s="77"/>
      <c r="BF4071" s="77"/>
      <c r="BG4071" s="77"/>
      <c r="BH4071" s="77"/>
      <c r="BI4071" s="77"/>
    </row>
    <row r="4072" spans="1:61" x14ac:dyDescent="0.25">
      <c r="A4072" s="62" t="s">
        <v>735</v>
      </c>
      <c r="B4072" s="62" t="s">
        <v>735</v>
      </c>
      <c r="C4072" s="63"/>
      <c r="D4072" s="64"/>
      <c r="E4072" s="65"/>
      <c r="F4072" s="66"/>
      <c r="G4072" s="63"/>
      <c r="H4072" s="67"/>
      <c r="I4072" s="68"/>
      <c r="J4072" s="68"/>
      <c r="K4072" s="32"/>
      <c r="L4072" s="75">
        <v>4072</v>
      </c>
      <c r="M4072" s="75"/>
      <c r="N4072" s="70"/>
      <c r="O4072" s="77" t="s">
        <v>179</v>
      </c>
      <c r="P4072" s="79">
        <v>45180.552349537036</v>
      </c>
      <c r="Q4072" s="77" t="s">
        <v>4714</v>
      </c>
      <c r="R4072" s="77">
        <v>0</v>
      </c>
      <c r="S4072" s="77">
        <v>0</v>
      </c>
      <c r="T4072" s="77">
        <v>0</v>
      </c>
      <c r="U4072" s="77">
        <v>0</v>
      </c>
      <c r="V4072" s="77">
        <v>303</v>
      </c>
      <c r="W4072" s="82" t="s">
        <v>6424</v>
      </c>
      <c r="X4072" s="80" t="str">
        <f>HYPERLINK("https://www.youtube.com/watch?v=0lDO1A8-GSs")</f>
        <v>https://www.youtube.com/watch?v=0lDO1A8-GSs</v>
      </c>
      <c r="Y4072" s="77" t="s">
        <v>6480</v>
      </c>
      <c r="Z4072" s="77"/>
      <c r="AA4072" s="77"/>
      <c r="AB4072" s="77"/>
      <c r="AC4072" s="82" t="s">
        <v>7787</v>
      </c>
      <c r="AD4072" s="77" t="s">
        <v>7788</v>
      </c>
      <c r="AE4072" s="80" t="str">
        <f>HYPERLINK("https://twitter.com/modalmais/status/1701222910453592239")</f>
        <v>https://twitter.com/modalmais/status/1701222910453592239</v>
      </c>
      <c r="AF4072" s="79">
        <v>45180.552349537036</v>
      </c>
      <c r="AG4072" s="85">
        <v>45180</v>
      </c>
      <c r="AH4072" s="82" t="s">
        <v>10473</v>
      </c>
      <c r="AI4072" s="77" t="b">
        <v>0</v>
      </c>
      <c r="AJ4072" s="77"/>
      <c r="AK4072" s="77"/>
      <c r="AL4072" s="77"/>
      <c r="AM4072" s="77"/>
      <c r="AN4072" s="77"/>
      <c r="AO4072" s="77"/>
      <c r="AP4072" s="77"/>
      <c r="AQ4072" s="77"/>
      <c r="AR4072" s="77"/>
      <c r="AS4072" s="77"/>
      <c r="AT4072" s="77"/>
      <c r="AU4072" s="77"/>
      <c r="AV4072" s="80" t="str">
        <f>HYPERLINK("https://pbs.twimg.com/profile_images/1067039778795937797/PnnLGTU4_normal.jpg")</f>
        <v>https://pbs.twimg.com/profile_images/1067039778795937797/PnnLGTU4_normal.jpg</v>
      </c>
      <c r="AW4072" s="82" t="s">
        <v>15643</v>
      </c>
      <c r="AX4072" s="82" t="s">
        <v>15643</v>
      </c>
      <c r="AY4072" s="77"/>
      <c r="AZ4072" s="82" t="s">
        <v>15984</v>
      </c>
      <c r="BA4072" s="82" t="s">
        <v>15984</v>
      </c>
      <c r="BB4072" s="82" t="s">
        <v>15984</v>
      </c>
      <c r="BC4072" s="82" t="s">
        <v>15643</v>
      </c>
      <c r="BD4072" s="77">
        <v>2578778256</v>
      </c>
      <c r="BE4072" s="77"/>
      <c r="BF4072" s="77"/>
      <c r="BG4072" s="77"/>
      <c r="BH4072" s="77"/>
      <c r="BI4072" s="77"/>
    </row>
    <row r="4073" spans="1:61" x14ac:dyDescent="0.25">
      <c r="A4073" s="62" t="s">
        <v>735</v>
      </c>
      <c r="B4073" s="62" t="s">
        <v>735</v>
      </c>
      <c r="C4073" s="63"/>
      <c r="D4073" s="64"/>
      <c r="E4073" s="65"/>
      <c r="F4073" s="66"/>
      <c r="G4073" s="63"/>
      <c r="H4073" s="67"/>
      <c r="I4073" s="68"/>
      <c r="J4073" s="68"/>
      <c r="K4073" s="32"/>
      <c r="L4073" s="75">
        <v>4073</v>
      </c>
      <c r="M4073" s="75"/>
      <c r="N4073" s="70"/>
      <c r="O4073" s="77" t="s">
        <v>179</v>
      </c>
      <c r="P4073" s="79">
        <v>45140.829004629632</v>
      </c>
      <c r="Q4073" s="77" t="s">
        <v>4715</v>
      </c>
      <c r="R4073" s="77">
        <v>0</v>
      </c>
      <c r="S4073" s="77">
        <v>0</v>
      </c>
      <c r="T4073" s="77">
        <v>0</v>
      </c>
      <c r="U4073" s="77">
        <v>0</v>
      </c>
      <c r="V4073" s="77">
        <v>300</v>
      </c>
      <c r="W4073" s="82" t="s">
        <v>6411</v>
      </c>
      <c r="X4073" s="80" t="str">
        <f>HYPERLINK("https://www.youtube.com/watch?v=UCCu5yECp40")</f>
        <v>https://www.youtube.com/watch?v=UCCu5yECp40</v>
      </c>
      <c r="Y4073" s="77" t="s">
        <v>6480</v>
      </c>
      <c r="Z4073" s="77"/>
      <c r="AA4073" s="77"/>
      <c r="AB4073" s="77"/>
      <c r="AC4073" s="82" t="s">
        <v>7787</v>
      </c>
      <c r="AD4073" s="77" t="s">
        <v>7788</v>
      </c>
      <c r="AE4073" s="80" t="str">
        <f>HYPERLINK("https://twitter.com/modalmais/status/1686827652420653057")</f>
        <v>https://twitter.com/modalmais/status/1686827652420653057</v>
      </c>
      <c r="AF4073" s="79">
        <v>45140.829004629632</v>
      </c>
      <c r="AG4073" s="85">
        <v>45140</v>
      </c>
      <c r="AH4073" s="82" t="s">
        <v>10474</v>
      </c>
      <c r="AI4073" s="77" t="b">
        <v>0</v>
      </c>
      <c r="AJ4073" s="77"/>
      <c r="AK4073" s="77"/>
      <c r="AL4073" s="77"/>
      <c r="AM4073" s="77"/>
      <c r="AN4073" s="77"/>
      <c r="AO4073" s="77"/>
      <c r="AP4073" s="77"/>
      <c r="AQ4073" s="77"/>
      <c r="AR4073" s="77"/>
      <c r="AS4073" s="77"/>
      <c r="AT4073" s="77"/>
      <c r="AU4073" s="77"/>
      <c r="AV4073" s="80" t="str">
        <f>HYPERLINK("https://pbs.twimg.com/profile_images/1067039778795937797/PnnLGTU4_normal.jpg")</f>
        <v>https://pbs.twimg.com/profile_images/1067039778795937797/PnnLGTU4_normal.jpg</v>
      </c>
      <c r="AW4073" s="82" t="s">
        <v>15644</v>
      </c>
      <c r="AX4073" s="82" t="s">
        <v>15644</v>
      </c>
      <c r="AY4073" s="77"/>
      <c r="AZ4073" s="82" t="s">
        <v>15984</v>
      </c>
      <c r="BA4073" s="82" t="s">
        <v>15984</v>
      </c>
      <c r="BB4073" s="82" t="s">
        <v>15984</v>
      </c>
      <c r="BC4073" s="82" t="s">
        <v>15644</v>
      </c>
      <c r="BD4073" s="77">
        <v>2578778256</v>
      </c>
      <c r="BE4073" s="77"/>
      <c r="BF4073" s="77"/>
      <c r="BG4073" s="77"/>
      <c r="BH4073" s="77"/>
      <c r="BI4073" s="77"/>
    </row>
    <row r="4074" spans="1:61" x14ac:dyDescent="0.25">
      <c r="A4074" s="62" t="s">
        <v>735</v>
      </c>
      <c r="B4074" s="62" t="s">
        <v>735</v>
      </c>
      <c r="C4074" s="63"/>
      <c r="D4074" s="64"/>
      <c r="E4074" s="65"/>
      <c r="F4074" s="66"/>
      <c r="G4074" s="63"/>
      <c r="H4074" s="67"/>
      <c r="I4074" s="68"/>
      <c r="J4074" s="68"/>
      <c r="K4074" s="32"/>
      <c r="L4074" s="75">
        <v>4074</v>
      </c>
      <c r="M4074" s="75"/>
      <c r="N4074" s="70"/>
      <c r="O4074" s="77" t="s">
        <v>179</v>
      </c>
      <c r="P4074" s="79">
        <v>45140.782164351855</v>
      </c>
      <c r="Q4074" s="77" t="s">
        <v>4716</v>
      </c>
      <c r="R4074" s="77">
        <v>0</v>
      </c>
      <c r="S4074" s="77">
        <v>1</v>
      </c>
      <c r="T4074" s="77">
        <v>0</v>
      </c>
      <c r="U4074" s="77">
        <v>0</v>
      </c>
      <c r="V4074" s="77">
        <v>307</v>
      </c>
      <c r="W4074" s="82" t="s">
        <v>6411</v>
      </c>
      <c r="X4074" s="77"/>
      <c r="Y4074" s="77"/>
      <c r="Z4074" s="77"/>
      <c r="AA4074" s="77"/>
      <c r="AB4074" s="77"/>
      <c r="AC4074" s="82" t="s">
        <v>7787</v>
      </c>
      <c r="AD4074" s="77" t="s">
        <v>7790</v>
      </c>
      <c r="AE4074" s="80" t="str">
        <f>HYPERLINK("https://twitter.com/modalmais/status/1686810677027946518")</f>
        <v>https://twitter.com/modalmais/status/1686810677027946518</v>
      </c>
      <c r="AF4074" s="79">
        <v>45140.782164351855</v>
      </c>
      <c r="AG4074" s="85">
        <v>45140</v>
      </c>
      <c r="AH4074" s="82" t="s">
        <v>10475</v>
      </c>
      <c r="AI4074" s="77"/>
      <c r="AJ4074" s="77"/>
      <c r="AK4074" s="77"/>
      <c r="AL4074" s="77"/>
      <c r="AM4074" s="77"/>
      <c r="AN4074" s="77"/>
      <c r="AO4074" s="77"/>
      <c r="AP4074" s="77"/>
      <c r="AQ4074" s="77"/>
      <c r="AR4074" s="77"/>
      <c r="AS4074" s="77"/>
      <c r="AT4074" s="77"/>
      <c r="AU4074" s="77"/>
      <c r="AV4074" s="80" t="str">
        <f>HYPERLINK("https://pbs.twimg.com/profile_images/1067039778795937797/PnnLGTU4_normal.jpg")</f>
        <v>https://pbs.twimg.com/profile_images/1067039778795937797/PnnLGTU4_normal.jpg</v>
      </c>
      <c r="AW4074" s="82" t="s">
        <v>15645</v>
      </c>
      <c r="AX4074" s="82" t="s">
        <v>15645</v>
      </c>
      <c r="AY4074" s="77"/>
      <c r="AZ4074" s="82" t="s">
        <v>15984</v>
      </c>
      <c r="BA4074" s="82" t="s">
        <v>15984</v>
      </c>
      <c r="BB4074" s="82" t="s">
        <v>15984</v>
      </c>
      <c r="BC4074" s="82" t="s">
        <v>15645</v>
      </c>
      <c r="BD4074" s="77">
        <v>2578778256</v>
      </c>
      <c r="BE4074" s="77"/>
      <c r="BF4074" s="77"/>
      <c r="BG4074" s="77"/>
      <c r="BH4074" s="77"/>
      <c r="BI4074" s="77"/>
    </row>
    <row r="4075" spans="1:61" x14ac:dyDescent="0.25">
      <c r="A4075" s="62" t="s">
        <v>735</v>
      </c>
      <c r="B4075" s="62" t="s">
        <v>735</v>
      </c>
      <c r="C4075" s="63"/>
      <c r="D4075" s="64"/>
      <c r="E4075" s="65"/>
      <c r="F4075" s="66"/>
      <c r="G4075" s="63"/>
      <c r="H4075" s="67"/>
      <c r="I4075" s="68"/>
      <c r="J4075" s="68"/>
      <c r="K4075" s="32"/>
      <c r="L4075" s="75">
        <v>4075</v>
      </c>
      <c r="M4075" s="75"/>
      <c r="N4075" s="70"/>
      <c r="O4075" s="77" t="s">
        <v>179</v>
      </c>
      <c r="P4075" s="79">
        <v>45140.781678240739</v>
      </c>
      <c r="Q4075" s="77" t="s">
        <v>4717</v>
      </c>
      <c r="R4075" s="77">
        <v>0</v>
      </c>
      <c r="S4075" s="77">
        <v>0</v>
      </c>
      <c r="T4075" s="77">
        <v>0</v>
      </c>
      <c r="U4075" s="77">
        <v>0</v>
      </c>
      <c r="V4075" s="77">
        <v>326</v>
      </c>
      <c r="W4075" s="82" t="s">
        <v>6411</v>
      </c>
      <c r="X4075" s="77"/>
      <c r="Y4075" s="77"/>
      <c r="Z4075" s="77"/>
      <c r="AA4075" s="77"/>
      <c r="AB4075" s="77"/>
      <c r="AC4075" s="82" t="s">
        <v>7787</v>
      </c>
      <c r="AD4075" s="77" t="s">
        <v>7788</v>
      </c>
      <c r="AE4075" s="80" t="str">
        <f>HYPERLINK("https://twitter.com/modalmais/status/1686810501865422861")</f>
        <v>https://twitter.com/modalmais/status/1686810501865422861</v>
      </c>
      <c r="AF4075" s="79">
        <v>45140.781678240739</v>
      </c>
      <c r="AG4075" s="85">
        <v>45140</v>
      </c>
      <c r="AH4075" s="82" t="s">
        <v>7994</v>
      </c>
      <c r="AI4075" s="77"/>
      <c r="AJ4075" s="77"/>
      <c r="AK4075" s="77"/>
      <c r="AL4075" s="77"/>
      <c r="AM4075" s="77"/>
      <c r="AN4075" s="77"/>
      <c r="AO4075" s="77"/>
      <c r="AP4075" s="77"/>
      <c r="AQ4075" s="77"/>
      <c r="AR4075" s="77"/>
      <c r="AS4075" s="77"/>
      <c r="AT4075" s="77"/>
      <c r="AU4075" s="77"/>
      <c r="AV4075" s="80" t="str">
        <f>HYPERLINK("https://pbs.twimg.com/profile_images/1067039778795937797/PnnLGTU4_normal.jpg")</f>
        <v>https://pbs.twimg.com/profile_images/1067039778795937797/PnnLGTU4_normal.jpg</v>
      </c>
      <c r="AW4075" s="82" t="s">
        <v>15646</v>
      </c>
      <c r="AX4075" s="82" t="s">
        <v>15646</v>
      </c>
      <c r="AY4075" s="77"/>
      <c r="AZ4075" s="82" t="s">
        <v>15984</v>
      </c>
      <c r="BA4075" s="82" t="s">
        <v>15984</v>
      </c>
      <c r="BB4075" s="82" t="s">
        <v>15984</v>
      </c>
      <c r="BC4075" s="82" t="s">
        <v>15646</v>
      </c>
      <c r="BD4075" s="77">
        <v>2578778256</v>
      </c>
      <c r="BE4075" s="77"/>
      <c r="BF4075" s="77"/>
      <c r="BG4075" s="77"/>
      <c r="BH4075" s="77"/>
      <c r="BI4075" s="77"/>
    </row>
    <row r="4076" spans="1:61" x14ac:dyDescent="0.25">
      <c r="A4076" s="62" t="s">
        <v>735</v>
      </c>
      <c r="B4076" s="62" t="s">
        <v>735</v>
      </c>
      <c r="C4076" s="63"/>
      <c r="D4076" s="64"/>
      <c r="E4076" s="65"/>
      <c r="F4076" s="66"/>
      <c r="G4076" s="63"/>
      <c r="H4076" s="67"/>
      <c r="I4076" s="68"/>
      <c r="J4076" s="68"/>
      <c r="K4076" s="32"/>
      <c r="L4076" s="75">
        <v>4076</v>
      </c>
      <c r="M4076" s="75"/>
      <c r="N4076" s="70"/>
      <c r="O4076" s="77" t="s">
        <v>179</v>
      </c>
      <c r="P4076" s="79">
        <v>45140.622361111113</v>
      </c>
      <c r="Q4076" s="77" t="s">
        <v>4718</v>
      </c>
      <c r="R4076" s="77">
        <v>0</v>
      </c>
      <c r="S4076" s="77">
        <v>2</v>
      </c>
      <c r="T4076" s="77">
        <v>0</v>
      </c>
      <c r="U4076" s="77">
        <v>0</v>
      </c>
      <c r="V4076" s="77">
        <v>277</v>
      </c>
      <c r="W4076" s="82" t="s">
        <v>6411</v>
      </c>
      <c r="X4076" s="77"/>
      <c r="Y4076" s="77"/>
      <c r="Z4076" s="77"/>
      <c r="AA4076" s="77"/>
      <c r="AB4076" s="77"/>
      <c r="AC4076" s="82" t="s">
        <v>7787</v>
      </c>
      <c r="AD4076" s="77" t="s">
        <v>7788</v>
      </c>
      <c r="AE4076" s="80" t="str">
        <f>HYPERLINK("https://twitter.com/modalmais/status/1686752767719673857")</f>
        <v>https://twitter.com/modalmais/status/1686752767719673857</v>
      </c>
      <c r="AF4076" s="79">
        <v>45140.622361111113</v>
      </c>
      <c r="AG4076" s="85">
        <v>45140</v>
      </c>
      <c r="AH4076" s="82" t="s">
        <v>10476</v>
      </c>
      <c r="AI4076" s="77"/>
      <c r="AJ4076" s="77"/>
      <c r="AK4076" s="77"/>
      <c r="AL4076" s="77"/>
      <c r="AM4076" s="77"/>
      <c r="AN4076" s="77"/>
      <c r="AO4076" s="77"/>
      <c r="AP4076" s="77"/>
      <c r="AQ4076" s="77"/>
      <c r="AR4076" s="77"/>
      <c r="AS4076" s="77"/>
      <c r="AT4076" s="77"/>
      <c r="AU4076" s="77"/>
      <c r="AV4076" s="80" t="str">
        <f>HYPERLINK("https://pbs.twimg.com/profile_images/1067039778795937797/PnnLGTU4_normal.jpg")</f>
        <v>https://pbs.twimg.com/profile_images/1067039778795937797/PnnLGTU4_normal.jpg</v>
      </c>
      <c r="AW4076" s="82" t="s">
        <v>15647</v>
      </c>
      <c r="AX4076" s="82" t="s">
        <v>15647</v>
      </c>
      <c r="AY4076" s="77"/>
      <c r="AZ4076" s="82" t="s">
        <v>15984</v>
      </c>
      <c r="BA4076" s="82" t="s">
        <v>15984</v>
      </c>
      <c r="BB4076" s="82" t="s">
        <v>15984</v>
      </c>
      <c r="BC4076" s="82" t="s">
        <v>15647</v>
      </c>
      <c r="BD4076" s="77">
        <v>2578778256</v>
      </c>
      <c r="BE4076" s="77"/>
      <c r="BF4076" s="77"/>
      <c r="BG4076" s="77"/>
      <c r="BH4076" s="77"/>
      <c r="BI4076" s="77"/>
    </row>
    <row r="4077" spans="1:61" x14ac:dyDescent="0.25">
      <c r="A4077" s="62" t="s">
        <v>735</v>
      </c>
      <c r="B4077" s="62" t="s">
        <v>735</v>
      </c>
      <c r="C4077" s="63"/>
      <c r="D4077" s="64"/>
      <c r="E4077" s="65"/>
      <c r="F4077" s="66"/>
      <c r="G4077" s="63"/>
      <c r="H4077" s="67"/>
      <c r="I4077" s="68"/>
      <c r="J4077" s="68"/>
      <c r="K4077" s="32"/>
      <c r="L4077" s="75">
        <v>4077</v>
      </c>
      <c r="M4077" s="75"/>
      <c r="N4077" s="70"/>
      <c r="O4077" s="77" t="s">
        <v>179</v>
      </c>
      <c r="P4077" s="79">
        <v>45140.577662037038</v>
      </c>
      <c r="Q4077" s="77" t="s">
        <v>4719</v>
      </c>
      <c r="R4077" s="77">
        <v>0</v>
      </c>
      <c r="S4077" s="77">
        <v>2</v>
      </c>
      <c r="T4077" s="77">
        <v>0</v>
      </c>
      <c r="U4077" s="77">
        <v>0</v>
      </c>
      <c r="V4077" s="77">
        <v>298</v>
      </c>
      <c r="W4077" s="82" t="s">
        <v>6426</v>
      </c>
      <c r="X4077" s="77"/>
      <c r="Y4077" s="77"/>
      <c r="Z4077" s="77"/>
      <c r="AA4077" s="77"/>
      <c r="AB4077" s="77"/>
      <c r="AC4077" s="82" t="s">
        <v>7787</v>
      </c>
      <c r="AD4077" s="77" t="s">
        <v>7788</v>
      </c>
      <c r="AE4077" s="80" t="str">
        <f>HYPERLINK("https://twitter.com/modalmais/status/1686736569665814528")</f>
        <v>https://twitter.com/modalmais/status/1686736569665814528</v>
      </c>
      <c r="AF4077" s="79">
        <v>45140.577662037038</v>
      </c>
      <c r="AG4077" s="85">
        <v>45140</v>
      </c>
      <c r="AH4077" s="82" t="s">
        <v>10415</v>
      </c>
      <c r="AI4077" s="77"/>
      <c r="AJ4077" s="77"/>
      <c r="AK4077" s="77"/>
      <c r="AL4077" s="77"/>
      <c r="AM4077" s="77"/>
      <c r="AN4077" s="77"/>
      <c r="AO4077" s="77"/>
      <c r="AP4077" s="77"/>
      <c r="AQ4077" s="77"/>
      <c r="AR4077" s="77"/>
      <c r="AS4077" s="77"/>
      <c r="AT4077" s="77"/>
      <c r="AU4077" s="77"/>
      <c r="AV4077" s="80" t="str">
        <f>HYPERLINK("https://pbs.twimg.com/profile_images/1067039778795937797/PnnLGTU4_normal.jpg")</f>
        <v>https://pbs.twimg.com/profile_images/1067039778795937797/PnnLGTU4_normal.jpg</v>
      </c>
      <c r="AW4077" s="82" t="s">
        <v>15648</v>
      </c>
      <c r="AX4077" s="82" t="s">
        <v>15648</v>
      </c>
      <c r="AY4077" s="77"/>
      <c r="AZ4077" s="82" t="s">
        <v>15984</v>
      </c>
      <c r="BA4077" s="82" t="s">
        <v>15984</v>
      </c>
      <c r="BB4077" s="82" t="s">
        <v>15984</v>
      </c>
      <c r="BC4077" s="82" t="s">
        <v>15648</v>
      </c>
      <c r="BD4077" s="77">
        <v>2578778256</v>
      </c>
      <c r="BE4077" s="77"/>
      <c r="BF4077" s="77"/>
      <c r="BG4077" s="77"/>
      <c r="BH4077" s="77"/>
      <c r="BI4077" s="77"/>
    </row>
    <row r="4078" spans="1:61" x14ac:dyDescent="0.25">
      <c r="A4078" s="62" t="s">
        <v>735</v>
      </c>
      <c r="B4078" s="62" t="s">
        <v>735</v>
      </c>
      <c r="C4078" s="63"/>
      <c r="D4078" s="64"/>
      <c r="E4078" s="65"/>
      <c r="F4078" s="66"/>
      <c r="G4078" s="63"/>
      <c r="H4078" s="67"/>
      <c r="I4078" s="68"/>
      <c r="J4078" s="68"/>
      <c r="K4078" s="32"/>
      <c r="L4078" s="75">
        <v>4078</v>
      </c>
      <c r="M4078" s="75"/>
      <c r="N4078" s="70"/>
      <c r="O4078" s="77" t="s">
        <v>179</v>
      </c>
      <c r="P4078" s="79">
        <v>45140.574918981481</v>
      </c>
      <c r="Q4078" s="77" t="s">
        <v>4720</v>
      </c>
      <c r="R4078" s="77">
        <v>0</v>
      </c>
      <c r="S4078" s="77">
        <v>1</v>
      </c>
      <c r="T4078" s="77">
        <v>0</v>
      </c>
      <c r="U4078" s="77">
        <v>0</v>
      </c>
      <c r="V4078" s="77">
        <v>261</v>
      </c>
      <c r="W4078" s="82" t="s">
        <v>6426</v>
      </c>
      <c r="X4078" s="77"/>
      <c r="Y4078" s="77"/>
      <c r="Z4078" s="77"/>
      <c r="AA4078" s="77"/>
      <c r="AB4078" s="77"/>
      <c r="AC4078" s="82" t="s">
        <v>7787</v>
      </c>
      <c r="AD4078" s="77" t="s">
        <v>7788</v>
      </c>
      <c r="AE4078" s="80" t="str">
        <f>HYPERLINK("https://twitter.com/modalmais/status/1686735574772695040")</f>
        <v>https://twitter.com/modalmais/status/1686735574772695040</v>
      </c>
      <c r="AF4078" s="79">
        <v>45140.574918981481</v>
      </c>
      <c r="AG4078" s="85">
        <v>45140</v>
      </c>
      <c r="AH4078" s="82" t="s">
        <v>10477</v>
      </c>
      <c r="AI4078" s="77"/>
      <c r="AJ4078" s="77"/>
      <c r="AK4078" s="77"/>
      <c r="AL4078" s="77"/>
      <c r="AM4078" s="77"/>
      <c r="AN4078" s="77"/>
      <c r="AO4078" s="77"/>
      <c r="AP4078" s="77"/>
      <c r="AQ4078" s="77"/>
      <c r="AR4078" s="77"/>
      <c r="AS4078" s="77"/>
      <c r="AT4078" s="77"/>
      <c r="AU4078" s="77"/>
      <c r="AV4078" s="80" t="str">
        <f>HYPERLINK("https://pbs.twimg.com/profile_images/1067039778795937797/PnnLGTU4_normal.jpg")</f>
        <v>https://pbs.twimg.com/profile_images/1067039778795937797/PnnLGTU4_normal.jpg</v>
      </c>
      <c r="AW4078" s="82" t="s">
        <v>15649</v>
      </c>
      <c r="AX4078" s="82" t="s">
        <v>15649</v>
      </c>
      <c r="AY4078" s="77"/>
      <c r="AZ4078" s="82" t="s">
        <v>15984</v>
      </c>
      <c r="BA4078" s="82" t="s">
        <v>15984</v>
      </c>
      <c r="BB4078" s="82" t="s">
        <v>15984</v>
      </c>
      <c r="BC4078" s="82" t="s">
        <v>15649</v>
      </c>
      <c r="BD4078" s="77">
        <v>2578778256</v>
      </c>
      <c r="BE4078" s="77"/>
      <c r="BF4078" s="77"/>
      <c r="BG4078" s="77"/>
      <c r="BH4078" s="77"/>
      <c r="BI4078" s="77"/>
    </row>
    <row r="4079" spans="1:61" x14ac:dyDescent="0.25">
      <c r="A4079" s="62" t="s">
        <v>735</v>
      </c>
      <c r="B4079" s="62" t="s">
        <v>735</v>
      </c>
      <c r="C4079" s="63"/>
      <c r="D4079" s="64"/>
      <c r="E4079" s="65"/>
      <c r="F4079" s="66"/>
      <c r="G4079" s="63"/>
      <c r="H4079" s="67"/>
      <c r="I4079" s="68"/>
      <c r="J4079" s="68"/>
      <c r="K4079" s="32"/>
      <c r="L4079" s="75">
        <v>4079</v>
      </c>
      <c r="M4079" s="75"/>
      <c r="N4079" s="70"/>
      <c r="O4079" s="77" t="s">
        <v>179</v>
      </c>
      <c r="P4079" s="79">
        <v>45140.573622685188</v>
      </c>
      <c r="Q4079" s="77" t="s">
        <v>4721</v>
      </c>
      <c r="R4079" s="77">
        <v>0</v>
      </c>
      <c r="S4079" s="77">
        <v>0</v>
      </c>
      <c r="T4079" s="77">
        <v>0</v>
      </c>
      <c r="U4079" s="77">
        <v>0</v>
      </c>
      <c r="V4079" s="77">
        <v>322</v>
      </c>
      <c r="W4079" s="82" t="s">
        <v>6411</v>
      </c>
      <c r="X4079" s="77"/>
      <c r="Y4079" s="77"/>
      <c r="Z4079" s="77"/>
      <c r="AA4079" s="77"/>
      <c r="AB4079" s="77"/>
      <c r="AC4079" s="82" t="s">
        <v>7787</v>
      </c>
      <c r="AD4079" s="77" t="s">
        <v>7788</v>
      </c>
      <c r="AE4079" s="80" t="str">
        <f>HYPERLINK("https://twitter.com/modalmais/status/1686735103852994561")</f>
        <v>https://twitter.com/modalmais/status/1686735103852994561</v>
      </c>
      <c r="AF4079" s="79">
        <v>45140.573622685188</v>
      </c>
      <c r="AG4079" s="85">
        <v>45140</v>
      </c>
      <c r="AH4079" s="82" t="s">
        <v>10478</v>
      </c>
      <c r="AI4079" s="77"/>
      <c r="AJ4079" s="77"/>
      <c r="AK4079" s="77"/>
      <c r="AL4079" s="77"/>
      <c r="AM4079" s="77"/>
      <c r="AN4079" s="77"/>
      <c r="AO4079" s="77"/>
      <c r="AP4079" s="77"/>
      <c r="AQ4079" s="77"/>
      <c r="AR4079" s="77"/>
      <c r="AS4079" s="77"/>
      <c r="AT4079" s="77"/>
      <c r="AU4079" s="77"/>
      <c r="AV4079" s="80" t="str">
        <f>HYPERLINK("https://pbs.twimg.com/profile_images/1067039778795937797/PnnLGTU4_normal.jpg")</f>
        <v>https://pbs.twimg.com/profile_images/1067039778795937797/PnnLGTU4_normal.jpg</v>
      </c>
      <c r="AW4079" s="82" t="s">
        <v>15650</v>
      </c>
      <c r="AX4079" s="82" t="s">
        <v>15650</v>
      </c>
      <c r="AY4079" s="77"/>
      <c r="AZ4079" s="82" t="s">
        <v>15984</v>
      </c>
      <c r="BA4079" s="82" t="s">
        <v>15984</v>
      </c>
      <c r="BB4079" s="82" t="s">
        <v>15984</v>
      </c>
      <c r="BC4079" s="82" t="s">
        <v>15650</v>
      </c>
      <c r="BD4079" s="77">
        <v>2578778256</v>
      </c>
      <c r="BE4079" s="77"/>
      <c r="BF4079" s="77"/>
      <c r="BG4079" s="77"/>
      <c r="BH4079" s="77"/>
      <c r="BI4079" s="77"/>
    </row>
    <row r="4080" spans="1:61" x14ac:dyDescent="0.25">
      <c r="A4080" s="62" t="s">
        <v>735</v>
      </c>
      <c r="B4080" s="62" t="s">
        <v>735</v>
      </c>
      <c r="C4080" s="63"/>
      <c r="D4080" s="64"/>
      <c r="E4080" s="65"/>
      <c r="F4080" s="66"/>
      <c r="G4080" s="63"/>
      <c r="H4080" s="67"/>
      <c r="I4080" s="68"/>
      <c r="J4080" s="68"/>
      <c r="K4080" s="32"/>
      <c r="L4080" s="75">
        <v>4080</v>
      </c>
      <c r="M4080" s="75"/>
      <c r="N4080" s="70"/>
      <c r="O4080" s="77" t="s">
        <v>179</v>
      </c>
      <c r="P4080" s="79">
        <v>45190.895324074074</v>
      </c>
      <c r="Q4080" s="77" t="s">
        <v>4722</v>
      </c>
      <c r="R4080" s="77">
        <v>0</v>
      </c>
      <c r="S4080" s="77">
        <v>4</v>
      </c>
      <c r="T4080" s="77">
        <v>0</v>
      </c>
      <c r="U4080" s="77">
        <v>0</v>
      </c>
      <c r="V4080" s="77">
        <v>367</v>
      </c>
      <c r="W4080" s="82" t="s">
        <v>6435</v>
      </c>
      <c r="X4080" s="77"/>
      <c r="Y4080" s="77"/>
      <c r="Z4080" s="77"/>
      <c r="AA4080" s="77"/>
      <c r="AB4080" s="77"/>
      <c r="AC4080" s="82" t="s">
        <v>7787</v>
      </c>
      <c r="AD4080" s="77" t="s">
        <v>7788</v>
      </c>
      <c r="AE4080" s="80" t="str">
        <f>HYPERLINK("https://twitter.com/modalmais/status/1704971079217713590")</f>
        <v>https://twitter.com/modalmais/status/1704971079217713590</v>
      </c>
      <c r="AF4080" s="79">
        <v>45190.895324074074</v>
      </c>
      <c r="AG4080" s="85">
        <v>45190</v>
      </c>
      <c r="AH4080" s="82" t="s">
        <v>10479</v>
      </c>
      <c r="AI4080" s="77"/>
      <c r="AJ4080" s="77"/>
      <c r="AK4080" s="77"/>
      <c r="AL4080" s="77"/>
      <c r="AM4080" s="77"/>
      <c r="AN4080" s="77"/>
      <c r="AO4080" s="77"/>
      <c r="AP4080" s="77"/>
      <c r="AQ4080" s="77"/>
      <c r="AR4080" s="77"/>
      <c r="AS4080" s="77"/>
      <c r="AT4080" s="77"/>
      <c r="AU4080" s="77"/>
      <c r="AV4080" s="80" t="str">
        <f>HYPERLINK("https://pbs.twimg.com/profile_images/1067039778795937797/PnnLGTU4_normal.jpg")</f>
        <v>https://pbs.twimg.com/profile_images/1067039778795937797/PnnLGTU4_normal.jpg</v>
      </c>
      <c r="AW4080" s="82" t="s">
        <v>15651</v>
      </c>
      <c r="AX4080" s="82" t="s">
        <v>15651</v>
      </c>
      <c r="AY4080" s="77"/>
      <c r="AZ4080" s="82" t="s">
        <v>15984</v>
      </c>
      <c r="BA4080" s="82" t="s">
        <v>15984</v>
      </c>
      <c r="BB4080" s="82" t="s">
        <v>15984</v>
      </c>
      <c r="BC4080" s="82" t="s">
        <v>15651</v>
      </c>
      <c r="BD4080" s="77">
        <v>2578778256</v>
      </c>
      <c r="BE4080" s="77"/>
      <c r="BF4080" s="77"/>
      <c r="BG4080" s="77"/>
      <c r="BH4080" s="77"/>
      <c r="BI4080" s="77"/>
    </row>
    <row r="4081" spans="1:61" x14ac:dyDescent="0.25">
      <c r="A4081" s="62" t="s">
        <v>735</v>
      </c>
      <c r="B4081" s="62" t="s">
        <v>735</v>
      </c>
      <c r="C4081" s="63"/>
      <c r="D4081" s="64"/>
      <c r="E4081" s="65"/>
      <c r="F4081" s="66"/>
      <c r="G4081" s="63"/>
      <c r="H4081" s="67"/>
      <c r="I4081" s="68"/>
      <c r="J4081" s="68"/>
      <c r="K4081" s="32"/>
      <c r="L4081" s="75">
        <v>4081</v>
      </c>
      <c r="M4081" s="75"/>
      <c r="N4081" s="70"/>
      <c r="O4081" s="77" t="s">
        <v>179</v>
      </c>
      <c r="P4081" s="79">
        <v>45190.562916666669</v>
      </c>
      <c r="Q4081" s="77" t="s">
        <v>4723</v>
      </c>
      <c r="R4081" s="77">
        <v>0</v>
      </c>
      <c r="S4081" s="77">
        <v>0</v>
      </c>
      <c r="T4081" s="77">
        <v>0</v>
      </c>
      <c r="U4081" s="77">
        <v>0</v>
      </c>
      <c r="V4081" s="77">
        <v>273</v>
      </c>
      <c r="W4081" s="82" t="s">
        <v>6434</v>
      </c>
      <c r="X4081" s="80" t="str">
        <f>HYPERLINK("https://www.youtube.com/watch?v=EoMzEx6SMio")</f>
        <v>https://www.youtube.com/watch?v=EoMzEx6SMio</v>
      </c>
      <c r="Y4081" s="77" t="s">
        <v>6480</v>
      </c>
      <c r="Z4081" s="77"/>
      <c r="AA4081" s="77"/>
      <c r="AB4081" s="77"/>
      <c r="AC4081" s="82" t="s">
        <v>7787</v>
      </c>
      <c r="AD4081" s="77" t="s">
        <v>7788</v>
      </c>
      <c r="AE4081" s="80" t="str">
        <f>HYPERLINK("https://twitter.com/modalmais/status/1704850615703056462")</f>
        <v>https://twitter.com/modalmais/status/1704850615703056462</v>
      </c>
      <c r="AF4081" s="79">
        <v>45190.562916666669</v>
      </c>
      <c r="AG4081" s="85">
        <v>45190</v>
      </c>
      <c r="AH4081" s="82" t="s">
        <v>10480</v>
      </c>
      <c r="AI4081" s="77" t="b">
        <v>0</v>
      </c>
      <c r="AJ4081" s="77"/>
      <c r="AK4081" s="77"/>
      <c r="AL4081" s="77"/>
      <c r="AM4081" s="77"/>
      <c r="AN4081" s="77"/>
      <c r="AO4081" s="77"/>
      <c r="AP4081" s="77"/>
      <c r="AQ4081" s="77"/>
      <c r="AR4081" s="77"/>
      <c r="AS4081" s="77"/>
      <c r="AT4081" s="77"/>
      <c r="AU4081" s="77"/>
      <c r="AV4081" s="80" t="str">
        <f>HYPERLINK("https://pbs.twimg.com/profile_images/1067039778795937797/PnnLGTU4_normal.jpg")</f>
        <v>https://pbs.twimg.com/profile_images/1067039778795937797/PnnLGTU4_normal.jpg</v>
      </c>
      <c r="AW4081" s="82" t="s">
        <v>15652</v>
      </c>
      <c r="AX4081" s="82" t="s">
        <v>15652</v>
      </c>
      <c r="AY4081" s="77"/>
      <c r="AZ4081" s="82" t="s">
        <v>15984</v>
      </c>
      <c r="BA4081" s="82" t="s">
        <v>15984</v>
      </c>
      <c r="BB4081" s="82" t="s">
        <v>15984</v>
      </c>
      <c r="BC4081" s="82" t="s">
        <v>15652</v>
      </c>
      <c r="BD4081" s="77">
        <v>2578778256</v>
      </c>
      <c r="BE4081" s="77"/>
      <c r="BF4081" s="77"/>
      <c r="BG4081" s="77"/>
      <c r="BH4081" s="77"/>
      <c r="BI4081" s="77"/>
    </row>
    <row r="4082" spans="1:61" x14ac:dyDescent="0.25">
      <c r="A4082" s="62" t="s">
        <v>735</v>
      </c>
      <c r="B4082" s="62" t="s">
        <v>735</v>
      </c>
      <c r="C4082" s="63"/>
      <c r="D4082" s="64"/>
      <c r="E4082" s="65"/>
      <c r="F4082" s="66"/>
      <c r="G4082" s="63"/>
      <c r="H4082" s="67"/>
      <c r="I4082" s="68"/>
      <c r="J4082" s="68"/>
      <c r="K4082" s="32"/>
      <c r="L4082" s="75">
        <v>4082</v>
      </c>
      <c r="M4082" s="75"/>
      <c r="N4082" s="70"/>
      <c r="O4082" s="77" t="s">
        <v>179</v>
      </c>
      <c r="P4082" s="79">
        <v>45190.562291666669</v>
      </c>
      <c r="Q4082" s="77" t="s">
        <v>4724</v>
      </c>
      <c r="R4082" s="77">
        <v>0</v>
      </c>
      <c r="S4082" s="77">
        <v>0</v>
      </c>
      <c r="T4082" s="77">
        <v>0</v>
      </c>
      <c r="U4082" s="77">
        <v>0</v>
      </c>
      <c r="V4082" s="77">
        <v>241</v>
      </c>
      <c r="W4082" s="82" t="s">
        <v>6434</v>
      </c>
      <c r="X4082" s="80" t="str">
        <f>HYPERLINK("https://www.youtube.com/watch?v=EzkqE8SrZvw")</f>
        <v>https://www.youtube.com/watch?v=EzkqE8SrZvw</v>
      </c>
      <c r="Y4082" s="77" t="s">
        <v>6480</v>
      </c>
      <c r="Z4082" s="77"/>
      <c r="AA4082" s="77"/>
      <c r="AB4082" s="77"/>
      <c r="AC4082" s="82" t="s">
        <v>7787</v>
      </c>
      <c r="AD4082" s="77" t="s">
        <v>7788</v>
      </c>
      <c r="AE4082" s="80" t="str">
        <f>HYPERLINK("https://twitter.com/modalmais/status/1704850389592383650")</f>
        <v>https://twitter.com/modalmais/status/1704850389592383650</v>
      </c>
      <c r="AF4082" s="79">
        <v>45190.562291666669</v>
      </c>
      <c r="AG4082" s="85">
        <v>45190</v>
      </c>
      <c r="AH4082" s="82" t="s">
        <v>9559</v>
      </c>
      <c r="AI4082" s="77" t="b">
        <v>0</v>
      </c>
      <c r="AJ4082" s="77"/>
      <c r="AK4082" s="77"/>
      <c r="AL4082" s="77"/>
      <c r="AM4082" s="77"/>
      <c r="AN4082" s="77"/>
      <c r="AO4082" s="77"/>
      <c r="AP4082" s="77"/>
      <c r="AQ4082" s="77"/>
      <c r="AR4082" s="77"/>
      <c r="AS4082" s="77"/>
      <c r="AT4082" s="77"/>
      <c r="AU4082" s="77"/>
      <c r="AV4082" s="80" t="str">
        <f>HYPERLINK("https://pbs.twimg.com/profile_images/1067039778795937797/PnnLGTU4_normal.jpg")</f>
        <v>https://pbs.twimg.com/profile_images/1067039778795937797/PnnLGTU4_normal.jpg</v>
      </c>
      <c r="AW4082" s="82" t="s">
        <v>15653</v>
      </c>
      <c r="AX4082" s="82" t="s">
        <v>15653</v>
      </c>
      <c r="AY4082" s="77"/>
      <c r="AZ4082" s="82" t="s">
        <v>15984</v>
      </c>
      <c r="BA4082" s="82" t="s">
        <v>15984</v>
      </c>
      <c r="BB4082" s="82" t="s">
        <v>15984</v>
      </c>
      <c r="BC4082" s="82" t="s">
        <v>15653</v>
      </c>
      <c r="BD4082" s="77">
        <v>2578778256</v>
      </c>
      <c r="BE4082" s="77"/>
      <c r="BF4082" s="77"/>
      <c r="BG4082" s="77"/>
      <c r="BH4082" s="77"/>
      <c r="BI4082" s="77"/>
    </row>
    <row r="4083" spans="1:61" x14ac:dyDescent="0.25">
      <c r="A4083" s="62" t="s">
        <v>735</v>
      </c>
      <c r="B4083" s="62" t="s">
        <v>735</v>
      </c>
      <c r="C4083" s="63"/>
      <c r="D4083" s="64"/>
      <c r="E4083" s="65"/>
      <c r="F4083" s="66"/>
      <c r="G4083" s="63"/>
      <c r="H4083" s="67"/>
      <c r="I4083" s="68"/>
      <c r="J4083" s="68"/>
      <c r="K4083" s="32"/>
      <c r="L4083" s="75">
        <v>4083</v>
      </c>
      <c r="M4083" s="75"/>
      <c r="N4083" s="70"/>
      <c r="O4083" s="77" t="s">
        <v>179</v>
      </c>
      <c r="P4083" s="79">
        <v>45189.903506944444</v>
      </c>
      <c r="Q4083" s="77" t="s">
        <v>4725</v>
      </c>
      <c r="R4083" s="77">
        <v>0</v>
      </c>
      <c r="S4083" s="77">
        <v>4</v>
      </c>
      <c r="T4083" s="77">
        <v>0</v>
      </c>
      <c r="U4083" s="77">
        <v>0</v>
      </c>
      <c r="V4083" s="77">
        <v>588</v>
      </c>
      <c r="W4083" s="82" t="s">
        <v>6437</v>
      </c>
      <c r="X4083" s="77"/>
      <c r="Y4083" s="77"/>
      <c r="Z4083" s="77"/>
      <c r="AA4083" s="77" t="s">
        <v>7740</v>
      </c>
      <c r="AB4083" s="77" t="s">
        <v>7742</v>
      </c>
      <c r="AC4083" s="82" t="s">
        <v>7787</v>
      </c>
      <c r="AD4083" s="77" t="s">
        <v>7788</v>
      </c>
      <c r="AE4083" s="80" t="str">
        <f>HYPERLINK("https://twitter.com/modalmais/status/1704611657480130909")</f>
        <v>https://twitter.com/modalmais/status/1704611657480130909</v>
      </c>
      <c r="AF4083" s="79">
        <v>45189.903506944444</v>
      </c>
      <c r="AG4083" s="85">
        <v>45189</v>
      </c>
      <c r="AH4083" s="82" t="s">
        <v>10481</v>
      </c>
      <c r="AI4083" s="77" t="b">
        <v>0</v>
      </c>
      <c r="AJ4083" s="77"/>
      <c r="AK4083" s="77"/>
      <c r="AL4083" s="77"/>
      <c r="AM4083" s="77"/>
      <c r="AN4083" s="77"/>
      <c r="AO4083" s="77"/>
      <c r="AP4083" s="77"/>
      <c r="AQ4083" s="77" t="s">
        <v>11712</v>
      </c>
      <c r="AR4083" s="77"/>
      <c r="AS4083" s="77"/>
      <c r="AT4083" s="77"/>
      <c r="AU4083" s="77"/>
      <c r="AV4083" s="80" t="str">
        <f>HYPERLINK("https://pbs.twimg.com/media/F6f_RKCXcAAHxK1.jpg")</f>
        <v>https://pbs.twimg.com/media/F6f_RKCXcAAHxK1.jpg</v>
      </c>
      <c r="AW4083" s="82" t="s">
        <v>15654</v>
      </c>
      <c r="AX4083" s="82" t="s">
        <v>15654</v>
      </c>
      <c r="AY4083" s="77"/>
      <c r="AZ4083" s="82" t="s">
        <v>15984</v>
      </c>
      <c r="BA4083" s="82" t="s">
        <v>15984</v>
      </c>
      <c r="BB4083" s="82" t="s">
        <v>15984</v>
      </c>
      <c r="BC4083" s="82" t="s">
        <v>15654</v>
      </c>
      <c r="BD4083" s="77">
        <v>2578778256</v>
      </c>
      <c r="BE4083" s="77"/>
      <c r="BF4083" s="77"/>
      <c r="BG4083" s="77"/>
      <c r="BH4083" s="77"/>
      <c r="BI4083" s="77"/>
    </row>
    <row r="4084" spans="1:61" x14ac:dyDescent="0.25">
      <c r="A4084" s="62" t="s">
        <v>735</v>
      </c>
      <c r="B4084" s="62" t="s">
        <v>735</v>
      </c>
      <c r="C4084" s="63"/>
      <c r="D4084" s="64"/>
      <c r="E4084" s="65"/>
      <c r="F4084" s="66"/>
      <c r="G4084" s="63"/>
      <c r="H4084" s="67"/>
      <c r="I4084" s="68"/>
      <c r="J4084" s="68"/>
      <c r="K4084" s="32"/>
      <c r="L4084" s="75">
        <v>4084</v>
      </c>
      <c r="M4084" s="75"/>
      <c r="N4084" s="70"/>
      <c r="O4084" s="77" t="s">
        <v>179</v>
      </c>
      <c r="P4084" s="79">
        <v>45189.873113425929</v>
      </c>
      <c r="Q4084" s="77" t="s">
        <v>4726</v>
      </c>
      <c r="R4084" s="77">
        <v>0</v>
      </c>
      <c r="S4084" s="77">
        <v>0</v>
      </c>
      <c r="T4084" s="77">
        <v>0</v>
      </c>
      <c r="U4084" s="77">
        <v>0</v>
      </c>
      <c r="V4084" s="77">
        <v>293</v>
      </c>
      <c r="W4084" s="82" t="s">
        <v>6435</v>
      </c>
      <c r="X4084" s="77"/>
      <c r="Y4084" s="77"/>
      <c r="Z4084" s="77"/>
      <c r="AA4084" s="77"/>
      <c r="AB4084" s="77"/>
      <c r="AC4084" s="82" t="s">
        <v>7787</v>
      </c>
      <c r="AD4084" s="77" t="s">
        <v>7788</v>
      </c>
      <c r="AE4084" s="80" t="str">
        <f>HYPERLINK("https://twitter.com/modalmais/status/1704600641509687639")</f>
        <v>https://twitter.com/modalmais/status/1704600641509687639</v>
      </c>
      <c r="AF4084" s="79">
        <v>45189.873113425929</v>
      </c>
      <c r="AG4084" s="85">
        <v>45189</v>
      </c>
      <c r="AH4084" s="82" t="s">
        <v>10482</v>
      </c>
      <c r="AI4084" s="77"/>
      <c r="AJ4084" s="77"/>
      <c r="AK4084" s="77"/>
      <c r="AL4084" s="77"/>
      <c r="AM4084" s="77"/>
      <c r="AN4084" s="77"/>
      <c r="AO4084" s="77"/>
      <c r="AP4084" s="77"/>
      <c r="AQ4084" s="77"/>
      <c r="AR4084" s="77"/>
      <c r="AS4084" s="77"/>
      <c r="AT4084" s="77"/>
      <c r="AU4084" s="77"/>
      <c r="AV4084" s="80" t="str">
        <f>HYPERLINK("https://pbs.twimg.com/profile_images/1067039778795937797/PnnLGTU4_normal.jpg")</f>
        <v>https://pbs.twimg.com/profile_images/1067039778795937797/PnnLGTU4_normal.jpg</v>
      </c>
      <c r="AW4084" s="82" t="s">
        <v>15655</v>
      </c>
      <c r="AX4084" s="82" t="s">
        <v>15655</v>
      </c>
      <c r="AY4084" s="77"/>
      <c r="AZ4084" s="82" t="s">
        <v>15984</v>
      </c>
      <c r="BA4084" s="82" t="s">
        <v>15984</v>
      </c>
      <c r="BB4084" s="82" t="s">
        <v>15984</v>
      </c>
      <c r="BC4084" s="82" t="s">
        <v>15655</v>
      </c>
      <c r="BD4084" s="77">
        <v>2578778256</v>
      </c>
      <c r="BE4084" s="77"/>
      <c r="BF4084" s="77"/>
      <c r="BG4084" s="77"/>
      <c r="BH4084" s="77"/>
      <c r="BI4084" s="77"/>
    </row>
    <row r="4085" spans="1:61" x14ac:dyDescent="0.25">
      <c r="A4085" s="62" t="s">
        <v>735</v>
      </c>
      <c r="B4085" s="62" t="s">
        <v>735</v>
      </c>
      <c r="C4085" s="63"/>
      <c r="D4085" s="64"/>
      <c r="E4085" s="65"/>
      <c r="F4085" s="66"/>
      <c r="G4085" s="63"/>
      <c r="H4085" s="67"/>
      <c r="I4085" s="68"/>
      <c r="J4085" s="68"/>
      <c r="K4085" s="32"/>
      <c r="L4085" s="75">
        <v>4085</v>
      </c>
      <c r="M4085" s="75"/>
      <c r="N4085" s="70"/>
      <c r="O4085" s="77" t="s">
        <v>179</v>
      </c>
      <c r="P4085" s="79">
        <v>45191.86482638889</v>
      </c>
      <c r="Q4085" s="77" t="s">
        <v>4727</v>
      </c>
      <c r="R4085" s="77">
        <v>0</v>
      </c>
      <c r="S4085" s="77">
        <v>0</v>
      </c>
      <c r="T4085" s="77">
        <v>1</v>
      </c>
      <c r="U4085" s="77">
        <v>0</v>
      </c>
      <c r="V4085" s="77">
        <v>370</v>
      </c>
      <c r="W4085" s="82" t="s">
        <v>6435</v>
      </c>
      <c r="X4085" s="77"/>
      <c r="Y4085" s="77"/>
      <c r="Z4085" s="77"/>
      <c r="AA4085" s="77"/>
      <c r="AB4085" s="77"/>
      <c r="AC4085" s="82" t="s">
        <v>7787</v>
      </c>
      <c r="AD4085" s="77" t="s">
        <v>7788</v>
      </c>
      <c r="AE4085" s="80" t="str">
        <f>HYPERLINK("https://twitter.com/modalmais/status/1705322411975917605")</f>
        <v>https://twitter.com/modalmais/status/1705322411975917605</v>
      </c>
      <c r="AF4085" s="79">
        <v>45191.86482638889</v>
      </c>
      <c r="AG4085" s="85">
        <v>45191</v>
      </c>
      <c r="AH4085" s="82" t="s">
        <v>10483</v>
      </c>
      <c r="AI4085" s="77"/>
      <c r="AJ4085" s="77"/>
      <c r="AK4085" s="77"/>
      <c r="AL4085" s="77"/>
      <c r="AM4085" s="77"/>
      <c r="AN4085" s="77"/>
      <c r="AO4085" s="77"/>
      <c r="AP4085" s="77"/>
      <c r="AQ4085" s="77"/>
      <c r="AR4085" s="77"/>
      <c r="AS4085" s="77"/>
      <c r="AT4085" s="77"/>
      <c r="AU4085" s="77"/>
      <c r="AV4085" s="80" t="str">
        <f>HYPERLINK("https://pbs.twimg.com/profile_images/1067039778795937797/PnnLGTU4_normal.jpg")</f>
        <v>https://pbs.twimg.com/profile_images/1067039778795937797/PnnLGTU4_normal.jpg</v>
      </c>
      <c r="AW4085" s="82" t="s">
        <v>15656</v>
      </c>
      <c r="AX4085" s="82" t="s">
        <v>15656</v>
      </c>
      <c r="AY4085" s="77"/>
      <c r="AZ4085" s="82" t="s">
        <v>15984</v>
      </c>
      <c r="BA4085" s="82" t="s">
        <v>15984</v>
      </c>
      <c r="BB4085" s="82" t="s">
        <v>15984</v>
      </c>
      <c r="BC4085" s="82" t="s">
        <v>15656</v>
      </c>
      <c r="BD4085" s="77">
        <v>2578778256</v>
      </c>
      <c r="BE4085" s="77"/>
      <c r="BF4085" s="77"/>
      <c r="BG4085" s="77"/>
      <c r="BH4085" s="77"/>
      <c r="BI4085" s="77"/>
    </row>
    <row r="4086" spans="1:61" x14ac:dyDescent="0.25">
      <c r="A4086" s="62" t="s">
        <v>735</v>
      </c>
      <c r="B4086" s="62" t="s">
        <v>735</v>
      </c>
      <c r="C4086" s="63"/>
      <c r="D4086" s="64"/>
      <c r="E4086" s="65"/>
      <c r="F4086" s="66"/>
      <c r="G4086" s="63"/>
      <c r="H4086" s="67"/>
      <c r="I4086" s="68"/>
      <c r="J4086" s="68"/>
      <c r="K4086" s="32"/>
      <c r="L4086" s="75">
        <v>4086</v>
      </c>
      <c r="M4086" s="75"/>
      <c r="N4086" s="70"/>
      <c r="O4086" s="77" t="s">
        <v>179</v>
      </c>
      <c r="P4086" s="79">
        <v>45188.866828703707</v>
      </c>
      <c r="Q4086" s="77" t="s">
        <v>4728</v>
      </c>
      <c r="R4086" s="77">
        <v>0</v>
      </c>
      <c r="S4086" s="77">
        <v>2</v>
      </c>
      <c r="T4086" s="77">
        <v>0</v>
      </c>
      <c r="U4086" s="77">
        <v>0</v>
      </c>
      <c r="V4086" s="77">
        <v>339</v>
      </c>
      <c r="W4086" s="82" t="s">
        <v>6435</v>
      </c>
      <c r="X4086" s="77"/>
      <c r="Y4086" s="77"/>
      <c r="Z4086" s="77"/>
      <c r="AA4086" s="77"/>
      <c r="AB4086" s="77"/>
      <c r="AC4086" s="82" t="s">
        <v>7787</v>
      </c>
      <c r="AD4086" s="77" t="s">
        <v>7788</v>
      </c>
      <c r="AE4086" s="80" t="str">
        <f>HYPERLINK("https://twitter.com/modalmais/status/1704235975352733851")</f>
        <v>https://twitter.com/modalmais/status/1704235975352733851</v>
      </c>
      <c r="AF4086" s="79">
        <v>45188.866828703707</v>
      </c>
      <c r="AG4086" s="85">
        <v>45188</v>
      </c>
      <c r="AH4086" s="82" t="s">
        <v>10484</v>
      </c>
      <c r="AI4086" s="77"/>
      <c r="AJ4086" s="77"/>
      <c r="AK4086" s="77"/>
      <c r="AL4086" s="77"/>
      <c r="AM4086" s="77"/>
      <c r="AN4086" s="77"/>
      <c r="AO4086" s="77"/>
      <c r="AP4086" s="77"/>
      <c r="AQ4086" s="77"/>
      <c r="AR4086" s="77"/>
      <c r="AS4086" s="77"/>
      <c r="AT4086" s="77"/>
      <c r="AU4086" s="77"/>
      <c r="AV4086" s="80" t="str">
        <f>HYPERLINK("https://pbs.twimg.com/profile_images/1067039778795937797/PnnLGTU4_normal.jpg")</f>
        <v>https://pbs.twimg.com/profile_images/1067039778795937797/PnnLGTU4_normal.jpg</v>
      </c>
      <c r="AW4086" s="82" t="s">
        <v>15657</v>
      </c>
      <c r="AX4086" s="82" t="s">
        <v>15657</v>
      </c>
      <c r="AY4086" s="77"/>
      <c r="AZ4086" s="82" t="s">
        <v>15984</v>
      </c>
      <c r="BA4086" s="82" t="s">
        <v>15984</v>
      </c>
      <c r="BB4086" s="82" t="s">
        <v>15984</v>
      </c>
      <c r="BC4086" s="82" t="s">
        <v>15657</v>
      </c>
      <c r="BD4086" s="77">
        <v>2578778256</v>
      </c>
      <c r="BE4086" s="77"/>
      <c r="BF4086" s="77"/>
      <c r="BG4086" s="77"/>
      <c r="BH4086" s="77"/>
      <c r="BI4086" s="77"/>
    </row>
    <row r="4087" spans="1:61" x14ac:dyDescent="0.25">
      <c r="A4087" s="62" t="s">
        <v>735</v>
      </c>
      <c r="B4087" s="62" t="s">
        <v>735</v>
      </c>
      <c r="C4087" s="63"/>
      <c r="D4087" s="64"/>
      <c r="E4087" s="65"/>
      <c r="F4087" s="66"/>
      <c r="G4087" s="63"/>
      <c r="H4087" s="67"/>
      <c r="I4087" s="68"/>
      <c r="J4087" s="68"/>
      <c r="K4087" s="32"/>
      <c r="L4087" s="75">
        <v>4087</v>
      </c>
      <c r="M4087" s="75"/>
      <c r="N4087" s="70"/>
      <c r="O4087" s="77" t="s">
        <v>179</v>
      </c>
      <c r="P4087" s="79">
        <v>45180.853125000001</v>
      </c>
      <c r="Q4087" s="77" t="s">
        <v>4729</v>
      </c>
      <c r="R4087" s="77">
        <v>0</v>
      </c>
      <c r="S4087" s="77">
        <v>2</v>
      </c>
      <c r="T4087" s="77">
        <v>0</v>
      </c>
      <c r="U4087" s="77">
        <v>0</v>
      </c>
      <c r="V4087" s="77">
        <v>409</v>
      </c>
      <c r="W4087" s="82" t="s">
        <v>6424</v>
      </c>
      <c r="X4087" s="80" t="str">
        <f>HYPERLINK("https://www.youtube.com/watch?v=dYSxhXlgzn0")</f>
        <v>https://www.youtube.com/watch?v=dYSxhXlgzn0</v>
      </c>
      <c r="Y4087" s="77" t="s">
        <v>6480</v>
      </c>
      <c r="Z4087" s="77"/>
      <c r="AA4087" s="77"/>
      <c r="AB4087" s="77"/>
      <c r="AC4087" s="82" t="s">
        <v>7787</v>
      </c>
      <c r="AD4087" s="77" t="s">
        <v>7788</v>
      </c>
      <c r="AE4087" s="80" t="str">
        <f>HYPERLINK("https://twitter.com/modalmais/status/1701331905923227757")</f>
        <v>https://twitter.com/modalmais/status/1701331905923227757</v>
      </c>
      <c r="AF4087" s="79">
        <v>45180.853125000001</v>
      </c>
      <c r="AG4087" s="85">
        <v>45180</v>
      </c>
      <c r="AH4087" s="82" t="s">
        <v>10485</v>
      </c>
      <c r="AI4087" s="77" t="b">
        <v>0</v>
      </c>
      <c r="AJ4087" s="77"/>
      <c r="AK4087" s="77"/>
      <c r="AL4087" s="77"/>
      <c r="AM4087" s="77"/>
      <c r="AN4087" s="77"/>
      <c r="AO4087" s="77"/>
      <c r="AP4087" s="77"/>
      <c r="AQ4087" s="77"/>
      <c r="AR4087" s="77"/>
      <c r="AS4087" s="77"/>
      <c r="AT4087" s="77"/>
      <c r="AU4087" s="77"/>
      <c r="AV4087" s="80" t="str">
        <f>HYPERLINK("https://pbs.twimg.com/profile_images/1067039778795937797/PnnLGTU4_normal.jpg")</f>
        <v>https://pbs.twimg.com/profile_images/1067039778795937797/PnnLGTU4_normal.jpg</v>
      </c>
      <c r="AW4087" s="82" t="s">
        <v>15658</v>
      </c>
      <c r="AX4087" s="82" t="s">
        <v>15658</v>
      </c>
      <c r="AY4087" s="77"/>
      <c r="AZ4087" s="82" t="s">
        <v>15984</v>
      </c>
      <c r="BA4087" s="82" t="s">
        <v>15984</v>
      </c>
      <c r="BB4087" s="82" t="s">
        <v>15984</v>
      </c>
      <c r="BC4087" s="82" t="s">
        <v>15658</v>
      </c>
      <c r="BD4087" s="77">
        <v>2578778256</v>
      </c>
      <c r="BE4087" s="77"/>
      <c r="BF4087" s="77"/>
      <c r="BG4087" s="77"/>
      <c r="BH4087" s="77"/>
      <c r="BI4087" s="77"/>
    </row>
    <row r="4088" spans="1:61" x14ac:dyDescent="0.25">
      <c r="A4088" s="62" t="s">
        <v>735</v>
      </c>
      <c r="B4088" s="62" t="s">
        <v>735</v>
      </c>
      <c r="C4088" s="63"/>
      <c r="D4088" s="64"/>
      <c r="E4088" s="65"/>
      <c r="F4088" s="66"/>
      <c r="G4088" s="63"/>
      <c r="H4088" s="67"/>
      <c r="I4088" s="68"/>
      <c r="J4088" s="68"/>
      <c r="K4088" s="32"/>
      <c r="L4088" s="75">
        <v>4088</v>
      </c>
      <c r="M4088" s="75"/>
      <c r="N4088" s="70"/>
      <c r="O4088" s="77" t="s">
        <v>179</v>
      </c>
      <c r="P4088" s="79">
        <v>45180.852118055554</v>
      </c>
      <c r="Q4088" s="77" t="s">
        <v>4730</v>
      </c>
      <c r="R4088" s="77">
        <v>0</v>
      </c>
      <c r="S4088" s="77">
        <v>2</v>
      </c>
      <c r="T4088" s="77">
        <v>0</v>
      </c>
      <c r="U4088" s="77">
        <v>0</v>
      </c>
      <c r="V4088" s="77">
        <v>340</v>
      </c>
      <c r="W4088" s="82" t="s">
        <v>6438</v>
      </c>
      <c r="X4088" s="80" t="str">
        <f>HYPERLINK("https://www.modalmais.com.br/blog/licoes-trader-que-vao-melhorar-suas-operacoes/")</f>
        <v>https://www.modalmais.com.br/blog/licoes-trader-que-vao-melhorar-suas-operacoes/</v>
      </c>
      <c r="Y4088" s="77" t="s">
        <v>6470</v>
      </c>
      <c r="Z4088" s="77"/>
      <c r="AA4088" s="77"/>
      <c r="AB4088" s="77"/>
      <c r="AC4088" s="82" t="s">
        <v>7787</v>
      </c>
      <c r="AD4088" s="77" t="s">
        <v>7788</v>
      </c>
      <c r="AE4088" s="80" t="str">
        <f>HYPERLINK("https://twitter.com/modalmais/status/1701331544051171601")</f>
        <v>https://twitter.com/modalmais/status/1701331544051171601</v>
      </c>
      <c r="AF4088" s="79">
        <v>45180.852118055554</v>
      </c>
      <c r="AG4088" s="85">
        <v>45180</v>
      </c>
      <c r="AH4088" s="82" t="s">
        <v>10486</v>
      </c>
      <c r="AI4088" s="77" t="b">
        <v>0</v>
      </c>
      <c r="AJ4088" s="77"/>
      <c r="AK4088" s="77"/>
      <c r="AL4088" s="77"/>
      <c r="AM4088" s="77"/>
      <c r="AN4088" s="77"/>
      <c r="AO4088" s="77"/>
      <c r="AP4088" s="77"/>
      <c r="AQ4088" s="77"/>
      <c r="AR4088" s="77"/>
      <c r="AS4088" s="77"/>
      <c r="AT4088" s="77"/>
      <c r="AU4088" s="77"/>
      <c r="AV4088" s="80" t="str">
        <f>HYPERLINK("https://pbs.twimg.com/profile_images/1067039778795937797/PnnLGTU4_normal.jpg")</f>
        <v>https://pbs.twimg.com/profile_images/1067039778795937797/PnnLGTU4_normal.jpg</v>
      </c>
      <c r="AW4088" s="82" t="s">
        <v>15659</v>
      </c>
      <c r="AX4088" s="82" t="s">
        <v>15659</v>
      </c>
      <c r="AY4088" s="77"/>
      <c r="AZ4088" s="82" t="s">
        <v>15984</v>
      </c>
      <c r="BA4088" s="82" t="s">
        <v>15984</v>
      </c>
      <c r="BB4088" s="82" t="s">
        <v>15984</v>
      </c>
      <c r="BC4088" s="82" t="s">
        <v>15659</v>
      </c>
      <c r="BD4088" s="77">
        <v>2578778256</v>
      </c>
      <c r="BE4088" s="77"/>
      <c r="BF4088" s="77"/>
      <c r="BG4088" s="77"/>
      <c r="BH4088" s="77"/>
      <c r="BI4088" s="77"/>
    </row>
    <row r="4089" spans="1:61" x14ac:dyDescent="0.25">
      <c r="A4089" s="62" t="s">
        <v>735</v>
      </c>
      <c r="B4089" s="62" t="s">
        <v>735</v>
      </c>
      <c r="C4089" s="63"/>
      <c r="D4089" s="64"/>
      <c r="E4089" s="65"/>
      <c r="F4089" s="66"/>
      <c r="G4089" s="63"/>
      <c r="H4089" s="67"/>
      <c r="I4089" s="68"/>
      <c r="J4089" s="68"/>
      <c r="K4089" s="32"/>
      <c r="L4089" s="75">
        <v>4089</v>
      </c>
      <c r="M4089" s="75"/>
      <c r="N4089" s="70"/>
      <c r="O4089" s="77" t="s">
        <v>179</v>
      </c>
      <c r="P4089" s="79">
        <v>45154.859953703701</v>
      </c>
      <c r="Q4089" s="77" t="s">
        <v>4731</v>
      </c>
      <c r="R4089" s="77">
        <v>0</v>
      </c>
      <c r="S4089" s="77">
        <v>0</v>
      </c>
      <c r="T4089" s="77">
        <v>0</v>
      </c>
      <c r="U4089" s="77">
        <v>0</v>
      </c>
      <c r="V4089" s="77">
        <v>320</v>
      </c>
      <c r="W4089" s="82" t="s">
        <v>6421</v>
      </c>
      <c r="X4089" s="80" t="str">
        <f>HYPERLINK("https://www.youtube.com/watch?v=jAk6QOhwodg")</f>
        <v>https://www.youtube.com/watch?v=jAk6QOhwodg</v>
      </c>
      <c r="Y4089" s="77" t="s">
        <v>6480</v>
      </c>
      <c r="Z4089" s="77"/>
      <c r="AA4089" s="77"/>
      <c r="AB4089" s="77"/>
      <c r="AC4089" s="82" t="s">
        <v>7787</v>
      </c>
      <c r="AD4089" s="77" t="s">
        <v>7788</v>
      </c>
      <c r="AE4089" s="80" t="str">
        <f>HYPERLINK("https://twitter.com/modalmais/status/1691912298766504000")</f>
        <v>https://twitter.com/modalmais/status/1691912298766504000</v>
      </c>
      <c r="AF4089" s="79">
        <v>45154.859953703701</v>
      </c>
      <c r="AG4089" s="85">
        <v>45154</v>
      </c>
      <c r="AH4089" s="82" t="s">
        <v>10487</v>
      </c>
      <c r="AI4089" s="77" t="b">
        <v>0</v>
      </c>
      <c r="AJ4089" s="77"/>
      <c r="AK4089" s="77"/>
      <c r="AL4089" s="77"/>
      <c r="AM4089" s="77"/>
      <c r="AN4089" s="77"/>
      <c r="AO4089" s="77"/>
      <c r="AP4089" s="77"/>
      <c r="AQ4089" s="77"/>
      <c r="AR4089" s="77"/>
      <c r="AS4089" s="77"/>
      <c r="AT4089" s="77"/>
      <c r="AU4089" s="77"/>
      <c r="AV4089" s="80" t="str">
        <f>HYPERLINK("https://pbs.twimg.com/profile_images/1067039778795937797/PnnLGTU4_normal.jpg")</f>
        <v>https://pbs.twimg.com/profile_images/1067039778795937797/PnnLGTU4_normal.jpg</v>
      </c>
      <c r="AW4089" s="82" t="s">
        <v>15660</v>
      </c>
      <c r="AX4089" s="82" t="s">
        <v>15660</v>
      </c>
      <c r="AY4089" s="77"/>
      <c r="AZ4089" s="82" t="s">
        <v>15984</v>
      </c>
      <c r="BA4089" s="82" t="s">
        <v>15984</v>
      </c>
      <c r="BB4089" s="82" t="s">
        <v>15984</v>
      </c>
      <c r="BC4089" s="82" t="s">
        <v>15660</v>
      </c>
      <c r="BD4089" s="77">
        <v>2578778256</v>
      </c>
      <c r="BE4089" s="77"/>
      <c r="BF4089" s="77"/>
      <c r="BG4089" s="77"/>
      <c r="BH4089" s="77"/>
      <c r="BI4089" s="77"/>
    </row>
    <row r="4090" spans="1:61" x14ac:dyDescent="0.25">
      <c r="A4090" s="62" t="s">
        <v>735</v>
      </c>
      <c r="B4090" s="62" t="s">
        <v>735</v>
      </c>
      <c r="C4090" s="63"/>
      <c r="D4090" s="64"/>
      <c r="E4090" s="65"/>
      <c r="F4090" s="66"/>
      <c r="G4090" s="63"/>
      <c r="H4090" s="67"/>
      <c r="I4090" s="68"/>
      <c r="J4090" s="68"/>
      <c r="K4090" s="32"/>
      <c r="L4090" s="75">
        <v>4090</v>
      </c>
      <c r="M4090" s="75"/>
      <c r="N4090" s="70"/>
      <c r="O4090" s="77" t="s">
        <v>179</v>
      </c>
      <c r="P4090" s="79">
        <v>45133.700150462966</v>
      </c>
      <c r="Q4090" s="77" t="s">
        <v>4732</v>
      </c>
      <c r="R4090" s="77">
        <v>0</v>
      </c>
      <c r="S4090" s="77">
        <v>0</v>
      </c>
      <c r="T4090" s="77">
        <v>0</v>
      </c>
      <c r="U4090" s="77">
        <v>0</v>
      </c>
      <c r="V4090" s="77">
        <v>328</v>
      </c>
      <c r="W4090" s="82" t="s">
        <v>6411</v>
      </c>
      <c r="X4090" s="77"/>
      <c r="Y4090" s="77"/>
      <c r="Z4090" s="77"/>
      <c r="AA4090" s="77"/>
      <c r="AB4090" s="77"/>
      <c r="AC4090" s="82" t="s">
        <v>7787</v>
      </c>
      <c r="AD4090" s="77" t="s">
        <v>7788</v>
      </c>
      <c r="AE4090" s="80" t="str">
        <f>HYPERLINK("https://twitter.com/modalmais/status/1684244239478140944")</f>
        <v>https://twitter.com/modalmais/status/1684244239478140944</v>
      </c>
      <c r="AF4090" s="79">
        <v>45133.700150462966</v>
      </c>
      <c r="AG4090" s="85">
        <v>45133</v>
      </c>
      <c r="AH4090" s="82" t="s">
        <v>10488</v>
      </c>
      <c r="AI4090" s="77"/>
      <c r="AJ4090" s="77"/>
      <c r="AK4090" s="77"/>
      <c r="AL4090" s="77"/>
      <c r="AM4090" s="77"/>
      <c r="AN4090" s="77"/>
      <c r="AO4090" s="77"/>
      <c r="AP4090" s="77"/>
      <c r="AQ4090" s="77"/>
      <c r="AR4090" s="77"/>
      <c r="AS4090" s="77"/>
      <c r="AT4090" s="77"/>
      <c r="AU4090" s="77"/>
      <c r="AV4090" s="80" t="str">
        <f>HYPERLINK("https://pbs.twimg.com/profile_images/1067039778795937797/PnnLGTU4_normal.jpg")</f>
        <v>https://pbs.twimg.com/profile_images/1067039778795937797/PnnLGTU4_normal.jpg</v>
      </c>
      <c r="AW4090" s="82" t="s">
        <v>15661</v>
      </c>
      <c r="AX4090" s="82" t="s">
        <v>15661</v>
      </c>
      <c r="AY4090" s="77"/>
      <c r="AZ4090" s="82" t="s">
        <v>15984</v>
      </c>
      <c r="BA4090" s="82" t="s">
        <v>15984</v>
      </c>
      <c r="BB4090" s="82" t="s">
        <v>15984</v>
      </c>
      <c r="BC4090" s="82" t="s">
        <v>15661</v>
      </c>
      <c r="BD4090" s="77">
        <v>2578778256</v>
      </c>
      <c r="BE4090" s="77"/>
      <c r="BF4090" s="77"/>
      <c r="BG4090" s="77"/>
      <c r="BH4090" s="77"/>
      <c r="BI4090" s="77"/>
    </row>
    <row r="4091" spans="1:61" x14ac:dyDescent="0.25">
      <c r="A4091" s="62" t="s">
        <v>735</v>
      </c>
      <c r="B4091" s="62" t="s">
        <v>735</v>
      </c>
      <c r="C4091" s="63"/>
      <c r="D4091" s="64"/>
      <c r="E4091" s="65"/>
      <c r="F4091" s="66"/>
      <c r="G4091" s="63"/>
      <c r="H4091" s="67"/>
      <c r="I4091" s="68"/>
      <c r="J4091" s="68"/>
      <c r="K4091" s="32"/>
      <c r="L4091" s="75">
        <v>4091</v>
      </c>
      <c r="M4091" s="75"/>
      <c r="N4091" s="70"/>
      <c r="O4091" s="77" t="s">
        <v>179</v>
      </c>
      <c r="P4091" s="79">
        <v>45133.699837962966</v>
      </c>
      <c r="Q4091" s="77" t="s">
        <v>4733</v>
      </c>
      <c r="R4091" s="77">
        <v>0</v>
      </c>
      <c r="S4091" s="77">
        <v>2</v>
      </c>
      <c r="T4091" s="77">
        <v>0</v>
      </c>
      <c r="U4091" s="77">
        <v>0</v>
      </c>
      <c r="V4091" s="77">
        <v>326</v>
      </c>
      <c r="W4091" s="82" t="s">
        <v>6411</v>
      </c>
      <c r="X4091" s="77"/>
      <c r="Y4091" s="77"/>
      <c r="Z4091" s="77"/>
      <c r="AA4091" s="77"/>
      <c r="AB4091" s="77"/>
      <c r="AC4091" s="82" t="s">
        <v>7787</v>
      </c>
      <c r="AD4091" s="77" t="s">
        <v>7788</v>
      </c>
      <c r="AE4091" s="80" t="str">
        <f>HYPERLINK("https://twitter.com/modalmais/status/1684244127804805120")</f>
        <v>https://twitter.com/modalmais/status/1684244127804805120</v>
      </c>
      <c r="AF4091" s="79">
        <v>45133.699837962966</v>
      </c>
      <c r="AG4091" s="85">
        <v>45133</v>
      </c>
      <c r="AH4091" s="82" t="s">
        <v>10489</v>
      </c>
      <c r="AI4091" s="77"/>
      <c r="AJ4091" s="77"/>
      <c r="AK4091" s="77"/>
      <c r="AL4091" s="77"/>
      <c r="AM4091" s="77"/>
      <c r="AN4091" s="77"/>
      <c r="AO4091" s="77"/>
      <c r="AP4091" s="77"/>
      <c r="AQ4091" s="77"/>
      <c r="AR4091" s="77"/>
      <c r="AS4091" s="77"/>
      <c r="AT4091" s="77"/>
      <c r="AU4091" s="77"/>
      <c r="AV4091" s="80" t="str">
        <f>HYPERLINK("https://pbs.twimg.com/profile_images/1067039778795937797/PnnLGTU4_normal.jpg")</f>
        <v>https://pbs.twimg.com/profile_images/1067039778795937797/PnnLGTU4_normal.jpg</v>
      </c>
      <c r="AW4091" s="82" t="s">
        <v>15662</v>
      </c>
      <c r="AX4091" s="82" t="s">
        <v>15662</v>
      </c>
      <c r="AY4091" s="77"/>
      <c r="AZ4091" s="82" t="s">
        <v>15984</v>
      </c>
      <c r="BA4091" s="82" t="s">
        <v>15984</v>
      </c>
      <c r="BB4091" s="82" t="s">
        <v>15984</v>
      </c>
      <c r="BC4091" s="82" t="s">
        <v>15662</v>
      </c>
      <c r="BD4091" s="77">
        <v>2578778256</v>
      </c>
      <c r="BE4091" s="77"/>
      <c r="BF4091" s="77"/>
      <c r="BG4091" s="77"/>
      <c r="BH4091" s="77"/>
      <c r="BI4091" s="77"/>
    </row>
    <row r="4092" spans="1:61" x14ac:dyDescent="0.25">
      <c r="A4092" s="62" t="s">
        <v>735</v>
      </c>
      <c r="B4092" s="62" t="s">
        <v>735</v>
      </c>
      <c r="C4092" s="63"/>
      <c r="D4092" s="64"/>
      <c r="E4092" s="65"/>
      <c r="F4092" s="66"/>
      <c r="G4092" s="63"/>
      <c r="H4092" s="67"/>
      <c r="I4092" s="68"/>
      <c r="J4092" s="68"/>
      <c r="K4092" s="32"/>
      <c r="L4092" s="75">
        <v>4092</v>
      </c>
      <c r="M4092" s="75"/>
      <c r="N4092" s="70"/>
      <c r="O4092" s="77" t="s">
        <v>179</v>
      </c>
      <c r="P4092" s="79">
        <v>45133.699456018519</v>
      </c>
      <c r="Q4092" s="77" t="s">
        <v>4734</v>
      </c>
      <c r="R4092" s="77">
        <v>0</v>
      </c>
      <c r="S4092" s="77">
        <v>2</v>
      </c>
      <c r="T4092" s="77">
        <v>0</v>
      </c>
      <c r="U4092" s="77">
        <v>0</v>
      </c>
      <c r="V4092" s="77">
        <v>333</v>
      </c>
      <c r="W4092" s="82" t="s">
        <v>6411</v>
      </c>
      <c r="X4092" s="77"/>
      <c r="Y4092" s="77"/>
      <c r="Z4092" s="77"/>
      <c r="AA4092" s="77"/>
      <c r="AB4092" s="77"/>
      <c r="AC4092" s="82" t="s">
        <v>7787</v>
      </c>
      <c r="AD4092" s="77" t="s">
        <v>7788</v>
      </c>
      <c r="AE4092" s="80" t="str">
        <f>HYPERLINK("https://twitter.com/modalmais/status/1684243988377743381")</f>
        <v>https://twitter.com/modalmais/status/1684243988377743381</v>
      </c>
      <c r="AF4092" s="79">
        <v>45133.699456018519</v>
      </c>
      <c r="AG4092" s="85">
        <v>45133</v>
      </c>
      <c r="AH4092" s="82" t="s">
        <v>10490</v>
      </c>
      <c r="AI4092" s="77"/>
      <c r="AJ4092" s="77"/>
      <c r="AK4092" s="77"/>
      <c r="AL4092" s="77"/>
      <c r="AM4092" s="77"/>
      <c r="AN4092" s="77"/>
      <c r="AO4092" s="77"/>
      <c r="AP4092" s="77"/>
      <c r="AQ4092" s="77"/>
      <c r="AR4092" s="77"/>
      <c r="AS4092" s="77"/>
      <c r="AT4092" s="77"/>
      <c r="AU4092" s="77"/>
      <c r="AV4092" s="80" t="str">
        <f>HYPERLINK("https://pbs.twimg.com/profile_images/1067039778795937797/PnnLGTU4_normal.jpg")</f>
        <v>https://pbs.twimg.com/profile_images/1067039778795937797/PnnLGTU4_normal.jpg</v>
      </c>
      <c r="AW4092" s="82" t="s">
        <v>15663</v>
      </c>
      <c r="AX4092" s="82" t="s">
        <v>15663</v>
      </c>
      <c r="AY4092" s="77"/>
      <c r="AZ4092" s="82" t="s">
        <v>15984</v>
      </c>
      <c r="BA4092" s="82" t="s">
        <v>15984</v>
      </c>
      <c r="BB4092" s="82" t="s">
        <v>15984</v>
      </c>
      <c r="BC4092" s="82" t="s">
        <v>15663</v>
      </c>
      <c r="BD4092" s="77">
        <v>2578778256</v>
      </c>
      <c r="BE4092" s="77"/>
      <c r="BF4092" s="77"/>
      <c r="BG4092" s="77"/>
      <c r="BH4092" s="77"/>
      <c r="BI4092" s="77"/>
    </row>
    <row r="4093" spans="1:61" x14ac:dyDescent="0.25">
      <c r="A4093" s="62" t="s">
        <v>735</v>
      </c>
      <c r="B4093" s="62" t="s">
        <v>735</v>
      </c>
      <c r="C4093" s="63"/>
      <c r="D4093" s="64"/>
      <c r="E4093" s="65"/>
      <c r="F4093" s="66"/>
      <c r="G4093" s="63"/>
      <c r="H4093" s="67"/>
      <c r="I4093" s="68"/>
      <c r="J4093" s="68"/>
      <c r="K4093" s="32"/>
      <c r="L4093" s="75">
        <v>4093</v>
      </c>
      <c r="M4093" s="75"/>
      <c r="N4093" s="70"/>
      <c r="O4093" s="77" t="s">
        <v>179</v>
      </c>
      <c r="P4093" s="79">
        <v>45133.698865740742</v>
      </c>
      <c r="Q4093" s="77" t="s">
        <v>4735</v>
      </c>
      <c r="R4093" s="77">
        <v>0</v>
      </c>
      <c r="S4093" s="77">
        <v>0</v>
      </c>
      <c r="T4093" s="77">
        <v>0</v>
      </c>
      <c r="U4093" s="77">
        <v>0</v>
      </c>
      <c r="V4093" s="77">
        <v>285</v>
      </c>
      <c r="W4093" s="82" t="s">
        <v>6411</v>
      </c>
      <c r="X4093" s="77"/>
      <c r="Y4093" s="77"/>
      <c r="Z4093" s="77"/>
      <c r="AA4093" s="77"/>
      <c r="AB4093" s="77"/>
      <c r="AC4093" s="82" t="s">
        <v>7787</v>
      </c>
      <c r="AD4093" s="77" t="s">
        <v>7790</v>
      </c>
      <c r="AE4093" s="80" t="str">
        <f>HYPERLINK("https://twitter.com/modalmais/status/1684243773721546752")</f>
        <v>https://twitter.com/modalmais/status/1684243773721546752</v>
      </c>
      <c r="AF4093" s="79">
        <v>45133.698865740742</v>
      </c>
      <c r="AG4093" s="85">
        <v>45133</v>
      </c>
      <c r="AH4093" s="82" t="s">
        <v>10491</v>
      </c>
      <c r="AI4093" s="77"/>
      <c r="AJ4093" s="77"/>
      <c r="AK4093" s="77"/>
      <c r="AL4093" s="77"/>
      <c r="AM4093" s="77"/>
      <c r="AN4093" s="77"/>
      <c r="AO4093" s="77"/>
      <c r="AP4093" s="77"/>
      <c r="AQ4093" s="77"/>
      <c r="AR4093" s="77"/>
      <c r="AS4093" s="77"/>
      <c r="AT4093" s="77"/>
      <c r="AU4093" s="77"/>
      <c r="AV4093" s="80" t="str">
        <f>HYPERLINK("https://pbs.twimg.com/profile_images/1067039778795937797/PnnLGTU4_normal.jpg")</f>
        <v>https://pbs.twimg.com/profile_images/1067039778795937797/PnnLGTU4_normal.jpg</v>
      </c>
      <c r="AW4093" s="82" t="s">
        <v>15664</v>
      </c>
      <c r="AX4093" s="82" t="s">
        <v>15664</v>
      </c>
      <c r="AY4093" s="77"/>
      <c r="AZ4093" s="82" t="s">
        <v>15984</v>
      </c>
      <c r="BA4093" s="82" t="s">
        <v>15984</v>
      </c>
      <c r="BB4093" s="82" t="s">
        <v>15984</v>
      </c>
      <c r="BC4093" s="82" t="s">
        <v>15664</v>
      </c>
      <c r="BD4093" s="77">
        <v>2578778256</v>
      </c>
      <c r="BE4093" s="77"/>
      <c r="BF4093" s="77"/>
      <c r="BG4093" s="77"/>
      <c r="BH4093" s="77"/>
      <c r="BI4093" s="77"/>
    </row>
    <row r="4094" spans="1:61" x14ac:dyDescent="0.25">
      <c r="A4094" s="62" t="s">
        <v>735</v>
      </c>
      <c r="B4094" s="62" t="s">
        <v>735</v>
      </c>
      <c r="C4094" s="63"/>
      <c r="D4094" s="64"/>
      <c r="E4094" s="65"/>
      <c r="F4094" s="66"/>
      <c r="G4094" s="63"/>
      <c r="H4094" s="67"/>
      <c r="I4094" s="68"/>
      <c r="J4094" s="68"/>
      <c r="K4094" s="32"/>
      <c r="L4094" s="75">
        <v>4094</v>
      </c>
      <c r="M4094" s="75"/>
      <c r="N4094" s="70"/>
      <c r="O4094" s="77" t="s">
        <v>179</v>
      </c>
      <c r="P4094" s="79">
        <v>45133.620613425926</v>
      </c>
      <c r="Q4094" s="77" t="s">
        <v>4736</v>
      </c>
      <c r="R4094" s="77">
        <v>0</v>
      </c>
      <c r="S4094" s="77">
        <v>0</v>
      </c>
      <c r="T4094" s="77">
        <v>0</v>
      </c>
      <c r="U4094" s="77">
        <v>0</v>
      </c>
      <c r="V4094" s="77">
        <v>292</v>
      </c>
      <c r="W4094" s="82" t="s">
        <v>6411</v>
      </c>
      <c r="X4094" s="77"/>
      <c r="Y4094" s="77"/>
      <c r="Z4094" s="77"/>
      <c r="AA4094" s="77"/>
      <c r="AB4094" s="77"/>
      <c r="AC4094" s="82" t="s">
        <v>7787</v>
      </c>
      <c r="AD4094" s="77" t="s">
        <v>7788</v>
      </c>
      <c r="AE4094" s="80" t="str">
        <f>HYPERLINK("https://twitter.com/modalmais/status/1684215417387069443")</f>
        <v>https://twitter.com/modalmais/status/1684215417387069443</v>
      </c>
      <c r="AF4094" s="79">
        <v>45133.620613425926</v>
      </c>
      <c r="AG4094" s="85">
        <v>45133</v>
      </c>
      <c r="AH4094" s="82" t="s">
        <v>10492</v>
      </c>
      <c r="AI4094" s="77"/>
      <c r="AJ4094" s="77"/>
      <c r="AK4094" s="77"/>
      <c r="AL4094" s="77"/>
      <c r="AM4094" s="77"/>
      <c r="AN4094" s="77"/>
      <c r="AO4094" s="77"/>
      <c r="AP4094" s="77"/>
      <c r="AQ4094" s="77"/>
      <c r="AR4094" s="77"/>
      <c r="AS4094" s="77"/>
      <c r="AT4094" s="77"/>
      <c r="AU4094" s="77"/>
      <c r="AV4094" s="80" t="str">
        <f>HYPERLINK("https://pbs.twimg.com/profile_images/1067039778795937797/PnnLGTU4_normal.jpg")</f>
        <v>https://pbs.twimg.com/profile_images/1067039778795937797/PnnLGTU4_normal.jpg</v>
      </c>
      <c r="AW4094" s="82" t="s">
        <v>15665</v>
      </c>
      <c r="AX4094" s="82" t="s">
        <v>15665</v>
      </c>
      <c r="AY4094" s="77"/>
      <c r="AZ4094" s="82" t="s">
        <v>15984</v>
      </c>
      <c r="BA4094" s="82" t="s">
        <v>15984</v>
      </c>
      <c r="BB4094" s="82" t="s">
        <v>15984</v>
      </c>
      <c r="BC4094" s="82" t="s">
        <v>15665</v>
      </c>
      <c r="BD4094" s="77">
        <v>2578778256</v>
      </c>
      <c r="BE4094" s="77"/>
      <c r="BF4094" s="77"/>
      <c r="BG4094" s="77"/>
      <c r="BH4094" s="77"/>
      <c r="BI4094" s="77"/>
    </row>
    <row r="4095" spans="1:61" x14ac:dyDescent="0.25">
      <c r="A4095" s="62" t="s">
        <v>735</v>
      </c>
      <c r="B4095" s="62" t="s">
        <v>735</v>
      </c>
      <c r="C4095" s="63"/>
      <c r="D4095" s="64"/>
      <c r="E4095" s="65"/>
      <c r="F4095" s="66"/>
      <c r="G4095" s="63"/>
      <c r="H4095" s="67"/>
      <c r="I4095" s="68"/>
      <c r="J4095" s="68"/>
      <c r="K4095" s="32"/>
      <c r="L4095" s="75">
        <v>4095</v>
      </c>
      <c r="M4095" s="75"/>
      <c r="N4095" s="70"/>
      <c r="O4095" s="77" t="s">
        <v>179</v>
      </c>
      <c r="P4095" s="79">
        <v>45133.605682870373</v>
      </c>
      <c r="Q4095" s="77" t="s">
        <v>4737</v>
      </c>
      <c r="R4095" s="77">
        <v>0</v>
      </c>
      <c r="S4095" s="77">
        <v>1</v>
      </c>
      <c r="T4095" s="77">
        <v>0</v>
      </c>
      <c r="U4095" s="77">
        <v>0</v>
      </c>
      <c r="V4095" s="77">
        <v>415</v>
      </c>
      <c r="W4095" s="82" t="s">
        <v>6411</v>
      </c>
      <c r="X4095" s="77"/>
      <c r="Y4095" s="77"/>
      <c r="Z4095" s="77"/>
      <c r="AA4095" s="77"/>
      <c r="AB4095" s="77"/>
      <c r="AC4095" s="82" t="s">
        <v>7787</v>
      </c>
      <c r="AD4095" s="77" t="s">
        <v>7788</v>
      </c>
      <c r="AE4095" s="80" t="str">
        <f>HYPERLINK("https://twitter.com/modalmais/status/1684210005849899008")</f>
        <v>https://twitter.com/modalmais/status/1684210005849899008</v>
      </c>
      <c r="AF4095" s="79">
        <v>45133.605682870373</v>
      </c>
      <c r="AG4095" s="85">
        <v>45133</v>
      </c>
      <c r="AH4095" s="82" t="s">
        <v>10493</v>
      </c>
      <c r="AI4095" s="77"/>
      <c r="AJ4095" s="77"/>
      <c r="AK4095" s="77"/>
      <c r="AL4095" s="77"/>
      <c r="AM4095" s="77"/>
      <c r="AN4095" s="77"/>
      <c r="AO4095" s="77"/>
      <c r="AP4095" s="77"/>
      <c r="AQ4095" s="77"/>
      <c r="AR4095" s="77"/>
      <c r="AS4095" s="77"/>
      <c r="AT4095" s="77"/>
      <c r="AU4095" s="77"/>
      <c r="AV4095" s="80" t="str">
        <f>HYPERLINK("https://pbs.twimg.com/profile_images/1067039778795937797/PnnLGTU4_normal.jpg")</f>
        <v>https://pbs.twimg.com/profile_images/1067039778795937797/PnnLGTU4_normal.jpg</v>
      </c>
      <c r="AW4095" s="82" t="s">
        <v>15666</v>
      </c>
      <c r="AX4095" s="82" t="s">
        <v>15666</v>
      </c>
      <c r="AY4095" s="77"/>
      <c r="AZ4095" s="82" t="s">
        <v>15984</v>
      </c>
      <c r="BA4095" s="82" t="s">
        <v>15984</v>
      </c>
      <c r="BB4095" s="82" t="s">
        <v>15984</v>
      </c>
      <c r="BC4095" s="82" t="s">
        <v>15666</v>
      </c>
      <c r="BD4095" s="77">
        <v>2578778256</v>
      </c>
      <c r="BE4095" s="77"/>
      <c r="BF4095" s="77"/>
      <c r="BG4095" s="77"/>
      <c r="BH4095" s="77"/>
      <c r="BI4095" s="77"/>
    </row>
    <row r="4096" spans="1:61" x14ac:dyDescent="0.25">
      <c r="A4096" s="62" t="s">
        <v>735</v>
      </c>
      <c r="B4096" s="62" t="s">
        <v>735</v>
      </c>
      <c r="C4096" s="63"/>
      <c r="D4096" s="64"/>
      <c r="E4096" s="65"/>
      <c r="F4096" s="66"/>
      <c r="G4096" s="63"/>
      <c r="H4096" s="67"/>
      <c r="I4096" s="68"/>
      <c r="J4096" s="68"/>
      <c r="K4096" s="32"/>
      <c r="L4096" s="75">
        <v>4096</v>
      </c>
      <c r="M4096" s="75"/>
      <c r="N4096" s="70"/>
      <c r="O4096" s="77" t="s">
        <v>179</v>
      </c>
      <c r="P4096" s="79">
        <v>45133.605069444442</v>
      </c>
      <c r="Q4096" s="77" t="s">
        <v>4738</v>
      </c>
      <c r="R4096" s="77">
        <v>0</v>
      </c>
      <c r="S4096" s="77">
        <v>0</v>
      </c>
      <c r="T4096" s="77">
        <v>0</v>
      </c>
      <c r="U4096" s="77">
        <v>0</v>
      </c>
      <c r="V4096" s="77">
        <v>368</v>
      </c>
      <c r="W4096" s="82" t="s">
        <v>6411</v>
      </c>
      <c r="X4096" s="77"/>
      <c r="Y4096" s="77"/>
      <c r="Z4096" s="77"/>
      <c r="AA4096" s="77"/>
      <c r="AB4096" s="77"/>
      <c r="AC4096" s="82" t="s">
        <v>7787</v>
      </c>
      <c r="AD4096" s="77" t="s">
        <v>7788</v>
      </c>
      <c r="AE4096" s="80" t="str">
        <f>HYPERLINK("https://twitter.com/modalmais/status/1684209783694303238")</f>
        <v>https://twitter.com/modalmais/status/1684209783694303238</v>
      </c>
      <c r="AF4096" s="79">
        <v>45133.605069444442</v>
      </c>
      <c r="AG4096" s="85">
        <v>45133</v>
      </c>
      <c r="AH4096" s="82" t="s">
        <v>10494</v>
      </c>
      <c r="AI4096" s="77"/>
      <c r="AJ4096" s="77"/>
      <c r="AK4096" s="77"/>
      <c r="AL4096" s="77"/>
      <c r="AM4096" s="77"/>
      <c r="AN4096" s="77"/>
      <c r="AO4096" s="77"/>
      <c r="AP4096" s="77"/>
      <c r="AQ4096" s="77"/>
      <c r="AR4096" s="77"/>
      <c r="AS4096" s="77"/>
      <c r="AT4096" s="77"/>
      <c r="AU4096" s="77"/>
      <c r="AV4096" s="80" t="str">
        <f>HYPERLINK("https://pbs.twimg.com/profile_images/1067039778795937797/PnnLGTU4_normal.jpg")</f>
        <v>https://pbs.twimg.com/profile_images/1067039778795937797/PnnLGTU4_normal.jpg</v>
      </c>
      <c r="AW4096" s="82" t="s">
        <v>15667</v>
      </c>
      <c r="AX4096" s="82" t="s">
        <v>15667</v>
      </c>
      <c r="AY4096" s="77"/>
      <c r="AZ4096" s="82" t="s">
        <v>15984</v>
      </c>
      <c r="BA4096" s="82" t="s">
        <v>15984</v>
      </c>
      <c r="BB4096" s="82" t="s">
        <v>15984</v>
      </c>
      <c r="BC4096" s="82" t="s">
        <v>15667</v>
      </c>
      <c r="BD4096" s="77">
        <v>2578778256</v>
      </c>
      <c r="BE4096" s="77"/>
      <c r="BF4096" s="77"/>
      <c r="BG4096" s="77"/>
      <c r="BH4096" s="77"/>
      <c r="BI4096" s="77"/>
    </row>
    <row r="4097" spans="1:61" x14ac:dyDescent="0.25">
      <c r="A4097" s="62" t="s">
        <v>735</v>
      </c>
      <c r="B4097" s="62" t="s">
        <v>735</v>
      </c>
      <c r="C4097" s="63"/>
      <c r="D4097" s="64"/>
      <c r="E4097" s="65"/>
      <c r="F4097" s="66"/>
      <c r="G4097" s="63"/>
      <c r="H4097" s="67"/>
      <c r="I4097" s="68"/>
      <c r="J4097" s="68"/>
      <c r="K4097" s="32"/>
      <c r="L4097" s="75">
        <v>4097</v>
      </c>
      <c r="M4097" s="75"/>
      <c r="N4097" s="70"/>
      <c r="O4097" s="77" t="s">
        <v>179</v>
      </c>
      <c r="P4097" s="79">
        <v>45133.604328703703</v>
      </c>
      <c r="Q4097" s="77" t="s">
        <v>4739</v>
      </c>
      <c r="R4097" s="77">
        <v>0</v>
      </c>
      <c r="S4097" s="77">
        <v>3</v>
      </c>
      <c r="T4097" s="77">
        <v>0</v>
      </c>
      <c r="U4097" s="77">
        <v>0</v>
      </c>
      <c r="V4097" s="77">
        <v>427</v>
      </c>
      <c r="W4097" s="82" t="s">
        <v>6410</v>
      </c>
      <c r="X4097" s="77"/>
      <c r="Y4097" s="77"/>
      <c r="Z4097" s="77"/>
      <c r="AA4097" s="77"/>
      <c r="AB4097" s="77"/>
      <c r="AC4097" s="82" t="s">
        <v>7787</v>
      </c>
      <c r="AD4097" s="77" t="s">
        <v>7788</v>
      </c>
      <c r="AE4097" s="80" t="str">
        <f>HYPERLINK("https://twitter.com/modalmais/status/1684209515611279362")</f>
        <v>https://twitter.com/modalmais/status/1684209515611279362</v>
      </c>
      <c r="AF4097" s="79">
        <v>45133.604328703703</v>
      </c>
      <c r="AG4097" s="85">
        <v>45133</v>
      </c>
      <c r="AH4097" s="82" t="s">
        <v>10495</v>
      </c>
      <c r="AI4097" s="77"/>
      <c r="AJ4097" s="77"/>
      <c r="AK4097" s="77"/>
      <c r="AL4097" s="77"/>
      <c r="AM4097" s="77"/>
      <c r="AN4097" s="77"/>
      <c r="AO4097" s="77"/>
      <c r="AP4097" s="77"/>
      <c r="AQ4097" s="77"/>
      <c r="AR4097" s="77"/>
      <c r="AS4097" s="77"/>
      <c r="AT4097" s="77"/>
      <c r="AU4097" s="77"/>
      <c r="AV4097" s="80" t="str">
        <f>HYPERLINK("https://pbs.twimg.com/profile_images/1067039778795937797/PnnLGTU4_normal.jpg")</f>
        <v>https://pbs.twimg.com/profile_images/1067039778795937797/PnnLGTU4_normal.jpg</v>
      </c>
      <c r="AW4097" s="82" t="s">
        <v>15668</v>
      </c>
      <c r="AX4097" s="82" t="s">
        <v>15668</v>
      </c>
      <c r="AY4097" s="77"/>
      <c r="AZ4097" s="82" t="s">
        <v>15984</v>
      </c>
      <c r="BA4097" s="82" t="s">
        <v>15984</v>
      </c>
      <c r="BB4097" s="82" t="s">
        <v>15984</v>
      </c>
      <c r="BC4097" s="82" t="s">
        <v>15668</v>
      </c>
      <c r="BD4097" s="77">
        <v>2578778256</v>
      </c>
      <c r="BE4097" s="77"/>
      <c r="BF4097" s="77"/>
      <c r="BG4097" s="77"/>
      <c r="BH4097" s="77"/>
      <c r="BI4097" s="77"/>
    </row>
    <row r="4098" spans="1:61" x14ac:dyDescent="0.25">
      <c r="A4098" s="62" t="s">
        <v>735</v>
      </c>
      <c r="B4098" s="62" t="s">
        <v>735</v>
      </c>
      <c r="C4098" s="63"/>
      <c r="D4098" s="64"/>
      <c r="E4098" s="65"/>
      <c r="F4098" s="66"/>
      <c r="G4098" s="63"/>
      <c r="H4098" s="67"/>
      <c r="I4098" s="68"/>
      <c r="J4098" s="68"/>
      <c r="K4098" s="32"/>
      <c r="L4098" s="75">
        <v>4098</v>
      </c>
      <c r="M4098" s="75"/>
      <c r="N4098" s="70"/>
      <c r="O4098" s="77" t="s">
        <v>179</v>
      </c>
      <c r="P4098" s="79">
        <v>45194.618576388886</v>
      </c>
      <c r="Q4098" s="77" t="s">
        <v>4740</v>
      </c>
      <c r="R4098" s="77">
        <v>0</v>
      </c>
      <c r="S4098" s="77">
        <v>0</v>
      </c>
      <c r="T4098" s="77">
        <v>0</v>
      </c>
      <c r="U4098" s="77">
        <v>0</v>
      </c>
      <c r="V4098" s="77">
        <v>316</v>
      </c>
      <c r="W4098" s="82" t="s">
        <v>6434</v>
      </c>
      <c r="X4098" s="80" t="str">
        <f>HYPERLINK("https://www.youtube.com/watch?v=BlpMWNxLFF4")</f>
        <v>https://www.youtube.com/watch?v=BlpMWNxLFF4</v>
      </c>
      <c r="Y4098" s="77" t="s">
        <v>6480</v>
      </c>
      <c r="Z4098" s="77"/>
      <c r="AA4098" s="77"/>
      <c r="AB4098" s="77"/>
      <c r="AC4098" s="82" t="s">
        <v>7787</v>
      </c>
      <c r="AD4098" s="77" t="s">
        <v>7788</v>
      </c>
      <c r="AE4098" s="80" t="str">
        <f>HYPERLINK("https://twitter.com/modalmais/status/1706320339926446271")</f>
        <v>https://twitter.com/modalmais/status/1706320339926446271</v>
      </c>
      <c r="AF4098" s="79">
        <v>45194.618576388886</v>
      </c>
      <c r="AG4098" s="85">
        <v>45194</v>
      </c>
      <c r="AH4098" s="82" t="s">
        <v>10496</v>
      </c>
      <c r="AI4098" s="77" t="b">
        <v>0</v>
      </c>
      <c r="AJ4098" s="77"/>
      <c r="AK4098" s="77"/>
      <c r="AL4098" s="77"/>
      <c r="AM4098" s="77"/>
      <c r="AN4098" s="77"/>
      <c r="AO4098" s="77"/>
      <c r="AP4098" s="77"/>
      <c r="AQ4098" s="77"/>
      <c r="AR4098" s="77"/>
      <c r="AS4098" s="77"/>
      <c r="AT4098" s="77"/>
      <c r="AU4098" s="77"/>
      <c r="AV4098" s="80" t="str">
        <f>HYPERLINK("https://pbs.twimg.com/profile_images/1067039778795937797/PnnLGTU4_normal.jpg")</f>
        <v>https://pbs.twimg.com/profile_images/1067039778795937797/PnnLGTU4_normal.jpg</v>
      </c>
      <c r="AW4098" s="82" t="s">
        <v>15669</v>
      </c>
      <c r="AX4098" s="82" t="s">
        <v>15669</v>
      </c>
      <c r="AY4098" s="77"/>
      <c r="AZ4098" s="82" t="s">
        <v>15984</v>
      </c>
      <c r="BA4098" s="82" t="s">
        <v>15984</v>
      </c>
      <c r="BB4098" s="82" t="s">
        <v>15984</v>
      </c>
      <c r="BC4098" s="82" t="s">
        <v>15669</v>
      </c>
      <c r="BD4098" s="77">
        <v>2578778256</v>
      </c>
      <c r="BE4098" s="77"/>
      <c r="BF4098" s="77"/>
      <c r="BG4098" s="77"/>
      <c r="BH4098" s="77"/>
      <c r="BI4098" s="77"/>
    </row>
    <row r="4099" spans="1:61" x14ac:dyDescent="0.25">
      <c r="A4099" s="62" t="s">
        <v>735</v>
      </c>
      <c r="B4099" s="62" t="s">
        <v>735</v>
      </c>
      <c r="C4099" s="63"/>
      <c r="D4099" s="64"/>
      <c r="E4099" s="65"/>
      <c r="F4099" s="66"/>
      <c r="G4099" s="63"/>
      <c r="H4099" s="67"/>
      <c r="I4099" s="68"/>
      <c r="J4099" s="68"/>
      <c r="K4099" s="32"/>
      <c r="L4099" s="75">
        <v>4099</v>
      </c>
      <c r="M4099" s="75"/>
      <c r="N4099" s="70"/>
      <c r="O4099" s="77" t="s">
        <v>179</v>
      </c>
      <c r="P4099" s="79">
        <v>45189.551516203705</v>
      </c>
      <c r="Q4099" s="77" t="s">
        <v>4741</v>
      </c>
      <c r="R4099" s="77">
        <v>0</v>
      </c>
      <c r="S4099" s="77">
        <v>2</v>
      </c>
      <c r="T4099" s="77">
        <v>0</v>
      </c>
      <c r="U4099" s="77">
        <v>0</v>
      </c>
      <c r="V4099" s="77">
        <v>257</v>
      </c>
      <c r="W4099" s="82" t="s">
        <v>6439</v>
      </c>
      <c r="X4099" s="77"/>
      <c r="Y4099" s="77"/>
      <c r="Z4099" s="77"/>
      <c r="AA4099" s="77"/>
      <c r="AB4099" s="77"/>
      <c r="AC4099" s="82" t="s">
        <v>7787</v>
      </c>
      <c r="AD4099" s="77" t="s">
        <v>7788</v>
      </c>
      <c r="AE4099" s="80" t="str">
        <f>HYPERLINK("https://twitter.com/modalmais/status/1704484097668644902")</f>
        <v>https://twitter.com/modalmais/status/1704484097668644902</v>
      </c>
      <c r="AF4099" s="79">
        <v>45189.551516203705</v>
      </c>
      <c r="AG4099" s="85">
        <v>45189</v>
      </c>
      <c r="AH4099" s="82" t="s">
        <v>10497</v>
      </c>
      <c r="AI4099" s="77"/>
      <c r="AJ4099" s="77"/>
      <c r="AK4099" s="77"/>
      <c r="AL4099" s="77"/>
      <c r="AM4099" s="77"/>
      <c r="AN4099" s="77"/>
      <c r="AO4099" s="77"/>
      <c r="AP4099" s="77"/>
      <c r="AQ4099" s="77"/>
      <c r="AR4099" s="77"/>
      <c r="AS4099" s="77"/>
      <c r="AT4099" s="77"/>
      <c r="AU4099" s="77"/>
      <c r="AV4099" s="80" t="str">
        <f>HYPERLINK("https://pbs.twimg.com/profile_images/1067039778795937797/PnnLGTU4_normal.jpg")</f>
        <v>https://pbs.twimg.com/profile_images/1067039778795937797/PnnLGTU4_normal.jpg</v>
      </c>
      <c r="AW4099" s="82" t="s">
        <v>15670</v>
      </c>
      <c r="AX4099" s="82" t="s">
        <v>15670</v>
      </c>
      <c r="AY4099" s="77"/>
      <c r="AZ4099" s="82" t="s">
        <v>15984</v>
      </c>
      <c r="BA4099" s="82" t="s">
        <v>15984</v>
      </c>
      <c r="BB4099" s="82" t="s">
        <v>15984</v>
      </c>
      <c r="BC4099" s="82" t="s">
        <v>15670</v>
      </c>
      <c r="BD4099" s="77">
        <v>2578778256</v>
      </c>
      <c r="BE4099" s="77"/>
      <c r="BF4099" s="77"/>
      <c r="BG4099" s="77"/>
      <c r="BH4099" s="77"/>
      <c r="BI4099" s="77"/>
    </row>
    <row r="4100" spans="1:61" x14ac:dyDescent="0.25">
      <c r="A4100" s="62" t="s">
        <v>735</v>
      </c>
      <c r="B4100" s="62" t="s">
        <v>735</v>
      </c>
      <c r="C4100" s="63"/>
      <c r="D4100" s="64"/>
      <c r="E4100" s="65"/>
      <c r="F4100" s="66"/>
      <c r="G4100" s="63"/>
      <c r="H4100" s="67"/>
      <c r="I4100" s="68"/>
      <c r="J4100" s="68"/>
      <c r="K4100" s="32"/>
      <c r="L4100" s="75">
        <v>4100</v>
      </c>
      <c r="M4100" s="75"/>
      <c r="N4100" s="70"/>
      <c r="O4100" s="77" t="s">
        <v>179</v>
      </c>
      <c r="P4100" s="79">
        <v>45189.549328703702</v>
      </c>
      <c r="Q4100" s="77" t="s">
        <v>4742</v>
      </c>
      <c r="R4100" s="77">
        <v>0</v>
      </c>
      <c r="S4100" s="77">
        <v>1</v>
      </c>
      <c r="T4100" s="77">
        <v>1</v>
      </c>
      <c r="U4100" s="77">
        <v>0</v>
      </c>
      <c r="V4100" s="77">
        <v>239</v>
      </c>
      <c r="W4100" s="82" t="s">
        <v>6434</v>
      </c>
      <c r="X4100" s="80" t="str">
        <f>HYPERLINK("https://www.youtube.com/watch?v=3bVVTRicJT8")</f>
        <v>https://www.youtube.com/watch?v=3bVVTRicJT8</v>
      </c>
      <c r="Y4100" s="77" t="s">
        <v>6480</v>
      </c>
      <c r="Z4100" s="77"/>
      <c r="AA4100" s="77"/>
      <c r="AB4100" s="77"/>
      <c r="AC4100" s="82" t="s">
        <v>7787</v>
      </c>
      <c r="AD4100" s="77" t="s">
        <v>7788</v>
      </c>
      <c r="AE4100" s="80" t="str">
        <f>HYPERLINK("https://twitter.com/modalmais/status/1704483305674981801")</f>
        <v>https://twitter.com/modalmais/status/1704483305674981801</v>
      </c>
      <c r="AF4100" s="79">
        <v>45189.549328703702</v>
      </c>
      <c r="AG4100" s="85">
        <v>45189</v>
      </c>
      <c r="AH4100" s="82" t="s">
        <v>10498</v>
      </c>
      <c r="AI4100" s="77" t="b">
        <v>0</v>
      </c>
      <c r="AJ4100" s="77"/>
      <c r="AK4100" s="77"/>
      <c r="AL4100" s="77"/>
      <c r="AM4100" s="77"/>
      <c r="AN4100" s="77"/>
      <c r="AO4100" s="77"/>
      <c r="AP4100" s="77"/>
      <c r="AQ4100" s="77"/>
      <c r="AR4100" s="77"/>
      <c r="AS4100" s="77"/>
      <c r="AT4100" s="77"/>
      <c r="AU4100" s="77"/>
      <c r="AV4100" s="80" t="str">
        <f>HYPERLINK("https://pbs.twimg.com/profile_images/1067039778795937797/PnnLGTU4_normal.jpg")</f>
        <v>https://pbs.twimg.com/profile_images/1067039778795937797/PnnLGTU4_normal.jpg</v>
      </c>
      <c r="AW4100" s="82" t="s">
        <v>15671</v>
      </c>
      <c r="AX4100" s="82" t="s">
        <v>15671</v>
      </c>
      <c r="AY4100" s="77"/>
      <c r="AZ4100" s="82" t="s">
        <v>15984</v>
      </c>
      <c r="BA4100" s="82" t="s">
        <v>15984</v>
      </c>
      <c r="BB4100" s="82" t="s">
        <v>15984</v>
      </c>
      <c r="BC4100" s="82" t="s">
        <v>15671</v>
      </c>
      <c r="BD4100" s="77">
        <v>2578778256</v>
      </c>
      <c r="BE4100" s="77"/>
      <c r="BF4100" s="77"/>
      <c r="BG4100" s="77"/>
      <c r="BH4100" s="77"/>
      <c r="BI4100" s="77"/>
    </row>
    <row r="4101" spans="1:61" x14ac:dyDescent="0.25">
      <c r="A4101" s="62" t="s">
        <v>735</v>
      </c>
      <c r="B4101" s="62" t="s">
        <v>735</v>
      </c>
      <c r="C4101" s="63"/>
      <c r="D4101" s="64"/>
      <c r="E4101" s="65"/>
      <c r="F4101" s="66"/>
      <c r="G4101" s="63"/>
      <c r="H4101" s="67"/>
      <c r="I4101" s="68"/>
      <c r="J4101" s="68"/>
      <c r="K4101" s="32"/>
      <c r="L4101" s="75">
        <v>4101</v>
      </c>
      <c r="M4101" s="75"/>
      <c r="N4101" s="70"/>
      <c r="O4101" s="77" t="s">
        <v>179</v>
      </c>
      <c r="P4101" s="79">
        <v>45189.548622685186</v>
      </c>
      <c r="Q4101" s="77" t="s">
        <v>4743</v>
      </c>
      <c r="R4101" s="77">
        <v>0</v>
      </c>
      <c r="S4101" s="77">
        <v>1</v>
      </c>
      <c r="T4101" s="77">
        <v>0</v>
      </c>
      <c r="U4101" s="77">
        <v>0</v>
      </c>
      <c r="V4101" s="77">
        <v>225</v>
      </c>
      <c r="W4101" s="82" t="s">
        <v>6434</v>
      </c>
      <c r="X4101" s="80" t="str">
        <f>HYPERLINK("https://www.youtube.com/watch?v=HUBDTa_SfEU")</f>
        <v>https://www.youtube.com/watch?v=HUBDTa_SfEU</v>
      </c>
      <c r="Y4101" s="77" t="s">
        <v>6480</v>
      </c>
      <c r="Z4101" s="77"/>
      <c r="AA4101" s="77"/>
      <c r="AB4101" s="77"/>
      <c r="AC4101" s="82" t="s">
        <v>7787</v>
      </c>
      <c r="AD4101" s="77" t="s">
        <v>7788</v>
      </c>
      <c r="AE4101" s="80" t="str">
        <f>HYPERLINK("https://twitter.com/modalmais/status/1704483048224354660")</f>
        <v>https://twitter.com/modalmais/status/1704483048224354660</v>
      </c>
      <c r="AF4101" s="79">
        <v>45189.548622685186</v>
      </c>
      <c r="AG4101" s="85">
        <v>45189</v>
      </c>
      <c r="AH4101" s="82" t="s">
        <v>9140</v>
      </c>
      <c r="AI4101" s="77" t="b">
        <v>0</v>
      </c>
      <c r="AJ4101" s="77"/>
      <c r="AK4101" s="77"/>
      <c r="AL4101" s="77"/>
      <c r="AM4101" s="77"/>
      <c r="AN4101" s="77"/>
      <c r="AO4101" s="77"/>
      <c r="AP4101" s="77"/>
      <c r="AQ4101" s="77"/>
      <c r="AR4101" s="77"/>
      <c r="AS4101" s="77"/>
      <c r="AT4101" s="77"/>
      <c r="AU4101" s="77"/>
      <c r="AV4101" s="80" t="str">
        <f>HYPERLINK("https://pbs.twimg.com/profile_images/1067039778795937797/PnnLGTU4_normal.jpg")</f>
        <v>https://pbs.twimg.com/profile_images/1067039778795937797/PnnLGTU4_normal.jpg</v>
      </c>
      <c r="AW4101" s="82" t="s">
        <v>15672</v>
      </c>
      <c r="AX4101" s="82" t="s">
        <v>15672</v>
      </c>
      <c r="AY4101" s="77"/>
      <c r="AZ4101" s="82" t="s">
        <v>15984</v>
      </c>
      <c r="BA4101" s="82" t="s">
        <v>15984</v>
      </c>
      <c r="BB4101" s="82" t="s">
        <v>15984</v>
      </c>
      <c r="BC4101" s="82" t="s">
        <v>15672</v>
      </c>
      <c r="BD4101" s="77">
        <v>2578778256</v>
      </c>
      <c r="BE4101" s="77"/>
      <c r="BF4101" s="77"/>
      <c r="BG4101" s="77"/>
      <c r="BH4101" s="77"/>
      <c r="BI4101" s="77"/>
    </row>
    <row r="4102" spans="1:61" x14ac:dyDescent="0.25">
      <c r="A4102" s="62" t="s">
        <v>735</v>
      </c>
      <c r="B4102" s="62" t="s">
        <v>735</v>
      </c>
      <c r="C4102" s="63"/>
      <c r="D4102" s="64"/>
      <c r="E4102" s="65"/>
      <c r="F4102" s="66"/>
      <c r="G4102" s="63"/>
      <c r="H4102" s="67"/>
      <c r="I4102" s="68"/>
      <c r="J4102" s="68"/>
      <c r="K4102" s="32"/>
      <c r="L4102" s="75">
        <v>4102</v>
      </c>
      <c r="M4102" s="75"/>
      <c r="N4102" s="70"/>
      <c r="O4102" s="77" t="s">
        <v>179</v>
      </c>
      <c r="P4102" s="79">
        <v>45163.608206018522</v>
      </c>
      <c r="Q4102" s="77" t="s">
        <v>4744</v>
      </c>
      <c r="R4102" s="77">
        <v>0</v>
      </c>
      <c r="S4102" s="77">
        <v>0</v>
      </c>
      <c r="T4102" s="77">
        <v>0</v>
      </c>
      <c r="U4102" s="77">
        <v>0</v>
      </c>
      <c r="V4102" s="77">
        <v>257</v>
      </c>
      <c r="W4102" s="82" t="s">
        <v>6424</v>
      </c>
      <c r="X4102" s="80" t="str">
        <f>HYPERLINK("https://www.modalmais.com.br/morning-call/ipca-15-a-previa-da-inflacao-oficial-do-pais-avanca-028-em-agosto")</f>
        <v>https://www.modalmais.com.br/morning-call/ipca-15-a-previa-da-inflacao-oficial-do-pais-avanca-028-em-agosto</v>
      </c>
      <c r="Y4102" s="77" t="s">
        <v>6470</v>
      </c>
      <c r="Z4102" s="77"/>
      <c r="AA4102" s="77"/>
      <c r="AB4102" s="77"/>
      <c r="AC4102" s="82" t="s">
        <v>7787</v>
      </c>
      <c r="AD4102" s="77" t="s">
        <v>7788</v>
      </c>
      <c r="AE4102" s="80" t="str">
        <f>HYPERLINK("https://twitter.com/modalmais/status/1695082557912531236")</f>
        <v>https://twitter.com/modalmais/status/1695082557912531236</v>
      </c>
      <c r="AF4102" s="79">
        <v>45163.608206018522</v>
      </c>
      <c r="AG4102" s="85">
        <v>45163</v>
      </c>
      <c r="AH4102" s="82" t="s">
        <v>10499</v>
      </c>
      <c r="AI4102" s="77" t="b">
        <v>0</v>
      </c>
      <c r="AJ4102" s="77"/>
      <c r="AK4102" s="77"/>
      <c r="AL4102" s="77"/>
      <c r="AM4102" s="77"/>
      <c r="AN4102" s="77"/>
      <c r="AO4102" s="77"/>
      <c r="AP4102" s="77"/>
      <c r="AQ4102" s="77"/>
      <c r="AR4102" s="77"/>
      <c r="AS4102" s="77"/>
      <c r="AT4102" s="77"/>
      <c r="AU4102" s="77"/>
      <c r="AV4102" s="80" t="str">
        <f>HYPERLINK("https://pbs.twimg.com/profile_images/1067039778795937797/PnnLGTU4_normal.jpg")</f>
        <v>https://pbs.twimg.com/profile_images/1067039778795937797/PnnLGTU4_normal.jpg</v>
      </c>
      <c r="AW4102" s="82" t="s">
        <v>15673</v>
      </c>
      <c r="AX4102" s="82" t="s">
        <v>15673</v>
      </c>
      <c r="AY4102" s="77"/>
      <c r="AZ4102" s="82" t="s">
        <v>15984</v>
      </c>
      <c r="BA4102" s="82" t="s">
        <v>15984</v>
      </c>
      <c r="BB4102" s="82" t="s">
        <v>15984</v>
      </c>
      <c r="BC4102" s="82" t="s">
        <v>15673</v>
      </c>
      <c r="BD4102" s="77">
        <v>2578778256</v>
      </c>
      <c r="BE4102" s="77"/>
      <c r="BF4102" s="77"/>
      <c r="BG4102" s="77"/>
      <c r="BH4102" s="77"/>
      <c r="BI4102" s="77"/>
    </row>
    <row r="4103" spans="1:61" x14ac:dyDescent="0.25">
      <c r="A4103" s="62" t="s">
        <v>735</v>
      </c>
      <c r="B4103" s="62" t="s">
        <v>735</v>
      </c>
      <c r="C4103" s="63"/>
      <c r="D4103" s="64"/>
      <c r="E4103" s="65"/>
      <c r="F4103" s="66"/>
      <c r="G4103" s="63"/>
      <c r="H4103" s="67"/>
      <c r="I4103" s="68"/>
      <c r="J4103" s="68"/>
      <c r="K4103" s="32"/>
      <c r="L4103" s="75">
        <v>4103</v>
      </c>
      <c r="M4103" s="75"/>
      <c r="N4103" s="70"/>
      <c r="O4103" s="77" t="s">
        <v>179</v>
      </c>
      <c r="P4103" s="79">
        <v>45163.60193287037</v>
      </c>
      <c r="Q4103" s="77" t="s">
        <v>4745</v>
      </c>
      <c r="R4103" s="77">
        <v>0</v>
      </c>
      <c r="S4103" s="77">
        <v>1</v>
      </c>
      <c r="T4103" s="77">
        <v>0</v>
      </c>
      <c r="U4103" s="77">
        <v>0</v>
      </c>
      <c r="V4103" s="77">
        <v>386</v>
      </c>
      <c r="W4103" s="82" t="s">
        <v>6440</v>
      </c>
      <c r="X4103" s="77"/>
      <c r="Y4103" s="77"/>
      <c r="Z4103" s="77"/>
      <c r="AA4103" s="77"/>
      <c r="AB4103" s="77"/>
      <c r="AC4103" s="82" t="s">
        <v>7787</v>
      </c>
      <c r="AD4103" s="77" t="s">
        <v>7788</v>
      </c>
      <c r="AE4103" s="80" t="str">
        <f>HYPERLINK("https://twitter.com/modalmais/status/1695080285677723974")</f>
        <v>https://twitter.com/modalmais/status/1695080285677723974</v>
      </c>
      <c r="AF4103" s="79">
        <v>45163.60193287037</v>
      </c>
      <c r="AG4103" s="85">
        <v>45163</v>
      </c>
      <c r="AH4103" s="82" t="s">
        <v>10500</v>
      </c>
      <c r="AI4103" s="77"/>
      <c r="AJ4103" s="77"/>
      <c r="AK4103" s="77"/>
      <c r="AL4103" s="77"/>
      <c r="AM4103" s="77"/>
      <c r="AN4103" s="77"/>
      <c r="AO4103" s="77"/>
      <c r="AP4103" s="77"/>
      <c r="AQ4103" s="77"/>
      <c r="AR4103" s="77"/>
      <c r="AS4103" s="77"/>
      <c r="AT4103" s="77"/>
      <c r="AU4103" s="77"/>
      <c r="AV4103" s="80" t="str">
        <f>HYPERLINK("https://pbs.twimg.com/profile_images/1067039778795937797/PnnLGTU4_normal.jpg")</f>
        <v>https://pbs.twimg.com/profile_images/1067039778795937797/PnnLGTU4_normal.jpg</v>
      </c>
      <c r="AW4103" s="82" t="s">
        <v>15674</v>
      </c>
      <c r="AX4103" s="82" t="s">
        <v>15674</v>
      </c>
      <c r="AY4103" s="77"/>
      <c r="AZ4103" s="82" t="s">
        <v>15984</v>
      </c>
      <c r="BA4103" s="82" t="s">
        <v>15984</v>
      </c>
      <c r="BB4103" s="82" t="s">
        <v>15984</v>
      </c>
      <c r="BC4103" s="82" t="s">
        <v>15674</v>
      </c>
      <c r="BD4103" s="77">
        <v>2578778256</v>
      </c>
      <c r="BE4103" s="77"/>
      <c r="BF4103" s="77"/>
      <c r="BG4103" s="77"/>
      <c r="BH4103" s="77"/>
      <c r="BI4103" s="77"/>
    </row>
    <row r="4104" spans="1:61" x14ac:dyDescent="0.25">
      <c r="A4104" s="62" t="s">
        <v>735</v>
      </c>
      <c r="B4104" s="62" t="s">
        <v>735</v>
      </c>
      <c r="C4104" s="63"/>
      <c r="D4104" s="64"/>
      <c r="E4104" s="65"/>
      <c r="F4104" s="66"/>
      <c r="G4104" s="63"/>
      <c r="H4104" s="67"/>
      <c r="I4104" s="68"/>
      <c r="J4104" s="68"/>
      <c r="K4104" s="32"/>
      <c r="L4104" s="75">
        <v>4104</v>
      </c>
      <c r="M4104" s="75"/>
      <c r="N4104" s="70"/>
      <c r="O4104" s="77" t="s">
        <v>179</v>
      </c>
      <c r="P4104" s="79">
        <v>45163.597662037035</v>
      </c>
      <c r="Q4104" s="77" t="s">
        <v>4746</v>
      </c>
      <c r="R4104" s="77">
        <v>0</v>
      </c>
      <c r="S4104" s="77">
        <v>0</v>
      </c>
      <c r="T4104" s="77">
        <v>0</v>
      </c>
      <c r="U4104" s="77">
        <v>0</v>
      </c>
      <c r="V4104" s="77">
        <v>226</v>
      </c>
      <c r="W4104" s="82" t="s">
        <v>6441</v>
      </c>
      <c r="X4104" s="77"/>
      <c r="Y4104" s="77"/>
      <c r="Z4104" s="77"/>
      <c r="AA4104" s="77"/>
      <c r="AB4104" s="77"/>
      <c r="AC4104" s="82" t="s">
        <v>7787</v>
      </c>
      <c r="AD4104" s="77" t="s">
        <v>7788</v>
      </c>
      <c r="AE4104" s="80" t="str">
        <f>HYPERLINK("https://twitter.com/modalmais/status/1695078734884229352")</f>
        <v>https://twitter.com/modalmais/status/1695078734884229352</v>
      </c>
      <c r="AF4104" s="79">
        <v>45163.597662037035</v>
      </c>
      <c r="AG4104" s="85">
        <v>45163</v>
      </c>
      <c r="AH4104" s="82" t="s">
        <v>10501</v>
      </c>
      <c r="AI4104" s="77"/>
      <c r="AJ4104" s="77"/>
      <c r="AK4104" s="77"/>
      <c r="AL4104" s="77"/>
      <c r="AM4104" s="77"/>
      <c r="AN4104" s="77"/>
      <c r="AO4104" s="77"/>
      <c r="AP4104" s="77"/>
      <c r="AQ4104" s="77"/>
      <c r="AR4104" s="77"/>
      <c r="AS4104" s="77"/>
      <c r="AT4104" s="77"/>
      <c r="AU4104" s="77"/>
      <c r="AV4104" s="80" t="str">
        <f>HYPERLINK("https://pbs.twimg.com/profile_images/1067039778795937797/PnnLGTU4_normal.jpg")</f>
        <v>https://pbs.twimg.com/profile_images/1067039778795937797/PnnLGTU4_normal.jpg</v>
      </c>
      <c r="AW4104" s="82" t="s">
        <v>15675</v>
      </c>
      <c r="AX4104" s="82" t="s">
        <v>15675</v>
      </c>
      <c r="AY4104" s="77"/>
      <c r="AZ4104" s="82" t="s">
        <v>15984</v>
      </c>
      <c r="BA4104" s="82" t="s">
        <v>15984</v>
      </c>
      <c r="BB4104" s="82" t="s">
        <v>15984</v>
      </c>
      <c r="BC4104" s="82" t="s">
        <v>15675</v>
      </c>
      <c r="BD4104" s="77">
        <v>2578778256</v>
      </c>
      <c r="BE4104" s="77"/>
      <c r="BF4104" s="77"/>
      <c r="BG4104" s="77"/>
      <c r="BH4104" s="77"/>
      <c r="BI4104" s="77"/>
    </row>
    <row r="4105" spans="1:61" x14ac:dyDescent="0.25">
      <c r="A4105" s="62" t="s">
        <v>735</v>
      </c>
      <c r="B4105" s="62" t="s">
        <v>735</v>
      </c>
      <c r="C4105" s="63"/>
      <c r="D4105" s="64"/>
      <c r="E4105" s="65"/>
      <c r="F4105" s="66"/>
      <c r="G4105" s="63"/>
      <c r="H4105" s="67"/>
      <c r="I4105" s="68"/>
      <c r="J4105" s="68"/>
      <c r="K4105" s="32"/>
      <c r="L4105" s="75">
        <v>4105</v>
      </c>
      <c r="M4105" s="75"/>
      <c r="N4105" s="70"/>
      <c r="O4105" s="77" t="s">
        <v>179</v>
      </c>
      <c r="P4105" s="79">
        <v>45163.595902777779</v>
      </c>
      <c r="Q4105" s="77" t="s">
        <v>4747</v>
      </c>
      <c r="R4105" s="77">
        <v>0</v>
      </c>
      <c r="S4105" s="77">
        <v>1</v>
      </c>
      <c r="T4105" s="77">
        <v>0</v>
      </c>
      <c r="U4105" s="77">
        <v>0</v>
      </c>
      <c r="V4105" s="77">
        <v>233</v>
      </c>
      <c r="W4105" s="82" t="s">
        <v>6442</v>
      </c>
      <c r="X4105" s="77"/>
      <c r="Y4105" s="77"/>
      <c r="Z4105" s="77"/>
      <c r="AA4105" s="77"/>
      <c r="AB4105" s="77"/>
      <c r="AC4105" s="82" t="s">
        <v>7787</v>
      </c>
      <c r="AD4105" s="77" t="s">
        <v>7788</v>
      </c>
      <c r="AE4105" s="80" t="str">
        <f>HYPERLINK("https://twitter.com/modalmais/status/1695078099354837245")</f>
        <v>https://twitter.com/modalmais/status/1695078099354837245</v>
      </c>
      <c r="AF4105" s="79">
        <v>45163.595902777779</v>
      </c>
      <c r="AG4105" s="85">
        <v>45163</v>
      </c>
      <c r="AH4105" s="82" t="s">
        <v>10502</v>
      </c>
      <c r="AI4105" s="77"/>
      <c r="AJ4105" s="77"/>
      <c r="AK4105" s="77"/>
      <c r="AL4105" s="77"/>
      <c r="AM4105" s="77"/>
      <c r="AN4105" s="77"/>
      <c r="AO4105" s="77"/>
      <c r="AP4105" s="77"/>
      <c r="AQ4105" s="77"/>
      <c r="AR4105" s="77"/>
      <c r="AS4105" s="77"/>
      <c r="AT4105" s="77"/>
      <c r="AU4105" s="77"/>
      <c r="AV4105" s="80" t="str">
        <f>HYPERLINK("https://pbs.twimg.com/profile_images/1067039778795937797/PnnLGTU4_normal.jpg")</f>
        <v>https://pbs.twimg.com/profile_images/1067039778795937797/PnnLGTU4_normal.jpg</v>
      </c>
      <c r="AW4105" s="82" t="s">
        <v>15676</v>
      </c>
      <c r="AX4105" s="82" t="s">
        <v>15676</v>
      </c>
      <c r="AY4105" s="77"/>
      <c r="AZ4105" s="82" t="s">
        <v>15984</v>
      </c>
      <c r="BA4105" s="82" t="s">
        <v>15984</v>
      </c>
      <c r="BB4105" s="82" t="s">
        <v>15984</v>
      </c>
      <c r="BC4105" s="82" t="s">
        <v>15676</v>
      </c>
      <c r="BD4105" s="77">
        <v>2578778256</v>
      </c>
      <c r="BE4105" s="77"/>
      <c r="BF4105" s="77"/>
      <c r="BG4105" s="77"/>
      <c r="BH4105" s="77"/>
      <c r="BI4105" s="77"/>
    </row>
    <row r="4106" spans="1:61" x14ac:dyDescent="0.25">
      <c r="A4106" s="62" t="s">
        <v>735</v>
      </c>
      <c r="B4106" s="62" t="s">
        <v>735</v>
      </c>
      <c r="C4106" s="63"/>
      <c r="D4106" s="64"/>
      <c r="E4106" s="65"/>
      <c r="F4106" s="66"/>
      <c r="G4106" s="63"/>
      <c r="H4106" s="67"/>
      <c r="I4106" s="68"/>
      <c r="J4106" s="68"/>
      <c r="K4106" s="32"/>
      <c r="L4106" s="75">
        <v>4106</v>
      </c>
      <c r="M4106" s="75"/>
      <c r="N4106" s="70"/>
      <c r="O4106" s="77" t="s">
        <v>179</v>
      </c>
      <c r="P4106" s="79">
        <v>45163.493437500001</v>
      </c>
      <c r="Q4106" s="77" t="s">
        <v>4748</v>
      </c>
      <c r="R4106" s="77">
        <v>0</v>
      </c>
      <c r="S4106" s="77">
        <v>0</v>
      </c>
      <c r="T4106" s="77">
        <v>0</v>
      </c>
      <c r="U4106" s="77">
        <v>0</v>
      </c>
      <c r="V4106" s="77">
        <v>254</v>
      </c>
      <c r="W4106" s="82" t="s">
        <v>6424</v>
      </c>
      <c r="X4106" s="80" t="str">
        <f>HYPERLINK("https://www.youtube.com/watch?v=gWbxkt4hPsk")</f>
        <v>https://www.youtube.com/watch?v=gWbxkt4hPsk</v>
      </c>
      <c r="Y4106" s="77" t="s">
        <v>6480</v>
      </c>
      <c r="Z4106" s="77"/>
      <c r="AA4106" s="77"/>
      <c r="AB4106" s="77"/>
      <c r="AC4106" s="82" t="s">
        <v>7787</v>
      </c>
      <c r="AD4106" s="77" t="s">
        <v>7788</v>
      </c>
      <c r="AE4106" s="80" t="str">
        <f>HYPERLINK("https://twitter.com/modalmais/status/1695040968058171817")</f>
        <v>https://twitter.com/modalmais/status/1695040968058171817</v>
      </c>
      <c r="AF4106" s="79">
        <v>45163.493437500001</v>
      </c>
      <c r="AG4106" s="85">
        <v>45163</v>
      </c>
      <c r="AH4106" s="82" t="s">
        <v>10503</v>
      </c>
      <c r="AI4106" s="77" t="b">
        <v>0</v>
      </c>
      <c r="AJ4106" s="77"/>
      <c r="AK4106" s="77"/>
      <c r="AL4106" s="77"/>
      <c r="AM4106" s="77"/>
      <c r="AN4106" s="77"/>
      <c r="AO4106" s="77"/>
      <c r="AP4106" s="77"/>
      <c r="AQ4106" s="77"/>
      <c r="AR4106" s="77"/>
      <c r="AS4106" s="77"/>
      <c r="AT4106" s="77"/>
      <c r="AU4106" s="77"/>
      <c r="AV4106" s="80" t="str">
        <f>HYPERLINK("https://pbs.twimg.com/profile_images/1067039778795937797/PnnLGTU4_normal.jpg")</f>
        <v>https://pbs.twimg.com/profile_images/1067039778795937797/PnnLGTU4_normal.jpg</v>
      </c>
      <c r="AW4106" s="82" t="s">
        <v>15677</v>
      </c>
      <c r="AX4106" s="82" t="s">
        <v>15677</v>
      </c>
      <c r="AY4106" s="77"/>
      <c r="AZ4106" s="82" t="s">
        <v>15984</v>
      </c>
      <c r="BA4106" s="82" t="s">
        <v>15984</v>
      </c>
      <c r="BB4106" s="82" t="s">
        <v>15984</v>
      </c>
      <c r="BC4106" s="82" t="s">
        <v>15677</v>
      </c>
      <c r="BD4106" s="77">
        <v>2578778256</v>
      </c>
      <c r="BE4106" s="77"/>
      <c r="BF4106" s="77"/>
      <c r="BG4106" s="77"/>
      <c r="BH4106" s="77"/>
      <c r="BI4106" s="77"/>
    </row>
    <row r="4107" spans="1:61" x14ac:dyDescent="0.25">
      <c r="A4107" s="62" t="s">
        <v>735</v>
      </c>
      <c r="B4107" s="62" t="s">
        <v>735</v>
      </c>
      <c r="C4107" s="63"/>
      <c r="D4107" s="64"/>
      <c r="E4107" s="65"/>
      <c r="F4107" s="66"/>
      <c r="G4107" s="63"/>
      <c r="H4107" s="67"/>
      <c r="I4107" s="68"/>
      <c r="J4107" s="68"/>
      <c r="K4107" s="32"/>
      <c r="L4107" s="75">
        <v>4107</v>
      </c>
      <c r="M4107" s="75"/>
      <c r="N4107" s="70"/>
      <c r="O4107" s="77" t="s">
        <v>179</v>
      </c>
      <c r="P4107" s="79">
        <v>45163.492546296293</v>
      </c>
      <c r="Q4107" s="77" t="s">
        <v>4749</v>
      </c>
      <c r="R4107" s="77">
        <v>0</v>
      </c>
      <c r="S4107" s="77">
        <v>0</v>
      </c>
      <c r="T4107" s="77">
        <v>0</v>
      </c>
      <c r="U4107" s="77">
        <v>0</v>
      </c>
      <c r="V4107" s="77">
        <v>329</v>
      </c>
      <c r="W4107" s="82" t="s">
        <v>6424</v>
      </c>
      <c r="X4107" s="80" t="str">
        <f>HYPERLINK("https://www.youtube.com/watch?v=S_l7h3FiHMs")</f>
        <v>https://www.youtube.com/watch?v=S_l7h3FiHMs</v>
      </c>
      <c r="Y4107" s="77" t="s">
        <v>6480</v>
      </c>
      <c r="Z4107" s="77"/>
      <c r="AA4107" s="77"/>
      <c r="AB4107" s="77"/>
      <c r="AC4107" s="82" t="s">
        <v>7787</v>
      </c>
      <c r="AD4107" s="77" t="s">
        <v>7788</v>
      </c>
      <c r="AE4107" s="80" t="str">
        <f>HYPERLINK("https://twitter.com/modalmais/status/1695040645981773991")</f>
        <v>https://twitter.com/modalmais/status/1695040645981773991</v>
      </c>
      <c r="AF4107" s="79">
        <v>45163.492546296293</v>
      </c>
      <c r="AG4107" s="85">
        <v>45163</v>
      </c>
      <c r="AH4107" s="82" t="s">
        <v>10504</v>
      </c>
      <c r="AI4107" s="77" t="b">
        <v>0</v>
      </c>
      <c r="AJ4107" s="77"/>
      <c r="AK4107" s="77"/>
      <c r="AL4107" s="77"/>
      <c r="AM4107" s="77"/>
      <c r="AN4107" s="77"/>
      <c r="AO4107" s="77"/>
      <c r="AP4107" s="77"/>
      <c r="AQ4107" s="77"/>
      <c r="AR4107" s="77"/>
      <c r="AS4107" s="77"/>
      <c r="AT4107" s="77"/>
      <c r="AU4107" s="77"/>
      <c r="AV4107" s="80" t="str">
        <f>HYPERLINK("https://pbs.twimg.com/profile_images/1067039778795937797/PnnLGTU4_normal.jpg")</f>
        <v>https://pbs.twimg.com/profile_images/1067039778795937797/PnnLGTU4_normal.jpg</v>
      </c>
      <c r="AW4107" s="82" t="s">
        <v>15678</v>
      </c>
      <c r="AX4107" s="82" t="s">
        <v>15678</v>
      </c>
      <c r="AY4107" s="77"/>
      <c r="AZ4107" s="82" t="s">
        <v>15984</v>
      </c>
      <c r="BA4107" s="82" t="s">
        <v>15984</v>
      </c>
      <c r="BB4107" s="82" t="s">
        <v>15984</v>
      </c>
      <c r="BC4107" s="82" t="s">
        <v>15678</v>
      </c>
      <c r="BD4107" s="77">
        <v>2578778256</v>
      </c>
      <c r="BE4107" s="77"/>
      <c r="BF4107" s="77"/>
      <c r="BG4107" s="77"/>
      <c r="BH4107" s="77"/>
      <c r="BI4107" s="77"/>
    </row>
    <row r="4108" spans="1:61" x14ac:dyDescent="0.25">
      <c r="A4108" s="62" t="s">
        <v>735</v>
      </c>
      <c r="B4108" s="62" t="s">
        <v>735</v>
      </c>
      <c r="C4108" s="63"/>
      <c r="D4108" s="64"/>
      <c r="E4108" s="65"/>
      <c r="F4108" s="66"/>
      <c r="G4108" s="63"/>
      <c r="H4108" s="67"/>
      <c r="I4108" s="68"/>
      <c r="J4108" s="68"/>
      <c r="K4108" s="32"/>
      <c r="L4108" s="75">
        <v>4108</v>
      </c>
      <c r="M4108" s="75"/>
      <c r="N4108" s="70"/>
      <c r="O4108" s="77" t="s">
        <v>179</v>
      </c>
      <c r="P4108" s="79">
        <v>45118.690821759257</v>
      </c>
      <c r="Q4108" s="77" t="s">
        <v>4750</v>
      </c>
      <c r="R4108" s="77">
        <v>0</v>
      </c>
      <c r="S4108" s="77">
        <v>1</v>
      </c>
      <c r="T4108" s="77">
        <v>0</v>
      </c>
      <c r="U4108" s="77">
        <v>0</v>
      </c>
      <c r="V4108" s="77">
        <v>343</v>
      </c>
      <c r="W4108" s="82" t="s">
        <v>6411</v>
      </c>
      <c r="X4108" s="77"/>
      <c r="Y4108" s="77"/>
      <c r="Z4108" s="77"/>
      <c r="AA4108" s="77"/>
      <c r="AB4108" s="77"/>
      <c r="AC4108" s="82" t="s">
        <v>7787</v>
      </c>
      <c r="AD4108" s="77" t="s">
        <v>7790</v>
      </c>
      <c r="AE4108" s="80" t="str">
        <f>HYPERLINK("https://twitter.com/modalmais/status/1678805042009108480")</f>
        <v>https://twitter.com/modalmais/status/1678805042009108480</v>
      </c>
      <c r="AF4108" s="79">
        <v>45118.690821759257</v>
      </c>
      <c r="AG4108" s="85">
        <v>45118</v>
      </c>
      <c r="AH4108" s="82" t="s">
        <v>10505</v>
      </c>
      <c r="AI4108" s="77"/>
      <c r="AJ4108" s="77"/>
      <c r="AK4108" s="77"/>
      <c r="AL4108" s="77"/>
      <c r="AM4108" s="77"/>
      <c r="AN4108" s="77"/>
      <c r="AO4108" s="77"/>
      <c r="AP4108" s="77"/>
      <c r="AQ4108" s="77"/>
      <c r="AR4108" s="77"/>
      <c r="AS4108" s="77"/>
      <c r="AT4108" s="77"/>
      <c r="AU4108" s="77"/>
      <c r="AV4108" s="80" t="str">
        <f>HYPERLINK("https://pbs.twimg.com/profile_images/1067039778795937797/PnnLGTU4_normal.jpg")</f>
        <v>https://pbs.twimg.com/profile_images/1067039778795937797/PnnLGTU4_normal.jpg</v>
      </c>
      <c r="AW4108" s="82" t="s">
        <v>15679</v>
      </c>
      <c r="AX4108" s="82" t="s">
        <v>15679</v>
      </c>
      <c r="AY4108" s="77"/>
      <c r="AZ4108" s="82" t="s">
        <v>15984</v>
      </c>
      <c r="BA4108" s="82" t="s">
        <v>15984</v>
      </c>
      <c r="BB4108" s="82" t="s">
        <v>15984</v>
      </c>
      <c r="BC4108" s="82" t="s">
        <v>15679</v>
      </c>
      <c r="BD4108" s="77">
        <v>2578778256</v>
      </c>
      <c r="BE4108" s="77"/>
      <c r="BF4108" s="77"/>
      <c r="BG4108" s="77"/>
      <c r="BH4108" s="77"/>
      <c r="BI4108" s="77"/>
    </row>
    <row r="4109" spans="1:61" x14ac:dyDescent="0.25">
      <c r="A4109" s="62" t="s">
        <v>735</v>
      </c>
      <c r="B4109" s="62" t="s">
        <v>735</v>
      </c>
      <c r="C4109" s="63"/>
      <c r="D4109" s="64"/>
      <c r="E4109" s="65"/>
      <c r="F4109" s="66"/>
      <c r="G4109" s="63"/>
      <c r="H4109" s="67"/>
      <c r="I4109" s="68"/>
      <c r="J4109" s="68"/>
      <c r="K4109" s="32"/>
      <c r="L4109" s="75">
        <v>4109</v>
      </c>
      <c r="M4109" s="75"/>
      <c r="N4109" s="70"/>
      <c r="O4109" s="77" t="s">
        <v>179</v>
      </c>
      <c r="P4109" s="79">
        <v>45118.690335648149</v>
      </c>
      <c r="Q4109" s="77" t="s">
        <v>4751</v>
      </c>
      <c r="R4109" s="77">
        <v>0</v>
      </c>
      <c r="S4109" s="77">
        <v>2</v>
      </c>
      <c r="T4109" s="77">
        <v>0</v>
      </c>
      <c r="U4109" s="77">
        <v>0</v>
      </c>
      <c r="V4109" s="77">
        <v>406</v>
      </c>
      <c r="W4109" s="82" t="s">
        <v>6443</v>
      </c>
      <c r="X4109" s="77"/>
      <c r="Y4109" s="77"/>
      <c r="Z4109" s="77"/>
      <c r="AA4109" s="77"/>
      <c r="AB4109" s="77"/>
      <c r="AC4109" s="82" t="s">
        <v>7787</v>
      </c>
      <c r="AD4109" s="77" t="s">
        <v>7788</v>
      </c>
      <c r="AE4109" s="80" t="str">
        <f>HYPERLINK("https://twitter.com/modalmais/status/1678804866234298368")</f>
        <v>https://twitter.com/modalmais/status/1678804866234298368</v>
      </c>
      <c r="AF4109" s="79">
        <v>45118.690335648149</v>
      </c>
      <c r="AG4109" s="85">
        <v>45118</v>
      </c>
      <c r="AH4109" s="82" t="s">
        <v>10506</v>
      </c>
      <c r="AI4109" s="77"/>
      <c r="AJ4109" s="77"/>
      <c r="AK4109" s="77"/>
      <c r="AL4109" s="77"/>
      <c r="AM4109" s="77"/>
      <c r="AN4109" s="77"/>
      <c r="AO4109" s="77"/>
      <c r="AP4109" s="77"/>
      <c r="AQ4109" s="77"/>
      <c r="AR4109" s="77"/>
      <c r="AS4109" s="77"/>
      <c r="AT4109" s="77"/>
      <c r="AU4109" s="77"/>
      <c r="AV4109" s="80" t="str">
        <f>HYPERLINK("https://pbs.twimg.com/profile_images/1067039778795937797/PnnLGTU4_normal.jpg")</f>
        <v>https://pbs.twimg.com/profile_images/1067039778795937797/PnnLGTU4_normal.jpg</v>
      </c>
      <c r="AW4109" s="82" t="s">
        <v>15680</v>
      </c>
      <c r="AX4109" s="82" t="s">
        <v>15680</v>
      </c>
      <c r="AY4109" s="77"/>
      <c r="AZ4109" s="82" t="s">
        <v>15984</v>
      </c>
      <c r="BA4109" s="82" t="s">
        <v>15984</v>
      </c>
      <c r="BB4109" s="82" t="s">
        <v>15984</v>
      </c>
      <c r="BC4109" s="82" t="s">
        <v>15680</v>
      </c>
      <c r="BD4109" s="77">
        <v>2578778256</v>
      </c>
      <c r="BE4109" s="77"/>
      <c r="BF4109" s="77"/>
      <c r="BG4109" s="77"/>
      <c r="BH4109" s="77"/>
      <c r="BI4109" s="77"/>
    </row>
    <row r="4110" spans="1:61" x14ac:dyDescent="0.25">
      <c r="A4110" s="62" t="s">
        <v>735</v>
      </c>
      <c r="B4110" s="62" t="s">
        <v>735</v>
      </c>
      <c r="C4110" s="63"/>
      <c r="D4110" s="64"/>
      <c r="E4110" s="65"/>
      <c r="F4110" s="66"/>
      <c r="G4110" s="63"/>
      <c r="H4110" s="67"/>
      <c r="I4110" s="68"/>
      <c r="J4110" s="68"/>
      <c r="K4110" s="32"/>
      <c r="L4110" s="75">
        <v>4110</v>
      </c>
      <c r="M4110" s="75"/>
      <c r="N4110" s="70"/>
      <c r="O4110" s="77" t="s">
        <v>179</v>
      </c>
      <c r="P4110" s="79">
        <v>45118.598356481481</v>
      </c>
      <c r="Q4110" s="77" t="s">
        <v>4752</v>
      </c>
      <c r="R4110" s="77">
        <v>0</v>
      </c>
      <c r="S4110" s="77">
        <v>0</v>
      </c>
      <c r="T4110" s="77">
        <v>0</v>
      </c>
      <c r="U4110" s="77">
        <v>0</v>
      </c>
      <c r="V4110" s="77">
        <v>356</v>
      </c>
      <c r="W4110" s="82" t="s">
        <v>6444</v>
      </c>
      <c r="X4110" s="77"/>
      <c r="Y4110" s="77"/>
      <c r="Z4110" s="77"/>
      <c r="AA4110" s="77"/>
      <c r="AB4110" s="77"/>
      <c r="AC4110" s="82" t="s">
        <v>7787</v>
      </c>
      <c r="AD4110" s="77" t="s">
        <v>7788</v>
      </c>
      <c r="AE4110" s="80" t="str">
        <f>HYPERLINK("https://twitter.com/modalmais/status/1678771535778283522")</f>
        <v>https://twitter.com/modalmais/status/1678771535778283522</v>
      </c>
      <c r="AF4110" s="79">
        <v>45118.598356481481</v>
      </c>
      <c r="AG4110" s="85">
        <v>45118</v>
      </c>
      <c r="AH4110" s="82" t="s">
        <v>10507</v>
      </c>
      <c r="AI4110" s="77"/>
      <c r="AJ4110" s="77"/>
      <c r="AK4110" s="77"/>
      <c r="AL4110" s="77"/>
      <c r="AM4110" s="77"/>
      <c r="AN4110" s="77"/>
      <c r="AO4110" s="77"/>
      <c r="AP4110" s="77"/>
      <c r="AQ4110" s="77"/>
      <c r="AR4110" s="77"/>
      <c r="AS4110" s="77"/>
      <c r="AT4110" s="77"/>
      <c r="AU4110" s="77"/>
      <c r="AV4110" s="80" t="str">
        <f>HYPERLINK("https://pbs.twimg.com/profile_images/1067039778795937797/PnnLGTU4_normal.jpg")</f>
        <v>https://pbs.twimg.com/profile_images/1067039778795937797/PnnLGTU4_normal.jpg</v>
      </c>
      <c r="AW4110" s="82" t="s">
        <v>15681</v>
      </c>
      <c r="AX4110" s="82" t="s">
        <v>15681</v>
      </c>
      <c r="AY4110" s="77"/>
      <c r="AZ4110" s="82" t="s">
        <v>15984</v>
      </c>
      <c r="BA4110" s="82" t="s">
        <v>15984</v>
      </c>
      <c r="BB4110" s="82" t="s">
        <v>15984</v>
      </c>
      <c r="BC4110" s="82" t="s">
        <v>15681</v>
      </c>
      <c r="BD4110" s="77">
        <v>2578778256</v>
      </c>
      <c r="BE4110" s="77"/>
      <c r="BF4110" s="77"/>
      <c r="BG4110" s="77"/>
      <c r="BH4110" s="77"/>
      <c r="BI4110" s="77"/>
    </row>
    <row r="4111" spans="1:61" x14ac:dyDescent="0.25">
      <c r="A4111" s="62" t="s">
        <v>735</v>
      </c>
      <c r="B4111" s="62" t="s">
        <v>735</v>
      </c>
      <c r="C4111" s="63"/>
      <c r="D4111" s="64"/>
      <c r="E4111" s="65"/>
      <c r="F4111" s="66"/>
      <c r="G4111" s="63"/>
      <c r="H4111" s="67"/>
      <c r="I4111" s="68"/>
      <c r="J4111" s="68"/>
      <c r="K4111" s="32"/>
      <c r="L4111" s="75">
        <v>4111</v>
      </c>
      <c r="M4111" s="75"/>
      <c r="N4111" s="70"/>
      <c r="O4111" s="77" t="s">
        <v>179</v>
      </c>
      <c r="P4111" s="79">
        <v>45118.59547453704</v>
      </c>
      <c r="Q4111" s="77" t="s">
        <v>4753</v>
      </c>
      <c r="R4111" s="77">
        <v>0</v>
      </c>
      <c r="S4111" s="77">
        <v>2</v>
      </c>
      <c r="T4111" s="77">
        <v>0</v>
      </c>
      <c r="U4111" s="77">
        <v>0</v>
      </c>
      <c r="V4111" s="77">
        <v>323</v>
      </c>
      <c r="W4111" s="82" t="s">
        <v>6445</v>
      </c>
      <c r="X4111" s="77"/>
      <c r="Y4111" s="77"/>
      <c r="Z4111" s="77"/>
      <c r="AA4111" s="77"/>
      <c r="AB4111" s="77"/>
      <c r="AC4111" s="82" t="s">
        <v>7787</v>
      </c>
      <c r="AD4111" s="77" t="s">
        <v>7788</v>
      </c>
      <c r="AE4111" s="80" t="str">
        <f>HYPERLINK("https://twitter.com/modalmais/status/1678770489043603458")</f>
        <v>https://twitter.com/modalmais/status/1678770489043603458</v>
      </c>
      <c r="AF4111" s="79">
        <v>45118.59547453704</v>
      </c>
      <c r="AG4111" s="85">
        <v>45118</v>
      </c>
      <c r="AH4111" s="82" t="s">
        <v>10508</v>
      </c>
      <c r="AI4111" s="77"/>
      <c r="AJ4111" s="77"/>
      <c r="AK4111" s="77"/>
      <c r="AL4111" s="77"/>
      <c r="AM4111" s="77"/>
      <c r="AN4111" s="77"/>
      <c r="AO4111" s="77"/>
      <c r="AP4111" s="77"/>
      <c r="AQ4111" s="77"/>
      <c r="AR4111" s="77"/>
      <c r="AS4111" s="77"/>
      <c r="AT4111" s="77"/>
      <c r="AU4111" s="77"/>
      <c r="AV4111" s="80" t="str">
        <f>HYPERLINK("https://pbs.twimg.com/profile_images/1067039778795937797/PnnLGTU4_normal.jpg")</f>
        <v>https://pbs.twimg.com/profile_images/1067039778795937797/PnnLGTU4_normal.jpg</v>
      </c>
      <c r="AW4111" s="82" t="s">
        <v>15682</v>
      </c>
      <c r="AX4111" s="82" t="s">
        <v>15682</v>
      </c>
      <c r="AY4111" s="77"/>
      <c r="AZ4111" s="82" t="s">
        <v>15984</v>
      </c>
      <c r="BA4111" s="82" t="s">
        <v>15984</v>
      </c>
      <c r="BB4111" s="82" t="s">
        <v>15984</v>
      </c>
      <c r="BC4111" s="82" t="s">
        <v>15682</v>
      </c>
      <c r="BD4111" s="77">
        <v>2578778256</v>
      </c>
      <c r="BE4111" s="77"/>
      <c r="BF4111" s="77"/>
      <c r="BG4111" s="77"/>
      <c r="BH4111" s="77"/>
      <c r="BI4111" s="77"/>
    </row>
    <row r="4112" spans="1:61" x14ac:dyDescent="0.25">
      <c r="A4112" s="62" t="s">
        <v>735</v>
      </c>
      <c r="B4112" s="62" t="s">
        <v>735</v>
      </c>
      <c r="C4112" s="63"/>
      <c r="D4112" s="64"/>
      <c r="E4112" s="65"/>
      <c r="F4112" s="66"/>
      <c r="G4112" s="63"/>
      <c r="H4112" s="67"/>
      <c r="I4112" s="68"/>
      <c r="J4112" s="68"/>
      <c r="K4112" s="32"/>
      <c r="L4112" s="75">
        <v>4112</v>
      </c>
      <c r="M4112" s="75"/>
      <c r="N4112" s="70"/>
      <c r="O4112" s="77" t="s">
        <v>179</v>
      </c>
      <c r="P4112" s="79">
        <v>45118.522013888891</v>
      </c>
      <c r="Q4112" s="77" t="s">
        <v>4754</v>
      </c>
      <c r="R4112" s="77">
        <v>1</v>
      </c>
      <c r="S4112" s="77">
        <v>1</v>
      </c>
      <c r="T4112" s="77">
        <v>0</v>
      </c>
      <c r="U4112" s="77">
        <v>0</v>
      </c>
      <c r="V4112" s="77">
        <v>291</v>
      </c>
      <c r="W4112" s="82" t="s">
        <v>6411</v>
      </c>
      <c r="X4112" s="80" t="str">
        <f>HYPERLINK("https://www.modalmais.com.br/morning-call/ipc-s-registrou-variacao-nula-na-primeira-quadrissemana-de-julho/")</f>
        <v>https://www.modalmais.com.br/morning-call/ipc-s-registrou-variacao-nula-na-primeira-quadrissemana-de-julho/</v>
      </c>
      <c r="Y4112" s="77" t="s">
        <v>6470</v>
      </c>
      <c r="Z4112" s="77"/>
      <c r="AA4112" s="77"/>
      <c r="AB4112" s="77"/>
      <c r="AC4112" s="82" t="s">
        <v>7787</v>
      </c>
      <c r="AD4112" s="77" t="s">
        <v>7788</v>
      </c>
      <c r="AE4112" s="80" t="str">
        <f>HYPERLINK("https://twitter.com/modalmais/status/1678743870320803840")</f>
        <v>https://twitter.com/modalmais/status/1678743870320803840</v>
      </c>
      <c r="AF4112" s="79">
        <v>45118.522013888891</v>
      </c>
      <c r="AG4112" s="85">
        <v>45118</v>
      </c>
      <c r="AH4112" s="82" t="s">
        <v>10509</v>
      </c>
      <c r="AI4112" s="77" t="b">
        <v>0</v>
      </c>
      <c r="AJ4112" s="77"/>
      <c r="AK4112" s="77"/>
      <c r="AL4112" s="77"/>
      <c r="AM4112" s="77"/>
      <c r="AN4112" s="77"/>
      <c r="AO4112" s="77"/>
      <c r="AP4112" s="77"/>
      <c r="AQ4112" s="77"/>
      <c r="AR4112" s="77"/>
      <c r="AS4112" s="77"/>
      <c r="AT4112" s="77"/>
      <c r="AU4112" s="77"/>
      <c r="AV4112" s="80" t="str">
        <f>HYPERLINK("https://pbs.twimg.com/profile_images/1067039778795937797/PnnLGTU4_normal.jpg")</f>
        <v>https://pbs.twimg.com/profile_images/1067039778795937797/PnnLGTU4_normal.jpg</v>
      </c>
      <c r="AW4112" s="82" t="s">
        <v>15683</v>
      </c>
      <c r="AX4112" s="82" t="s">
        <v>15683</v>
      </c>
      <c r="AY4112" s="77"/>
      <c r="AZ4112" s="82" t="s">
        <v>15984</v>
      </c>
      <c r="BA4112" s="82" t="s">
        <v>15984</v>
      </c>
      <c r="BB4112" s="82" t="s">
        <v>15984</v>
      </c>
      <c r="BC4112" s="82" t="s">
        <v>15683</v>
      </c>
      <c r="BD4112" s="77">
        <v>2578778256</v>
      </c>
      <c r="BE4112" s="77"/>
      <c r="BF4112" s="77"/>
      <c r="BG4112" s="77"/>
      <c r="BH4112" s="77"/>
      <c r="BI4112" s="77"/>
    </row>
    <row r="4113" spans="1:61" x14ac:dyDescent="0.25">
      <c r="A4113" s="62" t="s">
        <v>735</v>
      </c>
      <c r="B4113" s="62" t="s">
        <v>735</v>
      </c>
      <c r="C4113" s="63"/>
      <c r="D4113" s="64"/>
      <c r="E4113" s="65"/>
      <c r="F4113" s="66"/>
      <c r="G4113" s="63"/>
      <c r="H4113" s="67"/>
      <c r="I4113" s="68"/>
      <c r="J4113" s="68"/>
      <c r="K4113" s="32"/>
      <c r="L4113" s="75">
        <v>4113</v>
      </c>
      <c r="M4113" s="75"/>
      <c r="N4113" s="70"/>
      <c r="O4113" s="77" t="s">
        <v>179</v>
      </c>
      <c r="P4113" s="79">
        <v>45118.506064814814</v>
      </c>
      <c r="Q4113" s="77" t="s">
        <v>4755</v>
      </c>
      <c r="R4113" s="77">
        <v>0</v>
      </c>
      <c r="S4113" s="77">
        <v>0</v>
      </c>
      <c r="T4113" s="77">
        <v>0</v>
      </c>
      <c r="U4113" s="77">
        <v>0</v>
      </c>
      <c r="V4113" s="77">
        <v>293</v>
      </c>
      <c r="W4113" s="82" t="s">
        <v>6411</v>
      </c>
      <c r="X4113" s="77"/>
      <c r="Y4113" s="77"/>
      <c r="Z4113" s="77"/>
      <c r="AA4113" s="77"/>
      <c r="AB4113" s="77"/>
      <c r="AC4113" s="82" t="s">
        <v>7787</v>
      </c>
      <c r="AD4113" s="77" t="s">
        <v>7788</v>
      </c>
      <c r="AE4113" s="80" t="str">
        <f>HYPERLINK("https://twitter.com/modalmais/status/1678738090251243521")</f>
        <v>https://twitter.com/modalmais/status/1678738090251243521</v>
      </c>
      <c r="AF4113" s="79">
        <v>45118.506064814814</v>
      </c>
      <c r="AG4113" s="85">
        <v>45118</v>
      </c>
      <c r="AH4113" s="82" t="s">
        <v>10510</v>
      </c>
      <c r="AI4113" s="77"/>
      <c r="AJ4113" s="77"/>
      <c r="AK4113" s="77"/>
      <c r="AL4113" s="77"/>
      <c r="AM4113" s="77"/>
      <c r="AN4113" s="77"/>
      <c r="AO4113" s="77"/>
      <c r="AP4113" s="77"/>
      <c r="AQ4113" s="77"/>
      <c r="AR4113" s="77"/>
      <c r="AS4113" s="77"/>
      <c r="AT4113" s="77"/>
      <c r="AU4113" s="77"/>
      <c r="AV4113" s="80" t="str">
        <f>HYPERLINK("https://pbs.twimg.com/profile_images/1067039778795937797/PnnLGTU4_normal.jpg")</f>
        <v>https://pbs.twimg.com/profile_images/1067039778795937797/PnnLGTU4_normal.jpg</v>
      </c>
      <c r="AW4113" s="82" t="s">
        <v>15684</v>
      </c>
      <c r="AX4113" s="82" t="s">
        <v>15684</v>
      </c>
      <c r="AY4113" s="77"/>
      <c r="AZ4113" s="82" t="s">
        <v>15984</v>
      </c>
      <c r="BA4113" s="82" t="s">
        <v>15984</v>
      </c>
      <c r="BB4113" s="82" t="s">
        <v>15984</v>
      </c>
      <c r="BC4113" s="82" t="s">
        <v>15684</v>
      </c>
      <c r="BD4113" s="77">
        <v>2578778256</v>
      </c>
      <c r="BE4113" s="77"/>
      <c r="BF4113" s="77"/>
      <c r="BG4113" s="77"/>
      <c r="BH4113" s="77"/>
      <c r="BI4113" s="77"/>
    </row>
    <row r="4114" spans="1:61" x14ac:dyDescent="0.25">
      <c r="A4114" s="62" t="s">
        <v>735</v>
      </c>
      <c r="B4114" s="62" t="s">
        <v>735</v>
      </c>
      <c r="C4114" s="63"/>
      <c r="D4114" s="64"/>
      <c r="E4114" s="65"/>
      <c r="F4114" s="66"/>
      <c r="G4114" s="63"/>
      <c r="H4114" s="67"/>
      <c r="I4114" s="68"/>
      <c r="J4114" s="68"/>
      <c r="K4114" s="32"/>
      <c r="L4114" s="75">
        <v>4114</v>
      </c>
      <c r="M4114" s="75"/>
      <c r="N4114" s="70"/>
      <c r="O4114" s="77" t="s">
        <v>179</v>
      </c>
      <c r="P4114" s="79">
        <v>45118.505219907405</v>
      </c>
      <c r="Q4114" s="77" t="s">
        <v>4756</v>
      </c>
      <c r="R4114" s="77">
        <v>0</v>
      </c>
      <c r="S4114" s="77">
        <v>1</v>
      </c>
      <c r="T4114" s="77">
        <v>0</v>
      </c>
      <c r="U4114" s="77">
        <v>0</v>
      </c>
      <c r="V4114" s="77">
        <v>299</v>
      </c>
      <c r="W4114" s="82" t="s">
        <v>6411</v>
      </c>
      <c r="X4114" s="77"/>
      <c r="Y4114" s="77"/>
      <c r="Z4114" s="77"/>
      <c r="AA4114" s="77"/>
      <c r="AB4114" s="77"/>
      <c r="AC4114" s="82" t="s">
        <v>7787</v>
      </c>
      <c r="AD4114" s="77" t="s">
        <v>7797</v>
      </c>
      <c r="AE4114" s="80" t="str">
        <f>HYPERLINK("https://twitter.com/modalmais/status/1678737781848252416")</f>
        <v>https://twitter.com/modalmais/status/1678737781848252416</v>
      </c>
      <c r="AF4114" s="79">
        <v>45118.505219907405</v>
      </c>
      <c r="AG4114" s="85">
        <v>45118</v>
      </c>
      <c r="AH4114" s="82" t="s">
        <v>10511</v>
      </c>
      <c r="AI4114" s="77"/>
      <c r="AJ4114" s="77"/>
      <c r="AK4114" s="77"/>
      <c r="AL4114" s="77"/>
      <c r="AM4114" s="77"/>
      <c r="AN4114" s="77"/>
      <c r="AO4114" s="77"/>
      <c r="AP4114" s="77"/>
      <c r="AQ4114" s="77"/>
      <c r="AR4114" s="77"/>
      <c r="AS4114" s="77"/>
      <c r="AT4114" s="77"/>
      <c r="AU4114" s="77"/>
      <c r="AV4114" s="80" t="str">
        <f>HYPERLINK("https://pbs.twimg.com/profile_images/1067039778795937797/PnnLGTU4_normal.jpg")</f>
        <v>https://pbs.twimg.com/profile_images/1067039778795937797/PnnLGTU4_normal.jpg</v>
      </c>
      <c r="AW4114" s="82" t="s">
        <v>15685</v>
      </c>
      <c r="AX4114" s="82" t="s">
        <v>15685</v>
      </c>
      <c r="AY4114" s="77"/>
      <c r="AZ4114" s="82" t="s">
        <v>15984</v>
      </c>
      <c r="BA4114" s="82" t="s">
        <v>15984</v>
      </c>
      <c r="BB4114" s="82" t="s">
        <v>15984</v>
      </c>
      <c r="BC4114" s="82" t="s">
        <v>15685</v>
      </c>
      <c r="BD4114" s="77">
        <v>2578778256</v>
      </c>
      <c r="BE4114" s="77"/>
      <c r="BF4114" s="77"/>
      <c r="BG4114" s="77"/>
      <c r="BH4114" s="77"/>
      <c r="BI4114" s="77"/>
    </row>
    <row r="4115" spans="1:61" x14ac:dyDescent="0.25">
      <c r="A4115" s="62" t="s">
        <v>735</v>
      </c>
      <c r="B4115" s="62" t="s">
        <v>735</v>
      </c>
      <c r="C4115" s="63"/>
      <c r="D4115" s="64"/>
      <c r="E4115" s="65"/>
      <c r="F4115" s="66"/>
      <c r="G4115" s="63"/>
      <c r="H4115" s="67"/>
      <c r="I4115" s="68"/>
      <c r="J4115" s="68"/>
      <c r="K4115" s="32"/>
      <c r="L4115" s="75">
        <v>4115</v>
      </c>
      <c r="M4115" s="75"/>
      <c r="N4115" s="70"/>
      <c r="O4115" s="77" t="s">
        <v>179</v>
      </c>
      <c r="P4115" s="79">
        <v>45118.503831018519</v>
      </c>
      <c r="Q4115" s="77" t="s">
        <v>4757</v>
      </c>
      <c r="R4115" s="77">
        <v>2</v>
      </c>
      <c r="S4115" s="77">
        <v>2</v>
      </c>
      <c r="T4115" s="77">
        <v>0</v>
      </c>
      <c r="U4115" s="77">
        <v>0</v>
      </c>
      <c r="V4115" s="77">
        <v>293</v>
      </c>
      <c r="W4115" s="82" t="s">
        <v>6411</v>
      </c>
      <c r="X4115" s="77"/>
      <c r="Y4115" s="77"/>
      <c r="Z4115" s="77"/>
      <c r="AA4115" s="77"/>
      <c r="AB4115" s="77"/>
      <c r="AC4115" s="82" t="s">
        <v>7787</v>
      </c>
      <c r="AD4115" s="77" t="s">
        <v>7793</v>
      </c>
      <c r="AE4115" s="80" t="str">
        <f>HYPERLINK("https://twitter.com/modalmais/status/1678737278548443138")</f>
        <v>https://twitter.com/modalmais/status/1678737278548443138</v>
      </c>
      <c r="AF4115" s="79">
        <v>45118.503831018519</v>
      </c>
      <c r="AG4115" s="85">
        <v>45118</v>
      </c>
      <c r="AH4115" s="82" t="s">
        <v>10512</v>
      </c>
      <c r="AI4115" s="77"/>
      <c r="AJ4115" s="77"/>
      <c r="AK4115" s="77"/>
      <c r="AL4115" s="77"/>
      <c r="AM4115" s="77"/>
      <c r="AN4115" s="77"/>
      <c r="AO4115" s="77"/>
      <c r="AP4115" s="77"/>
      <c r="AQ4115" s="77"/>
      <c r="AR4115" s="77"/>
      <c r="AS4115" s="77"/>
      <c r="AT4115" s="77"/>
      <c r="AU4115" s="77"/>
      <c r="AV4115" s="80" t="str">
        <f>HYPERLINK("https://pbs.twimg.com/profile_images/1067039778795937797/PnnLGTU4_normal.jpg")</f>
        <v>https://pbs.twimg.com/profile_images/1067039778795937797/PnnLGTU4_normal.jpg</v>
      </c>
      <c r="AW4115" s="82" t="s">
        <v>15686</v>
      </c>
      <c r="AX4115" s="82" t="s">
        <v>15686</v>
      </c>
      <c r="AY4115" s="77"/>
      <c r="AZ4115" s="82" t="s">
        <v>15984</v>
      </c>
      <c r="BA4115" s="82" t="s">
        <v>15984</v>
      </c>
      <c r="BB4115" s="82" t="s">
        <v>15984</v>
      </c>
      <c r="BC4115" s="82" t="s">
        <v>15686</v>
      </c>
      <c r="BD4115" s="77">
        <v>2578778256</v>
      </c>
      <c r="BE4115" s="77"/>
      <c r="BF4115" s="77"/>
      <c r="BG4115" s="77"/>
      <c r="BH4115" s="77"/>
      <c r="BI4115" s="77"/>
    </row>
    <row r="4116" spans="1:61" x14ac:dyDescent="0.25">
      <c r="A4116" s="62" t="s">
        <v>735</v>
      </c>
      <c r="B4116" s="62" t="s">
        <v>735</v>
      </c>
      <c r="C4116" s="63"/>
      <c r="D4116" s="64"/>
      <c r="E4116" s="65"/>
      <c r="F4116" s="66"/>
      <c r="G4116" s="63"/>
      <c r="H4116" s="67"/>
      <c r="I4116" s="68"/>
      <c r="J4116" s="68"/>
      <c r="K4116" s="32"/>
      <c r="L4116" s="75">
        <v>4116</v>
      </c>
      <c r="M4116" s="75"/>
      <c r="N4116" s="70"/>
      <c r="O4116" s="77" t="s">
        <v>179</v>
      </c>
      <c r="P4116" s="79">
        <v>45194.844490740739</v>
      </c>
      <c r="Q4116" s="77" t="s">
        <v>4758</v>
      </c>
      <c r="R4116" s="77">
        <v>0</v>
      </c>
      <c r="S4116" s="77">
        <v>1</v>
      </c>
      <c r="T4116" s="77">
        <v>0</v>
      </c>
      <c r="U4116" s="77">
        <v>0</v>
      </c>
      <c r="V4116" s="77">
        <v>369</v>
      </c>
      <c r="W4116" s="82" t="s">
        <v>6424</v>
      </c>
      <c r="X4116" s="80" t="str">
        <f>HYPERLINK("https://www.youtube.com/watch?v=h1efmy7TcLY")</f>
        <v>https://www.youtube.com/watch?v=h1efmy7TcLY</v>
      </c>
      <c r="Y4116" s="77" t="s">
        <v>6480</v>
      </c>
      <c r="Z4116" s="77"/>
      <c r="AA4116" s="77"/>
      <c r="AB4116" s="77"/>
      <c r="AC4116" s="82" t="s">
        <v>7787</v>
      </c>
      <c r="AD4116" s="77" t="s">
        <v>7788</v>
      </c>
      <c r="AE4116" s="80" t="str">
        <f>HYPERLINK("https://twitter.com/modalmais/status/1706402208319750334")</f>
        <v>https://twitter.com/modalmais/status/1706402208319750334</v>
      </c>
      <c r="AF4116" s="79">
        <v>45194.844490740739</v>
      </c>
      <c r="AG4116" s="85">
        <v>45194</v>
      </c>
      <c r="AH4116" s="82" t="s">
        <v>10513</v>
      </c>
      <c r="AI4116" s="77" t="b">
        <v>0</v>
      </c>
      <c r="AJ4116" s="77"/>
      <c r="AK4116" s="77"/>
      <c r="AL4116" s="77"/>
      <c r="AM4116" s="77"/>
      <c r="AN4116" s="77"/>
      <c r="AO4116" s="77"/>
      <c r="AP4116" s="77"/>
      <c r="AQ4116" s="77"/>
      <c r="AR4116" s="77"/>
      <c r="AS4116" s="77"/>
      <c r="AT4116" s="77"/>
      <c r="AU4116" s="77"/>
      <c r="AV4116" s="80" t="str">
        <f>HYPERLINK("https://pbs.twimg.com/profile_images/1067039778795937797/PnnLGTU4_normal.jpg")</f>
        <v>https://pbs.twimg.com/profile_images/1067039778795937797/PnnLGTU4_normal.jpg</v>
      </c>
      <c r="AW4116" s="82" t="s">
        <v>15687</v>
      </c>
      <c r="AX4116" s="82" t="s">
        <v>15687</v>
      </c>
      <c r="AY4116" s="77"/>
      <c r="AZ4116" s="82" t="s">
        <v>15984</v>
      </c>
      <c r="BA4116" s="82" t="s">
        <v>15984</v>
      </c>
      <c r="BB4116" s="82" t="s">
        <v>15984</v>
      </c>
      <c r="BC4116" s="82" t="s">
        <v>15687</v>
      </c>
      <c r="BD4116" s="77">
        <v>2578778256</v>
      </c>
      <c r="BE4116" s="77"/>
      <c r="BF4116" s="77"/>
      <c r="BG4116" s="77"/>
      <c r="BH4116" s="77"/>
      <c r="BI4116" s="77"/>
    </row>
    <row r="4117" spans="1:61" x14ac:dyDescent="0.25">
      <c r="A4117" s="62" t="s">
        <v>735</v>
      </c>
      <c r="B4117" s="62" t="s">
        <v>735</v>
      </c>
      <c r="C4117" s="63"/>
      <c r="D4117" s="64"/>
      <c r="E4117" s="65"/>
      <c r="F4117" s="66"/>
      <c r="G4117" s="63"/>
      <c r="H4117" s="67"/>
      <c r="I4117" s="68"/>
      <c r="J4117" s="68"/>
      <c r="K4117" s="32"/>
      <c r="L4117" s="75">
        <v>4117</v>
      </c>
      <c r="M4117" s="75"/>
      <c r="N4117" s="70"/>
      <c r="O4117" s="77" t="s">
        <v>179</v>
      </c>
      <c r="P4117" s="79">
        <v>45182.70553240741</v>
      </c>
      <c r="Q4117" s="77" t="s">
        <v>4759</v>
      </c>
      <c r="R4117" s="77">
        <v>0</v>
      </c>
      <c r="S4117" s="77">
        <v>1</v>
      </c>
      <c r="T4117" s="77">
        <v>0</v>
      </c>
      <c r="U4117" s="77">
        <v>0</v>
      </c>
      <c r="V4117" s="77">
        <v>324</v>
      </c>
      <c r="W4117" s="82" t="s">
        <v>6424</v>
      </c>
      <c r="X4117" s="80" t="str">
        <f>HYPERLINK("https://www.modalmais.com.br/morning-call/indice-nacional-da-construcao-civil-avanca-018-em-agosto")</f>
        <v>https://www.modalmais.com.br/morning-call/indice-nacional-da-construcao-civil-avanca-018-em-agosto</v>
      </c>
      <c r="Y4117" s="77" t="s">
        <v>6470</v>
      </c>
      <c r="Z4117" s="77"/>
      <c r="AA4117" s="77"/>
      <c r="AB4117" s="77"/>
      <c r="AC4117" s="82" t="s">
        <v>7787</v>
      </c>
      <c r="AD4117" s="77" t="s">
        <v>7788</v>
      </c>
      <c r="AE4117" s="80" t="str">
        <f>HYPERLINK("https://twitter.com/modalmais/status/1702003198599250262")</f>
        <v>https://twitter.com/modalmais/status/1702003198599250262</v>
      </c>
      <c r="AF4117" s="79">
        <v>45182.70553240741</v>
      </c>
      <c r="AG4117" s="85">
        <v>45182</v>
      </c>
      <c r="AH4117" s="82" t="s">
        <v>10514</v>
      </c>
      <c r="AI4117" s="77" t="b">
        <v>0</v>
      </c>
      <c r="AJ4117" s="77"/>
      <c r="AK4117" s="77"/>
      <c r="AL4117" s="77"/>
      <c r="AM4117" s="77"/>
      <c r="AN4117" s="77"/>
      <c r="AO4117" s="77"/>
      <c r="AP4117" s="77"/>
      <c r="AQ4117" s="77"/>
      <c r="AR4117" s="77"/>
      <c r="AS4117" s="77"/>
      <c r="AT4117" s="77"/>
      <c r="AU4117" s="77"/>
      <c r="AV4117" s="80" t="str">
        <f>HYPERLINK("https://pbs.twimg.com/profile_images/1067039778795937797/PnnLGTU4_normal.jpg")</f>
        <v>https://pbs.twimg.com/profile_images/1067039778795937797/PnnLGTU4_normal.jpg</v>
      </c>
      <c r="AW4117" s="82" t="s">
        <v>15688</v>
      </c>
      <c r="AX4117" s="82" t="s">
        <v>15688</v>
      </c>
      <c r="AY4117" s="77"/>
      <c r="AZ4117" s="82" t="s">
        <v>15984</v>
      </c>
      <c r="BA4117" s="82" t="s">
        <v>15984</v>
      </c>
      <c r="BB4117" s="82" t="s">
        <v>15984</v>
      </c>
      <c r="BC4117" s="82" t="s">
        <v>15688</v>
      </c>
      <c r="BD4117" s="77">
        <v>2578778256</v>
      </c>
      <c r="BE4117" s="77"/>
      <c r="BF4117" s="77"/>
      <c r="BG4117" s="77"/>
      <c r="BH4117" s="77"/>
      <c r="BI4117" s="77"/>
    </row>
    <row r="4118" spans="1:61" x14ac:dyDescent="0.25">
      <c r="A4118" s="62" t="s">
        <v>735</v>
      </c>
      <c r="B4118" s="62" t="s">
        <v>735</v>
      </c>
      <c r="C4118" s="63"/>
      <c r="D4118" s="64"/>
      <c r="E4118" s="65"/>
      <c r="F4118" s="66"/>
      <c r="G4118" s="63"/>
      <c r="H4118" s="67"/>
      <c r="I4118" s="68"/>
      <c r="J4118" s="68"/>
      <c r="K4118" s="32"/>
      <c r="L4118" s="75">
        <v>4118</v>
      </c>
      <c r="M4118" s="75"/>
      <c r="N4118" s="70"/>
      <c r="O4118" s="77" t="s">
        <v>179</v>
      </c>
      <c r="P4118" s="79">
        <v>45159.586678240739</v>
      </c>
      <c r="Q4118" s="77" t="s">
        <v>4760</v>
      </c>
      <c r="R4118" s="77">
        <v>1</v>
      </c>
      <c r="S4118" s="77">
        <v>5</v>
      </c>
      <c r="T4118" s="77">
        <v>0</v>
      </c>
      <c r="U4118" s="77">
        <v>0</v>
      </c>
      <c r="V4118" s="77">
        <v>419</v>
      </c>
      <c r="W4118" s="82" t="s">
        <v>6414</v>
      </c>
      <c r="X4118" s="77"/>
      <c r="Y4118" s="77"/>
      <c r="Z4118" s="77"/>
      <c r="AA4118" s="77"/>
      <c r="AB4118" s="77"/>
      <c r="AC4118" s="82" t="s">
        <v>7787</v>
      </c>
      <c r="AD4118" s="77" t="s">
        <v>7797</v>
      </c>
      <c r="AE4118" s="80" t="str">
        <f>HYPERLINK("https://twitter.com/modalmais/status/1693625204956598373")</f>
        <v>https://twitter.com/modalmais/status/1693625204956598373</v>
      </c>
      <c r="AF4118" s="79">
        <v>45159.586678240739</v>
      </c>
      <c r="AG4118" s="85">
        <v>45159</v>
      </c>
      <c r="AH4118" s="82" t="s">
        <v>10515</v>
      </c>
      <c r="AI4118" s="77"/>
      <c r="AJ4118" s="77"/>
      <c r="AK4118" s="77"/>
      <c r="AL4118" s="77"/>
      <c r="AM4118" s="77"/>
      <c r="AN4118" s="77"/>
      <c r="AO4118" s="77"/>
      <c r="AP4118" s="77"/>
      <c r="AQ4118" s="77"/>
      <c r="AR4118" s="77"/>
      <c r="AS4118" s="77"/>
      <c r="AT4118" s="77"/>
      <c r="AU4118" s="77"/>
      <c r="AV4118" s="80" t="str">
        <f>HYPERLINK("https://pbs.twimg.com/profile_images/1067039778795937797/PnnLGTU4_normal.jpg")</f>
        <v>https://pbs.twimg.com/profile_images/1067039778795937797/PnnLGTU4_normal.jpg</v>
      </c>
      <c r="AW4118" s="82" t="s">
        <v>15689</v>
      </c>
      <c r="AX4118" s="82" t="s">
        <v>15689</v>
      </c>
      <c r="AY4118" s="77"/>
      <c r="AZ4118" s="82" t="s">
        <v>15984</v>
      </c>
      <c r="BA4118" s="82" t="s">
        <v>15984</v>
      </c>
      <c r="BB4118" s="82" t="s">
        <v>15984</v>
      </c>
      <c r="BC4118" s="82" t="s">
        <v>15689</v>
      </c>
      <c r="BD4118" s="77">
        <v>2578778256</v>
      </c>
      <c r="BE4118" s="77"/>
      <c r="BF4118" s="77"/>
      <c r="BG4118" s="77"/>
      <c r="BH4118" s="77"/>
      <c r="BI4118" s="77"/>
    </row>
    <row r="4119" spans="1:61" x14ac:dyDescent="0.25">
      <c r="A4119" s="62" t="s">
        <v>735</v>
      </c>
      <c r="B4119" s="62" t="s">
        <v>735</v>
      </c>
      <c r="C4119" s="63"/>
      <c r="D4119" s="64"/>
      <c r="E4119" s="65"/>
      <c r="F4119" s="66"/>
      <c r="G4119" s="63"/>
      <c r="H4119" s="67"/>
      <c r="I4119" s="68"/>
      <c r="J4119" s="68"/>
      <c r="K4119" s="32"/>
      <c r="L4119" s="75">
        <v>4119</v>
      </c>
      <c r="M4119" s="75"/>
      <c r="N4119" s="70"/>
      <c r="O4119" s="77" t="s">
        <v>179</v>
      </c>
      <c r="P4119" s="79">
        <v>45159.581307870372</v>
      </c>
      <c r="Q4119" s="77" t="s">
        <v>4761</v>
      </c>
      <c r="R4119" s="77">
        <v>1</v>
      </c>
      <c r="S4119" s="77">
        <v>4</v>
      </c>
      <c r="T4119" s="77">
        <v>0</v>
      </c>
      <c r="U4119" s="77">
        <v>0</v>
      </c>
      <c r="V4119" s="77">
        <v>390</v>
      </c>
      <c r="W4119" s="82" t="s">
        <v>6414</v>
      </c>
      <c r="X4119" s="77"/>
      <c r="Y4119" s="77"/>
      <c r="Z4119" s="77"/>
      <c r="AA4119" s="77"/>
      <c r="AB4119" s="77"/>
      <c r="AC4119" s="82" t="s">
        <v>7787</v>
      </c>
      <c r="AD4119" s="77" t="s">
        <v>7802</v>
      </c>
      <c r="AE4119" s="80" t="str">
        <f>HYPERLINK("https://twitter.com/modalmais/status/1693623258577359074")</f>
        <v>https://twitter.com/modalmais/status/1693623258577359074</v>
      </c>
      <c r="AF4119" s="79">
        <v>45159.581307870372</v>
      </c>
      <c r="AG4119" s="85">
        <v>45159</v>
      </c>
      <c r="AH4119" s="82" t="s">
        <v>10516</v>
      </c>
      <c r="AI4119" s="77"/>
      <c r="AJ4119" s="77"/>
      <c r="AK4119" s="77"/>
      <c r="AL4119" s="77"/>
      <c r="AM4119" s="77"/>
      <c r="AN4119" s="77"/>
      <c r="AO4119" s="77"/>
      <c r="AP4119" s="77"/>
      <c r="AQ4119" s="77"/>
      <c r="AR4119" s="77"/>
      <c r="AS4119" s="77"/>
      <c r="AT4119" s="77"/>
      <c r="AU4119" s="77"/>
      <c r="AV4119" s="80" t="str">
        <f>HYPERLINK("https://pbs.twimg.com/profile_images/1067039778795937797/PnnLGTU4_normal.jpg")</f>
        <v>https://pbs.twimg.com/profile_images/1067039778795937797/PnnLGTU4_normal.jpg</v>
      </c>
      <c r="AW4119" s="82" t="s">
        <v>15690</v>
      </c>
      <c r="AX4119" s="82" t="s">
        <v>15690</v>
      </c>
      <c r="AY4119" s="77"/>
      <c r="AZ4119" s="82" t="s">
        <v>15984</v>
      </c>
      <c r="BA4119" s="82" t="s">
        <v>15984</v>
      </c>
      <c r="BB4119" s="82" t="s">
        <v>15984</v>
      </c>
      <c r="BC4119" s="82" t="s">
        <v>15690</v>
      </c>
      <c r="BD4119" s="77">
        <v>2578778256</v>
      </c>
      <c r="BE4119" s="77"/>
      <c r="BF4119" s="77"/>
      <c r="BG4119" s="77"/>
      <c r="BH4119" s="77"/>
      <c r="BI4119" s="77"/>
    </row>
    <row r="4120" spans="1:61" x14ac:dyDescent="0.25">
      <c r="A4120" s="62" t="s">
        <v>735</v>
      </c>
      <c r="B4120" s="62" t="s">
        <v>735</v>
      </c>
      <c r="C4120" s="63"/>
      <c r="D4120" s="64"/>
      <c r="E4120" s="65"/>
      <c r="F4120" s="66"/>
      <c r="G4120" s="63"/>
      <c r="H4120" s="67"/>
      <c r="I4120" s="68"/>
      <c r="J4120" s="68"/>
      <c r="K4120" s="32"/>
      <c r="L4120" s="75">
        <v>4120</v>
      </c>
      <c r="M4120" s="75"/>
      <c r="N4120" s="70"/>
      <c r="O4120" s="77" t="s">
        <v>179</v>
      </c>
      <c r="P4120" s="79">
        <v>45159.535682870373</v>
      </c>
      <c r="Q4120" s="77" t="s">
        <v>4762</v>
      </c>
      <c r="R4120" s="77">
        <v>0</v>
      </c>
      <c r="S4120" s="77">
        <v>0</v>
      </c>
      <c r="T4120" s="77">
        <v>0</v>
      </c>
      <c r="U4120" s="77">
        <v>0</v>
      </c>
      <c r="V4120" s="77">
        <v>381</v>
      </c>
      <c r="W4120" s="82" t="s">
        <v>6414</v>
      </c>
      <c r="X4120" s="80" t="str">
        <f>HYPERLINK("https://www.youtube.com/watch?v=GNQcfMIVWiA")</f>
        <v>https://www.youtube.com/watch?v=GNQcfMIVWiA</v>
      </c>
      <c r="Y4120" s="77" t="s">
        <v>6480</v>
      </c>
      <c r="Z4120" s="77"/>
      <c r="AA4120" s="77"/>
      <c r="AB4120" s="77"/>
      <c r="AC4120" s="82" t="s">
        <v>7787</v>
      </c>
      <c r="AD4120" s="77" t="s">
        <v>7788</v>
      </c>
      <c r="AE4120" s="80" t="str">
        <f>HYPERLINK("https://twitter.com/modalmais/status/1693606723108376882")</f>
        <v>https://twitter.com/modalmais/status/1693606723108376882</v>
      </c>
      <c r="AF4120" s="79">
        <v>45159.535682870373</v>
      </c>
      <c r="AG4120" s="85">
        <v>45159</v>
      </c>
      <c r="AH4120" s="82" t="s">
        <v>10517</v>
      </c>
      <c r="AI4120" s="77" t="b">
        <v>0</v>
      </c>
      <c r="AJ4120" s="77"/>
      <c r="AK4120" s="77"/>
      <c r="AL4120" s="77"/>
      <c r="AM4120" s="77"/>
      <c r="AN4120" s="77"/>
      <c r="AO4120" s="77"/>
      <c r="AP4120" s="77"/>
      <c r="AQ4120" s="77"/>
      <c r="AR4120" s="77"/>
      <c r="AS4120" s="77"/>
      <c r="AT4120" s="77"/>
      <c r="AU4120" s="77"/>
      <c r="AV4120" s="80" t="str">
        <f>HYPERLINK("https://pbs.twimg.com/profile_images/1067039778795937797/PnnLGTU4_normal.jpg")</f>
        <v>https://pbs.twimg.com/profile_images/1067039778795937797/PnnLGTU4_normal.jpg</v>
      </c>
      <c r="AW4120" s="82" t="s">
        <v>15691</v>
      </c>
      <c r="AX4120" s="82" t="s">
        <v>15691</v>
      </c>
      <c r="AY4120" s="77"/>
      <c r="AZ4120" s="82" t="s">
        <v>15984</v>
      </c>
      <c r="BA4120" s="82" t="s">
        <v>15984</v>
      </c>
      <c r="BB4120" s="82" t="s">
        <v>15984</v>
      </c>
      <c r="BC4120" s="82" t="s">
        <v>15691</v>
      </c>
      <c r="BD4120" s="77">
        <v>2578778256</v>
      </c>
      <c r="BE4120" s="77"/>
      <c r="BF4120" s="77"/>
      <c r="BG4120" s="77"/>
      <c r="BH4120" s="77"/>
      <c r="BI4120" s="77"/>
    </row>
    <row r="4121" spans="1:61" x14ac:dyDescent="0.25">
      <c r="A4121" s="62" t="s">
        <v>735</v>
      </c>
      <c r="B4121" s="62" t="s">
        <v>735</v>
      </c>
      <c r="C4121" s="63"/>
      <c r="D4121" s="64"/>
      <c r="E4121" s="65"/>
      <c r="F4121" s="66"/>
      <c r="G4121" s="63"/>
      <c r="H4121" s="67"/>
      <c r="I4121" s="68"/>
      <c r="J4121" s="68"/>
      <c r="K4121" s="32"/>
      <c r="L4121" s="75">
        <v>4121</v>
      </c>
      <c r="M4121" s="75"/>
      <c r="N4121" s="70"/>
      <c r="O4121" s="77" t="s">
        <v>179</v>
      </c>
      <c r="P4121" s="79">
        <v>45159.535254629627</v>
      </c>
      <c r="Q4121" s="77" t="s">
        <v>4763</v>
      </c>
      <c r="R4121" s="77">
        <v>0</v>
      </c>
      <c r="S4121" s="77">
        <v>0</v>
      </c>
      <c r="T4121" s="77">
        <v>0</v>
      </c>
      <c r="U4121" s="77">
        <v>0</v>
      </c>
      <c r="V4121" s="77">
        <v>374</v>
      </c>
      <c r="W4121" s="82" t="s">
        <v>6414</v>
      </c>
      <c r="X4121" s="80" t="str">
        <f>HYPERLINK("https://www.youtube.com/watch?v=RftXtyxWJ-c")</f>
        <v>https://www.youtube.com/watch?v=RftXtyxWJ-c</v>
      </c>
      <c r="Y4121" s="77" t="s">
        <v>6480</v>
      </c>
      <c r="Z4121" s="77"/>
      <c r="AA4121" s="77"/>
      <c r="AB4121" s="77"/>
      <c r="AC4121" s="82" t="s">
        <v>7787</v>
      </c>
      <c r="AD4121" s="77" t="s">
        <v>7788</v>
      </c>
      <c r="AE4121" s="80" t="str">
        <f>HYPERLINK("https://twitter.com/modalmais/status/1693606567881458102")</f>
        <v>https://twitter.com/modalmais/status/1693606567881458102</v>
      </c>
      <c r="AF4121" s="79">
        <v>45159.535254629627</v>
      </c>
      <c r="AG4121" s="85">
        <v>45159</v>
      </c>
      <c r="AH4121" s="82" t="s">
        <v>10518</v>
      </c>
      <c r="AI4121" s="77" t="b">
        <v>0</v>
      </c>
      <c r="AJ4121" s="77"/>
      <c r="AK4121" s="77"/>
      <c r="AL4121" s="77"/>
      <c r="AM4121" s="77"/>
      <c r="AN4121" s="77"/>
      <c r="AO4121" s="77"/>
      <c r="AP4121" s="77"/>
      <c r="AQ4121" s="77"/>
      <c r="AR4121" s="77"/>
      <c r="AS4121" s="77"/>
      <c r="AT4121" s="77"/>
      <c r="AU4121" s="77"/>
      <c r="AV4121" s="80" t="str">
        <f>HYPERLINK("https://pbs.twimg.com/profile_images/1067039778795937797/PnnLGTU4_normal.jpg")</f>
        <v>https://pbs.twimg.com/profile_images/1067039778795937797/PnnLGTU4_normal.jpg</v>
      </c>
      <c r="AW4121" s="82" t="s">
        <v>15692</v>
      </c>
      <c r="AX4121" s="82" t="s">
        <v>15692</v>
      </c>
      <c r="AY4121" s="77"/>
      <c r="AZ4121" s="82" t="s">
        <v>15984</v>
      </c>
      <c r="BA4121" s="82" t="s">
        <v>15984</v>
      </c>
      <c r="BB4121" s="82" t="s">
        <v>15984</v>
      </c>
      <c r="BC4121" s="82" t="s">
        <v>15692</v>
      </c>
      <c r="BD4121" s="77">
        <v>2578778256</v>
      </c>
      <c r="BE4121" s="77"/>
      <c r="BF4121" s="77"/>
      <c r="BG4121" s="77"/>
      <c r="BH4121" s="77"/>
      <c r="BI4121" s="77"/>
    </row>
    <row r="4122" spans="1:61" x14ac:dyDescent="0.25">
      <c r="A4122" s="62" t="s">
        <v>735</v>
      </c>
      <c r="B4122" s="62" t="s">
        <v>735</v>
      </c>
      <c r="C4122" s="63"/>
      <c r="D4122" s="64"/>
      <c r="E4122" s="65"/>
      <c r="F4122" s="66"/>
      <c r="G4122" s="63"/>
      <c r="H4122" s="67"/>
      <c r="I4122" s="68"/>
      <c r="J4122" s="68"/>
      <c r="K4122" s="32"/>
      <c r="L4122" s="75">
        <v>4122</v>
      </c>
      <c r="M4122" s="75"/>
      <c r="N4122" s="70"/>
      <c r="O4122" s="77" t="s">
        <v>179</v>
      </c>
      <c r="P4122" s="79">
        <v>45121.759560185186</v>
      </c>
      <c r="Q4122" s="77" t="s">
        <v>4764</v>
      </c>
      <c r="R4122" s="77">
        <v>2</v>
      </c>
      <c r="S4122" s="77">
        <v>4</v>
      </c>
      <c r="T4122" s="77">
        <v>2</v>
      </c>
      <c r="U4122" s="77">
        <v>0</v>
      </c>
      <c r="V4122" s="77">
        <v>328</v>
      </c>
      <c r="W4122" s="82" t="s">
        <v>6411</v>
      </c>
      <c r="X4122" s="77"/>
      <c r="Y4122" s="77"/>
      <c r="Z4122" s="77"/>
      <c r="AA4122" s="77"/>
      <c r="AB4122" s="77"/>
      <c r="AC4122" s="82" t="s">
        <v>7787</v>
      </c>
      <c r="AD4122" s="77" t="s">
        <v>7788</v>
      </c>
      <c r="AE4122" s="80" t="str">
        <f>HYPERLINK("https://twitter.com/modalmais/status/1679917115762176000")</f>
        <v>https://twitter.com/modalmais/status/1679917115762176000</v>
      </c>
      <c r="AF4122" s="79">
        <v>45121.759560185186</v>
      </c>
      <c r="AG4122" s="85">
        <v>45121</v>
      </c>
      <c r="AH4122" s="82" t="s">
        <v>10519</v>
      </c>
      <c r="AI4122" s="77"/>
      <c r="AJ4122" s="77"/>
      <c r="AK4122" s="77"/>
      <c r="AL4122" s="77"/>
      <c r="AM4122" s="77"/>
      <c r="AN4122" s="77"/>
      <c r="AO4122" s="77"/>
      <c r="AP4122" s="77"/>
      <c r="AQ4122" s="77"/>
      <c r="AR4122" s="77"/>
      <c r="AS4122" s="77"/>
      <c r="AT4122" s="77"/>
      <c r="AU4122" s="77"/>
      <c r="AV4122" s="80" t="str">
        <f>HYPERLINK("https://pbs.twimg.com/profile_images/1067039778795937797/PnnLGTU4_normal.jpg")</f>
        <v>https://pbs.twimg.com/profile_images/1067039778795937797/PnnLGTU4_normal.jpg</v>
      </c>
      <c r="AW4122" s="82" t="s">
        <v>15693</v>
      </c>
      <c r="AX4122" s="82" t="s">
        <v>15693</v>
      </c>
      <c r="AY4122" s="77"/>
      <c r="AZ4122" s="82" t="s">
        <v>15984</v>
      </c>
      <c r="BA4122" s="82" t="s">
        <v>15984</v>
      </c>
      <c r="BB4122" s="82" t="s">
        <v>15984</v>
      </c>
      <c r="BC4122" s="82" t="s">
        <v>15693</v>
      </c>
      <c r="BD4122" s="77">
        <v>2578778256</v>
      </c>
      <c r="BE4122" s="77"/>
      <c r="BF4122" s="77"/>
      <c r="BG4122" s="77"/>
      <c r="BH4122" s="77"/>
      <c r="BI4122" s="77"/>
    </row>
    <row r="4123" spans="1:61" x14ac:dyDescent="0.25">
      <c r="A4123" s="62" t="s">
        <v>735</v>
      </c>
      <c r="B4123" s="62" t="s">
        <v>735</v>
      </c>
      <c r="C4123" s="63"/>
      <c r="D4123" s="64"/>
      <c r="E4123" s="65"/>
      <c r="F4123" s="66"/>
      <c r="G4123" s="63"/>
      <c r="H4123" s="67"/>
      <c r="I4123" s="68"/>
      <c r="J4123" s="68"/>
      <c r="K4123" s="32"/>
      <c r="L4123" s="75">
        <v>4123</v>
      </c>
      <c r="M4123" s="75"/>
      <c r="N4123" s="70"/>
      <c r="O4123" s="77" t="s">
        <v>179</v>
      </c>
      <c r="P4123" s="79">
        <v>45121.707986111112</v>
      </c>
      <c r="Q4123" s="77" t="s">
        <v>4765</v>
      </c>
      <c r="R4123" s="77">
        <v>0</v>
      </c>
      <c r="S4123" s="77">
        <v>1</v>
      </c>
      <c r="T4123" s="77">
        <v>0</v>
      </c>
      <c r="U4123" s="77">
        <v>0</v>
      </c>
      <c r="V4123" s="77">
        <v>259</v>
      </c>
      <c r="W4123" s="82" t="s">
        <v>6411</v>
      </c>
      <c r="X4123" s="77"/>
      <c r="Y4123" s="77"/>
      <c r="Z4123" s="77"/>
      <c r="AA4123" s="77"/>
      <c r="AB4123" s="77"/>
      <c r="AC4123" s="82" t="s">
        <v>7787</v>
      </c>
      <c r="AD4123" s="77" t="s">
        <v>7790</v>
      </c>
      <c r="AE4123" s="80" t="str">
        <f>HYPERLINK("https://twitter.com/modalmais/status/1679898425263894544")</f>
        <v>https://twitter.com/modalmais/status/1679898425263894544</v>
      </c>
      <c r="AF4123" s="79">
        <v>45121.707986111112</v>
      </c>
      <c r="AG4123" s="85">
        <v>45121</v>
      </c>
      <c r="AH4123" s="82" t="s">
        <v>10520</v>
      </c>
      <c r="AI4123" s="77"/>
      <c r="AJ4123" s="77"/>
      <c r="AK4123" s="77"/>
      <c r="AL4123" s="77"/>
      <c r="AM4123" s="77"/>
      <c r="AN4123" s="77"/>
      <c r="AO4123" s="77"/>
      <c r="AP4123" s="77"/>
      <c r="AQ4123" s="77"/>
      <c r="AR4123" s="77"/>
      <c r="AS4123" s="77"/>
      <c r="AT4123" s="77"/>
      <c r="AU4123" s="77"/>
      <c r="AV4123" s="80" t="str">
        <f>HYPERLINK("https://pbs.twimg.com/profile_images/1067039778795937797/PnnLGTU4_normal.jpg")</f>
        <v>https://pbs.twimg.com/profile_images/1067039778795937797/PnnLGTU4_normal.jpg</v>
      </c>
      <c r="AW4123" s="82" t="s">
        <v>15694</v>
      </c>
      <c r="AX4123" s="82" t="s">
        <v>15694</v>
      </c>
      <c r="AY4123" s="77"/>
      <c r="AZ4123" s="82" t="s">
        <v>15984</v>
      </c>
      <c r="BA4123" s="82" t="s">
        <v>15984</v>
      </c>
      <c r="BB4123" s="82" t="s">
        <v>15984</v>
      </c>
      <c r="BC4123" s="82" t="s">
        <v>15694</v>
      </c>
      <c r="BD4123" s="77">
        <v>2578778256</v>
      </c>
      <c r="BE4123" s="77"/>
      <c r="BF4123" s="77"/>
      <c r="BG4123" s="77"/>
      <c r="BH4123" s="77"/>
      <c r="BI4123" s="77"/>
    </row>
    <row r="4124" spans="1:61" x14ac:dyDescent="0.25">
      <c r="A4124" s="62" t="s">
        <v>735</v>
      </c>
      <c r="B4124" s="62" t="s">
        <v>735</v>
      </c>
      <c r="C4124" s="63"/>
      <c r="D4124" s="64"/>
      <c r="E4124" s="65"/>
      <c r="F4124" s="66"/>
      <c r="G4124" s="63"/>
      <c r="H4124" s="67"/>
      <c r="I4124" s="68"/>
      <c r="J4124" s="68"/>
      <c r="K4124" s="32"/>
      <c r="L4124" s="75">
        <v>4124</v>
      </c>
      <c r="M4124" s="75"/>
      <c r="N4124" s="70"/>
      <c r="O4124" s="77" t="s">
        <v>179</v>
      </c>
      <c r="P4124" s="79">
        <v>45121.581724537034</v>
      </c>
      <c r="Q4124" s="77" t="s">
        <v>4766</v>
      </c>
      <c r="R4124" s="77">
        <v>0</v>
      </c>
      <c r="S4124" s="77">
        <v>1</v>
      </c>
      <c r="T4124" s="77">
        <v>0</v>
      </c>
      <c r="U4124" s="77">
        <v>0</v>
      </c>
      <c r="V4124" s="77">
        <v>251</v>
      </c>
      <c r="W4124" s="82" t="s">
        <v>6411</v>
      </c>
      <c r="X4124" s="77"/>
      <c r="Y4124" s="77"/>
      <c r="Z4124" s="77"/>
      <c r="AA4124" s="77"/>
      <c r="AB4124" s="77"/>
      <c r="AC4124" s="82" t="s">
        <v>7787</v>
      </c>
      <c r="AD4124" s="77" t="s">
        <v>7788</v>
      </c>
      <c r="AE4124" s="80" t="str">
        <f>HYPERLINK("https://twitter.com/modalmais/status/1679852669630906368")</f>
        <v>https://twitter.com/modalmais/status/1679852669630906368</v>
      </c>
      <c r="AF4124" s="79">
        <v>45121.581724537034</v>
      </c>
      <c r="AG4124" s="85">
        <v>45121</v>
      </c>
      <c r="AH4124" s="82" t="s">
        <v>10521</v>
      </c>
      <c r="AI4124" s="77"/>
      <c r="AJ4124" s="77"/>
      <c r="AK4124" s="77"/>
      <c r="AL4124" s="77"/>
      <c r="AM4124" s="77"/>
      <c r="AN4124" s="77"/>
      <c r="AO4124" s="77"/>
      <c r="AP4124" s="77"/>
      <c r="AQ4124" s="77"/>
      <c r="AR4124" s="77"/>
      <c r="AS4124" s="77"/>
      <c r="AT4124" s="77"/>
      <c r="AU4124" s="77"/>
      <c r="AV4124" s="80" t="str">
        <f>HYPERLINK("https://pbs.twimg.com/profile_images/1067039778795937797/PnnLGTU4_normal.jpg")</f>
        <v>https://pbs.twimg.com/profile_images/1067039778795937797/PnnLGTU4_normal.jpg</v>
      </c>
      <c r="AW4124" s="82" t="s">
        <v>15695</v>
      </c>
      <c r="AX4124" s="82" t="s">
        <v>15695</v>
      </c>
      <c r="AY4124" s="77"/>
      <c r="AZ4124" s="82" t="s">
        <v>15984</v>
      </c>
      <c r="BA4124" s="82" t="s">
        <v>15984</v>
      </c>
      <c r="BB4124" s="82" t="s">
        <v>15984</v>
      </c>
      <c r="BC4124" s="82" t="s">
        <v>15695</v>
      </c>
      <c r="BD4124" s="77">
        <v>2578778256</v>
      </c>
      <c r="BE4124" s="77"/>
      <c r="BF4124" s="77"/>
      <c r="BG4124" s="77"/>
      <c r="BH4124" s="77"/>
      <c r="BI4124" s="77"/>
    </row>
    <row r="4125" spans="1:61" x14ac:dyDescent="0.25">
      <c r="A4125" s="62" t="s">
        <v>735</v>
      </c>
      <c r="B4125" s="62" t="s">
        <v>735</v>
      </c>
      <c r="C4125" s="63"/>
      <c r="D4125" s="64"/>
      <c r="E4125" s="65"/>
      <c r="F4125" s="66"/>
      <c r="G4125" s="63"/>
      <c r="H4125" s="67"/>
      <c r="I4125" s="68"/>
      <c r="J4125" s="68"/>
      <c r="K4125" s="32"/>
      <c r="L4125" s="75">
        <v>4125</v>
      </c>
      <c r="M4125" s="75"/>
      <c r="N4125" s="70"/>
      <c r="O4125" s="77" t="s">
        <v>179</v>
      </c>
      <c r="P4125" s="79">
        <v>45121.529942129629</v>
      </c>
      <c r="Q4125" s="77" t="s">
        <v>4767</v>
      </c>
      <c r="R4125" s="77">
        <v>0</v>
      </c>
      <c r="S4125" s="77">
        <v>2</v>
      </c>
      <c r="T4125" s="77">
        <v>0</v>
      </c>
      <c r="U4125" s="77">
        <v>0</v>
      </c>
      <c r="V4125" s="77">
        <v>302</v>
      </c>
      <c r="W4125" s="82" t="s">
        <v>6411</v>
      </c>
      <c r="X4125" s="80" t="str">
        <f>HYPERLINK("https://www.modalmais.com.br/morning-call/confederacao-nacional-da-industria-elevou-sua-projecao-para-o-crescimento-do-pib/")</f>
        <v>https://www.modalmais.com.br/morning-call/confederacao-nacional-da-industria-elevou-sua-projecao-para-o-crescimento-do-pib/</v>
      </c>
      <c r="Y4125" s="77" t="s">
        <v>6470</v>
      </c>
      <c r="Z4125" s="77"/>
      <c r="AA4125" s="77"/>
      <c r="AB4125" s="77"/>
      <c r="AC4125" s="82" t="s">
        <v>7787</v>
      </c>
      <c r="AD4125" s="77" t="s">
        <v>7788</v>
      </c>
      <c r="AE4125" s="80" t="str">
        <f>HYPERLINK("https://twitter.com/modalmais/status/1679833906575560705")</f>
        <v>https://twitter.com/modalmais/status/1679833906575560705</v>
      </c>
      <c r="AF4125" s="79">
        <v>45121.529942129629</v>
      </c>
      <c r="AG4125" s="85">
        <v>45121</v>
      </c>
      <c r="AH4125" s="82" t="s">
        <v>10522</v>
      </c>
      <c r="AI4125" s="77" t="b">
        <v>0</v>
      </c>
      <c r="AJ4125" s="77"/>
      <c r="AK4125" s="77"/>
      <c r="AL4125" s="77"/>
      <c r="AM4125" s="77"/>
      <c r="AN4125" s="77"/>
      <c r="AO4125" s="77"/>
      <c r="AP4125" s="77"/>
      <c r="AQ4125" s="77"/>
      <c r="AR4125" s="77"/>
      <c r="AS4125" s="77"/>
      <c r="AT4125" s="77"/>
      <c r="AU4125" s="77"/>
      <c r="AV4125" s="80" t="str">
        <f>HYPERLINK("https://pbs.twimg.com/profile_images/1067039778795937797/PnnLGTU4_normal.jpg")</f>
        <v>https://pbs.twimg.com/profile_images/1067039778795937797/PnnLGTU4_normal.jpg</v>
      </c>
      <c r="AW4125" s="82" t="s">
        <v>15696</v>
      </c>
      <c r="AX4125" s="82" t="s">
        <v>15696</v>
      </c>
      <c r="AY4125" s="77"/>
      <c r="AZ4125" s="82" t="s">
        <v>15984</v>
      </c>
      <c r="BA4125" s="82" t="s">
        <v>15984</v>
      </c>
      <c r="BB4125" s="82" t="s">
        <v>15984</v>
      </c>
      <c r="BC4125" s="82" t="s">
        <v>15696</v>
      </c>
      <c r="BD4125" s="77">
        <v>2578778256</v>
      </c>
      <c r="BE4125" s="77"/>
      <c r="BF4125" s="77"/>
      <c r="BG4125" s="77"/>
      <c r="BH4125" s="77"/>
      <c r="BI4125" s="77"/>
    </row>
    <row r="4126" spans="1:61" x14ac:dyDescent="0.25">
      <c r="A4126" s="62" t="s">
        <v>735</v>
      </c>
      <c r="B4126" s="62" t="s">
        <v>735</v>
      </c>
      <c r="C4126" s="63"/>
      <c r="D4126" s="64"/>
      <c r="E4126" s="65"/>
      <c r="F4126" s="66"/>
      <c r="G4126" s="63"/>
      <c r="H4126" s="67"/>
      <c r="I4126" s="68"/>
      <c r="J4126" s="68"/>
      <c r="K4126" s="32"/>
      <c r="L4126" s="75">
        <v>4126</v>
      </c>
      <c r="M4126" s="75"/>
      <c r="N4126" s="70"/>
      <c r="O4126" s="77" t="s">
        <v>179</v>
      </c>
      <c r="P4126" s="79">
        <v>45121.528958333336</v>
      </c>
      <c r="Q4126" s="77" t="s">
        <v>4768</v>
      </c>
      <c r="R4126" s="77">
        <v>1</v>
      </c>
      <c r="S4126" s="77">
        <v>3</v>
      </c>
      <c r="T4126" s="77">
        <v>4</v>
      </c>
      <c r="U4126" s="77">
        <v>0</v>
      </c>
      <c r="V4126" s="77">
        <v>364</v>
      </c>
      <c r="W4126" s="82" t="s">
        <v>6411</v>
      </c>
      <c r="X4126" s="77"/>
      <c r="Y4126" s="77"/>
      <c r="Z4126" s="77"/>
      <c r="AA4126" s="77"/>
      <c r="AB4126" s="77"/>
      <c r="AC4126" s="82" t="s">
        <v>7787</v>
      </c>
      <c r="AD4126" s="77" t="s">
        <v>7788</v>
      </c>
      <c r="AE4126" s="80" t="str">
        <f>HYPERLINK("https://twitter.com/modalmais/status/1679833549166223361")</f>
        <v>https://twitter.com/modalmais/status/1679833549166223361</v>
      </c>
      <c r="AF4126" s="79">
        <v>45121.528958333336</v>
      </c>
      <c r="AG4126" s="85">
        <v>45121</v>
      </c>
      <c r="AH4126" s="82" t="s">
        <v>10523</v>
      </c>
      <c r="AI4126" s="77"/>
      <c r="AJ4126" s="77"/>
      <c r="AK4126" s="77"/>
      <c r="AL4126" s="77"/>
      <c r="AM4126" s="77"/>
      <c r="AN4126" s="77"/>
      <c r="AO4126" s="77"/>
      <c r="AP4126" s="77"/>
      <c r="AQ4126" s="77"/>
      <c r="AR4126" s="77"/>
      <c r="AS4126" s="77"/>
      <c r="AT4126" s="77"/>
      <c r="AU4126" s="77"/>
      <c r="AV4126" s="80" t="str">
        <f>HYPERLINK("https://pbs.twimg.com/profile_images/1067039778795937797/PnnLGTU4_normal.jpg")</f>
        <v>https://pbs.twimg.com/profile_images/1067039778795937797/PnnLGTU4_normal.jpg</v>
      </c>
      <c r="AW4126" s="82" t="s">
        <v>15697</v>
      </c>
      <c r="AX4126" s="82" t="s">
        <v>15697</v>
      </c>
      <c r="AY4126" s="77"/>
      <c r="AZ4126" s="82" t="s">
        <v>15984</v>
      </c>
      <c r="BA4126" s="82" t="s">
        <v>15984</v>
      </c>
      <c r="BB4126" s="82" t="s">
        <v>15984</v>
      </c>
      <c r="BC4126" s="82" t="s">
        <v>15697</v>
      </c>
      <c r="BD4126" s="77">
        <v>2578778256</v>
      </c>
      <c r="BE4126" s="77"/>
      <c r="BF4126" s="77"/>
      <c r="BG4126" s="77"/>
      <c r="BH4126" s="77"/>
      <c r="BI4126" s="77"/>
    </row>
    <row r="4127" spans="1:61" x14ac:dyDescent="0.25">
      <c r="A4127" s="62" t="s">
        <v>735</v>
      </c>
      <c r="B4127" s="62" t="s">
        <v>735</v>
      </c>
      <c r="C4127" s="63"/>
      <c r="D4127" s="64"/>
      <c r="E4127" s="65"/>
      <c r="F4127" s="66"/>
      <c r="G4127" s="63"/>
      <c r="H4127" s="67"/>
      <c r="I4127" s="68"/>
      <c r="J4127" s="68"/>
      <c r="K4127" s="32"/>
      <c r="L4127" s="75">
        <v>4127</v>
      </c>
      <c r="M4127" s="75"/>
      <c r="N4127" s="70"/>
      <c r="O4127" s="77" t="s">
        <v>179</v>
      </c>
      <c r="P4127" s="79">
        <v>45121.527800925927</v>
      </c>
      <c r="Q4127" s="77" t="s">
        <v>4769</v>
      </c>
      <c r="R4127" s="77">
        <v>0</v>
      </c>
      <c r="S4127" s="77">
        <v>1</v>
      </c>
      <c r="T4127" s="77">
        <v>0</v>
      </c>
      <c r="U4127" s="77">
        <v>0</v>
      </c>
      <c r="V4127" s="77">
        <v>265</v>
      </c>
      <c r="W4127" s="82" t="s">
        <v>6411</v>
      </c>
      <c r="X4127" s="77"/>
      <c r="Y4127" s="77"/>
      <c r="Z4127" s="77"/>
      <c r="AA4127" s="77"/>
      <c r="AB4127" s="77"/>
      <c r="AC4127" s="82" t="s">
        <v>7787</v>
      </c>
      <c r="AD4127" s="77" t="s">
        <v>7797</v>
      </c>
      <c r="AE4127" s="80" t="str">
        <f>HYPERLINK("https://twitter.com/modalmais/status/1679833129991716866")</f>
        <v>https://twitter.com/modalmais/status/1679833129991716866</v>
      </c>
      <c r="AF4127" s="79">
        <v>45121.527800925927</v>
      </c>
      <c r="AG4127" s="85">
        <v>45121</v>
      </c>
      <c r="AH4127" s="82" t="s">
        <v>10524</v>
      </c>
      <c r="AI4127" s="77"/>
      <c r="AJ4127" s="77"/>
      <c r="AK4127" s="77"/>
      <c r="AL4127" s="77"/>
      <c r="AM4127" s="77"/>
      <c r="AN4127" s="77"/>
      <c r="AO4127" s="77"/>
      <c r="AP4127" s="77"/>
      <c r="AQ4127" s="77"/>
      <c r="AR4127" s="77"/>
      <c r="AS4127" s="77"/>
      <c r="AT4127" s="77"/>
      <c r="AU4127" s="77"/>
      <c r="AV4127" s="80" t="str">
        <f>HYPERLINK("https://pbs.twimg.com/profile_images/1067039778795937797/PnnLGTU4_normal.jpg")</f>
        <v>https://pbs.twimg.com/profile_images/1067039778795937797/PnnLGTU4_normal.jpg</v>
      </c>
      <c r="AW4127" s="82" t="s">
        <v>15698</v>
      </c>
      <c r="AX4127" s="82" t="s">
        <v>15698</v>
      </c>
      <c r="AY4127" s="77"/>
      <c r="AZ4127" s="82" t="s">
        <v>15984</v>
      </c>
      <c r="BA4127" s="82" t="s">
        <v>15984</v>
      </c>
      <c r="BB4127" s="82" t="s">
        <v>15984</v>
      </c>
      <c r="BC4127" s="82" t="s">
        <v>15698</v>
      </c>
      <c r="BD4127" s="77">
        <v>2578778256</v>
      </c>
      <c r="BE4127" s="77"/>
      <c r="BF4127" s="77"/>
      <c r="BG4127" s="77"/>
      <c r="BH4127" s="77"/>
      <c r="BI4127" s="77"/>
    </row>
    <row r="4128" spans="1:61" x14ac:dyDescent="0.25">
      <c r="A4128" s="62" t="s">
        <v>735</v>
      </c>
      <c r="B4128" s="62" t="s">
        <v>735</v>
      </c>
      <c r="C4128" s="63"/>
      <c r="D4128" s="64"/>
      <c r="E4128" s="65"/>
      <c r="F4128" s="66"/>
      <c r="G4128" s="63"/>
      <c r="H4128" s="67"/>
      <c r="I4128" s="68"/>
      <c r="J4128" s="68"/>
      <c r="K4128" s="32"/>
      <c r="L4128" s="75">
        <v>4128</v>
      </c>
      <c r="M4128" s="75"/>
      <c r="N4128" s="70"/>
      <c r="O4128" s="77" t="s">
        <v>179</v>
      </c>
      <c r="P4128" s="79">
        <v>45121.525127314817</v>
      </c>
      <c r="Q4128" s="77" t="s">
        <v>4770</v>
      </c>
      <c r="R4128" s="77">
        <v>0</v>
      </c>
      <c r="S4128" s="77">
        <v>1</v>
      </c>
      <c r="T4128" s="77">
        <v>1</v>
      </c>
      <c r="U4128" s="77">
        <v>0</v>
      </c>
      <c r="V4128" s="77">
        <v>285</v>
      </c>
      <c r="W4128" s="82" t="s">
        <v>6411</v>
      </c>
      <c r="X4128" s="77"/>
      <c r="Y4128" s="77"/>
      <c r="Z4128" s="77"/>
      <c r="AA4128" s="77"/>
      <c r="AB4128" s="77"/>
      <c r="AC4128" s="82" t="s">
        <v>7787</v>
      </c>
      <c r="AD4128" s="77" t="s">
        <v>7793</v>
      </c>
      <c r="AE4128" s="80" t="str">
        <f>HYPERLINK("https://twitter.com/modalmais/status/1679832162109882369")</f>
        <v>https://twitter.com/modalmais/status/1679832162109882369</v>
      </c>
      <c r="AF4128" s="79">
        <v>45121.525127314817</v>
      </c>
      <c r="AG4128" s="85">
        <v>45121</v>
      </c>
      <c r="AH4128" s="82" t="s">
        <v>10525</v>
      </c>
      <c r="AI4128" s="77"/>
      <c r="AJ4128" s="77"/>
      <c r="AK4128" s="77"/>
      <c r="AL4128" s="77"/>
      <c r="AM4128" s="77"/>
      <c r="AN4128" s="77"/>
      <c r="AO4128" s="77"/>
      <c r="AP4128" s="77"/>
      <c r="AQ4128" s="77"/>
      <c r="AR4128" s="77"/>
      <c r="AS4128" s="77"/>
      <c r="AT4128" s="77"/>
      <c r="AU4128" s="77"/>
      <c r="AV4128" s="80" t="str">
        <f>HYPERLINK("https://pbs.twimg.com/profile_images/1067039778795937797/PnnLGTU4_normal.jpg")</f>
        <v>https://pbs.twimg.com/profile_images/1067039778795937797/PnnLGTU4_normal.jpg</v>
      </c>
      <c r="AW4128" s="82" t="s">
        <v>15699</v>
      </c>
      <c r="AX4128" s="82" t="s">
        <v>15699</v>
      </c>
      <c r="AY4128" s="77"/>
      <c r="AZ4128" s="82" t="s">
        <v>15984</v>
      </c>
      <c r="BA4128" s="82" t="s">
        <v>15984</v>
      </c>
      <c r="BB4128" s="82" t="s">
        <v>15984</v>
      </c>
      <c r="BC4128" s="82" t="s">
        <v>15699</v>
      </c>
      <c r="BD4128" s="77">
        <v>2578778256</v>
      </c>
      <c r="BE4128" s="77"/>
      <c r="BF4128" s="77"/>
      <c r="BG4128" s="77"/>
      <c r="BH4128" s="77"/>
      <c r="BI4128" s="77"/>
    </row>
    <row r="4129" spans="1:61" x14ac:dyDescent="0.25">
      <c r="A4129" s="62" t="s">
        <v>735</v>
      </c>
      <c r="B4129" s="62" t="s">
        <v>735</v>
      </c>
      <c r="C4129" s="63"/>
      <c r="D4129" s="64"/>
      <c r="E4129" s="65"/>
      <c r="F4129" s="66"/>
      <c r="G4129" s="63"/>
      <c r="H4129" s="67"/>
      <c r="I4129" s="68"/>
      <c r="J4129" s="68"/>
      <c r="K4129" s="32"/>
      <c r="L4129" s="75">
        <v>4129</v>
      </c>
      <c r="M4129" s="75"/>
      <c r="N4129" s="70"/>
      <c r="O4129" s="77" t="s">
        <v>179</v>
      </c>
      <c r="P4129" s="79">
        <v>45121.492488425924</v>
      </c>
      <c r="Q4129" s="77" t="s">
        <v>4771</v>
      </c>
      <c r="R4129" s="77">
        <v>0</v>
      </c>
      <c r="S4129" s="77">
        <v>0</v>
      </c>
      <c r="T4129" s="77">
        <v>0</v>
      </c>
      <c r="U4129" s="77">
        <v>0</v>
      </c>
      <c r="V4129" s="77">
        <v>300</v>
      </c>
      <c r="W4129" s="82" t="s">
        <v>6411</v>
      </c>
      <c r="X4129" s="80" t="str">
        <f>HYPERLINK("https://www.youtube.com/watch?v=-JlHH8rzoLo")</f>
        <v>https://www.youtube.com/watch?v=-JlHH8rzoLo</v>
      </c>
      <c r="Y4129" s="77" t="s">
        <v>6480</v>
      </c>
      <c r="Z4129" s="77"/>
      <c r="AA4129" s="77"/>
      <c r="AB4129" s="77"/>
      <c r="AC4129" s="82" t="s">
        <v>7787</v>
      </c>
      <c r="AD4129" s="77" t="s">
        <v>7788</v>
      </c>
      <c r="AE4129" s="80" t="str">
        <f>HYPERLINK("https://twitter.com/modalmais/status/1679820334403395584")</f>
        <v>https://twitter.com/modalmais/status/1679820334403395584</v>
      </c>
      <c r="AF4129" s="79">
        <v>45121.492488425924</v>
      </c>
      <c r="AG4129" s="85">
        <v>45121</v>
      </c>
      <c r="AH4129" s="82" t="s">
        <v>10526</v>
      </c>
      <c r="AI4129" s="77" t="b">
        <v>0</v>
      </c>
      <c r="AJ4129" s="77"/>
      <c r="AK4129" s="77"/>
      <c r="AL4129" s="77"/>
      <c r="AM4129" s="77"/>
      <c r="AN4129" s="77"/>
      <c r="AO4129" s="77"/>
      <c r="AP4129" s="77"/>
      <c r="AQ4129" s="77"/>
      <c r="AR4129" s="77"/>
      <c r="AS4129" s="77"/>
      <c r="AT4129" s="77"/>
      <c r="AU4129" s="77"/>
      <c r="AV4129" s="80" t="str">
        <f>HYPERLINK("https://pbs.twimg.com/profile_images/1067039778795937797/PnnLGTU4_normal.jpg")</f>
        <v>https://pbs.twimg.com/profile_images/1067039778795937797/PnnLGTU4_normal.jpg</v>
      </c>
      <c r="AW4129" s="82" t="s">
        <v>15700</v>
      </c>
      <c r="AX4129" s="82" t="s">
        <v>15700</v>
      </c>
      <c r="AY4129" s="77"/>
      <c r="AZ4129" s="82" t="s">
        <v>15984</v>
      </c>
      <c r="BA4129" s="82" t="s">
        <v>15984</v>
      </c>
      <c r="BB4129" s="82" t="s">
        <v>15984</v>
      </c>
      <c r="BC4129" s="82" t="s">
        <v>15700</v>
      </c>
      <c r="BD4129" s="77">
        <v>2578778256</v>
      </c>
      <c r="BE4129" s="77"/>
      <c r="BF4129" s="77"/>
      <c r="BG4129" s="77"/>
      <c r="BH4129" s="77"/>
      <c r="BI4129" s="77"/>
    </row>
    <row r="4130" spans="1:61" x14ac:dyDescent="0.25">
      <c r="A4130" s="62" t="s">
        <v>735</v>
      </c>
      <c r="B4130" s="62" t="s">
        <v>735</v>
      </c>
      <c r="C4130" s="63"/>
      <c r="D4130" s="64"/>
      <c r="E4130" s="65"/>
      <c r="F4130" s="66"/>
      <c r="G4130" s="63"/>
      <c r="H4130" s="67"/>
      <c r="I4130" s="68"/>
      <c r="J4130" s="68"/>
      <c r="K4130" s="32"/>
      <c r="L4130" s="75">
        <v>4130</v>
      </c>
      <c r="M4130" s="75"/>
      <c r="N4130" s="70"/>
      <c r="O4130" s="77" t="s">
        <v>179</v>
      </c>
      <c r="P4130" s="79">
        <v>45121.485081018516</v>
      </c>
      <c r="Q4130" s="77" t="s">
        <v>4772</v>
      </c>
      <c r="R4130" s="77">
        <v>0</v>
      </c>
      <c r="S4130" s="77">
        <v>0</v>
      </c>
      <c r="T4130" s="77">
        <v>0</v>
      </c>
      <c r="U4130" s="77">
        <v>0</v>
      </c>
      <c r="V4130" s="77">
        <v>324</v>
      </c>
      <c r="W4130" s="82" t="s">
        <v>6411</v>
      </c>
      <c r="X4130" s="80" t="str">
        <f>HYPERLINK("https://www.youtube.com/watch?v=cTkRJY5Inxc")</f>
        <v>https://www.youtube.com/watch?v=cTkRJY5Inxc</v>
      </c>
      <c r="Y4130" s="77" t="s">
        <v>6480</v>
      </c>
      <c r="Z4130" s="77"/>
      <c r="AA4130" s="77"/>
      <c r="AB4130" s="77"/>
      <c r="AC4130" s="82" t="s">
        <v>7787</v>
      </c>
      <c r="AD4130" s="77" t="s">
        <v>7788</v>
      </c>
      <c r="AE4130" s="80" t="str">
        <f>HYPERLINK("https://twitter.com/modalmais/status/1679817646315896834")</f>
        <v>https://twitter.com/modalmais/status/1679817646315896834</v>
      </c>
      <c r="AF4130" s="79">
        <v>45121.485081018516</v>
      </c>
      <c r="AG4130" s="85">
        <v>45121</v>
      </c>
      <c r="AH4130" s="82" t="s">
        <v>10527</v>
      </c>
      <c r="AI4130" s="77" t="b">
        <v>0</v>
      </c>
      <c r="AJ4130" s="77"/>
      <c r="AK4130" s="77"/>
      <c r="AL4130" s="77"/>
      <c r="AM4130" s="77"/>
      <c r="AN4130" s="77"/>
      <c r="AO4130" s="77"/>
      <c r="AP4130" s="77"/>
      <c r="AQ4130" s="77"/>
      <c r="AR4130" s="77"/>
      <c r="AS4130" s="77"/>
      <c r="AT4130" s="77"/>
      <c r="AU4130" s="77"/>
      <c r="AV4130" s="80" t="str">
        <f>HYPERLINK("https://pbs.twimg.com/profile_images/1067039778795937797/PnnLGTU4_normal.jpg")</f>
        <v>https://pbs.twimg.com/profile_images/1067039778795937797/PnnLGTU4_normal.jpg</v>
      </c>
      <c r="AW4130" s="82" t="s">
        <v>15701</v>
      </c>
      <c r="AX4130" s="82" t="s">
        <v>15701</v>
      </c>
      <c r="AY4130" s="77"/>
      <c r="AZ4130" s="82" t="s">
        <v>15984</v>
      </c>
      <c r="BA4130" s="82" t="s">
        <v>15984</v>
      </c>
      <c r="BB4130" s="82" t="s">
        <v>15984</v>
      </c>
      <c r="BC4130" s="82" t="s">
        <v>15701</v>
      </c>
      <c r="BD4130" s="77">
        <v>2578778256</v>
      </c>
      <c r="BE4130" s="77"/>
      <c r="BF4130" s="77"/>
      <c r="BG4130" s="77"/>
      <c r="BH4130" s="77"/>
      <c r="BI4130" s="77"/>
    </row>
    <row r="4131" spans="1:61" x14ac:dyDescent="0.25">
      <c r="A4131" s="62" t="s">
        <v>735</v>
      </c>
      <c r="B4131" s="62" t="s">
        <v>735</v>
      </c>
      <c r="C4131" s="63"/>
      <c r="D4131" s="64"/>
      <c r="E4131" s="65"/>
      <c r="F4131" s="66"/>
      <c r="G4131" s="63"/>
      <c r="H4131" s="67"/>
      <c r="I4131" s="68"/>
      <c r="J4131" s="68"/>
      <c r="K4131" s="32"/>
      <c r="L4131" s="75">
        <v>4131</v>
      </c>
      <c r="M4131" s="75"/>
      <c r="N4131" s="70"/>
      <c r="O4131" s="77" t="s">
        <v>179</v>
      </c>
      <c r="P4131" s="79">
        <v>45194.87159722222</v>
      </c>
      <c r="Q4131" s="77" t="s">
        <v>4773</v>
      </c>
      <c r="R4131" s="77">
        <v>0</v>
      </c>
      <c r="S4131" s="77">
        <v>1</v>
      </c>
      <c r="T4131" s="77">
        <v>1</v>
      </c>
      <c r="U4131" s="77">
        <v>0</v>
      </c>
      <c r="V4131" s="77">
        <v>392</v>
      </c>
      <c r="W4131" s="82" t="s">
        <v>6435</v>
      </c>
      <c r="X4131" s="77"/>
      <c r="Y4131" s="77"/>
      <c r="Z4131" s="77"/>
      <c r="AA4131" s="77"/>
      <c r="AB4131" s="77"/>
      <c r="AC4131" s="82" t="s">
        <v>7787</v>
      </c>
      <c r="AD4131" s="77" t="s">
        <v>7788</v>
      </c>
      <c r="AE4131" s="80" t="str">
        <f>HYPERLINK("https://twitter.com/modalmais/status/1706412033304842330")</f>
        <v>https://twitter.com/modalmais/status/1706412033304842330</v>
      </c>
      <c r="AF4131" s="79">
        <v>45194.87159722222</v>
      </c>
      <c r="AG4131" s="85">
        <v>45194</v>
      </c>
      <c r="AH4131" s="82" t="s">
        <v>10528</v>
      </c>
      <c r="AI4131" s="77"/>
      <c r="AJ4131" s="77"/>
      <c r="AK4131" s="77"/>
      <c r="AL4131" s="77"/>
      <c r="AM4131" s="77"/>
      <c r="AN4131" s="77"/>
      <c r="AO4131" s="77"/>
      <c r="AP4131" s="77"/>
      <c r="AQ4131" s="77"/>
      <c r="AR4131" s="77"/>
      <c r="AS4131" s="77"/>
      <c r="AT4131" s="77"/>
      <c r="AU4131" s="77"/>
      <c r="AV4131" s="80" t="str">
        <f>HYPERLINK("https://pbs.twimg.com/profile_images/1067039778795937797/PnnLGTU4_normal.jpg")</f>
        <v>https://pbs.twimg.com/profile_images/1067039778795937797/PnnLGTU4_normal.jpg</v>
      </c>
      <c r="AW4131" s="82" t="s">
        <v>15702</v>
      </c>
      <c r="AX4131" s="82" t="s">
        <v>15702</v>
      </c>
      <c r="AY4131" s="77"/>
      <c r="AZ4131" s="82" t="s">
        <v>15984</v>
      </c>
      <c r="BA4131" s="82" t="s">
        <v>15984</v>
      </c>
      <c r="BB4131" s="82" t="s">
        <v>15984</v>
      </c>
      <c r="BC4131" s="82" t="s">
        <v>15702</v>
      </c>
      <c r="BD4131" s="77">
        <v>2578778256</v>
      </c>
      <c r="BE4131" s="77"/>
      <c r="BF4131" s="77"/>
      <c r="BG4131" s="77"/>
      <c r="BH4131" s="77"/>
      <c r="BI4131" s="77"/>
    </row>
    <row r="4132" spans="1:61" x14ac:dyDescent="0.25">
      <c r="A4132" s="62" t="s">
        <v>735</v>
      </c>
      <c r="B4132" s="62" t="s">
        <v>735</v>
      </c>
      <c r="C4132" s="63"/>
      <c r="D4132" s="64"/>
      <c r="E4132" s="65"/>
      <c r="F4132" s="66"/>
      <c r="G4132" s="63"/>
      <c r="H4132" s="67"/>
      <c r="I4132" s="68"/>
      <c r="J4132" s="68"/>
      <c r="K4132" s="32"/>
      <c r="L4132" s="75">
        <v>4132</v>
      </c>
      <c r="M4132" s="75"/>
      <c r="N4132" s="70"/>
      <c r="O4132" s="77" t="s">
        <v>179</v>
      </c>
      <c r="P4132" s="79">
        <v>45162.696863425925</v>
      </c>
      <c r="Q4132" s="77" t="s">
        <v>4774</v>
      </c>
      <c r="R4132" s="77">
        <v>0</v>
      </c>
      <c r="S4132" s="77">
        <v>2</v>
      </c>
      <c r="T4132" s="77">
        <v>0</v>
      </c>
      <c r="U4132" s="77">
        <v>0</v>
      </c>
      <c r="V4132" s="77">
        <v>255</v>
      </c>
      <c r="W4132" s="82" t="s">
        <v>6446</v>
      </c>
      <c r="X4132" s="77"/>
      <c r="Y4132" s="77"/>
      <c r="Z4132" s="77"/>
      <c r="AA4132" s="77"/>
      <c r="AB4132" s="77"/>
      <c r="AC4132" s="82" t="s">
        <v>7787</v>
      </c>
      <c r="AD4132" s="77" t="s">
        <v>7788</v>
      </c>
      <c r="AE4132" s="80" t="str">
        <f>HYPERLINK("https://twitter.com/modalmais/status/1694752298121982452")</f>
        <v>https://twitter.com/modalmais/status/1694752298121982452</v>
      </c>
      <c r="AF4132" s="79">
        <v>45162.696863425925</v>
      </c>
      <c r="AG4132" s="85">
        <v>45162</v>
      </c>
      <c r="AH4132" s="82" t="s">
        <v>10529</v>
      </c>
      <c r="AI4132" s="77"/>
      <c r="AJ4132" s="77"/>
      <c r="AK4132" s="77"/>
      <c r="AL4132" s="77"/>
      <c r="AM4132" s="77"/>
      <c r="AN4132" s="77"/>
      <c r="AO4132" s="77"/>
      <c r="AP4132" s="77"/>
      <c r="AQ4132" s="77"/>
      <c r="AR4132" s="77"/>
      <c r="AS4132" s="77"/>
      <c r="AT4132" s="77"/>
      <c r="AU4132" s="77"/>
      <c r="AV4132" s="80" t="str">
        <f>HYPERLINK("https://pbs.twimg.com/profile_images/1067039778795937797/PnnLGTU4_normal.jpg")</f>
        <v>https://pbs.twimg.com/profile_images/1067039778795937797/PnnLGTU4_normal.jpg</v>
      </c>
      <c r="AW4132" s="82" t="s">
        <v>15703</v>
      </c>
      <c r="AX4132" s="82" t="s">
        <v>15703</v>
      </c>
      <c r="AY4132" s="77"/>
      <c r="AZ4132" s="82" t="s">
        <v>15984</v>
      </c>
      <c r="BA4132" s="82" t="s">
        <v>15984</v>
      </c>
      <c r="BB4132" s="82" t="s">
        <v>15984</v>
      </c>
      <c r="BC4132" s="82" t="s">
        <v>15703</v>
      </c>
      <c r="BD4132" s="77">
        <v>2578778256</v>
      </c>
      <c r="BE4132" s="77"/>
      <c r="BF4132" s="77"/>
      <c r="BG4132" s="77"/>
      <c r="BH4132" s="77"/>
      <c r="BI4132" s="77"/>
    </row>
    <row r="4133" spans="1:61" x14ac:dyDescent="0.25">
      <c r="A4133" s="62" t="s">
        <v>735</v>
      </c>
      <c r="B4133" s="62" t="s">
        <v>735</v>
      </c>
      <c r="C4133" s="63"/>
      <c r="D4133" s="64"/>
      <c r="E4133" s="65"/>
      <c r="F4133" s="66"/>
      <c r="G4133" s="63"/>
      <c r="H4133" s="67"/>
      <c r="I4133" s="68"/>
      <c r="J4133" s="68"/>
      <c r="K4133" s="32"/>
      <c r="L4133" s="75">
        <v>4133</v>
      </c>
      <c r="M4133" s="75"/>
      <c r="N4133" s="70"/>
      <c r="O4133" s="77" t="s">
        <v>179</v>
      </c>
      <c r="P4133" s="79">
        <v>45162.693310185183</v>
      </c>
      <c r="Q4133" s="77" t="s">
        <v>4775</v>
      </c>
      <c r="R4133" s="77">
        <v>0</v>
      </c>
      <c r="S4133" s="77">
        <v>1</v>
      </c>
      <c r="T4133" s="77">
        <v>0</v>
      </c>
      <c r="U4133" s="77">
        <v>0</v>
      </c>
      <c r="V4133" s="77">
        <v>249</v>
      </c>
      <c r="W4133" s="82" t="s">
        <v>6424</v>
      </c>
      <c r="X4133" s="80" t="str">
        <f>HYPERLINK("https://www.modalmais.com.br/morning-call/camara-dos-deputados-aprova-medida-provisoria-de-reajuste-para-salario-minimo/")</f>
        <v>https://www.modalmais.com.br/morning-call/camara-dos-deputados-aprova-medida-provisoria-de-reajuste-para-salario-minimo/</v>
      </c>
      <c r="Y4133" s="77" t="s">
        <v>6470</v>
      </c>
      <c r="Z4133" s="77"/>
      <c r="AA4133" s="77"/>
      <c r="AB4133" s="77"/>
      <c r="AC4133" s="82" t="s">
        <v>7787</v>
      </c>
      <c r="AD4133" s="77" t="s">
        <v>7788</v>
      </c>
      <c r="AE4133" s="80" t="str">
        <f>HYPERLINK("https://twitter.com/modalmais/status/1694751012366491959")</f>
        <v>https://twitter.com/modalmais/status/1694751012366491959</v>
      </c>
      <c r="AF4133" s="79">
        <v>45162.693310185183</v>
      </c>
      <c r="AG4133" s="85">
        <v>45162</v>
      </c>
      <c r="AH4133" s="82" t="s">
        <v>10530</v>
      </c>
      <c r="AI4133" s="77" t="b">
        <v>0</v>
      </c>
      <c r="AJ4133" s="77"/>
      <c r="AK4133" s="77"/>
      <c r="AL4133" s="77"/>
      <c r="AM4133" s="77"/>
      <c r="AN4133" s="77"/>
      <c r="AO4133" s="77"/>
      <c r="AP4133" s="77"/>
      <c r="AQ4133" s="77"/>
      <c r="AR4133" s="77"/>
      <c r="AS4133" s="77"/>
      <c r="AT4133" s="77"/>
      <c r="AU4133" s="77"/>
      <c r="AV4133" s="80" t="str">
        <f>HYPERLINK("https://pbs.twimg.com/profile_images/1067039778795937797/PnnLGTU4_normal.jpg")</f>
        <v>https://pbs.twimg.com/profile_images/1067039778795937797/PnnLGTU4_normal.jpg</v>
      </c>
      <c r="AW4133" s="82" t="s">
        <v>15704</v>
      </c>
      <c r="AX4133" s="82" t="s">
        <v>15704</v>
      </c>
      <c r="AY4133" s="77"/>
      <c r="AZ4133" s="82" t="s">
        <v>15984</v>
      </c>
      <c r="BA4133" s="82" t="s">
        <v>15984</v>
      </c>
      <c r="BB4133" s="82" t="s">
        <v>15984</v>
      </c>
      <c r="BC4133" s="82" t="s">
        <v>15704</v>
      </c>
      <c r="BD4133" s="77">
        <v>2578778256</v>
      </c>
      <c r="BE4133" s="77"/>
      <c r="BF4133" s="77"/>
      <c r="BG4133" s="77"/>
      <c r="BH4133" s="77"/>
      <c r="BI4133" s="77"/>
    </row>
    <row r="4134" spans="1:61" x14ac:dyDescent="0.25">
      <c r="A4134" s="62" t="s">
        <v>735</v>
      </c>
      <c r="B4134" s="62" t="s">
        <v>735</v>
      </c>
      <c r="C4134" s="63"/>
      <c r="D4134" s="64"/>
      <c r="E4134" s="65"/>
      <c r="F4134" s="66"/>
      <c r="G4134" s="63"/>
      <c r="H4134" s="67"/>
      <c r="I4134" s="68"/>
      <c r="J4134" s="68"/>
      <c r="K4134" s="32"/>
      <c r="L4134" s="75">
        <v>4134</v>
      </c>
      <c r="M4134" s="75"/>
      <c r="N4134" s="70"/>
      <c r="O4134" s="77" t="s">
        <v>179</v>
      </c>
      <c r="P4134" s="79">
        <v>45162.684050925927</v>
      </c>
      <c r="Q4134" s="77" t="s">
        <v>4776</v>
      </c>
      <c r="R4134" s="77">
        <v>0</v>
      </c>
      <c r="S4134" s="77">
        <v>0</v>
      </c>
      <c r="T4134" s="77">
        <v>1</v>
      </c>
      <c r="U4134" s="77">
        <v>0</v>
      </c>
      <c r="V4134" s="77">
        <v>265</v>
      </c>
      <c r="W4134" s="82" t="s">
        <v>6420</v>
      </c>
      <c r="X4134" s="77"/>
      <c r="Y4134" s="77"/>
      <c r="Z4134" s="77"/>
      <c r="AA4134" s="77"/>
      <c r="AB4134" s="77"/>
      <c r="AC4134" s="82" t="s">
        <v>7787</v>
      </c>
      <c r="AD4134" s="77" t="s">
        <v>7788</v>
      </c>
      <c r="AE4134" s="80" t="str">
        <f>HYPERLINK("https://twitter.com/modalmais/status/1694747654817738958")</f>
        <v>https://twitter.com/modalmais/status/1694747654817738958</v>
      </c>
      <c r="AF4134" s="79">
        <v>45162.684050925927</v>
      </c>
      <c r="AG4134" s="85">
        <v>45162</v>
      </c>
      <c r="AH4134" s="82" t="s">
        <v>10531</v>
      </c>
      <c r="AI4134" s="77"/>
      <c r="AJ4134" s="77"/>
      <c r="AK4134" s="77"/>
      <c r="AL4134" s="77"/>
      <c r="AM4134" s="77"/>
      <c r="AN4134" s="77"/>
      <c r="AO4134" s="77"/>
      <c r="AP4134" s="77"/>
      <c r="AQ4134" s="77"/>
      <c r="AR4134" s="77"/>
      <c r="AS4134" s="77"/>
      <c r="AT4134" s="77"/>
      <c r="AU4134" s="77"/>
      <c r="AV4134" s="80" t="str">
        <f>HYPERLINK("https://pbs.twimg.com/profile_images/1067039778795937797/PnnLGTU4_normal.jpg")</f>
        <v>https://pbs.twimg.com/profile_images/1067039778795937797/PnnLGTU4_normal.jpg</v>
      </c>
      <c r="AW4134" s="82" t="s">
        <v>15705</v>
      </c>
      <c r="AX4134" s="82" t="s">
        <v>15705</v>
      </c>
      <c r="AY4134" s="77"/>
      <c r="AZ4134" s="82" t="s">
        <v>15984</v>
      </c>
      <c r="BA4134" s="82" t="s">
        <v>15984</v>
      </c>
      <c r="BB4134" s="82" t="s">
        <v>15984</v>
      </c>
      <c r="BC4134" s="82" t="s">
        <v>15705</v>
      </c>
      <c r="BD4134" s="77">
        <v>2578778256</v>
      </c>
      <c r="BE4134" s="77"/>
      <c r="BF4134" s="77"/>
      <c r="BG4134" s="77"/>
      <c r="BH4134" s="77"/>
      <c r="BI4134" s="77"/>
    </row>
    <row r="4135" spans="1:61" x14ac:dyDescent="0.25">
      <c r="A4135" s="62" t="s">
        <v>735</v>
      </c>
      <c r="B4135" s="62" t="s">
        <v>735</v>
      </c>
      <c r="C4135" s="63"/>
      <c r="D4135" s="64"/>
      <c r="E4135" s="65"/>
      <c r="F4135" s="66"/>
      <c r="G4135" s="63"/>
      <c r="H4135" s="67"/>
      <c r="I4135" s="68"/>
      <c r="J4135" s="68"/>
      <c r="K4135" s="32"/>
      <c r="L4135" s="75">
        <v>4135</v>
      </c>
      <c r="M4135" s="75"/>
      <c r="N4135" s="70"/>
      <c r="O4135" s="77" t="s">
        <v>179</v>
      </c>
      <c r="P4135" s="79">
        <v>45162.553715277776</v>
      </c>
      <c r="Q4135" s="77" t="s">
        <v>4777</v>
      </c>
      <c r="R4135" s="77">
        <v>0</v>
      </c>
      <c r="S4135" s="77">
        <v>1</v>
      </c>
      <c r="T4135" s="77">
        <v>0</v>
      </c>
      <c r="U4135" s="77">
        <v>0</v>
      </c>
      <c r="V4135" s="77">
        <v>238</v>
      </c>
      <c r="W4135" s="82" t="s">
        <v>6447</v>
      </c>
      <c r="X4135" s="77"/>
      <c r="Y4135" s="77"/>
      <c r="Z4135" s="77"/>
      <c r="AA4135" s="77"/>
      <c r="AB4135" s="77"/>
      <c r="AC4135" s="82" t="s">
        <v>7787</v>
      </c>
      <c r="AD4135" s="77" t="s">
        <v>7788</v>
      </c>
      <c r="AE4135" s="80" t="str">
        <f>HYPERLINK("https://twitter.com/modalmais/status/1694700421284081825")</f>
        <v>https://twitter.com/modalmais/status/1694700421284081825</v>
      </c>
      <c r="AF4135" s="79">
        <v>45162.553715277776</v>
      </c>
      <c r="AG4135" s="85">
        <v>45162</v>
      </c>
      <c r="AH4135" s="82" t="s">
        <v>10532</v>
      </c>
      <c r="AI4135" s="77"/>
      <c r="AJ4135" s="77"/>
      <c r="AK4135" s="77"/>
      <c r="AL4135" s="77"/>
      <c r="AM4135" s="77"/>
      <c r="AN4135" s="77"/>
      <c r="AO4135" s="77"/>
      <c r="AP4135" s="77"/>
      <c r="AQ4135" s="77"/>
      <c r="AR4135" s="77"/>
      <c r="AS4135" s="77"/>
      <c r="AT4135" s="77"/>
      <c r="AU4135" s="77"/>
      <c r="AV4135" s="80" t="str">
        <f>HYPERLINK("https://pbs.twimg.com/profile_images/1067039778795937797/PnnLGTU4_normal.jpg")</f>
        <v>https://pbs.twimg.com/profile_images/1067039778795937797/PnnLGTU4_normal.jpg</v>
      </c>
      <c r="AW4135" s="82" t="s">
        <v>15706</v>
      </c>
      <c r="AX4135" s="82" t="s">
        <v>15706</v>
      </c>
      <c r="AY4135" s="77"/>
      <c r="AZ4135" s="82" t="s">
        <v>15984</v>
      </c>
      <c r="BA4135" s="82" t="s">
        <v>15984</v>
      </c>
      <c r="BB4135" s="82" t="s">
        <v>15984</v>
      </c>
      <c r="BC4135" s="82" t="s">
        <v>15706</v>
      </c>
      <c r="BD4135" s="77">
        <v>2578778256</v>
      </c>
      <c r="BE4135" s="77"/>
      <c r="BF4135" s="77"/>
      <c r="BG4135" s="77"/>
      <c r="BH4135" s="77"/>
      <c r="BI4135" s="77"/>
    </row>
    <row r="4136" spans="1:61" x14ac:dyDescent="0.25">
      <c r="A4136" s="62" t="s">
        <v>735</v>
      </c>
      <c r="B4136" s="62" t="s">
        <v>735</v>
      </c>
      <c r="C4136" s="63"/>
      <c r="D4136" s="64"/>
      <c r="E4136" s="65"/>
      <c r="F4136" s="66"/>
      <c r="G4136" s="63"/>
      <c r="H4136" s="67"/>
      <c r="I4136" s="68"/>
      <c r="J4136" s="68"/>
      <c r="K4136" s="32"/>
      <c r="L4136" s="75">
        <v>4136</v>
      </c>
      <c r="M4136" s="75"/>
      <c r="N4136" s="70"/>
      <c r="O4136" s="77" t="s">
        <v>179</v>
      </c>
      <c r="P4136" s="79">
        <v>45162.553217592591</v>
      </c>
      <c r="Q4136" s="77" t="s">
        <v>4778</v>
      </c>
      <c r="R4136" s="77">
        <v>0</v>
      </c>
      <c r="S4136" s="77">
        <v>2</v>
      </c>
      <c r="T4136" s="77">
        <v>0</v>
      </c>
      <c r="U4136" s="77">
        <v>0</v>
      </c>
      <c r="V4136" s="77">
        <v>385</v>
      </c>
      <c r="W4136" s="82" t="s">
        <v>6448</v>
      </c>
      <c r="X4136" s="77"/>
      <c r="Y4136" s="77"/>
      <c r="Z4136" s="77"/>
      <c r="AA4136" s="77"/>
      <c r="AB4136" s="77"/>
      <c r="AC4136" s="82" t="s">
        <v>7787</v>
      </c>
      <c r="AD4136" s="77" t="s">
        <v>7788</v>
      </c>
      <c r="AE4136" s="80" t="str">
        <f>HYPERLINK("https://twitter.com/modalmais/status/1694700241717436425")</f>
        <v>https://twitter.com/modalmais/status/1694700241717436425</v>
      </c>
      <c r="AF4136" s="79">
        <v>45162.553217592591</v>
      </c>
      <c r="AG4136" s="85">
        <v>45162</v>
      </c>
      <c r="AH4136" s="82" t="s">
        <v>8371</v>
      </c>
      <c r="AI4136" s="77"/>
      <c r="AJ4136" s="77"/>
      <c r="AK4136" s="77"/>
      <c r="AL4136" s="77"/>
      <c r="AM4136" s="77"/>
      <c r="AN4136" s="77"/>
      <c r="AO4136" s="77"/>
      <c r="AP4136" s="77"/>
      <c r="AQ4136" s="77"/>
      <c r="AR4136" s="77"/>
      <c r="AS4136" s="77"/>
      <c r="AT4136" s="77"/>
      <c r="AU4136" s="77"/>
      <c r="AV4136" s="80" t="str">
        <f>HYPERLINK("https://pbs.twimg.com/profile_images/1067039778795937797/PnnLGTU4_normal.jpg")</f>
        <v>https://pbs.twimg.com/profile_images/1067039778795937797/PnnLGTU4_normal.jpg</v>
      </c>
      <c r="AW4136" s="82" t="s">
        <v>15707</v>
      </c>
      <c r="AX4136" s="82" t="s">
        <v>15707</v>
      </c>
      <c r="AY4136" s="77"/>
      <c r="AZ4136" s="82" t="s">
        <v>15984</v>
      </c>
      <c r="BA4136" s="82" t="s">
        <v>15984</v>
      </c>
      <c r="BB4136" s="82" t="s">
        <v>15984</v>
      </c>
      <c r="BC4136" s="82" t="s">
        <v>15707</v>
      </c>
      <c r="BD4136" s="77">
        <v>2578778256</v>
      </c>
      <c r="BE4136" s="77"/>
      <c r="BF4136" s="77"/>
      <c r="BG4136" s="77"/>
      <c r="BH4136" s="77"/>
      <c r="BI4136" s="77"/>
    </row>
    <row r="4137" spans="1:61" x14ac:dyDescent="0.25">
      <c r="A4137" s="62" t="s">
        <v>735</v>
      </c>
      <c r="B4137" s="62" t="s">
        <v>735</v>
      </c>
      <c r="C4137" s="63"/>
      <c r="D4137" s="64"/>
      <c r="E4137" s="65"/>
      <c r="F4137" s="66"/>
      <c r="G4137" s="63"/>
      <c r="H4137" s="67"/>
      <c r="I4137" s="68"/>
      <c r="J4137" s="68"/>
      <c r="K4137" s="32"/>
      <c r="L4137" s="75">
        <v>4137</v>
      </c>
      <c r="M4137" s="75"/>
      <c r="N4137" s="70"/>
      <c r="O4137" s="77" t="s">
        <v>179</v>
      </c>
      <c r="P4137" s="79">
        <v>45162.552615740744</v>
      </c>
      <c r="Q4137" s="77" t="s">
        <v>4779</v>
      </c>
      <c r="R4137" s="77">
        <v>0</v>
      </c>
      <c r="S4137" s="77">
        <v>1</v>
      </c>
      <c r="T4137" s="77">
        <v>0</v>
      </c>
      <c r="U4137" s="77">
        <v>0</v>
      </c>
      <c r="V4137" s="77">
        <v>306</v>
      </c>
      <c r="W4137" s="82" t="s">
        <v>6449</v>
      </c>
      <c r="X4137" s="77"/>
      <c r="Y4137" s="77"/>
      <c r="Z4137" s="77"/>
      <c r="AA4137" s="77"/>
      <c r="AB4137" s="77"/>
      <c r="AC4137" s="82" t="s">
        <v>7787</v>
      </c>
      <c r="AD4137" s="77" t="s">
        <v>7788</v>
      </c>
      <c r="AE4137" s="80" t="str">
        <f>HYPERLINK("https://twitter.com/modalmais/status/1694700023445946781")</f>
        <v>https://twitter.com/modalmais/status/1694700023445946781</v>
      </c>
      <c r="AF4137" s="79">
        <v>45162.552615740744</v>
      </c>
      <c r="AG4137" s="85">
        <v>45162</v>
      </c>
      <c r="AH4137" s="82" t="s">
        <v>10533</v>
      </c>
      <c r="AI4137" s="77"/>
      <c r="AJ4137" s="77"/>
      <c r="AK4137" s="77"/>
      <c r="AL4137" s="77"/>
      <c r="AM4137" s="77"/>
      <c r="AN4137" s="77"/>
      <c r="AO4137" s="77"/>
      <c r="AP4137" s="77"/>
      <c r="AQ4137" s="77"/>
      <c r="AR4137" s="77"/>
      <c r="AS4137" s="77"/>
      <c r="AT4137" s="77"/>
      <c r="AU4137" s="77"/>
      <c r="AV4137" s="80" t="str">
        <f>HYPERLINK("https://pbs.twimg.com/profile_images/1067039778795937797/PnnLGTU4_normal.jpg")</f>
        <v>https://pbs.twimg.com/profile_images/1067039778795937797/PnnLGTU4_normal.jpg</v>
      </c>
      <c r="AW4137" s="82" t="s">
        <v>15708</v>
      </c>
      <c r="AX4137" s="82" t="s">
        <v>15708</v>
      </c>
      <c r="AY4137" s="77"/>
      <c r="AZ4137" s="82" t="s">
        <v>15984</v>
      </c>
      <c r="BA4137" s="82" t="s">
        <v>15984</v>
      </c>
      <c r="BB4137" s="82" t="s">
        <v>15984</v>
      </c>
      <c r="BC4137" s="82" t="s">
        <v>15708</v>
      </c>
      <c r="BD4137" s="77">
        <v>2578778256</v>
      </c>
      <c r="BE4137" s="77"/>
      <c r="BF4137" s="77"/>
      <c r="BG4137" s="77"/>
      <c r="BH4137" s="77"/>
      <c r="BI4137" s="77"/>
    </row>
    <row r="4138" spans="1:61" x14ac:dyDescent="0.25">
      <c r="A4138" s="62" t="s">
        <v>735</v>
      </c>
      <c r="B4138" s="62" t="s">
        <v>735</v>
      </c>
      <c r="C4138" s="63"/>
      <c r="D4138" s="64"/>
      <c r="E4138" s="65"/>
      <c r="F4138" s="66"/>
      <c r="G4138" s="63"/>
      <c r="H4138" s="67"/>
      <c r="I4138" s="68"/>
      <c r="J4138" s="68"/>
      <c r="K4138" s="32"/>
      <c r="L4138" s="75">
        <v>4138</v>
      </c>
      <c r="M4138" s="75"/>
      <c r="N4138" s="70"/>
      <c r="O4138" s="77" t="s">
        <v>179</v>
      </c>
      <c r="P4138" s="79">
        <v>45162.55096064815</v>
      </c>
      <c r="Q4138" s="77" t="s">
        <v>4780</v>
      </c>
      <c r="R4138" s="77">
        <v>0</v>
      </c>
      <c r="S4138" s="77">
        <v>1</v>
      </c>
      <c r="T4138" s="77">
        <v>0</v>
      </c>
      <c r="U4138" s="77">
        <v>1</v>
      </c>
      <c r="V4138" s="77">
        <v>539</v>
      </c>
      <c r="W4138" s="82" t="s">
        <v>6450</v>
      </c>
      <c r="X4138" s="77"/>
      <c r="Y4138" s="77"/>
      <c r="Z4138" s="77"/>
      <c r="AA4138" s="77"/>
      <c r="AB4138" s="77"/>
      <c r="AC4138" s="82" t="s">
        <v>7787</v>
      </c>
      <c r="AD4138" s="77" t="s">
        <v>7788</v>
      </c>
      <c r="AE4138" s="80" t="str">
        <f>HYPERLINK("https://twitter.com/modalmais/status/1694699426655174770")</f>
        <v>https://twitter.com/modalmais/status/1694699426655174770</v>
      </c>
      <c r="AF4138" s="79">
        <v>45162.55096064815</v>
      </c>
      <c r="AG4138" s="85">
        <v>45162</v>
      </c>
      <c r="AH4138" s="82" t="s">
        <v>10371</v>
      </c>
      <c r="AI4138" s="77"/>
      <c r="AJ4138" s="77"/>
      <c r="AK4138" s="77"/>
      <c r="AL4138" s="77"/>
      <c r="AM4138" s="77"/>
      <c r="AN4138" s="77"/>
      <c r="AO4138" s="77"/>
      <c r="AP4138" s="77"/>
      <c r="AQ4138" s="77"/>
      <c r="AR4138" s="77"/>
      <c r="AS4138" s="77"/>
      <c r="AT4138" s="77"/>
      <c r="AU4138" s="77"/>
      <c r="AV4138" s="80" t="str">
        <f>HYPERLINK("https://pbs.twimg.com/profile_images/1067039778795937797/PnnLGTU4_normal.jpg")</f>
        <v>https://pbs.twimg.com/profile_images/1067039778795937797/PnnLGTU4_normal.jpg</v>
      </c>
      <c r="AW4138" s="82" t="s">
        <v>15709</v>
      </c>
      <c r="AX4138" s="82" t="s">
        <v>15709</v>
      </c>
      <c r="AY4138" s="77"/>
      <c r="AZ4138" s="82" t="s">
        <v>15984</v>
      </c>
      <c r="BA4138" s="82" t="s">
        <v>15984</v>
      </c>
      <c r="BB4138" s="82" t="s">
        <v>15984</v>
      </c>
      <c r="BC4138" s="82" t="s">
        <v>15709</v>
      </c>
      <c r="BD4138" s="77">
        <v>2578778256</v>
      </c>
      <c r="BE4138" s="77"/>
      <c r="BF4138" s="77"/>
      <c r="BG4138" s="77"/>
      <c r="BH4138" s="77"/>
      <c r="BI4138" s="77"/>
    </row>
    <row r="4139" spans="1:61" x14ac:dyDescent="0.25">
      <c r="A4139" s="62" t="s">
        <v>735</v>
      </c>
      <c r="B4139" s="62" t="s">
        <v>735</v>
      </c>
      <c r="C4139" s="63"/>
      <c r="D4139" s="64"/>
      <c r="E4139" s="65"/>
      <c r="F4139" s="66"/>
      <c r="G4139" s="63"/>
      <c r="H4139" s="67"/>
      <c r="I4139" s="68"/>
      <c r="J4139" s="68"/>
      <c r="K4139" s="32"/>
      <c r="L4139" s="75">
        <v>4139</v>
      </c>
      <c r="M4139" s="75"/>
      <c r="N4139" s="70"/>
      <c r="O4139" s="77" t="s">
        <v>179</v>
      </c>
      <c r="P4139" s="79">
        <v>45162.550416666665</v>
      </c>
      <c r="Q4139" s="77" t="s">
        <v>4781</v>
      </c>
      <c r="R4139" s="77">
        <v>0</v>
      </c>
      <c r="S4139" s="77">
        <v>0</v>
      </c>
      <c r="T4139" s="77">
        <v>0</v>
      </c>
      <c r="U4139" s="77">
        <v>0</v>
      </c>
      <c r="V4139" s="77">
        <v>302</v>
      </c>
      <c r="W4139" s="82" t="s">
        <v>6451</v>
      </c>
      <c r="X4139" s="77"/>
      <c r="Y4139" s="77"/>
      <c r="Z4139" s="77"/>
      <c r="AA4139" s="77"/>
      <c r="AB4139" s="77"/>
      <c r="AC4139" s="82" t="s">
        <v>7787</v>
      </c>
      <c r="AD4139" s="77" t="s">
        <v>7788</v>
      </c>
      <c r="AE4139" s="80" t="str">
        <f>HYPERLINK("https://twitter.com/modalmais/status/1694699227157340523")</f>
        <v>https://twitter.com/modalmais/status/1694699227157340523</v>
      </c>
      <c r="AF4139" s="79">
        <v>45162.550416666665</v>
      </c>
      <c r="AG4139" s="85">
        <v>45162</v>
      </c>
      <c r="AH4139" s="82" t="s">
        <v>10534</v>
      </c>
      <c r="AI4139" s="77"/>
      <c r="AJ4139" s="77"/>
      <c r="AK4139" s="77"/>
      <c r="AL4139" s="77"/>
      <c r="AM4139" s="77"/>
      <c r="AN4139" s="77"/>
      <c r="AO4139" s="77"/>
      <c r="AP4139" s="77"/>
      <c r="AQ4139" s="77"/>
      <c r="AR4139" s="77"/>
      <c r="AS4139" s="77"/>
      <c r="AT4139" s="77"/>
      <c r="AU4139" s="77"/>
      <c r="AV4139" s="80" t="str">
        <f>HYPERLINK("https://pbs.twimg.com/profile_images/1067039778795937797/PnnLGTU4_normal.jpg")</f>
        <v>https://pbs.twimg.com/profile_images/1067039778795937797/PnnLGTU4_normal.jpg</v>
      </c>
      <c r="AW4139" s="82" t="s">
        <v>15710</v>
      </c>
      <c r="AX4139" s="82" t="s">
        <v>15710</v>
      </c>
      <c r="AY4139" s="77"/>
      <c r="AZ4139" s="82" t="s">
        <v>15984</v>
      </c>
      <c r="BA4139" s="82" t="s">
        <v>15984</v>
      </c>
      <c r="BB4139" s="82" t="s">
        <v>15984</v>
      </c>
      <c r="BC4139" s="82" t="s">
        <v>15710</v>
      </c>
      <c r="BD4139" s="77">
        <v>2578778256</v>
      </c>
      <c r="BE4139" s="77"/>
      <c r="BF4139" s="77"/>
      <c r="BG4139" s="77"/>
      <c r="BH4139" s="77"/>
      <c r="BI4139" s="77"/>
    </row>
    <row r="4140" spans="1:61" x14ac:dyDescent="0.25">
      <c r="A4140" s="62" t="s">
        <v>735</v>
      </c>
      <c r="B4140" s="62" t="s">
        <v>735</v>
      </c>
      <c r="C4140" s="63"/>
      <c r="D4140" s="64"/>
      <c r="E4140" s="65"/>
      <c r="F4140" s="66"/>
      <c r="G4140" s="63"/>
      <c r="H4140" s="67"/>
      <c r="I4140" s="68"/>
      <c r="J4140" s="68"/>
      <c r="K4140" s="32"/>
      <c r="L4140" s="75">
        <v>4140</v>
      </c>
      <c r="M4140" s="75"/>
      <c r="N4140" s="70"/>
      <c r="O4140" s="77" t="s">
        <v>179</v>
      </c>
      <c r="P4140" s="79">
        <v>45162.544432870367</v>
      </c>
      <c r="Q4140" s="77" t="s">
        <v>4782</v>
      </c>
      <c r="R4140" s="77">
        <v>0</v>
      </c>
      <c r="S4140" s="77">
        <v>0</v>
      </c>
      <c r="T4140" s="77">
        <v>0</v>
      </c>
      <c r="U4140" s="77">
        <v>0</v>
      </c>
      <c r="V4140" s="77">
        <v>181</v>
      </c>
      <c r="W4140" s="82" t="s">
        <v>6420</v>
      </c>
      <c r="X4140" s="77"/>
      <c r="Y4140" s="77"/>
      <c r="Z4140" s="77"/>
      <c r="AA4140" s="77"/>
      <c r="AB4140" s="77"/>
      <c r="AC4140" s="82" t="s">
        <v>7787</v>
      </c>
      <c r="AD4140" s="77" t="s">
        <v>7788</v>
      </c>
      <c r="AE4140" s="80" t="str">
        <f>HYPERLINK("https://twitter.com/modalmais/status/1694697060199506382")</f>
        <v>https://twitter.com/modalmais/status/1694697060199506382</v>
      </c>
      <c r="AF4140" s="79">
        <v>45162.544432870367</v>
      </c>
      <c r="AG4140" s="85">
        <v>45162</v>
      </c>
      <c r="AH4140" s="82" t="s">
        <v>10535</v>
      </c>
      <c r="AI4140" s="77"/>
      <c r="AJ4140" s="77"/>
      <c r="AK4140" s="77"/>
      <c r="AL4140" s="77"/>
      <c r="AM4140" s="77"/>
      <c r="AN4140" s="77"/>
      <c r="AO4140" s="77"/>
      <c r="AP4140" s="77"/>
      <c r="AQ4140" s="77"/>
      <c r="AR4140" s="77"/>
      <c r="AS4140" s="77"/>
      <c r="AT4140" s="77"/>
      <c r="AU4140" s="77"/>
      <c r="AV4140" s="80" t="str">
        <f>HYPERLINK("https://pbs.twimg.com/profile_images/1067039778795937797/PnnLGTU4_normal.jpg")</f>
        <v>https://pbs.twimg.com/profile_images/1067039778795937797/PnnLGTU4_normal.jpg</v>
      </c>
      <c r="AW4140" s="82" t="s">
        <v>15711</v>
      </c>
      <c r="AX4140" s="82" t="s">
        <v>15711</v>
      </c>
      <c r="AY4140" s="77"/>
      <c r="AZ4140" s="82" t="s">
        <v>15984</v>
      </c>
      <c r="BA4140" s="82" t="s">
        <v>15984</v>
      </c>
      <c r="BB4140" s="82" t="s">
        <v>15984</v>
      </c>
      <c r="BC4140" s="82" t="s">
        <v>15711</v>
      </c>
      <c r="BD4140" s="77">
        <v>2578778256</v>
      </c>
      <c r="BE4140" s="77"/>
      <c r="BF4140" s="77"/>
      <c r="BG4140" s="77"/>
      <c r="BH4140" s="77"/>
      <c r="BI4140" s="77"/>
    </row>
    <row r="4141" spans="1:61" x14ac:dyDescent="0.25">
      <c r="A4141" s="62" t="s">
        <v>735</v>
      </c>
      <c r="B4141" s="62" t="s">
        <v>735</v>
      </c>
      <c r="C4141" s="63"/>
      <c r="D4141" s="64"/>
      <c r="E4141" s="65"/>
      <c r="F4141" s="66"/>
      <c r="G4141" s="63"/>
      <c r="H4141" s="67"/>
      <c r="I4141" s="68"/>
      <c r="J4141" s="68"/>
      <c r="K4141" s="32"/>
      <c r="L4141" s="75">
        <v>4141</v>
      </c>
      <c r="M4141" s="75"/>
      <c r="N4141" s="70"/>
      <c r="O4141" s="77" t="s">
        <v>179</v>
      </c>
      <c r="P4141" s="79">
        <v>45162.531284722223</v>
      </c>
      <c r="Q4141" s="77" t="s">
        <v>4783</v>
      </c>
      <c r="R4141" s="77">
        <v>0</v>
      </c>
      <c r="S4141" s="77">
        <v>0</v>
      </c>
      <c r="T4141" s="77">
        <v>0</v>
      </c>
      <c r="U4141" s="77">
        <v>0</v>
      </c>
      <c r="V4141" s="77">
        <v>211</v>
      </c>
      <c r="W4141" s="82" t="s">
        <v>6420</v>
      </c>
      <c r="X4141" s="77"/>
      <c r="Y4141" s="77"/>
      <c r="Z4141" s="77"/>
      <c r="AA4141" s="77"/>
      <c r="AB4141" s="77"/>
      <c r="AC4141" s="82" t="s">
        <v>7787</v>
      </c>
      <c r="AD4141" s="77" t="s">
        <v>7788</v>
      </c>
      <c r="AE4141" s="80" t="str">
        <f>HYPERLINK("https://twitter.com/modalmais/status/1694692292865503562")</f>
        <v>https://twitter.com/modalmais/status/1694692292865503562</v>
      </c>
      <c r="AF4141" s="79">
        <v>45162.531284722223</v>
      </c>
      <c r="AG4141" s="85">
        <v>45162</v>
      </c>
      <c r="AH4141" s="82" t="s">
        <v>9315</v>
      </c>
      <c r="AI4141" s="77"/>
      <c r="AJ4141" s="77"/>
      <c r="AK4141" s="77"/>
      <c r="AL4141" s="77"/>
      <c r="AM4141" s="77"/>
      <c r="AN4141" s="77"/>
      <c r="AO4141" s="77"/>
      <c r="AP4141" s="77"/>
      <c r="AQ4141" s="77"/>
      <c r="AR4141" s="77"/>
      <c r="AS4141" s="77"/>
      <c r="AT4141" s="77"/>
      <c r="AU4141" s="77"/>
      <c r="AV4141" s="80" t="str">
        <f>HYPERLINK("https://pbs.twimg.com/profile_images/1067039778795937797/PnnLGTU4_normal.jpg")</f>
        <v>https://pbs.twimg.com/profile_images/1067039778795937797/PnnLGTU4_normal.jpg</v>
      </c>
      <c r="AW4141" s="82" t="s">
        <v>15712</v>
      </c>
      <c r="AX4141" s="82" t="s">
        <v>15712</v>
      </c>
      <c r="AY4141" s="77"/>
      <c r="AZ4141" s="82" t="s">
        <v>15984</v>
      </c>
      <c r="BA4141" s="82" t="s">
        <v>15984</v>
      </c>
      <c r="BB4141" s="82" t="s">
        <v>15984</v>
      </c>
      <c r="BC4141" s="82" t="s">
        <v>15712</v>
      </c>
      <c r="BD4141" s="77">
        <v>2578778256</v>
      </c>
      <c r="BE4141" s="77"/>
      <c r="BF4141" s="77"/>
      <c r="BG4141" s="77"/>
      <c r="BH4141" s="77"/>
      <c r="BI4141" s="77"/>
    </row>
    <row r="4142" spans="1:61" x14ac:dyDescent="0.25">
      <c r="A4142" s="62" t="s">
        <v>735</v>
      </c>
      <c r="B4142" s="62" t="s">
        <v>735</v>
      </c>
      <c r="C4142" s="63"/>
      <c r="D4142" s="64"/>
      <c r="E4142" s="65"/>
      <c r="F4142" s="66"/>
      <c r="G4142" s="63"/>
      <c r="H4142" s="67"/>
      <c r="I4142" s="68"/>
      <c r="J4142" s="68"/>
      <c r="K4142" s="32"/>
      <c r="L4142" s="75">
        <v>4142</v>
      </c>
      <c r="M4142" s="75"/>
      <c r="N4142" s="70"/>
      <c r="O4142" s="77" t="s">
        <v>179</v>
      </c>
      <c r="P4142" s="79">
        <v>45162.527453703704</v>
      </c>
      <c r="Q4142" s="77" t="s">
        <v>4784</v>
      </c>
      <c r="R4142" s="77">
        <v>0</v>
      </c>
      <c r="S4142" s="77">
        <v>0</v>
      </c>
      <c r="T4142" s="77">
        <v>0</v>
      </c>
      <c r="U4142" s="77">
        <v>0</v>
      </c>
      <c r="V4142" s="77">
        <v>261</v>
      </c>
      <c r="W4142" s="82" t="s">
        <v>6420</v>
      </c>
      <c r="X4142" s="80" t="str">
        <f>HYPERLINK("https://www.youtube.com/watch?v=2VrtHmMiTok")</f>
        <v>https://www.youtube.com/watch?v=2VrtHmMiTok</v>
      </c>
      <c r="Y4142" s="77" t="s">
        <v>6480</v>
      </c>
      <c r="Z4142" s="77"/>
      <c r="AA4142" s="77"/>
      <c r="AB4142" s="77"/>
      <c r="AC4142" s="82" t="s">
        <v>7787</v>
      </c>
      <c r="AD4142" s="77" t="s">
        <v>7788</v>
      </c>
      <c r="AE4142" s="80" t="str">
        <f>HYPERLINK("https://twitter.com/modalmais/status/1694690906928988526")</f>
        <v>https://twitter.com/modalmais/status/1694690906928988526</v>
      </c>
      <c r="AF4142" s="79">
        <v>45162.527453703704</v>
      </c>
      <c r="AG4142" s="85">
        <v>45162</v>
      </c>
      <c r="AH4142" s="82" t="s">
        <v>10536</v>
      </c>
      <c r="AI4142" s="77" t="b">
        <v>0</v>
      </c>
      <c r="AJ4142" s="77"/>
      <c r="AK4142" s="77"/>
      <c r="AL4142" s="77"/>
      <c r="AM4142" s="77"/>
      <c r="AN4142" s="77"/>
      <c r="AO4142" s="77"/>
      <c r="AP4142" s="77"/>
      <c r="AQ4142" s="77"/>
      <c r="AR4142" s="77"/>
      <c r="AS4142" s="77"/>
      <c r="AT4142" s="77"/>
      <c r="AU4142" s="77"/>
      <c r="AV4142" s="80" t="str">
        <f>HYPERLINK("https://pbs.twimg.com/profile_images/1067039778795937797/PnnLGTU4_normal.jpg")</f>
        <v>https://pbs.twimg.com/profile_images/1067039778795937797/PnnLGTU4_normal.jpg</v>
      </c>
      <c r="AW4142" s="82" t="s">
        <v>15713</v>
      </c>
      <c r="AX4142" s="82" t="s">
        <v>15713</v>
      </c>
      <c r="AY4142" s="77"/>
      <c r="AZ4142" s="82" t="s">
        <v>15984</v>
      </c>
      <c r="BA4142" s="82" t="s">
        <v>15984</v>
      </c>
      <c r="BB4142" s="82" t="s">
        <v>15984</v>
      </c>
      <c r="BC4142" s="82" t="s">
        <v>15713</v>
      </c>
      <c r="BD4142" s="77">
        <v>2578778256</v>
      </c>
      <c r="BE4142" s="77"/>
      <c r="BF4142" s="77"/>
      <c r="BG4142" s="77"/>
      <c r="BH4142" s="77"/>
      <c r="BI4142" s="77"/>
    </row>
    <row r="4143" spans="1:61" x14ac:dyDescent="0.25">
      <c r="A4143" s="62" t="s">
        <v>735</v>
      </c>
      <c r="B4143" s="62" t="s">
        <v>735</v>
      </c>
      <c r="C4143" s="63"/>
      <c r="D4143" s="64"/>
      <c r="E4143" s="65"/>
      <c r="F4143" s="66"/>
      <c r="G4143" s="63"/>
      <c r="H4143" s="67"/>
      <c r="I4143" s="68"/>
      <c r="J4143" s="68"/>
      <c r="K4143" s="32"/>
      <c r="L4143" s="75">
        <v>4143</v>
      </c>
      <c r="M4143" s="75"/>
      <c r="N4143" s="70"/>
      <c r="O4143" s="77" t="s">
        <v>179</v>
      </c>
      <c r="P4143" s="79">
        <v>45141.83971064815</v>
      </c>
      <c r="Q4143" s="77" t="s">
        <v>4785</v>
      </c>
      <c r="R4143" s="77">
        <v>0</v>
      </c>
      <c r="S4143" s="77">
        <v>0</v>
      </c>
      <c r="T4143" s="77">
        <v>0</v>
      </c>
      <c r="U4143" s="77">
        <v>0</v>
      </c>
      <c r="V4143" s="77">
        <v>304</v>
      </c>
      <c r="W4143" s="82" t="s">
        <v>6411</v>
      </c>
      <c r="X4143" s="80" t="str">
        <f>HYPERLINK("https://www.youtube.com/watch?v=Vy6MZlkYs6c")</f>
        <v>https://www.youtube.com/watch?v=Vy6MZlkYs6c</v>
      </c>
      <c r="Y4143" s="77" t="s">
        <v>6480</v>
      </c>
      <c r="Z4143" s="77"/>
      <c r="AA4143" s="77"/>
      <c r="AB4143" s="77"/>
      <c r="AC4143" s="82" t="s">
        <v>7787</v>
      </c>
      <c r="AD4143" s="77" t="s">
        <v>7788</v>
      </c>
      <c r="AE4143" s="80" t="str">
        <f>HYPERLINK("https://twitter.com/modalmais/status/1687193917052104707")</f>
        <v>https://twitter.com/modalmais/status/1687193917052104707</v>
      </c>
      <c r="AF4143" s="79">
        <v>45141.83971064815</v>
      </c>
      <c r="AG4143" s="85">
        <v>45141</v>
      </c>
      <c r="AH4143" s="82" t="s">
        <v>10537</v>
      </c>
      <c r="AI4143" s="77" t="b">
        <v>0</v>
      </c>
      <c r="AJ4143" s="77"/>
      <c r="AK4143" s="77"/>
      <c r="AL4143" s="77"/>
      <c r="AM4143" s="77"/>
      <c r="AN4143" s="77"/>
      <c r="AO4143" s="77"/>
      <c r="AP4143" s="77"/>
      <c r="AQ4143" s="77"/>
      <c r="AR4143" s="77"/>
      <c r="AS4143" s="77"/>
      <c r="AT4143" s="77"/>
      <c r="AU4143" s="77"/>
      <c r="AV4143" s="80" t="str">
        <f>HYPERLINK("https://pbs.twimg.com/profile_images/1067039778795937797/PnnLGTU4_normal.jpg")</f>
        <v>https://pbs.twimg.com/profile_images/1067039778795937797/PnnLGTU4_normal.jpg</v>
      </c>
      <c r="AW4143" s="82" t="s">
        <v>15714</v>
      </c>
      <c r="AX4143" s="82" t="s">
        <v>15714</v>
      </c>
      <c r="AY4143" s="77"/>
      <c r="AZ4143" s="82" t="s">
        <v>15984</v>
      </c>
      <c r="BA4143" s="82" t="s">
        <v>15984</v>
      </c>
      <c r="BB4143" s="82" t="s">
        <v>15984</v>
      </c>
      <c r="BC4143" s="82" t="s">
        <v>15714</v>
      </c>
      <c r="BD4143" s="77">
        <v>2578778256</v>
      </c>
      <c r="BE4143" s="77"/>
      <c r="BF4143" s="77"/>
      <c r="BG4143" s="77"/>
      <c r="BH4143" s="77"/>
      <c r="BI4143" s="77"/>
    </row>
    <row r="4144" spans="1:61" x14ac:dyDescent="0.25">
      <c r="A4144" s="62" t="s">
        <v>735</v>
      </c>
      <c r="B4144" s="62" t="s">
        <v>735</v>
      </c>
      <c r="C4144" s="63"/>
      <c r="D4144" s="64"/>
      <c r="E4144" s="65"/>
      <c r="F4144" s="66"/>
      <c r="G4144" s="63"/>
      <c r="H4144" s="67"/>
      <c r="I4144" s="68"/>
      <c r="J4144" s="68"/>
      <c r="K4144" s="32"/>
      <c r="L4144" s="75">
        <v>4144</v>
      </c>
      <c r="M4144" s="75"/>
      <c r="N4144" s="70"/>
      <c r="O4144" s="77" t="s">
        <v>179</v>
      </c>
      <c r="P4144" s="79">
        <v>45141.830208333333</v>
      </c>
      <c r="Q4144" s="77" t="s">
        <v>4786</v>
      </c>
      <c r="R4144" s="77">
        <v>0</v>
      </c>
      <c r="S4144" s="77">
        <v>1</v>
      </c>
      <c r="T4144" s="77">
        <v>0</v>
      </c>
      <c r="U4144" s="77">
        <v>0</v>
      </c>
      <c r="V4144" s="77">
        <v>332</v>
      </c>
      <c r="W4144" s="82" t="s">
        <v>6411</v>
      </c>
      <c r="X4144" s="80" t="str">
        <f>HYPERLINK("https://www.youtube.com/watch?v=YGynwOLHAuA")</f>
        <v>https://www.youtube.com/watch?v=YGynwOLHAuA</v>
      </c>
      <c r="Y4144" s="77" t="s">
        <v>6480</v>
      </c>
      <c r="Z4144" s="77"/>
      <c r="AA4144" s="77"/>
      <c r="AB4144" s="77"/>
      <c r="AC4144" s="82" t="s">
        <v>7787</v>
      </c>
      <c r="AD4144" s="77" t="s">
        <v>7788</v>
      </c>
      <c r="AE4144" s="80" t="str">
        <f>HYPERLINK("https://twitter.com/modalmais/status/1687190476376395777")</f>
        <v>https://twitter.com/modalmais/status/1687190476376395777</v>
      </c>
      <c r="AF4144" s="79">
        <v>45141.830208333333</v>
      </c>
      <c r="AG4144" s="85">
        <v>45141</v>
      </c>
      <c r="AH4144" s="82" t="s">
        <v>10538</v>
      </c>
      <c r="AI4144" s="77" t="b">
        <v>0</v>
      </c>
      <c r="AJ4144" s="77"/>
      <c r="AK4144" s="77"/>
      <c r="AL4144" s="77"/>
      <c r="AM4144" s="77"/>
      <c r="AN4144" s="77"/>
      <c r="AO4144" s="77"/>
      <c r="AP4144" s="77"/>
      <c r="AQ4144" s="77"/>
      <c r="AR4144" s="77"/>
      <c r="AS4144" s="77"/>
      <c r="AT4144" s="77"/>
      <c r="AU4144" s="77"/>
      <c r="AV4144" s="80" t="str">
        <f>HYPERLINK("https://pbs.twimg.com/profile_images/1067039778795937797/PnnLGTU4_normal.jpg")</f>
        <v>https://pbs.twimg.com/profile_images/1067039778795937797/PnnLGTU4_normal.jpg</v>
      </c>
      <c r="AW4144" s="82" t="s">
        <v>15715</v>
      </c>
      <c r="AX4144" s="82" t="s">
        <v>15715</v>
      </c>
      <c r="AY4144" s="77"/>
      <c r="AZ4144" s="82" t="s">
        <v>15984</v>
      </c>
      <c r="BA4144" s="82" t="s">
        <v>15984</v>
      </c>
      <c r="BB4144" s="82" t="s">
        <v>15984</v>
      </c>
      <c r="BC4144" s="82" t="s">
        <v>15715</v>
      </c>
      <c r="BD4144" s="77">
        <v>2578778256</v>
      </c>
      <c r="BE4144" s="77"/>
      <c r="BF4144" s="77"/>
      <c r="BG4144" s="77"/>
      <c r="BH4144" s="77"/>
      <c r="BI4144" s="77"/>
    </row>
    <row r="4145" spans="1:61" x14ac:dyDescent="0.25">
      <c r="A4145" s="62" t="s">
        <v>735</v>
      </c>
      <c r="B4145" s="62" t="s">
        <v>735</v>
      </c>
      <c r="C4145" s="63"/>
      <c r="D4145" s="64"/>
      <c r="E4145" s="65"/>
      <c r="F4145" s="66"/>
      <c r="G4145" s="63"/>
      <c r="H4145" s="67"/>
      <c r="I4145" s="68"/>
      <c r="J4145" s="68"/>
      <c r="K4145" s="32"/>
      <c r="L4145" s="75">
        <v>4145</v>
      </c>
      <c r="M4145" s="75"/>
      <c r="N4145" s="70"/>
      <c r="O4145" s="77" t="s">
        <v>179</v>
      </c>
      <c r="P4145" s="79">
        <v>45141.784895833334</v>
      </c>
      <c r="Q4145" s="77" t="s">
        <v>4787</v>
      </c>
      <c r="R4145" s="77">
        <v>0</v>
      </c>
      <c r="S4145" s="77">
        <v>0</v>
      </c>
      <c r="T4145" s="77">
        <v>0</v>
      </c>
      <c r="U4145" s="77">
        <v>0</v>
      </c>
      <c r="V4145" s="77">
        <v>293</v>
      </c>
      <c r="W4145" s="82" t="s">
        <v>6411</v>
      </c>
      <c r="X4145" s="77"/>
      <c r="Y4145" s="77"/>
      <c r="Z4145" s="77"/>
      <c r="AA4145" s="77"/>
      <c r="AB4145" s="77"/>
      <c r="AC4145" s="82" t="s">
        <v>7787</v>
      </c>
      <c r="AD4145" s="77" t="s">
        <v>7788</v>
      </c>
      <c r="AE4145" s="80" t="str">
        <f>HYPERLINK("https://twitter.com/modalmais/status/1687174053218353153")</f>
        <v>https://twitter.com/modalmais/status/1687174053218353153</v>
      </c>
      <c r="AF4145" s="79">
        <v>45141.784895833334</v>
      </c>
      <c r="AG4145" s="85">
        <v>45141</v>
      </c>
      <c r="AH4145" s="82" t="s">
        <v>10539</v>
      </c>
      <c r="AI4145" s="77"/>
      <c r="AJ4145" s="77"/>
      <c r="AK4145" s="77"/>
      <c r="AL4145" s="77"/>
      <c r="AM4145" s="77"/>
      <c r="AN4145" s="77"/>
      <c r="AO4145" s="77"/>
      <c r="AP4145" s="77"/>
      <c r="AQ4145" s="77"/>
      <c r="AR4145" s="77"/>
      <c r="AS4145" s="77"/>
      <c r="AT4145" s="77"/>
      <c r="AU4145" s="77"/>
      <c r="AV4145" s="80" t="str">
        <f>HYPERLINK("https://pbs.twimg.com/profile_images/1067039778795937797/PnnLGTU4_normal.jpg")</f>
        <v>https://pbs.twimg.com/profile_images/1067039778795937797/PnnLGTU4_normal.jpg</v>
      </c>
      <c r="AW4145" s="82" t="s">
        <v>15716</v>
      </c>
      <c r="AX4145" s="82" t="s">
        <v>15716</v>
      </c>
      <c r="AY4145" s="77"/>
      <c r="AZ4145" s="82" t="s">
        <v>15984</v>
      </c>
      <c r="BA4145" s="82" t="s">
        <v>15984</v>
      </c>
      <c r="BB4145" s="82" t="s">
        <v>15984</v>
      </c>
      <c r="BC4145" s="82" t="s">
        <v>15716</v>
      </c>
      <c r="BD4145" s="77">
        <v>2578778256</v>
      </c>
      <c r="BE4145" s="77"/>
      <c r="BF4145" s="77"/>
      <c r="BG4145" s="77"/>
      <c r="BH4145" s="77"/>
      <c r="BI4145" s="77"/>
    </row>
    <row r="4146" spans="1:61" x14ac:dyDescent="0.25">
      <c r="A4146" s="62" t="s">
        <v>735</v>
      </c>
      <c r="B4146" s="62" t="s">
        <v>735</v>
      </c>
      <c r="C4146" s="63"/>
      <c r="D4146" s="64"/>
      <c r="E4146" s="65"/>
      <c r="F4146" s="66"/>
      <c r="G4146" s="63"/>
      <c r="H4146" s="67"/>
      <c r="I4146" s="68"/>
      <c r="J4146" s="68"/>
      <c r="K4146" s="32"/>
      <c r="L4146" s="75">
        <v>4146</v>
      </c>
      <c r="M4146" s="75"/>
      <c r="N4146" s="70"/>
      <c r="O4146" s="77" t="s">
        <v>179</v>
      </c>
      <c r="P4146" s="79">
        <v>45124.69804398148</v>
      </c>
      <c r="Q4146" s="77" t="s">
        <v>4788</v>
      </c>
      <c r="R4146" s="77">
        <v>0</v>
      </c>
      <c r="S4146" s="77">
        <v>3</v>
      </c>
      <c r="T4146" s="77">
        <v>0</v>
      </c>
      <c r="U4146" s="77">
        <v>0</v>
      </c>
      <c r="V4146" s="77">
        <v>331</v>
      </c>
      <c r="W4146" s="82" t="s">
        <v>6411</v>
      </c>
      <c r="X4146" s="77"/>
      <c r="Y4146" s="77"/>
      <c r="Z4146" s="77"/>
      <c r="AA4146" s="77"/>
      <c r="AB4146" s="77"/>
      <c r="AC4146" s="82" t="s">
        <v>7787</v>
      </c>
      <c r="AD4146" s="77" t="s">
        <v>7790</v>
      </c>
      <c r="AE4146" s="80" t="str">
        <f>HYPERLINK("https://twitter.com/modalmais/status/1680981985617952768")</f>
        <v>https://twitter.com/modalmais/status/1680981985617952768</v>
      </c>
      <c r="AF4146" s="79">
        <v>45124.69804398148</v>
      </c>
      <c r="AG4146" s="85">
        <v>45124</v>
      </c>
      <c r="AH4146" s="82" t="s">
        <v>10540</v>
      </c>
      <c r="AI4146" s="77"/>
      <c r="AJ4146" s="77"/>
      <c r="AK4146" s="77"/>
      <c r="AL4146" s="77"/>
      <c r="AM4146" s="77"/>
      <c r="AN4146" s="77"/>
      <c r="AO4146" s="77"/>
      <c r="AP4146" s="77"/>
      <c r="AQ4146" s="77"/>
      <c r="AR4146" s="77"/>
      <c r="AS4146" s="77"/>
      <c r="AT4146" s="77"/>
      <c r="AU4146" s="77"/>
      <c r="AV4146" s="80" t="str">
        <f>HYPERLINK("https://pbs.twimg.com/profile_images/1067039778795937797/PnnLGTU4_normal.jpg")</f>
        <v>https://pbs.twimg.com/profile_images/1067039778795937797/PnnLGTU4_normal.jpg</v>
      </c>
      <c r="AW4146" s="82" t="s">
        <v>15717</v>
      </c>
      <c r="AX4146" s="82" t="s">
        <v>15717</v>
      </c>
      <c r="AY4146" s="77"/>
      <c r="AZ4146" s="82" t="s">
        <v>15984</v>
      </c>
      <c r="BA4146" s="82" t="s">
        <v>15984</v>
      </c>
      <c r="BB4146" s="82" t="s">
        <v>15984</v>
      </c>
      <c r="BC4146" s="82" t="s">
        <v>15717</v>
      </c>
      <c r="BD4146" s="77">
        <v>2578778256</v>
      </c>
      <c r="BE4146" s="77"/>
      <c r="BF4146" s="77"/>
      <c r="BG4146" s="77"/>
      <c r="BH4146" s="77"/>
      <c r="BI4146" s="77"/>
    </row>
    <row r="4147" spans="1:61" x14ac:dyDescent="0.25">
      <c r="A4147" s="62" t="s">
        <v>735</v>
      </c>
      <c r="B4147" s="62" t="s">
        <v>735</v>
      </c>
      <c r="C4147" s="63"/>
      <c r="D4147" s="64"/>
      <c r="E4147" s="65"/>
      <c r="F4147" s="66"/>
      <c r="G4147" s="63"/>
      <c r="H4147" s="67"/>
      <c r="I4147" s="68"/>
      <c r="J4147" s="68"/>
      <c r="K4147" s="32"/>
      <c r="L4147" s="75">
        <v>4147</v>
      </c>
      <c r="M4147" s="75"/>
      <c r="N4147" s="70"/>
      <c r="O4147" s="77" t="s">
        <v>179</v>
      </c>
      <c r="P4147" s="79">
        <v>45124.572175925925</v>
      </c>
      <c r="Q4147" s="77" t="s">
        <v>4789</v>
      </c>
      <c r="R4147" s="77">
        <v>0</v>
      </c>
      <c r="S4147" s="77">
        <v>1</v>
      </c>
      <c r="T4147" s="77">
        <v>0</v>
      </c>
      <c r="U4147" s="77">
        <v>0</v>
      </c>
      <c r="V4147" s="77">
        <v>298</v>
      </c>
      <c r="W4147" s="82" t="s">
        <v>6411</v>
      </c>
      <c r="X4147" s="77"/>
      <c r="Y4147" s="77"/>
      <c r="Z4147" s="77"/>
      <c r="AA4147" s="77"/>
      <c r="AB4147" s="77"/>
      <c r="AC4147" s="82" t="s">
        <v>7787</v>
      </c>
      <c r="AD4147" s="77" t="s">
        <v>7788</v>
      </c>
      <c r="AE4147" s="80" t="str">
        <f>HYPERLINK("https://twitter.com/modalmais/status/1680936372855603201")</f>
        <v>https://twitter.com/modalmais/status/1680936372855603201</v>
      </c>
      <c r="AF4147" s="79">
        <v>45124.572175925925</v>
      </c>
      <c r="AG4147" s="85">
        <v>45124</v>
      </c>
      <c r="AH4147" s="82" t="s">
        <v>10541</v>
      </c>
      <c r="AI4147" s="77"/>
      <c r="AJ4147" s="77"/>
      <c r="AK4147" s="77"/>
      <c r="AL4147" s="77"/>
      <c r="AM4147" s="77"/>
      <c r="AN4147" s="77"/>
      <c r="AO4147" s="77"/>
      <c r="AP4147" s="77"/>
      <c r="AQ4147" s="77"/>
      <c r="AR4147" s="77"/>
      <c r="AS4147" s="77"/>
      <c r="AT4147" s="77"/>
      <c r="AU4147" s="77"/>
      <c r="AV4147" s="80" t="str">
        <f>HYPERLINK("https://pbs.twimg.com/profile_images/1067039778795937797/PnnLGTU4_normal.jpg")</f>
        <v>https://pbs.twimg.com/profile_images/1067039778795937797/PnnLGTU4_normal.jpg</v>
      </c>
      <c r="AW4147" s="82" t="s">
        <v>15718</v>
      </c>
      <c r="AX4147" s="82" t="s">
        <v>15718</v>
      </c>
      <c r="AY4147" s="77"/>
      <c r="AZ4147" s="82" t="s">
        <v>15984</v>
      </c>
      <c r="BA4147" s="82" t="s">
        <v>15984</v>
      </c>
      <c r="BB4147" s="82" t="s">
        <v>15984</v>
      </c>
      <c r="BC4147" s="82" t="s">
        <v>15718</v>
      </c>
      <c r="BD4147" s="77">
        <v>2578778256</v>
      </c>
      <c r="BE4147" s="77"/>
      <c r="BF4147" s="77"/>
      <c r="BG4147" s="77"/>
      <c r="BH4147" s="77"/>
      <c r="BI4147" s="77"/>
    </row>
    <row r="4148" spans="1:61" x14ac:dyDescent="0.25">
      <c r="A4148" s="62" t="s">
        <v>735</v>
      </c>
      <c r="B4148" s="62" t="s">
        <v>735</v>
      </c>
      <c r="C4148" s="63"/>
      <c r="D4148" s="64"/>
      <c r="E4148" s="65"/>
      <c r="F4148" s="66"/>
      <c r="G4148" s="63"/>
      <c r="H4148" s="67"/>
      <c r="I4148" s="68"/>
      <c r="J4148" s="68"/>
      <c r="K4148" s="32"/>
      <c r="L4148" s="75">
        <v>4148</v>
      </c>
      <c r="M4148" s="75"/>
      <c r="N4148" s="70"/>
      <c r="O4148" s="77" t="s">
        <v>179</v>
      </c>
      <c r="P4148" s="79">
        <v>45124.563854166663</v>
      </c>
      <c r="Q4148" s="77" t="s">
        <v>4790</v>
      </c>
      <c r="R4148" s="77">
        <v>0</v>
      </c>
      <c r="S4148" s="77">
        <v>0</v>
      </c>
      <c r="T4148" s="77">
        <v>0</v>
      </c>
      <c r="U4148" s="77">
        <v>0</v>
      </c>
      <c r="V4148" s="77">
        <v>296</v>
      </c>
      <c r="W4148" s="82" t="s">
        <v>6411</v>
      </c>
      <c r="X4148" s="77"/>
      <c r="Y4148" s="77"/>
      <c r="Z4148" s="77"/>
      <c r="AA4148" s="77"/>
      <c r="AB4148" s="77"/>
      <c r="AC4148" s="82" t="s">
        <v>7787</v>
      </c>
      <c r="AD4148" s="77" t="s">
        <v>7790</v>
      </c>
      <c r="AE4148" s="80" t="str">
        <f>HYPERLINK("https://twitter.com/modalmais/status/1680933359181000710")</f>
        <v>https://twitter.com/modalmais/status/1680933359181000710</v>
      </c>
      <c r="AF4148" s="79">
        <v>45124.563854166663</v>
      </c>
      <c r="AG4148" s="85">
        <v>45124</v>
      </c>
      <c r="AH4148" s="82" t="s">
        <v>10542</v>
      </c>
      <c r="AI4148" s="77"/>
      <c r="AJ4148" s="77"/>
      <c r="AK4148" s="77"/>
      <c r="AL4148" s="77"/>
      <c r="AM4148" s="77"/>
      <c r="AN4148" s="77"/>
      <c r="AO4148" s="77"/>
      <c r="AP4148" s="77"/>
      <c r="AQ4148" s="77"/>
      <c r="AR4148" s="77"/>
      <c r="AS4148" s="77"/>
      <c r="AT4148" s="77"/>
      <c r="AU4148" s="77"/>
      <c r="AV4148" s="80" t="str">
        <f>HYPERLINK("https://pbs.twimg.com/profile_images/1067039778795937797/PnnLGTU4_normal.jpg")</f>
        <v>https://pbs.twimg.com/profile_images/1067039778795937797/PnnLGTU4_normal.jpg</v>
      </c>
      <c r="AW4148" s="82" t="s">
        <v>15719</v>
      </c>
      <c r="AX4148" s="82" t="s">
        <v>15719</v>
      </c>
      <c r="AY4148" s="77"/>
      <c r="AZ4148" s="82" t="s">
        <v>15984</v>
      </c>
      <c r="BA4148" s="82" t="s">
        <v>15984</v>
      </c>
      <c r="BB4148" s="82" t="s">
        <v>15984</v>
      </c>
      <c r="BC4148" s="82" t="s">
        <v>15719</v>
      </c>
      <c r="BD4148" s="77">
        <v>2578778256</v>
      </c>
      <c r="BE4148" s="77"/>
      <c r="BF4148" s="77"/>
      <c r="BG4148" s="77"/>
      <c r="BH4148" s="77"/>
      <c r="BI4148" s="77"/>
    </row>
    <row r="4149" spans="1:61" x14ac:dyDescent="0.25">
      <c r="A4149" s="62" t="s">
        <v>735</v>
      </c>
      <c r="B4149" s="62" t="s">
        <v>735</v>
      </c>
      <c r="C4149" s="63"/>
      <c r="D4149" s="64"/>
      <c r="E4149" s="65"/>
      <c r="F4149" s="66"/>
      <c r="G4149" s="63"/>
      <c r="H4149" s="67"/>
      <c r="I4149" s="68"/>
      <c r="J4149" s="68"/>
      <c r="K4149" s="32"/>
      <c r="L4149" s="75">
        <v>4149</v>
      </c>
      <c r="M4149" s="75"/>
      <c r="N4149" s="70"/>
      <c r="O4149" s="77" t="s">
        <v>179</v>
      </c>
      <c r="P4149" s="79">
        <v>45124.516979166663</v>
      </c>
      <c r="Q4149" s="77" t="s">
        <v>4791</v>
      </c>
      <c r="R4149" s="77">
        <v>0</v>
      </c>
      <c r="S4149" s="77">
        <v>4</v>
      </c>
      <c r="T4149" s="77">
        <v>0</v>
      </c>
      <c r="U4149" s="77">
        <v>0</v>
      </c>
      <c r="V4149" s="77">
        <v>354</v>
      </c>
      <c r="W4149" s="82" t="s">
        <v>6411</v>
      </c>
      <c r="X4149" s="77"/>
      <c r="Y4149" s="77"/>
      <c r="Z4149" s="77"/>
      <c r="AA4149" s="77"/>
      <c r="AB4149" s="77"/>
      <c r="AC4149" s="82" t="s">
        <v>7787</v>
      </c>
      <c r="AD4149" s="77" t="s">
        <v>7797</v>
      </c>
      <c r="AE4149" s="80" t="str">
        <f>HYPERLINK("https://twitter.com/modalmais/status/1680916372916666368")</f>
        <v>https://twitter.com/modalmais/status/1680916372916666368</v>
      </c>
      <c r="AF4149" s="79">
        <v>45124.516979166663</v>
      </c>
      <c r="AG4149" s="85">
        <v>45124</v>
      </c>
      <c r="AH4149" s="82" t="s">
        <v>10543</v>
      </c>
      <c r="AI4149" s="77"/>
      <c r="AJ4149" s="77"/>
      <c r="AK4149" s="77"/>
      <c r="AL4149" s="77"/>
      <c r="AM4149" s="77"/>
      <c r="AN4149" s="77"/>
      <c r="AO4149" s="77"/>
      <c r="AP4149" s="77"/>
      <c r="AQ4149" s="77"/>
      <c r="AR4149" s="77"/>
      <c r="AS4149" s="77"/>
      <c r="AT4149" s="77"/>
      <c r="AU4149" s="77"/>
      <c r="AV4149" s="80" t="str">
        <f>HYPERLINK("https://pbs.twimg.com/profile_images/1067039778795937797/PnnLGTU4_normal.jpg")</f>
        <v>https://pbs.twimg.com/profile_images/1067039778795937797/PnnLGTU4_normal.jpg</v>
      </c>
      <c r="AW4149" s="82" t="s">
        <v>15720</v>
      </c>
      <c r="AX4149" s="82" t="s">
        <v>15720</v>
      </c>
      <c r="AY4149" s="77"/>
      <c r="AZ4149" s="82" t="s">
        <v>15984</v>
      </c>
      <c r="BA4149" s="82" t="s">
        <v>15984</v>
      </c>
      <c r="BB4149" s="82" t="s">
        <v>15984</v>
      </c>
      <c r="BC4149" s="82" t="s">
        <v>15720</v>
      </c>
      <c r="BD4149" s="77">
        <v>2578778256</v>
      </c>
      <c r="BE4149" s="77"/>
      <c r="BF4149" s="77"/>
      <c r="BG4149" s="77"/>
      <c r="BH4149" s="77"/>
      <c r="BI4149" s="77"/>
    </row>
    <row r="4150" spans="1:61" x14ac:dyDescent="0.25">
      <c r="A4150" s="62" t="s">
        <v>735</v>
      </c>
      <c r="B4150" s="62" t="s">
        <v>735</v>
      </c>
      <c r="C4150" s="63"/>
      <c r="D4150" s="64"/>
      <c r="E4150" s="65"/>
      <c r="F4150" s="66"/>
      <c r="G4150" s="63"/>
      <c r="H4150" s="67"/>
      <c r="I4150" s="68"/>
      <c r="J4150" s="68"/>
      <c r="K4150" s="32"/>
      <c r="L4150" s="75">
        <v>4150</v>
      </c>
      <c r="M4150" s="75"/>
      <c r="N4150" s="70"/>
      <c r="O4150" s="77" t="s">
        <v>179</v>
      </c>
      <c r="P4150" s="79">
        <v>45124.515902777777</v>
      </c>
      <c r="Q4150" s="77" t="s">
        <v>4792</v>
      </c>
      <c r="R4150" s="77">
        <v>1</v>
      </c>
      <c r="S4150" s="77">
        <v>4</v>
      </c>
      <c r="T4150" s="77">
        <v>1</v>
      </c>
      <c r="U4150" s="77">
        <v>0</v>
      </c>
      <c r="V4150" s="77">
        <v>363</v>
      </c>
      <c r="W4150" s="82" t="s">
        <v>6452</v>
      </c>
      <c r="X4150" s="77"/>
      <c r="Y4150" s="77"/>
      <c r="Z4150" s="77"/>
      <c r="AA4150" s="77"/>
      <c r="AB4150" s="77"/>
      <c r="AC4150" s="82" t="s">
        <v>7787</v>
      </c>
      <c r="AD4150" s="77" t="s">
        <v>7788</v>
      </c>
      <c r="AE4150" s="80" t="str">
        <f>HYPERLINK("https://twitter.com/modalmais/status/1680915981646934017")</f>
        <v>https://twitter.com/modalmais/status/1680915981646934017</v>
      </c>
      <c r="AF4150" s="79">
        <v>45124.515902777777</v>
      </c>
      <c r="AG4150" s="85">
        <v>45124</v>
      </c>
      <c r="AH4150" s="82" t="s">
        <v>10544</v>
      </c>
      <c r="AI4150" s="77"/>
      <c r="AJ4150" s="77"/>
      <c r="AK4150" s="77"/>
      <c r="AL4150" s="77"/>
      <c r="AM4150" s="77"/>
      <c r="AN4150" s="77"/>
      <c r="AO4150" s="77"/>
      <c r="AP4150" s="77"/>
      <c r="AQ4150" s="77"/>
      <c r="AR4150" s="77"/>
      <c r="AS4150" s="77"/>
      <c r="AT4150" s="77"/>
      <c r="AU4150" s="77"/>
      <c r="AV4150" s="80" t="str">
        <f>HYPERLINK("https://pbs.twimg.com/profile_images/1067039778795937797/PnnLGTU4_normal.jpg")</f>
        <v>https://pbs.twimg.com/profile_images/1067039778795937797/PnnLGTU4_normal.jpg</v>
      </c>
      <c r="AW4150" s="82" t="s">
        <v>15721</v>
      </c>
      <c r="AX4150" s="82" t="s">
        <v>15721</v>
      </c>
      <c r="AY4150" s="77"/>
      <c r="AZ4150" s="82" t="s">
        <v>15984</v>
      </c>
      <c r="BA4150" s="82" t="s">
        <v>15984</v>
      </c>
      <c r="BB4150" s="82" t="s">
        <v>15984</v>
      </c>
      <c r="BC4150" s="82" t="s">
        <v>15721</v>
      </c>
      <c r="BD4150" s="77">
        <v>2578778256</v>
      </c>
      <c r="BE4150" s="77"/>
      <c r="BF4150" s="77"/>
      <c r="BG4150" s="77"/>
      <c r="BH4150" s="77"/>
      <c r="BI4150" s="77"/>
    </row>
    <row r="4151" spans="1:61" x14ac:dyDescent="0.25">
      <c r="A4151" s="62" t="s">
        <v>735</v>
      </c>
      <c r="B4151" s="62" t="s">
        <v>735</v>
      </c>
      <c r="C4151" s="63"/>
      <c r="D4151" s="64"/>
      <c r="E4151" s="65"/>
      <c r="F4151" s="66"/>
      <c r="G4151" s="63"/>
      <c r="H4151" s="67"/>
      <c r="I4151" s="68"/>
      <c r="J4151" s="68"/>
      <c r="K4151" s="32"/>
      <c r="L4151" s="75">
        <v>4151</v>
      </c>
      <c r="M4151" s="75"/>
      <c r="N4151" s="70"/>
      <c r="O4151" s="77" t="s">
        <v>179</v>
      </c>
      <c r="P4151" s="79">
        <v>45124.492291666669</v>
      </c>
      <c r="Q4151" s="77" t="s">
        <v>4793</v>
      </c>
      <c r="R4151" s="77">
        <v>0</v>
      </c>
      <c r="S4151" s="77">
        <v>4</v>
      </c>
      <c r="T4151" s="77">
        <v>0</v>
      </c>
      <c r="U4151" s="77">
        <v>1</v>
      </c>
      <c r="V4151" s="77">
        <v>317</v>
      </c>
      <c r="W4151" s="82" t="s">
        <v>6411</v>
      </c>
      <c r="X4151" s="80" t="str">
        <f>HYPERLINK("https://www.youtube.com/watch?v=te6Ndy7JT8w")</f>
        <v>https://www.youtube.com/watch?v=te6Ndy7JT8w</v>
      </c>
      <c r="Y4151" s="77" t="s">
        <v>6480</v>
      </c>
      <c r="Z4151" s="77"/>
      <c r="AA4151" s="77"/>
      <c r="AB4151" s="77"/>
      <c r="AC4151" s="82" t="s">
        <v>7787</v>
      </c>
      <c r="AD4151" s="77" t="s">
        <v>7788</v>
      </c>
      <c r="AE4151" s="80" t="str">
        <f>HYPERLINK("https://twitter.com/modalmais/status/1680907424125861888")</f>
        <v>https://twitter.com/modalmais/status/1680907424125861888</v>
      </c>
      <c r="AF4151" s="79">
        <v>45124.492291666669</v>
      </c>
      <c r="AG4151" s="85">
        <v>45124</v>
      </c>
      <c r="AH4151" s="82" t="s">
        <v>10545</v>
      </c>
      <c r="AI4151" s="77" t="b">
        <v>0</v>
      </c>
      <c r="AJ4151" s="77"/>
      <c r="AK4151" s="77"/>
      <c r="AL4151" s="77"/>
      <c r="AM4151" s="77"/>
      <c r="AN4151" s="77"/>
      <c r="AO4151" s="77"/>
      <c r="AP4151" s="77"/>
      <c r="AQ4151" s="77"/>
      <c r="AR4151" s="77"/>
      <c r="AS4151" s="77"/>
      <c r="AT4151" s="77"/>
      <c r="AU4151" s="77"/>
      <c r="AV4151" s="80" t="str">
        <f>HYPERLINK("https://pbs.twimg.com/profile_images/1067039778795937797/PnnLGTU4_normal.jpg")</f>
        <v>https://pbs.twimg.com/profile_images/1067039778795937797/PnnLGTU4_normal.jpg</v>
      </c>
      <c r="AW4151" s="82" t="s">
        <v>15722</v>
      </c>
      <c r="AX4151" s="82" t="s">
        <v>15722</v>
      </c>
      <c r="AY4151" s="77"/>
      <c r="AZ4151" s="82" t="s">
        <v>15984</v>
      </c>
      <c r="BA4151" s="82" t="s">
        <v>15984</v>
      </c>
      <c r="BB4151" s="82" t="s">
        <v>15984</v>
      </c>
      <c r="BC4151" s="82" t="s">
        <v>15722</v>
      </c>
      <c r="BD4151" s="77">
        <v>2578778256</v>
      </c>
      <c r="BE4151" s="77"/>
      <c r="BF4151" s="77"/>
      <c r="BG4151" s="77"/>
      <c r="BH4151" s="77"/>
      <c r="BI4151" s="77"/>
    </row>
    <row r="4152" spans="1:61" x14ac:dyDescent="0.25">
      <c r="A4152" s="62" t="s">
        <v>735</v>
      </c>
      <c r="B4152" s="62" t="s">
        <v>735</v>
      </c>
      <c r="C4152" s="63"/>
      <c r="D4152" s="64"/>
      <c r="E4152" s="65"/>
      <c r="F4152" s="66"/>
      <c r="G4152" s="63"/>
      <c r="H4152" s="67"/>
      <c r="I4152" s="68"/>
      <c r="J4152" s="68"/>
      <c r="K4152" s="32"/>
      <c r="L4152" s="75">
        <v>4152</v>
      </c>
      <c r="M4152" s="75"/>
      <c r="N4152" s="70"/>
      <c r="O4152" s="77" t="s">
        <v>179</v>
      </c>
      <c r="P4152" s="79">
        <v>45124.491759259261</v>
      </c>
      <c r="Q4152" s="77" t="s">
        <v>4794</v>
      </c>
      <c r="R4152" s="77">
        <v>0</v>
      </c>
      <c r="S4152" s="77">
        <v>1</v>
      </c>
      <c r="T4152" s="77">
        <v>0</v>
      </c>
      <c r="U4152" s="77">
        <v>1</v>
      </c>
      <c r="V4152" s="77">
        <v>334</v>
      </c>
      <c r="W4152" s="82" t="s">
        <v>6411</v>
      </c>
      <c r="X4152" s="80" t="str">
        <f>HYPERLINK("https://www.youtube.com/watch?v=9XrfnpjUpmo")</f>
        <v>https://www.youtube.com/watch?v=9XrfnpjUpmo</v>
      </c>
      <c r="Y4152" s="77" t="s">
        <v>6480</v>
      </c>
      <c r="Z4152" s="77"/>
      <c r="AA4152" s="77"/>
      <c r="AB4152" s="77"/>
      <c r="AC4152" s="82" t="s">
        <v>7787</v>
      </c>
      <c r="AD4152" s="77" t="s">
        <v>7788</v>
      </c>
      <c r="AE4152" s="80" t="str">
        <f>HYPERLINK("https://twitter.com/modalmais/status/1680907232869793792")</f>
        <v>https://twitter.com/modalmais/status/1680907232869793792</v>
      </c>
      <c r="AF4152" s="79">
        <v>45124.491759259261</v>
      </c>
      <c r="AG4152" s="85">
        <v>45124</v>
      </c>
      <c r="AH4152" s="82" t="s">
        <v>10546</v>
      </c>
      <c r="AI4152" s="77" t="b">
        <v>0</v>
      </c>
      <c r="AJ4152" s="77"/>
      <c r="AK4152" s="77"/>
      <c r="AL4152" s="77"/>
      <c r="AM4152" s="77"/>
      <c r="AN4152" s="77"/>
      <c r="AO4152" s="77"/>
      <c r="AP4152" s="77"/>
      <c r="AQ4152" s="77"/>
      <c r="AR4152" s="77"/>
      <c r="AS4152" s="77"/>
      <c r="AT4152" s="77"/>
      <c r="AU4152" s="77"/>
      <c r="AV4152" s="80" t="str">
        <f>HYPERLINK("https://pbs.twimg.com/profile_images/1067039778795937797/PnnLGTU4_normal.jpg")</f>
        <v>https://pbs.twimg.com/profile_images/1067039778795937797/PnnLGTU4_normal.jpg</v>
      </c>
      <c r="AW4152" s="82" t="s">
        <v>15723</v>
      </c>
      <c r="AX4152" s="82" t="s">
        <v>15723</v>
      </c>
      <c r="AY4152" s="77"/>
      <c r="AZ4152" s="82" t="s">
        <v>15984</v>
      </c>
      <c r="BA4152" s="82" t="s">
        <v>15984</v>
      </c>
      <c r="BB4152" s="82" t="s">
        <v>15984</v>
      </c>
      <c r="BC4152" s="82" t="s">
        <v>15723</v>
      </c>
      <c r="BD4152" s="77">
        <v>2578778256</v>
      </c>
      <c r="BE4152" s="77"/>
      <c r="BF4152" s="77"/>
      <c r="BG4152" s="77"/>
      <c r="BH4152" s="77"/>
      <c r="BI4152" s="77"/>
    </row>
    <row r="4153" spans="1:61" x14ac:dyDescent="0.25">
      <c r="A4153" s="62" t="s">
        <v>736</v>
      </c>
      <c r="B4153" s="62" t="s">
        <v>735</v>
      </c>
      <c r="C4153" s="63"/>
      <c r="D4153" s="64"/>
      <c r="E4153" s="65"/>
      <c r="F4153" s="66"/>
      <c r="G4153" s="63"/>
      <c r="H4153" s="67"/>
      <c r="I4153" s="68"/>
      <c r="J4153" s="68"/>
      <c r="K4153" s="32"/>
      <c r="L4153" s="75">
        <v>4153</v>
      </c>
      <c r="M4153" s="75"/>
      <c r="N4153" s="70"/>
      <c r="O4153" s="77" t="s">
        <v>895</v>
      </c>
      <c r="P4153" s="79">
        <v>45138.505995370368</v>
      </c>
      <c r="Q4153" s="77" t="s">
        <v>4795</v>
      </c>
      <c r="R4153" s="77">
        <v>0</v>
      </c>
      <c r="S4153" s="77">
        <v>2</v>
      </c>
      <c r="T4153" s="77">
        <v>0</v>
      </c>
      <c r="U4153" s="77">
        <v>0</v>
      </c>
      <c r="V4153" s="77">
        <v>42</v>
      </c>
      <c r="W4153" s="82" t="s">
        <v>6453</v>
      </c>
      <c r="X4153" s="80" t="str">
        <f>HYPERLINK("https://www.modalmais.com.br/macroeconomia/higher-for-longer-2/")</f>
        <v>https://www.modalmais.com.br/macroeconomia/higher-for-longer-2/</v>
      </c>
      <c r="Y4153" s="77" t="s">
        <v>6470</v>
      </c>
      <c r="Z4153" s="77" t="s">
        <v>735</v>
      </c>
      <c r="AA4153" s="77"/>
      <c r="AB4153" s="77"/>
      <c r="AC4153" s="82" t="s">
        <v>7750</v>
      </c>
      <c r="AD4153" s="77" t="s">
        <v>7788</v>
      </c>
      <c r="AE4153" s="80" t="str">
        <f>HYPERLINK("https://twitter.com/charlesfibonacc/status/1685985819578810368")</f>
        <v>https://twitter.com/charlesfibonacc/status/1685985819578810368</v>
      </c>
      <c r="AF4153" s="79">
        <v>45138.505995370368</v>
      </c>
      <c r="AG4153" s="85">
        <v>45138</v>
      </c>
      <c r="AH4153" s="82" t="s">
        <v>10547</v>
      </c>
      <c r="AI4153" s="77" t="b">
        <v>0</v>
      </c>
      <c r="AJ4153" s="77"/>
      <c r="AK4153" s="77"/>
      <c r="AL4153" s="77"/>
      <c r="AM4153" s="77"/>
      <c r="AN4153" s="77"/>
      <c r="AO4153" s="77"/>
      <c r="AP4153" s="77"/>
      <c r="AQ4153" s="77"/>
      <c r="AR4153" s="77"/>
      <c r="AS4153" s="77"/>
      <c r="AT4153" s="77"/>
      <c r="AU4153" s="77"/>
      <c r="AV4153" s="80" t="str">
        <f>HYPERLINK("https://pbs.twimg.com/profile_images/1539234851198492678/gKZ0CP6m_normal.jpg")</f>
        <v>https://pbs.twimg.com/profile_images/1539234851198492678/gKZ0CP6m_normal.jpg</v>
      </c>
      <c r="AW4153" s="82" t="s">
        <v>15724</v>
      </c>
      <c r="AX4153" s="82" t="s">
        <v>15724</v>
      </c>
      <c r="AY4153" s="77"/>
      <c r="AZ4153" s="82" t="s">
        <v>15984</v>
      </c>
      <c r="BA4153" s="82" t="s">
        <v>15984</v>
      </c>
      <c r="BB4153" s="82" t="s">
        <v>15984</v>
      </c>
      <c r="BC4153" s="82" t="s">
        <v>15724</v>
      </c>
      <c r="BD4153" s="82" t="s">
        <v>16397</v>
      </c>
      <c r="BE4153" s="77"/>
      <c r="BF4153" s="77"/>
      <c r="BG4153" s="77"/>
      <c r="BH4153" s="77"/>
      <c r="BI4153" s="77"/>
    </row>
    <row r="4154" spans="1:61" x14ac:dyDescent="0.25">
      <c r="A4154" s="62" t="s">
        <v>737</v>
      </c>
      <c r="B4154" s="62" t="s">
        <v>737</v>
      </c>
      <c r="C4154" s="63"/>
      <c r="D4154" s="64"/>
      <c r="E4154" s="65"/>
      <c r="F4154" s="66"/>
      <c r="G4154" s="63"/>
      <c r="H4154" s="67"/>
      <c r="I4154" s="68"/>
      <c r="J4154" s="68"/>
      <c r="K4154" s="32"/>
      <c r="L4154" s="75">
        <v>4154</v>
      </c>
      <c r="M4154" s="75"/>
      <c r="N4154" s="70"/>
      <c r="O4154" s="77" t="s">
        <v>179</v>
      </c>
      <c r="P4154" s="79">
        <v>45187.532569444447</v>
      </c>
      <c r="Q4154" s="77" t="s">
        <v>4796</v>
      </c>
      <c r="R4154" s="77">
        <v>0</v>
      </c>
      <c r="S4154" s="77">
        <v>0</v>
      </c>
      <c r="T4154" s="77">
        <v>0</v>
      </c>
      <c r="U4154" s="77">
        <v>0</v>
      </c>
      <c r="V4154" s="77">
        <v>15</v>
      </c>
      <c r="W4154" s="82" t="s">
        <v>4849</v>
      </c>
      <c r="X4154" s="77"/>
      <c r="Y4154" s="77"/>
      <c r="Z4154" s="77"/>
      <c r="AA4154" s="77"/>
      <c r="AB4154" s="77"/>
      <c r="AC4154" s="82" t="s">
        <v>7752</v>
      </c>
      <c r="AD4154" s="77" t="s">
        <v>7788</v>
      </c>
      <c r="AE4154" s="80" t="str">
        <f>HYPERLINK("https://twitter.com/villasboasvi/status/1703752455412953518")</f>
        <v>https://twitter.com/villasboasvi/status/1703752455412953518</v>
      </c>
      <c r="AF4154" s="79">
        <v>45187.532569444447</v>
      </c>
      <c r="AG4154" s="85">
        <v>45187</v>
      </c>
      <c r="AH4154" s="82" t="s">
        <v>10548</v>
      </c>
      <c r="AI4154" s="77"/>
      <c r="AJ4154" s="77"/>
      <c r="AK4154" s="77"/>
      <c r="AL4154" s="77"/>
      <c r="AM4154" s="77"/>
      <c r="AN4154" s="77"/>
      <c r="AO4154" s="77"/>
      <c r="AP4154" s="77"/>
      <c r="AQ4154" s="77"/>
      <c r="AR4154" s="77"/>
      <c r="AS4154" s="77"/>
      <c r="AT4154" s="77"/>
      <c r="AU4154" s="77"/>
      <c r="AV4154" s="80" t="str">
        <f>HYPERLINK("https://pbs.twimg.com/profile_images/1464048965255639040/OKnJYwhP_normal.jpg")</f>
        <v>https://pbs.twimg.com/profile_images/1464048965255639040/OKnJYwhP_normal.jpg</v>
      </c>
      <c r="AW4154" s="82" t="s">
        <v>15725</v>
      </c>
      <c r="AX4154" s="82" t="s">
        <v>15725</v>
      </c>
      <c r="AY4154" s="77"/>
      <c r="AZ4154" s="82" t="s">
        <v>15984</v>
      </c>
      <c r="BA4154" s="82" t="s">
        <v>15984</v>
      </c>
      <c r="BB4154" s="82" t="s">
        <v>15984</v>
      </c>
      <c r="BC4154" s="82" t="s">
        <v>15725</v>
      </c>
      <c r="BD4154" s="77">
        <v>1593689102</v>
      </c>
      <c r="BE4154" s="77"/>
      <c r="BF4154" s="77"/>
      <c r="BG4154" s="77"/>
      <c r="BH4154" s="77"/>
      <c r="BI4154" s="77"/>
    </row>
    <row r="4155" spans="1:61" x14ac:dyDescent="0.25">
      <c r="A4155" s="62" t="s">
        <v>738</v>
      </c>
      <c r="B4155" s="62" t="s">
        <v>738</v>
      </c>
      <c r="C4155" s="63"/>
      <c r="D4155" s="64"/>
      <c r="E4155" s="65"/>
      <c r="F4155" s="66"/>
      <c r="G4155" s="63"/>
      <c r="H4155" s="67"/>
      <c r="I4155" s="68"/>
      <c r="J4155" s="68"/>
      <c r="K4155" s="32"/>
      <c r="L4155" s="75">
        <v>4155</v>
      </c>
      <c r="M4155" s="75"/>
      <c r="N4155" s="70"/>
      <c r="O4155" s="77" t="s">
        <v>179</v>
      </c>
      <c r="P4155" s="79">
        <v>45163.552418981482</v>
      </c>
      <c r="Q4155" s="77" t="s">
        <v>4797</v>
      </c>
      <c r="R4155" s="77">
        <v>0</v>
      </c>
      <c r="S4155" s="77">
        <v>1</v>
      </c>
      <c r="T4155" s="77">
        <v>0</v>
      </c>
      <c r="U4155" s="77">
        <v>0</v>
      </c>
      <c r="V4155" s="77">
        <v>113</v>
      </c>
      <c r="W4155" s="82" t="s">
        <v>6454</v>
      </c>
      <c r="X4155" s="80" t="str">
        <f>HYPERLINK("https://es.investing.com/news/economy/discurso-de-powell-en-jackson-hole-affirm-supera-expectativas-5-claves-en-wall-street-2438214")</f>
        <v>https://es.investing.com/news/economy/discurso-de-powell-en-jackson-hole-affirm-supera-expectativas-5-claves-en-wall-street-2438214</v>
      </c>
      <c r="Y4155" s="77" t="s">
        <v>6564</v>
      </c>
      <c r="Z4155" s="77"/>
      <c r="AA4155" s="77"/>
      <c r="AB4155" s="77"/>
      <c r="AC4155" s="82" t="s">
        <v>7752</v>
      </c>
      <c r="AD4155" s="77" t="s">
        <v>7789</v>
      </c>
      <c r="AE4155" s="80" t="str">
        <f>HYPERLINK("https://twitter.com/gbtcvalencia/status/1695062341589577774")</f>
        <v>https://twitter.com/gbtcvalencia/status/1695062341589577774</v>
      </c>
      <c r="AF4155" s="79">
        <v>45163.552418981482</v>
      </c>
      <c r="AG4155" s="85">
        <v>45163</v>
      </c>
      <c r="AH4155" s="82" t="s">
        <v>10549</v>
      </c>
      <c r="AI4155" s="77" t="b">
        <v>0</v>
      </c>
      <c r="AJ4155" s="77"/>
      <c r="AK4155" s="77"/>
      <c r="AL4155" s="77"/>
      <c r="AM4155" s="77"/>
      <c r="AN4155" s="77"/>
      <c r="AO4155" s="77"/>
      <c r="AP4155" s="77"/>
      <c r="AQ4155" s="77"/>
      <c r="AR4155" s="77"/>
      <c r="AS4155" s="77"/>
      <c r="AT4155" s="77"/>
      <c r="AU4155" s="77"/>
      <c r="AV4155" s="80" t="str">
        <f>HYPERLINK("https://pbs.twimg.com/profile_images/1475510717533114374/z9_sRm9u_normal.jpg")</f>
        <v>https://pbs.twimg.com/profile_images/1475510717533114374/z9_sRm9u_normal.jpg</v>
      </c>
      <c r="AW4155" s="82" t="s">
        <v>15726</v>
      </c>
      <c r="AX4155" s="82" t="s">
        <v>15726</v>
      </c>
      <c r="AY4155" s="77"/>
      <c r="AZ4155" s="82" t="s">
        <v>15984</v>
      </c>
      <c r="BA4155" s="82" t="s">
        <v>15984</v>
      </c>
      <c r="BB4155" s="82" t="s">
        <v>15984</v>
      </c>
      <c r="BC4155" s="82" t="s">
        <v>15726</v>
      </c>
      <c r="BD4155" s="82" t="s">
        <v>16398</v>
      </c>
      <c r="BE4155" s="77"/>
      <c r="BF4155" s="77"/>
      <c r="BG4155" s="77"/>
      <c r="BH4155" s="77"/>
      <c r="BI4155" s="77"/>
    </row>
    <row r="4156" spans="1:61" x14ac:dyDescent="0.25">
      <c r="A4156" s="62" t="s">
        <v>739</v>
      </c>
      <c r="B4156" s="62" t="s">
        <v>739</v>
      </c>
      <c r="C4156" s="63"/>
      <c r="D4156" s="64"/>
      <c r="E4156" s="65"/>
      <c r="F4156" s="66"/>
      <c r="G4156" s="63"/>
      <c r="H4156" s="67"/>
      <c r="I4156" s="68"/>
      <c r="J4156" s="68"/>
      <c r="K4156" s="32"/>
      <c r="L4156" s="75">
        <v>4156</v>
      </c>
      <c r="M4156" s="75"/>
      <c r="N4156" s="70"/>
      <c r="O4156" s="77" t="s">
        <v>179</v>
      </c>
      <c r="P4156" s="79">
        <v>45193.499537037038</v>
      </c>
      <c r="Q4156" s="77" t="s">
        <v>1014</v>
      </c>
      <c r="R4156" s="77">
        <v>0</v>
      </c>
      <c r="S4156" s="77">
        <v>0</v>
      </c>
      <c r="T4156" s="77">
        <v>0</v>
      </c>
      <c r="U4156" s="77">
        <v>0</v>
      </c>
      <c r="V4156" s="77">
        <v>9</v>
      </c>
      <c r="W4156" s="82" t="s">
        <v>4849</v>
      </c>
      <c r="X4156" s="77"/>
      <c r="Y4156" s="77"/>
      <c r="Z4156" s="77"/>
      <c r="AA4156" s="77"/>
      <c r="AB4156" s="77"/>
      <c r="AC4156" s="82" t="s">
        <v>7750</v>
      </c>
      <c r="AD4156" s="77" t="s">
        <v>7789</v>
      </c>
      <c r="AE4156" s="80" t="str">
        <f>HYPERLINK("https://twitter.com/tradermindninja/status/1705914814092984537")</f>
        <v>https://twitter.com/tradermindninja/status/1705914814092984537</v>
      </c>
      <c r="AF4156" s="79">
        <v>45193.499537037038</v>
      </c>
      <c r="AG4156" s="85">
        <v>45193</v>
      </c>
      <c r="AH4156" s="82" t="s">
        <v>10550</v>
      </c>
      <c r="AI4156" s="77"/>
      <c r="AJ4156" s="77"/>
      <c r="AK4156" s="77"/>
      <c r="AL4156" s="77"/>
      <c r="AM4156" s="77"/>
      <c r="AN4156" s="77"/>
      <c r="AO4156" s="77"/>
      <c r="AP4156" s="77"/>
      <c r="AQ4156" s="77"/>
      <c r="AR4156" s="77"/>
      <c r="AS4156" s="77"/>
      <c r="AT4156" s="77"/>
      <c r="AU4156" s="77"/>
      <c r="AV4156" s="80" t="str">
        <f>HYPERLINK("https://pbs.twimg.com/profile_images/1704472443744559104/RlQOZhwh_normal.png")</f>
        <v>https://pbs.twimg.com/profile_images/1704472443744559104/RlQOZhwh_normal.png</v>
      </c>
      <c r="AW4156" s="82" t="s">
        <v>15727</v>
      </c>
      <c r="AX4156" s="82" t="s">
        <v>15727</v>
      </c>
      <c r="AY4156" s="77"/>
      <c r="AZ4156" s="82" t="s">
        <v>15984</v>
      </c>
      <c r="BA4156" s="82" t="s">
        <v>15984</v>
      </c>
      <c r="BB4156" s="82" t="s">
        <v>15984</v>
      </c>
      <c r="BC4156" s="82" t="s">
        <v>15727</v>
      </c>
      <c r="BD4156" s="82" t="s">
        <v>16399</v>
      </c>
      <c r="BE4156" s="77"/>
      <c r="BF4156" s="77"/>
      <c r="BG4156" s="77"/>
      <c r="BH4156" s="77"/>
      <c r="BI4156" s="77"/>
    </row>
    <row r="4157" spans="1:61" x14ac:dyDescent="0.25">
      <c r="A4157" s="62" t="s">
        <v>740</v>
      </c>
      <c r="B4157" s="62" t="s">
        <v>755</v>
      </c>
      <c r="C4157" s="63"/>
      <c r="D4157" s="64"/>
      <c r="E4157" s="65"/>
      <c r="F4157" s="66"/>
      <c r="G4157" s="63"/>
      <c r="H4157" s="67"/>
      <c r="I4157" s="68"/>
      <c r="J4157" s="68"/>
      <c r="K4157" s="32"/>
      <c r="L4157" s="75">
        <v>4157</v>
      </c>
      <c r="M4157" s="75"/>
      <c r="N4157" s="70"/>
      <c r="O4157" s="77" t="s">
        <v>895</v>
      </c>
      <c r="P4157" s="79">
        <v>45176.541006944448</v>
      </c>
      <c r="Q4157" s="77" t="s">
        <v>4798</v>
      </c>
      <c r="R4157" s="77">
        <v>0</v>
      </c>
      <c r="S4157" s="77">
        <v>0</v>
      </c>
      <c r="T4157" s="77">
        <v>0</v>
      </c>
      <c r="U4157" s="77">
        <v>0</v>
      </c>
      <c r="V4157" s="77">
        <v>22</v>
      </c>
      <c r="W4157" s="82" t="s">
        <v>6455</v>
      </c>
      <c r="X4157" s="80" t="str">
        <f>HYPERLINK("https://youtu.be/ax5n1QMOn9o?si=C28LhAEUnjWmvUD6")</f>
        <v>https://youtu.be/ax5n1QMOn9o?si=C28LhAEUnjWmvUD6</v>
      </c>
      <c r="Y4157" s="77" t="s">
        <v>6472</v>
      </c>
      <c r="Z4157" s="77" t="s">
        <v>755</v>
      </c>
      <c r="AA4157" s="77"/>
      <c r="AB4157" s="77"/>
      <c r="AC4157" s="82" t="s">
        <v>7750</v>
      </c>
      <c r="AD4157" s="77" t="s">
        <v>7788</v>
      </c>
      <c r="AE4157" s="80" t="str">
        <f>HYPERLINK("https://twitter.com/eltonplacido/status/1699769249282044086")</f>
        <v>https://twitter.com/eltonplacido/status/1699769249282044086</v>
      </c>
      <c r="AF4157" s="79">
        <v>45176.541006944448</v>
      </c>
      <c r="AG4157" s="85">
        <v>45176</v>
      </c>
      <c r="AH4157" s="82" t="s">
        <v>10551</v>
      </c>
      <c r="AI4157" s="77" t="b">
        <v>0</v>
      </c>
      <c r="AJ4157" s="77"/>
      <c r="AK4157" s="77"/>
      <c r="AL4157" s="77"/>
      <c r="AM4157" s="77"/>
      <c r="AN4157" s="77"/>
      <c r="AO4157" s="77"/>
      <c r="AP4157" s="77"/>
      <c r="AQ4157" s="77"/>
      <c r="AR4157" s="77"/>
      <c r="AS4157" s="77"/>
      <c r="AT4157" s="77"/>
      <c r="AU4157" s="77"/>
      <c r="AV4157" s="80" t="str">
        <f>HYPERLINK("https://pbs.twimg.com/profile_images/1684263204266835972/4bIyfPqs_normal.jpg")</f>
        <v>https://pbs.twimg.com/profile_images/1684263204266835972/4bIyfPqs_normal.jpg</v>
      </c>
      <c r="AW4157" s="82" t="s">
        <v>15728</v>
      </c>
      <c r="AX4157" s="82" t="s">
        <v>15728</v>
      </c>
      <c r="AY4157" s="77"/>
      <c r="AZ4157" s="82" t="s">
        <v>15984</v>
      </c>
      <c r="BA4157" s="82" t="s">
        <v>15984</v>
      </c>
      <c r="BB4157" s="82" t="s">
        <v>15984</v>
      </c>
      <c r="BC4157" s="82" t="s">
        <v>15728</v>
      </c>
      <c r="BD4157" s="77">
        <v>133737073</v>
      </c>
      <c r="BE4157" s="77"/>
      <c r="BF4157" s="77"/>
      <c r="BG4157" s="77"/>
      <c r="BH4157" s="77"/>
      <c r="BI4157" s="77"/>
    </row>
    <row r="4158" spans="1:61" x14ac:dyDescent="0.25">
      <c r="A4158" s="62" t="s">
        <v>740</v>
      </c>
      <c r="B4158" s="62" t="s">
        <v>755</v>
      </c>
      <c r="C4158" s="63"/>
      <c r="D4158" s="64"/>
      <c r="E4158" s="65"/>
      <c r="F4158" s="66"/>
      <c r="G4158" s="63"/>
      <c r="H4158" s="67"/>
      <c r="I4158" s="68"/>
      <c r="J4158" s="68"/>
      <c r="K4158" s="32"/>
      <c r="L4158" s="75">
        <v>4158</v>
      </c>
      <c r="M4158" s="75"/>
      <c r="N4158" s="70"/>
      <c r="O4158" s="77" t="s">
        <v>895</v>
      </c>
      <c r="P4158" s="79">
        <v>45176.062569444446</v>
      </c>
      <c r="Q4158" s="77" t="s">
        <v>4799</v>
      </c>
      <c r="R4158" s="77">
        <v>0</v>
      </c>
      <c r="S4158" s="77">
        <v>0</v>
      </c>
      <c r="T4158" s="77">
        <v>0</v>
      </c>
      <c r="U4158" s="77">
        <v>0</v>
      </c>
      <c r="V4158" s="77">
        <v>16</v>
      </c>
      <c r="W4158" s="82" t="s">
        <v>6456</v>
      </c>
      <c r="X4158" s="80" t="str">
        <f>HYPERLINK("https://youtu.be/A_BI2He-RhU?si=7EU_V1g5bTOY8HSA")</f>
        <v>https://youtu.be/A_BI2He-RhU?si=7EU_V1g5bTOY8HSA</v>
      </c>
      <c r="Y4158" s="77" t="s">
        <v>6472</v>
      </c>
      <c r="Z4158" s="77" t="s">
        <v>755</v>
      </c>
      <c r="AA4158" s="77"/>
      <c r="AB4158" s="77"/>
      <c r="AC4158" s="82" t="s">
        <v>7750</v>
      </c>
      <c r="AD4158" s="77" t="s">
        <v>7788</v>
      </c>
      <c r="AE4158" s="80" t="str">
        <f>HYPERLINK("https://twitter.com/eltonplacido/status/1699595868662301109")</f>
        <v>https://twitter.com/eltonplacido/status/1699595868662301109</v>
      </c>
      <c r="AF4158" s="79">
        <v>45176.062569444446</v>
      </c>
      <c r="AG4158" s="85">
        <v>45176</v>
      </c>
      <c r="AH4158" s="82" t="s">
        <v>10552</v>
      </c>
      <c r="AI4158" s="77" t="b">
        <v>0</v>
      </c>
      <c r="AJ4158" s="77"/>
      <c r="AK4158" s="77"/>
      <c r="AL4158" s="77"/>
      <c r="AM4158" s="77"/>
      <c r="AN4158" s="77"/>
      <c r="AO4158" s="77"/>
      <c r="AP4158" s="77"/>
      <c r="AQ4158" s="77"/>
      <c r="AR4158" s="77"/>
      <c r="AS4158" s="77"/>
      <c r="AT4158" s="77"/>
      <c r="AU4158" s="77"/>
      <c r="AV4158" s="80" t="str">
        <f>HYPERLINK("https://pbs.twimg.com/profile_images/1684263204266835972/4bIyfPqs_normal.jpg")</f>
        <v>https://pbs.twimg.com/profile_images/1684263204266835972/4bIyfPqs_normal.jpg</v>
      </c>
      <c r="AW4158" s="82" t="s">
        <v>15729</v>
      </c>
      <c r="AX4158" s="82" t="s">
        <v>15729</v>
      </c>
      <c r="AY4158" s="77"/>
      <c r="AZ4158" s="82" t="s">
        <v>15984</v>
      </c>
      <c r="BA4158" s="82" t="s">
        <v>15984</v>
      </c>
      <c r="BB4158" s="82" t="s">
        <v>15984</v>
      </c>
      <c r="BC4158" s="82" t="s">
        <v>15729</v>
      </c>
      <c r="BD4158" s="77">
        <v>133737073</v>
      </c>
      <c r="BE4158" s="77"/>
      <c r="BF4158" s="77"/>
      <c r="BG4158" s="77"/>
      <c r="BH4158" s="77"/>
      <c r="BI4158" s="77"/>
    </row>
    <row r="4159" spans="1:61" x14ac:dyDescent="0.25">
      <c r="A4159" s="62" t="s">
        <v>740</v>
      </c>
      <c r="B4159" s="62" t="s">
        <v>755</v>
      </c>
      <c r="C4159" s="63"/>
      <c r="D4159" s="64"/>
      <c r="E4159" s="65"/>
      <c r="F4159" s="66"/>
      <c r="G4159" s="63"/>
      <c r="H4159" s="67"/>
      <c r="I4159" s="68"/>
      <c r="J4159" s="68"/>
      <c r="K4159" s="32"/>
      <c r="L4159" s="75">
        <v>4159</v>
      </c>
      <c r="M4159" s="75"/>
      <c r="N4159" s="70"/>
      <c r="O4159" s="77" t="s">
        <v>895</v>
      </c>
      <c r="P4159" s="79">
        <v>45179.009293981479</v>
      </c>
      <c r="Q4159" s="77" t="s">
        <v>4800</v>
      </c>
      <c r="R4159" s="77">
        <v>0</v>
      </c>
      <c r="S4159" s="77">
        <v>0</v>
      </c>
      <c r="T4159" s="77">
        <v>0</v>
      </c>
      <c r="U4159" s="77">
        <v>0</v>
      </c>
      <c r="V4159" s="77">
        <v>19</v>
      </c>
      <c r="W4159" s="82" t="s">
        <v>6457</v>
      </c>
      <c r="X4159" s="80" t="str">
        <f>HYPERLINK("https://youtu.be/ZaDO5i9Ige8?si=ZdQCTY6qJYqPY5AK")</f>
        <v>https://youtu.be/ZaDO5i9Ige8?si=ZdQCTY6qJYqPY5AK</v>
      </c>
      <c r="Y4159" s="77" t="s">
        <v>6472</v>
      </c>
      <c r="Z4159" s="77" t="s">
        <v>755</v>
      </c>
      <c r="AA4159" s="77"/>
      <c r="AB4159" s="77"/>
      <c r="AC4159" s="82" t="s">
        <v>7750</v>
      </c>
      <c r="AD4159" s="77" t="s">
        <v>7788</v>
      </c>
      <c r="AE4159" s="80" t="str">
        <f>HYPERLINK("https://twitter.com/eltonplacido/status/1700663725802361153")</f>
        <v>https://twitter.com/eltonplacido/status/1700663725802361153</v>
      </c>
      <c r="AF4159" s="79">
        <v>45179.009293981479</v>
      </c>
      <c r="AG4159" s="85">
        <v>45179</v>
      </c>
      <c r="AH4159" s="82" t="s">
        <v>10553</v>
      </c>
      <c r="AI4159" s="77" t="b">
        <v>0</v>
      </c>
      <c r="AJ4159" s="77"/>
      <c r="AK4159" s="77"/>
      <c r="AL4159" s="77"/>
      <c r="AM4159" s="77"/>
      <c r="AN4159" s="77"/>
      <c r="AO4159" s="77"/>
      <c r="AP4159" s="77"/>
      <c r="AQ4159" s="77"/>
      <c r="AR4159" s="77"/>
      <c r="AS4159" s="77"/>
      <c r="AT4159" s="77"/>
      <c r="AU4159" s="77"/>
      <c r="AV4159" s="80" t="str">
        <f>HYPERLINK("https://pbs.twimg.com/profile_images/1684263204266835972/4bIyfPqs_normal.jpg")</f>
        <v>https://pbs.twimg.com/profile_images/1684263204266835972/4bIyfPqs_normal.jpg</v>
      </c>
      <c r="AW4159" s="82" t="s">
        <v>15730</v>
      </c>
      <c r="AX4159" s="82" t="s">
        <v>15730</v>
      </c>
      <c r="AY4159" s="77"/>
      <c r="AZ4159" s="82" t="s">
        <v>15984</v>
      </c>
      <c r="BA4159" s="82" t="s">
        <v>15984</v>
      </c>
      <c r="BB4159" s="82" t="s">
        <v>15984</v>
      </c>
      <c r="BC4159" s="82" t="s">
        <v>15730</v>
      </c>
      <c r="BD4159" s="77">
        <v>133737073</v>
      </c>
      <c r="BE4159" s="77"/>
      <c r="BF4159" s="77"/>
      <c r="BG4159" s="77"/>
      <c r="BH4159" s="77"/>
      <c r="BI4159" s="77"/>
    </row>
    <row r="4160" spans="1:61" x14ac:dyDescent="0.25">
      <c r="A4160" s="62" t="s">
        <v>740</v>
      </c>
      <c r="B4160" s="62" t="s">
        <v>755</v>
      </c>
      <c r="C4160" s="63"/>
      <c r="D4160" s="64"/>
      <c r="E4160" s="65"/>
      <c r="F4160" s="66"/>
      <c r="G4160" s="63"/>
      <c r="H4160" s="67"/>
      <c r="I4160" s="68"/>
      <c r="J4160" s="68"/>
      <c r="K4160" s="32"/>
      <c r="L4160" s="75">
        <v>4160</v>
      </c>
      <c r="M4160" s="75"/>
      <c r="N4160" s="70"/>
      <c r="O4160" s="77" t="s">
        <v>895</v>
      </c>
      <c r="P4160" s="79">
        <v>45180.769259259258</v>
      </c>
      <c r="Q4160" s="77" t="s">
        <v>4801</v>
      </c>
      <c r="R4160" s="77">
        <v>0</v>
      </c>
      <c r="S4160" s="77">
        <v>0</v>
      </c>
      <c r="T4160" s="77">
        <v>0</v>
      </c>
      <c r="U4160" s="77">
        <v>0</v>
      </c>
      <c r="V4160" s="77">
        <v>7</v>
      </c>
      <c r="W4160" s="82" t="s">
        <v>5600</v>
      </c>
      <c r="X4160" s="80" t="str">
        <f>HYPERLINK("https://youtu.be/gWH-XkUfkrQ?si=AmaQRjU7UO3ocj9o")</f>
        <v>https://youtu.be/gWH-XkUfkrQ?si=AmaQRjU7UO3ocj9o</v>
      </c>
      <c r="Y4160" s="77" t="s">
        <v>6472</v>
      </c>
      <c r="Z4160" s="77" t="s">
        <v>755</v>
      </c>
      <c r="AA4160" s="77"/>
      <c r="AB4160" s="77"/>
      <c r="AC4160" s="82" t="s">
        <v>7750</v>
      </c>
      <c r="AD4160" s="77" t="s">
        <v>7788</v>
      </c>
      <c r="AE4160" s="80" t="str">
        <f>HYPERLINK("https://twitter.com/eltonplacido/status/1701301514965234029")</f>
        <v>https://twitter.com/eltonplacido/status/1701301514965234029</v>
      </c>
      <c r="AF4160" s="79">
        <v>45180.769259259258</v>
      </c>
      <c r="AG4160" s="85">
        <v>45180</v>
      </c>
      <c r="AH4160" s="82" t="s">
        <v>10554</v>
      </c>
      <c r="AI4160" s="77" t="b">
        <v>0</v>
      </c>
      <c r="AJ4160" s="77"/>
      <c r="AK4160" s="77"/>
      <c r="AL4160" s="77"/>
      <c r="AM4160" s="77"/>
      <c r="AN4160" s="77"/>
      <c r="AO4160" s="77"/>
      <c r="AP4160" s="77"/>
      <c r="AQ4160" s="77"/>
      <c r="AR4160" s="77"/>
      <c r="AS4160" s="77"/>
      <c r="AT4160" s="77"/>
      <c r="AU4160" s="77"/>
      <c r="AV4160" s="80" t="str">
        <f>HYPERLINK("https://pbs.twimg.com/profile_images/1684263204266835972/4bIyfPqs_normal.jpg")</f>
        <v>https://pbs.twimg.com/profile_images/1684263204266835972/4bIyfPqs_normal.jpg</v>
      </c>
      <c r="AW4160" s="82" t="s">
        <v>15731</v>
      </c>
      <c r="AX4160" s="82" t="s">
        <v>15731</v>
      </c>
      <c r="AY4160" s="77"/>
      <c r="AZ4160" s="82" t="s">
        <v>15984</v>
      </c>
      <c r="BA4160" s="82" t="s">
        <v>15984</v>
      </c>
      <c r="BB4160" s="82" t="s">
        <v>15984</v>
      </c>
      <c r="BC4160" s="82" t="s">
        <v>15731</v>
      </c>
      <c r="BD4160" s="77">
        <v>133737073</v>
      </c>
      <c r="BE4160" s="77"/>
      <c r="BF4160" s="77"/>
      <c r="BG4160" s="77"/>
      <c r="BH4160" s="77"/>
      <c r="BI4160" s="77"/>
    </row>
    <row r="4161" spans="1:61" x14ac:dyDescent="0.25">
      <c r="A4161" s="62" t="s">
        <v>740</v>
      </c>
      <c r="B4161" s="62" t="s">
        <v>755</v>
      </c>
      <c r="C4161" s="63"/>
      <c r="D4161" s="64"/>
      <c r="E4161" s="65"/>
      <c r="F4161" s="66"/>
      <c r="G4161" s="63"/>
      <c r="H4161" s="67"/>
      <c r="I4161" s="68"/>
      <c r="J4161" s="68"/>
      <c r="K4161" s="32"/>
      <c r="L4161" s="75">
        <v>4161</v>
      </c>
      <c r="M4161" s="75"/>
      <c r="N4161" s="70"/>
      <c r="O4161" s="77" t="s">
        <v>895</v>
      </c>
      <c r="P4161" s="79">
        <v>45181.527581018519</v>
      </c>
      <c r="Q4161" s="77" t="s">
        <v>4802</v>
      </c>
      <c r="R4161" s="77">
        <v>0</v>
      </c>
      <c r="S4161" s="77">
        <v>0</v>
      </c>
      <c r="T4161" s="77">
        <v>0</v>
      </c>
      <c r="U4161" s="77">
        <v>0</v>
      </c>
      <c r="V4161" s="77">
        <v>25</v>
      </c>
      <c r="W4161" s="82" t="s">
        <v>6458</v>
      </c>
      <c r="X4161" s="80" t="str">
        <f>HYPERLINK("https://youtu.be/I8b_74HnoQc?si=0U1nqaCJIUubLrV6")</f>
        <v>https://youtu.be/I8b_74HnoQc?si=0U1nqaCJIUubLrV6</v>
      </c>
      <c r="Y4161" s="77" t="s">
        <v>6472</v>
      </c>
      <c r="Z4161" s="77" t="s">
        <v>755</v>
      </c>
      <c r="AA4161" s="77"/>
      <c r="AB4161" s="77"/>
      <c r="AC4161" s="82" t="s">
        <v>7750</v>
      </c>
      <c r="AD4161" s="77" t="s">
        <v>7788</v>
      </c>
      <c r="AE4161" s="80" t="str">
        <f>HYPERLINK("https://twitter.com/eltonplacido/status/1701576322332377597")</f>
        <v>https://twitter.com/eltonplacido/status/1701576322332377597</v>
      </c>
      <c r="AF4161" s="79">
        <v>45181.527581018519</v>
      </c>
      <c r="AG4161" s="85">
        <v>45181</v>
      </c>
      <c r="AH4161" s="82" t="s">
        <v>10555</v>
      </c>
      <c r="AI4161" s="77" t="b">
        <v>0</v>
      </c>
      <c r="AJ4161" s="77"/>
      <c r="AK4161" s="77"/>
      <c r="AL4161" s="77"/>
      <c r="AM4161" s="77"/>
      <c r="AN4161" s="77"/>
      <c r="AO4161" s="77"/>
      <c r="AP4161" s="77"/>
      <c r="AQ4161" s="77"/>
      <c r="AR4161" s="77"/>
      <c r="AS4161" s="77"/>
      <c r="AT4161" s="77"/>
      <c r="AU4161" s="77"/>
      <c r="AV4161" s="80" t="str">
        <f>HYPERLINK("https://pbs.twimg.com/profile_images/1684263204266835972/4bIyfPqs_normal.jpg")</f>
        <v>https://pbs.twimg.com/profile_images/1684263204266835972/4bIyfPqs_normal.jpg</v>
      </c>
      <c r="AW4161" s="82" t="s">
        <v>15732</v>
      </c>
      <c r="AX4161" s="82" t="s">
        <v>15732</v>
      </c>
      <c r="AY4161" s="77"/>
      <c r="AZ4161" s="82" t="s">
        <v>15984</v>
      </c>
      <c r="BA4161" s="82" t="s">
        <v>15984</v>
      </c>
      <c r="BB4161" s="82" t="s">
        <v>15984</v>
      </c>
      <c r="BC4161" s="82" t="s">
        <v>15732</v>
      </c>
      <c r="BD4161" s="77">
        <v>133737073</v>
      </c>
      <c r="BE4161" s="77"/>
      <c r="BF4161" s="77"/>
      <c r="BG4161" s="77"/>
      <c r="BH4161" s="77"/>
      <c r="BI4161" s="77"/>
    </row>
    <row r="4162" spans="1:61" x14ac:dyDescent="0.25">
      <c r="A4162" s="62" t="s">
        <v>740</v>
      </c>
      <c r="B4162" s="62" t="s">
        <v>755</v>
      </c>
      <c r="C4162" s="63"/>
      <c r="D4162" s="64"/>
      <c r="E4162" s="65"/>
      <c r="F4162" s="66"/>
      <c r="G4162" s="63"/>
      <c r="H4162" s="67"/>
      <c r="I4162" s="68"/>
      <c r="J4162" s="68"/>
      <c r="K4162" s="32"/>
      <c r="L4162" s="75">
        <v>4162</v>
      </c>
      <c r="M4162" s="75"/>
      <c r="N4162" s="70"/>
      <c r="O4162" s="77" t="s">
        <v>895</v>
      </c>
      <c r="P4162" s="79">
        <v>45177.544108796297</v>
      </c>
      <c r="Q4162" s="77" t="s">
        <v>4803</v>
      </c>
      <c r="R4162" s="77">
        <v>0</v>
      </c>
      <c r="S4162" s="77">
        <v>0</v>
      </c>
      <c r="T4162" s="77">
        <v>0</v>
      </c>
      <c r="U4162" s="77">
        <v>0</v>
      </c>
      <c r="V4162" s="77">
        <v>9</v>
      </c>
      <c r="W4162" s="82" t="s">
        <v>5600</v>
      </c>
      <c r="X4162" s="80" t="str">
        <f>HYPERLINK("https://youtu.be/_6SjZk5UpUU?si=H1tCzqeTyF6i9fX9")</f>
        <v>https://youtu.be/_6SjZk5UpUU?si=H1tCzqeTyF6i9fX9</v>
      </c>
      <c r="Y4162" s="77" t="s">
        <v>6472</v>
      </c>
      <c r="Z4162" s="77" t="s">
        <v>755</v>
      </c>
      <c r="AA4162" s="77"/>
      <c r="AB4162" s="77"/>
      <c r="AC4162" s="82" t="s">
        <v>7750</v>
      </c>
      <c r="AD4162" s="77" t="s">
        <v>7788</v>
      </c>
      <c r="AE4162" s="80" t="str">
        <f>HYPERLINK("https://twitter.com/eltonplacido/status/1700132760898191747")</f>
        <v>https://twitter.com/eltonplacido/status/1700132760898191747</v>
      </c>
      <c r="AF4162" s="79">
        <v>45177.544108796297</v>
      </c>
      <c r="AG4162" s="85">
        <v>45177</v>
      </c>
      <c r="AH4162" s="82" t="s">
        <v>10450</v>
      </c>
      <c r="AI4162" s="77" t="b">
        <v>0</v>
      </c>
      <c r="AJ4162" s="77"/>
      <c r="AK4162" s="77"/>
      <c r="AL4162" s="77"/>
      <c r="AM4162" s="77"/>
      <c r="AN4162" s="77"/>
      <c r="AO4162" s="77"/>
      <c r="AP4162" s="77"/>
      <c r="AQ4162" s="77"/>
      <c r="AR4162" s="77"/>
      <c r="AS4162" s="77"/>
      <c r="AT4162" s="77"/>
      <c r="AU4162" s="77"/>
      <c r="AV4162" s="80" t="str">
        <f>HYPERLINK("https://pbs.twimg.com/profile_images/1684263204266835972/4bIyfPqs_normal.jpg")</f>
        <v>https://pbs.twimg.com/profile_images/1684263204266835972/4bIyfPqs_normal.jpg</v>
      </c>
      <c r="AW4162" s="82" t="s">
        <v>15733</v>
      </c>
      <c r="AX4162" s="82" t="s">
        <v>15733</v>
      </c>
      <c r="AY4162" s="77"/>
      <c r="AZ4162" s="82" t="s">
        <v>15984</v>
      </c>
      <c r="BA4162" s="82" t="s">
        <v>15984</v>
      </c>
      <c r="BB4162" s="82" t="s">
        <v>15984</v>
      </c>
      <c r="BC4162" s="82" t="s">
        <v>15733</v>
      </c>
      <c r="BD4162" s="77">
        <v>133737073</v>
      </c>
      <c r="BE4162" s="77"/>
      <c r="BF4162" s="77"/>
      <c r="BG4162" s="77"/>
      <c r="BH4162" s="77"/>
      <c r="BI4162" s="77"/>
    </row>
    <row r="4163" spans="1:61" x14ac:dyDescent="0.25">
      <c r="A4163" s="62" t="s">
        <v>740</v>
      </c>
      <c r="B4163" s="62" t="s">
        <v>755</v>
      </c>
      <c r="C4163" s="63"/>
      <c r="D4163" s="64"/>
      <c r="E4163" s="65"/>
      <c r="F4163" s="66"/>
      <c r="G4163" s="63"/>
      <c r="H4163" s="67"/>
      <c r="I4163" s="68"/>
      <c r="J4163" s="68"/>
      <c r="K4163" s="32"/>
      <c r="L4163" s="75">
        <v>4163</v>
      </c>
      <c r="M4163" s="75"/>
      <c r="N4163" s="70"/>
      <c r="O4163" s="77" t="s">
        <v>895</v>
      </c>
      <c r="P4163" s="79">
        <v>45195.528900462959</v>
      </c>
      <c r="Q4163" s="77" t="s">
        <v>4804</v>
      </c>
      <c r="R4163" s="77">
        <v>0</v>
      </c>
      <c r="S4163" s="77">
        <v>0</v>
      </c>
      <c r="T4163" s="77">
        <v>0</v>
      </c>
      <c r="U4163" s="77">
        <v>0</v>
      </c>
      <c r="V4163" s="77">
        <v>34</v>
      </c>
      <c r="W4163" s="82" t="s">
        <v>6459</v>
      </c>
      <c r="X4163" s="80" t="str">
        <f>HYPERLINK("https://youtu.be/-uhvgg0qt8c?si=ErkOMRc0Jlec1sWs")</f>
        <v>https://youtu.be/-uhvgg0qt8c?si=ErkOMRc0Jlec1sWs</v>
      </c>
      <c r="Y4163" s="77" t="s">
        <v>6472</v>
      </c>
      <c r="Z4163" s="77" t="s">
        <v>755</v>
      </c>
      <c r="AA4163" s="77"/>
      <c r="AB4163" s="77"/>
      <c r="AC4163" s="82" t="s">
        <v>7750</v>
      </c>
      <c r="AD4163" s="77" t="s">
        <v>7788</v>
      </c>
      <c r="AE4163" s="80" t="str">
        <f>HYPERLINK("https://twitter.com/eltonplacido/status/1706650230987309365")</f>
        <v>https://twitter.com/eltonplacido/status/1706650230987309365</v>
      </c>
      <c r="AF4163" s="79">
        <v>45195.528900462959</v>
      </c>
      <c r="AG4163" s="85">
        <v>45195</v>
      </c>
      <c r="AH4163" s="82" t="s">
        <v>10556</v>
      </c>
      <c r="AI4163" s="77" t="b">
        <v>0</v>
      </c>
      <c r="AJ4163" s="77"/>
      <c r="AK4163" s="77"/>
      <c r="AL4163" s="77"/>
      <c r="AM4163" s="77"/>
      <c r="AN4163" s="77"/>
      <c r="AO4163" s="77"/>
      <c r="AP4163" s="77"/>
      <c r="AQ4163" s="77"/>
      <c r="AR4163" s="77"/>
      <c r="AS4163" s="77"/>
      <c r="AT4163" s="77"/>
      <c r="AU4163" s="77"/>
      <c r="AV4163" s="80" t="str">
        <f>HYPERLINK("https://pbs.twimg.com/profile_images/1684263204266835972/4bIyfPqs_normal.jpg")</f>
        <v>https://pbs.twimg.com/profile_images/1684263204266835972/4bIyfPqs_normal.jpg</v>
      </c>
      <c r="AW4163" s="82" t="s">
        <v>15734</v>
      </c>
      <c r="AX4163" s="82" t="s">
        <v>15734</v>
      </c>
      <c r="AY4163" s="77"/>
      <c r="AZ4163" s="82" t="s">
        <v>15984</v>
      </c>
      <c r="BA4163" s="82" t="s">
        <v>15984</v>
      </c>
      <c r="BB4163" s="82" t="s">
        <v>15984</v>
      </c>
      <c r="BC4163" s="82" t="s">
        <v>15734</v>
      </c>
      <c r="BD4163" s="77">
        <v>133737073</v>
      </c>
      <c r="BE4163" s="77"/>
      <c r="BF4163" s="77"/>
      <c r="BG4163" s="77"/>
      <c r="BH4163" s="77"/>
      <c r="BI4163" s="77"/>
    </row>
    <row r="4164" spans="1:61" x14ac:dyDescent="0.25">
      <c r="A4164" s="62" t="s">
        <v>740</v>
      </c>
      <c r="B4164" s="62" t="s">
        <v>755</v>
      </c>
      <c r="C4164" s="63"/>
      <c r="D4164" s="64"/>
      <c r="E4164" s="65"/>
      <c r="F4164" s="66"/>
      <c r="G4164" s="63"/>
      <c r="H4164" s="67"/>
      <c r="I4164" s="68"/>
      <c r="J4164" s="68"/>
      <c r="K4164" s="32"/>
      <c r="L4164" s="75">
        <v>4164</v>
      </c>
      <c r="M4164" s="75"/>
      <c r="N4164" s="70"/>
      <c r="O4164" s="77" t="s">
        <v>895</v>
      </c>
      <c r="P4164" s="79">
        <v>45197.526099537034</v>
      </c>
      <c r="Q4164" s="77" t="s">
        <v>4805</v>
      </c>
      <c r="R4164" s="77">
        <v>0</v>
      </c>
      <c r="S4164" s="77">
        <v>0</v>
      </c>
      <c r="T4164" s="77">
        <v>0</v>
      </c>
      <c r="U4164" s="77">
        <v>0</v>
      </c>
      <c r="V4164" s="77">
        <v>7</v>
      </c>
      <c r="W4164" s="82" t="s">
        <v>6460</v>
      </c>
      <c r="X4164" s="80" t="str">
        <f>HYPERLINK("https://youtu.be/6CNfkqTR8ow?si=rCN9Q7oeZCF3zLFQ")</f>
        <v>https://youtu.be/6CNfkqTR8ow?si=rCN9Q7oeZCF3zLFQ</v>
      </c>
      <c r="Y4164" s="77" t="s">
        <v>6472</v>
      </c>
      <c r="Z4164" s="77" t="s">
        <v>755</v>
      </c>
      <c r="AA4164" s="77"/>
      <c r="AB4164" s="77"/>
      <c r="AC4164" s="82" t="s">
        <v>7750</v>
      </c>
      <c r="AD4164" s="77" t="s">
        <v>7788</v>
      </c>
      <c r="AE4164" s="80" t="str">
        <f>HYPERLINK("https://twitter.com/eltonplacido/status/1707373991655043175")</f>
        <v>https://twitter.com/eltonplacido/status/1707373991655043175</v>
      </c>
      <c r="AF4164" s="79">
        <v>45197.526099537034</v>
      </c>
      <c r="AG4164" s="85">
        <v>45197</v>
      </c>
      <c r="AH4164" s="82" t="s">
        <v>10557</v>
      </c>
      <c r="AI4164" s="77" t="b">
        <v>0</v>
      </c>
      <c r="AJ4164" s="77"/>
      <c r="AK4164" s="77"/>
      <c r="AL4164" s="77"/>
      <c r="AM4164" s="77"/>
      <c r="AN4164" s="77"/>
      <c r="AO4164" s="77"/>
      <c r="AP4164" s="77"/>
      <c r="AQ4164" s="77"/>
      <c r="AR4164" s="77"/>
      <c r="AS4164" s="77"/>
      <c r="AT4164" s="77"/>
      <c r="AU4164" s="77"/>
      <c r="AV4164" s="80" t="str">
        <f>HYPERLINK("https://pbs.twimg.com/profile_images/1684263204266835972/4bIyfPqs_normal.jpg")</f>
        <v>https://pbs.twimg.com/profile_images/1684263204266835972/4bIyfPqs_normal.jpg</v>
      </c>
      <c r="AW4164" s="82" t="s">
        <v>15735</v>
      </c>
      <c r="AX4164" s="82" t="s">
        <v>15735</v>
      </c>
      <c r="AY4164" s="77"/>
      <c r="AZ4164" s="82" t="s">
        <v>15984</v>
      </c>
      <c r="BA4164" s="82" t="s">
        <v>15984</v>
      </c>
      <c r="BB4164" s="82" t="s">
        <v>15984</v>
      </c>
      <c r="BC4164" s="82" t="s">
        <v>15735</v>
      </c>
      <c r="BD4164" s="77">
        <v>133737073</v>
      </c>
      <c r="BE4164" s="77"/>
      <c r="BF4164" s="77"/>
      <c r="BG4164" s="77"/>
      <c r="BH4164" s="77"/>
      <c r="BI4164" s="77"/>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4164"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4164" xr:uid="{00000000-0002-0000-0000-000001000000}"/>
    <dataValidation allowBlank="1" showErrorMessage="1" sqref="N2:N4164"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4164"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4164" xr:uid="{00000000-0002-0000-0000-000004000000}"/>
    <dataValidation allowBlank="1" showInputMessage="1" promptTitle="Edge Color" prompt="To select an optional edge color, right-click and select Select Color on the right-click menu." sqref="C3:C4164" xr:uid="{00000000-0002-0000-0000-000005000000}"/>
    <dataValidation allowBlank="1" showInputMessage="1" errorTitle="Invalid Edge Width" error="The optional edge width must be a whole number between 1 and 10." promptTitle="Edge Width" prompt="Enter an optional edge width between 1 and 10." sqref="D3:D4164"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4164"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4164" xr:uid="{00000000-0002-0000-0000-000008000000}">
      <formula1>ValidEdgeVisibilities</formula1>
    </dataValidation>
    <dataValidation allowBlank="1" showInputMessage="1" showErrorMessage="1" promptTitle="Vertex 1 Name" prompt="Enter the name of the edge's first vertex." sqref="A3:A4164" xr:uid="{00000000-0002-0000-0000-000009000000}"/>
    <dataValidation allowBlank="1" showInputMessage="1" showErrorMessage="1" promptTitle="Vertex 2 Name" prompt="Enter the name of the edge's second vertex." sqref="B3:B4164"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4164"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4164"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4164" xr:uid="{00000000-0002-0000-0000-00000D000000}"/>
  </dataValidations>
  <pageMargins left="0.7" right="0.7" top="0.75" bottom="0.75" header="0.3" footer="0.3"/>
  <pageSetup orientation="portrait" verticalDpi="0"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P675"/>
  <sheetViews>
    <sheetView workbookViewId="0">
      <pane xSplit="1" ySplit="2" topLeftCell="B3" activePane="bottomRight" state="frozen"/>
      <selection pane="topRight" activeCell="B1" sqref="B1"/>
      <selection pane="bottomLeft" activeCell="A3" sqref="A3"/>
      <selection pane="bottomRight" activeCell="A3" sqref="A3"/>
    </sheetView>
  </sheetViews>
  <sheetFormatPr defaultRowHeight="15" x14ac:dyDescent="0.25"/>
  <cols>
    <col min="1" max="1" width="9.140625" style="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hidden="1" customWidth="1"/>
    <col min="19" max="19" width="9.28515625" hidden="1" customWidth="1"/>
    <col min="20" max="20" width="9.5703125" hidden="1" customWidth="1"/>
    <col min="21" max="23" width="14.28515625" hidden="1" customWidth="1"/>
    <col min="24" max="24" width="11.85546875" hidden="1" customWidth="1"/>
    <col min="25" max="25" width="14.42578125" hidden="1" customWidth="1"/>
    <col min="26" max="26" width="18.28515625" hidden="1" customWidth="1"/>
    <col min="27" max="27" width="5" hidden="1" customWidth="1"/>
    <col min="28" max="28" width="16" hidden="1" customWidth="1"/>
    <col min="29" max="29" width="16" style="5" bestFit="1" customWidth="1"/>
    <col min="30" max="30" width="8.5703125" style="2" bestFit="1" customWidth="1"/>
    <col min="31" max="31" width="9.5703125" bestFit="1" customWidth="1"/>
    <col min="32" max="32" width="12" bestFit="1" customWidth="1"/>
    <col min="33" max="33" width="11.5703125" bestFit="1" customWidth="1"/>
    <col min="34" max="34" width="9.7109375" bestFit="1" customWidth="1"/>
    <col min="35" max="35" width="9" bestFit="1" customWidth="1"/>
    <col min="36" max="36" width="13" bestFit="1" customWidth="1"/>
    <col min="37" max="37" width="14.5703125" bestFit="1" customWidth="1"/>
    <col min="38" max="38" width="10.5703125" bestFit="1" customWidth="1"/>
    <col min="39" max="39" width="16.5703125" bestFit="1" customWidth="1"/>
    <col min="40" max="40" width="10.7109375" bestFit="1" customWidth="1"/>
    <col min="41" max="41" width="13.42578125" bestFit="1" customWidth="1"/>
    <col min="42" max="42" width="10.85546875" bestFit="1" customWidth="1"/>
    <col min="43" max="43" width="17.140625" bestFit="1" customWidth="1"/>
    <col min="44" max="44" width="14.7109375" bestFit="1" customWidth="1"/>
    <col min="45" max="45" width="15.5703125" bestFit="1" customWidth="1"/>
    <col min="46" max="46" width="23.28515625" bestFit="1" customWidth="1"/>
    <col min="47" max="47" width="21" bestFit="1" customWidth="1"/>
    <col min="48" max="48" width="11.140625" bestFit="1" customWidth="1"/>
    <col min="49" max="49" width="6.5703125" bestFit="1" customWidth="1"/>
    <col min="50" max="50" width="10.5703125" bestFit="1" customWidth="1"/>
    <col min="51" max="51" width="14.140625" bestFit="1" customWidth="1"/>
    <col min="52" max="52" width="12" bestFit="1" customWidth="1"/>
    <col min="53" max="53" width="10" bestFit="1" customWidth="1"/>
    <col min="54" max="54" width="13" bestFit="1" customWidth="1"/>
    <col min="55" max="55" width="10.28515625" bestFit="1" customWidth="1"/>
    <col min="56" max="56" width="16.85546875" bestFit="1" customWidth="1"/>
    <col min="57" max="58" width="14" bestFit="1" customWidth="1"/>
    <col min="59" max="59" width="11.42578125" bestFit="1" customWidth="1"/>
    <col min="60" max="60" width="13.28515625" bestFit="1" customWidth="1"/>
    <col min="61" max="61" width="19.7109375" bestFit="1" customWidth="1"/>
    <col min="62" max="62" width="12.5703125" bestFit="1" customWidth="1"/>
    <col min="63" max="63" width="11.7109375" bestFit="1" customWidth="1"/>
    <col min="64" max="64" width="11.5703125" bestFit="1" customWidth="1"/>
    <col min="65" max="65" width="15.140625" bestFit="1" customWidth="1"/>
    <col min="66" max="67" width="16.140625" bestFit="1" customWidth="1"/>
  </cols>
  <sheetData>
    <row r="1" spans="1:68" x14ac:dyDescent="0.25">
      <c r="B1" s="22" t="s">
        <v>39</v>
      </c>
      <c r="C1" s="15"/>
      <c r="D1" s="15"/>
      <c r="E1" s="15"/>
      <c r="F1" s="15"/>
      <c r="G1" s="15"/>
      <c r="H1" s="24" t="s">
        <v>43</v>
      </c>
      <c r="I1" s="23"/>
      <c r="J1" s="23"/>
      <c r="K1" s="23"/>
      <c r="L1" s="26" t="s">
        <v>44</v>
      </c>
      <c r="M1" s="25"/>
      <c r="N1" s="25"/>
      <c r="O1" s="25"/>
      <c r="P1" s="25"/>
      <c r="Q1" s="25"/>
      <c r="R1" s="21" t="s">
        <v>42</v>
      </c>
      <c r="S1" s="18"/>
      <c r="T1" s="19"/>
      <c r="U1" s="20"/>
      <c r="V1" s="18"/>
      <c r="W1" s="18"/>
      <c r="X1" s="18"/>
      <c r="Y1" s="18"/>
      <c r="Z1" s="18"/>
      <c r="AA1" s="27" t="s">
        <v>40</v>
      </c>
      <c r="AB1" s="17"/>
      <c r="AC1" s="28" t="s">
        <v>41</v>
      </c>
      <c r="AD1"/>
    </row>
    <row r="2" spans="1:68" ht="30" customHeight="1" x14ac:dyDescent="0.25">
      <c r="A2" s="10" t="s">
        <v>5</v>
      </c>
      <c r="B2" s="7" t="s">
        <v>2</v>
      </c>
      <c r="C2" s="7" t="s">
        <v>8</v>
      </c>
      <c r="D2" s="8" t="s">
        <v>45</v>
      </c>
      <c r="E2" s="9" t="s">
        <v>4</v>
      </c>
      <c r="F2" s="7" t="s">
        <v>48</v>
      </c>
      <c r="G2" s="7" t="s">
        <v>11</v>
      </c>
      <c r="H2" s="7" t="s">
        <v>46</v>
      </c>
      <c r="I2" s="7" t="s">
        <v>47</v>
      </c>
      <c r="J2" s="7" t="s">
        <v>77</v>
      </c>
      <c r="K2" s="7" t="s">
        <v>10</v>
      </c>
      <c r="L2" s="7" t="s">
        <v>27</v>
      </c>
      <c r="M2" s="7" t="s">
        <v>15</v>
      </c>
      <c r="N2" s="7" t="s">
        <v>16</v>
      </c>
      <c r="O2" s="7" t="s">
        <v>13</v>
      </c>
      <c r="P2" s="7" t="s">
        <v>28</v>
      </c>
      <c r="Q2" s="7" t="s">
        <v>29</v>
      </c>
      <c r="R2" s="7" t="s">
        <v>31</v>
      </c>
      <c r="S2" s="7" t="s">
        <v>32</v>
      </c>
      <c r="T2" s="7" t="s">
        <v>33</v>
      </c>
      <c r="U2" s="7" t="s">
        <v>34</v>
      </c>
      <c r="V2" s="7" t="s">
        <v>35</v>
      </c>
      <c r="W2" s="7" t="s">
        <v>36</v>
      </c>
      <c r="X2" s="7" t="s">
        <v>137</v>
      </c>
      <c r="Y2" s="7" t="s">
        <v>37</v>
      </c>
      <c r="Z2" s="7" t="s">
        <v>170</v>
      </c>
      <c r="AA2" s="10" t="s">
        <v>12</v>
      </c>
      <c r="AB2" s="10" t="s">
        <v>38</v>
      </c>
      <c r="AC2" s="7" t="s">
        <v>26</v>
      </c>
      <c r="AD2" s="7" t="s">
        <v>16401</v>
      </c>
      <c r="AE2" s="7" t="s">
        <v>16402</v>
      </c>
      <c r="AF2" s="7" t="s">
        <v>16403</v>
      </c>
      <c r="AG2" s="7" t="s">
        <v>16404</v>
      </c>
      <c r="AH2" s="7" t="s">
        <v>16405</v>
      </c>
      <c r="AI2" s="7" t="s">
        <v>16406</v>
      </c>
      <c r="AJ2" s="7" t="s">
        <v>16407</v>
      </c>
      <c r="AK2" s="7" t="s">
        <v>16408</v>
      </c>
      <c r="AL2" s="7" t="s">
        <v>16409</v>
      </c>
      <c r="AM2" s="7" t="s">
        <v>16410</v>
      </c>
      <c r="AN2" s="7" t="s">
        <v>16411</v>
      </c>
      <c r="AO2" s="7" t="s">
        <v>16412</v>
      </c>
      <c r="AP2" s="7" t="s">
        <v>16413</v>
      </c>
      <c r="AQ2" s="7" t="s">
        <v>16414</v>
      </c>
      <c r="AR2" s="7" t="s">
        <v>16415</v>
      </c>
      <c r="AS2" s="7" t="s">
        <v>16416</v>
      </c>
      <c r="AT2" s="7" t="s">
        <v>16417</v>
      </c>
      <c r="AU2" s="7" t="s">
        <v>16418</v>
      </c>
      <c r="AV2" s="7" t="s">
        <v>16419</v>
      </c>
      <c r="AW2" s="7" t="s">
        <v>16420</v>
      </c>
      <c r="AX2" s="7" t="s">
        <v>16421</v>
      </c>
      <c r="AY2" s="7" t="s">
        <v>16422</v>
      </c>
      <c r="AZ2" s="7" t="s">
        <v>16423</v>
      </c>
      <c r="BA2" s="7" t="s">
        <v>16424</v>
      </c>
      <c r="BB2" s="7" t="s">
        <v>16425</v>
      </c>
      <c r="BC2" s="7" t="s">
        <v>16426</v>
      </c>
      <c r="BD2" s="7" t="s">
        <v>16427</v>
      </c>
      <c r="BE2" s="7" t="s">
        <v>16428</v>
      </c>
      <c r="BF2" s="7" t="s">
        <v>16429</v>
      </c>
      <c r="BG2" s="7" t="s">
        <v>197</v>
      </c>
      <c r="BH2" s="7" t="s">
        <v>16430</v>
      </c>
      <c r="BI2" s="7" t="s">
        <v>16431</v>
      </c>
      <c r="BJ2" s="7" t="s">
        <v>16432</v>
      </c>
      <c r="BK2" s="7" t="s">
        <v>16433</v>
      </c>
      <c r="BL2" s="7" t="s">
        <v>16434</v>
      </c>
      <c r="BM2" s="7" t="s">
        <v>16435</v>
      </c>
      <c r="BN2" s="7" t="s">
        <v>16436</v>
      </c>
      <c r="BO2" s="7" t="s">
        <v>16437</v>
      </c>
    </row>
    <row r="3" spans="1:68" ht="15" customHeight="1" x14ac:dyDescent="0.25">
      <c r="A3" s="62" t="s">
        <v>224</v>
      </c>
      <c r="B3" s="63"/>
      <c r="C3" s="63"/>
      <c r="D3" s="64"/>
      <c r="E3" s="66"/>
      <c r="F3" s="102" t="str">
        <f>HYPERLINK("https://pbs.twimg.com/profile_images/1594757327395110927/8lETs7UB_normal.jpg")</f>
        <v>https://pbs.twimg.com/profile_images/1594757327395110927/8lETs7UB_normal.jpg</v>
      </c>
      <c r="G3" s="63"/>
      <c r="H3" s="67"/>
      <c r="I3" s="68"/>
      <c r="J3" s="68"/>
      <c r="K3" s="67" t="s">
        <v>19379</v>
      </c>
      <c r="L3" s="71"/>
      <c r="M3" s="72"/>
      <c r="N3" s="72"/>
      <c r="O3" s="73"/>
      <c r="P3" s="74"/>
      <c r="Q3" s="74"/>
      <c r="R3" s="46"/>
      <c r="S3" s="46"/>
      <c r="T3" s="46"/>
      <c r="U3" s="46"/>
      <c r="V3" s="47"/>
      <c r="W3" s="47"/>
      <c r="X3" s="48"/>
      <c r="Y3" s="47"/>
      <c r="Z3" s="47"/>
      <c r="AA3" s="69">
        <v>3</v>
      </c>
      <c r="AB3" s="69"/>
      <c r="AC3" s="70"/>
      <c r="AD3" s="76" t="s">
        <v>17100</v>
      </c>
      <c r="AE3" s="81" t="s">
        <v>16098</v>
      </c>
      <c r="AF3" s="76">
        <v>10477</v>
      </c>
      <c r="AG3" s="76">
        <v>26</v>
      </c>
      <c r="AH3" s="76">
        <v>7468</v>
      </c>
      <c r="AI3" s="76">
        <v>80</v>
      </c>
      <c r="AJ3" s="76">
        <v>1270</v>
      </c>
      <c r="AK3" s="76">
        <v>1489</v>
      </c>
      <c r="AL3" s="76" t="b">
        <v>0</v>
      </c>
      <c r="AM3" s="78">
        <v>42657.847071759257</v>
      </c>
      <c r="AN3" s="76" t="s">
        <v>10586</v>
      </c>
      <c r="AO3" s="76" t="s">
        <v>18249</v>
      </c>
      <c r="AP3" s="83" t="str">
        <f>HYPERLINK("https://t.co/8Rd0ODLzLt")</f>
        <v>https://t.co/8Rd0ODLzLt</v>
      </c>
      <c r="AQ3" s="83" t="str">
        <f>HYPERLINK("https://gorila.com.br/")</f>
        <v>https://gorila.com.br/</v>
      </c>
      <c r="AR3" s="76" t="s">
        <v>18629</v>
      </c>
      <c r="AS3" s="76"/>
      <c r="AT3" s="76"/>
      <c r="AU3" s="76"/>
      <c r="AV3" s="76">
        <v>1.6002357025784699E+18</v>
      </c>
      <c r="AW3" s="83" t="str">
        <f>HYPERLINK("https://t.co/8Rd0ODLzLt")</f>
        <v>https://t.co/8Rd0ODLzLt</v>
      </c>
      <c r="AX3" s="76" t="b">
        <v>1</v>
      </c>
      <c r="AY3" s="76"/>
      <c r="AZ3" s="76"/>
      <c r="BA3" s="76" t="b">
        <v>1</v>
      </c>
      <c r="BB3" s="76" t="b">
        <v>1</v>
      </c>
      <c r="BC3" s="76" t="b">
        <v>0</v>
      </c>
      <c r="BD3" s="76" t="b">
        <v>0</v>
      </c>
      <c r="BE3" s="76" t="b">
        <v>1</v>
      </c>
      <c r="BF3" s="76" t="b">
        <v>0</v>
      </c>
      <c r="BG3" s="76" t="b">
        <v>0</v>
      </c>
      <c r="BH3" s="83" t="str">
        <f>HYPERLINK("https://pbs.twimg.com/profile_banners/787025129729646592/1682373413")</f>
        <v>https://pbs.twimg.com/profile_banners/787025129729646592/1682373413</v>
      </c>
      <c r="BI3" s="76"/>
      <c r="BJ3" s="76" t="s">
        <v>18704</v>
      </c>
      <c r="BK3" s="76" t="b">
        <v>0</v>
      </c>
      <c r="BL3" s="76"/>
      <c r="BM3" s="76" t="s">
        <v>66</v>
      </c>
      <c r="BN3" s="76" t="s">
        <v>18706</v>
      </c>
      <c r="BO3" s="83" t="str">
        <f>HYPERLINK("https://twitter.com/gorilainvest")</f>
        <v>https://twitter.com/gorilainvest</v>
      </c>
    </row>
    <row r="4" spans="1:68" x14ac:dyDescent="0.25">
      <c r="A4" s="62" t="s">
        <v>741</v>
      </c>
      <c r="B4" s="63"/>
      <c r="C4" s="63"/>
      <c r="D4" s="64"/>
      <c r="E4" s="66"/>
      <c r="F4" s="102" t="str">
        <f>HYPERLINK("https://pbs.twimg.com/profile_images/1117743023675379712/5xMWA9-j_normal.png")</f>
        <v>https://pbs.twimg.com/profile_images/1117743023675379712/5xMWA9-j_normal.png</v>
      </c>
      <c r="G4" s="63"/>
      <c r="H4" s="67"/>
      <c r="I4" s="68"/>
      <c r="J4" s="68"/>
      <c r="K4" s="67" t="s">
        <v>18707</v>
      </c>
      <c r="L4" s="71"/>
      <c r="M4" s="72"/>
      <c r="N4" s="72"/>
      <c r="O4" s="73"/>
      <c r="P4" s="74"/>
      <c r="Q4" s="74"/>
      <c r="R4" s="86"/>
      <c r="S4" s="86"/>
      <c r="T4" s="86"/>
      <c r="U4" s="86"/>
      <c r="V4" s="48"/>
      <c r="W4" s="48"/>
      <c r="X4" s="48"/>
      <c r="Y4" s="48"/>
      <c r="Z4" s="47"/>
      <c r="AA4" s="69">
        <v>4</v>
      </c>
      <c r="AB4" s="69"/>
      <c r="AC4" s="70"/>
      <c r="AD4" s="76" t="s">
        <v>16438</v>
      </c>
      <c r="AE4" s="81" t="s">
        <v>17101</v>
      </c>
      <c r="AF4" s="76">
        <v>71599</v>
      </c>
      <c r="AG4" s="76">
        <v>111</v>
      </c>
      <c r="AH4" s="76">
        <v>77258</v>
      </c>
      <c r="AI4" s="76">
        <v>808</v>
      </c>
      <c r="AJ4" s="76">
        <v>447</v>
      </c>
      <c r="AK4" s="76">
        <v>892</v>
      </c>
      <c r="AL4" s="76" t="b">
        <v>0</v>
      </c>
      <c r="AM4" s="78">
        <v>43558.838819444441</v>
      </c>
      <c r="AN4" s="76" t="s">
        <v>10586</v>
      </c>
      <c r="AO4" s="76" t="s">
        <v>17650</v>
      </c>
      <c r="AP4" s="83" t="str">
        <f>HYPERLINK("https://t.co/XBjwNC600O")</f>
        <v>https://t.co/XBjwNC600O</v>
      </c>
      <c r="AQ4" s="83" t="str">
        <f>HYPERLINK("https://bit.ly/3deLmRM")</f>
        <v>https://bit.ly/3deLmRM</v>
      </c>
      <c r="AR4" s="76" t="s">
        <v>18250</v>
      </c>
      <c r="AS4" s="76"/>
      <c r="AT4" s="76"/>
      <c r="AU4" s="76"/>
      <c r="AV4" s="76">
        <v>1.7020304951423401E+18</v>
      </c>
      <c r="AW4" s="83" t="str">
        <f>HYPERLINK("https://t.co/XBjwNC600O")</f>
        <v>https://t.co/XBjwNC600O</v>
      </c>
      <c r="AX4" s="76" t="b">
        <v>0</v>
      </c>
      <c r="AY4" s="76"/>
      <c r="AZ4" s="76"/>
      <c r="BA4" s="76" t="b">
        <v>0</v>
      </c>
      <c r="BB4" s="76" t="b">
        <v>1</v>
      </c>
      <c r="BC4" s="76" t="b">
        <v>1</v>
      </c>
      <c r="BD4" s="76" t="b">
        <v>0</v>
      </c>
      <c r="BE4" s="76" t="b">
        <v>0</v>
      </c>
      <c r="BF4" s="76" t="b">
        <v>0</v>
      </c>
      <c r="BG4" s="76" t="b">
        <v>0</v>
      </c>
      <c r="BH4" s="83" t="str">
        <f>HYPERLINK("https://pbs.twimg.com/profile_banners/1113533606247436289/1556547334")</f>
        <v>https://pbs.twimg.com/profile_banners/1113533606247436289/1556547334</v>
      </c>
      <c r="BI4" s="76"/>
      <c r="BJ4" s="76" t="s">
        <v>18704</v>
      </c>
      <c r="BK4" s="76" t="b">
        <v>0</v>
      </c>
      <c r="BL4" s="76"/>
      <c r="BM4" s="76" t="s">
        <v>65</v>
      </c>
      <c r="BN4" s="76" t="s">
        <v>18706</v>
      </c>
      <c r="BO4" s="83" t="str">
        <f>HYPERLINK("https://twitter.com/valorinveste")</f>
        <v>https://twitter.com/valorinveste</v>
      </c>
      <c r="BP4" s="2"/>
    </row>
    <row r="5" spans="1:68" x14ac:dyDescent="0.25">
      <c r="A5" s="62" t="s">
        <v>225</v>
      </c>
      <c r="B5" s="63"/>
      <c r="C5" s="63"/>
      <c r="D5" s="64"/>
      <c r="E5" s="66"/>
      <c r="F5" s="102" t="str">
        <f>HYPERLINK("https://pbs.twimg.com/profile_images/1667326263093067777/r3PmTWr2_normal.jpg")</f>
        <v>https://pbs.twimg.com/profile_images/1667326263093067777/r3PmTWr2_normal.jpg</v>
      </c>
      <c r="G5" s="63"/>
      <c r="H5" s="67"/>
      <c r="I5" s="68"/>
      <c r="J5" s="68"/>
      <c r="K5" s="67" t="s">
        <v>18708</v>
      </c>
      <c r="L5" s="71"/>
      <c r="M5" s="72"/>
      <c r="N5" s="72"/>
      <c r="O5" s="73"/>
      <c r="P5" s="74"/>
      <c r="Q5" s="74"/>
      <c r="R5" s="86"/>
      <c r="S5" s="86"/>
      <c r="T5" s="86"/>
      <c r="U5" s="86"/>
      <c r="V5" s="48"/>
      <c r="W5" s="48"/>
      <c r="X5" s="48"/>
      <c r="Y5" s="48"/>
      <c r="Z5" s="47"/>
      <c r="AA5" s="69">
        <v>5</v>
      </c>
      <c r="AB5" s="69"/>
      <c r="AC5" s="70"/>
      <c r="AD5" s="76" t="s">
        <v>16439</v>
      </c>
      <c r="AE5" s="81" t="s">
        <v>16099</v>
      </c>
      <c r="AF5" s="76">
        <v>0</v>
      </c>
      <c r="AG5" s="76">
        <v>39</v>
      </c>
      <c r="AH5" s="76">
        <v>105</v>
      </c>
      <c r="AI5" s="76">
        <v>0</v>
      </c>
      <c r="AJ5" s="76">
        <v>0</v>
      </c>
      <c r="AK5" s="76">
        <v>53</v>
      </c>
      <c r="AL5" s="76" t="b">
        <v>0</v>
      </c>
      <c r="AM5" s="78">
        <v>44571.453287037039</v>
      </c>
      <c r="AN5" s="76" t="s">
        <v>17400</v>
      </c>
      <c r="AO5" s="76" t="s">
        <v>17651</v>
      </c>
      <c r="AP5" s="76"/>
      <c r="AQ5" s="76"/>
      <c r="AR5" s="76"/>
      <c r="AS5" s="76"/>
      <c r="AT5" s="76"/>
      <c r="AU5" s="76"/>
      <c r="AV5" s="76"/>
      <c r="AW5" s="76"/>
      <c r="AX5" s="76" t="b">
        <v>0</v>
      </c>
      <c r="AY5" s="76"/>
      <c r="AZ5" s="76"/>
      <c r="BA5" s="76" t="b">
        <v>0</v>
      </c>
      <c r="BB5" s="76" t="b">
        <v>1</v>
      </c>
      <c r="BC5" s="76" t="b">
        <v>1</v>
      </c>
      <c r="BD5" s="76" t="b">
        <v>0</v>
      </c>
      <c r="BE5" s="76" t="b">
        <v>0</v>
      </c>
      <c r="BF5" s="76" t="b">
        <v>0</v>
      </c>
      <c r="BG5" s="76" t="b">
        <v>0</v>
      </c>
      <c r="BH5" s="83" t="str">
        <f>HYPERLINK("https://pbs.twimg.com/profile_banners/1480492619541139457/1686356532")</f>
        <v>https://pbs.twimg.com/profile_banners/1480492619541139457/1686356532</v>
      </c>
      <c r="BI5" s="76"/>
      <c r="BJ5" s="76" t="s">
        <v>18704</v>
      </c>
      <c r="BK5" s="76" t="b">
        <v>0</v>
      </c>
      <c r="BL5" s="76"/>
      <c r="BM5" s="76" t="s">
        <v>66</v>
      </c>
      <c r="BN5" s="76" t="s">
        <v>18706</v>
      </c>
      <c r="BO5" s="83" t="str">
        <f>HYPERLINK("https://twitter.com/iberezanski")</f>
        <v>https://twitter.com/iberezanski</v>
      </c>
      <c r="BP5" s="2"/>
    </row>
    <row r="6" spans="1:68" x14ac:dyDescent="0.25">
      <c r="A6" s="62" t="s">
        <v>226</v>
      </c>
      <c r="B6" s="63"/>
      <c r="C6" s="63"/>
      <c r="D6" s="64"/>
      <c r="E6" s="66"/>
      <c r="F6" s="102" t="str">
        <f>HYPERLINK("https://pbs.twimg.com/profile_images/1682039671407398913/wN6YU-tx_normal.jpg")</f>
        <v>https://pbs.twimg.com/profile_images/1682039671407398913/wN6YU-tx_normal.jpg</v>
      </c>
      <c r="G6" s="63"/>
      <c r="H6" s="67"/>
      <c r="I6" s="68"/>
      <c r="J6" s="68"/>
      <c r="K6" s="67" t="s">
        <v>18709</v>
      </c>
      <c r="L6" s="71"/>
      <c r="M6" s="72"/>
      <c r="N6" s="72"/>
      <c r="O6" s="73"/>
      <c r="P6" s="74"/>
      <c r="Q6" s="74"/>
      <c r="R6" s="86"/>
      <c r="S6" s="86"/>
      <c r="T6" s="86"/>
      <c r="U6" s="86"/>
      <c r="V6" s="48"/>
      <c r="W6" s="48"/>
      <c r="X6" s="48"/>
      <c r="Y6" s="48"/>
      <c r="Z6" s="47"/>
      <c r="AA6" s="69">
        <v>6</v>
      </c>
      <c r="AB6" s="69"/>
      <c r="AC6" s="70"/>
      <c r="AD6" s="76" t="s">
        <v>16440</v>
      </c>
      <c r="AE6" s="81" t="s">
        <v>16100</v>
      </c>
      <c r="AF6" s="76">
        <v>6</v>
      </c>
      <c r="AG6" s="76">
        <v>41</v>
      </c>
      <c r="AH6" s="76">
        <v>30</v>
      </c>
      <c r="AI6" s="76">
        <v>0</v>
      </c>
      <c r="AJ6" s="76">
        <v>70</v>
      </c>
      <c r="AK6" s="76">
        <v>7</v>
      </c>
      <c r="AL6" s="76" t="b">
        <v>0</v>
      </c>
      <c r="AM6" s="78">
        <v>44860.692453703705</v>
      </c>
      <c r="AN6" s="76"/>
      <c r="AO6" s="76" t="s">
        <v>17652</v>
      </c>
      <c r="AP6" s="76"/>
      <c r="AQ6" s="76"/>
      <c r="AR6" s="76"/>
      <c r="AS6" s="76"/>
      <c r="AT6" s="76"/>
      <c r="AU6" s="76"/>
      <c r="AV6" s="76"/>
      <c r="AW6" s="76"/>
      <c r="AX6" s="76" t="b">
        <v>0</v>
      </c>
      <c r="AY6" s="76"/>
      <c r="AZ6" s="76"/>
      <c r="BA6" s="76" t="b">
        <v>0</v>
      </c>
      <c r="BB6" s="76" t="b">
        <v>1</v>
      </c>
      <c r="BC6" s="76" t="b">
        <v>1</v>
      </c>
      <c r="BD6" s="76" t="b">
        <v>0</v>
      </c>
      <c r="BE6" s="76" t="b">
        <v>0</v>
      </c>
      <c r="BF6" s="76" t="b">
        <v>0</v>
      </c>
      <c r="BG6" s="76" t="b">
        <v>0</v>
      </c>
      <c r="BH6" s="76"/>
      <c r="BI6" s="76"/>
      <c r="BJ6" s="76" t="s">
        <v>18704</v>
      </c>
      <c r="BK6" s="76" t="b">
        <v>0</v>
      </c>
      <c r="BL6" s="76"/>
      <c r="BM6" s="76" t="s">
        <v>66</v>
      </c>
      <c r="BN6" s="76" t="s">
        <v>18706</v>
      </c>
      <c r="BO6" s="83" t="str">
        <f>HYPERLINK("https://twitter.com/guigrochanke")</f>
        <v>https://twitter.com/guigrochanke</v>
      </c>
      <c r="BP6" s="2"/>
    </row>
    <row r="7" spans="1:68" x14ac:dyDescent="0.25">
      <c r="A7" s="62" t="s">
        <v>601</v>
      </c>
      <c r="B7" s="63"/>
      <c r="C7" s="63"/>
      <c r="D7" s="64"/>
      <c r="E7" s="66"/>
      <c r="F7" s="102" t="str">
        <f>HYPERLINK("https://pbs.twimg.com/profile_images/1506282868904972310/Kw8j1A2Q_normal.jpg")</f>
        <v>https://pbs.twimg.com/profile_images/1506282868904972310/Kw8j1A2Q_normal.jpg</v>
      </c>
      <c r="G7" s="63"/>
      <c r="H7" s="67"/>
      <c r="I7" s="68"/>
      <c r="J7" s="68"/>
      <c r="K7" s="67" t="s">
        <v>18710</v>
      </c>
      <c r="L7" s="71"/>
      <c r="M7" s="72"/>
      <c r="N7" s="72"/>
      <c r="O7" s="73"/>
      <c r="P7" s="74"/>
      <c r="Q7" s="74"/>
      <c r="R7" s="86"/>
      <c r="S7" s="86"/>
      <c r="T7" s="86"/>
      <c r="U7" s="86"/>
      <c r="V7" s="48"/>
      <c r="W7" s="48"/>
      <c r="X7" s="48"/>
      <c r="Y7" s="48"/>
      <c r="Z7" s="47"/>
      <c r="AA7" s="69">
        <v>7</v>
      </c>
      <c r="AB7" s="69"/>
      <c r="AC7" s="70"/>
      <c r="AD7" s="76" t="s">
        <v>16441</v>
      </c>
      <c r="AE7" s="81" t="s">
        <v>16321</v>
      </c>
      <c r="AF7" s="76">
        <v>233143</v>
      </c>
      <c r="AG7" s="76">
        <v>527</v>
      </c>
      <c r="AH7" s="76">
        <v>33411</v>
      </c>
      <c r="AI7" s="76">
        <v>1235</v>
      </c>
      <c r="AJ7" s="76">
        <v>57690</v>
      </c>
      <c r="AK7" s="76">
        <v>6757</v>
      </c>
      <c r="AL7" s="76" t="b">
        <v>0</v>
      </c>
      <c r="AM7" s="78">
        <v>43504.742476851854</v>
      </c>
      <c r="AN7" s="76"/>
      <c r="AO7" s="76" t="s">
        <v>17653</v>
      </c>
      <c r="AP7" s="83" t="str">
        <f>HYPERLINK("https://t.co/GyGOuTiPqP")</f>
        <v>https://t.co/GyGOuTiPqP</v>
      </c>
      <c r="AQ7" s="83" t="str">
        <f>HYPERLINK("https://thetwitterinvestor.com.br/")</f>
        <v>https://thetwitterinvestor.com.br/</v>
      </c>
      <c r="AR7" s="76" t="s">
        <v>18251</v>
      </c>
      <c r="AS7" s="76"/>
      <c r="AT7" s="76"/>
      <c r="AU7" s="76"/>
      <c r="AV7" s="76">
        <v>1.61641177952497E+18</v>
      </c>
      <c r="AW7" s="83" t="str">
        <f>HYPERLINK("https://t.co/GyGOuTiPqP")</f>
        <v>https://t.co/GyGOuTiPqP</v>
      </c>
      <c r="AX7" s="76" t="b">
        <v>1</v>
      </c>
      <c r="AY7" s="76"/>
      <c r="AZ7" s="76"/>
      <c r="BA7" s="76" t="b">
        <v>1</v>
      </c>
      <c r="BB7" s="76" t="b">
        <v>1</v>
      </c>
      <c r="BC7" s="76" t="b">
        <v>0</v>
      </c>
      <c r="BD7" s="76" t="b">
        <v>0</v>
      </c>
      <c r="BE7" s="76" t="b">
        <v>1</v>
      </c>
      <c r="BF7" s="76" t="b">
        <v>0</v>
      </c>
      <c r="BG7" s="76" t="b">
        <v>0</v>
      </c>
      <c r="BH7" s="83" t="str">
        <f>HYPERLINK("https://pbs.twimg.com/profile_banners/1093929745669152768/1647878349")</f>
        <v>https://pbs.twimg.com/profile_banners/1093929745669152768/1647878349</v>
      </c>
      <c r="BI7" s="76"/>
      <c r="BJ7" s="76" t="s">
        <v>18704</v>
      </c>
      <c r="BK7" s="76" t="b">
        <v>0</v>
      </c>
      <c r="BL7" s="76"/>
      <c r="BM7" s="76" t="s">
        <v>66</v>
      </c>
      <c r="BN7" s="76" t="s">
        <v>18706</v>
      </c>
      <c r="BO7" s="83" t="str">
        <f>HYPERLINK("https://twitter.com/leiatheinvestor")</f>
        <v>https://twitter.com/leiatheinvestor</v>
      </c>
      <c r="BP7" s="2"/>
    </row>
    <row r="8" spans="1:68" x14ac:dyDescent="0.25">
      <c r="A8" s="62" t="s">
        <v>227</v>
      </c>
      <c r="B8" s="63"/>
      <c r="C8" s="63"/>
      <c r="D8" s="64"/>
      <c r="E8" s="66"/>
      <c r="F8" s="102" t="str">
        <f>HYPERLINK("https://pbs.twimg.com/profile_images/1699843870110920704/galmcRb1_normal.jpg")</f>
        <v>https://pbs.twimg.com/profile_images/1699843870110920704/galmcRb1_normal.jpg</v>
      </c>
      <c r="G8" s="63"/>
      <c r="H8" s="67"/>
      <c r="I8" s="68"/>
      <c r="J8" s="68"/>
      <c r="K8" s="67" t="s">
        <v>18711</v>
      </c>
      <c r="L8" s="71"/>
      <c r="M8" s="72"/>
      <c r="N8" s="72"/>
      <c r="O8" s="73"/>
      <c r="P8" s="74"/>
      <c r="Q8" s="74"/>
      <c r="R8" s="86"/>
      <c r="S8" s="86"/>
      <c r="T8" s="86"/>
      <c r="U8" s="86"/>
      <c r="V8" s="48"/>
      <c r="W8" s="48"/>
      <c r="X8" s="48"/>
      <c r="Y8" s="48"/>
      <c r="Z8" s="47"/>
      <c r="AA8" s="69">
        <v>8</v>
      </c>
      <c r="AB8" s="69"/>
      <c r="AC8" s="70"/>
      <c r="AD8" s="76" t="s">
        <v>16442</v>
      </c>
      <c r="AE8" s="81" t="s">
        <v>16101</v>
      </c>
      <c r="AF8" s="76">
        <v>167</v>
      </c>
      <c r="AG8" s="76">
        <v>288</v>
      </c>
      <c r="AH8" s="76">
        <v>22</v>
      </c>
      <c r="AI8" s="76">
        <v>3</v>
      </c>
      <c r="AJ8" s="76">
        <v>3424</v>
      </c>
      <c r="AK8" s="76">
        <v>0</v>
      </c>
      <c r="AL8" s="76" t="b">
        <v>0</v>
      </c>
      <c r="AM8" s="78">
        <v>44989.913819444446</v>
      </c>
      <c r="AN8" s="76"/>
      <c r="AO8" s="76" t="s">
        <v>17654</v>
      </c>
      <c r="AP8" s="76"/>
      <c r="AQ8" s="76"/>
      <c r="AR8" s="76"/>
      <c r="AS8" s="76"/>
      <c r="AT8" s="76"/>
      <c r="AU8" s="76"/>
      <c r="AV8" s="76"/>
      <c r="AW8" s="76"/>
      <c r="AX8" s="76" t="b">
        <v>0</v>
      </c>
      <c r="AY8" s="76"/>
      <c r="AZ8" s="76"/>
      <c r="BA8" s="76" t="b">
        <v>1</v>
      </c>
      <c r="BB8" s="76" t="b">
        <v>1</v>
      </c>
      <c r="BC8" s="76" t="b">
        <v>1</v>
      </c>
      <c r="BD8" s="76" t="b">
        <v>0</v>
      </c>
      <c r="BE8" s="76" t="b">
        <v>0</v>
      </c>
      <c r="BF8" s="76" t="b">
        <v>0</v>
      </c>
      <c r="BG8" s="76" t="b">
        <v>1</v>
      </c>
      <c r="BH8" s="83" t="str">
        <f>HYPERLINK("https://pbs.twimg.com/profile_banners/1632137726865833984/1694109336")</f>
        <v>https://pbs.twimg.com/profile_banners/1632137726865833984/1694109336</v>
      </c>
      <c r="BI8" s="76"/>
      <c r="BJ8" s="76" t="s">
        <v>18704</v>
      </c>
      <c r="BK8" s="76" t="b">
        <v>0</v>
      </c>
      <c r="BL8" s="76"/>
      <c r="BM8" s="76" t="s">
        <v>66</v>
      </c>
      <c r="BN8" s="76" t="s">
        <v>18706</v>
      </c>
      <c r="BO8" s="83" t="str">
        <f>HYPERLINK("https://twitter.com/wallstsuccess22")</f>
        <v>https://twitter.com/wallstsuccess22</v>
      </c>
      <c r="BP8" s="2"/>
    </row>
    <row r="9" spans="1:68" x14ac:dyDescent="0.25">
      <c r="A9" s="62" t="s">
        <v>228</v>
      </c>
      <c r="B9" s="63"/>
      <c r="C9" s="63"/>
      <c r="D9" s="64"/>
      <c r="E9" s="66"/>
      <c r="F9" s="102" t="str">
        <f>HYPERLINK("https://pbs.twimg.com/profile_images/1184825992810024960/BeoJylTY_normal.jpg")</f>
        <v>https://pbs.twimg.com/profile_images/1184825992810024960/BeoJylTY_normal.jpg</v>
      </c>
      <c r="G9" s="63"/>
      <c r="H9" s="67"/>
      <c r="I9" s="68"/>
      <c r="J9" s="68"/>
      <c r="K9" s="67" t="s">
        <v>18712</v>
      </c>
      <c r="L9" s="71"/>
      <c r="M9" s="72"/>
      <c r="N9" s="72"/>
      <c r="O9" s="73"/>
      <c r="P9" s="74"/>
      <c r="Q9" s="74"/>
      <c r="R9" s="86"/>
      <c r="S9" s="86"/>
      <c r="T9" s="86"/>
      <c r="U9" s="86"/>
      <c r="V9" s="48"/>
      <c r="W9" s="48"/>
      <c r="X9" s="48"/>
      <c r="Y9" s="48"/>
      <c r="Z9" s="47"/>
      <c r="AA9" s="69">
        <v>9</v>
      </c>
      <c r="AB9" s="69"/>
      <c r="AC9" s="70"/>
      <c r="AD9" s="76" t="s">
        <v>16443</v>
      </c>
      <c r="AE9" s="81" t="s">
        <v>17102</v>
      </c>
      <c r="AF9" s="76">
        <v>1257</v>
      </c>
      <c r="AG9" s="76">
        <v>156</v>
      </c>
      <c r="AH9" s="76">
        <v>13571</v>
      </c>
      <c r="AI9" s="76">
        <v>40</v>
      </c>
      <c r="AJ9" s="76">
        <v>1802</v>
      </c>
      <c r="AK9" s="76">
        <v>1113</v>
      </c>
      <c r="AL9" s="76" t="b">
        <v>0</v>
      </c>
      <c r="AM9" s="78">
        <v>41829.516875000001</v>
      </c>
      <c r="AN9" s="76" t="s">
        <v>10570</v>
      </c>
      <c r="AO9" s="76" t="s">
        <v>17655</v>
      </c>
      <c r="AP9" s="83" t="str">
        <f>HYPERLINK("https://t.co/P2mAcoOSOH")</f>
        <v>https://t.co/P2mAcoOSOH</v>
      </c>
      <c r="AQ9" s="83" t="str">
        <f>HYPERLINK("https://cryptoid.com.br/")</f>
        <v>https://cryptoid.com.br/</v>
      </c>
      <c r="AR9" s="76" t="s">
        <v>18252</v>
      </c>
      <c r="AS9" s="76"/>
      <c r="AT9" s="76"/>
      <c r="AU9" s="76"/>
      <c r="AV9" s="76">
        <v>1.67994188600432E+18</v>
      </c>
      <c r="AW9" s="83" t="str">
        <f>HYPERLINK("https://t.co/P2mAcoOSOH")</f>
        <v>https://t.co/P2mAcoOSOH</v>
      </c>
      <c r="AX9" s="76" t="b">
        <v>0</v>
      </c>
      <c r="AY9" s="76"/>
      <c r="AZ9" s="76"/>
      <c r="BA9" s="76" t="b">
        <v>0</v>
      </c>
      <c r="BB9" s="76" t="b">
        <v>1</v>
      </c>
      <c r="BC9" s="76" t="b">
        <v>0</v>
      </c>
      <c r="BD9" s="76" t="b">
        <v>0</v>
      </c>
      <c r="BE9" s="76" t="b">
        <v>1</v>
      </c>
      <c r="BF9" s="76" t="b">
        <v>0</v>
      </c>
      <c r="BG9" s="76" t="b">
        <v>0</v>
      </c>
      <c r="BH9" s="83" t="str">
        <f>HYPERLINK("https://pbs.twimg.com/profile_banners/2613462672/1637161688")</f>
        <v>https://pbs.twimg.com/profile_banners/2613462672/1637161688</v>
      </c>
      <c r="BI9" s="76"/>
      <c r="BJ9" s="76" t="s">
        <v>18704</v>
      </c>
      <c r="BK9" s="76" t="b">
        <v>0</v>
      </c>
      <c r="BL9" s="76"/>
      <c r="BM9" s="76" t="s">
        <v>66</v>
      </c>
      <c r="BN9" s="76" t="s">
        <v>18706</v>
      </c>
      <c r="BO9" s="83" t="str">
        <f>HYPERLINK("https://twitter.com/portalcryptoid")</f>
        <v>https://twitter.com/portalcryptoid</v>
      </c>
      <c r="BP9" s="2"/>
    </row>
    <row r="10" spans="1:68" x14ac:dyDescent="0.25">
      <c r="A10" s="62" t="s">
        <v>229</v>
      </c>
      <c r="B10" s="63"/>
      <c r="C10" s="63"/>
      <c r="D10" s="64"/>
      <c r="E10" s="66"/>
      <c r="F10" s="102" t="str">
        <f>HYPERLINK("https://pbs.twimg.com/profile_images/1699367802035945472/Unn4886K_normal.jpg")</f>
        <v>https://pbs.twimg.com/profile_images/1699367802035945472/Unn4886K_normal.jpg</v>
      </c>
      <c r="G10" s="63"/>
      <c r="H10" s="67"/>
      <c r="I10" s="68"/>
      <c r="J10" s="68"/>
      <c r="K10" s="67" t="s">
        <v>18713</v>
      </c>
      <c r="L10" s="71"/>
      <c r="M10" s="72"/>
      <c r="N10" s="72"/>
      <c r="O10" s="73"/>
      <c r="P10" s="74"/>
      <c r="Q10" s="74"/>
      <c r="R10" s="86"/>
      <c r="S10" s="86"/>
      <c r="T10" s="86"/>
      <c r="U10" s="86"/>
      <c r="V10" s="48"/>
      <c r="W10" s="48"/>
      <c r="X10" s="48"/>
      <c r="Y10" s="48"/>
      <c r="Z10" s="47"/>
      <c r="AA10" s="69">
        <v>10</v>
      </c>
      <c r="AB10" s="69"/>
      <c r="AC10" s="70"/>
      <c r="AD10" s="76" t="s">
        <v>16444</v>
      </c>
      <c r="AE10" s="81" t="s">
        <v>16102</v>
      </c>
      <c r="AF10" s="76">
        <v>175</v>
      </c>
      <c r="AG10" s="76">
        <v>226</v>
      </c>
      <c r="AH10" s="76">
        <v>22</v>
      </c>
      <c r="AI10" s="76">
        <v>2</v>
      </c>
      <c r="AJ10" s="76">
        <v>3583</v>
      </c>
      <c r="AK10" s="76">
        <v>0</v>
      </c>
      <c r="AL10" s="76" t="b">
        <v>0</v>
      </c>
      <c r="AM10" s="78">
        <v>44989.922314814816</v>
      </c>
      <c r="AN10" s="76"/>
      <c r="AO10" s="76" t="s">
        <v>17656</v>
      </c>
      <c r="AP10" s="76"/>
      <c r="AQ10" s="76"/>
      <c r="AR10" s="76"/>
      <c r="AS10" s="76"/>
      <c r="AT10" s="76"/>
      <c r="AU10" s="76"/>
      <c r="AV10" s="76"/>
      <c r="AW10" s="76"/>
      <c r="AX10" s="76" t="b">
        <v>0</v>
      </c>
      <c r="AY10" s="76"/>
      <c r="AZ10" s="76"/>
      <c r="BA10" s="76" t="b">
        <v>1</v>
      </c>
      <c r="BB10" s="76" t="b">
        <v>1</v>
      </c>
      <c r="BC10" s="76" t="b">
        <v>1</v>
      </c>
      <c r="BD10" s="76" t="b">
        <v>0</v>
      </c>
      <c r="BE10" s="76" t="b">
        <v>0</v>
      </c>
      <c r="BF10" s="76" t="b">
        <v>0</v>
      </c>
      <c r="BG10" s="76" t="b">
        <v>0</v>
      </c>
      <c r="BH10" s="83" t="str">
        <f>HYPERLINK("https://pbs.twimg.com/profile_banners/1632140804083810305/1694108899")</f>
        <v>https://pbs.twimg.com/profile_banners/1632140804083810305/1694108899</v>
      </c>
      <c r="BI10" s="76"/>
      <c r="BJ10" s="76" t="s">
        <v>18704</v>
      </c>
      <c r="BK10" s="76" t="b">
        <v>0</v>
      </c>
      <c r="BL10" s="76"/>
      <c r="BM10" s="76" t="s">
        <v>66</v>
      </c>
      <c r="BN10" s="76" t="s">
        <v>18706</v>
      </c>
      <c r="BO10" s="83" t="str">
        <f>HYPERLINK("https://twitter.com/trader_wealthy")</f>
        <v>https://twitter.com/trader_wealthy</v>
      </c>
      <c r="BP10" s="2"/>
    </row>
    <row r="11" spans="1:68" x14ac:dyDescent="0.25">
      <c r="A11" s="62" t="s">
        <v>230</v>
      </c>
      <c r="B11" s="63"/>
      <c r="C11" s="63"/>
      <c r="D11" s="64"/>
      <c r="E11" s="66"/>
      <c r="F11" s="102" t="str">
        <f>HYPERLINK("https://pbs.twimg.com/profile_images/1673737808521969664/TZO69tVx_normal.jpg")</f>
        <v>https://pbs.twimg.com/profile_images/1673737808521969664/TZO69tVx_normal.jpg</v>
      </c>
      <c r="G11" s="63"/>
      <c r="H11" s="67"/>
      <c r="I11" s="68"/>
      <c r="J11" s="68"/>
      <c r="K11" s="67" t="s">
        <v>18714</v>
      </c>
      <c r="L11" s="71"/>
      <c r="M11" s="72"/>
      <c r="N11" s="72"/>
      <c r="O11" s="73"/>
      <c r="P11" s="74"/>
      <c r="Q11" s="74"/>
      <c r="R11" s="86"/>
      <c r="S11" s="86"/>
      <c r="T11" s="86"/>
      <c r="U11" s="86"/>
      <c r="V11" s="48"/>
      <c r="W11" s="48"/>
      <c r="X11" s="48"/>
      <c r="Y11" s="48"/>
      <c r="Z11" s="47"/>
      <c r="AA11" s="69">
        <v>11</v>
      </c>
      <c r="AB11" s="69"/>
      <c r="AC11" s="70"/>
      <c r="AD11" s="76" t="s">
        <v>16445</v>
      </c>
      <c r="AE11" s="81" t="s">
        <v>16103</v>
      </c>
      <c r="AF11" s="76">
        <v>9960</v>
      </c>
      <c r="AG11" s="76">
        <v>3702</v>
      </c>
      <c r="AH11" s="76">
        <v>30385</v>
      </c>
      <c r="AI11" s="76">
        <v>36</v>
      </c>
      <c r="AJ11" s="76">
        <v>16379</v>
      </c>
      <c r="AK11" s="76">
        <v>6272</v>
      </c>
      <c r="AL11" s="76" t="b">
        <v>0</v>
      </c>
      <c r="AM11" s="78">
        <v>43452.777986111112</v>
      </c>
      <c r="AN11" s="76" t="s">
        <v>17401</v>
      </c>
      <c r="AO11" s="76" t="s">
        <v>17657</v>
      </c>
      <c r="AP11" s="76"/>
      <c r="AQ11" s="76"/>
      <c r="AR11" s="76"/>
      <c r="AS11" s="76"/>
      <c r="AT11" s="76"/>
      <c r="AU11" s="76"/>
      <c r="AV11" s="76"/>
      <c r="AW11" s="76"/>
      <c r="AX11" s="76" t="b">
        <v>0</v>
      </c>
      <c r="AY11" s="76"/>
      <c r="AZ11" s="76"/>
      <c r="BA11" s="76" t="b">
        <v>1</v>
      </c>
      <c r="BB11" s="76" t="b">
        <v>0</v>
      </c>
      <c r="BC11" s="76" t="b">
        <v>0</v>
      </c>
      <c r="BD11" s="76" t="b">
        <v>0</v>
      </c>
      <c r="BE11" s="76" t="b">
        <v>0</v>
      </c>
      <c r="BF11" s="76" t="b">
        <v>0</v>
      </c>
      <c r="BG11" s="76" t="b">
        <v>0</v>
      </c>
      <c r="BH11" s="83" t="str">
        <f>HYPERLINK("https://pbs.twimg.com/profile_banners/1075098443599753218/1687028718")</f>
        <v>https://pbs.twimg.com/profile_banners/1075098443599753218/1687028718</v>
      </c>
      <c r="BI11" s="76"/>
      <c r="BJ11" s="76" t="s">
        <v>18704</v>
      </c>
      <c r="BK11" s="76" t="b">
        <v>0</v>
      </c>
      <c r="BL11" s="76"/>
      <c r="BM11" s="76" t="s">
        <v>66</v>
      </c>
      <c r="BN11" s="76" t="s">
        <v>18706</v>
      </c>
      <c r="BO11" s="83" t="str">
        <f>HYPERLINK("https://twitter.com/inteligenciaes")</f>
        <v>https://twitter.com/inteligenciaes</v>
      </c>
      <c r="BP11" s="2"/>
    </row>
    <row r="12" spans="1:68" x14ac:dyDescent="0.25">
      <c r="A12" s="62" t="s">
        <v>742</v>
      </c>
      <c r="B12" s="63"/>
      <c r="C12" s="63"/>
      <c r="D12" s="64"/>
      <c r="E12" s="66"/>
      <c r="F12" s="102" t="str">
        <f>HYPERLINK("https://pbs.twimg.com/profile_images/1696853474162429952/xvInH7V6_normal.jpg")</f>
        <v>https://pbs.twimg.com/profile_images/1696853474162429952/xvInH7V6_normal.jpg</v>
      </c>
      <c r="G12" s="63"/>
      <c r="H12" s="67"/>
      <c r="I12" s="68"/>
      <c r="J12" s="68"/>
      <c r="K12" s="67" t="s">
        <v>18715</v>
      </c>
      <c r="L12" s="71"/>
      <c r="M12" s="72"/>
      <c r="N12" s="72"/>
      <c r="O12" s="73"/>
      <c r="P12" s="74"/>
      <c r="Q12" s="74"/>
      <c r="R12" s="86"/>
      <c r="S12" s="86"/>
      <c r="T12" s="86"/>
      <c r="U12" s="86"/>
      <c r="V12" s="48"/>
      <c r="W12" s="48"/>
      <c r="X12" s="48"/>
      <c r="Y12" s="48"/>
      <c r="Z12" s="47"/>
      <c r="AA12" s="69">
        <v>12</v>
      </c>
      <c r="AB12" s="69"/>
      <c r="AC12" s="70"/>
      <c r="AD12" s="76" t="s">
        <v>16446</v>
      </c>
      <c r="AE12" s="81" t="s">
        <v>17103</v>
      </c>
      <c r="AF12" s="76">
        <v>342094</v>
      </c>
      <c r="AG12" s="76">
        <v>945</v>
      </c>
      <c r="AH12" s="76">
        <v>23107</v>
      </c>
      <c r="AI12" s="76">
        <v>1062</v>
      </c>
      <c r="AJ12" s="76">
        <v>5270</v>
      </c>
      <c r="AK12" s="76">
        <v>8674</v>
      </c>
      <c r="AL12" s="76" t="b">
        <v>0</v>
      </c>
      <c r="AM12" s="78">
        <v>40130.594131944446</v>
      </c>
      <c r="AN12" s="76" t="s">
        <v>17402</v>
      </c>
      <c r="AO12" s="76" t="s">
        <v>17658</v>
      </c>
      <c r="AP12" s="83" t="str">
        <f>HYPERLINK("https://t.co/hBG32FFojB")</f>
        <v>https://t.co/hBG32FFojB</v>
      </c>
      <c r="AQ12" s="83" t="str">
        <f>HYPERLINK("http://www.dane.gov.co")</f>
        <v>http://www.dane.gov.co</v>
      </c>
      <c r="AR12" s="76" t="s">
        <v>18253</v>
      </c>
      <c r="AS12" s="76"/>
      <c r="AT12" s="76"/>
      <c r="AU12" s="76"/>
      <c r="AV12" s="76"/>
      <c r="AW12" s="83" t="str">
        <f>HYPERLINK("https://t.co/hBG32FFojB")</f>
        <v>https://t.co/hBG32FFojB</v>
      </c>
      <c r="AX12" s="76" t="b">
        <v>0</v>
      </c>
      <c r="AY12" s="76"/>
      <c r="AZ12" s="76"/>
      <c r="BA12" s="76" t="b">
        <v>0</v>
      </c>
      <c r="BB12" s="76" t="b">
        <v>0</v>
      </c>
      <c r="BC12" s="76" t="b">
        <v>0</v>
      </c>
      <c r="BD12" s="76" t="b">
        <v>0</v>
      </c>
      <c r="BE12" s="76" t="b">
        <v>1</v>
      </c>
      <c r="BF12" s="76" t="b">
        <v>0</v>
      </c>
      <c r="BG12" s="76" t="b">
        <v>0</v>
      </c>
      <c r="BH12" s="83" t="str">
        <f>HYPERLINK("https://pbs.twimg.com/profile_banners/89707185/1693396386")</f>
        <v>https://pbs.twimg.com/profile_banners/89707185/1693396386</v>
      </c>
      <c r="BI12" s="76"/>
      <c r="BJ12" s="76" t="s">
        <v>18704</v>
      </c>
      <c r="BK12" s="76" t="b">
        <v>0</v>
      </c>
      <c r="BL12" s="76"/>
      <c r="BM12" s="76" t="s">
        <v>65</v>
      </c>
      <c r="BN12" s="76" t="s">
        <v>18706</v>
      </c>
      <c r="BO12" s="83" t="str">
        <f>HYPERLINK("https://twitter.com/dane_colombia")</f>
        <v>https://twitter.com/dane_colombia</v>
      </c>
      <c r="BP12" s="2"/>
    </row>
    <row r="13" spans="1:68" x14ac:dyDescent="0.25">
      <c r="A13" s="62" t="s">
        <v>231</v>
      </c>
      <c r="B13" s="63"/>
      <c r="C13" s="63"/>
      <c r="D13" s="64"/>
      <c r="E13" s="66"/>
      <c r="F13" s="102" t="str">
        <f>HYPERLINK("https://pbs.twimg.com/profile_images/1628915940258717696/xGE177_8_normal.jpg")</f>
        <v>https://pbs.twimg.com/profile_images/1628915940258717696/xGE177_8_normal.jpg</v>
      </c>
      <c r="G13" s="63"/>
      <c r="H13" s="67"/>
      <c r="I13" s="68"/>
      <c r="J13" s="68"/>
      <c r="K13" s="67" t="s">
        <v>18716</v>
      </c>
      <c r="L13" s="71"/>
      <c r="M13" s="72"/>
      <c r="N13" s="72"/>
      <c r="O13" s="73"/>
      <c r="P13" s="74"/>
      <c r="Q13" s="74"/>
      <c r="R13" s="86"/>
      <c r="S13" s="86"/>
      <c r="T13" s="86"/>
      <c r="U13" s="86"/>
      <c r="V13" s="48"/>
      <c r="W13" s="48"/>
      <c r="X13" s="48"/>
      <c r="Y13" s="48"/>
      <c r="Z13" s="47"/>
      <c r="AA13" s="69">
        <v>13</v>
      </c>
      <c r="AB13" s="69"/>
      <c r="AC13" s="70"/>
      <c r="AD13" s="76" t="s">
        <v>16447</v>
      </c>
      <c r="AE13" s="81" t="s">
        <v>16104</v>
      </c>
      <c r="AF13" s="76">
        <v>7</v>
      </c>
      <c r="AG13" s="76">
        <v>76</v>
      </c>
      <c r="AH13" s="76">
        <v>387</v>
      </c>
      <c r="AI13" s="76">
        <v>0</v>
      </c>
      <c r="AJ13" s="76">
        <v>915</v>
      </c>
      <c r="AK13" s="76">
        <v>70</v>
      </c>
      <c r="AL13" s="76" t="b">
        <v>0</v>
      </c>
      <c r="AM13" s="78">
        <v>44684.670682870368</v>
      </c>
      <c r="AN13" s="76" t="s">
        <v>17403</v>
      </c>
      <c r="AO13" s="76" t="s">
        <v>17659</v>
      </c>
      <c r="AP13" s="83" t="str">
        <f>HYPERLINK("https://t.co/94e6FmPjb7")</f>
        <v>https://t.co/94e6FmPjb7</v>
      </c>
      <c r="AQ13" s="83" t="str">
        <f>HYPERLINK("https://www.youtube.com/c/RangelCamposMachado")</f>
        <v>https://www.youtube.com/c/RangelCamposMachado</v>
      </c>
      <c r="AR13" s="76" t="s">
        <v>18254</v>
      </c>
      <c r="AS13" s="76"/>
      <c r="AT13" s="76"/>
      <c r="AU13" s="76"/>
      <c r="AV13" s="76"/>
      <c r="AW13" s="83" t="str">
        <f>HYPERLINK("https://t.co/94e6FmPjb7")</f>
        <v>https://t.co/94e6FmPjb7</v>
      </c>
      <c r="AX13" s="76" t="b">
        <v>0</v>
      </c>
      <c r="AY13" s="76"/>
      <c r="AZ13" s="76"/>
      <c r="BA13" s="76" t="b">
        <v>0</v>
      </c>
      <c r="BB13" s="76" t="b">
        <v>0</v>
      </c>
      <c r="BC13" s="76" t="b">
        <v>1</v>
      </c>
      <c r="BD13" s="76" t="b">
        <v>0</v>
      </c>
      <c r="BE13" s="76" t="b">
        <v>0</v>
      </c>
      <c r="BF13" s="76" t="b">
        <v>0</v>
      </c>
      <c r="BG13" s="76" t="b">
        <v>0</v>
      </c>
      <c r="BH13" s="83" t="str">
        <f>HYPERLINK("https://pbs.twimg.com/profile_banners/1521520667727904768/1651594284")</f>
        <v>https://pbs.twimg.com/profile_banners/1521520667727904768/1651594284</v>
      </c>
      <c r="BI13" s="76"/>
      <c r="BJ13" s="76" t="s">
        <v>18704</v>
      </c>
      <c r="BK13" s="76" t="b">
        <v>0</v>
      </c>
      <c r="BL13" s="76"/>
      <c r="BM13" s="76" t="s">
        <v>66</v>
      </c>
      <c r="BN13" s="76" t="s">
        <v>18706</v>
      </c>
      <c r="BO13" s="83" t="str">
        <f>HYPERLINK("https://twitter.com/rangelmachado87")</f>
        <v>https://twitter.com/rangelmachado87</v>
      </c>
      <c r="BP13" s="2"/>
    </row>
    <row r="14" spans="1:68" x14ac:dyDescent="0.25">
      <c r="A14" s="62" t="s">
        <v>232</v>
      </c>
      <c r="B14" s="63"/>
      <c r="C14" s="63"/>
      <c r="D14" s="64"/>
      <c r="E14" s="66"/>
      <c r="F14" s="102" t="str">
        <f>HYPERLINK("https://pbs.twimg.com/profile_images/1668391532842434561/lx4cSEUa_normal.png")</f>
        <v>https://pbs.twimg.com/profile_images/1668391532842434561/lx4cSEUa_normal.png</v>
      </c>
      <c r="G14" s="63"/>
      <c r="H14" s="67"/>
      <c r="I14" s="68"/>
      <c r="J14" s="68"/>
      <c r="K14" s="67" t="s">
        <v>18717</v>
      </c>
      <c r="L14" s="71"/>
      <c r="M14" s="72"/>
      <c r="N14" s="72"/>
      <c r="O14" s="73"/>
      <c r="P14" s="74"/>
      <c r="Q14" s="74"/>
      <c r="R14" s="86"/>
      <c r="S14" s="86"/>
      <c r="T14" s="86"/>
      <c r="U14" s="86"/>
      <c r="V14" s="48"/>
      <c r="W14" s="48"/>
      <c r="X14" s="48"/>
      <c r="Y14" s="48"/>
      <c r="Z14" s="47"/>
      <c r="AA14" s="69">
        <v>14</v>
      </c>
      <c r="AB14" s="69"/>
      <c r="AC14" s="70"/>
      <c r="AD14" s="76" t="s">
        <v>16448</v>
      </c>
      <c r="AE14" s="81" t="s">
        <v>16105</v>
      </c>
      <c r="AF14" s="76">
        <v>2</v>
      </c>
      <c r="AG14" s="76">
        <v>26</v>
      </c>
      <c r="AH14" s="76">
        <v>248</v>
      </c>
      <c r="AI14" s="76">
        <v>0</v>
      </c>
      <c r="AJ14" s="76">
        <v>3</v>
      </c>
      <c r="AK14" s="76">
        <v>248</v>
      </c>
      <c r="AL14" s="76" t="b">
        <v>0</v>
      </c>
      <c r="AM14" s="78">
        <v>45089.955000000002</v>
      </c>
      <c r="AN14" s="76"/>
      <c r="AO14" s="76"/>
      <c r="AP14" s="76"/>
      <c r="AQ14" s="76"/>
      <c r="AR14" s="76"/>
      <c r="AS14" s="76"/>
      <c r="AT14" s="76"/>
      <c r="AU14" s="76"/>
      <c r="AV14" s="76"/>
      <c r="AW14" s="76"/>
      <c r="AX14" s="76" t="b">
        <v>0</v>
      </c>
      <c r="AY14" s="76"/>
      <c r="AZ14" s="76"/>
      <c r="BA14" s="76" t="b">
        <v>0</v>
      </c>
      <c r="BB14" s="76" t="b">
        <v>1</v>
      </c>
      <c r="BC14" s="76" t="b">
        <v>1</v>
      </c>
      <c r="BD14" s="76" t="b">
        <v>0</v>
      </c>
      <c r="BE14" s="76" t="b">
        <v>0</v>
      </c>
      <c r="BF14" s="76" t="b">
        <v>0</v>
      </c>
      <c r="BG14" s="76" t="b">
        <v>0</v>
      </c>
      <c r="BH14" s="76"/>
      <c r="BI14" s="76"/>
      <c r="BJ14" s="76" t="s">
        <v>18704</v>
      </c>
      <c r="BK14" s="76" t="b">
        <v>0</v>
      </c>
      <c r="BL14" s="76"/>
      <c r="BM14" s="76" t="s">
        <v>66</v>
      </c>
      <c r="BN14" s="76" t="s">
        <v>18706</v>
      </c>
      <c r="BO14" s="83" t="str">
        <f>HYPERLINK("https://twitter.com/flaviosouza2810")</f>
        <v>https://twitter.com/flaviosouza2810</v>
      </c>
      <c r="BP14" s="2"/>
    </row>
    <row r="15" spans="1:68" x14ac:dyDescent="0.25">
      <c r="A15" s="62" t="s">
        <v>233</v>
      </c>
      <c r="B15" s="63"/>
      <c r="C15" s="63"/>
      <c r="D15" s="64"/>
      <c r="E15" s="66"/>
      <c r="F15" s="102" t="str">
        <f>HYPERLINK("https://pbs.twimg.com/profile_images/1618007896712683520/JUd11X4d_normal.jpg")</f>
        <v>https://pbs.twimg.com/profile_images/1618007896712683520/JUd11X4d_normal.jpg</v>
      </c>
      <c r="G15" s="63"/>
      <c r="H15" s="67"/>
      <c r="I15" s="68"/>
      <c r="J15" s="68"/>
      <c r="K15" s="67" t="s">
        <v>18718</v>
      </c>
      <c r="L15" s="71"/>
      <c r="M15" s="72"/>
      <c r="N15" s="72"/>
      <c r="O15" s="73"/>
      <c r="P15" s="74"/>
      <c r="Q15" s="74"/>
      <c r="R15" s="86"/>
      <c r="S15" s="86"/>
      <c r="T15" s="86"/>
      <c r="U15" s="86"/>
      <c r="V15" s="48"/>
      <c r="W15" s="48"/>
      <c r="X15" s="48"/>
      <c r="Y15" s="48"/>
      <c r="Z15" s="47"/>
      <c r="AA15" s="69">
        <v>15</v>
      </c>
      <c r="AB15" s="69"/>
      <c r="AC15" s="70"/>
      <c r="AD15" s="76" t="s">
        <v>16449</v>
      </c>
      <c r="AE15" s="81" t="s">
        <v>16106</v>
      </c>
      <c r="AF15" s="76">
        <v>17</v>
      </c>
      <c r="AG15" s="76">
        <v>71</v>
      </c>
      <c r="AH15" s="76">
        <v>72</v>
      </c>
      <c r="AI15" s="76">
        <v>0</v>
      </c>
      <c r="AJ15" s="76">
        <v>36</v>
      </c>
      <c r="AK15" s="76">
        <v>62</v>
      </c>
      <c r="AL15" s="76" t="b">
        <v>0</v>
      </c>
      <c r="AM15" s="78">
        <v>42947.025995370372</v>
      </c>
      <c r="AN15" s="76" t="s">
        <v>10586</v>
      </c>
      <c r="AO15" s="76" t="s">
        <v>17660</v>
      </c>
      <c r="AP15" s="83" t="str">
        <f>HYPERLINK("https://t.co/EPmsKFjClO")</f>
        <v>https://t.co/EPmsKFjClO</v>
      </c>
      <c r="AQ15" s="83" t="str">
        <f>HYPERLINK("https://linkpop.com/financa")</f>
        <v>https://linkpop.com/financa</v>
      </c>
      <c r="AR15" s="76" t="s">
        <v>18255</v>
      </c>
      <c r="AS15" s="76"/>
      <c r="AT15" s="76"/>
      <c r="AU15" s="76"/>
      <c r="AV15" s="76"/>
      <c r="AW15" s="83" t="str">
        <f>HYPERLINK("https://t.co/EPmsKFjClO")</f>
        <v>https://t.co/EPmsKFjClO</v>
      </c>
      <c r="AX15" s="76" t="b">
        <v>0</v>
      </c>
      <c r="AY15" s="76"/>
      <c r="AZ15" s="76"/>
      <c r="BA15" s="76" t="b">
        <v>0</v>
      </c>
      <c r="BB15" s="76" t="b">
        <v>1</v>
      </c>
      <c r="BC15" s="76" t="b">
        <v>0</v>
      </c>
      <c r="BD15" s="76" t="b">
        <v>0</v>
      </c>
      <c r="BE15" s="76" t="b">
        <v>0</v>
      </c>
      <c r="BF15" s="76" t="b">
        <v>0</v>
      </c>
      <c r="BG15" s="76" t="b">
        <v>0</v>
      </c>
      <c r="BH15" s="83" t="str">
        <f>HYPERLINK("https://pbs.twimg.com/profile_banners/891820062839115777/1538004435")</f>
        <v>https://pbs.twimg.com/profile_banners/891820062839115777/1538004435</v>
      </c>
      <c r="BI15" s="76"/>
      <c r="BJ15" s="76" t="s">
        <v>18704</v>
      </c>
      <c r="BK15" s="76" t="b">
        <v>0</v>
      </c>
      <c r="BL15" s="76"/>
      <c r="BM15" s="76" t="s">
        <v>66</v>
      </c>
      <c r="BN15" s="76" t="s">
        <v>18706</v>
      </c>
      <c r="BO15" s="83" t="str">
        <f>HYPERLINK("https://twitter.com/financad")</f>
        <v>https://twitter.com/financad</v>
      </c>
      <c r="BP15" s="2"/>
    </row>
    <row r="16" spans="1:68" x14ac:dyDescent="0.25">
      <c r="A16" s="62" t="s">
        <v>234</v>
      </c>
      <c r="B16" s="63"/>
      <c r="C16" s="63"/>
      <c r="D16" s="64"/>
      <c r="E16" s="66"/>
      <c r="F16" s="102" t="str">
        <f>HYPERLINK("https://pbs.twimg.com/profile_images/1641966721249542144/_PAbTrnm_normal.jpg")</f>
        <v>https://pbs.twimg.com/profile_images/1641966721249542144/_PAbTrnm_normal.jpg</v>
      </c>
      <c r="G16" s="63"/>
      <c r="H16" s="67"/>
      <c r="I16" s="68"/>
      <c r="J16" s="68"/>
      <c r="K16" s="67" t="s">
        <v>18719</v>
      </c>
      <c r="L16" s="71"/>
      <c r="M16" s="72"/>
      <c r="N16" s="72"/>
      <c r="O16" s="73"/>
      <c r="P16" s="74"/>
      <c r="Q16" s="74"/>
      <c r="R16" s="86"/>
      <c r="S16" s="86"/>
      <c r="T16" s="86"/>
      <c r="U16" s="86"/>
      <c r="V16" s="48"/>
      <c r="W16" s="48"/>
      <c r="X16" s="48"/>
      <c r="Y16" s="48"/>
      <c r="Z16" s="47"/>
      <c r="AA16" s="69">
        <v>16</v>
      </c>
      <c r="AB16" s="69"/>
      <c r="AC16" s="70"/>
      <c r="AD16" s="76" t="s">
        <v>16450</v>
      </c>
      <c r="AE16" s="81" t="s">
        <v>17104</v>
      </c>
      <c r="AF16" s="76">
        <v>28124</v>
      </c>
      <c r="AG16" s="76">
        <v>478</v>
      </c>
      <c r="AH16" s="76">
        <v>63180</v>
      </c>
      <c r="AI16" s="76">
        <v>355</v>
      </c>
      <c r="AJ16" s="76">
        <v>143804</v>
      </c>
      <c r="AK16" s="76">
        <v>4611</v>
      </c>
      <c r="AL16" s="76" t="b">
        <v>0</v>
      </c>
      <c r="AM16" s="78">
        <v>40402.715138888889</v>
      </c>
      <c r="AN16" s="76" t="s">
        <v>10586</v>
      </c>
      <c r="AO16" s="76"/>
      <c r="AP16" s="83" t="str">
        <f>HYPERLINK("https://t.co/qdTXfTQLs5")</f>
        <v>https://t.co/qdTXfTQLs5</v>
      </c>
      <c r="AQ16" s="83" t="str">
        <f>HYPERLINK("https://emprc.us/ePyxaD")</f>
        <v>https://emprc.us/ePyxaD</v>
      </c>
      <c r="AR16" s="76" t="s">
        <v>18256</v>
      </c>
      <c r="AS16" s="76"/>
      <c r="AT16" s="76"/>
      <c r="AU16" s="76"/>
      <c r="AV16" s="76"/>
      <c r="AW16" s="83" t="str">
        <f>HYPERLINK("https://t.co/qdTXfTQLs5")</f>
        <v>https://t.co/qdTXfTQLs5</v>
      </c>
      <c r="AX16" s="76" t="b">
        <v>1</v>
      </c>
      <c r="AY16" s="76"/>
      <c r="AZ16" s="76"/>
      <c r="BA16" s="76" t="b">
        <v>1</v>
      </c>
      <c r="BB16" s="76" t="b">
        <v>0</v>
      </c>
      <c r="BC16" s="76" t="b">
        <v>0</v>
      </c>
      <c r="BD16" s="76" t="b">
        <v>0</v>
      </c>
      <c r="BE16" s="76" t="b">
        <v>1</v>
      </c>
      <c r="BF16" s="76" t="b">
        <v>0</v>
      </c>
      <c r="BG16" s="76" t="b">
        <v>0</v>
      </c>
      <c r="BH16" s="83" t="str">
        <f>HYPERLINK("https://pbs.twimg.com/profile_banners/177629082/1644980156")</f>
        <v>https://pbs.twimg.com/profile_banners/177629082/1644980156</v>
      </c>
      <c r="BI16" s="76"/>
      <c r="BJ16" s="76" t="s">
        <v>18704</v>
      </c>
      <c r="BK16" s="76" t="b">
        <v>0</v>
      </c>
      <c r="BL16" s="76"/>
      <c r="BM16" s="76" t="s">
        <v>66</v>
      </c>
      <c r="BN16" s="76" t="s">
        <v>18706</v>
      </c>
      <c r="BO16" s="83" t="str">
        <f>HYPERLINK("https://twitter.com/leononatotrader")</f>
        <v>https://twitter.com/leononatotrader</v>
      </c>
      <c r="BP16" s="2"/>
    </row>
    <row r="17" spans="1:68" x14ac:dyDescent="0.25">
      <c r="A17" s="62" t="s">
        <v>235</v>
      </c>
      <c r="B17" s="63"/>
      <c r="C17" s="63"/>
      <c r="D17" s="64"/>
      <c r="E17" s="66"/>
      <c r="F17" s="102" t="str">
        <f>HYPERLINK("https://pbs.twimg.com/profile_images/1687926345370578944/5c1xk2xU_normal.jpg")</f>
        <v>https://pbs.twimg.com/profile_images/1687926345370578944/5c1xk2xU_normal.jpg</v>
      </c>
      <c r="G17" s="63"/>
      <c r="H17" s="67"/>
      <c r="I17" s="68"/>
      <c r="J17" s="68"/>
      <c r="K17" s="67" t="s">
        <v>18720</v>
      </c>
      <c r="L17" s="71"/>
      <c r="M17" s="72"/>
      <c r="N17" s="72"/>
      <c r="O17" s="73"/>
      <c r="P17" s="74"/>
      <c r="Q17" s="74"/>
      <c r="R17" s="86"/>
      <c r="S17" s="86"/>
      <c r="T17" s="86"/>
      <c r="U17" s="86"/>
      <c r="V17" s="48"/>
      <c r="W17" s="48"/>
      <c r="X17" s="48"/>
      <c r="Y17" s="48"/>
      <c r="Z17" s="47"/>
      <c r="AA17" s="69">
        <v>17</v>
      </c>
      <c r="AB17" s="69"/>
      <c r="AC17" s="70"/>
      <c r="AD17" s="76" t="s">
        <v>16451</v>
      </c>
      <c r="AE17" s="81" t="s">
        <v>16107</v>
      </c>
      <c r="AF17" s="76">
        <v>17</v>
      </c>
      <c r="AG17" s="76">
        <v>6</v>
      </c>
      <c r="AH17" s="76">
        <v>347</v>
      </c>
      <c r="AI17" s="76">
        <v>0</v>
      </c>
      <c r="AJ17" s="76">
        <v>293</v>
      </c>
      <c r="AK17" s="76">
        <v>307</v>
      </c>
      <c r="AL17" s="76" t="b">
        <v>0</v>
      </c>
      <c r="AM17" s="78">
        <v>43491.603252314817</v>
      </c>
      <c r="AN17" s="76"/>
      <c r="AO17" s="76" t="s">
        <v>17661</v>
      </c>
      <c r="AP17" s="83" t="str">
        <f>HYPERLINK("https://t.co/CmbYUYu5BU")</f>
        <v>https://t.co/CmbYUYu5BU</v>
      </c>
      <c r="AQ17" s="83" t="str">
        <f>HYPERLINK("http://metodo4q.com.br")</f>
        <v>http://metodo4q.com.br</v>
      </c>
      <c r="AR17" s="76" t="s">
        <v>18257</v>
      </c>
      <c r="AS17" s="76"/>
      <c r="AT17" s="76"/>
      <c r="AU17" s="76"/>
      <c r="AV17" s="76"/>
      <c r="AW17" s="83" t="str">
        <f>HYPERLINK("https://t.co/CmbYUYu5BU")</f>
        <v>https://t.co/CmbYUYu5BU</v>
      </c>
      <c r="AX17" s="76" t="b">
        <v>0</v>
      </c>
      <c r="AY17" s="76"/>
      <c r="AZ17" s="76"/>
      <c r="BA17" s="76" t="b">
        <v>0</v>
      </c>
      <c r="BB17" s="76" t="b">
        <v>1</v>
      </c>
      <c r="BC17" s="76" t="b">
        <v>1</v>
      </c>
      <c r="BD17" s="76" t="b">
        <v>0</v>
      </c>
      <c r="BE17" s="76" t="b">
        <v>0</v>
      </c>
      <c r="BF17" s="76" t="b">
        <v>0</v>
      </c>
      <c r="BG17" s="76" t="b">
        <v>0</v>
      </c>
      <c r="BH17" s="83" t="str">
        <f>HYPERLINK("https://pbs.twimg.com/profile_banners/1089168250854875136/1691267606")</f>
        <v>https://pbs.twimg.com/profile_banners/1089168250854875136/1691267606</v>
      </c>
      <c r="BI17" s="76"/>
      <c r="BJ17" s="76" t="s">
        <v>18704</v>
      </c>
      <c r="BK17" s="76" t="b">
        <v>0</v>
      </c>
      <c r="BL17" s="76"/>
      <c r="BM17" s="76" t="s">
        <v>66</v>
      </c>
      <c r="BN17" s="76" t="s">
        <v>18706</v>
      </c>
      <c r="BO17" s="83" t="str">
        <f>HYPERLINK("https://twitter.com/dalinustrader")</f>
        <v>https://twitter.com/dalinustrader</v>
      </c>
      <c r="BP17" s="2"/>
    </row>
    <row r="18" spans="1:68" x14ac:dyDescent="0.25">
      <c r="A18" s="62" t="s">
        <v>236</v>
      </c>
      <c r="B18" s="63"/>
      <c r="C18" s="63"/>
      <c r="D18" s="64"/>
      <c r="E18" s="66"/>
      <c r="F18" s="102" t="str">
        <f>HYPERLINK("https://pbs.twimg.com/profile_images/1652089890237042688/3_LRRCjG_normal.jpg")</f>
        <v>https://pbs.twimg.com/profile_images/1652089890237042688/3_LRRCjG_normal.jpg</v>
      </c>
      <c r="G18" s="63"/>
      <c r="H18" s="67"/>
      <c r="I18" s="68"/>
      <c r="J18" s="68"/>
      <c r="K18" s="67" t="s">
        <v>18721</v>
      </c>
      <c r="L18" s="71"/>
      <c r="M18" s="72"/>
      <c r="N18" s="72"/>
      <c r="O18" s="73"/>
      <c r="P18" s="74"/>
      <c r="Q18" s="74"/>
      <c r="R18" s="86"/>
      <c r="S18" s="86"/>
      <c r="T18" s="86"/>
      <c r="U18" s="86"/>
      <c r="V18" s="48"/>
      <c r="W18" s="48"/>
      <c r="X18" s="48"/>
      <c r="Y18" s="48"/>
      <c r="Z18" s="47"/>
      <c r="AA18" s="69">
        <v>18</v>
      </c>
      <c r="AB18" s="69"/>
      <c r="AC18" s="70"/>
      <c r="AD18" s="76" t="s">
        <v>16452</v>
      </c>
      <c r="AE18" s="81" t="s">
        <v>16108</v>
      </c>
      <c r="AF18" s="76">
        <v>178</v>
      </c>
      <c r="AG18" s="76">
        <v>2</v>
      </c>
      <c r="AH18" s="76">
        <v>2796</v>
      </c>
      <c r="AI18" s="76">
        <v>0</v>
      </c>
      <c r="AJ18" s="76">
        <v>0</v>
      </c>
      <c r="AK18" s="76">
        <v>165</v>
      </c>
      <c r="AL18" s="76" t="b">
        <v>0</v>
      </c>
      <c r="AM18" s="78">
        <v>45044.96980324074</v>
      </c>
      <c r="AN18" s="76"/>
      <c r="AO18" s="76" t="s">
        <v>17662</v>
      </c>
      <c r="AP18" s="83" t="str">
        <f>HYPERLINK("https://t.co/K7rqZtJSGs")</f>
        <v>https://t.co/K7rqZtJSGs</v>
      </c>
      <c r="AQ18" s="83" t="str">
        <f>HYPERLINK("https://viuu.com.br")</f>
        <v>https://viuu.com.br</v>
      </c>
      <c r="AR18" s="76" t="s">
        <v>18258</v>
      </c>
      <c r="AS18" s="76"/>
      <c r="AT18" s="76"/>
      <c r="AU18" s="76"/>
      <c r="AV18" s="76">
        <v>1.6661386195583601E+18</v>
      </c>
      <c r="AW18" s="83" t="str">
        <f>HYPERLINK("https://t.co/K7rqZtJSGs")</f>
        <v>https://t.co/K7rqZtJSGs</v>
      </c>
      <c r="AX18" s="76" t="b">
        <v>1</v>
      </c>
      <c r="AY18" s="76"/>
      <c r="AZ18" s="76"/>
      <c r="BA18" s="76" t="b">
        <v>0</v>
      </c>
      <c r="BB18" s="76" t="b">
        <v>1</v>
      </c>
      <c r="BC18" s="76" t="b">
        <v>1</v>
      </c>
      <c r="BD18" s="76" t="b">
        <v>0</v>
      </c>
      <c r="BE18" s="76" t="b">
        <v>0</v>
      </c>
      <c r="BF18" s="76" t="b">
        <v>0</v>
      </c>
      <c r="BG18" s="76" t="b">
        <v>0</v>
      </c>
      <c r="BH18" s="83" t="str">
        <f>HYPERLINK("https://pbs.twimg.com/profile_banners/1652089388044517377/1685370671")</f>
        <v>https://pbs.twimg.com/profile_banners/1652089388044517377/1685370671</v>
      </c>
      <c r="BI18" s="76"/>
      <c r="BJ18" s="76" t="s">
        <v>18704</v>
      </c>
      <c r="BK18" s="76" t="b">
        <v>0</v>
      </c>
      <c r="BL18" s="76"/>
      <c r="BM18" s="76" t="s">
        <v>66</v>
      </c>
      <c r="BN18" s="76" t="s">
        <v>18706</v>
      </c>
      <c r="BO18" s="83" t="str">
        <f>HYPERLINK("https://twitter.com/viuuoficial")</f>
        <v>https://twitter.com/viuuoficial</v>
      </c>
      <c r="BP18" s="2"/>
    </row>
    <row r="19" spans="1:68" x14ac:dyDescent="0.25">
      <c r="A19" s="62" t="s">
        <v>237</v>
      </c>
      <c r="B19" s="63"/>
      <c r="C19" s="63"/>
      <c r="D19" s="64"/>
      <c r="E19" s="66"/>
      <c r="F19" s="102" t="str">
        <f>HYPERLINK("https://pbs.twimg.com/profile_images/1615555551869411329/Wg4vOBND_normal.jpg")</f>
        <v>https://pbs.twimg.com/profile_images/1615555551869411329/Wg4vOBND_normal.jpg</v>
      </c>
      <c r="G19" s="63"/>
      <c r="H19" s="67"/>
      <c r="I19" s="68"/>
      <c r="J19" s="68"/>
      <c r="K19" s="67" t="s">
        <v>18722</v>
      </c>
      <c r="L19" s="71"/>
      <c r="M19" s="72"/>
      <c r="N19" s="72"/>
      <c r="O19" s="73"/>
      <c r="P19" s="74"/>
      <c r="Q19" s="74"/>
      <c r="R19" s="86"/>
      <c r="S19" s="86"/>
      <c r="T19" s="86"/>
      <c r="U19" s="86"/>
      <c r="V19" s="48"/>
      <c r="W19" s="48"/>
      <c r="X19" s="48"/>
      <c r="Y19" s="48"/>
      <c r="Z19" s="47"/>
      <c r="AA19" s="69">
        <v>19</v>
      </c>
      <c r="AB19" s="69"/>
      <c r="AC19" s="70"/>
      <c r="AD19" s="76" t="s">
        <v>16453</v>
      </c>
      <c r="AE19" s="81" t="s">
        <v>16109</v>
      </c>
      <c r="AF19" s="76">
        <v>7</v>
      </c>
      <c r="AG19" s="76">
        <v>107</v>
      </c>
      <c r="AH19" s="76">
        <v>217</v>
      </c>
      <c r="AI19" s="76">
        <v>0</v>
      </c>
      <c r="AJ19" s="76">
        <v>648</v>
      </c>
      <c r="AK19" s="76">
        <v>0</v>
      </c>
      <c r="AL19" s="76" t="b">
        <v>0</v>
      </c>
      <c r="AM19" s="78">
        <v>44396.690787037034</v>
      </c>
      <c r="AN19" s="76" t="s">
        <v>10586</v>
      </c>
      <c r="AO19" s="76" t="s">
        <v>17663</v>
      </c>
      <c r="AP19" s="76"/>
      <c r="AQ19" s="76"/>
      <c r="AR19" s="76"/>
      <c r="AS19" s="76"/>
      <c r="AT19" s="76"/>
      <c r="AU19" s="76"/>
      <c r="AV19" s="76"/>
      <c r="AW19" s="76"/>
      <c r="AX19" s="76" t="b">
        <v>0</v>
      </c>
      <c r="AY19" s="76"/>
      <c r="AZ19" s="76"/>
      <c r="BA19" s="76" t="b">
        <v>0</v>
      </c>
      <c r="BB19" s="76" t="b">
        <v>1</v>
      </c>
      <c r="BC19" s="76" t="b">
        <v>1</v>
      </c>
      <c r="BD19" s="76" t="b">
        <v>0</v>
      </c>
      <c r="BE19" s="76" t="b">
        <v>1</v>
      </c>
      <c r="BF19" s="76" t="b">
        <v>0</v>
      </c>
      <c r="BG19" s="76" t="b">
        <v>0</v>
      </c>
      <c r="BH19" s="83" t="str">
        <f>HYPERLINK("https://pbs.twimg.com/profile_banners/1417160959483858945/1674013316")</f>
        <v>https://pbs.twimg.com/profile_banners/1417160959483858945/1674013316</v>
      </c>
      <c r="BI19" s="76"/>
      <c r="BJ19" s="76" t="s">
        <v>18704</v>
      </c>
      <c r="BK19" s="76" t="b">
        <v>0</v>
      </c>
      <c r="BL19" s="76"/>
      <c r="BM19" s="76" t="s">
        <v>66</v>
      </c>
      <c r="BN19" s="76" t="s">
        <v>18706</v>
      </c>
      <c r="BO19" s="83" t="str">
        <f>HYPERLINK("https://twitter.com/wagner_chavez_")</f>
        <v>https://twitter.com/wagner_chavez_</v>
      </c>
      <c r="BP19" s="2"/>
    </row>
    <row r="20" spans="1:68" x14ac:dyDescent="0.25">
      <c r="A20" s="62" t="s">
        <v>254</v>
      </c>
      <c r="B20" s="63"/>
      <c r="C20" s="63"/>
      <c r="D20" s="64"/>
      <c r="E20" s="66"/>
      <c r="F20" s="102" t="str">
        <f>HYPERLINK("https://pbs.twimg.com/profile_images/1285216485846245376/YYJMxEpd_normal.jpg")</f>
        <v>https://pbs.twimg.com/profile_images/1285216485846245376/YYJMxEpd_normal.jpg</v>
      </c>
      <c r="G20" s="63"/>
      <c r="H20" s="67"/>
      <c r="I20" s="68"/>
      <c r="J20" s="68"/>
      <c r="K20" s="67" t="s">
        <v>18723</v>
      </c>
      <c r="L20" s="71"/>
      <c r="M20" s="72"/>
      <c r="N20" s="72"/>
      <c r="O20" s="73"/>
      <c r="P20" s="74"/>
      <c r="Q20" s="74"/>
      <c r="R20" s="86"/>
      <c r="S20" s="86"/>
      <c r="T20" s="86"/>
      <c r="U20" s="86"/>
      <c r="V20" s="48"/>
      <c r="W20" s="48"/>
      <c r="X20" s="48"/>
      <c r="Y20" s="48"/>
      <c r="Z20" s="47"/>
      <c r="AA20" s="69">
        <v>20</v>
      </c>
      <c r="AB20" s="69"/>
      <c r="AC20" s="70"/>
      <c r="AD20" s="76" t="s">
        <v>16454</v>
      </c>
      <c r="AE20" s="81" t="s">
        <v>15912</v>
      </c>
      <c r="AF20" s="76">
        <v>534</v>
      </c>
      <c r="AG20" s="76">
        <v>1</v>
      </c>
      <c r="AH20" s="76">
        <v>761</v>
      </c>
      <c r="AI20" s="76">
        <v>8</v>
      </c>
      <c r="AJ20" s="76">
        <v>568</v>
      </c>
      <c r="AK20" s="76">
        <v>435</v>
      </c>
      <c r="AL20" s="76" t="b">
        <v>0</v>
      </c>
      <c r="AM20" s="78">
        <v>44005.877766203703</v>
      </c>
      <c r="AN20" s="76" t="s">
        <v>10607</v>
      </c>
      <c r="AO20" s="76" t="s">
        <v>17664</v>
      </c>
      <c r="AP20" s="83" t="str">
        <f>HYPERLINK("https://t.co/mKQk5hkmXY")</f>
        <v>https://t.co/mKQk5hkmXY</v>
      </c>
      <c r="AQ20" s="83" t="str">
        <f>HYPERLINK("http://sfainvestimentos.com.br")</f>
        <v>http://sfainvestimentos.com.br</v>
      </c>
      <c r="AR20" s="76" t="s">
        <v>18259</v>
      </c>
      <c r="AS20" s="76"/>
      <c r="AT20" s="76"/>
      <c r="AU20" s="76"/>
      <c r="AV20" s="76"/>
      <c r="AW20" s="83" t="str">
        <f>HYPERLINK("https://t.co/mKQk5hkmXY")</f>
        <v>https://t.co/mKQk5hkmXY</v>
      </c>
      <c r="AX20" s="76" t="b">
        <v>0</v>
      </c>
      <c r="AY20" s="76"/>
      <c r="AZ20" s="76"/>
      <c r="BA20" s="76" t="b">
        <v>0</v>
      </c>
      <c r="BB20" s="76" t="b">
        <v>1</v>
      </c>
      <c r="BC20" s="76" t="b">
        <v>1</v>
      </c>
      <c r="BD20" s="76" t="b">
        <v>0</v>
      </c>
      <c r="BE20" s="76" t="b">
        <v>0</v>
      </c>
      <c r="BF20" s="76" t="b">
        <v>0</v>
      </c>
      <c r="BG20" s="76" t="b">
        <v>0</v>
      </c>
      <c r="BH20" s="83" t="str">
        <f>HYPERLINK("https://pbs.twimg.com/profile_banners/1275534875550978060/1595283057")</f>
        <v>https://pbs.twimg.com/profile_banners/1275534875550978060/1595283057</v>
      </c>
      <c r="BI20" s="76"/>
      <c r="BJ20" s="76" t="s">
        <v>18704</v>
      </c>
      <c r="BK20" s="76" t="b">
        <v>0</v>
      </c>
      <c r="BL20" s="76"/>
      <c r="BM20" s="76" t="s">
        <v>66</v>
      </c>
      <c r="BN20" s="76" t="s">
        <v>18706</v>
      </c>
      <c r="BO20" s="83" t="str">
        <f>HYPERLINK("https://twitter.com/sfainvest")</f>
        <v>https://twitter.com/sfainvest</v>
      </c>
      <c r="BP20" s="2"/>
    </row>
    <row r="21" spans="1:68" x14ac:dyDescent="0.25">
      <c r="A21" s="62" t="s">
        <v>238</v>
      </c>
      <c r="B21" s="63"/>
      <c r="C21" s="63"/>
      <c r="D21" s="64"/>
      <c r="E21" s="66"/>
      <c r="F21" s="102" t="str">
        <f>HYPERLINK("https://pbs.twimg.com/profile_images/1682221248422526976/de19f9xn_normal.jpg")</f>
        <v>https://pbs.twimg.com/profile_images/1682221248422526976/de19f9xn_normal.jpg</v>
      </c>
      <c r="G21" s="63"/>
      <c r="H21" s="67"/>
      <c r="I21" s="68"/>
      <c r="J21" s="68"/>
      <c r="K21" s="67" t="s">
        <v>18724</v>
      </c>
      <c r="L21" s="71"/>
      <c r="M21" s="72"/>
      <c r="N21" s="72"/>
      <c r="O21" s="73"/>
      <c r="P21" s="74"/>
      <c r="Q21" s="74"/>
      <c r="R21" s="86"/>
      <c r="S21" s="86"/>
      <c r="T21" s="86"/>
      <c r="U21" s="86"/>
      <c r="V21" s="48"/>
      <c r="W21" s="48"/>
      <c r="X21" s="48"/>
      <c r="Y21" s="48"/>
      <c r="Z21" s="47"/>
      <c r="AA21" s="69">
        <v>21</v>
      </c>
      <c r="AB21" s="69"/>
      <c r="AC21" s="70"/>
      <c r="AD21" s="76" t="s">
        <v>16455</v>
      </c>
      <c r="AE21" s="81" t="s">
        <v>16110</v>
      </c>
      <c r="AF21" s="76">
        <v>2</v>
      </c>
      <c r="AG21" s="76">
        <v>64</v>
      </c>
      <c r="AH21" s="76">
        <v>10</v>
      </c>
      <c r="AI21" s="76">
        <v>0</v>
      </c>
      <c r="AJ21" s="76">
        <v>3</v>
      </c>
      <c r="AK21" s="76">
        <v>8</v>
      </c>
      <c r="AL21" s="76" t="b">
        <v>0</v>
      </c>
      <c r="AM21" s="78">
        <v>44335.938483796293</v>
      </c>
      <c r="AN21" s="76"/>
      <c r="AO21" s="76" t="s">
        <v>17665</v>
      </c>
      <c r="AP21" s="83" t="str">
        <f>HYPERLINK("https://t.co/GORgLPRwUB")</f>
        <v>https://t.co/GORgLPRwUB</v>
      </c>
      <c r="AQ21" s="83" t="str">
        <f>HYPERLINK("https://www.youtube.com/@mercadofinanceirousa")</f>
        <v>https://www.youtube.com/@mercadofinanceirousa</v>
      </c>
      <c r="AR21" s="76" t="s">
        <v>18260</v>
      </c>
      <c r="AS21" s="76"/>
      <c r="AT21" s="76"/>
      <c r="AU21" s="76"/>
      <c r="AV21" s="76"/>
      <c r="AW21" s="83" t="str">
        <f>HYPERLINK("https://t.co/GORgLPRwUB")</f>
        <v>https://t.co/GORgLPRwUB</v>
      </c>
      <c r="AX21" s="76" t="b">
        <v>0</v>
      </c>
      <c r="AY21" s="76"/>
      <c r="AZ21" s="76"/>
      <c r="BA21" s="76" t="b">
        <v>0</v>
      </c>
      <c r="BB21" s="76" t="b">
        <v>1</v>
      </c>
      <c r="BC21" s="76" t="b">
        <v>1</v>
      </c>
      <c r="BD21" s="76" t="b">
        <v>0</v>
      </c>
      <c r="BE21" s="76" t="b">
        <v>0</v>
      </c>
      <c r="BF21" s="76" t="b">
        <v>0</v>
      </c>
      <c r="BG21" s="76" t="b">
        <v>0</v>
      </c>
      <c r="BH21" s="83" t="str">
        <f>HYPERLINK("https://pbs.twimg.com/profile_banners/1395145056215052291/1687061202")</f>
        <v>https://pbs.twimg.com/profile_banners/1395145056215052291/1687061202</v>
      </c>
      <c r="BI21" s="76"/>
      <c r="BJ21" s="76" t="s">
        <v>18704</v>
      </c>
      <c r="BK21" s="76" t="b">
        <v>0</v>
      </c>
      <c r="BL21" s="76"/>
      <c r="BM21" s="76" t="s">
        <v>66</v>
      </c>
      <c r="BN21" s="76" t="s">
        <v>18706</v>
      </c>
      <c r="BO21" s="83" t="str">
        <f>HYPERLINK("https://twitter.com/jonatha93806011")</f>
        <v>https://twitter.com/jonatha93806011</v>
      </c>
      <c r="BP21" s="2"/>
    </row>
    <row r="22" spans="1:68" x14ac:dyDescent="0.25">
      <c r="A22" s="62" t="s">
        <v>239</v>
      </c>
      <c r="B22" s="63"/>
      <c r="C22" s="63"/>
      <c r="D22" s="64"/>
      <c r="E22" s="66"/>
      <c r="F22" s="102" t="str">
        <f>HYPERLINK("https://pbs.twimg.com/profile_images/1245684400668446720/pyBMJ-BE_normal.jpg")</f>
        <v>https://pbs.twimg.com/profile_images/1245684400668446720/pyBMJ-BE_normal.jpg</v>
      </c>
      <c r="G22" s="63"/>
      <c r="H22" s="67"/>
      <c r="I22" s="68"/>
      <c r="J22" s="68"/>
      <c r="K22" s="67" t="s">
        <v>18725</v>
      </c>
      <c r="L22" s="71"/>
      <c r="M22" s="72"/>
      <c r="N22" s="72"/>
      <c r="O22" s="73"/>
      <c r="P22" s="74"/>
      <c r="Q22" s="74"/>
      <c r="R22" s="86"/>
      <c r="S22" s="86"/>
      <c r="T22" s="86"/>
      <c r="U22" s="86"/>
      <c r="V22" s="48"/>
      <c r="W22" s="48"/>
      <c r="X22" s="48"/>
      <c r="Y22" s="48"/>
      <c r="Z22" s="47"/>
      <c r="AA22" s="69">
        <v>22</v>
      </c>
      <c r="AB22" s="69"/>
      <c r="AC22" s="70"/>
      <c r="AD22" s="76" t="s">
        <v>16456</v>
      </c>
      <c r="AE22" s="81" t="s">
        <v>17105</v>
      </c>
      <c r="AF22" s="76">
        <v>33</v>
      </c>
      <c r="AG22" s="76">
        <v>505</v>
      </c>
      <c r="AH22" s="76">
        <v>361</v>
      </c>
      <c r="AI22" s="76">
        <v>0</v>
      </c>
      <c r="AJ22" s="76">
        <v>400</v>
      </c>
      <c r="AK22" s="76">
        <v>9</v>
      </c>
      <c r="AL22" s="76" t="b">
        <v>0</v>
      </c>
      <c r="AM22" s="78">
        <v>40896.489965277775</v>
      </c>
      <c r="AN22" s="76" t="s">
        <v>17404</v>
      </c>
      <c r="AO22" s="76"/>
      <c r="AP22" s="76"/>
      <c r="AQ22" s="76"/>
      <c r="AR22" s="76"/>
      <c r="AS22" s="76"/>
      <c r="AT22" s="76"/>
      <c r="AU22" s="76"/>
      <c r="AV22" s="76"/>
      <c r="AW22" s="76"/>
      <c r="AX22" s="76" t="b">
        <v>0</v>
      </c>
      <c r="AY22" s="76"/>
      <c r="AZ22" s="76"/>
      <c r="BA22" s="76" t="b">
        <v>1</v>
      </c>
      <c r="BB22" s="76" t="b">
        <v>0</v>
      </c>
      <c r="BC22" s="76" t="b">
        <v>1</v>
      </c>
      <c r="BD22" s="76" t="b">
        <v>0</v>
      </c>
      <c r="BE22" s="76" t="b">
        <v>1</v>
      </c>
      <c r="BF22" s="76" t="b">
        <v>0</v>
      </c>
      <c r="BG22" s="76" t="b">
        <v>0</v>
      </c>
      <c r="BH22" s="83" t="str">
        <f>HYPERLINK("https://pbs.twimg.com/profile_banners/440767378/1522673349")</f>
        <v>https://pbs.twimg.com/profile_banners/440767378/1522673349</v>
      </c>
      <c r="BI22" s="76"/>
      <c r="BJ22" s="76" t="s">
        <v>18704</v>
      </c>
      <c r="BK22" s="76" t="b">
        <v>0</v>
      </c>
      <c r="BL22" s="76"/>
      <c r="BM22" s="76" t="s">
        <v>66</v>
      </c>
      <c r="BN22" s="76" t="s">
        <v>18706</v>
      </c>
      <c r="BO22" s="83" t="str">
        <f>HYPERLINK("https://twitter.com/torresrodrigom")</f>
        <v>https://twitter.com/torresrodrigom</v>
      </c>
      <c r="BP22" s="2"/>
    </row>
    <row r="23" spans="1:68" x14ac:dyDescent="0.25">
      <c r="A23" s="62" t="s">
        <v>240</v>
      </c>
      <c r="B23" s="63"/>
      <c r="C23" s="63"/>
      <c r="D23" s="64"/>
      <c r="E23" s="66"/>
      <c r="F23" s="102" t="str">
        <f>HYPERLINK("https://pbs.twimg.com/profile_images/1531317937075806210/7oEvwlvr_normal.jpg")</f>
        <v>https://pbs.twimg.com/profile_images/1531317937075806210/7oEvwlvr_normal.jpg</v>
      </c>
      <c r="G23" s="63"/>
      <c r="H23" s="67"/>
      <c r="I23" s="68"/>
      <c r="J23" s="68"/>
      <c r="K23" s="67" t="s">
        <v>18726</v>
      </c>
      <c r="L23" s="71"/>
      <c r="M23" s="72"/>
      <c r="N23" s="72"/>
      <c r="O23" s="73"/>
      <c r="P23" s="74"/>
      <c r="Q23" s="74"/>
      <c r="R23" s="86"/>
      <c r="S23" s="86"/>
      <c r="T23" s="86"/>
      <c r="U23" s="86"/>
      <c r="V23" s="48"/>
      <c r="W23" s="48"/>
      <c r="X23" s="48"/>
      <c r="Y23" s="48"/>
      <c r="Z23" s="47"/>
      <c r="AA23" s="69">
        <v>23</v>
      </c>
      <c r="AB23" s="69"/>
      <c r="AC23" s="70"/>
      <c r="AD23" s="76" t="s">
        <v>16457</v>
      </c>
      <c r="AE23" s="81" t="s">
        <v>17106</v>
      </c>
      <c r="AF23" s="76">
        <v>79279</v>
      </c>
      <c r="AG23" s="76">
        <v>5434</v>
      </c>
      <c r="AH23" s="76">
        <v>136900</v>
      </c>
      <c r="AI23" s="76">
        <v>706</v>
      </c>
      <c r="AJ23" s="76">
        <v>4256</v>
      </c>
      <c r="AK23" s="76">
        <v>38795</v>
      </c>
      <c r="AL23" s="76" t="b">
        <v>0</v>
      </c>
      <c r="AM23" s="78">
        <v>39754.840763888889</v>
      </c>
      <c r="AN23" s="76" t="s">
        <v>17405</v>
      </c>
      <c r="AO23" s="76" t="s">
        <v>17666</v>
      </c>
      <c r="AP23" s="83" t="str">
        <f>HYPERLINK("https://t.co/yR8pzD6ApI")</f>
        <v>https://t.co/yR8pzD6ApI</v>
      </c>
      <c r="AQ23" s="83" t="str">
        <f>HYPERLINK("http://www.jornaldocomercio.com")</f>
        <v>http://www.jornaldocomercio.com</v>
      </c>
      <c r="AR23" s="76" t="s">
        <v>6475</v>
      </c>
      <c r="AS23" s="76"/>
      <c r="AT23" s="76"/>
      <c r="AU23" s="76"/>
      <c r="AV23" s="76"/>
      <c r="AW23" s="83" t="str">
        <f>HYPERLINK("https://t.co/yR8pzD6ApI")</f>
        <v>https://t.co/yR8pzD6ApI</v>
      </c>
      <c r="AX23" s="76" t="b">
        <v>0</v>
      </c>
      <c r="AY23" s="76"/>
      <c r="AZ23" s="76"/>
      <c r="BA23" s="76" t="b">
        <v>0</v>
      </c>
      <c r="BB23" s="76" t="b">
        <v>1</v>
      </c>
      <c r="BC23" s="76" t="b">
        <v>0</v>
      </c>
      <c r="BD23" s="76" t="b">
        <v>0</v>
      </c>
      <c r="BE23" s="76" t="b">
        <v>1</v>
      </c>
      <c r="BF23" s="76" t="b">
        <v>0</v>
      </c>
      <c r="BG23" s="76" t="b">
        <v>0</v>
      </c>
      <c r="BH23" s="83" t="str">
        <f>HYPERLINK("https://pbs.twimg.com/profile_banners/17118982/1683207252")</f>
        <v>https://pbs.twimg.com/profile_banners/17118982/1683207252</v>
      </c>
      <c r="BI23" s="76"/>
      <c r="BJ23" s="76" t="s">
        <v>18704</v>
      </c>
      <c r="BK23" s="76" t="b">
        <v>0</v>
      </c>
      <c r="BL23" s="76"/>
      <c r="BM23" s="76" t="s">
        <v>66</v>
      </c>
      <c r="BN23" s="76" t="s">
        <v>18706</v>
      </c>
      <c r="BO23" s="83" t="str">
        <f>HYPERLINK("https://twitter.com/jc_rs")</f>
        <v>https://twitter.com/jc_rs</v>
      </c>
      <c r="BP23" s="2"/>
    </row>
    <row r="24" spans="1:68" x14ac:dyDescent="0.25">
      <c r="A24" s="62" t="s">
        <v>241</v>
      </c>
      <c r="B24" s="63"/>
      <c r="C24" s="63"/>
      <c r="D24" s="64"/>
      <c r="E24" s="66"/>
      <c r="F24" s="102" t="str">
        <f>HYPERLINK("https://pbs.twimg.com/profile_images/1450495629709479936/Ju3qNM-6_normal.png")</f>
        <v>https://pbs.twimg.com/profile_images/1450495629709479936/Ju3qNM-6_normal.png</v>
      </c>
      <c r="G24" s="63"/>
      <c r="H24" s="67"/>
      <c r="I24" s="68"/>
      <c r="J24" s="68"/>
      <c r="K24" s="67" t="s">
        <v>18727</v>
      </c>
      <c r="L24" s="71"/>
      <c r="M24" s="72"/>
      <c r="N24" s="72"/>
      <c r="O24" s="73"/>
      <c r="P24" s="74"/>
      <c r="Q24" s="74"/>
      <c r="R24" s="86"/>
      <c r="S24" s="86"/>
      <c r="T24" s="86"/>
      <c r="U24" s="86"/>
      <c r="V24" s="48"/>
      <c r="W24" s="48"/>
      <c r="X24" s="48"/>
      <c r="Y24" s="48"/>
      <c r="Z24" s="47"/>
      <c r="AA24" s="69">
        <v>24</v>
      </c>
      <c r="AB24" s="69"/>
      <c r="AC24" s="70"/>
      <c r="AD24" s="76" t="s">
        <v>16458</v>
      </c>
      <c r="AE24" s="81" t="s">
        <v>16111</v>
      </c>
      <c r="AF24" s="76">
        <v>97</v>
      </c>
      <c r="AG24" s="76">
        <v>40</v>
      </c>
      <c r="AH24" s="76">
        <v>3253</v>
      </c>
      <c r="AI24" s="76">
        <v>1</v>
      </c>
      <c r="AJ24" s="76">
        <v>0</v>
      </c>
      <c r="AK24" s="76">
        <v>4</v>
      </c>
      <c r="AL24" s="76" t="b">
        <v>0</v>
      </c>
      <c r="AM24" s="78">
        <v>44488.654606481483</v>
      </c>
      <c r="AN24" s="76"/>
      <c r="AO24" s="76"/>
      <c r="AP24" s="83" t="str">
        <f>HYPERLINK("https://t.co/7i9FveZYCZ")</f>
        <v>https://t.co/7i9FveZYCZ</v>
      </c>
      <c r="AQ24" s="83" t="str">
        <f>HYPERLINK("http://www.alertaeconomica.com")</f>
        <v>http://www.alertaeconomica.com</v>
      </c>
      <c r="AR24" s="76" t="s">
        <v>6476</v>
      </c>
      <c r="AS24" s="76"/>
      <c r="AT24" s="76"/>
      <c r="AU24" s="76"/>
      <c r="AV24" s="76"/>
      <c r="AW24" s="83" t="str">
        <f>HYPERLINK("https://t.co/7i9FveZYCZ")</f>
        <v>https://t.co/7i9FveZYCZ</v>
      </c>
      <c r="AX24" s="76" t="b">
        <v>0</v>
      </c>
      <c r="AY24" s="76"/>
      <c r="AZ24" s="76"/>
      <c r="BA24" s="76" t="b">
        <v>0</v>
      </c>
      <c r="BB24" s="76" t="b">
        <v>1</v>
      </c>
      <c r="BC24" s="76" t="b">
        <v>1</v>
      </c>
      <c r="BD24" s="76" t="b">
        <v>0</v>
      </c>
      <c r="BE24" s="76" t="b">
        <v>0</v>
      </c>
      <c r="BF24" s="76" t="b">
        <v>0</v>
      </c>
      <c r="BG24" s="76" t="b">
        <v>0</v>
      </c>
      <c r="BH24" s="83" t="str">
        <f>HYPERLINK("https://pbs.twimg.com/profile_banners/1450487537517146117/1649450154")</f>
        <v>https://pbs.twimg.com/profile_banners/1450487537517146117/1649450154</v>
      </c>
      <c r="BI24" s="76"/>
      <c r="BJ24" s="76" t="s">
        <v>18704</v>
      </c>
      <c r="BK24" s="76" t="b">
        <v>0</v>
      </c>
      <c r="BL24" s="76"/>
      <c r="BM24" s="76" t="s">
        <v>66</v>
      </c>
      <c r="BN24" s="76" t="s">
        <v>18706</v>
      </c>
      <c r="BO24" s="83" t="str">
        <f>HYPERLINK("https://twitter.com/alertaeconomica")</f>
        <v>https://twitter.com/alertaeconomica</v>
      </c>
      <c r="BP24" s="2"/>
    </row>
    <row r="25" spans="1:68" x14ac:dyDescent="0.25">
      <c r="A25" s="62" t="s">
        <v>242</v>
      </c>
      <c r="B25" s="63"/>
      <c r="C25" s="63"/>
      <c r="D25" s="64"/>
      <c r="E25" s="66"/>
      <c r="F25" s="102" t="str">
        <f>HYPERLINK("https://pbs.twimg.com/profile_images/1704458674603753472/FRZ5CnjI_normal.jpg")</f>
        <v>https://pbs.twimg.com/profile_images/1704458674603753472/FRZ5CnjI_normal.jpg</v>
      </c>
      <c r="G25" s="63"/>
      <c r="H25" s="67"/>
      <c r="I25" s="68"/>
      <c r="J25" s="68"/>
      <c r="K25" s="67" t="s">
        <v>18728</v>
      </c>
      <c r="L25" s="71"/>
      <c r="M25" s="72"/>
      <c r="N25" s="72"/>
      <c r="O25" s="73"/>
      <c r="P25" s="74"/>
      <c r="Q25" s="74"/>
      <c r="R25" s="86"/>
      <c r="S25" s="86"/>
      <c r="T25" s="86"/>
      <c r="U25" s="86"/>
      <c r="V25" s="48"/>
      <c r="W25" s="48"/>
      <c r="X25" s="48"/>
      <c r="Y25" s="48"/>
      <c r="Z25" s="47"/>
      <c r="AA25" s="69">
        <v>25</v>
      </c>
      <c r="AB25" s="69"/>
      <c r="AC25" s="70"/>
      <c r="AD25" s="76" t="s">
        <v>16459</v>
      </c>
      <c r="AE25" s="81" t="s">
        <v>16112</v>
      </c>
      <c r="AF25" s="76">
        <v>4</v>
      </c>
      <c r="AG25" s="76">
        <v>150</v>
      </c>
      <c r="AH25" s="76">
        <v>13</v>
      </c>
      <c r="AI25" s="76">
        <v>0</v>
      </c>
      <c r="AJ25" s="76">
        <v>44</v>
      </c>
      <c r="AK25" s="76">
        <v>4</v>
      </c>
      <c r="AL25" s="76" t="b">
        <v>0</v>
      </c>
      <c r="AM25" s="78">
        <v>44953.529374999998</v>
      </c>
      <c r="AN25" s="76" t="s">
        <v>17406</v>
      </c>
      <c r="AO25" s="76" t="s">
        <v>17667</v>
      </c>
      <c r="AP25" s="76"/>
      <c r="AQ25" s="76"/>
      <c r="AR25" s="76"/>
      <c r="AS25" s="76"/>
      <c r="AT25" s="76"/>
      <c r="AU25" s="76"/>
      <c r="AV25" s="76"/>
      <c r="AW25" s="76"/>
      <c r="AX25" s="76" t="b">
        <v>0</v>
      </c>
      <c r="AY25" s="76"/>
      <c r="AZ25" s="76"/>
      <c r="BA25" s="76" t="b">
        <v>0</v>
      </c>
      <c r="BB25" s="76" t="b">
        <v>1</v>
      </c>
      <c r="BC25" s="76" t="b">
        <v>1</v>
      </c>
      <c r="BD25" s="76" t="b">
        <v>0</v>
      </c>
      <c r="BE25" s="76" t="b">
        <v>0</v>
      </c>
      <c r="BF25" s="76" t="b">
        <v>0</v>
      </c>
      <c r="BG25" s="76" t="b">
        <v>0</v>
      </c>
      <c r="BH25" s="83" t="str">
        <f>HYPERLINK("https://pbs.twimg.com/profile_banners/1618952497539809280/1695209591")</f>
        <v>https://pbs.twimg.com/profile_banners/1618952497539809280/1695209591</v>
      </c>
      <c r="BI25" s="76"/>
      <c r="BJ25" s="76" t="s">
        <v>18704</v>
      </c>
      <c r="BK25" s="76" t="b">
        <v>0</v>
      </c>
      <c r="BL25" s="76"/>
      <c r="BM25" s="76" t="s">
        <v>66</v>
      </c>
      <c r="BN25" s="76" t="s">
        <v>18706</v>
      </c>
      <c r="BO25" s="83" t="str">
        <f>HYPERLINK("https://twitter.com/mercadotododia1")</f>
        <v>https://twitter.com/mercadotododia1</v>
      </c>
      <c r="BP25" s="2"/>
    </row>
    <row r="26" spans="1:68" x14ac:dyDescent="0.25">
      <c r="A26" s="62" t="s">
        <v>243</v>
      </c>
      <c r="B26" s="63"/>
      <c r="C26" s="63"/>
      <c r="D26" s="64"/>
      <c r="E26" s="66"/>
      <c r="F26" s="102" t="str">
        <f>HYPERLINK("https://pbs.twimg.com/profile_images/1431056682017296384/gJ-7h91Q_normal.jpg")</f>
        <v>https://pbs.twimg.com/profile_images/1431056682017296384/gJ-7h91Q_normal.jpg</v>
      </c>
      <c r="G26" s="63"/>
      <c r="H26" s="67"/>
      <c r="I26" s="68"/>
      <c r="J26" s="68"/>
      <c r="K26" s="67" t="s">
        <v>18729</v>
      </c>
      <c r="L26" s="71"/>
      <c r="M26" s="72"/>
      <c r="N26" s="72"/>
      <c r="O26" s="73"/>
      <c r="P26" s="74"/>
      <c r="Q26" s="74"/>
      <c r="R26" s="86"/>
      <c r="S26" s="86"/>
      <c r="T26" s="86"/>
      <c r="U26" s="86"/>
      <c r="V26" s="48"/>
      <c r="W26" s="48"/>
      <c r="X26" s="48"/>
      <c r="Y26" s="48"/>
      <c r="Z26" s="47"/>
      <c r="AA26" s="69">
        <v>26</v>
      </c>
      <c r="AB26" s="69"/>
      <c r="AC26" s="70"/>
      <c r="AD26" s="76" t="s">
        <v>16460</v>
      </c>
      <c r="AE26" s="81" t="s">
        <v>17107</v>
      </c>
      <c r="AF26" s="76">
        <v>871</v>
      </c>
      <c r="AG26" s="76">
        <v>489</v>
      </c>
      <c r="AH26" s="76">
        <v>2705</v>
      </c>
      <c r="AI26" s="76">
        <v>40</v>
      </c>
      <c r="AJ26" s="76">
        <v>708</v>
      </c>
      <c r="AK26" s="76">
        <v>1006</v>
      </c>
      <c r="AL26" s="76" t="b">
        <v>0</v>
      </c>
      <c r="AM26" s="78">
        <v>39978.141493055555</v>
      </c>
      <c r="AN26" s="76" t="s">
        <v>10586</v>
      </c>
      <c r="AO26" s="76" t="s">
        <v>17668</v>
      </c>
      <c r="AP26" s="83" t="str">
        <f>HYPERLINK("https://t.co/EKWGeciHAc")</f>
        <v>https://t.co/EKWGeciHAc</v>
      </c>
      <c r="AQ26" s="83" t="str">
        <f>HYPERLINK("http://www.abuladomercado.com.br")</f>
        <v>http://www.abuladomercado.com.br</v>
      </c>
      <c r="AR26" s="76" t="s">
        <v>18261</v>
      </c>
      <c r="AS26" s="76"/>
      <c r="AT26" s="76"/>
      <c r="AU26" s="76"/>
      <c r="AV26" s="76"/>
      <c r="AW26" s="83" t="str">
        <f>HYPERLINK("https://t.co/EKWGeciHAc")</f>
        <v>https://t.co/EKWGeciHAc</v>
      </c>
      <c r="AX26" s="76" t="b">
        <v>0</v>
      </c>
      <c r="AY26" s="76"/>
      <c r="AZ26" s="76"/>
      <c r="BA26" s="76" t="b">
        <v>0</v>
      </c>
      <c r="BB26" s="76" t="b">
        <v>0</v>
      </c>
      <c r="BC26" s="76" t="b">
        <v>0</v>
      </c>
      <c r="BD26" s="76" t="b">
        <v>0</v>
      </c>
      <c r="BE26" s="76" t="b">
        <v>1</v>
      </c>
      <c r="BF26" s="76" t="b">
        <v>0</v>
      </c>
      <c r="BG26" s="76" t="b">
        <v>0</v>
      </c>
      <c r="BH26" s="83" t="str">
        <f>HYPERLINK("https://pbs.twimg.com/profile_banners/47023251/1428449210")</f>
        <v>https://pbs.twimg.com/profile_banners/47023251/1428449210</v>
      </c>
      <c r="BI26" s="76"/>
      <c r="BJ26" s="76" t="s">
        <v>18704</v>
      </c>
      <c r="BK26" s="76" t="b">
        <v>0</v>
      </c>
      <c r="BL26" s="76"/>
      <c r="BM26" s="76" t="s">
        <v>66</v>
      </c>
      <c r="BN26" s="76" t="s">
        <v>18706</v>
      </c>
      <c r="BO26" s="83" t="str">
        <f>HYPERLINK("https://twitter.com/oliviabulla")</f>
        <v>https://twitter.com/oliviabulla</v>
      </c>
      <c r="BP26" s="2"/>
    </row>
    <row r="27" spans="1:68" x14ac:dyDescent="0.25">
      <c r="A27" s="62" t="s">
        <v>743</v>
      </c>
      <c r="B27" s="63"/>
      <c r="C27" s="63"/>
      <c r="D27" s="64"/>
      <c r="E27" s="66"/>
      <c r="F27" s="102" t="str">
        <f>HYPERLINK("https://pbs.twimg.com/profile_images/1661161645857710081/6WtDIesg_normal.png")</f>
        <v>https://pbs.twimg.com/profile_images/1661161645857710081/6WtDIesg_normal.png</v>
      </c>
      <c r="G27" s="63"/>
      <c r="H27" s="67"/>
      <c r="I27" s="68"/>
      <c r="J27" s="68"/>
      <c r="K27" s="67" t="s">
        <v>18730</v>
      </c>
      <c r="L27" s="71"/>
      <c r="M27" s="72"/>
      <c r="N27" s="72"/>
      <c r="O27" s="73"/>
      <c r="P27" s="74"/>
      <c r="Q27" s="74"/>
      <c r="R27" s="86"/>
      <c r="S27" s="86"/>
      <c r="T27" s="86"/>
      <c r="U27" s="86"/>
      <c r="V27" s="48"/>
      <c r="W27" s="48"/>
      <c r="X27" s="48"/>
      <c r="Y27" s="48"/>
      <c r="Z27" s="47"/>
      <c r="AA27" s="69">
        <v>27</v>
      </c>
      <c r="AB27" s="69"/>
      <c r="AC27" s="70"/>
      <c r="AD27" s="76" t="s">
        <v>16461</v>
      </c>
      <c r="AE27" s="81" t="s">
        <v>17108</v>
      </c>
      <c r="AF27" s="76">
        <v>1804874</v>
      </c>
      <c r="AG27" s="76">
        <v>26</v>
      </c>
      <c r="AH27" s="76">
        <v>20149</v>
      </c>
      <c r="AI27" s="76">
        <v>17357</v>
      </c>
      <c r="AJ27" s="76">
        <v>7516</v>
      </c>
      <c r="AK27" s="76">
        <v>2203</v>
      </c>
      <c r="AL27" s="76" t="b">
        <v>0</v>
      </c>
      <c r="AM27" s="78">
        <v>39482.765289351853</v>
      </c>
      <c r="AN27" s="76" t="s">
        <v>17407</v>
      </c>
      <c r="AO27" s="76" t="s">
        <v>17669</v>
      </c>
      <c r="AP27" s="83" t="str">
        <f>HYPERLINK("https://t.co/1Ccsai5CQI")</f>
        <v>https://t.co/1Ccsai5CQI</v>
      </c>
      <c r="AQ27" s="83" t="str">
        <f>HYPERLINK("http://www.linkedin.com")</f>
        <v>http://www.linkedin.com</v>
      </c>
      <c r="AR27" s="76" t="s">
        <v>6477</v>
      </c>
      <c r="AS27" s="76"/>
      <c r="AT27" s="76"/>
      <c r="AU27" s="76"/>
      <c r="AV27" s="76">
        <v>1.66075271927421E+18</v>
      </c>
      <c r="AW27" s="83" t="str">
        <f>HYPERLINK("https://t.co/1Ccsai5CQI")</f>
        <v>https://t.co/1Ccsai5CQI</v>
      </c>
      <c r="AX27" s="76" t="b">
        <v>1</v>
      </c>
      <c r="AY27" s="76"/>
      <c r="AZ27" s="76"/>
      <c r="BA27" s="76" t="b">
        <v>0</v>
      </c>
      <c r="BB27" s="76" t="b">
        <v>1</v>
      </c>
      <c r="BC27" s="76" t="b">
        <v>0</v>
      </c>
      <c r="BD27" s="76" t="b">
        <v>0</v>
      </c>
      <c r="BE27" s="76" t="b">
        <v>1</v>
      </c>
      <c r="BF27" s="76" t="b">
        <v>0</v>
      </c>
      <c r="BG27" s="76" t="b">
        <v>0</v>
      </c>
      <c r="BH27" s="83" t="str">
        <f>HYPERLINK("https://pbs.twimg.com/profile_banners/13058772/1684890286")</f>
        <v>https://pbs.twimg.com/profile_banners/13058772/1684890286</v>
      </c>
      <c r="BI27" s="76"/>
      <c r="BJ27" s="76" t="s">
        <v>18705</v>
      </c>
      <c r="BK27" s="76" t="b">
        <v>0</v>
      </c>
      <c r="BL27" s="76"/>
      <c r="BM27" s="76" t="s">
        <v>65</v>
      </c>
      <c r="BN27" s="76" t="s">
        <v>18706</v>
      </c>
      <c r="BO27" s="83" t="str">
        <f>HYPERLINK("https://twitter.com/linkedin")</f>
        <v>https://twitter.com/linkedin</v>
      </c>
      <c r="BP27" s="2"/>
    </row>
    <row r="28" spans="1:68" x14ac:dyDescent="0.25">
      <c r="A28" s="62" t="s">
        <v>244</v>
      </c>
      <c r="B28" s="63"/>
      <c r="C28" s="63"/>
      <c r="D28" s="64"/>
      <c r="E28" s="66"/>
      <c r="F28" s="102" t="str">
        <f>HYPERLINK("https://pbs.twimg.com/profile_images/668819588616814593/HKcJW1j9_normal.png")</f>
        <v>https://pbs.twimg.com/profile_images/668819588616814593/HKcJW1j9_normal.png</v>
      </c>
      <c r="G28" s="63"/>
      <c r="H28" s="67"/>
      <c r="I28" s="68"/>
      <c r="J28" s="68"/>
      <c r="K28" s="67" t="s">
        <v>18731</v>
      </c>
      <c r="L28" s="71"/>
      <c r="M28" s="72"/>
      <c r="N28" s="72"/>
      <c r="O28" s="73"/>
      <c r="P28" s="74"/>
      <c r="Q28" s="74"/>
      <c r="R28" s="86"/>
      <c r="S28" s="86"/>
      <c r="T28" s="86"/>
      <c r="U28" s="86"/>
      <c r="V28" s="48"/>
      <c r="W28" s="48"/>
      <c r="X28" s="48"/>
      <c r="Y28" s="48"/>
      <c r="Z28" s="47"/>
      <c r="AA28" s="69">
        <v>28</v>
      </c>
      <c r="AB28" s="69"/>
      <c r="AC28" s="70"/>
      <c r="AD28" s="76" t="s">
        <v>16462</v>
      </c>
      <c r="AE28" s="81" t="s">
        <v>17109</v>
      </c>
      <c r="AF28" s="76">
        <v>14122</v>
      </c>
      <c r="AG28" s="76">
        <v>1052</v>
      </c>
      <c r="AH28" s="76">
        <v>21241</v>
      </c>
      <c r="AI28" s="76">
        <v>179</v>
      </c>
      <c r="AJ28" s="76">
        <v>10846</v>
      </c>
      <c r="AK28" s="76">
        <v>5370</v>
      </c>
      <c r="AL28" s="76" t="b">
        <v>0</v>
      </c>
      <c r="AM28" s="78">
        <v>41116.022418981483</v>
      </c>
      <c r="AN28" s="76" t="s">
        <v>17408</v>
      </c>
      <c r="AO28" s="76" t="s">
        <v>17670</v>
      </c>
      <c r="AP28" s="83" t="str">
        <f>HYPERLINK("https://t.co/CfNTOqjbza")</f>
        <v>https://t.co/CfNTOqjbza</v>
      </c>
      <c r="AQ28" s="83" t="str">
        <f>HYPERLINK("https://www.imef.org.mx")</f>
        <v>https://www.imef.org.mx</v>
      </c>
      <c r="AR28" s="76" t="s">
        <v>18262</v>
      </c>
      <c r="AS28" s="76"/>
      <c r="AT28" s="76"/>
      <c r="AU28" s="76"/>
      <c r="AV28" s="76">
        <v>1.70636996105955E+18</v>
      </c>
      <c r="AW28" s="83" t="str">
        <f>HYPERLINK("https://t.co/CfNTOqjbza")</f>
        <v>https://t.co/CfNTOqjbza</v>
      </c>
      <c r="AX28" s="76" t="b">
        <v>0</v>
      </c>
      <c r="AY28" s="76"/>
      <c r="AZ28" s="76"/>
      <c r="BA28" s="76" t="b">
        <v>0</v>
      </c>
      <c r="BB28" s="76" t="b">
        <v>1</v>
      </c>
      <c r="BC28" s="76" t="b">
        <v>0</v>
      </c>
      <c r="BD28" s="76" t="b">
        <v>0</v>
      </c>
      <c r="BE28" s="76" t="b">
        <v>1</v>
      </c>
      <c r="BF28" s="76" t="b">
        <v>0</v>
      </c>
      <c r="BG28" s="76" t="b">
        <v>0</v>
      </c>
      <c r="BH28" s="83" t="str">
        <f>HYPERLINK("https://pbs.twimg.com/profile_banners/717057578/1692034506")</f>
        <v>https://pbs.twimg.com/profile_banners/717057578/1692034506</v>
      </c>
      <c r="BI28" s="76"/>
      <c r="BJ28" s="76" t="s">
        <v>18704</v>
      </c>
      <c r="BK28" s="76" t="b">
        <v>0</v>
      </c>
      <c r="BL28" s="76"/>
      <c r="BM28" s="76" t="s">
        <v>66</v>
      </c>
      <c r="BN28" s="76" t="s">
        <v>18706</v>
      </c>
      <c r="BO28" s="83" t="str">
        <f>HYPERLINK("https://twitter.com/imefoficial")</f>
        <v>https://twitter.com/imefoficial</v>
      </c>
      <c r="BP28" s="2"/>
    </row>
    <row r="29" spans="1:68" x14ac:dyDescent="0.25">
      <c r="A29" s="62" t="s">
        <v>245</v>
      </c>
      <c r="B29" s="63"/>
      <c r="C29" s="63"/>
      <c r="D29" s="64"/>
      <c r="E29" s="66"/>
      <c r="F29" s="102" t="str">
        <f>HYPERLINK("https://pbs.twimg.com/profile_images/1665794857124737027/ZkyXgPMz_normal.jpg")</f>
        <v>https://pbs.twimg.com/profile_images/1665794857124737027/ZkyXgPMz_normal.jpg</v>
      </c>
      <c r="G29" s="63"/>
      <c r="H29" s="67"/>
      <c r="I29" s="68"/>
      <c r="J29" s="68"/>
      <c r="K29" s="67" t="s">
        <v>18732</v>
      </c>
      <c r="L29" s="71"/>
      <c r="M29" s="72"/>
      <c r="N29" s="72"/>
      <c r="O29" s="73"/>
      <c r="P29" s="74"/>
      <c r="Q29" s="74"/>
      <c r="R29" s="86"/>
      <c r="S29" s="86"/>
      <c r="T29" s="86"/>
      <c r="U29" s="86"/>
      <c r="V29" s="48"/>
      <c r="W29" s="48"/>
      <c r="X29" s="48"/>
      <c r="Y29" s="48"/>
      <c r="Z29" s="47"/>
      <c r="AA29" s="69">
        <v>29</v>
      </c>
      <c r="AB29" s="69"/>
      <c r="AC29" s="70"/>
      <c r="AD29" s="76" t="s">
        <v>16463</v>
      </c>
      <c r="AE29" s="81" t="s">
        <v>16113</v>
      </c>
      <c r="AF29" s="76">
        <v>247</v>
      </c>
      <c r="AG29" s="76">
        <v>888</v>
      </c>
      <c r="AH29" s="76">
        <v>1131</v>
      </c>
      <c r="AI29" s="76">
        <v>0</v>
      </c>
      <c r="AJ29" s="76">
        <v>1257</v>
      </c>
      <c r="AK29" s="76">
        <v>94</v>
      </c>
      <c r="AL29" s="76" t="b">
        <v>0</v>
      </c>
      <c r="AM29" s="78">
        <v>42615.892685185187</v>
      </c>
      <c r="AN29" s="76" t="s">
        <v>17409</v>
      </c>
      <c r="AO29" s="76" t="s">
        <v>17671</v>
      </c>
      <c r="AP29" s="83" t="str">
        <f>HYPERLINK("https://t.co/qAQ3Xj1saa")</f>
        <v>https://t.co/qAQ3Xj1saa</v>
      </c>
      <c r="AQ29" s="83" t="str">
        <f>HYPERLINK("https://youtube.com/channel/UCH554nFWwlQ5xI7Lw7yQAog")</f>
        <v>https://youtube.com/channel/UCH554nFWwlQ5xI7Lw7yQAog</v>
      </c>
      <c r="AR29" s="76" t="s">
        <v>18263</v>
      </c>
      <c r="AS29" s="76"/>
      <c r="AT29" s="76"/>
      <c r="AU29" s="76"/>
      <c r="AV29" s="76"/>
      <c r="AW29" s="83" t="str">
        <f>HYPERLINK("https://t.co/qAQ3Xj1saa")</f>
        <v>https://t.co/qAQ3Xj1saa</v>
      </c>
      <c r="AX29" s="76" t="b">
        <v>0</v>
      </c>
      <c r="AY29" s="76"/>
      <c r="AZ29" s="76"/>
      <c r="BA29" s="76" t="b">
        <v>1</v>
      </c>
      <c r="BB29" s="76" t="b">
        <v>1</v>
      </c>
      <c r="BC29" s="76" t="b">
        <v>1</v>
      </c>
      <c r="BD29" s="76" t="b">
        <v>0</v>
      </c>
      <c r="BE29" s="76" t="b">
        <v>1</v>
      </c>
      <c r="BF29" s="76" t="b">
        <v>0</v>
      </c>
      <c r="BG29" s="76" t="b">
        <v>0</v>
      </c>
      <c r="BH29" s="83" t="str">
        <f>HYPERLINK("https://pbs.twimg.com/profile_banners/771821366450524160/1685991418")</f>
        <v>https://pbs.twimg.com/profile_banners/771821366450524160/1685991418</v>
      </c>
      <c r="BI29" s="76"/>
      <c r="BJ29" s="76" t="s">
        <v>18704</v>
      </c>
      <c r="BK29" s="76" t="b">
        <v>0</v>
      </c>
      <c r="BL29" s="76"/>
      <c r="BM29" s="76" t="s">
        <v>66</v>
      </c>
      <c r="BN29" s="76" t="s">
        <v>18706</v>
      </c>
      <c r="BO29" s="83" t="str">
        <f>HYPERLINK("https://twitter.com/viny_trader")</f>
        <v>https://twitter.com/viny_trader</v>
      </c>
      <c r="BP29" s="2"/>
    </row>
    <row r="30" spans="1:68" x14ac:dyDescent="0.25">
      <c r="A30" s="62" t="s">
        <v>246</v>
      </c>
      <c r="B30" s="63"/>
      <c r="C30" s="63"/>
      <c r="D30" s="64"/>
      <c r="E30" s="66"/>
      <c r="F30" s="102" t="str">
        <f>HYPERLINK("https://pbs.twimg.com/profile_images/1699367766904520704/JyZF5Zyy_normal.jpg")</f>
        <v>https://pbs.twimg.com/profile_images/1699367766904520704/JyZF5Zyy_normal.jpg</v>
      </c>
      <c r="G30" s="63"/>
      <c r="H30" s="67"/>
      <c r="I30" s="68"/>
      <c r="J30" s="68"/>
      <c r="K30" s="67" t="s">
        <v>18733</v>
      </c>
      <c r="L30" s="71"/>
      <c r="M30" s="72"/>
      <c r="N30" s="72"/>
      <c r="O30" s="73"/>
      <c r="P30" s="74"/>
      <c r="Q30" s="74"/>
      <c r="R30" s="86"/>
      <c r="S30" s="86"/>
      <c r="T30" s="86"/>
      <c r="U30" s="86"/>
      <c r="V30" s="48"/>
      <c r="W30" s="48"/>
      <c r="X30" s="48"/>
      <c r="Y30" s="48"/>
      <c r="Z30" s="47"/>
      <c r="AA30" s="69">
        <v>30</v>
      </c>
      <c r="AB30" s="69"/>
      <c r="AC30" s="70"/>
      <c r="AD30" s="76" t="s">
        <v>16464</v>
      </c>
      <c r="AE30" s="81" t="s">
        <v>16114</v>
      </c>
      <c r="AF30" s="76">
        <v>199</v>
      </c>
      <c r="AG30" s="76">
        <v>298</v>
      </c>
      <c r="AH30" s="76">
        <v>22</v>
      </c>
      <c r="AI30" s="76">
        <v>4</v>
      </c>
      <c r="AJ30" s="76">
        <v>5065</v>
      </c>
      <c r="AK30" s="76">
        <v>0</v>
      </c>
      <c r="AL30" s="76" t="b">
        <v>0</v>
      </c>
      <c r="AM30" s="78">
        <v>44989.883287037039</v>
      </c>
      <c r="AN30" s="76"/>
      <c r="AO30" s="76" t="s">
        <v>17672</v>
      </c>
      <c r="AP30" s="76"/>
      <c r="AQ30" s="76"/>
      <c r="AR30" s="76"/>
      <c r="AS30" s="76"/>
      <c r="AT30" s="76"/>
      <c r="AU30" s="76"/>
      <c r="AV30" s="76"/>
      <c r="AW30" s="76"/>
      <c r="AX30" s="76" t="b">
        <v>0</v>
      </c>
      <c r="AY30" s="76"/>
      <c r="AZ30" s="76"/>
      <c r="BA30" s="76" t="b">
        <v>1</v>
      </c>
      <c r="BB30" s="76" t="b">
        <v>1</v>
      </c>
      <c r="BC30" s="76" t="b">
        <v>1</v>
      </c>
      <c r="BD30" s="76" t="b">
        <v>0</v>
      </c>
      <c r="BE30" s="76" t="b">
        <v>0</v>
      </c>
      <c r="BF30" s="76" t="b">
        <v>0</v>
      </c>
      <c r="BG30" s="76" t="b">
        <v>1</v>
      </c>
      <c r="BH30" s="83" t="str">
        <f>HYPERLINK("https://pbs.twimg.com/profile_banners/1632126657732530177/1694106212")</f>
        <v>https://pbs.twimg.com/profile_banners/1632126657732530177/1694106212</v>
      </c>
      <c r="BI30" s="76"/>
      <c r="BJ30" s="76" t="s">
        <v>18704</v>
      </c>
      <c r="BK30" s="76" t="b">
        <v>0</v>
      </c>
      <c r="BL30" s="76"/>
      <c r="BM30" s="76" t="s">
        <v>66</v>
      </c>
      <c r="BN30" s="76" t="s">
        <v>18706</v>
      </c>
      <c r="BO30" s="83" t="str">
        <f>HYPERLINK("https://twitter.com/mindfulinvestp1")</f>
        <v>https://twitter.com/mindfulinvestp1</v>
      </c>
      <c r="BP30" s="2"/>
    </row>
    <row r="31" spans="1:68" x14ac:dyDescent="0.25">
      <c r="A31" s="62" t="s">
        <v>247</v>
      </c>
      <c r="B31" s="63"/>
      <c r="C31" s="63"/>
      <c r="D31" s="64"/>
      <c r="E31" s="66"/>
      <c r="F31" s="102" t="str">
        <f>HYPERLINK("https://pbs.twimg.com/profile_images/1686192583431573504/BBk5qgFf_normal.jpg")</f>
        <v>https://pbs.twimg.com/profile_images/1686192583431573504/BBk5qgFf_normal.jpg</v>
      </c>
      <c r="G31" s="63"/>
      <c r="H31" s="67"/>
      <c r="I31" s="68"/>
      <c r="J31" s="68"/>
      <c r="K31" s="67" t="s">
        <v>18734</v>
      </c>
      <c r="L31" s="71"/>
      <c r="M31" s="72"/>
      <c r="N31" s="72"/>
      <c r="O31" s="73"/>
      <c r="P31" s="74"/>
      <c r="Q31" s="74"/>
      <c r="R31" s="86"/>
      <c r="S31" s="86"/>
      <c r="T31" s="86"/>
      <c r="U31" s="86"/>
      <c r="V31" s="48"/>
      <c r="W31" s="48"/>
      <c r="X31" s="48"/>
      <c r="Y31" s="48"/>
      <c r="Z31" s="47"/>
      <c r="AA31" s="69">
        <v>31</v>
      </c>
      <c r="AB31" s="69"/>
      <c r="AC31" s="70"/>
      <c r="AD31" s="76" t="s">
        <v>16465</v>
      </c>
      <c r="AE31" s="81" t="s">
        <v>16115</v>
      </c>
      <c r="AF31" s="76">
        <v>1</v>
      </c>
      <c r="AG31" s="76">
        <v>8</v>
      </c>
      <c r="AH31" s="76">
        <v>16</v>
      </c>
      <c r="AI31" s="76">
        <v>0</v>
      </c>
      <c r="AJ31" s="76">
        <v>7</v>
      </c>
      <c r="AK31" s="76">
        <v>15</v>
      </c>
      <c r="AL31" s="76" t="b">
        <v>0</v>
      </c>
      <c r="AM31" s="78">
        <v>45133.977650462963</v>
      </c>
      <c r="AN31" s="76"/>
      <c r="AO31" s="76" t="s">
        <v>17673</v>
      </c>
      <c r="AP31" s="83" t="str">
        <f>HYPERLINK("https://t.co/xzR9a3YvLi")</f>
        <v>https://t.co/xzR9a3YvLi</v>
      </c>
      <c r="AQ31" s="83" t="str">
        <f>HYPERLINK("http://linktr.ee/jornadacapital")</f>
        <v>http://linktr.ee/jornadacapital</v>
      </c>
      <c r="AR31" s="76" t="s">
        <v>18264</v>
      </c>
      <c r="AS31" s="76"/>
      <c r="AT31" s="76"/>
      <c r="AU31" s="76"/>
      <c r="AV31" s="76"/>
      <c r="AW31" s="83" t="str">
        <f>HYPERLINK("https://t.co/xzR9a3YvLi")</f>
        <v>https://t.co/xzR9a3YvLi</v>
      </c>
      <c r="AX31" s="76" t="b">
        <v>0</v>
      </c>
      <c r="AY31" s="76"/>
      <c r="AZ31" s="76"/>
      <c r="BA31" s="76" t="b">
        <v>0</v>
      </c>
      <c r="BB31" s="76" t="b">
        <v>1</v>
      </c>
      <c r="BC31" s="76" t="b">
        <v>1</v>
      </c>
      <c r="BD31" s="76" t="b">
        <v>0</v>
      </c>
      <c r="BE31" s="76" t="b">
        <v>0</v>
      </c>
      <c r="BF31" s="76" t="b">
        <v>0</v>
      </c>
      <c r="BG31" s="76" t="b">
        <v>0</v>
      </c>
      <c r="BH31" s="76"/>
      <c r="BI31" s="76"/>
      <c r="BJ31" s="76" t="s">
        <v>18704</v>
      </c>
      <c r="BK31" s="76" t="b">
        <v>0</v>
      </c>
      <c r="BL31" s="76"/>
      <c r="BM31" s="76" t="s">
        <v>66</v>
      </c>
      <c r="BN31" s="76" t="s">
        <v>18706</v>
      </c>
      <c r="BO31" s="83" t="str">
        <f>HYPERLINK("https://twitter.com/jornadacapital")</f>
        <v>https://twitter.com/jornadacapital</v>
      </c>
      <c r="BP31" s="2"/>
    </row>
    <row r="32" spans="1:68" x14ac:dyDescent="0.25">
      <c r="A32" s="62" t="s">
        <v>248</v>
      </c>
      <c r="B32" s="63"/>
      <c r="C32" s="63"/>
      <c r="D32" s="64"/>
      <c r="E32" s="66"/>
      <c r="F32" s="102" t="str">
        <f>HYPERLINK("https://pbs.twimg.com/profile_images/1689814362238672896/bm10Zi2O_normal.jpg")</f>
        <v>https://pbs.twimg.com/profile_images/1689814362238672896/bm10Zi2O_normal.jpg</v>
      </c>
      <c r="G32" s="63"/>
      <c r="H32" s="67"/>
      <c r="I32" s="68"/>
      <c r="J32" s="68"/>
      <c r="K32" s="67" t="s">
        <v>18735</v>
      </c>
      <c r="L32" s="71"/>
      <c r="M32" s="72"/>
      <c r="N32" s="72"/>
      <c r="O32" s="73"/>
      <c r="P32" s="74"/>
      <c r="Q32" s="74"/>
      <c r="R32" s="86"/>
      <c r="S32" s="86"/>
      <c r="T32" s="86"/>
      <c r="U32" s="86"/>
      <c r="V32" s="48"/>
      <c r="W32" s="48"/>
      <c r="X32" s="48"/>
      <c r="Y32" s="48"/>
      <c r="Z32" s="47"/>
      <c r="AA32" s="69">
        <v>32</v>
      </c>
      <c r="AB32" s="69"/>
      <c r="AC32" s="70"/>
      <c r="AD32" s="76" t="s">
        <v>16466</v>
      </c>
      <c r="AE32" s="81" t="s">
        <v>16116</v>
      </c>
      <c r="AF32" s="76">
        <v>3</v>
      </c>
      <c r="AG32" s="76">
        <v>29</v>
      </c>
      <c r="AH32" s="76">
        <v>53</v>
      </c>
      <c r="AI32" s="76">
        <v>0</v>
      </c>
      <c r="AJ32" s="76">
        <v>4</v>
      </c>
      <c r="AK32" s="76">
        <v>26</v>
      </c>
      <c r="AL32" s="76" t="b">
        <v>0</v>
      </c>
      <c r="AM32" s="78">
        <v>45110.982037037036</v>
      </c>
      <c r="AN32" s="76"/>
      <c r="AO32" s="76" t="s">
        <v>17674</v>
      </c>
      <c r="AP32" s="76"/>
      <c r="AQ32" s="76"/>
      <c r="AR32" s="76"/>
      <c r="AS32" s="76"/>
      <c r="AT32" s="76"/>
      <c r="AU32" s="76"/>
      <c r="AV32" s="76"/>
      <c r="AW32" s="76"/>
      <c r="AX32" s="76" t="b">
        <v>0</v>
      </c>
      <c r="AY32" s="76"/>
      <c r="AZ32" s="76"/>
      <c r="BA32" s="76" t="b">
        <v>0</v>
      </c>
      <c r="BB32" s="76" t="b">
        <v>1</v>
      </c>
      <c r="BC32" s="76" t="b">
        <v>1</v>
      </c>
      <c r="BD32" s="76" t="b">
        <v>0</v>
      </c>
      <c r="BE32" s="76" t="b">
        <v>0</v>
      </c>
      <c r="BF32" s="76" t="b">
        <v>0</v>
      </c>
      <c r="BG32" s="76" t="b">
        <v>0</v>
      </c>
      <c r="BH32" s="83" t="str">
        <f>HYPERLINK("https://pbs.twimg.com/profile_banners/1676011361527029762/1690511223")</f>
        <v>https://pbs.twimg.com/profile_banners/1676011361527029762/1690511223</v>
      </c>
      <c r="BI32" s="76"/>
      <c r="BJ32" s="76" t="s">
        <v>18704</v>
      </c>
      <c r="BK32" s="76" t="b">
        <v>0</v>
      </c>
      <c r="BL32" s="76"/>
      <c r="BM32" s="76" t="s">
        <v>66</v>
      </c>
      <c r="BN32" s="76" t="s">
        <v>18706</v>
      </c>
      <c r="BO32" s="83" t="str">
        <f>HYPERLINK("https://twitter.com/rodrigoalv1981")</f>
        <v>https://twitter.com/rodrigoalv1981</v>
      </c>
      <c r="BP32" s="2"/>
    </row>
    <row r="33" spans="1:68" x14ac:dyDescent="0.25">
      <c r="A33" s="62" t="s">
        <v>249</v>
      </c>
      <c r="B33" s="63"/>
      <c r="C33" s="63"/>
      <c r="D33" s="64"/>
      <c r="E33" s="66"/>
      <c r="F33" s="102" t="str">
        <f>HYPERLINK("https://pbs.twimg.com/profile_images/1431976607103737862/Z8tu3irG_normal.jpg")</f>
        <v>https://pbs.twimg.com/profile_images/1431976607103737862/Z8tu3irG_normal.jpg</v>
      </c>
      <c r="G33" s="63"/>
      <c r="H33" s="67"/>
      <c r="I33" s="68"/>
      <c r="J33" s="68"/>
      <c r="K33" s="67" t="s">
        <v>18736</v>
      </c>
      <c r="L33" s="71"/>
      <c r="M33" s="72"/>
      <c r="N33" s="72"/>
      <c r="O33" s="73"/>
      <c r="P33" s="74"/>
      <c r="Q33" s="74"/>
      <c r="R33" s="86"/>
      <c r="S33" s="86"/>
      <c r="T33" s="86"/>
      <c r="U33" s="86"/>
      <c r="V33" s="48"/>
      <c r="W33" s="48"/>
      <c r="X33" s="48"/>
      <c r="Y33" s="48"/>
      <c r="Z33" s="47"/>
      <c r="AA33" s="69">
        <v>33</v>
      </c>
      <c r="AB33" s="69"/>
      <c r="AC33" s="70"/>
      <c r="AD33" s="76" t="s">
        <v>16467</v>
      </c>
      <c r="AE33" s="81" t="s">
        <v>16117</v>
      </c>
      <c r="AF33" s="76">
        <v>3</v>
      </c>
      <c r="AG33" s="76">
        <v>49</v>
      </c>
      <c r="AH33" s="76">
        <v>2574</v>
      </c>
      <c r="AI33" s="76">
        <v>0</v>
      </c>
      <c r="AJ33" s="76">
        <v>43</v>
      </c>
      <c r="AK33" s="76">
        <v>11</v>
      </c>
      <c r="AL33" s="76" t="b">
        <v>0</v>
      </c>
      <c r="AM33" s="78">
        <v>44437.564201388886</v>
      </c>
      <c r="AN33" s="76" t="s">
        <v>10580</v>
      </c>
      <c r="AO33" s="76" t="s">
        <v>17675</v>
      </c>
      <c r="AP33" s="76"/>
      <c r="AQ33" s="76"/>
      <c r="AR33" s="76"/>
      <c r="AS33" s="76"/>
      <c r="AT33" s="76"/>
      <c r="AU33" s="76"/>
      <c r="AV33" s="76"/>
      <c r="AW33" s="76"/>
      <c r="AX33" s="76" t="b">
        <v>0</v>
      </c>
      <c r="AY33" s="76"/>
      <c r="AZ33" s="76"/>
      <c r="BA33" s="76" t="b">
        <v>0</v>
      </c>
      <c r="BB33" s="76" t="b">
        <v>1</v>
      </c>
      <c r="BC33" s="76" t="b">
        <v>1</v>
      </c>
      <c r="BD33" s="76" t="b">
        <v>0</v>
      </c>
      <c r="BE33" s="76" t="b">
        <v>0</v>
      </c>
      <c r="BF33" s="76" t="b">
        <v>0</v>
      </c>
      <c r="BG33" s="76" t="b">
        <v>0</v>
      </c>
      <c r="BH33" s="83" t="str">
        <f>HYPERLINK("https://pbs.twimg.com/profile_banners/1431972880980627458/1630245119")</f>
        <v>https://pbs.twimg.com/profile_banners/1431972880980627458/1630245119</v>
      </c>
      <c r="BI33" s="76"/>
      <c r="BJ33" s="76" t="s">
        <v>18704</v>
      </c>
      <c r="BK33" s="76" t="b">
        <v>0</v>
      </c>
      <c r="BL33" s="76"/>
      <c r="BM33" s="76" t="s">
        <v>66</v>
      </c>
      <c r="BN33" s="76" t="s">
        <v>18706</v>
      </c>
      <c r="BO33" s="83" t="str">
        <f>HYPERLINK("https://twitter.com/jedimosqueteiro")</f>
        <v>https://twitter.com/jedimosqueteiro</v>
      </c>
      <c r="BP33" s="2"/>
    </row>
    <row r="34" spans="1:68" x14ac:dyDescent="0.25">
      <c r="A34" s="62" t="s">
        <v>529</v>
      </c>
      <c r="B34" s="63"/>
      <c r="C34" s="63"/>
      <c r="D34" s="64"/>
      <c r="E34" s="66"/>
      <c r="F34" s="102" t="str">
        <f>HYPERLINK("https://pbs.twimg.com/profile_images/1327606670453854211/QxCVNmHW_normal.jpg")</f>
        <v>https://pbs.twimg.com/profile_images/1327606670453854211/QxCVNmHW_normal.jpg</v>
      </c>
      <c r="G34" s="63"/>
      <c r="H34" s="67"/>
      <c r="I34" s="68"/>
      <c r="J34" s="68"/>
      <c r="K34" s="67" t="s">
        <v>18737</v>
      </c>
      <c r="L34" s="71"/>
      <c r="M34" s="72"/>
      <c r="N34" s="72"/>
      <c r="O34" s="73"/>
      <c r="P34" s="74"/>
      <c r="Q34" s="74"/>
      <c r="R34" s="86"/>
      <c r="S34" s="86"/>
      <c r="T34" s="86"/>
      <c r="U34" s="86"/>
      <c r="V34" s="48"/>
      <c r="W34" s="48"/>
      <c r="X34" s="48"/>
      <c r="Y34" s="48"/>
      <c r="Z34" s="47"/>
      <c r="AA34" s="69">
        <v>34</v>
      </c>
      <c r="AB34" s="69"/>
      <c r="AC34" s="70"/>
      <c r="AD34" s="76" t="s">
        <v>16468</v>
      </c>
      <c r="AE34" s="81" t="s">
        <v>17110</v>
      </c>
      <c r="AF34" s="76">
        <v>1512278</v>
      </c>
      <c r="AG34" s="76">
        <v>3324</v>
      </c>
      <c r="AH34" s="76">
        <v>36729</v>
      </c>
      <c r="AI34" s="76">
        <v>2126</v>
      </c>
      <c r="AJ34" s="76">
        <v>13094</v>
      </c>
      <c r="AK34" s="76">
        <v>11569</v>
      </c>
      <c r="AL34" s="76" t="b">
        <v>0</v>
      </c>
      <c r="AM34" s="78">
        <v>40358.541250000002</v>
      </c>
      <c r="AN34" s="76" t="s">
        <v>10607</v>
      </c>
      <c r="AO34" s="76" t="s">
        <v>17676</v>
      </c>
      <c r="AP34" s="83" t="str">
        <f>HYPERLINK("https://t.co/vtmLbaLKTi")</f>
        <v>https://t.co/vtmLbaLKTi</v>
      </c>
      <c r="AQ34" s="83" t="str">
        <f>HYPERLINK("https://linkme.bio/ibest-ricardo-amorim")</f>
        <v>https://linkme.bio/ibest-ricardo-amorim</v>
      </c>
      <c r="AR34" s="76" t="s">
        <v>18265</v>
      </c>
      <c r="AS34" s="76"/>
      <c r="AT34" s="76"/>
      <c r="AU34" s="76"/>
      <c r="AV34" s="76">
        <v>1.6896123717135501E+18</v>
      </c>
      <c r="AW34" s="83" t="str">
        <f>HYPERLINK("https://t.co/vtmLbaLKTi")</f>
        <v>https://t.co/vtmLbaLKTi</v>
      </c>
      <c r="AX34" s="76" t="b">
        <v>1</v>
      </c>
      <c r="AY34" s="76"/>
      <c r="AZ34" s="76"/>
      <c r="BA34" s="76" t="b">
        <v>0</v>
      </c>
      <c r="BB34" s="76" t="b">
        <v>1</v>
      </c>
      <c r="BC34" s="76" t="b">
        <v>0</v>
      </c>
      <c r="BD34" s="76" t="b">
        <v>0</v>
      </c>
      <c r="BE34" s="76" t="b">
        <v>1</v>
      </c>
      <c r="BF34" s="76" t="b">
        <v>0</v>
      </c>
      <c r="BG34" s="76" t="b">
        <v>0</v>
      </c>
      <c r="BH34" s="83" t="str">
        <f>HYPERLINK("https://pbs.twimg.com/profile_banners/160910872/1671805771")</f>
        <v>https://pbs.twimg.com/profile_banners/160910872/1671805771</v>
      </c>
      <c r="BI34" s="76"/>
      <c r="BJ34" s="76" t="s">
        <v>18704</v>
      </c>
      <c r="BK34" s="76" t="b">
        <v>0</v>
      </c>
      <c r="BL34" s="76"/>
      <c r="BM34" s="76" t="s">
        <v>66</v>
      </c>
      <c r="BN34" s="76" t="s">
        <v>18706</v>
      </c>
      <c r="BO34" s="83" t="str">
        <f>HYPERLINK("https://twitter.com/ricamconsult")</f>
        <v>https://twitter.com/ricamconsult</v>
      </c>
      <c r="BP34" s="2"/>
    </row>
    <row r="35" spans="1:68" x14ac:dyDescent="0.25">
      <c r="A35" s="62" t="s">
        <v>250</v>
      </c>
      <c r="B35" s="63"/>
      <c r="C35" s="63"/>
      <c r="D35" s="64"/>
      <c r="E35" s="66"/>
      <c r="F35" s="102" t="str">
        <f>HYPERLINK("https://pbs.twimg.com/profile_images/978589356024885248/FFFA1pj2_normal.jpg")</f>
        <v>https://pbs.twimg.com/profile_images/978589356024885248/FFFA1pj2_normal.jpg</v>
      </c>
      <c r="G35" s="63"/>
      <c r="H35" s="67"/>
      <c r="I35" s="68"/>
      <c r="J35" s="68"/>
      <c r="K35" s="67" t="s">
        <v>18738</v>
      </c>
      <c r="L35" s="71"/>
      <c r="M35" s="72"/>
      <c r="N35" s="72"/>
      <c r="O35" s="73"/>
      <c r="P35" s="74"/>
      <c r="Q35" s="74"/>
      <c r="R35" s="86"/>
      <c r="S35" s="86"/>
      <c r="T35" s="86"/>
      <c r="U35" s="86"/>
      <c r="V35" s="48"/>
      <c r="W35" s="48"/>
      <c r="X35" s="48"/>
      <c r="Y35" s="48"/>
      <c r="Z35" s="47"/>
      <c r="AA35" s="69">
        <v>35</v>
      </c>
      <c r="AB35" s="69"/>
      <c r="AC35" s="70"/>
      <c r="AD35" s="76" t="s">
        <v>16469</v>
      </c>
      <c r="AE35" s="81" t="s">
        <v>17111</v>
      </c>
      <c r="AF35" s="76">
        <v>5502</v>
      </c>
      <c r="AG35" s="76">
        <v>12</v>
      </c>
      <c r="AH35" s="76">
        <v>1822</v>
      </c>
      <c r="AI35" s="76">
        <v>33</v>
      </c>
      <c r="AJ35" s="76">
        <v>1293</v>
      </c>
      <c r="AK35" s="76">
        <v>872</v>
      </c>
      <c r="AL35" s="76" t="b">
        <v>0</v>
      </c>
      <c r="AM35" s="78">
        <v>42367.802939814814</v>
      </c>
      <c r="AN35" s="76" t="s">
        <v>17410</v>
      </c>
      <c r="AO35" s="76" t="s">
        <v>17677</v>
      </c>
      <c r="AP35" s="83" t="str">
        <f>HYPERLINK("https://t.co/mzUGrBlzAU")</f>
        <v>https://t.co/mzUGrBlzAU</v>
      </c>
      <c r="AQ35" s="83" t="str">
        <f>HYPERLINK("http://www.pawealth.in")</f>
        <v>http://www.pawealth.in</v>
      </c>
      <c r="AR35" s="76" t="s">
        <v>18266</v>
      </c>
      <c r="AS35" s="76"/>
      <c r="AT35" s="76"/>
      <c r="AU35" s="76"/>
      <c r="AV35" s="76">
        <v>1.12162796127317E+18</v>
      </c>
      <c r="AW35" s="83" t="str">
        <f>HYPERLINK("https://t.co/mzUGrBlzAU")</f>
        <v>https://t.co/mzUGrBlzAU</v>
      </c>
      <c r="AX35" s="76" t="b">
        <v>0</v>
      </c>
      <c r="AY35" s="76"/>
      <c r="AZ35" s="76"/>
      <c r="BA35" s="76" t="b">
        <v>1</v>
      </c>
      <c r="BB35" s="76" t="b">
        <v>1</v>
      </c>
      <c r="BC35" s="76" t="b">
        <v>1</v>
      </c>
      <c r="BD35" s="76" t="b">
        <v>0</v>
      </c>
      <c r="BE35" s="76" t="b">
        <v>1</v>
      </c>
      <c r="BF35" s="76" t="b">
        <v>0</v>
      </c>
      <c r="BG35" s="76" t="b">
        <v>0</v>
      </c>
      <c r="BH35" s="83" t="str">
        <f>HYPERLINK("https://pbs.twimg.com/profile_banners/4674174732/1695646362")</f>
        <v>https://pbs.twimg.com/profile_banners/4674174732/1695646362</v>
      </c>
      <c r="BI35" s="76"/>
      <c r="BJ35" s="76" t="s">
        <v>18704</v>
      </c>
      <c r="BK35" s="76" t="b">
        <v>0</v>
      </c>
      <c r="BL35" s="76"/>
      <c r="BM35" s="76" t="s">
        <v>66</v>
      </c>
      <c r="BN35" s="76" t="s">
        <v>18706</v>
      </c>
      <c r="BO35" s="83" t="str">
        <f>HYPERLINK("https://twitter.com/pawealthh")</f>
        <v>https://twitter.com/pawealthh</v>
      </c>
      <c r="BP35" s="2"/>
    </row>
    <row r="36" spans="1:68" x14ac:dyDescent="0.25">
      <c r="A36" s="62" t="s">
        <v>744</v>
      </c>
      <c r="B36" s="63"/>
      <c r="C36" s="63"/>
      <c r="D36" s="64"/>
      <c r="E36" s="66"/>
      <c r="F36" s="102" t="str">
        <f>HYPERLINK("https://pbs.twimg.com/profile_images/1514494162648764418/ZRWfXTN7_normal.jpg")</f>
        <v>https://pbs.twimg.com/profile_images/1514494162648764418/ZRWfXTN7_normal.jpg</v>
      </c>
      <c r="G36" s="63"/>
      <c r="H36" s="67"/>
      <c r="I36" s="68"/>
      <c r="J36" s="68"/>
      <c r="K36" s="67" t="s">
        <v>18739</v>
      </c>
      <c r="L36" s="71"/>
      <c r="M36" s="72"/>
      <c r="N36" s="72"/>
      <c r="O36" s="73"/>
      <c r="P36" s="74"/>
      <c r="Q36" s="74"/>
      <c r="R36" s="86"/>
      <c r="S36" s="86"/>
      <c r="T36" s="86"/>
      <c r="U36" s="86"/>
      <c r="V36" s="48"/>
      <c r="W36" s="48"/>
      <c r="X36" s="48"/>
      <c r="Y36" s="48"/>
      <c r="Z36" s="47"/>
      <c r="AA36" s="69">
        <v>36</v>
      </c>
      <c r="AB36" s="69"/>
      <c r="AC36" s="70"/>
      <c r="AD36" s="76" t="s">
        <v>16470</v>
      </c>
      <c r="AE36" s="81" t="s">
        <v>17112</v>
      </c>
      <c r="AF36" s="76">
        <v>13981</v>
      </c>
      <c r="AG36" s="76">
        <v>79</v>
      </c>
      <c r="AH36" s="76">
        <v>2012</v>
      </c>
      <c r="AI36" s="76">
        <v>79</v>
      </c>
      <c r="AJ36" s="76">
        <v>1714</v>
      </c>
      <c r="AK36" s="76">
        <v>623</v>
      </c>
      <c r="AL36" s="76" t="b">
        <v>0</v>
      </c>
      <c r="AM36" s="78">
        <v>42323.472534722219</v>
      </c>
      <c r="AN36" s="76" t="s">
        <v>17411</v>
      </c>
      <c r="AO36" s="76" t="s">
        <v>17678</v>
      </c>
      <c r="AP36" s="83" t="str">
        <f>HYPERLINK("https://t.co/OPmzv5nO69")</f>
        <v>https://t.co/OPmzv5nO69</v>
      </c>
      <c r="AQ36" s="83" t="str">
        <f>HYPERLINK("http://blog.pawealth.in")</f>
        <v>http://blog.pawealth.in</v>
      </c>
      <c r="AR36" s="76" t="s">
        <v>18267</v>
      </c>
      <c r="AS36" s="76"/>
      <c r="AT36" s="76"/>
      <c r="AU36" s="76"/>
      <c r="AV36" s="76">
        <v>6.8151833765479603E+17</v>
      </c>
      <c r="AW36" s="83" t="str">
        <f>HYPERLINK("https://t.co/OPmzv5nO69")</f>
        <v>https://t.co/OPmzv5nO69</v>
      </c>
      <c r="AX36" s="76" t="b">
        <v>0</v>
      </c>
      <c r="AY36" s="76"/>
      <c r="AZ36" s="76"/>
      <c r="BA36" s="76" t="b">
        <v>1</v>
      </c>
      <c r="BB36" s="76" t="b">
        <v>1</v>
      </c>
      <c r="BC36" s="76" t="b">
        <v>1</v>
      </c>
      <c r="BD36" s="76" t="b">
        <v>0</v>
      </c>
      <c r="BE36" s="76" t="b">
        <v>1</v>
      </c>
      <c r="BF36" s="76" t="b">
        <v>0</v>
      </c>
      <c r="BG36" s="76" t="b">
        <v>0</v>
      </c>
      <c r="BH36" s="83" t="str">
        <f>HYPERLINK("https://pbs.twimg.com/profile_banners/4245046753/1627569888")</f>
        <v>https://pbs.twimg.com/profile_banners/4245046753/1627569888</v>
      </c>
      <c r="BI36" s="76"/>
      <c r="BJ36" s="76" t="s">
        <v>18704</v>
      </c>
      <c r="BK36" s="76" t="b">
        <v>0</v>
      </c>
      <c r="BL36" s="76"/>
      <c r="BM36" s="76" t="s">
        <v>65</v>
      </c>
      <c r="BN36" s="76" t="s">
        <v>18706</v>
      </c>
      <c r="BO36" s="83" t="str">
        <f>HYPERLINK("https://twitter.com/parasbehl7")</f>
        <v>https://twitter.com/parasbehl7</v>
      </c>
      <c r="BP36" s="2"/>
    </row>
    <row r="37" spans="1:68" x14ac:dyDescent="0.25">
      <c r="A37" s="62" t="s">
        <v>251</v>
      </c>
      <c r="B37" s="63"/>
      <c r="C37" s="63"/>
      <c r="D37" s="64"/>
      <c r="E37" s="66"/>
      <c r="F37" s="102" t="str">
        <f>HYPERLINK("https://pbs.twimg.com/profile_images/1046188306449551360/u6gVVOZM_normal.jpg")</f>
        <v>https://pbs.twimg.com/profile_images/1046188306449551360/u6gVVOZM_normal.jpg</v>
      </c>
      <c r="G37" s="63"/>
      <c r="H37" s="67"/>
      <c r="I37" s="68"/>
      <c r="J37" s="68"/>
      <c r="K37" s="67" t="s">
        <v>18740</v>
      </c>
      <c r="L37" s="71"/>
      <c r="M37" s="72"/>
      <c r="N37" s="72"/>
      <c r="O37" s="73"/>
      <c r="P37" s="74"/>
      <c r="Q37" s="74"/>
      <c r="R37" s="86"/>
      <c r="S37" s="86"/>
      <c r="T37" s="86"/>
      <c r="U37" s="86"/>
      <c r="V37" s="48"/>
      <c r="W37" s="48"/>
      <c r="X37" s="48"/>
      <c r="Y37" s="48"/>
      <c r="Z37" s="47"/>
      <c r="AA37" s="69">
        <v>37</v>
      </c>
      <c r="AB37" s="69"/>
      <c r="AC37" s="70"/>
      <c r="AD37" s="76" t="s">
        <v>16471</v>
      </c>
      <c r="AE37" s="81" t="s">
        <v>17113</v>
      </c>
      <c r="AF37" s="76">
        <v>4843</v>
      </c>
      <c r="AG37" s="76">
        <v>91</v>
      </c>
      <c r="AH37" s="76">
        <v>3105</v>
      </c>
      <c r="AI37" s="76">
        <v>85</v>
      </c>
      <c r="AJ37" s="76">
        <v>31501</v>
      </c>
      <c r="AK37" s="76">
        <v>1221</v>
      </c>
      <c r="AL37" s="76" t="b">
        <v>0</v>
      </c>
      <c r="AM37" s="78">
        <v>40975.038726851853</v>
      </c>
      <c r="AN37" s="76" t="s">
        <v>17412</v>
      </c>
      <c r="AO37" s="76" t="s">
        <v>17679</v>
      </c>
      <c r="AP37" s="83" t="str">
        <f>HYPERLINK("https://t.co/x9EXY0d8Yj")</f>
        <v>https://t.co/x9EXY0d8Yj</v>
      </c>
      <c r="AQ37" s="83" t="str">
        <f>HYPERLINK("http://www.unespeculador.com")</f>
        <v>http://www.unespeculador.com</v>
      </c>
      <c r="AR37" s="76" t="s">
        <v>18268</v>
      </c>
      <c r="AS37" s="76" t="s">
        <v>18630</v>
      </c>
      <c r="AT37" s="76" t="s">
        <v>18641</v>
      </c>
      <c r="AU37" s="76" t="s">
        <v>18652</v>
      </c>
      <c r="AV37" s="76">
        <v>1.62004453113058E+18</v>
      </c>
      <c r="AW37" s="83" t="str">
        <f>HYPERLINK("https://t.co/x9EXY0d8Yj")</f>
        <v>https://t.co/x9EXY0d8Yj</v>
      </c>
      <c r="AX37" s="76" t="b">
        <v>1</v>
      </c>
      <c r="AY37" s="76"/>
      <c r="AZ37" s="76"/>
      <c r="BA37" s="76" t="b">
        <v>1</v>
      </c>
      <c r="BB37" s="76" t="b">
        <v>1</v>
      </c>
      <c r="BC37" s="76" t="b">
        <v>0</v>
      </c>
      <c r="BD37" s="76" t="b">
        <v>0</v>
      </c>
      <c r="BE37" s="76" t="b">
        <v>1</v>
      </c>
      <c r="BF37" s="76" t="b">
        <v>0</v>
      </c>
      <c r="BG37" s="76" t="b">
        <v>0</v>
      </c>
      <c r="BH37" s="83" t="str">
        <f>HYPERLINK("https://pbs.twimg.com/profile_banners/517061258/1657507527")</f>
        <v>https://pbs.twimg.com/profile_banners/517061258/1657507527</v>
      </c>
      <c r="BI37" s="76"/>
      <c r="BJ37" s="76" t="s">
        <v>18704</v>
      </c>
      <c r="BK37" s="76" t="b">
        <v>0</v>
      </c>
      <c r="BL37" s="76"/>
      <c r="BM37" s="76" t="s">
        <v>66</v>
      </c>
      <c r="BN37" s="76" t="s">
        <v>18706</v>
      </c>
      <c r="BO37" s="83" t="str">
        <f>HYPERLINK("https://twitter.com/enricjaimez")</f>
        <v>https://twitter.com/enricjaimez</v>
      </c>
      <c r="BP37" s="2"/>
    </row>
    <row r="38" spans="1:68" x14ac:dyDescent="0.25">
      <c r="A38" s="62" t="s">
        <v>252</v>
      </c>
      <c r="B38" s="63"/>
      <c r="C38" s="63"/>
      <c r="D38" s="64"/>
      <c r="E38" s="66"/>
      <c r="F38" s="102" t="str">
        <f>HYPERLINK("https://pbs.twimg.com/profile_images/1158436917777784832/-qUe_QRS_normal.jpg")</f>
        <v>https://pbs.twimg.com/profile_images/1158436917777784832/-qUe_QRS_normal.jpg</v>
      </c>
      <c r="G38" s="63"/>
      <c r="H38" s="67"/>
      <c r="I38" s="68"/>
      <c r="J38" s="68"/>
      <c r="K38" s="67" t="s">
        <v>18741</v>
      </c>
      <c r="L38" s="71"/>
      <c r="M38" s="72"/>
      <c r="N38" s="72"/>
      <c r="O38" s="73"/>
      <c r="P38" s="74"/>
      <c r="Q38" s="74"/>
      <c r="R38" s="86"/>
      <c r="S38" s="86"/>
      <c r="T38" s="86"/>
      <c r="U38" s="86"/>
      <c r="V38" s="48"/>
      <c r="W38" s="48"/>
      <c r="X38" s="48"/>
      <c r="Y38" s="48"/>
      <c r="Z38" s="47"/>
      <c r="AA38" s="69">
        <v>38</v>
      </c>
      <c r="AB38" s="69"/>
      <c r="AC38" s="70"/>
      <c r="AD38" s="76" t="s">
        <v>16472</v>
      </c>
      <c r="AE38" s="81" t="s">
        <v>16118</v>
      </c>
      <c r="AF38" s="76">
        <v>823</v>
      </c>
      <c r="AG38" s="76">
        <v>2186</v>
      </c>
      <c r="AH38" s="76">
        <v>2936</v>
      </c>
      <c r="AI38" s="76">
        <v>3</v>
      </c>
      <c r="AJ38" s="76">
        <v>68</v>
      </c>
      <c r="AK38" s="76">
        <v>2</v>
      </c>
      <c r="AL38" s="76" t="b">
        <v>0</v>
      </c>
      <c r="AM38" s="78">
        <v>43682.748067129629</v>
      </c>
      <c r="AN38" s="76"/>
      <c r="AO38" s="76" t="s">
        <v>17680</v>
      </c>
      <c r="AP38" s="76"/>
      <c r="AQ38" s="76"/>
      <c r="AR38" s="76"/>
      <c r="AS38" s="76"/>
      <c r="AT38" s="76"/>
      <c r="AU38" s="76"/>
      <c r="AV38" s="76"/>
      <c r="AW38" s="76"/>
      <c r="AX38" s="76" t="b">
        <v>0</v>
      </c>
      <c r="AY38" s="76"/>
      <c r="AZ38" s="76"/>
      <c r="BA38" s="76" t="b">
        <v>0</v>
      </c>
      <c r="BB38" s="76" t="b">
        <v>1</v>
      </c>
      <c r="BC38" s="76" t="b">
        <v>1</v>
      </c>
      <c r="BD38" s="76" t="b">
        <v>0</v>
      </c>
      <c r="BE38" s="76" t="b">
        <v>0</v>
      </c>
      <c r="BF38" s="76" t="b">
        <v>0</v>
      </c>
      <c r="BG38" s="76" t="b">
        <v>0</v>
      </c>
      <c r="BH38" s="76"/>
      <c r="BI38" s="76"/>
      <c r="BJ38" s="76" t="s">
        <v>18704</v>
      </c>
      <c r="BK38" s="76" t="b">
        <v>0</v>
      </c>
      <c r="BL38" s="76"/>
      <c r="BM38" s="76" t="s">
        <v>66</v>
      </c>
      <c r="BN38" s="76" t="s">
        <v>18706</v>
      </c>
      <c r="BO38" s="83" t="str">
        <f>HYPERLINK("https://twitter.com/juliossousa22")</f>
        <v>https://twitter.com/juliossousa22</v>
      </c>
      <c r="BP38" s="2"/>
    </row>
    <row r="39" spans="1:68" x14ac:dyDescent="0.25">
      <c r="A39" s="62" t="s">
        <v>253</v>
      </c>
      <c r="B39" s="63"/>
      <c r="C39" s="63"/>
      <c r="D39" s="64"/>
      <c r="E39" s="66"/>
      <c r="F39" s="102" t="str">
        <f>HYPERLINK("https://pbs.twimg.com/profile_images/1699834288835854336/F63UtGHs_normal.jpg")</f>
        <v>https://pbs.twimg.com/profile_images/1699834288835854336/F63UtGHs_normal.jpg</v>
      </c>
      <c r="G39" s="63"/>
      <c r="H39" s="67"/>
      <c r="I39" s="68"/>
      <c r="J39" s="68"/>
      <c r="K39" s="67" t="s">
        <v>18742</v>
      </c>
      <c r="L39" s="71"/>
      <c r="M39" s="72"/>
      <c r="N39" s="72"/>
      <c r="O39" s="73"/>
      <c r="P39" s="74"/>
      <c r="Q39" s="74"/>
      <c r="R39" s="86"/>
      <c r="S39" s="86"/>
      <c r="T39" s="86"/>
      <c r="U39" s="86"/>
      <c r="V39" s="48"/>
      <c r="W39" s="48"/>
      <c r="X39" s="48"/>
      <c r="Y39" s="48"/>
      <c r="Z39" s="47"/>
      <c r="AA39" s="69">
        <v>39</v>
      </c>
      <c r="AB39" s="69"/>
      <c r="AC39" s="70"/>
      <c r="AD39" s="76" t="s">
        <v>16473</v>
      </c>
      <c r="AE39" s="81" t="s">
        <v>16119</v>
      </c>
      <c r="AF39" s="76">
        <v>157</v>
      </c>
      <c r="AG39" s="76">
        <v>361</v>
      </c>
      <c r="AH39" s="76">
        <v>23</v>
      </c>
      <c r="AI39" s="76">
        <v>2</v>
      </c>
      <c r="AJ39" s="76">
        <v>3512</v>
      </c>
      <c r="AK39" s="76">
        <v>0</v>
      </c>
      <c r="AL39" s="76" t="b">
        <v>0</v>
      </c>
      <c r="AM39" s="78">
        <v>44989.892361111109</v>
      </c>
      <c r="AN39" s="76"/>
      <c r="AO39" s="76" t="s">
        <v>17681</v>
      </c>
      <c r="AP39" s="76"/>
      <c r="AQ39" s="76"/>
      <c r="AR39" s="76"/>
      <c r="AS39" s="76"/>
      <c r="AT39" s="76"/>
      <c r="AU39" s="76"/>
      <c r="AV39" s="76"/>
      <c r="AW39" s="76"/>
      <c r="AX39" s="76" t="b">
        <v>0</v>
      </c>
      <c r="AY39" s="76"/>
      <c r="AZ39" s="76"/>
      <c r="BA39" s="76" t="b">
        <v>1</v>
      </c>
      <c r="BB39" s="76" t="b">
        <v>1</v>
      </c>
      <c r="BC39" s="76" t="b">
        <v>1</v>
      </c>
      <c r="BD39" s="76" t="b">
        <v>0</v>
      </c>
      <c r="BE39" s="76" t="b">
        <v>0</v>
      </c>
      <c r="BF39" s="76" t="b">
        <v>0</v>
      </c>
      <c r="BG39" s="76" t="b">
        <v>0</v>
      </c>
      <c r="BH39" s="83" t="str">
        <f>HYPERLINK("https://pbs.twimg.com/profile_banners/1632129955227115523/1694107051")</f>
        <v>https://pbs.twimg.com/profile_banners/1632129955227115523/1694107051</v>
      </c>
      <c r="BI39" s="76"/>
      <c r="BJ39" s="76" t="s">
        <v>18704</v>
      </c>
      <c r="BK39" s="76" t="b">
        <v>0</v>
      </c>
      <c r="BL39" s="76"/>
      <c r="BM39" s="76" t="s">
        <v>66</v>
      </c>
      <c r="BN39" s="76" t="s">
        <v>18706</v>
      </c>
      <c r="BO39" s="83" t="str">
        <f>HYPERLINK("https://twitter.com/confi_trader")</f>
        <v>https://twitter.com/confi_trader</v>
      </c>
      <c r="BP39" s="2"/>
    </row>
    <row r="40" spans="1:68" x14ac:dyDescent="0.25">
      <c r="A40" s="62" t="s">
        <v>255</v>
      </c>
      <c r="B40" s="63"/>
      <c r="C40" s="63"/>
      <c r="D40" s="64"/>
      <c r="E40" s="66"/>
      <c r="F40" s="102" t="str">
        <f>HYPERLINK("https://pbs.twimg.com/profile_images/1696896936551305216/56O7Oahm_normal.jpg")</f>
        <v>https://pbs.twimg.com/profile_images/1696896936551305216/56O7Oahm_normal.jpg</v>
      </c>
      <c r="G40" s="63"/>
      <c r="H40" s="67"/>
      <c r="I40" s="68"/>
      <c r="J40" s="68"/>
      <c r="K40" s="67" t="s">
        <v>18743</v>
      </c>
      <c r="L40" s="71"/>
      <c r="M40" s="72"/>
      <c r="N40" s="72"/>
      <c r="O40" s="73"/>
      <c r="P40" s="74"/>
      <c r="Q40" s="74"/>
      <c r="R40" s="86"/>
      <c r="S40" s="86"/>
      <c r="T40" s="86"/>
      <c r="U40" s="86"/>
      <c r="V40" s="48"/>
      <c r="W40" s="48"/>
      <c r="X40" s="48"/>
      <c r="Y40" s="48"/>
      <c r="Z40" s="47"/>
      <c r="AA40" s="69">
        <v>40</v>
      </c>
      <c r="AB40" s="69"/>
      <c r="AC40" s="70"/>
      <c r="AD40" s="76" t="s">
        <v>16474</v>
      </c>
      <c r="AE40" s="81" t="s">
        <v>16120</v>
      </c>
      <c r="AF40" s="76">
        <v>2498</v>
      </c>
      <c r="AG40" s="76">
        <v>1691</v>
      </c>
      <c r="AH40" s="76">
        <v>4808</v>
      </c>
      <c r="AI40" s="76">
        <v>25</v>
      </c>
      <c r="AJ40" s="76">
        <v>8828</v>
      </c>
      <c r="AK40" s="76">
        <v>580</v>
      </c>
      <c r="AL40" s="76" t="b">
        <v>0</v>
      </c>
      <c r="AM40" s="78">
        <v>43170.131493055553</v>
      </c>
      <c r="AN40" s="76" t="s">
        <v>10586</v>
      </c>
      <c r="AO40" s="76" t="s">
        <v>17682</v>
      </c>
      <c r="AP40" s="83" t="str">
        <f>HYPERLINK("https://t.co/VygKay1p3I")</f>
        <v>https://t.co/VygKay1p3I</v>
      </c>
      <c r="AQ40" s="83" t="str">
        <f>HYPERLINK("https://linktr.ee/costafilhojoao")</f>
        <v>https://linktr.ee/costafilhojoao</v>
      </c>
      <c r="AR40" s="76" t="s">
        <v>18269</v>
      </c>
      <c r="AS40" s="76"/>
      <c r="AT40" s="76"/>
      <c r="AU40" s="76"/>
      <c r="AV40" s="76">
        <v>1.5095563319671301E+18</v>
      </c>
      <c r="AW40" s="83" t="str">
        <f>HYPERLINK("https://t.co/VygKay1p3I")</f>
        <v>https://t.co/VygKay1p3I</v>
      </c>
      <c r="AX40" s="76" t="b">
        <v>0</v>
      </c>
      <c r="AY40" s="76"/>
      <c r="AZ40" s="76"/>
      <c r="BA40" s="76" t="b">
        <v>1</v>
      </c>
      <c r="BB40" s="76" t="b">
        <v>1</v>
      </c>
      <c r="BC40" s="76" t="b">
        <v>0</v>
      </c>
      <c r="BD40" s="76" t="b">
        <v>0</v>
      </c>
      <c r="BE40" s="76" t="b">
        <v>1</v>
      </c>
      <c r="BF40" s="76" t="b">
        <v>0</v>
      </c>
      <c r="BG40" s="76" t="b">
        <v>0</v>
      </c>
      <c r="BH40" s="83" t="str">
        <f>HYPERLINK("https://pbs.twimg.com/profile_banners/972670786493403136/1648835172")</f>
        <v>https://pbs.twimg.com/profile_banners/972670786493403136/1648835172</v>
      </c>
      <c r="BI40" s="76"/>
      <c r="BJ40" s="76" t="s">
        <v>18704</v>
      </c>
      <c r="BK40" s="76" t="b">
        <v>0</v>
      </c>
      <c r="BL40" s="76"/>
      <c r="BM40" s="76" t="s">
        <v>66</v>
      </c>
      <c r="BN40" s="76" t="s">
        <v>18706</v>
      </c>
      <c r="BO40" s="83" t="str">
        <f>HYPERLINK("https://twitter.com/costafilhojoao")</f>
        <v>https://twitter.com/costafilhojoao</v>
      </c>
      <c r="BP40" s="2"/>
    </row>
    <row r="41" spans="1:68" x14ac:dyDescent="0.25">
      <c r="A41" s="62" t="s">
        <v>256</v>
      </c>
      <c r="B41" s="63"/>
      <c r="C41" s="63"/>
      <c r="D41" s="64"/>
      <c r="E41" s="66"/>
      <c r="F41" s="102" t="str">
        <f>HYPERLINK("https://pbs.twimg.com/profile_images/1675132868509548545/mmUaCGuZ_normal.jpg")</f>
        <v>https://pbs.twimg.com/profile_images/1675132868509548545/mmUaCGuZ_normal.jpg</v>
      </c>
      <c r="G41" s="63"/>
      <c r="H41" s="67"/>
      <c r="I41" s="68"/>
      <c r="J41" s="68"/>
      <c r="K41" s="67" t="s">
        <v>18744</v>
      </c>
      <c r="L41" s="71"/>
      <c r="M41" s="72"/>
      <c r="N41" s="72"/>
      <c r="O41" s="73"/>
      <c r="P41" s="74"/>
      <c r="Q41" s="74"/>
      <c r="R41" s="86"/>
      <c r="S41" s="86"/>
      <c r="T41" s="86"/>
      <c r="U41" s="86"/>
      <c r="V41" s="48"/>
      <c r="W41" s="48"/>
      <c r="X41" s="48"/>
      <c r="Y41" s="48"/>
      <c r="Z41" s="47"/>
      <c r="AA41" s="69">
        <v>41</v>
      </c>
      <c r="AB41" s="69"/>
      <c r="AC41" s="70"/>
      <c r="AD41" s="76" t="s">
        <v>16475</v>
      </c>
      <c r="AE41" s="81" t="s">
        <v>16121</v>
      </c>
      <c r="AF41" s="76">
        <v>3</v>
      </c>
      <c r="AG41" s="76">
        <v>74</v>
      </c>
      <c r="AH41" s="76">
        <v>212</v>
      </c>
      <c r="AI41" s="76">
        <v>0</v>
      </c>
      <c r="AJ41" s="76">
        <v>35</v>
      </c>
      <c r="AK41" s="76">
        <v>211</v>
      </c>
      <c r="AL41" s="76" t="b">
        <v>0</v>
      </c>
      <c r="AM41" s="78">
        <v>45108.551122685189</v>
      </c>
      <c r="AN41" s="76" t="s">
        <v>10607</v>
      </c>
      <c r="AO41" s="76" t="s">
        <v>17683</v>
      </c>
      <c r="AP41" s="83" t="str">
        <f>HYPERLINK("https://t.co/Pkpd07wydM")</f>
        <v>https://t.co/Pkpd07wydM</v>
      </c>
      <c r="AQ41" s="83" t="str">
        <f>HYPERLINK("https://www.clinicawashingtonamancio.com/")</f>
        <v>https://www.clinicawashingtonamancio.com/</v>
      </c>
      <c r="AR41" s="76" t="s">
        <v>18270</v>
      </c>
      <c r="AS41" s="76"/>
      <c r="AT41" s="76"/>
      <c r="AU41" s="76"/>
      <c r="AV41" s="76"/>
      <c r="AW41" s="83" t="str">
        <f>HYPERLINK("https://t.co/Pkpd07wydM")</f>
        <v>https://t.co/Pkpd07wydM</v>
      </c>
      <c r="AX41" s="76" t="b">
        <v>0</v>
      </c>
      <c r="AY41" s="76"/>
      <c r="AZ41" s="76"/>
      <c r="BA41" s="76" t="b">
        <v>0</v>
      </c>
      <c r="BB41" s="76" t="b">
        <v>1</v>
      </c>
      <c r="BC41" s="76" t="b">
        <v>1</v>
      </c>
      <c r="BD41" s="76" t="b">
        <v>0</v>
      </c>
      <c r="BE41" s="76" t="b">
        <v>0</v>
      </c>
      <c r="BF41" s="76" t="b">
        <v>0</v>
      </c>
      <c r="BG41" s="76" t="b">
        <v>0</v>
      </c>
      <c r="BH41" s="83" t="str">
        <f>HYPERLINK("https://pbs.twimg.com/profile_banners/1675130387658407938/1688217931")</f>
        <v>https://pbs.twimg.com/profile_banners/1675130387658407938/1688217931</v>
      </c>
      <c r="BI41" s="76"/>
      <c r="BJ41" s="76" t="s">
        <v>18704</v>
      </c>
      <c r="BK41" s="76" t="b">
        <v>0</v>
      </c>
      <c r="BL41" s="76"/>
      <c r="BM41" s="76" t="s">
        <v>66</v>
      </c>
      <c r="BN41" s="76" t="s">
        <v>18706</v>
      </c>
      <c r="BO41" s="83" t="str">
        <f>HYPERLINK("https://twitter.com/marcia23403")</f>
        <v>https://twitter.com/marcia23403</v>
      </c>
      <c r="BP41" s="2"/>
    </row>
    <row r="42" spans="1:68" x14ac:dyDescent="0.25">
      <c r="A42" s="62" t="s">
        <v>257</v>
      </c>
      <c r="B42" s="63"/>
      <c r="C42" s="63"/>
      <c r="D42" s="64"/>
      <c r="E42" s="66"/>
      <c r="F42" s="102" t="str">
        <f>HYPERLINK("https://pbs.twimg.com/profile_images/1364338878350577664/IEXEnw04_normal.jpg")</f>
        <v>https://pbs.twimg.com/profile_images/1364338878350577664/IEXEnw04_normal.jpg</v>
      </c>
      <c r="G42" s="63"/>
      <c r="H42" s="67"/>
      <c r="I42" s="68"/>
      <c r="J42" s="68"/>
      <c r="K42" s="67" t="s">
        <v>18745</v>
      </c>
      <c r="L42" s="71"/>
      <c r="M42" s="72"/>
      <c r="N42" s="72"/>
      <c r="O42" s="73"/>
      <c r="P42" s="74"/>
      <c r="Q42" s="74"/>
      <c r="R42" s="86"/>
      <c r="S42" s="86"/>
      <c r="T42" s="86"/>
      <c r="U42" s="86"/>
      <c r="V42" s="48"/>
      <c r="W42" s="48"/>
      <c r="X42" s="48"/>
      <c r="Y42" s="48"/>
      <c r="Z42" s="47"/>
      <c r="AA42" s="69">
        <v>42</v>
      </c>
      <c r="AB42" s="69"/>
      <c r="AC42" s="70"/>
      <c r="AD42" s="76" t="s">
        <v>16476</v>
      </c>
      <c r="AE42" s="81" t="s">
        <v>16122</v>
      </c>
      <c r="AF42" s="76">
        <v>828</v>
      </c>
      <c r="AG42" s="76">
        <v>278</v>
      </c>
      <c r="AH42" s="76">
        <v>17384</v>
      </c>
      <c r="AI42" s="76">
        <v>13</v>
      </c>
      <c r="AJ42" s="76">
        <v>10586</v>
      </c>
      <c r="AK42" s="76">
        <v>5812</v>
      </c>
      <c r="AL42" s="76" t="b">
        <v>0</v>
      </c>
      <c r="AM42" s="78">
        <v>43993.776655092595</v>
      </c>
      <c r="AN42" s="76" t="s">
        <v>17413</v>
      </c>
      <c r="AO42" s="76" t="s">
        <v>17684</v>
      </c>
      <c r="AP42" s="83" t="str">
        <f>HYPERLINK("https://t.co/QBCLAOPAZ6")</f>
        <v>https://t.co/QBCLAOPAZ6</v>
      </c>
      <c r="AQ42" s="83" t="str">
        <f>HYPERLINK("https://linktr.ee/seebumuarama")</f>
        <v>https://linktr.ee/seebumuarama</v>
      </c>
      <c r="AR42" s="76" t="s">
        <v>18271</v>
      </c>
      <c r="AS42" s="76"/>
      <c r="AT42" s="76"/>
      <c r="AU42" s="76"/>
      <c r="AV42" s="76"/>
      <c r="AW42" s="83" t="str">
        <f>HYPERLINK("https://t.co/QBCLAOPAZ6")</f>
        <v>https://t.co/QBCLAOPAZ6</v>
      </c>
      <c r="AX42" s="76" t="b">
        <v>0</v>
      </c>
      <c r="AY42" s="76"/>
      <c r="AZ42" s="76"/>
      <c r="BA42" s="76" t="b">
        <v>0</v>
      </c>
      <c r="BB42" s="76" t="b">
        <v>1</v>
      </c>
      <c r="BC42" s="76" t="b">
        <v>1</v>
      </c>
      <c r="BD42" s="76" t="b">
        <v>0</v>
      </c>
      <c r="BE42" s="76" t="b">
        <v>1</v>
      </c>
      <c r="BF42" s="76" t="b">
        <v>0</v>
      </c>
      <c r="BG42" s="76" t="b">
        <v>0</v>
      </c>
      <c r="BH42" s="83" t="str">
        <f>HYPERLINK("https://pbs.twimg.com/profile_banners/1271149730169577474/1628172009")</f>
        <v>https://pbs.twimg.com/profile_banners/1271149730169577474/1628172009</v>
      </c>
      <c r="BI42" s="76"/>
      <c r="BJ42" s="76" t="s">
        <v>18704</v>
      </c>
      <c r="BK42" s="76" t="b">
        <v>0</v>
      </c>
      <c r="BL42" s="76"/>
      <c r="BM42" s="76" t="s">
        <v>66</v>
      </c>
      <c r="BN42" s="76" t="s">
        <v>18706</v>
      </c>
      <c r="BO42" s="83" t="str">
        <f>HYPERLINK("https://twitter.com/seebumuarama")</f>
        <v>https://twitter.com/seebumuarama</v>
      </c>
      <c r="BP42" s="2"/>
    </row>
    <row r="43" spans="1:68" x14ac:dyDescent="0.25">
      <c r="A43" s="62" t="s">
        <v>258</v>
      </c>
      <c r="B43" s="63"/>
      <c r="C43" s="63"/>
      <c r="D43" s="64"/>
      <c r="E43" s="66"/>
      <c r="F43" s="102" t="str">
        <f>HYPERLINK("https://pbs.twimg.com/profile_images/1693617648054001664/qkj_q7m9_normal.jpg")</f>
        <v>https://pbs.twimg.com/profile_images/1693617648054001664/qkj_q7m9_normal.jpg</v>
      </c>
      <c r="G43" s="63"/>
      <c r="H43" s="67"/>
      <c r="I43" s="68"/>
      <c r="J43" s="68"/>
      <c r="K43" s="67" t="s">
        <v>18746</v>
      </c>
      <c r="L43" s="71"/>
      <c r="M43" s="72"/>
      <c r="N43" s="72"/>
      <c r="O43" s="73"/>
      <c r="P43" s="74"/>
      <c r="Q43" s="74"/>
      <c r="R43" s="86"/>
      <c r="S43" s="86"/>
      <c r="T43" s="86"/>
      <c r="U43" s="86"/>
      <c r="V43" s="48"/>
      <c r="W43" s="48"/>
      <c r="X43" s="48"/>
      <c r="Y43" s="48"/>
      <c r="Z43" s="47"/>
      <c r="AA43" s="69">
        <v>43</v>
      </c>
      <c r="AB43" s="69"/>
      <c r="AC43" s="70"/>
      <c r="AD43" s="76" t="s">
        <v>16477</v>
      </c>
      <c r="AE43" s="81" t="s">
        <v>16123</v>
      </c>
      <c r="AF43" s="76">
        <v>7</v>
      </c>
      <c r="AG43" s="76">
        <v>57</v>
      </c>
      <c r="AH43" s="76">
        <v>24</v>
      </c>
      <c r="AI43" s="76">
        <v>0</v>
      </c>
      <c r="AJ43" s="76">
        <v>1</v>
      </c>
      <c r="AK43" s="76">
        <v>9</v>
      </c>
      <c r="AL43" s="76" t="b">
        <v>0</v>
      </c>
      <c r="AM43" s="78">
        <v>45155.506736111114</v>
      </c>
      <c r="AN43" s="76"/>
      <c r="AO43" s="76" t="s">
        <v>17685</v>
      </c>
      <c r="AP43" s="76"/>
      <c r="AQ43" s="76"/>
      <c r="AR43" s="76"/>
      <c r="AS43" s="76"/>
      <c r="AT43" s="76"/>
      <c r="AU43" s="76"/>
      <c r="AV43" s="76">
        <v>1.6921569673666601E+18</v>
      </c>
      <c r="AW43" s="76"/>
      <c r="AX43" s="76" t="b">
        <v>0</v>
      </c>
      <c r="AY43" s="76"/>
      <c r="AZ43" s="76"/>
      <c r="BA43" s="76" t="b">
        <v>0</v>
      </c>
      <c r="BB43" s="76" t="b">
        <v>1</v>
      </c>
      <c r="BC43" s="76" t="b">
        <v>1</v>
      </c>
      <c r="BD43" s="76" t="b">
        <v>0</v>
      </c>
      <c r="BE43" s="76" t="b">
        <v>0</v>
      </c>
      <c r="BF43" s="76" t="b">
        <v>0</v>
      </c>
      <c r="BG43" s="76" t="b">
        <v>0</v>
      </c>
      <c r="BH43" s="83" t="str">
        <f>HYPERLINK("https://pbs.twimg.com/profile_banners/1692146622942052352/1692625383")</f>
        <v>https://pbs.twimg.com/profile_banners/1692146622942052352/1692625383</v>
      </c>
      <c r="BI43" s="76"/>
      <c r="BJ43" s="76" t="s">
        <v>18704</v>
      </c>
      <c r="BK43" s="76" t="b">
        <v>0</v>
      </c>
      <c r="BL43" s="76"/>
      <c r="BM43" s="76" t="s">
        <v>66</v>
      </c>
      <c r="BN43" s="76" t="s">
        <v>18706</v>
      </c>
      <c r="BO43" s="83" t="str">
        <f>HYPERLINK("https://twitter.com/qg_sardinhas")</f>
        <v>https://twitter.com/qg_sardinhas</v>
      </c>
      <c r="BP43" s="2"/>
    </row>
    <row r="44" spans="1:68" x14ac:dyDescent="0.25">
      <c r="A44" s="62" t="s">
        <v>259</v>
      </c>
      <c r="B44" s="63"/>
      <c r="C44" s="63"/>
      <c r="D44" s="64"/>
      <c r="E44" s="66"/>
      <c r="F44" s="102" t="str">
        <f>HYPERLINK("https://pbs.twimg.com/profile_images/1292104750985547776/sxgTuoYT_normal.jpg")</f>
        <v>https://pbs.twimg.com/profile_images/1292104750985547776/sxgTuoYT_normal.jpg</v>
      </c>
      <c r="G44" s="63"/>
      <c r="H44" s="67"/>
      <c r="I44" s="68"/>
      <c r="J44" s="68"/>
      <c r="K44" s="67" t="s">
        <v>18747</v>
      </c>
      <c r="L44" s="71"/>
      <c r="M44" s="72"/>
      <c r="N44" s="72"/>
      <c r="O44" s="73"/>
      <c r="P44" s="74"/>
      <c r="Q44" s="74"/>
      <c r="R44" s="86"/>
      <c r="S44" s="86"/>
      <c r="T44" s="86"/>
      <c r="U44" s="86"/>
      <c r="V44" s="48"/>
      <c r="W44" s="48"/>
      <c r="X44" s="48"/>
      <c r="Y44" s="48"/>
      <c r="Z44" s="47"/>
      <c r="AA44" s="69">
        <v>44</v>
      </c>
      <c r="AB44" s="69"/>
      <c r="AC44" s="70"/>
      <c r="AD44" s="76" t="s">
        <v>16478</v>
      </c>
      <c r="AE44" s="81" t="s">
        <v>17114</v>
      </c>
      <c r="AF44" s="76">
        <v>1992</v>
      </c>
      <c r="AG44" s="76">
        <v>3340</v>
      </c>
      <c r="AH44" s="76">
        <v>159106</v>
      </c>
      <c r="AI44" s="76">
        <v>4</v>
      </c>
      <c r="AJ44" s="76">
        <v>163814</v>
      </c>
      <c r="AK44" s="76">
        <v>0</v>
      </c>
      <c r="AL44" s="76" t="b">
        <v>0</v>
      </c>
      <c r="AM44" s="78">
        <v>40095.614618055559</v>
      </c>
      <c r="AN44" s="76" t="s">
        <v>17414</v>
      </c>
      <c r="AO44" s="76"/>
      <c r="AP44" s="76"/>
      <c r="AQ44" s="76"/>
      <c r="AR44" s="76"/>
      <c r="AS44" s="76"/>
      <c r="AT44" s="76"/>
      <c r="AU44" s="76"/>
      <c r="AV44" s="76"/>
      <c r="AW44" s="76"/>
      <c r="AX44" s="76" t="b">
        <v>0</v>
      </c>
      <c r="AY44" s="76"/>
      <c r="AZ44" s="76"/>
      <c r="BA44" s="76" t="b">
        <v>1</v>
      </c>
      <c r="BB44" s="76" t="b">
        <v>0</v>
      </c>
      <c r="BC44" s="76" t="b">
        <v>1</v>
      </c>
      <c r="BD44" s="76" t="b">
        <v>0</v>
      </c>
      <c r="BE44" s="76" t="b">
        <v>1</v>
      </c>
      <c r="BF44" s="76" t="b">
        <v>0</v>
      </c>
      <c r="BG44" s="76" t="b">
        <v>0</v>
      </c>
      <c r="BH44" s="76"/>
      <c r="BI44" s="76"/>
      <c r="BJ44" s="76" t="s">
        <v>18704</v>
      </c>
      <c r="BK44" s="76" t="b">
        <v>0</v>
      </c>
      <c r="BL44" s="76"/>
      <c r="BM44" s="76" t="s">
        <v>66</v>
      </c>
      <c r="BN44" s="76" t="s">
        <v>18706</v>
      </c>
      <c r="BO44" s="83" t="str">
        <f>HYPERLINK("https://twitter.com/carlosmvr")</f>
        <v>https://twitter.com/carlosmvr</v>
      </c>
      <c r="BP44" s="2"/>
    </row>
    <row r="45" spans="1:68" x14ac:dyDescent="0.25">
      <c r="A45" s="62" t="s">
        <v>614</v>
      </c>
      <c r="B45" s="63"/>
      <c r="C45" s="63"/>
      <c r="D45" s="64"/>
      <c r="E45" s="66"/>
      <c r="F45" s="102" t="str">
        <f>HYPERLINK("https://pbs.twimg.com/profile_images/1475155236713029641/7Lb8npQr_normal.jpg")</f>
        <v>https://pbs.twimg.com/profile_images/1475155236713029641/7Lb8npQr_normal.jpg</v>
      </c>
      <c r="G45" s="63"/>
      <c r="H45" s="67"/>
      <c r="I45" s="68"/>
      <c r="J45" s="68"/>
      <c r="K45" s="67" t="s">
        <v>18748</v>
      </c>
      <c r="L45" s="71"/>
      <c r="M45" s="72"/>
      <c r="N45" s="72"/>
      <c r="O45" s="73"/>
      <c r="P45" s="74"/>
      <c r="Q45" s="74"/>
      <c r="R45" s="86"/>
      <c r="S45" s="86"/>
      <c r="T45" s="86"/>
      <c r="U45" s="86"/>
      <c r="V45" s="48"/>
      <c r="W45" s="48"/>
      <c r="X45" s="48"/>
      <c r="Y45" s="48"/>
      <c r="Z45" s="47"/>
      <c r="AA45" s="69">
        <v>45</v>
      </c>
      <c r="AB45" s="69"/>
      <c r="AC45" s="70"/>
      <c r="AD45" s="76" t="s">
        <v>16479</v>
      </c>
      <c r="AE45" s="81" t="s">
        <v>17115</v>
      </c>
      <c r="AF45" s="76">
        <v>82179</v>
      </c>
      <c r="AG45" s="76">
        <v>1955</v>
      </c>
      <c r="AH45" s="76">
        <v>135318</v>
      </c>
      <c r="AI45" s="76">
        <v>537</v>
      </c>
      <c r="AJ45" s="76">
        <v>31016</v>
      </c>
      <c r="AK45" s="76">
        <v>37514</v>
      </c>
      <c r="AL45" s="76" t="b">
        <v>0</v>
      </c>
      <c r="AM45" s="78">
        <v>39860.51798611111</v>
      </c>
      <c r="AN45" s="76" t="s">
        <v>17402</v>
      </c>
      <c r="AO45" s="76" t="s">
        <v>17686</v>
      </c>
      <c r="AP45" s="83" t="str">
        <f>HYPERLINK("https://t.co/CYeugG4N36")</f>
        <v>https://t.co/CYeugG4N36</v>
      </c>
      <c r="AQ45" s="83" t="str">
        <f>HYPERLINK("http://www.valoraanalitik.com")</f>
        <v>http://www.valoraanalitik.com</v>
      </c>
      <c r="AR45" s="76" t="s">
        <v>6471</v>
      </c>
      <c r="AS45" s="83" t="str">
        <f>HYPERLINK("https://t.co/SchsIWQveK")</f>
        <v>https://t.co/SchsIWQveK</v>
      </c>
      <c r="AT45" s="83" t="str">
        <f>HYPERLINK("http://valoraanalitik.com")</f>
        <v>http://valoraanalitik.com</v>
      </c>
      <c r="AU45" s="76" t="s">
        <v>6471</v>
      </c>
      <c r="AV45" s="76">
        <v>1.7064258614847301E+18</v>
      </c>
      <c r="AW45" s="83" t="str">
        <f>HYPERLINK("https://t.co/CYeugG4N36")</f>
        <v>https://t.co/CYeugG4N36</v>
      </c>
      <c r="AX45" s="76" t="b">
        <v>1</v>
      </c>
      <c r="AY45" s="76"/>
      <c r="AZ45" s="76"/>
      <c r="BA45" s="76" t="b">
        <v>1</v>
      </c>
      <c r="BB45" s="76" t="b">
        <v>1</v>
      </c>
      <c r="BC45" s="76" t="b">
        <v>0</v>
      </c>
      <c r="BD45" s="76" t="b">
        <v>0</v>
      </c>
      <c r="BE45" s="76" t="b">
        <v>1</v>
      </c>
      <c r="BF45" s="76" t="b">
        <v>0</v>
      </c>
      <c r="BG45" s="76" t="b">
        <v>0</v>
      </c>
      <c r="BH45" s="83" t="str">
        <f>HYPERLINK("https://pbs.twimg.com/profile_banners/20980846/1690780949")</f>
        <v>https://pbs.twimg.com/profile_banners/20980846/1690780949</v>
      </c>
      <c r="BI45" s="76"/>
      <c r="BJ45" s="76" t="s">
        <v>18704</v>
      </c>
      <c r="BK45" s="76" t="b">
        <v>0</v>
      </c>
      <c r="BL45" s="76"/>
      <c r="BM45" s="76" t="s">
        <v>66</v>
      </c>
      <c r="BN45" s="76" t="s">
        <v>18706</v>
      </c>
      <c r="BO45" s="83" t="str">
        <f>HYPERLINK("https://twitter.com/valoraanalitik")</f>
        <v>https://twitter.com/valoraanalitik</v>
      </c>
      <c r="BP45" s="2"/>
    </row>
    <row r="46" spans="1:68" x14ac:dyDescent="0.25">
      <c r="A46" s="62" t="s">
        <v>260</v>
      </c>
      <c r="B46" s="63"/>
      <c r="C46" s="63"/>
      <c r="D46" s="64"/>
      <c r="E46" s="66"/>
      <c r="F46" s="102" t="str">
        <f>HYPERLINK("https://pbs.twimg.com/profile_images/1562020566579773441/GIpDu5O0_normal.jpg")</f>
        <v>https://pbs.twimg.com/profile_images/1562020566579773441/GIpDu5O0_normal.jpg</v>
      </c>
      <c r="G46" s="63"/>
      <c r="H46" s="67"/>
      <c r="I46" s="68"/>
      <c r="J46" s="68"/>
      <c r="K46" s="67" t="s">
        <v>18749</v>
      </c>
      <c r="L46" s="71"/>
      <c r="M46" s="72"/>
      <c r="N46" s="72"/>
      <c r="O46" s="73"/>
      <c r="P46" s="74"/>
      <c r="Q46" s="74"/>
      <c r="R46" s="86"/>
      <c r="S46" s="86"/>
      <c r="T46" s="86"/>
      <c r="U46" s="86"/>
      <c r="V46" s="48"/>
      <c r="W46" s="48"/>
      <c r="X46" s="48"/>
      <c r="Y46" s="48"/>
      <c r="Z46" s="47"/>
      <c r="AA46" s="69">
        <v>46</v>
      </c>
      <c r="AB46" s="69"/>
      <c r="AC46" s="70"/>
      <c r="AD46" s="76" t="s">
        <v>16480</v>
      </c>
      <c r="AE46" s="81" t="s">
        <v>15933</v>
      </c>
      <c r="AF46" s="76">
        <v>95662</v>
      </c>
      <c r="AG46" s="76">
        <v>10</v>
      </c>
      <c r="AH46" s="76">
        <v>24078</v>
      </c>
      <c r="AI46" s="76">
        <v>1092</v>
      </c>
      <c r="AJ46" s="76">
        <v>1888</v>
      </c>
      <c r="AK46" s="76">
        <v>3559</v>
      </c>
      <c r="AL46" s="76" t="b">
        <v>0</v>
      </c>
      <c r="AM46" s="78">
        <v>42604.695960648147</v>
      </c>
      <c r="AN46" s="76" t="s">
        <v>10586</v>
      </c>
      <c r="AO46" s="76" t="s">
        <v>17687</v>
      </c>
      <c r="AP46" s="83" t="str">
        <f>HYPERLINK("https://t.co/SvaxjbKYsb")</f>
        <v>https://t.co/SvaxjbKYsb</v>
      </c>
      <c r="AQ46" s="83" t="str">
        <f>HYPERLINK("https://tc.com.br/")</f>
        <v>https://tc.com.br/</v>
      </c>
      <c r="AR46" s="76" t="s">
        <v>18272</v>
      </c>
      <c r="AS46" s="76"/>
      <c r="AT46" s="76"/>
      <c r="AU46" s="76"/>
      <c r="AV46" s="76">
        <v>1.56202903822243E+18</v>
      </c>
      <c r="AW46" s="83" t="str">
        <f>HYPERLINK("https://t.co/SvaxjbKYsb")</f>
        <v>https://t.co/SvaxjbKYsb</v>
      </c>
      <c r="AX46" s="76" t="b">
        <v>1</v>
      </c>
      <c r="AY46" s="76"/>
      <c r="AZ46" s="76"/>
      <c r="BA46" s="76" t="b">
        <v>1</v>
      </c>
      <c r="BB46" s="76" t="b">
        <v>1</v>
      </c>
      <c r="BC46" s="76" t="b">
        <v>0</v>
      </c>
      <c r="BD46" s="76" t="b">
        <v>0</v>
      </c>
      <c r="BE46" s="76" t="b">
        <v>1</v>
      </c>
      <c r="BF46" s="76" t="b">
        <v>0</v>
      </c>
      <c r="BG46" s="76" t="b">
        <v>0</v>
      </c>
      <c r="BH46" s="83" t="str">
        <f>HYPERLINK("https://pbs.twimg.com/profile_banners/767763810409181188/1661270253")</f>
        <v>https://pbs.twimg.com/profile_banners/767763810409181188/1661270253</v>
      </c>
      <c r="BI46" s="76"/>
      <c r="BJ46" s="76" t="s">
        <v>18704</v>
      </c>
      <c r="BK46" s="76" t="b">
        <v>0</v>
      </c>
      <c r="BL46" s="76"/>
      <c r="BM46" s="76" t="s">
        <v>66</v>
      </c>
      <c r="BN46" s="76" t="s">
        <v>18706</v>
      </c>
      <c r="BO46" s="83" t="str">
        <f>HYPERLINK("https://twitter.com/tcinvestimentos")</f>
        <v>https://twitter.com/tcinvestimentos</v>
      </c>
      <c r="BP46" s="2"/>
    </row>
    <row r="47" spans="1:68" x14ac:dyDescent="0.25">
      <c r="A47" s="62" t="s">
        <v>745</v>
      </c>
      <c r="B47" s="63"/>
      <c r="C47" s="63"/>
      <c r="D47" s="64"/>
      <c r="E47" s="66"/>
      <c r="F47" s="102" t="str">
        <f>HYPERLINK("https://pbs.twimg.com/profile_images/1612589406518493184/tBI-QFYp_normal.jpg")</f>
        <v>https://pbs.twimg.com/profile_images/1612589406518493184/tBI-QFYp_normal.jpg</v>
      </c>
      <c r="G47" s="63"/>
      <c r="H47" s="67"/>
      <c r="I47" s="68"/>
      <c r="J47" s="68"/>
      <c r="K47" s="67" t="s">
        <v>18750</v>
      </c>
      <c r="L47" s="71"/>
      <c r="M47" s="72"/>
      <c r="N47" s="72"/>
      <c r="O47" s="73"/>
      <c r="P47" s="74"/>
      <c r="Q47" s="74"/>
      <c r="R47" s="86"/>
      <c r="S47" s="86"/>
      <c r="T47" s="86"/>
      <c r="U47" s="86"/>
      <c r="V47" s="48"/>
      <c r="W47" s="48"/>
      <c r="X47" s="48"/>
      <c r="Y47" s="48"/>
      <c r="Z47" s="47"/>
      <c r="AA47" s="69">
        <v>47</v>
      </c>
      <c r="AB47" s="69"/>
      <c r="AC47" s="70"/>
      <c r="AD47" s="76" t="s">
        <v>16481</v>
      </c>
      <c r="AE47" s="81" t="s">
        <v>15913</v>
      </c>
      <c r="AF47" s="76">
        <v>12185</v>
      </c>
      <c r="AG47" s="76">
        <v>3205</v>
      </c>
      <c r="AH47" s="76">
        <v>7205</v>
      </c>
      <c r="AI47" s="76">
        <v>199</v>
      </c>
      <c r="AJ47" s="76">
        <v>53055</v>
      </c>
      <c r="AK47" s="76">
        <v>469</v>
      </c>
      <c r="AL47" s="76" t="b">
        <v>0</v>
      </c>
      <c r="AM47" s="78">
        <v>39947.225208333337</v>
      </c>
      <c r="AN47" s="76" t="s">
        <v>17415</v>
      </c>
      <c r="AO47" s="76" t="s">
        <v>17688</v>
      </c>
      <c r="AP47" s="83" t="str">
        <f>HYPERLINK("https://t.co/BDnYFxIijd")</f>
        <v>https://t.co/BDnYFxIijd</v>
      </c>
      <c r="AQ47" s="83" t="str">
        <f>HYPERLINK("https://www.pandhora.com/")</f>
        <v>https://www.pandhora.com/</v>
      </c>
      <c r="AR47" s="76" t="s">
        <v>18273</v>
      </c>
      <c r="AS47" s="76"/>
      <c r="AT47" s="76"/>
      <c r="AU47" s="76"/>
      <c r="AV47" s="76"/>
      <c r="AW47" s="83" t="str">
        <f>HYPERLINK("https://t.co/BDnYFxIijd")</f>
        <v>https://t.co/BDnYFxIijd</v>
      </c>
      <c r="AX47" s="76" t="b">
        <v>1</v>
      </c>
      <c r="AY47" s="76"/>
      <c r="AZ47" s="76"/>
      <c r="BA47" s="76" t="b">
        <v>0</v>
      </c>
      <c r="BB47" s="76" t="b">
        <v>1</v>
      </c>
      <c r="BC47" s="76" t="b">
        <v>0</v>
      </c>
      <c r="BD47" s="76" t="b">
        <v>0</v>
      </c>
      <c r="BE47" s="76" t="b">
        <v>1</v>
      </c>
      <c r="BF47" s="76" t="b">
        <v>0</v>
      </c>
      <c r="BG47" s="76" t="b">
        <v>0</v>
      </c>
      <c r="BH47" s="83" t="str">
        <f>HYPERLINK("https://pbs.twimg.com/profile_banners/39934516/1629600796")</f>
        <v>https://pbs.twimg.com/profile_banners/39934516/1629600796</v>
      </c>
      <c r="BI47" s="76"/>
      <c r="BJ47" s="76" t="s">
        <v>18704</v>
      </c>
      <c r="BK47" s="76" t="b">
        <v>0</v>
      </c>
      <c r="BL47" s="76"/>
      <c r="BM47" s="76" t="s">
        <v>65</v>
      </c>
      <c r="BN47" s="76" t="s">
        <v>18706</v>
      </c>
      <c r="BO47" s="83" t="str">
        <f>HYPERLINK("https://twitter.com/boghosian")</f>
        <v>https://twitter.com/boghosian</v>
      </c>
      <c r="BP47" s="2"/>
    </row>
    <row r="48" spans="1:68" x14ac:dyDescent="0.25">
      <c r="A48" s="62" t="s">
        <v>746</v>
      </c>
      <c r="B48" s="63"/>
      <c r="C48" s="63"/>
      <c r="D48" s="64"/>
      <c r="E48" s="66"/>
      <c r="F48" s="102" t="str">
        <f>HYPERLINK("https://pbs.twimg.com/profile_images/1610026853279875078/c4ENZS4M_normal.jpg")</f>
        <v>https://pbs.twimg.com/profile_images/1610026853279875078/c4ENZS4M_normal.jpg</v>
      </c>
      <c r="G48" s="63"/>
      <c r="H48" s="67"/>
      <c r="I48" s="68"/>
      <c r="J48" s="68"/>
      <c r="K48" s="67" t="s">
        <v>18751</v>
      </c>
      <c r="L48" s="71"/>
      <c r="M48" s="72"/>
      <c r="N48" s="72"/>
      <c r="O48" s="73"/>
      <c r="P48" s="74"/>
      <c r="Q48" s="74"/>
      <c r="R48" s="86"/>
      <c r="S48" s="86"/>
      <c r="T48" s="86"/>
      <c r="U48" s="86"/>
      <c r="V48" s="48"/>
      <c r="W48" s="48"/>
      <c r="X48" s="48"/>
      <c r="Y48" s="48"/>
      <c r="Z48" s="47"/>
      <c r="AA48" s="69">
        <v>48</v>
      </c>
      <c r="AB48" s="69"/>
      <c r="AC48" s="70"/>
      <c r="AD48" s="76" t="s">
        <v>16482</v>
      </c>
      <c r="AE48" s="81" t="s">
        <v>17116</v>
      </c>
      <c r="AF48" s="76">
        <v>18468</v>
      </c>
      <c r="AG48" s="76">
        <v>201</v>
      </c>
      <c r="AH48" s="76">
        <v>3049</v>
      </c>
      <c r="AI48" s="76">
        <v>203</v>
      </c>
      <c r="AJ48" s="76">
        <v>2337</v>
      </c>
      <c r="AK48" s="76">
        <v>717</v>
      </c>
      <c r="AL48" s="76" t="b">
        <v>0</v>
      </c>
      <c r="AM48" s="78">
        <v>43777.909768518519</v>
      </c>
      <c r="AN48" s="76"/>
      <c r="AO48" s="76" t="s">
        <v>17689</v>
      </c>
      <c r="AP48" s="83" t="str">
        <f>HYPERLINK("https://t.co/i2oBHMyfeV")</f>
        <v>https://t.co/i2oBHMyfeV</v>
      </c>
      <c r="AQ48" s="83" t="str">
        <f>HYPERLINK("https://www.youtube.com/@Cabral7e10?sub_confirmation=1")</f>
        <v>https://www.youtube.com/@Cabral7e10?sub_confirmation=1</v>
      </c>
      <c r="AR48" s="76" t="s">
        <v>18274</v>
      </c>
      <c r="AS48" s="76"/>
      <c r="AT48" s="76"/>
      <c r="AU48" s="76"/>
      <c r="AV48" s="76">
        <v>1.7008743113077701E+18</v>
      </c>
      <c r="AW48" s="83" t="str">
        <f>HYPERLINK("https://t.co/i2oBHMyfeV")</f>
        <v>https://t.co/i2oBHMyfeV</v>
      </c>
      <c r="AX48" s="76" t="b">
        <v>0</v>
      </c>
      <c r="AY48" s="76"/>
      <c r="AZ48" s="76"/>
      <c r="BA48" s="76" t="b">
        <v>0</v>
      </c>
      <c r="BB48" s="76" t="b">
        <v>1</v>
      </c>
      <c r="BC48" s="76" t="b">
        <v>1</v>
      </c>
      <c r="BD48" s="76" t="b">
        <v>0</v>
      </c>
      <c r="BE48" s="76" t="b">
        <v>1</v>
      </c>
      <c r="BF48" s="76" t="b">
        <v>0</v>
      </c>
      <c r="BG48" s="76" t="b">
        <v>0</v>
      </c>
      <c r="BH48" s="83" t="str">
        <f>HYPERLINK("https://pbs.twimg.com/profile_banners/1192922215492263941/1665682659")</f>
        <v>https://pbs.twimg.com/profile_banners/1192922215492263941/1665682659</v>
      </c>
      <c r="BI48" s="76"/>
      <c r="BJ48" s="76" t="s">
        <v>18704</v>
      </c>
      <c r="BK48" s="76" t="b">
        <v>0</v>
      </c>
      <c r="BL48" s="76"/>
      <c r="BM48" s="76" t="s">
        <v>65</v>
      </c>
      <c r="BN48" s="76" t="s">
        <v>18706</v>
      </c>
      <c r="BO48" s="83" t="str">
        <f>HYPERLINK("https://twitter.com/alexcabral71")</f>
        <v>https://twitter.com/alexcabral71</v>
      </c>
      <c r="BP48" s="2"/>
    </row>
    <row r="49" spans="1:68" x14ac:dyDescent="0.25">
      <c r="A49" s="62" t="s">
        <v>747</v>
      </c>
      <c r="B49" s="63"/>
      <c r="C49" s="63"/>
      <c r="D49" s="64"/>
      <c r="E49" s="66"/>
      <c r="F49" s="102" t="str">
        <f>HYPERLINK("https://pbs.twimg.com/profile_images/1562093049504796672/CyiRXqCf_normal.jpg")</f>
        <v>https://pbs.twimg.com/profile_images/1562093049504796672/CyiRXqCf_normal.jpg</v>
      </c>
      <c r="G49" s="63"/>
      <c r="H49" s="67"/>
      <c r="I49" s="68"/>
      <c r="J49" s="68"/>
      <c r="K49" s="67" t="s">
        <v>18752</v>
      </c>
      <c r="L49" s="71"/>
      <c r="M49" s="72"/>
      <c r="N49" s="72"/>
      <c r="O49" s="73"/>
      <c r="P49" s="74"/>
      <c r="Q49" s="74"/>
      <c r="R49" s="86"/>
      <c r="S49" s="86"/>
      <c r="T49" s="86"/>
      <c r="U49" s="86"/>
      <c r="V49" s="48"/>
      <c r="W49" s="48"/>
      <c r="X49" s="48"/>
      <c r="Y49" s="48"/>
      <c r="Z49" s="47"/>
      <c r="AA49" s="69">
        <v>49</v>
      </c>
      <c r="AB49" s="69"/>
      <c r="AC49" s="70"/>
      <c r="AD49" s="76" t="s">
        <v>16483</v>
      </c>
      <c r="AE49" s="81" t="s">
        <v>17117</v>
      </c>
      <c r="AF49" s="76">
        <v>23138</v>
      </c>
      <c r="AG49" s="76">
        <v>661</v>
      </c>
      <c r="AH49" s="76">
        <v>9448</v>
      </c>
      <c r="AI49" s="76">
        <v>202</v>
      </c>
      <c r="AJ49" s="76">
        <v>53889</v>
      </c>
      <c r="AK49" s="76">
        <v>418</v>
      </c>
      <c r="AL49" s="76" t="b">
        <v>0</v>
      </c>
      <c r="AM49" s="78">
        <v>39889.092013888891</v>
      </c>
      <c r="AN49" s="76" t="s">
        <v>17416</v>
      </c>
      <c r="AO49" s="76" t="s">
        <v>17690</v>
      </c>
      <c r="AP49" s="83" t="str">
        <f>HYPERLINK("https://t.co/pB9BDYFFgb")</f>
        <v>https://t.co/pB9BDYFFgb</v>
      </c>
      <c r="AQ49" s="83" t="str">
        <f>HYPERLINK("https://www.instagram.com/tatobarros/")</f>
        <v>https://www.instagram.com/tatobarros/</v>
      </c>
      <c r="AR49" s="76" t="s">
        <v>18275</v>
      </c>
      <c r="AS49" s="76"/>
      <c r="AT49" s="76"/>
      <c r="AU49" s="76"/>
      <c r="AV49" s="76">
        <v>1.3055208274426299E+18</v>
      </c>
      <c r="AW49" s="83" t="str">
        <f>HYPERLINK("https://t.co/pB9BDYFFgb")</f>
        <v>https://t.co/pB9BDYFFgb</v>
      </c>
      <c r="AX49" s="76" t="b">
        <v>1</v>
      </c>
      <c r="AY49" s="76"/>
      <c r="AZ49" s="76"/>
      <c r="BA49" s="76" t="b">
        <v>0</v>
      </c>
      <c r="BB49" s="76" t="b">
        <v>1</v>
      </c>
      <c r="BC49" s="76" t="b">
        <v>1</v>
      </c>
      <c r="BD49" s="76" t="b">
        <v>0</v>
      </c>
      <c r="BE49" s="76" t="b">
        <v>1</v>
      </c>
      <c r="BF49" s="76" t="b">
        <v>0</v>
      </c>
      <c r="BG49" s="76" t="b">
        <v>0</v>
      </c>
      <c r="BH49" s="76"/>
      <c r="BI49" s="76"/>
      <c r="BJ49" s="76" t="s">
        <v>18704</v>
      </c>
      <c r="BK49" s="76" t="b">
        <v>0</v>
      </c>
      <c r="BL49" s="76"/>
      <c r="BM49" s="76" t="s">
        <v>65</v>
      </c>
      <c r="BN49" s="76" t="s">
        <v>18706</v>
      </c>
      <c r="BO49" s="83" t="str">
        <f>HYPERLINK("https://twitter.com/tatobarros")</f>
        <v>https://twitter.com/tatobarros</v>
      </c>
      <c r="BP49" s="2"/>
    </row>
    <row r="50" spans="1:68" x14ac:dyDescent="0.25">
      <c r="A50" s="62" t="s">
        <v>748</v>
      </c>
      <c r="B50" s="63"/>
      <c r="C50" s="63"/>
      <c r="D50" s="64"/>
      <c r="E50" s="66"/>
      <c r="F50" s="102" t="str">
        <f>HYPERLINK("https://pbs.twimg.com/profile_images/1219707485411594249/PwcD_yPo_normal.jpg")</f>
        <v>https://pbs.twimg.com/profile_images/1219707485411594249/PwcD_yPo_normal.jpg</v>
      </c>
      <c r="G50" s="63"/>
      <c r="H50" s="67"/>
      <c r="I50" s="68"/>
      <c r="J50" s="68"/>
      <c r="K50" s="67" t="s">
        <v>18753</v>
      </c>
      <c r="L50" s="71"/>
      <c r="M50" s="72"/>
      <c r="N50" s="72"/>
      <c r="O50" s="73"/>
      <c r="P50" s="74"/>
      <c r="Q50" s="74"/>
      <c r="R50" s="86"/>
      <c r="S50" s="86"/>
      <c r="T50" s="86"/>
      <c r="U50" s="86"/>
      <c r="V50" s="48"/>
      <c r="W50" s="48"/>
      <c r="X50" s="48"/>
      <c r="Y50" s="48"/>
      <c r="Z50" s="47"/>
      <c r="AA50" s="69">
        <v>50</v>
      </c>
      <c r="AB50" s="69"/>
      <c r="AC50" s="70"/>
      <c r="AD50" s="76" t="s">
        <v>16484</v>
      </c>
      <c r="AE50" s="81" t="s">
        <v>17118</v>
      </c>
      <c r="AF50" s="76">
        <v>9534</v>
      </c>
      <c r="AG50" s="76">
        <v>1006</v>
      </c>
      <c r="AH50" s="76">
        <v>1153</v>
      </c>
      <c r="AI50" s="76">
        <v>91</v>
      </c>
      <c r="AJ50" s="76">
        <v>1299</v>
      </c>
      <c r="AK50" s="76">
        <v>144</v>
      </c>
      <c r="AL50" s="76" t="b">
        <v>0</v>
      </c>
      <c r="AM50" s="78">
        <v>40780.805949074071</v>
      </c>
      <c r="AN50" s="76" t="s">
        <v>10607</v>
      </c>
      <c r="AO50" s="76" t="s">
        <v>17691</v>
      </c>
      <c r="AP50" s="83" t="str">
        <f>HYPERLINK("https://t.co/kBrVE5uJ0T")</f>
        <v>https://t.co/kBrVE5uJ0T</v>
      </c>
      <c r="AQ50" s="83" t="str">
        <f>HYPERLINK("https://luizfernandoroxo.com.br/")</f>
        <v>https://luizfernandoroxo.com.br/</v>
      </c>
      <c r="AR50" s="76" t="s">
        <v>18276</v>
      </c>
      <c r="AS50" s="76"/>
      <c r="AT50" s="76"/>
      <c r="AU50" s="76"/>
      <c r="AV50" s="76"/>
      <c r="AW50" s="83" t="str">
        <f>HYPERLINK("https://t.co/kBrVE5uJ0T")</f>
        <v>https://t.co/kBrVE5uJ0T</v>
      </c>
      <c r="AX50" s="76" t="b">
        <v>0</v>
      </c>
      <c r="AY50" s="76"/>
      <c r="AZ50" s="76"/>
      <c r="BA50" s="76" t="b">
        <v>1</v>
      </c>
      <c r="BB50" s="76" t="b">
        <v>1</v>
      </c>
      <c r="BC50" s="76" t="b">
        <v>1</v>
      </c>
      <c r="BD50" s="76" t="b">
        <v>0</v>
      </c>
      <c r="BE50" s="76" t="b">
        <v>1</v>
      </c>
      <c r="BF50" s="76" t="b">
        <v>0</v>
      </c>
      <c r="BG50" s="76" t="b">
        <v>0</v>
      </c>
      <c r="BH50" s="76"/>
      <c r="BI50" s="76"/>
      <c r="BJ50" s="76" t="s">
        <v>18704</v>
      </c>
      <c r="BK50" s="76" t="b">
        <v>0</v>
      </c>
      <c r="BL50" s="76"/>
      <c r="BM50" s="76" t="s">
        <v>65</v>
      </c>
      <c r="BN50" s="76" t="s">
        <v>18706</v>
      </c>
      <c r="BO50" s="83" t="str">
        <f>HYPERLINK("https://twitter.com/luizferoxo")</f>
        <v>https://twitter.com/luizferoxo</v>
      </c>
      <c r="BP50" s="2"/>
    </row>
    <row r="51" spans="1:68" x14ac:dyDescent="0.25">
      <c r="A51" s="62" t="s">
        <v>749</v>
      </c>
      <c r="B51" s="63"/>
      <c r="C51" s="63"/>
      <c r="D51" s="64"/>
      <c r="E51" s="66"/>
      <c r="F51" s="102" t="str">
        <f>HYPERLINK("https://pbs.twimg.com/profile_images/1583086179741728773/av5t11pF_normal.jpg")</f>
        <v>https://pbs.twimg.com/profile_images/1583086179741728773/av5t11pF_normal.jpg</v>
      </c>
      <c r="G51" s="63"/>
      <c r="H51" s="67"/>
      <c r="I51" s="68"/>
      <c r="J51" s="68"/>
      <c r="K51" s="67" t="s">
        <v>18754</v>
      </c>
      <c r="L51" s="71"/>
      <c r="M51" s="72"/>
      <c r="N51" s="72"/>
      <c r="O51" s="73"/>
      <c r="P51" s="74"/>
      <c r="Q51" s="74"/>
      <c r="R51" s="86"/>
      <c r="S51" s="86"/>
      <c r="T51" s="86"/>
      <c r="U51" s="86"/>
      <c r="V51" s="48"/>
      <c r="W51" s="48"/>
      <c r="X51" s="48"/>
      <c r="Y51" s="48"/>
      <c r="Z51" s="47"/>
      <c r="AA51" s="69">
        <v>51</v>
      </c>
      <c r="AB51" s="69"/>
      <c r="AC51" s="70"/>
      <c r="AD51" s="76" t="s">
        <v>16485</v>
      </c>
      <c r="AE51" s="81" t="s">
        <v>17119</v>
      </c>
      <c r="AF51" s="76">
        <v>10</v>
      </c>
      <c r="AG51" s="76">
        <v>5</v>
      </c>
      <c r="AH51" s="76">
        <v>2</v>
      </c>
      <c r="AI51" s="76">
        <v>0</v>
      </c>
      <c r="AJ51" s="76">
        <v>0</v>
      </c>
      <c r="AK51" s="76">
        <v>0</v>
      </c>
      <c r="AL51" s="76" t="b">
        <v>0</v>
      </c>
      <c r="AM51" s="78">
        <v>44854.556030092594</v>
      </c>
      <c r="AN51" s="76"/>
      <c r="AO51" s="76"/>
      <c r="AP51" s="76"/>
      <c r="AQ51" s="76"/>
      <c r="AR51" s="76"/>
      <c r="AS51" s="76"/>
      <c r="AT51" s="76"/>
      <c r="AU51" s="76"/>
      <c r="AV51" s="76"/>
      <c r="AW51" s="76"/>
      <c r="AX51" s="76" t="b">
        <v>0</v>
      </c>
      <c r="AY51" s="76"/>
      <c r="AZ51" s="76"/>
      <c r="BA51" s="76" t="b">
        <v>0</v>
      </c>
      <c r="BB51" s="76" t="b">
        <v>1</v>
      </c>
      <c r="BC51" s="76" t="b">
        <v>1</v>
      </c>
      <c r="BD51" s="76" t="b">
        <v>0</v>
      </c>
      <c r="BE51" s="76" t="b">
        <v>0</v>
      </c>
      <c r="BF51" s="76" t="b">
        <v>0</v>
      </c>
      <c r="BG51" s="76" t="b">
        <v>0</v>
      </c>
      <c r="BH51" s="76"/>
      <c r="BI51" s="76"/>
      <c r="BJ51" s="76" t="s">
        <v>18704</v>
      </c>
      <c r="BK51" s="76" t="b">
        <v>0</v>
      </c>
      <c r="BL51" s="76"/>
      <c r="BM51" s="76" t="s">
        <v>65</v>
      </c>
      <c r="BN51" s="76" t="s">
        <v>18706</v>
      </c>
      <c r="BO51" s="83" t="str">
        <f>HYPERLINK("https://twitter.com/jaquerofinancas")</f>
        <v>https://twitter.com/jaquerofinancas</v>
      </c>
      <c r="BP51" s="2"/>
    </row>
    <row r="52" spans="1:68" x14ac:dyDescent="0.25">
      <c r="A52" s="62" t="s">
        <v>750</v>
      </c>
      <c r="B52" s="63"/>
      <c r="C52" s="63"/>
      <c r="D52" s="64"/>
      <c r="E52" s="66"/>
      <c r="F52" s="102" t="str">
        <f>HYPERLINK("https://pbs.twimg.com/profile_images/1115286768872513536/gaSCeFIe_normal.jpg")</f>
        <v>https://pbs.twimg.com/profile_images/1115286768872513536/gaSCeFIe_normal.jpg</v>
      </c>
      <c r="G52" s="63"/>
      <c r="H52" s="67"/>
      <c r="I52" s="68"/>
      <c r="J52" s="68"/>
      <c r="K52" s="67" t="s">
        <v>18755</v>
      </c>
      <c r="L52" s="71"/>
      <c r="M52" s="72"/>
      <c r="N52" s="72"/>
      <c r="O52" s="73"/>
      <c r="P52" s="74"/>
      <c r="Q52" s="74"/>
      <c r="R52" s="86"/>
      <c r="S52" s="86"/>
      <c r="T52" s="86"/>
      <c r="U52" s="86"/>
      <c r="V52" s="48"/>
      <c r="W52" s="48"/>
      <c r="X52" s="48"/>
      <c r="Y52" s="48"/>
      <c r="Z52" s="47"/>
      <c r="AA52" s="69">
        <v>52</v>
      </c>
      <c r="AB52" s="69"/>
      <c r="AC52" s="70"/>
      <c r="AD52" s="76" t="s">
        <v>16486</v>
      </c>
      <c r="AE52" s="81" t="s">
        <v>17120</v>
      </c>
      <c r="AF52" s="76">
        <v>404</v>
      </c>
      <c r="AG52" s="76">
        <v>16</v>
      </c>
      <c r="AH52" s="76">
        <v>635</v>
      </c>
      <c r="AI52" s="76">
        <v>1</v>
      </c>
      <c r="AJ52" s="76">
        <v>6</v>
      </c>
      <c r="AK52" s="76">
        <v>12</v>
      </c>
      <c r="AL52" s="76" t="b">
        <v>0</v>
      </c>
      <c r="AM52" s="78">
        <v>42432.953113425923</v>
      </c>
      <c r="AN52" s="76" t="s">
        <v>10586</v>
      </c>
      <c r="AO52" s="76"/>
      <c r="AP52" s="83" t="str">
        <f>HYPERLINK("https://t.co/fRwShwBYik")</f>
        <v>https://t.co/fRwShwBYik</v>
      </c>
      <c r="AQ52" s="83" t="str">
        <f>HYPERLINK("http://www.poenobolso.com.br")</f>
        <v>http://www.poenobolso.com.br</v>
      </c>
      <c r="AR52" s="76" t="s">
        <v>18277</v>
      </c>
      <c r="AS52" s="76"/>
      <c r="AT52" s="76"/>
      <c r="AU52" s="76"/>
      <c r="AV52" s="76"/>
      <c r="AW52" s="83" t="str">
        <f>HYPERLINK("https://t.co/fRwShwBYik")</f>
        <v>https://t.co/fRwShwBYik</v>
      </c>
      <c r="AX52" s="76" t="b">
        <v>0</v>
      </c>
      <c r="AY52" s="76"/>
      <c r="AZ52" s="76"/>
      <c r="BA52" s="76" t="b">
        <v>0</v>
      </c>
      <c r="BB52" s="76" t="b">
        <v>1</v>
      </c>
      <c r="BC52" s="76" t="b">
        <v>0</v>
      </c>
      <c r="BD52" s="76" t="b">
        <v>0</v>
      </c>
      <c r="BE52" s="76" t="b">
        <v>0</v>
      </c>
      <c r="BF52" s="76" t="b">
        <v>0</v>
      </c>
      <c r="BG52" s="76" t="b">
        <v>0</v>
      </c>
      <c r="BH52" s="83" t="str">
        <f>HYPERLINK("https://pbs.twimg.com/profile_banners/705526285112643584/1558134348")</f>
        <v>https://pbs.twimg.com/profile_banners/705526285112643584/1558134348</v>
      </c>
      <c r="BI52" s="76"/>
      <c r="BJ52" s="76" t="s">
        <v>18704</v>
      </c>
      <c r="BK52" s="76" t="b">
        <v>0</v>
      </c>
      <c r="BL52" s="76"/>
      <c r="BM52" s="76" t="s">
        <v>65</v>
      </c>
      <c r="BN52" s="76" t="s">
        <v>18706</v>
      </c>
      <c r="BO52" s="83" t="str">
        <f>HYPERLINK("https://twitter.com/poenobolso")</f>
        <v>https://twitter.com/poenobolso</v>
      </c>
      <c r="BP52" s="2"/>
    </row>
    <row r="53" spans="1:68" x14ac:dyDescent="0.25">
      <c r="A53" s="62" t="s">
        <v>751</v>
      </c>
      <c r="B53" s="63"/>
      <c r="C53" s="63"/>
      <c r="D53" s="64"/>
      <c r="E53" s="66"/>
      <c r="F53" s="102" t="str">
        <f>HYPERLINK("https://pbs.twimg.com/profile_images/1562087032603770881/di-21beV_normal.jpg")</f>
        <v>https://pbs.twimg.com/profile_images/1562087032603770881/di-21beV_normal.jpg</v>
      </c>
      <c r="G53" s="63"/>
      <c r="H53" s="67"/>
      <c r="I53" s="68"/>
      <c r="J53" s="68"/>
      <c r="K53" s="67" t="s">
        <v>18756</v>
      </c>
      <c r="L53" s="71"/>
      <c r="M53" s="72"/>
      <c r="N53" s="72"/>
      <c r="O53" s="73"/>
      <c r="P53" s="74"/>
      <c r="Q53" s="74"/>
      <c r="R53" s="86"/>
      <c r="S53" s="86"/>
      <c r="T53" s="86"/>
      <c r="U53" s="86"/>
      <c r="V53" s="48"/>
      <c r="W53" s="48"/>
      <c r="X53" s="48"/>
      <c r="Y53" s="48"/>
      <c r="Z53" s="47"/>
      <c r="AA53" s="69">
        <v>53</v>
      </c>
      <c r="AB53" s="69"/>
      <c r="AC53" s="70"/>
      <c r="AD53" s="76" t="s">
        <v>16487</v>
      </c>
      <c r="AE53" s="81" t="s">
        <v>17121</v>
      </c>
      <c r="AF53" s="76">
        <v>8064</v>
      </c>
      <c r="AG53" s="76">
        <v>960</v>
      </c>
      <c r="AH53" s="76">
        <v>6242</v>
      </c>
      <c r="AI53" s="76">
        <v>201</v>
      </c>
      <c r="AJ53" s="76">
        <v>8242</v>
      </c>
      <c r="AK53" s="76">
        <v>1874</v>
      </c>
      <c r="AL53" s="76" t="b">
        <v>0</v>
      </c>
      <c r="AM53" s="78">
        <v>42851.662222222221</v>
      </c>
      <c r="AN53" s="76" t="s">
        <v>10586</v>
      </c>
      <c r="AO53" s="76" t="s">
        <v>17692</v>
      </c>
      <c r="AP53" s="83" t="str">
        <f>HYPERLINK("https://t.co/KgadMKR9Le")</f>
        <v>https://t.co/KgadMKR9Le</v>
      </c>
      <c r="AQ53" s="83" t="str">
        <f>HYPERLINK("https://instagram.com/moisesbeida?igshid=MjEwN2IyYWYwYw==")</f>
        <v>https://instagram.com/moisesbeida?igshid=MjEwN2IyYWYwYw==</v>
      </c>
      <c r="AR53" s="76" t="s">
        <v>18278</v>
      </c>
      <c r="AS53" s="76"/>
      <c r="AT53" s="76"/>
      <c r="AU53" s="76"/>
      <c r="AV53" s="76"/>
      <c r="AW53" s="83" t="str">
        <f>HYPERLINK("https://t.co/KgadMKR9Le")</f>
        <v>https://t.co/KgadMKR9Le</v>
      </c>
      <c r="AX53" s="76" t="b">
        <v>0</v>
      </c>
      <c r="AY53" s="76"/>
      <c r="AZ53" s="76"/>
      <c r="BA53" s="76" t="b">
        <v>1</v>
      </c>
      <c r="BB53" s="76" t="b">
        <v>1</v>
      </c>
      <c r="BC53" s="76" t="b">
        <v>1</v>
      </c>
      <c r="BD53" s="76" t="b">
        <v>0</v>
      </c>
      <c r="BE53" s="76" t="b">
        <v>1</v>
      </c>
      <c r="BF53" s="76" t="b">
        <v>0</v>
      </c>
      <c r="BG53" s="76" t="b">
        <v>1</v>
      </c>
      <c r="BH53" s="83" t="str">
        <f>HYPERLINK("https://pbs.twimg.com/profile_banners/857261387965452289/1546707709")</f>
        <v>https://pbs.twimg.com/profile_banners/857261387965452289/1546707709</v>
      </c>
      <c r="BI53" s="76"/>
      <c r="BJ53" s="76" t="s">
        <v>18704</v>
      </c>
      <c r="BK53" s="76" t="b">
        <v>0</v>
      </c>
      <c r="BL53" s="76"/>
      <c r="BM53" s="76" t="s">
        <v>65</v>
      </c>
      <c r="BN53" s="76" t="s">
        <v>18706</v>
      </c>
      <c r="BO53" s="83" t="str">
        <f>HYPERLINK("https://twitter.com/moises_beida")</f>
        <v>https://twitter.com/moises_beida</v>
      </c>
      <c r="BP53" s="2"/>
    </row>
    <row r="54" spans="1:68" x14ac:dyDescent="0.25">
      <c r="A54" s="62" t="s">
        <v>752</v>
      </c>
      <c r="B54" s="63"/>
      <c r="C54" s="63"/>
      <c r="D54" s="64"/>
      <c r="E54" s="66"/>
      <c r="F54" s="102" t="str">
        <f>HYPERLINK("https://pbs.twimg.com/profile_images/1563339702945529857/HkdVE223_normal.jpg")</f>
        <v>https://pbs.twimg.com/profile_images/1563339702945529857/HkdVE223_normal.jpg</v>
      </c>
      <c r="G54" s="63"/>
      <c r="H54" s="67"/>
      <c r="I54" s="68"/>
      <c r="J54" s="68"/>
      <c r="K54" s="67" t="s">
        <v>18757</v>
      </c>
      <c r="L54" s="71"/>
      <c r="M54" s="72"/>
      <c r="N54" s="72"/>
      <c r="O54" s="73"/>
      <c r="P54" s="74"/>
      <c r="Q54" s="74"/>
      <c r="R54" s="86"/>
      <c r="S54" s="86"/>
      <c r="T54" s="86"/>
      <c r="U54" s="86"/>
      <c r="V54" s="48"/>
      <c r="W54" s="48"/>
      <c r="X54" s="48"/>
      <c r="Y54" s="48"/>
      <c r="Z54" s="47"/>
      <c r="AA54" s="69">
        <v>54</v>
      </c>
      <c r="AB54" s="69"/>
      <c r="AC54" s="70"/>
      <c r="AD54" s="76" t="s">
        <v>16488</v>
      </c>
      <c r="AE54" s="81" t="s">
        <v>17122</v>
      </c>
      <c r="AF54" s="76">
        <v>124855</v>
      </c>
      <c r="AG54" s="76">
        <v>945</v>
      </c>
      <c r="AH54" s="76">
        <v>35369</v>
      </c>
      <c r="AI54" s="76">
        <v>1387</v>
      </c>
      <c r="AJ54" s="76">
        <v>23379</v>
      </c>
      <c r="AK54" s="76">
        <v>2084</v>
      </c>
      <c r="AL54" s="76" t="b">
        <v>0</v>
      </c>
      <c r="AM54" s="78">
        <v>41124.992627314816</v>
      </c>
      <c r="AN54" s="76"/>
      <c r="AO54" s="76" t="s">
        <v>17693</v>
      </c>
      <c r="AP54" s="83" t="str">
        <f>HYPERLINK("https://t.co/H3nwsLh3QD")</f>
        <v>https://t.co/H3nwsLh3QD</v>
      </c>
      <c r="AQ54" s="83" t="str">
        <f>HYPERLINK("http://www.tc.com.br")</f>
        <v>http://www.tc.com.br</v>
      </c>
      <c r="AR54" s="76" t="s">
        <v>18272</v>
      </c>
      <c r="AS54" s="76"/>
      <c r="AT54" s="76"/>
      <c r="AU54" s="76"/>
      <c r="AV54" s="76"/>
      <c r="AW54" s="83" t="str">
        <f>HYPERLINK("https://t.co/H3nwsLh3QD")</f>
        <v>https://t.co/H3nwsLh3QD</v>
      </c>
      <c r="AX54" s="76" t="b">
        <v>1</v>
      </c>
      <c r="AY54" s="76"/>
      <c r="AZ54" s="76"/>
      <c r="BA54" s="76" t="b">
        <v>1</v>
      </c>
      <c r="BB54" s="76" t="b">
        <v>0</v>
      </c>
      <c r="BC54" s="76" t="b">
        <v>0</v>
      </c>
      <c r="BD54" s="76" t="b">
        <v>0</v>
      </c>
      <c r="BE54" s="76" t="b">
        <v>1</v>
      </c>
      <c r="BF54" s="76" t="b">
        <v>0</v>
      </c>
      <c r="BG54" s="76" t="b">
        <v>0</v>
      </c>
      <c r="BH54" s="83" t="str">
        <f>HYPERLINK("https://pbs.twimg.com/profile_banners/735741240/1421941737")</f>
        <v>https://pbs.twimg.com/profile_banners/735741240/1421941737</v>
      </c>
      <c r="BI54" s="76"/>
      <c r="BJ54" s="76" t="s">
        <v>18704</v>
      </c>
      <c r="BK54" s="76" t="b">
        <v>0</v>
      </c>
      <c r="BL54" s="76"/>
      <c r="BM54" s="76" t="s">
        <v>65</v>
      </c>
      <c r="BN54" s="76" t="s">
        <v>18706</v>
      </c>
      <c r="BO54" s="83" t="str">
        <f>HYPERLINK("https://twitter.com/albuquerque_af")</f>
        <v>https://twitter.com/albuquerque_af</v>
      </c>
      <c r="BP54" s="2"/>
    </row>
    <row r="55" spans="1:68" x14ac:dyDescent="0.25">
      <c r="A55" s="62" t="s">
        <v>261</v>
      </c>
      <c r="B55" s="63"/>
      <c r="C55" s="63"/>
      <c r="D55" s="64"/>
      <c r="E55" s="66"/>
      <c r="F55" s="102" t="str">
        <f>HYPERLINK("https://pbs.twimg.com/profile_images/1555536899057631234/UFFMYTPh_normal.jpg")</f>
        <v>https://pbs.twimg.com/profile_images/1555536899057631234/UFFMYTPh_normal.jpg</v>
      </c>
      <c r="G55" s="63"/>
      <c r="H55" s="67"/>
      <c r="I55" s="68"/>
      <c r="J55" s="68"/>
      <c r="K55" s="67" t="s">
        <v>18758</v>
      </c>
      <c r="L55" s="71"/>
      <c r="M55" s="72"/>
      <c r="N55" s="72"/>
      <c r="O55" s="73"/>
      <c r="P55" s="74"/>
      <c r="Q55" s="74"/>
      <c r="R55" s="86"/>
      <c r="S55" s="86"/>
      <c r="T55" s="86"/>
      <c r="U55" s="86"/>
      <c r="V55" s="48"/>
      <c r="W55" s="48"/>
      <c r="X55" s="48"/>
      <c r="Y55" s="48"/>
      <c r="Z55" s="47"/>
      <c r="AA55" s="69">
        <v>55</v>
      </c>
      <c r="AB55" s="69"/>
      <c r="AC55" s="70"/>
      <c r="AD55" s="76" t="s">
        <v>16489</v>
      </c>
      <c r="AE55" s="81" t="s">
        <v>15914</v>
      </c>
      <c r="AF55" s="76">
        <v>98</v>
      </c>
      <c r="AG55" s="76">
        <v>778</v>
      </c>
      <c r="AH55" s="76">
        <v>596</v>
      </c>
      <c r="AI55" s="76">
        <v>4</v>
      </c>
      <c r="AJ55" s="76">
        <v>11930</v>
      </c>
      <c r="AK55" s="76">
        <v>52</v>
      </c>
      <c r="AL55" s="76" t="b">
        <v>0</v>
      </c>
      <c r="AM55" s="78">
        <v>40130.024247685185</v>
      </c>
      <c r="AN55" s="76" t="s">
        <v>10570</v>
      </c>
      <c r="AO55" s="76" t="s">
        <v>17694</v>
      </c>
      <c r="AP55" s="76"/>
      <c r="AQ55" s="76"/>
      <c r="AR55" s="76"/>
      <c r="AS55" s="76"/>
      <c r="AT55" s="76"/>
      <c r="AU55" s="76"/>
      <c r="AV55" s="76">
        <v>1.6850058796644301E+18</v>
      </c>
      <c r="AW55" s="76"/>
      <c r="AX55" s="76" t="b">
        <v>0</v>
      </c>
      <c r="AY55" s="76"/>
      <c r="AZ55" s="76"/>
      <c r="BA55" s="76" t="b">
        <v>0</v>
      </c>
      <c r="BB55" s="76" t="b">
        <v>0</v>
      </c>
      <c r="BC55" s="76" t="b">
        <v>1</v>
      </c>
      <c r="BD55" s="76" t="b">
        <v>0</v>
      </c>
      <c r="BE55" s="76" t="b">
        <v>1</v>
      </c>
      <c r="BF55" s="76" t="b">
        <v>0</v>
      </c>
      <c r="BG55" s="76" t="b">
        <v>0</v>
      </c>
      <c r="BH55" s="76"/>
      <c r="BI55" s="76"/>
      <c r="BJ55" s="76" t="s">
        <v>18704</v>
      </c>
      <c r="BK55" s="76" t="b">
        <v>0</v>
      </c>
      <c r="BL55" s="76"/>
      <c r="BM55" s="76" t="s">
        <v>66</v>
      </c>
      <c r="BN55" s="76" t="s">
        <v>18706</v>
      </c>
      <c r="BO55" s="83" t="str">
        <f>HYPERLINK("https://twitter.com/andrecerque")</f>
        <v>https://twitter.com/andrecerque</v>
      </c>
      <c r="BP55" s="2"/>
    </row>
    <row r="56" spans="1:68" x14ac:dyDescent="0.25">
      <c r="A56" s="62" t="s">
        <v>262</v>
      </c>
      <c r="B56" s="63"/>
      <c r="C56" s="63"/>
      <c r="D56" s="64"/>
      <c r="E56" s="66"/>
      <c r="F56" s="102" t="str">
        <f>HYPERLINK("https://pbs.twimg.com/profile_images/1478016741871652864/b_NJh157_normal.jpg")</f>
        <v>https://pbs.twimg.com/profile_images/1478016741871652864/b_NJh157_normal.jpg</v>
      </c>
      <c r="G56" s="63"/>
      <c r="H56" s="67"/>
      <c r="I56" s="68"/>
      <c r="J56" s="68"/>
      <c r="K56" s="67" t="s">
        <v>18759</v>
      </c>
      <c r="L56" s="71"/>
      <c r="M56" s="72"/>
      <c r="N56" s="72"/>
      <c r="O56" s="73"/>
      <c r="P56" s="74"/>
      <c r="Q56" s="74"/>
      <c r="R56" s="86"/>
      <c r="S56" s="86"/>
      <c r="T56" s="86"/>
      <c r="U56" s="86"/>
      <c r="V56" s="48"/>
      <c r="W56" s="48"/>
      <c r="X56" s="48"/>
      <c r="Y56" s="48"/>
      <c r="Z56" s="47"/>
      <c r="AA56" s="69">
        <v>56</v>
      </c>
      <c r="AB56" s="69"/>
      <c r="AC56" s="70"/>
      <c r="AD56" s="76" t="s">
        <v>16490</v>
      </c>
      <c r="AE56" s="81" t="s">
        <v>17123</v>
      </c>
      <c r="AF56" s="76">
        <v>4743</v>
      </c>
      <c r="AG56" s="76">
        <v>872</v>
      </c>
      <c r="AH56" s="76">
        <v>16967</v>
      </c>
      <c r="AI56" s="76">
        <v>48</v>
      </c>
      <c r="AJ56" s="76">
        <v>75</v>
      </c>
      <c r="AK56" s="76">
        <v>7285</v>
      </c>
      <c r="AL56" s="76" t="b">
        <v>0</v>
      </c>
      <c r="AM56" s="78">
        <v>39931.701643518521</v>
      </c>
      <c r="AN56" s="76" t="s">
        <v>17417</v>
      </c>
      <c r="AO56" s="76" t="s">
        <v>17695</v>
      </c>
      <c r="AP56" s="83" t="str">
        <f>HYPERLINK("https://t.co/WELxqGMSrh")</f>
        <v>https://t.co/WELxqGMSrh</v>
      </c>
      <c r="AQ56" s="83" t="str">
        <f>HYPERLINK("https://brasil61.com/")</f>
        <v>https://brasil61.com/</v>
      </c>
      <c r="AR56" s="76" t="s">
        <v>18279</v>
      </c>
      <c r="AS56" s="76"/>
      <c r="AT56" s="76"/>
      <c r="AU56" s="76"/>
      <c r="AV56" s="76"/>
      <c r="AW56" s="83" t="str">
        <f>HYPERLINK("https://t.co/WELxqGMSrh")</f>
        <v>https://t.co/WELxqGMSrh</v>
      </c>
      <c r="AX56" s="76" t="b">
        <v>0</v>
      </c>
      <c r="AY56" s="76"/>
      <c r="AZ56" s="76"/>
      <c r="BA56" s="76" t="b">
        <v>1</v>
      </c>
      <c r="BB56" s="76" t="b">
        <v>1</v>
      </c>
      <c r="BC56" s="76" t="b">
        <v>0</v>
      </c>
      <c r="BD56" s="76" t="b">
        <v>0</v>
      </c>
      <c r="BE56" s="76" t="b">
        <v>1</v>
      </c>
      <c r="BF56" s="76" t="b">
        <v>0</v>
      </c>
      <c r="BG56" s="76" t="b">
        <v>0</v>
      </c>
      <c r="BH56" s="83" t="str">
        <f>HYPERLINK("https://pbs.twimg.com/profile_banners/36115008/1641221639")</f>
        <v>https://pbs.twimg.com/profile_banners/36115008/1641221639</v>
      </c>
      <c r="BI56" s="76"/>
      <c r="BJ56" s="76" t="s">
        <v>18704</v>
      </c>
      <c r="BK56" s="76" t="b">
        <v>0</v>
      </c>
      <c r="BL56" s="76"/>
      <c r="BM56" s="76" t="s">
        <v>66</v>
      </c>
      <c r="BN56" s="76" t="s">
        <v>18706</v>
      </c>
      <c r="BO56" s="83" t="str">
        <f>HYPERLINK("https://twitter.com/brasil61_")</f>
        <v>https://twitter.com/brasil61_</v>
      </c>
      <c r="BP56" s="2"/>
    </row>
    <row r="57" spans="1:68" x14ac:dyDescent="0.25">
      <c r="A57" s="62" t="s">
        <v>263</v>
      </c>
      <c r="B57" s="63"/>
      <c r="C57" s="63"/>
      <c r="D57" s="64"/>
      <c r="E57" s="66"/>
      <c r="F57" s="102" t="str">
        <f>HYPERLINK("https://pbs.twimg.com/profile_images/1686844189332365312/GMhQ2r7__normal.jpg")</f>
        <v>https://pbs.twimg.com/profile_images/1686844189332365312/GMhQ2r7__normal.jpg</v>
      </c>
      <c r="G57" s="63"/>
      <c r="H57" s="67"/>
      <c r="I57" s="68"/>
      <c r="J57" s="68"/>
      <c r="K57" s="67" t="s">
        <v>18760</v>
      </c>
      <c r="L57" s="71"/>
      <c r="M57" s="72"/>
      <c r="N57" s="72"/>
      <c r="O57" s="73"/>
      <c r="P57" s="74"/>
      <c r="Q57" s="74"/>
      <c r="R57" s="86"/>
      <c r="S57" s="86"/>
      <c r="T57" s="86"/>
      <c r="U57" s="86"/>
      <c r="V57" s="48"/>
      <c r="W57" s="48"/>
      <c r="X57" s="48"/>
      <c r="Y57" s="48"/>
      <c r="Z57" s="47"/>
      <c r="AA57" s="69">
        <v>57</v>
      </c>
      <c r="AB57" s="69"/>
      <c r="AC57" s="70"/>
      <c r="AD57" s="76" t="s">
        <v>16491</v>
      </c>
      <c r="AE57" s="81" t="s">
        <v>16124</v>
      </c>
      <c r="AF57" s="76">
        <v>736</v>
      </c>
      <c r="AG57" s="76">
        <v>726</v>
      </c>
      <c r="AH57" s="76">
        <v>47386</v>
      </c>
      <c r="AI57" s="76">
        <v>1</v>
      </c>
      <c r="AJ57" s="76">
        <v>49739</v>
      </c>
      <c r="AK57" s="76">
        <v>3537</v>
      </c>
      <c r="AL57" s="76" t="b">
        <v>0</v>
      </c>
      <c r="AM57" s="78">
        <v>43787.933553240742</v>
      </c>
      <c r="AN57" s="76"/>
      <c r="AO57" s="76" t="s">
        <v>17696</v>
      </c>
      <c r="AP57" s="76"/>
      <c r="AQ57" s="76"/>
      <c r="AR57" s="76"/>
      <c r="AS57" s="76"/>
      <c r="AT57" s="76"/>
      <c r="AU57" s="76"/>
      <c r="AV57" s="76">
        <v>1.58009816871634E+18</v>
      </c>
      <c r="AW57" s="76"/>
      <c r="AX57" s="76" t="b">
        <v>0</v>
      </c>
      <c r="AY57" s="76"/>
      <c r="AZ57" s="76"/>
      <c r="BA57" s="76" t="b">
        <v>0</v>
      </c>
      <c r="BB57" s="76" t="b">
        <v>0</v>
      </c>
      <c r="BC57" s="76" t="b">
        <v>1</v>
      </c>
      <c r="BD57" s="76" t="b">
        <v>0</v>
      </c>
      <c r="BE57" s="76" t="b">
        <v>0</v>
      </c>
      <c r="BF57" s="76" t="b">
        <v>0</v>
      </c>
      <c r="BG57" s="76" t="b">
        <v>1</v>
      </c>
      <c r="BH57" s="83" t="str">
        <f>HYPERLINK("https://pbs.twimg.com/profile_banners/1196554258688225280/1670101763")</f>
        <v>https://pbs.twimg.com/profile_banners/1196554258688225280/1670101763</v>
      </c>
      <c r="BI57" s="76" t="s">
        <v>18703</v>
      </c>
      <c r="BJ57" s="76" t="s">
        <v>18704</v>
      </c>
      <c r="BK57" s="76" t="b">
        <v>0</v>
      </c>
      <c r="BL57" s="76"/>
      <c r="BM57" s="76" t="s">
        <v>66</v>
      </c>
      <c r="BN57" s="76" t="s">
        <v>18706</v>
      </c>
      <c r="BO57" s="83" t="str">
        <f>HYPERLINK("https://twitter.com/skyclaw4")</f>
        <v>https://twitter.com/skyclaw4</v>
      </c>
      <c r="BP57" s="2"/>
    </row>
    <row r="58" spans="1:68" x14ac:dyDescent="0.25">
      <c r="A58" s="62" t="s">
        <v>264</v>
      </c>
      <c r="B58" s="63"/>
      <c r="C58" s="63"/>
      <c r="D58" s="64"/>
      <c r="E58" s="66"/>
      <c r="F58" s="102" t="str">
        <f>HYPERLINK("https://pbs.twimg.com/profile_images/1657244850289274880/at-huCUd_normal.jpg")</f>
        <v>https://pbs.twimg.com/profile_images/1657244850289274880/at-huCUd_normal.jpg</v>
      </c>
      <c r="G58" s="63"/>
      <c r="H58" s="67"/>
      <c r="I58" s="68"/>
      <c r="J58" s="68"/>
      <c r="K58" s="67" t="s">
        <v>18761</v>
      </c>
      <c r="L58" s="71"/>
      <c r="M58" s="72"/>
      <c r="N58" s="72"/>
      <c r="O58" s="73"/>
      <c r="P58" s="74"/>
      <c r="Q58" s="74"/>
      <c r="R58" s="86"/>
      <c r="S58" s="86"/>
      <c r="T58" s="86"/>
      <c r="U58" s="86"/>
      <c r="V58" s="48"/>
      <c r="W58" s="48"/>
      <c r="X58" s="48"/>
      <c r="Y58" s="48"/>
      <c r="Z58" s="47"/>
      <c r="AA58" s="69">
        <v>58</v>
      </c>
      <c r="AB58" s="69"/>
      <c r="AC58" s="70"/>
      <c r="AD58" s="76" t="s">
        <v>16492</v>
      </c>
      <c r="AE58" s="81" t="s">
        <v>16125</v>
      </c>
      <c r="AF58" s="76">
        <v>5204</v>
      </c>
      <c r="AG58" s="76">
        <v>3951</v>
      </c>
      <c r="AH58" s="76">
        <v>29525</v>
      </c>
      <c r="AI58" s="76">
        <v>14</v>
      </c>
      <c r="AJ58" s="76">
        <v>56975</v>
      </c>
      <c r="AK58" s="76">
        <v>1504</v>
      </c>
      <c r="AL58" s="76" t="b">
        <v>0</v>
      </c>
      <c r="AM58" s="78">
        <v>44132.039502314816</v>
      </c>
      <c r="AN58" s="76" t="s">
        <v>17418</v>
      </c>
      <c r="AO58" s="76" t="s">
        <v>17697</v>
      </c>
      <c r="AP58" s="76"/>
      <c r="AQ58" s="76"/>
      <c r="AR58" s="76"/>
      <c r="AS58" s="76"/>
      <c r="AT58" s="76"/>
      <c r="AU58" s="76"/>
      <c r="AV58" s="76"/>
      <c r="AW58" s="76"/>
      <c r="AX58" s="76" t="b">
        <v>1</v>
      </c>
      <c r="AY58" s="76"/>
      <c r="AZ58" s="76"/>
      <c r="BA58" s="76" t="b">
        <v>0</v>
      </c>
      <c r="BB58" s="76" t="b">
        <v>1</v>
      </c>
      <c r="BC58" s="76" t="b">
        <v>1</v>
      </c>
      <c r="BD58" s="76" t="b">
        <v>0</v>
      </c>
      <c r="BE58" s="76" t="b">
        <v>1</v>
      </c>
      <c r="BF58" s="76" t="b">
        <v>0</v>
      </c>
      <c r="BG58" s="76" t="b">
        <v>0</v>
      </c>
      <c r="BH58" s="83" t="str">
        <f>HYPERLINK("https://pbs.twimg.com/profile_banners/1321254505414053888/1688163292")</f>
        <v>https://pbs.twimg.com/profile_banners/1321254505414053888/1688163292</v>
      </c>
      <c r="BI58" s="76"/>
      <c r="BJ58" s="76" t="s">
        <v>18704</v>
      </c>
      <c r="BK58" s="76" t="b">
        <v>0</v>
      </c>
      <c r="BL58" s="76"/>
      <c r="BM58" s="76" t="s">
        <v>66</v>
      </c>
      <c r="BN58" s="76" t="s">
        <v>18706</v>
      </c>
      <c r="BO58" s="83" t="str">
        <f>HYPERLINK("https://twitter.com/ulisesarayad")</f>
        <v>https://twitter.com/ulisesarayad</v>
      </c>
      <c r="BP58" s="2"/>
    </row>
    <row r="59" spans="1:68" x14ac:dyDescent="0.25">
      <c r="A59" s="62" t="s">
        <v>670</v>
      </c>
      <c r="B59" s="63"/>
      <c r="C59" s="63"/>
      <c r="D59" s="64"/>
      <c r="E59" s="66"/>
      <c r="F59" s="102" t="str">
        <f>HYPERLINK("https://pbs.twimg.com/profile_images/1660612600835473410/ID3GwCqc_normal.jpg")</f>
        <v>https://pbs.twimg.com/profile_images/1660612600835473410/ID3GwCqc_normal.jpg</v>
      </c>
      <c r="G59" s="63"/>
      <c r="H59" s="67"/>
      <c r="I59" s="68"/>
      <c r="J59" s="68"/>
      <c r="K59" s="67" t="s">
        <v>18762</v>
      </c>
      <c r="L59" s="71"/>
      <c r="M59" s="72"/>
      <c r="N59" s="72"/>
      <c r="O59" s="73"/>
      <c r="P59" s="74"/>
      <c r="Q59" s="74"/>
      <c r="R59" s="86"/>
      <c r="S59" s="86"/>
      <c r="T59" s="86"/>
      <c r="U59" s="86"/>
      <c r="V59" s="48"/>
      <c r="W59" s="48"/>
      <c r="X59" s="48"/>
      <c r="Y59" s="48"/>
      <c r="Z59" s="47"/>
      <c r="AA59" s="69">
        <v>59</v>
      </c>
      <c r="AB59" s="69"/>
      <c r="AC59" s="70"/>
      <c r="AD59" s="76" t="s">
        <v>16493</v>
      </c>
      <c r="AE59" s="81" t="s">
        <v>17124</v>
      </c>
      <c r="AF59" s="76">
        <v>21003</v>
      </c>
      <c r="AG59" s="76">
        <v>706</v>
      </c>
      <c r="AH59" s="76">
        <v>36624</v>
      </c>
      <c r="AI59" s="76">
        <v>386</v>
      </c>
      <c r="AJ59" s="76">
        <v>15017</v>
      </c>
      <c r="AK59" s="76">
        <v>5334</v>
      </c>
      <c r="AL59" s="76" t="b">
        <v>0</v>
      </c>
      <c r="AM59" s="78">
        <v>40398.990960648145</v>
      </c>
      <c r="AN59" s="76" t="s">
        <v>17419</v>
      </c>
      <c r="AO59" s="76" t="s">
        <v>17698</v>
      </c>
      <c r="AP59" s="83" t="str">
        <f>HYPERLINK("https://t.co/wGwYeRmJoM")</f>
        <v>https://t.co/wGwYeRmJoM</v>
      </c>
      <c r="AQ59" s="83" t="str">
        <f>HYPERLINK("https://www.twitch.tv/hectorchamizo")</f>
        <v>https://www.twitch.tv/hectorchamizo</v>
      </c>
      <c r="AR59" s="76" t="s">
        <v>18280</v>
      </c>
      <c r="AS59" s="76"/>
      <c r="AT59" s="76"/>
      <c r="AU59" s="76"/>
      <c r="AV59" s="76">
        <v>1.70599201167998E+18</v>
      </c>
      <c r="AW59" s="83" t="str">
        <f>HYPERLINK("https://t.co/wGwYeRmJoM")</f>
        <v>https://t.co/wGwYeRmJoM</v>
      </c>
      <c r="AX59" s="76" t="b">
        <v>1</v>
      </c>
      <c r="AY59" s="76"/>
      <c r="AZ59" s="76"/>
      <c r="BA59" s="76" t="b">
        <v>1</v>
      </c>
      <c r="BB59" s="76" t="b">
        <v>1</v>
      </c>
      <c r="BC59" s="76" t="b">
        <v>0</v>
      </c>
      <c r="BD59" s="76" t="b">
        <v>0</v>
      </c>
      <c r="BE59" s="76" t="b">
        <v>1</v>
      </c>
      <c r="BF59" s="76" t="b">
        <v>0</v>
      </c>
      <c r="BG59" s="76" t="b">
        <v>0</v>
      </c>
      <c r="BH59" s="83" t="str">
        <f>HYPERLINK("https://pbs.twimg.com/profile_banners/176231745/1663486929")</f>
        <v>https://pbs.twimg.com/profile_banners/176231745/1663486929</v>
      </c>
      <c r="BI59" s="76"/>
      <c r="BJ59" s="76" t="s">
        <v>18704</v>
      </c>
      <c r="BK59" s="76" t="b">
        <v>0</v>
      </c>
      <c r="BL59" s="76"/>
      <c r="BM59" s="76" t="s">
        <v>66</v>
      </c>
      <c r="BN59" s="76" t="s">
        <v>18706</v>
      </c>
      <c r="BO59" s="83" t="str">
        <f>HYPERLINK("https://twitter.com/hectorchamizo")</f>
        <v>https://twitter.com/hectorchamizo</v>
      </c>
      <c r="BP59" s="2"/>
    </row>
    <row r="60" spans="1:68" x14ac:dyDescent="0.25">
      <c r="A60" s="62" t="s">
        <v>265</v>
      </c>
      <c r="B60" s="63"/>
      <c r="C60" s="63"/>
      <c r="D60" s="64"/>
      <c r="E60" s="66"/>
      <c r="F60" s="102" t="str">
        <f>HYPERLINK("https://pbs.twimg.com/profile_images/1664215119650492418/DZOPHcLO_normal.jpg")</f>
        <v>https://pbs.twimg.com/profile_images/1664215119650492418/DZOPHcLO_normal.jpg</v>
      </c>
      <c r="G60" s="63"/>
      <c r="H60" s="67"/>
      <c r="I60" s="68"/>
      <c r="J60" s="68"/>
      <c r="K60" s="67" t="s">
        <v>18763</v>
      </c>
      <c r="L60" s="71"/>
      <c r="M60" s="72"/>
      <c r="N60" s="72"/>
      <c r="O60" s="73"/>
      <c r="P60" s="74"/>
      <c r="Q60" s="74"/>
      <c r="R60" s="86"/>
      <c r="S60" s="86"/>
      <c r="T60" s="86"/>
      <c r="U60" s="86"/>
      <c r="V60" s="48"/>
      <c r="W60" s="48"/>
      <c r="X60" s="48"/>
      <c r="Y60" s="48"/>
      <c r="Z60" s="47"/>
      <c r="AA60" s="69">
        <v>60</v>
      </c>
      <c r="AB60" s="69"/>
      <c r="AC60" s="70"/>
      <c r="AD60" s="76" t="s">
        <v>16494</v>
      </c>
      <c r="AE60" s="81" t="s">
        <v>16126</v>
      </c>
      <c r="AF60" s="76">
        <v>48899</v>
      </c>
      <c r="AG60" s="76">
        <v>42</v>
      </c>
      <c r="AH60" s="76">
        <v>3447</v>
      </c>
      <c r="AI60" s="76">
        <v>26</v>
      </c>
      <c r="AJ60" s="76">
        <v>1010</v>
      </c>
      <c r="AK60" s="76">
        <v>2016</v>
      </c>
      <c r="AL60" s="76" t="b">
        <v>0</v>
      </c>
      <c r="AM60" s="78">
        <v>44362.296944444446</v>
      </c>
      <c r="AN60" s="76" t="s">
        <v>10570</v>
      </c>
      <c r="AO60" s="76" t="s">
        <v>17699</v>
      </c>
      <c r="AP60" s="83" t="str">
        <f>HYPERLINK("https://t.co/5sPNJrCfIp")</f>
        <v>https://t.co/5sPNJrCfIp</v>
      </c>
      <c r="AQ60" s="83" t="str">
        <f>HYPERLINK("https://www.coinex.com/")</f>
        <v>https://www.coinex.com/</v>
      </c>
      <c r="AR60" s="76" t="s">
        <v>18281</v>
      </c>
      <c r="AS60" s="76"/>
      <c r="AT60" s="76"/>
      <c r="AU60" s="76"/>
      <c r="AV60" s="76">
        <v>1.70638495628336E+18</v>
      </c>
      <c r="AW60" s="83" t="str">
        <f>HYPERLINK("https://t.co/5sPNJrCfIp")</f>
        <v>https://t.co/5sPNJrCfIp</v>
      </c>
      <c r="AX60" s="76" t="b">
        <v>1</v>
      </c>
      <c r="AY60" s="76"/>
      <c r="AZ60" s="76"/>
      <c r="BA60" s="76" t="b">
        <v>1</v>
      </c>
      <c r="BB60" s="76" t="b">
        <v>1</v>
      </c>
      <c r="BC60" s="76" t="b">
        <v>1</v>
      </c>
      <c r="BD60" s="76" t="b">
        <v>0</v>
      </c>
      <c r="BE60" s="76" t="b">
        <v>0</v>
      </c>
      <c r="BF60" s="76" t="b">
        <v>0</v>
      </c>
      <c r="BG60" s="76" t="b">
        <v>0</v>
      </c>
      <c r="BH60" s="83" t="str">
        <f>HYPERLINK("https://pbs.twimg.com/profile_banners/1404696968547368962/1685614781")</f>
        <v>https://pbs.twimg.com/profile_banners/1404696968547368962/1685614781</v>
      </c>
      <c r="BI60" s="76"/>
      <c r="BJ60" s="76" t="s">
        <v>18704</v>
      </c>
      <c r="BK60" s="76" t="b">
        <v>0</v>
      </c>
      <c r="BL60" s="76"/>
      <c r="BM60" s="76" t="s">
        <v>66</v>
      </c>
      <c r="BN60" s="76" t="s">
        <v>18706</v>
      </c>
      <c r="BO60" s="83" t="str">
        <f>HYPERLINK("https://twitter.com/coinexportugues")</f>
        <v>https://twitter.com/coinexportugues</v>
      </c>
      <c r="BP60" s="2"/>
    </row>
    <row r="61" spans="1:68" x14ac:dyDescent="0.25">
      <c r="A61" s="62" t="s">
        <v>266</v>
      </c>
      <c r="B61" s="63"/>
      <c r="C61" s="63"/>
      <c r="D61" s="64"/>
      <c r="E61" s="66"/>
      <c r="F61" s="102" t="str">
        <f>HYPERLINK("https://pbs.twimg.com/profile_images/1692893745975296000/heCd_Arg_normal.jpg")</f>
        <v>https://pbs.twimg.com/profile_images/1692893745975296000/heCd_Arg_normal.jpg</v>
      </c>
      <c r="G61" s="63"/>
      <c r="H61" s="67"/>
      <c r="I61" s="68"/>
      <c r="J61" s="68"/>
      <c r="K61" s="67" t="s">
        <v>18764</v>
      </c>
      <c r="L61" s="71"/>
      <c r="M61" s="72"/>
      <c r="N61" s="72"/>
      <c r="O61" s="73"/>
      <c r="P61" s="74"/>
      <c r="Q61" s="74"/>
      <c r="R61" s="86"/>
      <c r="S61" s="86"/>
      <c r="T61" s="86"/>
      <c r="U61" s="86"/>
      <c r="V61" s="48"/>
      <c r="W61" s="48"/>
      <c r="X61" s="48"/>
      <c r="Y61" s="48"/>
      <c r="Z61" s="47"/>
      <c r="AA61" s="69">
        <v>61</v>
      </c>
      <c r="AB61" s="69"/>
      <c r="AC61" s="70"/>
      <c r="AD61" s="76" t="s">
        <v>16495</v>
      </c>
      <c r="AE61" s="81" t="s">
        <v>16127</v>
      </c>
      <c r="AF61" s="76">
        <v>41</v>
      </c>
      <c r="AG61" s="76">
        <v>136</v>
      </c>
      <c r="AH61" s="76">
        <v>962</v>
      </c>
      <c r="AI61" s="76">
        <v>1</v>
      </c>
      <c r="AJ61" s="76">
        <v>169</v>
      </c>
      <c r="AK61" s="76">
        <v>281</v>
      </c>
      <c r="AL61" s="76" t="b">
        <v>0</v>
      </c>
      <c r="AM61" s="78">
        <v>44519.971979166665</v>
      </c>
      <c r="AN61" s="76"/>
      <c r="AO61" s="76" t="s">
        <v>17700</v>
      </c>
      <c r="AP61" s="76"/>
      <c r="AQ61" s="76"/>
      <c r="AR61" s="76"/>
      <c r="AS61" s="76"/>
      <c r="AT61" s="76"/>
      <c r="AU61" s="76"/>
      <c r="AV61" s="76">
        <v>1.69397266359566E+18</v>
      </c>
      <c r="AW61" s="76"/>
      <c r="AX61" s="76" t="b">
        <v>1</v>
      </c>
      <c r="AY61" s="76"/>
      <c r="AZ61" s="76"/>
      <c r="BA61" s="76" t="b">
        <v>1</v>
      </c>
      <c r="BB61" s="76" t="b">
        <v>1</v>
      </c>
      <c r="BC61" s="76" t="b">
        <v>1</v>
      </c>
      <c r="BD61" s="76" t="b">
        <v>0</v>
      </c>
      <c r="BE61" s="76" t="b">
        <v>0</v>
      </c>
      <c r="BF61" s="76" t="b">
        <v>0</v>
      </c>
      <c r="BG61" s="76" t="b">
        <v>0</v>
      </c>
      <c r="BH61" s="83" t="str">
        <f>HYPERLINK("https://pbs.twimg.com/profile_banners/1461836185236647946/1692452364")</f>
        <v>https://pbs.twimg.com/profile_banners/1461836185236647946/1692452364</v>
      </c>
      <c r="BI61" s="76"/>
      <c r="BJ61" s="76" t="s">
        <v>18704</v>
      </c>
      <c r="BK61" s="76" t="b">
        <v>0</v>
      </c>
      <c r="BL61" s="76"/>
      <c r="BM61" s="76" t="s">
        <v>66</v>
      </c>
      <c r="BN61" s="76" t="s">
        <v>18706</v>
      </c>
      <c r="BO61" s="83" t="str">
        <f>HYPERLINK("https://twitter.com/dexfase")</f>
        <v>https://twitter.com/dexfase</v>
      </c>
      <c r="BP61" s="2"/>
    </row>
    <row r="62" spans="1:68" x14ac:dyDescent="0.25">
      <c r="A62" s="62" t="s">
        <v>267</v>
      </c>
      <c r="B62" s="63"/>
      <c r="C62" s="63"/>
      <c r="D62" s="64"/>
      <c r="E62" s="66"/>
      <c r="F62" s="102" t="str">
        <f>HYPERLINK("https://pbs.twimg.com/profile_images/1662611880504860674/s0H1WOC9_normal.jpg")</f>
        <v>https://pbs.twimg.com/profile_images/1662611880504860674/s0H1WOC9_normal.jpg</v>
      </c>
      <c r="G62" s="63"/>
      <c r="H62" s="67"/>
      <c r="I62" s="68"/>
      <c r="J62" s="68"/>
      <c r="K62" s="67" t="s">
        <v>18765</v>
      </c>
      <c r="L62" s="71"/>
      <c r="M62" s="72"/>
      <c r="N62" s="72"/>
      <c r="O62" s="73"/>
      <c r="P62" s="74"/>
      <c r="Q62" s="74"/>
      <c r="R62" s="86"/>
      <c r="S62" s="86"/>
      <c r="T62" s="86"/>
      <c r="U62" s="86"/>
      <c r="V62" s="48"/>
      <c r="W62" s="48"/>
      <c r="X62" s="48"/>
      <c r="Y62" s="48"/>
      <c r="Z62" s="47"/>
      <c r="AA62" s="69">
        <v>62</v>
      </c>
      <c r="AB62" s="69"/>
      <c r="AC62" s="70"/>
      <c r="AD62" s="76" t="s">
        <v>16496</v>
      </c>
      <c r="AE62" s="81" t="s">
        <v>16128</v>
      </c>
      <c r="AF62" s="76">
        <v>24</v>
      </c>
      <c r="AG62" s="76">
        <v>40</v>
      </c>
      <c r="AH62" s="76">
        <v>99</v>
      </c>
      <c r="AI62" s="76">
        <v>0</v>
      </c>
      <c r="AJ62" s="76">
        <v>483</v>
      </c>
      <c r="AK62" s="76">
        <v>65</v>
      </c>
      <c r="AL62" s="76" t="b">
        <v>0</v>
      </c>
      <c r="AM62" s="78">
        <v>45074.0002662037</v>
      </c>
      <c r="AN62" s="76"/>
      <c r="AO62" s="76" t="s">
        <v>17701</v>
      </c>
      <c r="AP62" s="83" t="str">
        <f>HYPERLINK("https://t.co/r0VhdiN5co")</f>
        <v>https://t.co/r0VhdiN5co</v>
      </c>
      <c r="AQ62" s="83" t="str">
        <f>HYPERLINK("https://youtu.be/O4oJIG7SpHM")</f>
        <v>https://youtu.be/O4oJIG7SpHM</v>
      </c>
      <c r="AR62" s="76" t="s">
        <v>18282</v>
      </c>
      <c r="AS62" s="83" t="str">
        <f>HYPERLINK("https://t.co/95hiPF7Mv9")</f>
        <v>https://t.co/95hiPF7Mv9</v>
      </c>
      <c r="AT62" s="83" t="str">
        <f>HYPERLINK("https://youtube.com/@DiegoTrindadeb3")</f>
        <v>https://youtube.com/@DiegoTrindadeb3</v>
      </c>
      <c r="AU62" s="76" t="s">
        <v>18653</v>
      </c>
      <c r="AV62" s="76"/>
      <c r="AW62" s="83" t="str">
        <f>HYPERLINK("https://t.co/r0VhdiN5co")</f>
        <v>https://t.co/r0VhdiN5co</v>
      </c>
      <c r="AX62" s="76" t="b">
        <v>0</v>
      </c>
      <c r="AY62" s="76"/>
      <c r="AZ62" s="76"/>
      <c r="BA62" s="76" t="b">
        <v>0</v>
      </c>
      <c r="BB62" s="76" t="b">
        <v>1</v>
      </c>
      <c r="BC62" s="76" t="b">
        <v>1</v>
      </c>
      <c r="BD62" s="76" t="b">
        <v>0</v>
      </c>
      <c r="BE62" s="76" t="b">
        <v>0</v>
      </c>
      <c r="BF62" s="76" t="b">
        <v>0</v>
      </c>
      <c r="BG62" s="76" t="b">
        <v>0</v>
      </c>
      <c r="BH62" s="83" t="str">
        <f>HYPERLINK("https://pbs.twimg.com/profile_banners/1662609376874577920/1685233243")</f>
        <v>https://pbs.twimg.com/profile_banners/1662609376874577920/1685233243</v>
      </c>
      <c r="BI62" s="76"/>
      <c r="BJ62" s="76" t="s">
        <v>18704</v>
      </c>
      <c r="BK62" s="76" t="b">
        <v>0</v>
      </c>
      <c r="BL62" s="76"/>
      <c r="BM62" s="76" t="s">
        <v>66</v>
      </c>
      <c r="BN62" s="76" t="s">
        <v>18706</v>
      </c>
      <c r="BO62" s="83" t="str">
        <f>HYPERLINK("https://twitter.com/diegotraderb3")</f>
        <v>https://twitter.com/diegotraderb3</v>
      </c>
      <c r="BP62" s="2"/>
    </row>
    <row r="63" spans="1:68" x14ac:dyDescent="0.25">
      <c r="A63" s="62" t="s">
        <v>268</v>
      </c>
      <c r="B63" s="63"/>
      <c r="C63" s="63"/>
      <c r="D63" s="64"/>
      <c r="E63" s="66"/>
      <c r="F63" s="102" t="str">
        <f>HYPERLINK("https://pbs.twimg.com/profile_images/1602976327287595010/xKehLJbY_normal.jpg")</f>
        <v>https://pbs.twimg.com/profile_images/1602976327287595010/xKehLJbY_normal.jpg</v>
      </c>
      <c r="G63" s="63"/>
      <c r="H63" s="67"/>
      <c r="I63" s="68"/>
      <c r="J63" s="68"/>
      <c r="K63" s="67" t="s">
        <v>18766</v>
      </c>
      <c r="L63" s="71"/>
      <c r="M63" s="72"/>
      <c r="N63" s="72"/>
      <c r="O63" s="73"/>
      <c r="P63" s="74"/>
      <c r="Q63" s="74"/>
      <c r="R63" s="86"/>
      <c r="S63" s="86"/>
      <c r="T63" s="86"/>
      <c r="U63" s="86"/>
      <c r="V63" s="48"/>
      <c r="W63" s="48"/>
      <c r="X63" s="48"/>
      <c r="Y63" s="48"/>
      <c r="Z63" s="47"/>
      <c r="AA63" s="69">
        <v>63</v>
      </c>
      <c r="AB63" s="69"/>
      <c r="AC63" s="70"/>
      <c r="AD63" s="76" t="s">
        <v>16497</v>
      </c>
      <c r="AE63" s="81" t="s">
        <v>16129</v>
      </c>
      <c r="AF63" s="76">
        <v>116</v>
      </c>
      <c r="AG63" s="76">
        <v>268</v>
      </c>
      <c r="AH63" s="76">
        <v>862</v>
      </c>
      <c r="AI63" s="76">
        <v>0</v>
      </c>
      <c r="AJ63" s="76">
        <v>2834</v>
      </c>
      <c r="AK63" s="76">
        <v>815</v>
      </c>
      <c r="AL63" s="76" t="b">
        <v>0</v>
      </c>
      <c r="AM63" s="78">
        <v>44909.432349537034</v>
      </c>
      <c r="AN63" s="76"/>
      <c r="AO63" s="76" t="s">
        <v>17702</v>
      </c>
      <c r="AP63" s="83" t="str">
        <f>HYPERLINK("https://t.co/s4oPedh1Fm")</f>
        <v>https://t.co/s4oPedh1Fm</v>
      </c>
      <c r="AQ63" s="83" t="str">
        <f>HYPERLINK("https://med.etoro.com/B20497_A117433_TClick_STP1.aspx")</f>
        <v>https://med.etoro.com/B20497_A117433_TClick_STP1.aspx</v>
      </c>
      <c r="AR63" s="76" t="s">
        <v>18283</v>
      </c>
      <c r="AS63" s="76"/>
      <c r="AT63" s="76"/>
      <c r="AU63" s="76"/>
      <c r="AV63" s="76">
        <v>1.6645555066088801E+18</v>
      </c>
      <c r="AW63" s="83" t="str">
        <f>HYPERLINK("https://t.co/s4oPedh1Fm")</f>
        <v>https://t.co/s4oPedh1Fm</v>
      </c>
      <c r="AX63" s="76" t="b">
        <v>0</v>
      </c>
      <c r="AY63" s="76"/>
      <c r="AZ63" s="76"/>
      <c r="BA63" s="76" t="b">
        <v>0</v>
      </c>
      <c r="BB63" s="76" t="b">
        <v>1</v>
      </c>
      <c r="BC63" s="76" t="b">
        <v>1</v>
      </c>
      <c r="BD63" s="76" t="b">
        <v>0</v>
      </c>
      <c r="BE63" s="76" t="b">
        <v>0</v>
      </c>
      <c r="BF63" s="76" t="b">
        <v>0</v>
      </c>
      <c r="BG63" s="76" t="b">
        <v>0</v>
      </c>
      <c r="BH63" s="83" t="str">
        <f>HYPERLINK("https://pbs.twimg.com/profile_banners/1602972186045779968/1671015301")</f>
        <v>https://pbs.twimg.com/profile_banners/1602972186045779968/1671015301</v>
      </c>
      <c r="BI63" s="76"/>
      <c r="BJ63" s="76" t="s">
        <v>18704</v>
      </c>
      <c r="BK63" s="76" t="b">
        <v>0</v>
      </c>
      <c r="BL63" s="76"/>
      <c r="BM63" s="76" t="s">
        <v>66</v>
      </c>
      <c r="BN63" s="76" t="s">
        <v>18706</v>
      </c>
      <c r="BO63" s="83" t="str">
        <f>HYPERLINK("https://twitter.com/treidingp1")</f>
        <v>https://twitter.com/treidingp1</v>
      </c>
      <c r="BP63" s="2"/>
    </row>
    <row r="64" spans="1:68" x14ac:dyDescent="0.25">
      <c r="A64" s="62" t="s">
        <v>269</v>
      </c>
      <c r="B64" s="63"/>
      <c r="C64" s="63"/>
      <c r="D64" s="64"/>
      <c r="E64" s="66"/>
      <c r="F64" s="102" t="str">
        <f>HYPERLINK("https://pbs.twimg.com/profile_images/1604805849679118336/stRYelj2_normal.jpg")</f>
        <v>https://pbs.twimg.com/profile_images/1604805849679118336/stRYelj2_normal.jpg</v>
      </c>
      <c r="G64" s="63"/>
      <c r="H64" s="67"/>
      <c r="I64" s="68"/>
      <c r="J64" s="68"/>
      <c r="K64" s="67" t="s">
        <v>18767</v>
      </c>
      <c r="L64" s="71"/>
      <c r="M64" s="72"/>
      <c r="N64" s="72"/>
      <c r="O64" s="73"/>
      <c r="P64" s="74"/>
      <c r="Q64" s="74"/>
      <c r="R64" s="86"/>
      <c r="S64" s="86"/>
      <c r="T64" s="86"/>
      <c r="U64" s="86"/>
      <c r="V64" s="48"/>
      <c r="W64" s="48"/>
      <c r="X64" s="48"/>
      <c r="Y64" s="48"/>
      <c r="Z64" s="47"/>
      <c r="AA64" s="69">
        <v>64</v>
      </c>
      <c r="AB64" s="69"/>
      <c r="AC64" s="70"/>
      <c r="AD64" s="76" t="s">
        <v>16498</v>
      </c>
      <c r="AE64" s="81" t="s">
        <v>17125</v>
      </c>
      <c r="AF64" s="76">
        <v>2003</v>
      </c>
      <c r="AG64" s="76">
        <v>643</v>
      </c>
      <c r="AH64" s="76">
        <v>50707</v>
      </c>
      <c r="AI64" s="76">
        <v>37</v>
      </c>
      <c r="AJ64" s="76">
        <v>74915</v>
      </c>
      <c r="AK64" s="76">
        <v>1633</v>
      </c>
      <c r="AL64" s="76" t="b">
        <v>0</v>
      </c>
      <c r="AM64" s="78">
        <v>40309.964490740742</v>
      </c>
      <c r="AN64" s="76" t="s">
        <v>10570</v>
      </c>
      <c r="AO64" s="76" t="s">
        <v>17703</v>
      </c>
      <c r="AP64" s="76"/>
      <c r="AQ64" s="76"/>
      <c r="AR64" s="76"/>
      <c r="AS64" s="76"/>
      <c r="AT64" s="76"/>
      <c r="AU64" s="76"/>
      <c r="AV64" s="76"/>
      <c r="AW64" s="76"/>
      <c r="AX64" s="76" t="b">
        <v>1</v>
      </c>
      <c r="AY64" s="76"/>
      <c r="AZ64" s="76"/>
      <c r="BA64" s="76" t="b">
        <v>0</v>
      </c>
      <c r="BB64" s="76" t="b">
        <v>0</v>
      </c>
      <c r="BC64" s="76" t="b">
        <v>1</v>
      </c>
      <c r="BD64" s="76" t="b">
        <v>0</v>
      </c>
      <c r="BE64" s="76" t="b">
        <v>1</v>
      </c>
      <c r="BF64" s="76" t="b">
        <v>0</v>
      </c>
      <c r="BG64" s="76" t="b">
        <v>0</v>
      </c>
      <c r="BH64" s="83" t="str">
        <f>HYPERLINK("https://pbs.twimg.com/profile_banners/142850730/1442101048")</f>
        <v>https://pbs.twimg.com/profile_banners/142850730/1442101048</v>
      </c>
      <c r="BI64" s="76"/>
      <c r="BJ64" s="76" t="s">
        <v>18704</v>
      </c>
      <c r="BK64" s="76" t="b">
        <v>0</v>
      </c>
      <c r="BL64" s="76"/>
      <c r="BM64" s="76" t="s">
        <v>66</v>
      </c>
      <c r="BN64" s="76" t="s">
        <v>18706</v>
      </c>
      <c r="BO64" s="83" t="str">
        <f>HYPERLINK("https://twitter.com/j_ramacciotti")</f>
        <v>https://twitter.com/j_ramacciotti</v>
      </c>
      <c r="BP64" s="2"/>
    </row>
    <row r="65" spans="1:68" x14ac:dyDescent="0.25">
      <c r="A65" s="62" t="s">
        <v>270</v>
      </c>
      <c r="B65" s="63"/>
      <c r="C65" s="63"/>
      <c r="D65" s="64"/>
      <c r="E65" s="66"/>
      <c r="F65" s="102" t="str">
        <f>HYPERLINK("https://pbs.twimg.com/profile_images/1207742176098234368/FXlB5owL_normal.jpg")</f>
        <v>https://pbs.twimg.com/profile_images/1207742176098234368/FXlB5owL_normal.jpg</v>
      </c>
      <c r="G65" s="63"/>
      <c r="H65" s="67"/>
      <c r="I65" s="68"/>
      <c r="J65" s="68"/>
      <c r="K65" s="67" t="s">
        <v>18768</v>
      </c>
      <c r="L65" s="71"/>
      <c r="M65" s="72"/>
      <c r="N65" s="72"/>
      <c r="O65" s="73"/>
      <c r="P65" s="74"/>
      <c r="Q65" s="74"/>
      <c r="R65" s="86"/>
      <c r="S65" s="86"/>
      <c r="T65" s="86"/>
      <c r="U65" s="86"/>
      <c r="V65" s="48"/>
      <c r="W65" s="48"/>
      <c r="X65" s="48"/>
      <c r="Y65" s="48"/>
      <c r="Z65" s="47"/>
      <c r="AA65" s="69">
        <v>65</v>
      </c>
      <c r="AB65" s="69"/>
      <c r="AC65" s="70"/>
      <c r="AD65" s="76" t="s">
        <v>16499</v>
      </c>
      <c r="AE65" s="81" t="s">
        <v>17126</v>
      </c>
      <c r="AF65" s="76">
        <v>6473</v>
      </c>
      <c r="AG65" s="76">
        <v>383</v>
      </c>
      <c r="AH65" s="76">
        <v>8306</v>
      </c>
      <c r="AI65" s="76">
        <v>98</v>
      </c>
      <c r="AJ65" s="76">
        <v>1074</v>
      </c>
      <c r="AK65" s="76">
        <v>911</v>
      </c>
      <c r="AL65" s="76" t="b">
        <v>0</v>
      </c>
      <c r="AM65" s="78">
        <v>40074.081817129627</v>
      </c>
      <c r="AN65" s="76" t="s">
        <v>17420</v>
      </c>
      <c r="AO65" s="76" t="s">
        <v>17704</v>
      </c>
      <c r="AP65" s="83" t="str">
        <f>HYPERLINK("https://t.co/sgm8n2uOTt")</f>
        <v>https://t.co/sgm8n2uOTt</v>
      </c>
      <c r="AQ65" s="83" t="str">
        <f>HYPERLINK("http://www.academiadodinheiro.com.br")</f>
        <v>http://www.academiadodinheiro.com.br</v>
      </c>
      <c r="AR65" s="76" t="s">
        <v>18284</v>
      </c>
      <c r="AS65" s="76"/>
      <c r="AT65" s="76"/>
      <c r="AU65" s="76"/>
      <c r="AV65" s="76"/>
      <c r="AW65" s="83" t="str">
        <f>HYPERLINK("https://t.co/sgm8n2uOTt")</f>
        <v>https://t.co/sgm8n2uOTt</v>
      </c>
      <c r="AX65" s="76" t="b">
        <v>0</v>
      </c>
      <c r="AY65" s="76"/>
      <c r="AZ65" s="76"/>
      <c r="BA65" s="76" t="b">
        <v>0</v>
      </c>
      <c r="BB65" s="76" t="b">
        <v>1</v>
      </c>
      <c r="BC65" s="76" t="b">
        <v>0</v>
      </c>
      <c r="BD65" s="76" t="b">
        <v>0</v>
      </c>
      <c r="BE65" s="76" t="b">
        <v>1</v>
      </c>
      <c r="BF65" s="76" t="b">
        <v>0</v>
      </c>
      <c r="BG65" s="76" t="b">
        <v>0</v>
      </c>
      <c r="BH65" s="83" t="str">
        <f>HYPERLINK("https://pbs.twimg.com/profile_banners/75173434/1576783149")</f>
        <v>https://pbs.twimg.com/profile_banners/75173434/1576783149</v>
      </c>
      <c r="BI65" s="76"/>
      <c r="BJ65" s="76" t="s">
        <v>18704</v>
      </c>
      <c r="BK65" s="76" t="b">
        <v>0</v>
      </c>
      <c r="BL65" s="76"/>
      <c r="BM65" s="76" t="s">
        <v>66</v>
      </c>
      <c r="BN65" s="76" t="s">
        <v>18706</v>
      </c>
      <c r="BO65" s="83" t="str">
        <f>HYPERLINK("https://twitter.com/calilecalil")</f>
        <v>https://twitter.com/calilecalil</v>
      </c>
      <c r="BP65" s="2"/>
    </row>
    <row r="66" spans="1:68" x14ac:dyDescent="0.25">
      <c r="A66" s="62" t="s">
        <v>271</v>
      </c>
      <c r="B66" s="63"/>
      <c r="C66" s="63"/>
      <c r="D66" s="64"/>
      <c r="E66" s="66"/>
      <c r="F66" s="102" t="str">
        <f>HYPERLINK("https://pbs.twimg.com/profile_images/1637923371735195648/pmMPEUFg_normal.jpg")</f>
        <v>https://pbs.twimg.com/profile_images/1637923371735195648/pmMPEUFg_normal.jpg</v>
      </c>
      <c r="G66" s="63"/>
      <c r="H66" s="67"/>
      <c r="I66" s="68"/>
      <c r="J66" s="68"/>
      <c r="K66" s="67" t="s">
        <v>18769</v>
      </c>
      <c r="L66" s="71"/>
      <c r="M66" s="72"/>
      <c r="N66" s="72"/>
      <c r="O66" s="73"/>
      <c r="P66" s="74"/>
      <c r="Q66" s="74"/>
      <c r="R66" s="86"/>
      <c r="S66" s="86"/>
      <c r="T66" s="86"/>
      <c r="U66" s="86"/>
      <c r="V66" s="48"/>
      <c r="W66" s="48"/>
      <c r="X66" s="48"/>
      <c r="Y66" s="48"/>
      <c r="Z66" s="47"/>
      <c r="AA66" s="69">
        <v>66</v>
      </c>
      <c r="AB66" s="69"/>
      <c r="AC66" s="70"/>
      <c r="AD66" s="76" t="s">
        <v>16500</v>
      </c>
      <c r="AE66" s="81" t="s">
        <v>16130</v>
      </c>
      <c r="AF66" s="76">
        <v>66</v>
      </c>
      <c r="AG66" s="76">
        <v>8</v>
      </c>
      <c r="AH66" s="76">
        <v>808</v>
      </c>
      <c r="AI66" s="76">
        <v>1</v>
      </c>
      <c r="AJ66" s="76">
        <v>2</v>
      </c>
      <c r="AK66" s="76">
        <v>786</v>
      </c>
      <c r="AL66" s="76" t="b">
        <v>0</v>
      </c>
      <c r="AM66" s="78">
        <v>44858.114803240744</v>
      </c>
      <c r="AN66" s="76"/>
      <c r="AO66" s="76" t="s">
        <v>17705</v>
      </c>
      <c r="AP66" s="83" t="str">
        <f>HYPERLINK("https://t.co/KxYSKHphkP")</f>
        <v>https://t.co/KxYSKHphkP</v>
      </c>
      <c r="AQ66" s="83" t="str">
        <f>HYPERLINK("http://linktr.ee/smarttradingclub")</f>
        <v>http://linktr.ee/smarttradingclub</v>
      </c>
      <c r="AR66" s="76" t="s">
        <v>18285</v>
      </c>
      <c r="AS66" s="76"/>
      <c r="AT66" s="76"/>
      <c r="AU66" s="76"/>
      <c r="AV66" s="76">
        <v>1.61605960623682E+18</v>
      </c>
      <c r="AW66" s="83" t="str">
        <f>HYPERLINK("https://t.co/KxYSKHphkP")</f>
        <v>https://t.co/KxYSKHphkP</v>
      </c>
      <c r="AX66" s="76" t="b">
        <v>0</v>
      </c>
      <c r="AY66" s="76"/>
      <c r="AZ66" s="76"/>
      <c r="BA66" s="76" t="b">
        <v>0</v>
      </c>
      <c r="BB66" s="76" t="b">
        <v>1</v>
      </c>
      <c r="BC66" s="76" t="b">
        <v>1</v>
      </c>
      <c r="BD66" s="76" t="b">
        <v>0</v>
      </c>
      <c r="BE66" s="76" t="b">
        <v>0</v>
      </c>
      <c r="BF66" s="76" t="b">
        <v>0</v>
      </c>
      <c r="BG66" s="76" t="b">
        <v>0</v>
      </c>
      <c r="BH66" s="83" t="str">
        <f>HYPERLINK("https://pbs.twimg.com/profile_banners/1584375410896273409/1679346339")</f>
        <v>https://pbs.twimg.com/profile_banners/1584375410896273409/1679346339</v>
      </c>
      <c r="BI66" s="76"/>
      <c r="BJ66" s="76" t="s">
        <v>18704</v>
      </c>
      <c r="BK66" s="76" t="b">
        <v>0</v>
      </c>
      <c r="BL66" s="76"/>
      <c r="BM66" s="76" t="s">
        <v>66</v>
      </c>
      <c r="BN66" s="76" t="s">
        <v>18706</v>
      </c>
      <c r="BO66" s="83" t="str">
        <f>HYPERLINK("https://twitter.com/smarttradingcl1")</f>
        <v>https://twitter.com/smarttradingcl1</v>
      </c>
      <c r="BP66" s="2"/>
    </row>
    <row r="67" spans="1:68" x14ac:dyDescent="0.25">
      <c r="A67" s="62" t="s">
        <v>272</v>
      </c>
      <c r="B67" s="63"/>
      <c r="C67" s="63"/>
      <c r="D67" s="64"/>
      <c r="E67" s="66"/>
      <c r="F67" s="102" t="str">
        <f>HYPERLINK("https://pbs.twimg.com/profile_images/1598834925674840065/AIJUkXlx_normal.jpg")</f>
        <v>https://pbs.twimg.com/profile_images/1598834925674840065/AIJUkXlx_normal.jpg</v>
      </c>
      <c r="G67" s="63"/>
      <c r="H67" s="67"/>
      <c r="I67" s="68"/>
      <c r="J67" s="68"/>
      <c r="K67" s="67" t="s">
        <v>18770</v>
      </c>
      <c r="L67" s="71"/>
      <c r="M67" s="72"/>
      <c r="N67" s="72"/>
      <c r="O67" s="73"/>
      <c r="P67" s="74"/>
      <c r="Q67" s="74"/>
      <c r="R67" s="86"/>
      <c r="S67" s="86"/>
      <c r="T67" s="86"/>
      <c r="U67" s="86"/>
      <c r="V67" s="48"/>
      <c r="W67" s="48"/>
      <c r="X67" s="48"/>
      <c r="Y67" s="48"/>
      <c r="Z67" s="47"/>
      <c r="AA67" s="69">
        <v>67</v>
      </c>
      <c r="AB67" s="69"/>
      <c r="AC67" s="70"/>
      <c r="AD67" s="76" t="s">
        <v>16501</v>
      </c>
      <c r="AE67" s="81" t="s">
        <v>16131</v>
      </c>
      <c r="AF67" s="76">
        <v>85</v>
      </c>
      <c r="AG67" s="76">
        <v>903</v>
      </c>
      <c r="AH67" s="76">
        <v>1812</v>
      </c>
      <c r="AI67" s="76">
        <v>4</v>
      </c>
      <c r="AJ67" s="76">
        <v>152</v>
      </c>
      <c r="AK67" s="76">
        <v>62</v>
      </c>
      <c r="AL67" s="76" t="b">
        <v>0</v>
      </c>
      <c r="AM67" s="78">
        <v>43008.59584490741</v>
      </c>
      <c r="AN67" s="76"/>
      <c r="AO67" s="76" t="s">
        <v>17706</v>
      </c>
      <c r="AP67" s="83" t="str">
        <f>HYPERLINK("https://t.co/CThtsxEPv5")</f>
        <v>https://t.co/CThtsxEPv5</v>
      </c>
      <c r="AQ67" s="83" t="str">
        <f>HYPERLINK("http://www.aleciomarinho.com.br")</f>
        <v>http://www.aleciomarinho.com.br</v>
      </c>
      <c r="AR67" s="76" t="s">
        <v>18286</v>
      </c>
      <c r="AS67" s="76"/>
      <c r="AT67" s="76"/>
      <c r="AU67" s="76"/>
      <c r="AV67" s="76"/>
      <c r="AW67" s="83" t="str">
        <f>HYPERLINK("https://t.co/CThtsxEPv5")</f>
        <v>https://t.co/CThtsxEPv5</v>
      </c>
      <c r="AX67" s="76" t="b">
        <v>0</v>
      </c>
      <c r="AY67" s="76"/>
      <c r="AZ67" s="76"/>
      <c r="BA67" s="76" t="b">
        <v>1</v>
      </c>
      <c r="BB67" s="76" t="b">
        <v>1</v>
      </c>
      <c r="BC67" s="76" t="b">
        <v>1</v>
      </c>
      <c r="BD67" s="76" t="b">
        <v>0</v>
      </c>
      <c r="BE67" s="76" t="b">
        <v>0</v>
      </c>
      <c r="BF67" s="76" t="b">
        <v>0</v>
      </c>
      <c r="BG67" s="76" t="b">
        <v>0</v>
      </c>
      <c r="BH67" s="83" t="str">
        <f>HYPERLINK("https://pbs.twimg.com/profile_banners/914132228057305088/1670026937")</f>
        <v>https://pbs.twimg.com/profile_banners/914132228057305088/1670026937</v>
      </c>
      <c r="BI67" s="76"/>
      <c r="BJ67" s="76" t="s">
        <v>18704</v>
      </c>
      <c r="BK67" s="76" t="b">
        <v>0</v>
      </c>
      <c r="BL67" s="76"/>
      <c r="BM67" s="76" t="s">
        <v>66</v>
      </c>
      <c r="BN67" s="76" t="s">
        <v>18706</v>
      </c>
      <c r="BO67" s="83" t="str">
        <f>HYPERLINK("https://twitter.com/prof_aleciom")</f>
        <v>https://twitter.com/prof_aleciom</v>
      </c>
      <c r="BP67" s="2"/>
    </row>
    <row r="68" spans="1:68" x14ac:dyDescent="0.25">
      <c r="A68" s="62" t="s">
        <v>273</v>
      </c>
      <c r="B68" s="63"/>
      <c r="C68" s="63"/>
      <c r="D68" s="64"/>
      <c r="E68" s="66"/>
      <c r="F68" s="102" t="str">
        <f>HYPERLINK("https://pbs.twimg.com/profile_images/1671655458036219905/GgDI_nve_normal.jpg")</f>
        <v>https://pbs.twimg.com/profile_images/1671655458036219905/GgDI_nve_normal.jpg</v>
      </c>
      <c r="G68" s="63"/>
      <c r="H68" s="67"/>
      <c r="I68" s="68"/>
      <c r="J68" s="68"/>
      <c r="K68" s="67" t="s">
        <v>18771</v>
      </c>
      <c r="L68" s="71"/>
      <c r="M68" s="72"/>
      <c r="N68" s="72"/>
      <c r="O68" s="73"/>
      <c r="P68" s="74"/>
      <c r="Q68" s="74"/>
      <c r="R68" s="86"/>
      <c r="S68" s="86"/>
      <c r="T68" s="86"/>
      <c r="U68" s="86"/>
      <c r="V68" s="48"/>
      <c r="W68" s="48"/>
      <c r="X68" s="48"/>
      <c r="Y68" s="48"/>
      <c r="Z68" s="47"/>
      <c r="AA68" s="69">
        <v>68</v>
      </c>
      <c r="AB68" s="69"/>
      <c r="AC68" s="70"/>
      <c r="AD68" s="76" t="s">
        <v>16502</v>
      </c>
      <c r="AE68" s="81" t="s">
        <v>16132</v>
      </c>
      <c r="AF68" s="76">
        <v>37</v>
      </c>
      <c r="AG68" s="76">
        <v>29</v>
      </c>
      <c r="AH68" s="76">
        <v>530</v>
      </c>
      <c r="AI68" s="76">
        <v>1</v>
      </c>
      <c r="AJ68" s="76">
        <v>29</v>
      </c>
      <c r="AK68" s="76">
        <v>413</v>
      </c>
      <c r="AL68" s="76" t="b">
        <v>0</v>
      </c>
      <c r="AM68" s="78">
        <v>43961.692210648151</v>
      </c>
      <c r="AN68" s="76" t="s">
        <v>17421</v>
      </c>
      <c r="AO68" s="76" t="s">
        <v>17707</v>
      </c>
      <c r="AP68" s="83" t="str">
        <f>HYPERLINK("https://t.co/MYbQ59r6GT")</f>
        <v>https://t.co/MYbQ59r6GT</v>
      </c>
      <c r="AQ68" s="83" t="str">
        <f>HYPERLINK("https://bit.ly/ExpertRendaVariavel")</f>
        <v>https://bit.ly/ExpertRendaVariavel</v>
      </c>
      <c r="AR68" s="76" t="s">
        <v>18287</v>
      </c>
      <c r="AS68" s="76"/>
      <c r="AT68" s="76"/>
      <c r="AU68" s="76"/>
      <c r="AV68" s="76"/>
      <c r="AW68" s="83" t="str">
        <f>HYPERLINK("https://t.co/MYbQ59r6GT")</f>
        <v>https://t.co/MYbQ59r6GT</v>
      </c>
      <c r="AX68" s="76" t="b">
        <v>0</v>
      </c>
      <c r="AY68" s="76"/>
      <c r="AZ68" s="76"/>
      <c r="BA68" s="76" t="b">
        <v>0</v>
      </c>
      <c r="BB68" s="76" t="b">
        <v>1</v>
      </c>
      <c r="BC68" s="76" t="b">
        <v>1</v>
      </c>
      <c r="BD68" s="76" t="b">
        <v>0</v>
      </c>
      <c r="BE68" s="76" t="b">
        <v>0</v>
      </c>
      <c r="BF68" s="76" t="b">
        <v>0</v>
      </c>
      <c r="BG68" s="76" t="b">
        <v>0</v>
      </c>
      <c r="BH68" s="83" t="str">
        <f>HYPERLINK("https://pbs.twimg.com/profile_banners/1259522744770797568/1589408233")</f>
        <v>https://pbs.twimg.com/profile_banners/1259522744770797568/1589408233</v>
      </c>
      <c r="BI68" s="76"/>
      <c r="BJ68" s="76" t="s">
        <v>18704</v>
      </c>
      <c r="BK68" s="76" t="b">
        <v>0</v>
      </c>
      <c r="BL68" s="76"/>
      <c r="BM68" s="76" t="s">
        <v>66</v>
      </c>
      <c r="BN68" s="76" t="s">
        <v>18706</v>
      </c>
      <c r="BO68" s="83" t="str">
        <f>HYPERLINK("https://twitter.com/casal_trader")</f>
        <v>https://twitter.com/casal_trader</v>
      </c>
      <c r="BP68" s="2"/>
    </row>
    <row r="69" spans="1:68" x14ac:dyDescent="0.25">
      <c r="A69" s="62" t="s">
        <v>274</v>
      </c>
      <c r="B69" s="63"/>
      <c r="C69" s="63"/>
      <c r="D69" s="64"/>
      <c r="E69" s="66"/>
      <c r="F69" s="102" t="str">
        <f>HYPERLINK("https://pbs.twimg.com/profile_images/1679874220749103111/d-7azdNf_normal.jpg")</f>
        <v>https://pbs.twimg.com/profile_images/1679874220749103111/d-7azdNf_normal.jpg</v>
      </c>
      <c r="G69" s="63"/>
      <c r="H69" s="67"/>
      <c r="I69" s="68"/>
      <c r="J69" s="68"/>
      <c r="K69" s="67" t="s">
        <v>18772</v>
      </c>
      <c r="L69" s="71"/>
      <c r="M69" s="72"/>
      <c r="N69" s="72"/>
      <c r="O69" s="73"/>
      <c r="P69" s="74"/>
      <c r="Q69" s="74"/>
      <c r="R69" s="86"/>
      <c r="S69" s="86"/>
      <c r="T69" s="86"/>
      <c r="U69" s="86"/>
      <c r="V69" s="48"/>
      <c r="W69" s="48"/>
      <c r="X69" s="48"/>
      <c r="Y69" s="48"/>
      <c r="Z69" s="47"/>
      <c r="AA69" s="69">
        <v>69</v>
      </c>
      <c r="AB69" s="69"/>
      <c r="AC69" s="70"/>
      <c r="AD69" s="76" t="s">
        <v>16503</v>
      </c>
      <c r="AE69" s="81" t="s">
        <v>16133</v>
      </c>
      <c r="AF69" s="76">
        <v>13</v>
      </c>
      <c r="AG69" s="76">
        <v>44</v>
      </c>
      <c r="AH69" s="76">
        <v>120</v>
      </c>
      <c r="AI69" s="76">
        <v>0</v>
      </c>
      <c r="AJ69" s="76">
        <v>85</v>
      </c>
      <c r="AK69" s="76">
        <v>3</v>
      </c>
      <c r="AL69" s="76" t="b">
        <v>0</v>
      </c>
      <c r="AM69" s="78">
        <v>45121.640243055554</v>
      </c>
      <c r="AN69" s="76" t="s">
        <v>17422</v>
      </c>
      <c r="AO69" s="76" t="s">
        <v>17708</v>
      </c>
      <c r="AP69" s="76"/>
      <c r="AQ69" s="76"/>
      <c r="AR69" s="76"/>
      <c r="AS69" s="76"/>
      <c r="AT69" s="76"/>
      <c r="AU69" s="76"/>
      <c r="AV69" s="76"/>
      <c r="AW69" s="76"/>
      <c r="AX69" s="76" t="b">
        <v>0</v>
      </c>
      <c r="AY69" s="76"/>
      <c r="AZ69" s="76"/>
      <c r="BA69" s="76" t="b">
        <v>0</v>
      </c>
      <c r="BB69" s="76" t="b">
        <v>1</v>
      </c>
      <c r="BC69" s="76" t="b">
        <v>1</v>
      </c>
      <c r="BD69" s="76" t="b">
        <v>0</v>
      </c>
      <c r="BE69" s="76" t="b">
        <v>0</v>
      </c>
      <c r="BF69" s="76" t="b">
        <v>0</v>
      </c>
      <c r="BG69" s="76" t="b">
        <v>0</v>
      </c>
      <c r="BH69" s="83" t="str">
        <f>HYPERLINK("https://pbs.twimg.com/profile_banners/1679873810810523649/1689352105")</f>
        <v>https://pbs.twimg.com/profile_banners/1679873810810523649/1689352105</v>
      </c>
      <c r="BI69" s="76"/>
      <c r="BJ69" s="76" t="s">
        <v>18704</v>
      </c>
      <c r="BK69" s="76" t="b">
        <v>0</v>
      </c>
      <c r="BL69" s="76"/>
      <c r="BM69" s="76" t="s">
        <v>66</v>
      </c>
      <c r="BN69" s="76" t="s">
        <v>18706</v>
      </c>
      <c r="BO69" s="83" t="str">
        <f>HYPERLINK("https://twitter.com/mendyaisha43014")</f>
        <v>https://twitter.com/mendyaisha43014</v>
      </c>
      <c r="BP69" s="2"/>
    </row>
    <row r="70" spans="1:68" x14ac:dyDescent="0.25">
      <c r="A70" s="62" t="s">
        <v>275</v>
      </c>
      <c r="B70" s="63"/>
      <c r="C70" s="63"/>
      <c r="D70" s="64"/>
      <c r="E70" s="66"/>
      <c r="F70" s="102" t="str">
        <f>HYPERLINK("https://pbs.twimg.com/profile_images/1301167081451409408/QaIXpSVo_normal.jpg")</f>
        <v>https://pbs.twimg.com/profile_images/1301167081451409408/QaIXpSVo_normal.jpg</v>
      </c>
      <c r="G70" s="63"/>
      <c r="H70" s="67"/>
      <c r="I70" s="68"/>
      <c r="J70" s="68"/>
      <c r="K70" s="67" t="s">
        <v>18773</v>
      </c>
      <c r="L70" s="71"/>
      <c r="M70" s="72"/>
      <c r="N70" s="72"/>
      <c r="O70" s="73"/>
      <c r="P70" s="74"/>
      <c r="Q70" s="74"/>
      <c r="R70" s="86"/>
      <c r="S70" s="86"/>
      <c r="T70" s="86"/>
      <c r="U70" s="86"/>
      <c r="V70" s="48"/>
      <c r="W70" s="48"/>
      <c r="X70" s="48"/>
      <c r="Y70" s="48"/>
      <c r="Z70" s="47"/>
      <c r="AA70" s="69">
        <v>70</v>
      </c>
      <c r="AB70" s="69"/>
      <c r="AC70" s="70"/>
      <c r="AD70" s="76" t="s">
        <v>16504</v>
      </c>
      <c r="AE70" s="81" t="s">
        <v>16134</v>
      </c>
      <c r="AF70" s="76">
        <v>62</v>
      </c>
      <c r="AG70" s="76">
        <v>495</v>
      </c>
      <c r="AH70" s="76">
        <v>2361</v>
      </c>
      <c r="AI70" s="76">
        <v>0</v>
      </c>
      <c r="AJ70" s="76">
        <v>91</v>
      </c>
      <c r="AK70" s="76">
        <v>81</v>
      </c>
      <c r="AL70" s="76" t="b">
        <v>0</v>
      </c>
      <c r="AM70" s="78">
        <v>44062.649340277778</v>
      </c>
      <c r="AN70" s="76" t="s">
        <v>17423</v>
      </c>
      <c r="AO70" s="76" t="s">
        <v>17709</v>
      </c>
      <c r="AP70" s="83" t="str">
        <f>HYPERLINK("https://t.co/kSOwnjrfPi")</f>
        <v>https://t.co/kSOwnjrfPi</v>
      </c>
      <c r="AQ70" s="83" t="str">
        <f>HYPERLINK("http://www.reporterbrasilia.com.br")</f>
        <v>http://www.reporterbrasilia.com.br</v>
      </c>
      <c r="AR70" s="76" t="s">
        <v>18288</v>
      </c>
      <c r="AS70" s="76"/>
      <c r="AT70" s="76"/>
      <c r="AU70" s="76"/>
      <c r="AV70" s="76"/>
      <c r="AW70" s="83" t="str">
        <f>HYPERLINK("https://t.co/kSOwnjrfPi")</f>
        <v>https://t.co/kSOwnjrfPi</v>
      </c>
      <c r="AX70" s="76" t="b">
        <v>0</v>
      </c>
      <c r="AY70" s="76"/>
      <c r="AZ70" s="76"/>
      <c r="BA70" s="76" t="b">
        <v>0</v>
      </c>
      <c r="BB70" s="76" t="b">
        <v>1</v>
      </c>
      <c r="BC70" s="76" t="b">
        <v>1</v>
      </c>
      <c r="BD70" s="76" t="b">
        <v>0</v>
      </c>
      <c r="BE70" s="76" t="b">
        <v>0</v>
      </c>
      <c r="BF70" s="76" t="b">
        <v>0</v>
      </c>
      <c r="BG70" s="76" t="b">
        <v>0</v>
      </c>
      <c r="BH70" s="83" t="str">
        <f>HYPERLINK("https://pbs.twimg.com/profile_banners/1296108298614317056/1597868124")</f>
        <v>https://pbs.twimg.com/profile_banners/1296108298614317056/1597868124</v>
      </c>
      <c r="BI70" s="76"/>
      <c r="BJ70" s="76" t="s">
        <v>18704</v>
      </c>
      <c r="BK70" s="76" t="b">
        <v>0</v>
      </c>
      <c r="BL70" s="76"/>
      <c r="BM70" s="76" t="s">
        <v>66</v>
      </c>
      <c r="BN70" s="76" t="s">
        <v>18706</v>
      </c>
      <c r="BO70" s="83" t="str">
        <f>HYPERLINK("https://twitter.com/reportbrasilia")</f>
        <v>https://twitter.com/reportbrasilia</v>
      </c>
      <c r="BP70" s="2"/>
    </row>
    <row r="71" spans="1:68" x14ac:dyDescent="0.25">
      <c r="A71" s="62" t="s">
        <v>276</v>
      </c>
      <c r="B71" s="63"/>
      <c r="C71" s="63"/>
      <c r="D71" s="64"/>
      <c r="E71" s="66"/>
      <c r="F71" s="102" t="str">
        <f>HYPERLINK("https://pbs.twimg.com/profile_images/735279224697716736/tMa9GV39_normal.jpg")</f>
        <v>https://pbs.twimg.com/profile_images/735279224697716736/tMa9GV39_normal.jpg</v>
      </c>
      <c r="G71" s="63"/>
      <c r="H71" s="67"/>
      <c r="I71" s="68"/>
      <c r="J71" s="68"/>
      <c r="K71" s="67" t="s">
        <v>18774</v>
      </c>
      <c r="L71" s="71"/>
      <c r="M71" s="72"/>
      <c r="N71" s="72"/>
      <c r="O71" s="73"/>
      <c r="P71" s="74"/>
      <c r="Q71" s="74"/>
      <c r="R71" s="86"/>
      <c r="S71" s="86"/>
      <c r="T71" s="86"/>
      <c r="U71" s="86"/>
      <c r="V71" s="48"/>
      <c r="W71" s="48"/>
      <c r="X71" s="48"/>
      <c r="Y71" s="48"/>
      <c r="Z71" s="47"/>
      <c r="AA71" s="69">
        <v>71</v>
      </c>
      <c r="AB71" s="69"/>
      <c r="AC71" s="70"/>
      <c r="AD71" s="76" t="s">
        <v>16505</v>
      </c>
      <c r="AE71" s="81" t="s">
        <v>17127</v>
      </c>
      <c r="AF71" s="76">
        <v>53</v>
      </c>
      <c r="AG71" s="76">
        <v>149</v>
      </c>
      <c r="AH71" s="76">
        <v>7382</v>
      </c>
      <c r="AI71" s="76">
        <v>2</v>
      </c>
      <c r="AJ71" s="76">
        <v>6966</v>
      </c>
      <c r="AK71" s="76">
        <v>22</v>
      </c>
      <c r="AL71" s="76" t="b">
        <v>0</v>
      </c>
      <c r="AM71" s="78">
        <v>41905.020891203705</v>
      </c>
      <c r="AN71" s="76" t="s">
        <v>17424</v>
      </c>
      <c r="AO71" s="76" t="s">
        <v>17710</v>
      </c>
      <c r="AP71" s="76"/>
      <c r="AQ71" s="76"/>
      <c r="AR71" s="76"/>
      <c r="AS71" s="76"/>
      <c r="AT71" s="76"/>
      <c r="AU71" s="76"/>
      <c r="AV71" s="76"/>
      <c r="AW71" s="76"/>
      <c r="AX71" s="76" t="b">
        <v>0</v>
      </c>
      <c r="AY71" s="76"/>
      <c r="AZ71" s="76"/>
      <c r="BA71" s="76" t="b">
        <v>0</v>
      </c>
      <c r="BB71" s="76" t="b">
        <v>0</v>
      </c>
      <c r="BC71" s="76" t="b">
        <v>1</v>
      </c>
      <c r="BD71" s="76" t="b">
        <v>0</v>
      </c>
      <c r="BE71" s="76" t="b">
        <v>0</v>
      </c>
      <c r="BF71" s="76" t="b">
        <v>0</v>
      </c>
      <c r="BG71" s="76" t="b">
        <v>0</v>
      </c>
      <c r="BH71" s="76"/>
      <c r="BI71" s="76"/>
      <c r="BJ71" s="76" t="s">
        <v>18704</v>
      </c>
      <c r="BK71" s="76" t="b">
        <v>0</v>
      </c>
      <c r="BL71" s="76"/>
      <c r="BM71" s="76" t="s">
        <v>66</v>
      </c>
      <c r="BN71" s="76" t="s">
        <v>18706</v>
      </c>
      <c r="BO71" s="83" t="str">
        <f>HYPERLINK("https://twitter.com/marcio_mendonc")</f>
        <v>https://twitter.com/marcio_mendonc</v>
      </c>
      <c r="BP71" s="2"/>
    </row>
    <row r="72" spans="1:68" x14ac:dyDescent="0.25">
      <c r="A72" s="62" t="s">
        <v>682</v>
      </c>
      <c r="B72" s="63"/>
      <c r="C72" s="63"/>
      <c r="D72" s="64"/>
      <c r="E72" s="66"/>
      <c r="F72" s="102" t="str">
        <f>HYPERLINK("https://pbs.twimg.com/profile_images/1559883556846977024/bXHnQFY0_normal.jpg")</f>
        <v>https://pbs.twimg.com/profile_images/1559883556846977024/bXHnQFY0_normal.jpg</v>
      </c>
      <c r="G72" s="63"/>
      <c r="H72" s="67"/>
      <c r="I72" s="68"/>
      <c r="J72" s="68"/>
      <c r="K72" s="67" t="s">
        <v>18775</v>
      </c>
      <c r="L72" s="71"/>
      <c r="M72" s="72"/>
      <c r="N72" s="72"/>
      <c r="O72" s="73"/>
      <c r="P72" s="74"/>
      <c r="Q72" s="74"/>
      <c r="R72" s="86"/>
      <c r="S72" s="86"/>
      <c r="T72" s="86"/>
      <c r="U72" s="86"/>
      <c r="V72" s="48"/>
      <c r="W72" s="48"/>
      <c r="X72" s="48"/>
      <c r="Y72" s="48"/>
      <c r="Z72" s="47"/>
      <c r="AA72" s="69">
        <v>72</v>
      </c>
      <c r="AB72" s="69"/>
      <c r="AC72" s="70"/>
      <c r="AD72" s="76" t="s">
        <v>16506</v>
      </c>
      <c r="AE72" s="81" t="s">
        <v>17128</v>
      </c>
      <c r="AF72" s="76">
        <v>142224</v>
      </c>
      <c r="AG72" s="76">
        <v>436</v>
      </c>
      <c r="AH72" s="76">
        <v>176782</v>
      </c>
      <c r="AI72" s="76">
        <v>1243</v>
      </c>
      <c r="AJ72" s="76">
        <v>1785</v>
      </c>
      <c r="AK72" s="76">
        <v>566</v>
      </c>
      <c r="AL72" s="76" t="b">
        <v>0</v>
      </c>
      <c r="AM72" s="78">
        <v>39990.739652777775</v>
      </c>
      <c r="AN72" s="76" t="s">
        <v>10586</v>
      </c>
      <c r="AO72" s="76" t="s">
        <v>17711</v>
      </c>
      <c r="AP72" s="83" t="str">
        <f>HYPERLINK("https://t.co/QCKDGJ5y1G")</f>
        <v>https://t.co/QCKDGJ5y1G</v>
      </c>
      <c r="AQ72" s="83" t="str">
        <f>HYPERLINK("https://www.moneytimes.com.br")</f>
        <v>https://www.moneytimes.com.br</v>
      </c>
      <c r="AR72" s="76" t="s">
        <v>18289</v>
      </c>
      <c r="AS72" s="76"/>
      <c r="AT72" s="76"/>
      <c r="AU72" s="76"/>
      <c r="AV72" s="76"/>
      <c r="AW72" s="83" t="str">
        <f>HYPERLINK("https://t.co/QCKDGJ5y1G")</f>
        <v>https://t.co/QCKDGJ5y1G</v>
      </c>
      <c r="AX72" s="76" t="b">
        <v>0</v>
      </c>
      <c r="AY72" s="76"/>
      <c r="AZ72" s="76"/>
      <c r="BA72" s="76" t="b">
        <v>0</v>
      </c>
      <c r="BB72" s="76" t="b">
        <v>1</v>
      </c>
      <c r="BC72" s="76" t="b">
        <v>1</v>
      </c>
      <c r="BD72" s="76" t="b">
        <v>0</v>
      </c>
      <c r="BE72" s="76" t="b">
        <v>1</v>
      </c>
      <c r="BF72" s="76" t="b">
        <v>0</v>
      </c>
      <c r="BG72" s="76" t="b">
        <v>0</v>
      </c>
      <c r="BH72" s="83" t="str">
        <f>HYPERLINK("https://pbs.twimg.com/profile_banners/51150679/1657567475")</f>
        <v>https://pbs.twimg.com/profile_banners/51150679/1657567475</v>
      </c>
      <c r="BI72" s="76"/>
      <c r="BJ72" s="76" t="s">
        <v>18704</v>
      </c>
      <c r="BK72" s="76" t="b">
        <v>0</v>
      </c>
      <c r="BL72" s="76"/>
      <c r="BM72" s="76" t="s">
        <v>66</v>
      </c>
      <c r="BN72" s="76" t="s">
        <v>18706</v>
      </c>
      <c r="BO72" s="83" t="str">
        <f>HYPERLINK("https://twitter.com/leiamoneytimes")</f>
        <v>https://twitter.com/leiamoneytimes</v>
      </c>
      <c r="BP72" s="2"/>
    </row>
    <row r="73" spans="1:68" x14ac:dyDescent="0.25">
      <c r="A73" s="62" t="s">
        <v>277</v>
      </c>
      <c r="B73" s="63"/>
      <c r="C73" s="63"/>
      <c r="D73" s="64"/>
      <c r="E73" s="66"/>
      <c r="F73" s="102" t="str">
        <f>HYPERLINK("https://pbs.twimg.com/profile_images/1618896603204538371/mzDYWpKQ_normal.jpg")</f>
        <v>https://pbs.twimg.com/profile_images/1618896603204538371/mzDYWpKQ_normal.jpg</v>
      </c>
      <c r="G73" s="63"/>
      <c r="H73" s="67"/>
      <c r="I73" s="68"/>
      <c r="J73" s="68"/>
      <c r="K73" s="67" t="s">
        <v>18776</v>
      </c>
      <c r="L73" s="71"/>
      <c r="M73" s="72"/>
      <c r="N73" s="72"/>
      <c r="O73" s="73"/>
      <c r="P73" s="74"/>
      <c r="Q73" s="74"/>
      <c r="R73" s="86"/>
      <c r="S73" s="86"/>
      <c r="T73" s="86"/>
      <c r="U73" s="86"/>
      <c r="V73" s="48"/>
      <c r="W73" s="48"/>
      <c r="X73" s="48"/>
      <c r="Y73" s="48"/>
      <c r="Z73" s="47"/>
      <c r="AA73" s="69">
        <v>73</v>
      </c>
      <c r="AB73" s="69"/>
      <c r="AC73" s="70"/>
      <c r="AD73" s="76" t="s">
        <v>16507</v>
      </c>
      <c r="AE73" s="81" t="s">
        <v>15915</v>
      </c>
      <c r="AF73" s="76">
        <v>2313</v>
      </c>
      <c r="AG73" s="76">
        <v>700</v>
      </c>
      <c r="AH73" s="76">
        <v>2332</v>
      </c>
      <c r="AI73" s="76">
        <v>46</v>
      </c>
      <c r="AJ73" s="76">
        <v>4414</v>
      </c>
      <c r="AK73" s="76">
        <v>667</v>
      </c>
      <c r="AL73" s="76" t="b">
        <v>0</v>
      </c>
      <c r="AM73" s="78">
        <v>44465.289525462962</v>
      </c>
      <c r="AN73" s="76"/>
      <c r="AO73" s="76" t="s">
        <v>17712</v>
      </c>
      <c r="AP73" s="83" t="str">
        <f>HYPERLINK("https://t.co/QLNAhPJRph")</f>
        <v>https://t.co/QLNAhPJRph</v>
      </c>
      <c r="AQ73" s="83" t="str">
        <f>HYPERLINK("http://www.charlandodeminas.com")</f>
        <v>http://www.charlandodeminas.com</v>
      </c>
      <c r="AR73" s="76" t="s">
        <v>18290</v>
      </c>
      <c r="AS73" s="76"/>
      <c r="AT73" s="76"/>
      <c r="AU73" s="76"/>
      <c r="AV73" s="76">
        <v>1.5691883803025201E+18</v>
      </c>
      <c r="AW73" s="83" t="str">
        <f>HYPERLINK("https://t.co/QLNAhPJRph")</f>
        <v>https://t.co/QLNAhPJRph</v>
      </c>
      <c r="AX73" s="76" t="b">
        <v>0</v>
      </c>
      <c r="AY73" s="76"/>
      <c r="AZ73" s="76"/>
      <c r="BA73" s="76" t="b">
        <v>1</v>
      </c>
      <c r="BB73" s="76" t="b">
        <v>1</v>
      </c>
      <c r="BC73" s="76" t="b">
        <v>1</v>
      </c>
      <c r="BD73" s="76" t="b">
        <v>0</v>
      </c>
      <c r="BE73" s="76" t="b">
        <v>1</v>
      </c>
      <c r="BF73" s="76" t="b">
        <v>0</v>
      </c>
      <c r="BG73" s="76" t="b">
        <v>0</v>
      </c>
      <c r="BH73" s="83" t="str">
        <f>HYPERLINK("https://pbs.twimg.com/profile_banners/1442020231254212610/1674711672")</f>
        <v>https://pbs.twimg.com/profile_banners/1442020231254212610/1674711672</v>
      </c>
      <c r="BI73" s="76"/>
      <c r="BJ73" s="76" t="s">
        <v>18704</v>
      </c>
      <c r="BK73" s="76" t="b">
        <v>0</v>
      </c>
      <c r="BL73" s="76"/>
      <c r="BM73" s="76" t="s">
        <v>66</v>
      </c>
      <c r="BN73" s="76" t="s">
        <v>18706</v>
      </c>
      <c r="BO73" s="83" t="str">
        <f>HYPERLINK("https://twitter.com/charlandodminas")</f>
        <v>https://twitter.com/charlandodminas</v>
      </c>
      <c r="BP73" s="2"/>
    </row>
    <row r="74" spans="1:68" x14ac:dyDescent="0.25">
      <c r="A74" s="62" t="s">
        <v>278</v>
      </c>
      <c r="B74" s="63"/>
      <c r="C74" s="63"/>
      <c r="D74" s="64"/>
      <c r="E74" s="66"/>
      <c r="F74" s="102" t="str">
        <f>HYPERLINK("https://pbs.twimg.com/profile_images/1699843094055690240/MhNop6t6_normal.jpg")</f>
        <v>https://pbs.twimg.com/profile_images/1699843094055690240/MhNop6t6_normal.jpg</v>
      </c>
      <c r="G74" s="63"/>
      <c r="H74" s="67"/>
      <c r="I74" s="68"/>
      <c r="J74" s="68"/>
      <c r="K74" s="67" t="s">
        <v>18777</v>
      </c>
      <c r="L74" s="71"/>
      <c r="M74" s="72"/>
      <c r="N74" s="72"/>
      <c r="O74" s="73"/>
      <c r="P74" s="74"/>
      <c r="Q74" s="74"/>
      <c r="R74" s="86"/>
      <c r="S74" s="86"/>
      <c r="T74" s="86"/>
      <c r="U74" s="86"/>
      <c r="V74" s="48"/>
      <c r="W74" s="48"/>
      <c r="X74" s="48"/>
      <c r="Y74" s="48"/>
      <c r="Z74" s="47"/>
      <c r="AA74" s="69">
        <v>74</v>
      </c>
      <c r="AB74" s="69"/>
      <c r="AC74" s="70"/>
      <c r="AD74" s="76" t="s">
        <v>16508</v>
      </c>
      <c r="AE74" s="81" t="s">
        <v>16135</v>
      </c>
      <c r="AF74" s="76">
        <v>199</v>
      </c>
      <c r="AG74" s="76">
        <v>332</v>
      </c>
      <c r="AH74" s="76">
        <v>18</v>
      </c>
      <c r="AI74" s="76">
        <v>2</v>
      </c>
      <c r="AJ74" s="76">
        <v>3627</v>
      </c>
      <c r="AK74" s="76">
        <v>0</v>
      </c>
      <c r="AL74" s="76" t="b">
        <v>0</v>
      </c>
      <c r="AM74" s="78">
        <v>44989.895624999997</v>
      </c>
      <c r="AN74" s="76"/>
      <c r="AO74" s="76" t="s">
        <v>17713</v>
      </c>
      <c r="AP74" s="76"/>
      <c r="AQ74" s="76"/>
      <c r="AR74" s="76"/>
      <c r="AS74" s="76"/>
      <c r="AT74" s="76"/>
      <c r="AU74" s="76"/>
      <c r="AV74" s="76"/>
      <c r="AW74" s="76"/>
      <c r="AX74" s="76" t="b">
        <v>0</v>
      </c>
      <c r="AY74" s="76"/>
      <c r="AZ74" s="76"/>
      <c r="BA74" s="76" t="b">
        <v>1</v>
      </c>
      <c r="BB74" s="76" t="b">
        <v>1</v>
      </c>
      <c r="BC74" s="76" t="b">
        <v>1</v>
      </c>
      <c r="BD74" s="76" t="b">
        <v>0</v>
      </c>
      <c r="BE74" s="76" t="b">
        <v>0</v>
      </c>
      <c r="BF74" s="76" t="b">
        <v>0</v>
      </c>
      <c r="BG74" s="76" t="b">
        <v>1</v>
      </c>
      <c r="BH74" s="83" t="str">
        <f>HYPERLINK("https://pbs.twimg.com/profile_banners/1632131146317467648/1694109151")</f>
        <v>https://pbs.twimg.com/profile_banners/1632131146317467648/1694109151</v>
      </c>
      <c r="BI74" s="76"/>
      <c r="BJ74" s="76" t="s">
        <v>18704</v>
      </c>
      <c r="BK74" s="76" t="b">
        <v>0</v>
      </c>
      <c r="BL74" s="76"/>
      <c r="BM74" s="76" t="s">
        <v>66</v>
      </c>
      <c r="BN74" s="76" t="s">
        <v>18706</v>
      </c>
      <c r="BO74" s="83" t="str">
        <f>HYPERLINK("https://twitter.com/coinharbinger")</f>
        <v>https://twitter.com/coinharbinger</v>
      </c>
      <c r="BP74" s="2"/>
    </row>
    <row r="75" spans="1:68" x14ac:dyDescent="0.25">
      <c r="A75" s="62" t="s">
        <v>279</v>
      </c>
      <c r="B75" s="63"/>
      <c r="C75" s="63"/>
      <c r="D75" s="64"/>
      <c r="E75" s="66"/>
      <c r="F75" s="102" t="str">
        <f>HYPERLINK("https://pbs.twimg.com/profile_images/378800000525235655/49a105a21e680cb0587053ca88313ef8_normal.jpeg")</f>
        <v>https://pbs.twimg.com/profile_images/378800000525235655/49a105a21e680cb0587053ca88313ef8_normal.jpeg</v>
      </c>
      <c r="G75" s="63"/>
      <c r="H75" s="67"/>
      <c r="I75" s="68"/>
      <c r="J75" s="68"/>
      <c r="K75" s="67" t="s">
        <v>18778</v>
      </c>
      <c r="L75" s="71"/>
      <c r="M75" s="72"/>
      <c r="N75" s="72"/>
      <c r="O75" s="73"/>
      <c r="P75" s="74"/>
      <c r="Q75" s="74"/>
      <c r="R75" s="86"/>
      <c r="S75" s="86"/>
      <c r="T75" s="86"/>
      <c r="U75" s="86"/>
      <c r="V75" s="48"/>
      <c r="W75" s="48"/>
      <c r="X75" s="48"/>
      <c r="Y75" s="48"/>
      <c r="Z75" s="47"/>
      <c r="AA75" s="69">
        <v>75</v>
      </c>
      <c r="AB75" s="69"/>
      <c r="AC75" s="70"/>
      <c r="AD75" s="76" t="s">
        <v>16509</v>
      </c>
      <c r="AE75" s="81" t="s">
        <v>17129</v>
      </c>
      <c r="AF75" s="76">
        <v>2180</v>
      </c>
      <c r="AG75" s="76">
        <v>3027</v>
      </c>
      <c r="AH75" s="76">
        <v>89968</v>
      </c>
      <c r="AI75" s="76">
        <v>209</v>
      </c>
      <c r="AJ75" s="76">
        <v>132</v>
      </c>
      <c r="AK75" s="76">
        <v>53</v>
      </c>
      <c r="AL75" s="76" t="b">
        <v>0</v>
      </c>
      <c r="AM75" s="78">
        <v>41546.698761574073</v>
      </c>
      <c r="AN75" s="76"/>
      <c r="AO75" s="76" t="s">
        <v>17714</v>
      </c>
      <c r="AP75" s="76"/>
      <c r="AQ75" s="76"/>
      <c r="AR75" s="76"/>
      <c r="AS75" s="76"/>
      <c r="AT75" s="76"/>
      <c r="AU75" s="76"/>
      <c r="AV75" s="76"/>
      <c r="AW75" s="76"/>
      <c r="AX75" s="76" t="b">
        <v>0</v>
      </c>
      <c r="AY75" s="76"/>
      <c r="AZ75" s="76"/>
      <c r="BA75" s="76" t="b">
        <v>1</v>
      </c>
      <c r="BB75" s="76" t="b">
        <v>0</v>
      </c>
      <c r="BC75" s="76" t="b">
        <v>0</v>
      </c>
      <c r="BD75" s="76" t="b">
        <v>0</v>
      </c>
      <c r="BE75" s="76" t="b">
        <v>1</v>
      </c>
      <c r="BF75" s="76" t="b">
        <v>0</v>
      </c>
      <c r="BG75" s="76" t="b">
        <v>0</v>
      </c>
      <c r="BH75" s="76"/>
      <c r="BI75" s="76"/>
      <c r="BJ75" s="76" t="s">
        <v>18704</v>
      </c>
      <c r="BK75" s="76" t="b">
        <v>0</v>
      </c>
      <c r="BL75" s="76"/>
      <c r="BM75" s="76" t="s">
        <v>66</v>
      </c>
      <c r="BN75" s="76" t="s">
        <v>18706</v>
      </c>
      <c r="BO75" s="83" t="str">
        <f>HYPERLINK("https://twitter.com/to_do_retweet")</f>
        <v>https://twitter.com/to_do_retweet</v>
      </c>
      <c r="BP75" s="2"/>
    </row>
    <row r="76" spans="1:68" x14ac:dyDescent="0.25">
      <c r="A76" s="62" t="s">
        <v>280</v>
      </c>
      <c r="B76" s="63"/>
      <c r="C76" s="63"/>
      <c r="D76" s="64"/>
      <c r="E76" s="66"/>
      <c r="F76" s="102" t="str">
        <f>HYPERLINK("https://pbs.twimg.com/profile_images/1699367772067655680/bPUwj7KV_normal.jpg")</f>
        <v>https://pbs.twimg.com/profile_images/1699367772067655680/bPUwj7KV_normal.jpg</v>
      </c>
      <c r="G76" s="63"/>
      <c r="H76" s="67"/>
      <c r="I76" s="68"/>
      <c r="J76" s="68"/>
      <c r="K76" s="67" t="s">
        <v>18779</v>
      </c>
      <c r="L76" s="71"/>
      <c r="M76" s="72"/>
      <c r="N76" s="72"/>
      <c r="O76" s="73"/>
      <c r="P76" s="74"/>
      <c r="Q76" s="74"/>
      <c r="R76" s="86"/>
      <c r="S76" s="86"/>
      <c r="T76" s="86"/>
      <c r="U76" s="86"/>
      <c r="V76" s="48"/>
      <c r="W76" s="48"/>
      <c r="X76" s="48"/>
      <c r="Y76" s="48"/>
      <c r="Z76" s="47"/>
      <c r="AA76" s="69">
        <v>76</v>
      </c>
      <c r="AB76" s="69"/>
      <c r="AC76" s="70"/>
      <c r="AD76" s="76" t="s">
        <v>16510</v>
      </c>
      <c r="AE76" s="81" t="s">
        <v>16136</v>
      </c>
      <c r="AF76" s="76">
        <v>246</v>
      </c>
      <c r="AG76" s="76">
        <v>297</v>
      </c>
      <c r="AH76" s="76">
        <v>19</v>
      </c>
      <c r="AI76" s="76">
        <v>4</v>
      </c>
      <c r="AJ76" s="76">
        <v>2759</v>
      </c>
      <c r="AK76" s="76">
        <v>0</v>
      </c>
      <c r="AL76" s="76" t="b">
        <v>0</v>
      </c>
      <c r="AM76" s="78">
        <v>44989.892488425925</v>
      </c>
      <c r="AN76" s="76"/>
      <c r="AO76" s="76" t="s">
        <v>17715</v>
      </c>
      <c r="AP76" s="76"/>
      <c r="AQ76" s="76"/>
      <c r="AR76" s="76"/>
      <c r="AS76" s="76"/>
      <c r="AT76" s="76"/>
      <c r="AU76" s="76"/>
      <c r="AV76" s="76"/>
      <c r="AW76" s="76"/>
      <c r="AX76" s="76" t="b">
        <v>0</v>
      </c>
      <c r="AY76" s="76"/>
      <c r="AZ76" s="76"/>
      <c r="BA76" s="76" t="b">
        <v>1</v>
      </c>
      <c r="BB76" s="76" t="b">
        <v>1</v>
      </c>
      <c r="BC76" s="76" t="b">
        <v>1</v>
      </c>
      <c r="BD76" s="76" t="b">
        <v>0</v>
      </c>
      <c r="BE76" s="76" t="b">
        <v>0</v>
      </c>
      <c r="BF76" s="76" t="b">
        <v>0</v>
      </c>
      <c r="BG76" s="76" t="b">
        <v>1</v>
      </c>
      <c r="BH76" s="83" t="str">
        <f>HYPERLINK("https://pbs.twimg.com/profile_banners/1632130007450656769/1694106321")</f>
        <v>https://pbs.twimg.com/profile_banners/1632130007450656769/1694106321</v>
      </c>
      <c r="BI76" s="76"/>
      <c r="BJ76" s="76" t="s">
        <v>18704</v>
      </c>
      <c r="BK76" s="76" t="b">
        <v>0</v>
      </c>
      <c r="BL76" s="76"/>
      <c r="BM76" s="76" t="s">
        <v>66</v>
      </c>
      <c r="BN76" s="76" t="s">
        <v>18706</v>
      </c>
      <c r="BO76" s="83" t="str">
        <f>HYPERLINK("https://twitter.com/psychstock")</f>
        <v>https://twitter.com/psychstock</v>
      </c>
      <c r="BP76" s="2"/>
    </row>
    <row r="77" spans="1:68" x14ac:dyDescent="0.25">
      <c r="A77" s="62" t="s">
        <v>281</v>
      </c>
      <c r="B77" s="63"/>
      <c r="C77" s="63"/>
      <c r="D77" s="64"/>
      <c r="E77" s="66"/>
      <c r="F77" s="102" t="str">
        <f>HYPERLINK("https://pbs.twimg.com/profile_images/1276844863925948417/pJ1DyKW3_normal.jpg")</f>
        <v>https://pbs.twimg.com/profile_images/1276844863925948417/pJ1DyKW3_normal.jpg</v>
      </c>
      <c r="G77" s="63"/>
      <c r="H77" s="67"/>
      <c r="I77" s="68"/>
      <c r="J77" s="68"/>
      <c r="K77" s="67" t="s">
        <v>18780</v>
      </c>
      <c r="L77" s="71"/>
      <c r="M77" s="72"/>
      <c r="N77" s="72"/>
      <c r="O77" s="73"/>
      <c r="P77" s="74"/>
      <c r="Q77" s="74"/>
      <c r="R77" s="86"/>
      <c r="S77" s="86"/>
      <c r="T77" s="86"/>
      <c r="U77" s="86"/>
      <c r="V77" s="48"/>
      <c r="W77" s="48"/>
      <c r="X77" s="48"/>
      <c r="Y77" s="48"/>
      <c r="Z77" s="47"/>
      <c r="AA77" s="69">
        <v>77</v>
      </c>
      <c r="AB77" s="69"/>
      <c r="AC77" s="70"/>
      <c r="AD77" s="76" t="s">
        <v>16511</v>
      </c>
      <c r="AE77" s="81" t="s">
        <v>17130</v>
      </c>
      <c r="AF77" s="76">
        <v>220</v>
      </c>
      <c r="AG77" s="76">
        <v>216</v>
      </c>
      <c r="AH77" s="76">
        <v>2529</v>
      </c>
      <c r="AI77" s="76">
        <v>3</v>
      </c>
      <c r="AJ77" s="76">
        <v>654</v>
      </c>
      <c r="AK77" s="76">
        <v>598</v>
      </c>
      <c r="AL77" s="76" t="b">
        <v>0</v>
      </c>
      <c r="AM77" s="78">
        <v>40287.82675925926</v>
      </c>
      <c r="AN77" s="76" t="s">
        <v>17425</v>
      </c>
      <c r="AO77" s="76" t="s">
        <v>17716</v>
      </c>
      <c r="AP77" s="83" t="str">
        <f>HYPERLINK("https://t.co/1ZMmExexqO")</f>
        <v>https://t.co/1ZMmExexqO</v>
      </c>
      <c r="AQ77" s="83" t="str">
        <f>HYPERLINK("http://www.professoreconomia.com")</f>
        <v>http://www.professoreconomia.com</v>
      </c>
      <c r="AR77" s="76" t="s">
        <v>18291</v>
      </c>
      <c r="AS77" s="76"/>
      <c r="AT77" s="76"/>
      <c r="AU77" s="76"/>
      <c r="AV77" s="76"/>
      <c r="AW77" s="83" t="str">
        <f>HYPERLINK("https://t.co/1ZMmExexqO")</f>
        <v>https://t.co/1ZMmExexqO</v>
      </c>
      <c r="AX77" s="76" t="b">
        <v>0</v>
      </c>
      <c r="AY77" s="76"/>
      <c r="AZ77" s="76"/>
      <c r="BA77" s="76" t="b">
        <v>0</v>
      </c>
      <c r="BB77" s="76" t="b">
        <v>0</v>
      </c>
      <c r="BC77" s="76" t="b">
        <v>1</v>
      </c>
      <c r="BD77" s="76" t="b">
        <v>0</v>
      </c>
      <c r="BE77" s="76" t="b">
        <v>1</v>
      </c>
      <c r="BF77" s="76" t="b">
        <v>0</v>
      </c>
      <c r="BG77" s="76" t="b">
        <v>0</v>
      </c>
      <c r="BH77" s="83" t="str">
        <f>HYPERLINK("https://pbs.twimg.com/profile_banners/134902573/1597525205")</f>
        <v>https://pbs.twimg.com/profile_banners/134902573/1597525205</v>
      </c>
      <c r="BI77" s="76"/>
      <c r="BJ77" s="76" t="s">
        <v>18704</v>
      </c>
      <c r="BK77" s="76" t="b">
        <v>0</v>
      </c>
      <c r="BL77" s="76"/>
      <c r="BM77" s="76" t="s">
        <v>66</v>
      </c>
      <c r="BN77" s="76" t="s">
        <v>18706</v>
      </c>
      <c r="BO77" s="83" t="str">
        <f>HYPERLINK("https://twitter.com/pi_salvador")</f>
        <v>https://twitter.com/pi_salvador</v>
      </c>
      <c r="BP77" s="2"/>
    </row>
    <row r="78" spans="1:68" x14ac:dyDescent="0.25">
      <c r="A78" s="62" t="s">
        <v>282</v>
      </c>
      <c r="B78" s="63"/>
      <c r="C78" s="63"/>
      <c r="D78" s="64"/>
      <c r="E78" s="66"/>
      <c r="F78" s="102" t="str">
        <f>HYPERLINK("https://pbs.twimg.com/profile_images/1706844560347791360/z5m4fTsg_normal.jpg")</f>
        <v>https://pbs.twimg.com/profile_images/1706844560347791360/z5m4fTsg_normal.jpg</v>
      </c>
      <c r="G78" s="63"/>
      <c r="H78" s="67"/>
      <c r="I78" s="68"/>
      <c r="J78" s="68"/>
      <c r="K78" s="67" t="s">
        <v>18781</v>
      </c>
      <c r="L78" s="71"/>
      <c r="M78" s="72"/>
      <c r="N78" s="72"/>
      <c r="O78" s="73"/>
      <c r="P78" s="74"/>
      <c r="Q78" s="74"/>
      <c r="R78" s="86"/>
      <c r="S78" s="86"/>
      <c r="T78" s="86"/>
      <c r="U78" s="86"/>
      <c r="V78" s="48"/>
      <c r="W78" s="48"/>
      <c r="X78" s="48"/>
      <c r="Y78" s="48"/>
      <c r="Z78" s="47"/>
      <c r="AA78" s="69">
        <v>78</v>
      </c>
      <c r="AB78" s="69"/>
      <c r="AC78" s="70"/>
      <c r="AD78" s="76" t="s">
        <v>16512</v>
      </c>
      <c r="AE78" s="81" t="s">
        <v>17131</v>
      </c>
      <c r="AF78" s="76">
        <v>6012</v>
      </c>
      <c r="AG78" s="76">
        <v>6090</v>
      </c>
      <c r="AH78" s="76">
        <v>79579</v>
      </c>
      <c r="AI78" s="76">
        <v>62</v>
      </c>
      <c r="AJ78" s="76">
        <v>55764</v>
      </c>
      <c r="AK78" s="76">
        <v>2030</v>
      </c>
      <c r="AL78" s="76" t="b">
        <v>0</v>
      </c>
      <c r="AM78" s="78">
        <v>40632.693576388891</v>
      </c>
      <c r="AN78" s="76" t="s">
        <v>17402</v>
      </c>
      <c r="AO78" s="76" t="s">
        <v>17717</v>
      </c>
      <c r="AP78" s="76"/>
      <c r="AQ78" s="76"/>
      <c r="AR78" s="76"/>
      <c r="AS78" s="76"/>
      <c r="AT78" s="76"/>
      <c r="AU78" s="76"/>
      <c r="AV78" s="76">
        <v>1.68387784244931E+18</v>
      </c>
      <c r="AW78" s="76"/>
      <c r="AX78" s="76" t="b">
        <v>0</v>
      </c>
      <c r="AY78" s="76"/>
      <c r="AZ78" s="76"/>
      <c r="BA78" s="76" t="b">
        <v>1</v>
      </c>
      <c r="BB78" s="76" t="b">
        <v>0</v>
      </c>
      <c r="BC78" s="76" t="b">
        <v>0</v>
      </c>
      <c r="BD78" s="76" t="b">
        <v>0</v>
      </c>
      <c r="BE78" s="76" t="b">
        <v>1</v>
      </c>
      <c r="BF78" s="76" t="b">
        <v>0</v>
      </c>
      <c r="BG78" s="76" t="b">
        <v>0</v>
      </c>
      <c r="BH78" s="83" t="str">
        <f>HYPERLINK("https://pbs.twimg.com/profile_banners/274608576/1515204877")</f>
        <v>https://pbs.twimg.com/profile_banners/274608576/1515204877</v>
      </c>
      <c r="BI78" s="76"/>
      <c r="BJ78" s="76" t="s">
        <v>18704</v>
      </c>
      <c r="BK78" s="76" t="b">
        <v>0</v>
      </c>
      <c r="BL78" s="76"/>
      <c r="BM78" s="76" t="s">
        <v>66</v>
      </c>
      <c r="BN78" s="76" t="s">
        <v>18706</v>
      </c>
      <c r="BO78" s="83" t="str">
        <f>HYPERLINK("https://twitter.com/ciromorah")</f>
        <v>https://twitter.com/ciromorah</v>
      </c>
      <c r="BP78" s="2"/>
    </row>
    <row r="79" spans="1:68" x14ac:dyDescent="0.25">
      <c r="A79" s="62" t="s">
        <v>753</v>
      </c>
      <c r="B79" s="63"/>
      <c r="C79" s="63"/>
      <c r="D79" s="64"/>
      <c r="E79" s="66"/>
      <c r="F79" s="102" t="str">
        <f>HYPERLINK("https://pbs.twimg.com/profile_images/1691039047219654658/fic4pAeE_normal.jpg")</f>
        <v>https://pbs.twimg.com/profile_images/1691039047219654658/fic4pAeE_normal.jpg</v>
      </c>
      <c r="G79" s="63"/>
      <c r="H79" s="67"/>
      <c r="I79" s="68"/>
      <c r="J79" s="68"/>
      <c r="K79" s="67" t="s">
        <v>18782</v>
      </c>
      <c r="L79" s="71"/>
      <c r="M79" s="72"/>
      <c r="N79" s="72"/>
      <c r="O79" s="73"/>
      <c r="P79" s="74"/>
      <c r="Q79" s="74"/>
      <c r="R79" s="86"/>
      <c r="S79" s="86"/>
      <c r="T79" s="86"/>
      <c r="U79" s="86"/>
      <c r="V79" s="48"/>
      <c r="W79" s="48"/>
      <c r="X79" s="48"/>
      <c r="Y79" s="48"/>
      <c r="Z79" s="47"/>
      <c r="AA79" s="69">
        <v>79</v>
      </c>
      <c r="AB79" s="69"/>
      <c r="AC79" s="70"/>
      <c r="AD79" s="76" t="s">
        <v>16513</v>
      </c>
      <c r="AE79" s="81" t="s">
        <v>17132</v>
      </c>
      <c r="AF79" s="76">
        <v>606974</v>
      </c>
      <c r="AG79" s="76">
        <v>1954</v>
      </c>
      <c r="AH79" s="76">
        <v>57189</v>
      </c>
      <c r="AI79" s="76">
        <v>1379</v>
      </c>
      <c r="AJ79" s="76">
        <v>5787</v>
      </c>
      <c r="AK79" s="76">
        <v>15614</v>
      </c>
      <c r="AL79" s="76" t="b">
        <v>0</v>
      </c>
      <c r="AM79" s="78">
        <v>40359.596805555557</v>
      </c>
      <c r="AN79" s="76" t="s">
        <v>17402</v>
      </c>
      <c r="AO79" s="76" t="s">
        <v>17718</v>
      </c>
      <c r="AP79" s="83" t="str">
        <f>HYPERLINK("https://t.co/kOBmvcjQhl")</f>
        <v>https://t.co/kOBmvcjQhl</v>
      </c>
      <c r="AQ79" s="83" t="str">
        <f>HYPERLINK("http://www.minhacienda.gov.co")</f>
        <v>http://www.minhacienda.gov.co</v>
      </c>
      <c r="AR79" s="76" t="s">
        <v>18292</v>
      </c>
      <c r="AS79" s="76"/>
      <c r="AT79" s="76"/>
      <c r="AU79" s="76"/>
      <c r="AV79" s="76"/>
      <c r="AW79" s="83" t="str">
        <f>HYPERLINK("https://t.co/kOBmvcjQhl")</f>
        <v>https://t.co/kOBmvcjQhl</v>
      </c>
      <c r="AX79" s="76" t="b">
        <v>0</v>
      </c>
      <c r="AY79" s="76"/>
      <c r="AZ79" s="76"/>
      <c r="BA79" s="76" t="b">
        <v>0</v>
      </c>
      <c r="BB79" s="76" t="b">
        <v>0</v>
      </c>
      <c r="BC79" s="76" t="b">
        <v>0</v>
      </c>
      <c r="BD79" s="76" t="b">
        <v>0</v>
      </c>
      <c r="BE79" s="76" t="b">
        <v>1</v>
      </c>
      <c r="BF79" s="76" t="b">
        <v>0</v>
      </c>
      <c r="BG79" s="76" t="b">
        <v>0</v>
      </c>
      <c r="BH79" s="83" t="str">
        <f>HYPERLINK("https://pbs.twimg.com/profile_banners/161306075/1695903239")</f>
        <v>https://pbs.twimg.com/profile_banners/161306075/1695903239</v>
      </c>
      <c r="BI79" s="76"/>
      <c r="BJ79" s="76" t="s">
        <v>18704</v>
      </c>
      <c r="BK79" s="76" t="b">
        <v>0</v>
      </c>
      <c r="BL79" s="76"/>
      <c r="BM79" s="76" t="s">
        <v>65</v>
      </c>
      <c r="BN79" s="76" t="s">
        <v>18706</v>
      </c>
      <c r="BO79" s="83" t="str">
        <f>HYPERLINK("https://twitter.com/minhacienda")</f>
        <v>https://twitter.com/minhacienda</v>
      </c>
      <c r="BP79" s="2"/>
    </row>
    <row r="80" spans="1:68" x14ac:dyDescent="0.25">
      <c r="A80" s="62" t="s">
        <v>283</v>
      </c>
      <c r="B80" s="63"/>
      <c r="C80" s="63"/>
      <c r="D80" s="64"/>
      <c r="E80" s="66"/>
      <c r="F80" s="102" t="str">
        <f>HYPERLINK("https://pbs.twimg.com/profile_images/1634642819271852035/JuF5Yccn_normal.jpg")</f>
        <v>https://pbs.twimg.com/profile_images/1634642819271852035/JuF5Yccn_normal.jpg</v>
      </c>
      <c r="G80" s="63"/>
      <c r="H80" s="67"/>
      <c r="I80" s="68"/>
      <c r="J80" s="68"/>
      <c r="K80" s="67" t="s">
        <v>18783</v>
      </c>
      <c r="L80" s="71"/>
      <c r="M80" s="72"/>
      <c r="N80" s="72"/>
      <c r="O80" s="73"/>
      <c r="P80" s="74"/>
      <c r="Q80" s="74"/>
      <c r="R80" s="86"/>
      <c r="S80" s="86"/>
      <c r="T80" s="86"/>
      <c r="U80" s="86"/>
      <c r="V80" s="48"/>
      <c r="W80" s="48"/>
      <c r="X80" s="48"/>
      <c r="Y80" s="48"/>
      <c r="Z80" s="47"/>
      <c r="AA80" s="69">
        <v>80</v>
      </c>
      <c r="AB80" s="69"/>
      <c r="AC80" s="70"/>
      <c r="AD80" s="76" t="s">
        <v>16514</v>
      </c>
      <c r="AE80" s="81" t="s">
        <v>15916</v>
      </c>
      <c r="AF80" s="76">
        <v>41</v>
      </c>
      <c r="AG80" s="76">
        <v>65</v>
      </c>
      <c r="AH80" s="76">
        <v>167</v>
      </c>
      <c r="AI80" s="76">
        <v>2</v>
      </c>
      <c r="AJ80" s="76">
        <v>43</v>
      </c>
      <c r="AK80" s="76">
        <v>8</v>
      </c>
      <c r="AL80" s="76" t="b">
        <v>0</v>
      </c>
      <c r="AM80" s="78">
        <v>44977.52952546296</v>
      </c>
      <c r="AN80" s="76"/>
      <c r="AO80" s="76" t="s">
        <v>17719</v>
      </c>
      <c r="AP80" s="76"/>
      <c r="AQ80" s="76"/>
      <c r="AR80" s="76"/>
      <c r="AS80" s="76"/>
      <c r="AT80" s="76"/>
      <c r="AU80" s="76"/>
      <c r="AV80" s="76"/>
      <c r="AW80" s="76"/>
      <c r="AX80" s="76" t="b">
        <v>0</v>
      </c>
      <c r="AY80" s="76"/>
      <c r="AZ80" s="76"/>
      <c r="BA80" s="76" t="b">
        <v>0</v>
      </c>
      <c r="BB80" s="76" t="b">
        <v>1</v>
      </c>
      <c r="BC80" s="76" t="b">
        <v>1</v>
      </c>
      <c r="BD80" s="76" t="b">
        <v>0</v>
      </c>
      <c r="BE80" s="76" t="b">
        <v>0</v>
      </c>
      <c r="BF80" s="76" t="b">
        <v>0</v>
      </c>
      <c r="BG80" s="76" t="b">
        <v>0</v>
      </c>
      <c r="BH80" s="83" t="str">
        <f>HYPERLINK("https://pbs.twimg.com/profile_banners/1627649837188390918/1678564267")</f>
        <v>https://pbs.twimg.com/profile_banners/1627649837188390918/1678564267</v>
      </c>
      <c r="BI80" s="76"/>
      <c r="BJ80" s="76" t="s">
        <v>18704</v>
      </c>
      <c r="BK80" s="76" t="b">
        <v>0</v>
      </c>
      <c r="BL80" s="76"/>
      <c r="BM80" s="76" t="s">
        <v>66</v>
      </c>
      <c r="BN80" s="76" t="s">
        <v>18706</v>
      </c>
      <c r="BO80" s="83" t="str">
        <f>HYPERLINK("https://twitter.com/billpoint_co")</f>
        <v>https://twitter.com/billpoint_co</v>
      </c>
      <c r="BP80" s="2"/>
    </row>
    <row r="81" spans="1:68" x14ac:dyDescent="0.25">
      <c r="A81" s="62" t="s">
        <v>284</v>
      </c>
      <c r="B81" s="63"/>
      <c r="C81" s="63"/>
      <c r="D81" s="64"/>
      <c r="E81" s="66"/>
      <c r="F81" s="102" t="str">
        <f>HYPERLINK("https://pbs.twimg.com/profile_images/1594614854777769984/KeG4zecu_normal.jpg")</f>
        <v>https://pbs.twimg.com/profile_images/1594614854777769984/KeG4zecu_normal.jpg</v>
      </c>
      <c r="G81" s="63"/>
      <c r="H81" s="67"/>
      <c r="I81" s="68"/>
      <c r="J81" s="68"/>
      <c r="K81" s="67" t="s">
        <v>18784</v>
      </c>
      <c r="L81" s="71"/>
      <c r="M81" s="72"/>
      <c r="N81" s="72"/>
      <c r="O81" s="73"/>
      <c r="P81" s="74"/>
      <c r="Q81" s="74"/>
      <c r="R81" s="86"/>
      <c r="S81" s="86"/>
      <c r="T81" s="86"/>
      <c r="U81" s="86"/>
      <c r="V81" s="48"/>
      <c r="W81" s="48"/>
      <c r="X81" s="48"/>
      <c r="Y81" s="48"/>
      <c r="Z81" s="47"/>
      <c r="AA81" s="69">
        <v>81</v>
      </c>
      <c r="AB81" s="69"/>
      <c r="AC81" s="70"/>
      <c r="AD81" s="76" t="s">
        <v>16515</v>
      </c>
      <c r="AE81" s="81" t="s">
        <v>16137</v>
      </c>
      <c r="AF81" s="76">
        <v>101</v>
      </c>
      <c r="AG81" s="76">
        <v>70</v>
      </c>
      <c r="AH81" s="76">
        <v>25522</v>
      </c>
      <c r="AI81" s="76">
        <v>1</v>
      </c>
      <c r="AJ81" s="76">
        <v>27205</v>
      </c>
      <c r="AK81" s="76">
        <v>54</v>
      </c>
      <c r="AL81" s="76" t="b">
        <v>0</v>
      </c>
      <c r="AM81" s="78">
        <v>44886.36917824074</v>
      </c>
      <c r="AN81" s="76"/>
      <c r="AO81" s="76"/>
      <c r="AP81" s="76"/>
      <c r="AQ81" s="76"/>
      <c r="AR81" s="76"/>
      <c r="AS81" s="76"/>
      <c r="AT81" s="76"/>
      <c r="AU81" s="76"/>
      <c r="AV81" s="76"/>
      <c r="AW81" s="76"/>
      <c r="AX81" s="76" t="b">
        <v>0</v>
      </c>
      <c r="AY81" s="76"/>
      <c r="AZ81" s="76"/>
      <c r="BA81" s="76" t="b">
        <v>0</v>
      </c>
      <c r="BB81" s="76" t="b">
        <v>1</v>
      </c>
      <c r="BC81" s="76" t="b">
        <v>1</v>
      </c>
      <c r="BD81" s="76" t="b">
        <v>0</v>
      </c>
      <c r="BE81" s="76" t="b">
        <v>0</v>
      </c>
      <c r="BF81" s="76" t="b">
        <v>0</v>
      </c>
      <c r="BG81" s="76" t="b">
        <v>0</v>
      </c>
      <c r="BH81" s="76"/>
      <c r="BI81" s="76"/>
      <c r="BJ81" s="76" t="s">
        <v>18704</v>
      </c>
      <c r="BK81" s="76" t="b">
        <v>0</v>
      </c>
      <c r="BL81" s="76"/>
      <c r="BM81" s="76" t="s">
        <v>66</v>
      </c>
      <c r="BN81" s="76" t="s">
        <v>18706</v>
      </c>
      <c r="BO81" s="83" t="str">
        <f>HYPERLINK("https://twitter.com/alexbukowsky")</f>
        <v>https://twitter.com/alexbukowsky</v>
      </c>
      <c r="BP81" s="2"/>
    </row>
    <row r="82" spans="1:68" x14ac:dyDescent="0.25">
      <c r="A82" s="62" t="s">
        <v>502</v>
      </c>
      <c r="B82" s="63"/>
      <c r="C82" s="63"/>
      <c r="D82" s="64"/>
      <c r="E82" s="66"/>
      <c r="F82" s="102" t="str">
        <f>HYPERLINK("https://pbs.twimg.com/profile_images/1348574671692816384/g-T6kUxu_normal.png")</f>
        <v>https://pbs.twimg.com/profile_images/1348574671692816384/g-T6kUxu_normal.png</v>
      </c>
      <c r="G82" s="63"/>
      <c r="H82" s="67"/>
      <c r="I82" s="68"/>
      <c r="J82" s="68"/>
      <c r="K82" s="67" t="s">
        <v>18785</v>
      </c>
      <c r="L82" s="71"/>
      <c r="M82" s="72"/>
      <c r="N82" s="72"/>
      <c r="O82" s="73"/>
      <c r="P82" s="74"/>
      <c r="Q82" s="74"/>
      <c r="R82" s="86"/>
      <c r="S82" s="86"/>
      <c r="T82" s="86"/>
      <c r="U82" s="86"/>
      <c r="V82" s="48"/>
      <c r="W82" s="48"/>
      <c r="X82" s="48"/>
      <c r="Y82" s="48"/>
      <c r="Z82" s="47"/>
      <c r="AA82" s="69">
        <v>82</v>
      </c>
      <c r="AB82" s="69"/>
      <c r="AC82" s="70"/>
      <c r="AD82" s="76" t="s">
        <v>16516</v>
      </c>
      <c r="AE82" s="81" t="s">
        <v>16267</v>
      </c>
      <c r="AF82" s="76">
        <v>24018</v>
      </c>
      <c r="AG82" s="76">
        <v>344</v>
      </c>
      <c r="AH82" s="76">
        <v>40176</v>
      </c>
      <c r="AI82" s="76">
        <v>281</v>
      </c>
      <c r="AJ82" s="76">
        <v>1923</v>
      </c>
      <c r="AK82" s="76">
        <v>36731</v>
      </c>
      <c r="AL82" s="76" t="b">
        <v>0</v>
      </c>
      <c r="AM82" s="78">
        <v>44112.727777777778</v>
      </c>
      <c r="AN82" s="76" t="s">
        <v>17419</v>
      </c>
      <c r="AO82" s="76" t="s">
        <v>17720</v>
      </c>
      <c r="AP82" s="83" t="str">
        <f>HYPERLINK("https://t.co/NGIIbUytOB")</f>
        <v>https://t.co/NGIIbUytOB</v>
      </c>
      <c r="AQ82" s="83" t="str">
        <f>HYPERLINK("https://www.negocios.com/directo/")</f>
        <v>https://www.negocios.com/directo/</v>
      </c>
      <c r="AR82" s="76" t="s">
        <v>18293</v>
      </c>
      <c r="AS82" s="76"/>
      <c r="AT82" s="76"/>
      <c r="AU82" s="76"/>
      <c r="AV82" s="76">
        <v>1.6844890008101601E+18</v>
      </c>
      <c r="AW82" s="83" t="str">
        <f>HYPERLINK("https://t.co/NGIIbUytOB")</f>
        <v>https://t.co/NGIIbUytOB</v>
      </c>
      <c r="AX82" s="76" t="b">
        <v>1</v>
      </c>
      <c r="AY82" s="76"/>
      <c r="AZ82" s="76"/>
      <c r="BA82" s="76" t="b">
        <v>0</v>
      </c>
      <c r="BB82" s="76" t="b">
        <v>1</v>
      </c>
      <c r="BC82" s="76" t="b">
        <v>1</v>
      </c>
      <c r="BD82" s="76" t="b">
        <v>0</v>
      </c>
      <c r="BE82" s="76" t="b">
        <v>1</v>
      </c>
      <c r="BF82" s="76" t="b">
        <v>0</v>
      </c>
      <c r="BG82" s="76" t="b">
        <v>0</v>
      </c>
      <c r="BH82" s="83" t="str">
        <f>HYPERLINK("https://pbs.twimg.com/profile_banners/1314256209688526848/1608629176")</f>
        <v>https://pbs.twimg.com/profile_banners/1314256209688526848/1608629176</v>
      </c>
      <c r="BI82" s="76"/>
      <c r="BJ82" s="76" t="s">
        <v>18704</v>
      </c>
      <c r="BK82" s="76" t="b">
        <v>0</v>
      </c>
      <c r="BL82" s="76"/>
      <c r="BM82" s="76" t="s">
        <v>66</v>
      </c>
      <c r="BN82" s="76" t="s">
        <v>18706</v>
      </c>
      <c r="BO82" s="83" t="str">
        <f>HYPERLINK("https://twitter.com/negocios_tv")</f>
        <v>https://twitter.com/negocios_tv</v>
      </c>
      <c r="BP82" s="2"/>
    </row>
    <row r="83" spans="1:68" x14ac:dyDescent="0.25">
      <c r="A83" s="62" t="s">
        <v>285</v>
      </c>
      <c r="B83" s="63"/>
      <c r="C83" s="63"/>
      <c r="D83" s="64"/>
      <c r="E83" s="66"/>
      <c r="F83" s="102" t="str">
        <f>HYPERLINK("https://pbs.twimg.com/profile_images/1644884699217555458/wS-S7PKm_normal.jpg")</f>
        <v>https://pbs.twimg.com/profile_images/1644884699217555458/wS-S7PKm_normal.jpg</v>
      </c>
      <c r="G83" s="63"/>
      <c r="H83" s="67"/>
      <c r="I83" s="68"/>
      <c r="J83" s="68"/>
      <c r="K83" s="67" t="s">
        <v>18786</v>
      </c>
      <c r="L83" s="71"/>
      <c r="M83" s="72"/>
      <c r="N83" s="72"/>
      <c r="O83" s="73"/>
      <c r="P83" s="74"/>
      <c r="Q83" s="74"/>
      <c r="R83" s="86"/>
      <c r="S83" s="86"/>
      <c r="T83" s="86"/>
      <c r="U83" s="86"/>
      <c r="V83" s="48"/>
      <c r="W83" s="48"/>
      <c r="X83" s="48"/>
      <c r="Y83" s="48"/>
      <c r="Z83" s="47"/>
      <c r="AA83" s="69">
        <v>83</v>
      </c>
      <c r="AB83" s="69"/>
      <c r="AC83" s="70"/>
      <c r="AD83" s="76" t="s">
        <v>16517</v>
      </c>
      <c r="AE83" s="81" t="s">
        <v>16138</v>
      </c>
      <c r="AF83" s="76">
        <v>93</v>
      </c>
      <c r="AG83" s="76">
        <v>629</v>
      </c>
      <c r="AH83" s="76">
        <v>547</v>
      </c>
      <c r="AI83" s="76">
        <v>0</v>
      </c>
      <c r="AJ83" s="76">
        <v>647</v>
      </c>
      <c r="AK83" s="76">
        <v>130</v>
      </c>
      <c r="AL83" s="76" t="b">
        <v>0</v>
      </c>
      <c r="AM83" s="78">
        <v>43377.617685185185</v>
      </c>
      <c r="AN83" s="76" t="s">
        <v>10570</v>
      </c>
      <c r="AO83" s="76" t="s">
        <v>17721</v>
      </c>
      <c r="AP83" s="83" t="str">
        <f>HYPERLINK("https://t.co/MTz9GVWhVL")</f>
        <v>https://t.co/MTz9GVWhVL</v>
      </c>
      <c r="AQ83" s="83" t="str">
        <f>HYPERLINK("https://instagram.com/estrategia_fox?igshid=MjEwN2IyYWYwYw==")</f>
        <v>https://instagram.com/estrategia_fox?igshid=MjEwN2IyYWYwYw==</v>
      </c>
      <c r="AR83" s="76" t="s">
        <v>18294</v>
      </c>
      <c r="AS83" s="76"/>
      <c r="AT83" s="76"/>
      <c r="AU83" s="76"/>
      <c r="AV83" s="76"/>
      <c r="AW83" s="83" t="str">
        <f>HYPERLINK("https://t.co/MTz9GVWhVL")</f>
        <v>https://t.co/MTz9GVWhVL</v>
      </c>
      <c r="AX83" s="76" t="b">
        <v>0</v>
      </c>
      <c r="AY83" s="76"/>
      <c r="AZ83" s="76"/>
      <c r="BA83" s="76" t="b">
        <v>0</v>
      </c>
      <c r="BB83" s="76" t="b">
        <v>0</v>
      </c>
      <c r="BC83" s="76" t="b">
        <v>1</v>
      </c>
      <c r="BD83" s="76" t="b">
        <v>0</v>
      </c>
      <c r="BE83" s="76" t="b">
        <v>0</v>
      </c>
      <c r="BF83" s="76" t="b">
        <v>0</v>
      </c>
      <c r="BG83" s="76" t="b">
        <v>0</v>
      </c>
      <c r="BH83" s="83" t="str">
        <f>HYPERLINK("https://pbs.twimg.com/profile_banners/1047861262925934592/1666831110")</f>
        <v>https://pbs.twimg.com/profile_banners/1047861262925934592/1666831110</v>
      </c>
      <c r="BI83" s="76"/>
      <c r="BJ83" s="76" t="s">
        <v>18704</v>
      </c>
      <c r="BK83" s="76" t="b">
        <v>0</v>
      </c>
      <c r="BL83" s="76"/>
      <c r="BM83" s="76" t="s">
        <v>66</v>
      </c>
      <c r="BN83" s="76" t="s">
        <v>18706</v>
      </c>
      <c r="BO83" s="83" t="str">
        <f>HYPERLINK("https://twitter.com/estrategia_fox")</f>
        <v>https://twitter.com/estrategia_fox</v>
      </c>
      <c r="BP83" s="2"/>
    </row>
    <row r="84" spans="1:68" x14ac:dyDescent="0.25">
      <c r="A84" s="62" t="s">
        <v>286</v>
      </c>
      <c r="B84" s="63"/>
      <c r="C84" s="63"/>
      <c r="D84" s="64"/>
      <c r="E84" s="66"/>
      <c r="F84" s="102" t="str">
        <f>HYPERLINK("https://abs.twimg.com/sticky/default_profile_images/default_profile_normal.png")</f>
        <v>https://abs.twimg.com/sticky/default_profile_images/default_profile_normal.png</v>
      </c>
      <c r="G84" s="63"/>
      <c r="H84" s="67"/>
      <c r="I84" s="68"/>
      <c r="J84" s="68"/>
      <c r="K84" s="67" t="s">
        <v>18787</v>
      </c>
      <c r="L84" s="71"/>
      <c r="M84" s="72"/>
      <c r="N84" s="72"/>
      <c r="O84" s="73"/>
      <c r="P84" s="74"/>
      <c r="Q84" s="74"/>
      <c r="R84" s="86"/>
      <c r="S84" s="86"/>
      <c r="T84" s="86"/>
      <c r="U84" s="86"/>
      <c r="V84" s="48"/>
      <c r="W84" s="48"/>
      <c r="X84" s="48"/>
      <c r="Y84" s="48"/>
      <c r="Z84" s="47"/>
      <c r="AA84" s="69">
        <v>84</v>
      </c>
      <c r="AB84" s="69"/>
      <c r="AC84" s="70"/>
      <c r="AD84" s="76" t="s">
        <v>16518</v>
      </c>
      <c r="AE84" s="81" t="s">
        <v>17133</v>
      </c>
      <c r="AF84" s="76">
        <v>231</v>
      </c>
      <c r="AG84" s="76">
        <v>3654</v>
      </c>
      <c r="AH84" s="76">
        <v>19013</v>
      </c>
      <c r="AI84" s="76">
        <v>9</v>
      </c>
      <c r="AJ84" s="76">
        <v>63343</v>
      </c>
      <c r="AK84" s="76">
        <v>0</v>
      </c>
      <c r="AL84" s="76" t="b">
        <v>0</v>
      </c>
      <c r="AM84" s="78">
        <v>42065.876608796294</v>
      </c>
      <c r="AN84" s="76"/>
      <c r="AO84" s="76"/>
      <c r="AP84" s="76"/>
      <c r="AQ84" s="76"/>
      <c r="AR84" s="76"/>
      <c r="AS84" s="76"/>
      <c r="AT84" s="76"/>
      <c r="AU84" s="76"/>
      <c r="AV84" s="76"/>
      <c r="AW84" s="76"/>
      <c r="AX84" s="76" t="b">
        <v>0</v>
      </c>
      <c r="AY84" s="76"/>
      <c r="AZ84" s="76"/>
      <c r="BA84" s="76" t="b">
        <v>0</v>
      </c>
      <c r="BB84" s="76" t="b">
        <v>1</v>
      </c>
      <c r="BC84" s="76" t="b">
        <v>1</v>
      </c>
      <c r="BD84" s="76" t="b">
        <v>1</v>
      </c>
      <c r="BE84" s="76" t="b">
        <v>1</v>
      </c>
      <c r="BF84" s="76" t="b">
        <v>0</v>
      </c>
      <c r="BG84" s="76" t="b">
        <v>0</v>
      </c>
      <c r="BH84" s="76"/>
      <c r="BI84" s="76"/>
      <c r="BJ84" s="76" t="s">
        <v>18704</v>
      </c>
      <c r="BK84" s="76" t="b">
        <v>0</v>
      </c>
      <c r="BL84" s="76"/>
      <c r="BM84" s="76" t="s">
        <v>66</v>
      </c>
      <c r="BN84" s="76" t="s">
        <v>18706</v>
      </c>
      <c r="BO84" s="83" t="str">
        <f>HYPERLINK("https://twitter.com/jripollgarciam1")</f>
        <v>https://twitter.com/jripollgarciam1</v>
      </c>
      <c r="BP84" s="2"/>
    </row>
    <row r="85" spans="1:68" x14ac:dyDescent="0.25">
      <c r="A85" s="62" t="s">
        <v>287</v>
      </c>
      <c r="B85" s="63"/>
      <c r="C85" s="63"/>
      <c r="D85" s="64"/>
      <c r="E85" s="66"/>
      <c r="F85" s="102" t="str">
        <f>HYPERLINK("https://pbs.twimg.com/profile_images/1369748302854504453/ShpJasNI_normal.jpg")</f>
        <v>https://pbs.twimg.com/profile_images/1369748302854504453/ShpJasNI_normal.jpg</v>
      </c>
      <c r="G85" s="63"/>
      <c r="H85" s="67"/>
      <c r="I85" s="68"/>
      <c r="J85" s="68"/>
      <c r="K85" s="67" t="s">
        <v>18788</v>
      </c>
      <c r="L85" s="71"/>
      <c r="M85" s="72"/>
      <c r="N85" s="72"/>
      <c r="O85" s="73"/>
      <c r="P85" s="74"/>
      <c r="Q85" s="74"/>
      <c r="R85" s="86"/>
      <c r="S85" s="86"/>
      <c r="T85" s="86"/>
      <c r="U85" s="86"/>
      <c r="V85" s="48"/>
      <c r="W85" s="48"/>
      <c r="X85" s="48"/>
      <c r="Y85" s="48"/>
      <c r="Z85" s="47"/>
      <c r="AA85" s="69">
        <v>85</v>
      </c>
      <c r="AB85" s="69"/>
      <c r="AC85" s="70"/>
      <c r="AD85" s="76" t="s">
        <v>16519</v>
      </c>
      <c r="AE85" s="81" t="s">
        <v>16139</v>
      </c>
      <c r="AF85" s="76">
        <v>461</v>
      </c>
      <c r="AG85" s="76">
        <v>16</v>
      </c>
      <c r="AH85" s="76">
        <v>1433</v>
      </c>
      <c r="AI85" s="76">
        <v>7</v>
      </c>
      <c r="AJ85" s="76">
        <v>69</v>
      </c>
      <c r="AK85" s="76">
        <v>727</v>
      </c>
      <c r="AL85" s="76" t="b">
        <v>0</v>
      </c>
      <c r="AM85" s="78">
        <v>43332.60193287037</v>
      </c>
      <c r="AN85" s="76"/>
      <c r="AO85" s="76" t="s">
        <v>17722</v>
      </c>
      <c r="AP85" s="83" t="str">
        <f>HYPERLINK("https://t.co/zUigTqdEgn")</f>
        <v>https://t.co/zUigTqdEgn</v>
      </c>
      <c r="AQ85" s="83" t="str">
        <f>HYPERLINK("https://linktr.ee/sonartradeoficial")</f>
        <v>https://linktr.ee/sonartradeoficial</v>
      </c>
      <c r="AR85" s="76" t="s">
        <v>18295</v>
      </c>
      <c r="AS85" s="76"/>
      <c r="AT85" s="76"/>
      <c r="AU85" s="76"/>
      <c r="AV85" s="76"/>
      <c r="AW85" s="83" t="str">
        <f>HYPERLINK("https://t.co/zUigTqdEgn")</f>
        <v>https://t.co/zUigTqdEgn</v>
      </c>
      <c r="AX85" s="76" t="b">
        <v>1</v>
      </c>
      <c r="AY85" s="76"/>
      <c r="AZ85" s="76"/>
      <c r="BA85" s="76" t="b">
        <v>0</v>
      </c>
      <c r="BB85" s="76" t="b">
        <v>1</v>
      </c>
      <c r="BC85" s="76" t="b">
        <v>0</v>
      </c>
      <c r="BD85" s="76" t="b">
        <v>0</v>
      </c>
      <c r="BE85" s="76" t="b">
        <v>0</v>
      </c>
      <c r="BF85" s="76" t="b">
        <v>0</v>
      </c>
      <c r="BG85" s="76" t="b">
        <v>0</v>
      </c>
      <c r="BH85" s="83" t="str">
        <f>HYPERLINK("https://pbs.twimg.com/profile_banners/1031548103416049675/1615488663")</f>
        <v>https://pbs.twimg.com/profile_banners/1031548103416049675/1615488663</v>
      </c>
      <c r="BI85" s="76"/>
      <c r="BJ85" s="76" t="s">
        <v>18704</v>
      </c>
      <c r="BK85" s="76" t="b">
        <v>0</v>
      </c>
      <c r="BL85" s="76"/>
      <c r="BM85" s="76" t="s">
        <v>66</v>
      </c>
      <c r="BN85" s="76" t="s">
        <v>18706</v>
      </c>
      <c r="BO85" s="83" t="str">
        <f>HYPERLINK("https://twitter.com/sonartrade")</f>
        <v>https://twitter.com/sonartrade</v>
      </c>
      <c r="BP85" s="2"/>
    </row>
    <row r="86" spans="1:68" x14ac:dyDescent="0.25">
      <c r="A86" s="62" t="s">
        <v>288</v>
      </c>
      <c r="B86" s="63"/>
      <c r="C86" s="63"/>
      <c r="D86" s="64"/>
      <c r="E86" s="66"/>
      <c r="F86" s="102" t="str">
        <f>HYPERLINK("https://pbs.twimg.com/profile_images/1588647351597547520/kKjDD8Ya_normal.jpg")</f>
        <v>https://pbs.twimg.com/profile_images/1588647351597547520/kKjDD8Ya_normal.jpg</v>
      </c>
      <c r="G86" s="63"/>
      <c r="H86" s="67"/>
      <c r="I86" s="68"/>
      <c r="J86" s="68"/>
      <c r="K86" s="67" t="s">
        <v>18789</v>
      </c>
      <c r="L86" s="71"/>
      <c r="M86" s="72"/>
      <c r="N86" s="72"/>
      <c r="O86" s="73"/>
      <c r="P86" s="74"/>
      <c r="Q86" s="74"/>
      <c r="R86" s="86"/>
      <c r="S86" s="86"/>
      <c r="T86" s="86"/>
      <c r="U86" s="86"/>
      <c r="V86" s="48"/>
      <c r="W86" s="48"/>
      <c r="X86" s="48"/>
      <c r="Y86" s="48"/>
      <c r="Z86" s="47"/>
      <c r="AA86" s="69">
        <v>86</v>
      </c>
      <c r="AB86" s="69"/>
      <c r="AC86" s="70"/>
      <c r="AD86" s="76" t="s">
        <v>16520</v>
      </c>
      <c r="AE86" s="81" t="s">
        <v>17134</v>
      </c>
      <c r="AF86" s="76">
        <v>1982</v>
      </c>
      <c r="AG86" s="76">
        <v>61</v>
      </c>
      <c r="AH86" s="76">
        <v>5964</v>
      </c>
      <c r="AI86" s="76">
        <v>22</v>
      </c>
      <c r="AJ86" s="76">
        <v>377</v>
      </c>
      <c r="AK86" s="76">
        <v>3501</v>
      </c>
      <c r="AL86" s="76" t="b">
        <v>0</v>
      </c>
      <c r="AM86" s="78">
        <v>40587.56422453704</v>
      </c>
      <c r="AN86" s="76" t="s">
        <v>17426</v>
      </c>
      <c r="AO86" s="76" t="s">
        <v>17723</v>
      </c>
      <c r="AP86" s="83" t="str">
        <f>HYPERLINK("https://t.co/MQKH2yhreT")</f>
        <v>https://t.co/MQKH2yhreT</v>
      </c>
      <c r="AQ86" s="83" t="str">
        <f>HYPERLINK("http://www.cofecon.org.br")</f>
        <v>http://www.cofecon.org.br</v>
      </c>
      <c r="AR86" s="76" t="s">
        <v>18296</v>
      </c>
      <c r="AS86" s="76"/>
      <c r="AT86" s="76"/>
      <c r="AU86" s="76"/>
      <c r="AV86" s="76">
        <v>1.6328025586819599E+18</v>
      </c>
      <c r="AW86" s="83" t="str">
        <f>HYPERLINK("https://t.co/MQKH2yhreT")</f>
        <v>https://t.co/MQKH2yhreT</v>
      </c>
      <c r="AX86" s="76" t="b">
        <v>0</v>
      </c>
      <c r="AY86" s="76"/>
      <c r="AZ86" s="76"/>
      <c r="BA86" s="76" t="b">
        <v>0</v>
      </c>
      <c r="BB86" s="76" t="b">
        <v>1</v>
      </c>
      <c r="BC86" s="76" t="b">
        <v>0</v>
      </c>
      <c r="BD86" s="76" t="b">
        <v>0</v>
      </c>
      <c r="BE86" s="76" t="b">
        <v>0</v>
      </c>
      <c r="BF86" s="76" t="b">
        <v>0</v>
      </c>
      <c r="BG86" s="76" t="b">
        <v>0</v>
      </c>
      <c r="BH86" s="83" t="str">
        <f>HYPERLINK("https://pbs.twimg.com/profile_banners/251600476/1667598020")</f>
        <v>https://pbs.twimg.com/profile_banners/251600476/1667598020</v>
      </c>
      <c r="BI86" s="76"/>
      <c r="BJ86" s="76" t="s">
        <v>18704</v>
      </c>
      <c r="BK86" s="76" t="b">
        <v>0</v>
      </c>
      <c r="BL86" s="76"/>
      <c r="BM86" s="76" t="s">
        <v>66</v>
      </c>
      <c r="BN86" s="76" t="s">
        <v>18706</v>
      </c>
      <c r="BO86" s="83" t="str">
        <f>HYPERLINK("https://twitter.com/cofeconeconomia")</f>
        <v>https://twitter.com/cofeconeconomia</v>
      </c>
      <c r="BP86" s="2"/>
    </row>
    <row r="87" spans="1:68" x14ac:dyDescent="0.25">
      <c r="A87" s="62" t="s">
        <v>289</v>
      </c>
      <c r="B87" s="63"/>
      <c r="C87" s="63"/>
      <c r="D87" s="64"/>
      <c r="E87" s="66"/>
      <c r="F87" s="102" t="str">
        <f>HYPERLINK("https://pbs.twimg.com/profile_images/1701754066764795904/LOJm-E2l_normal.jpg")</f>
        <v>https://pbs.twimg.com/profile_images/1701754066764795904/LOJm-E2l_normal.jpg</v>
      </c>
      <c r="G87" s="63"/>
      <c r="H87" s="67"/>
      <c r="I87" s="68"/>
      <c r="J87" s="68"/>
      <c r="K87" s="67" t="s">
        <v>18790</v>
      </c>
      <c r="L87" s="71"/>
      <c r="M87" s="72"/>
      <c r="N87" s="72"/>
      <c r="O87" s="73"/>
      <c r="P87" s="74"/>
      <c r="Q87" s="74"/>
      <c r="R87" s="86"/>
      <c r="S87" s="86"/>
      <c r="T87" s="86"/>
      <c r="U87" s="86"/>
      <c r="V87" s="48"/>
      <c r="W87" s="48"/>
      <c r="X87" s="48"/>
      <c r="Y87" s="48"/>
      <c r="Z87" s="47"/>
      <c r="AA87" s="69">
        <v>87</v>
      </c>
      <c r="AB87" s="69"/>
      <c r="AC87" s="70"/>
      <c r="AD87" s="76" t="s">
        <v>16521</v>
      </c>
      <c r="AE87" s="81" t="s">
        <v>16140</v>
      </c>
      <c r="AF87" s="76">
        <v>0</v>
      </c>
      <c r="AG87" s="76">
        <v>3</v>
      </c>
      <c r="AH87" s="76">
        <v>23</v>
      </c>
      <c r="AI87" s="76">
        <v>0</v>
      </c>
      <c r="AJ87" s="76">
        <v>13</v>
      </c>
      <c r="AK87" s="76">
        <v>10</v>
      </c>
      <c r="AL87" s="76" t="b">
        <v>0</v>
      </c>
      <c r="AM87" s="78">
        <v>45175.611747685187</v>
      </c>
      <c r="AN87" s="76" t="s">
        <v>10570</v>
      </c>
      <c r="AO87" s="83" t="str">
        <f>HYPERLINK("https://t.co/VOMs5svvMj")</f>
        <v>https://t.co/VOMs5svvMj</v>
      </c>
      <c r="AP87" s="76"/>
      <c r="AQ87" s="76"/>
      <c r="AR87" s="76"/>
      <c r="AS87" s="83" t="str">
        <f>HYPERLINK("https://t.co/VOMs5svvMj")</f>
        <v>https://t.co/VOMs5svvMj</v>
      </c>
      <c r="AT87" s="83" t="str">
        <f>HYPERLINK("https://www.ton.com.br/catalogo/?referrer=F64D32EA-6814-4EB9-885")</f>
        <v>https://www.ton.com.br/catalogo/?referrer=F64D32EA-6814-4EB9-885</v>
      </c>
      <c r="AU87" s="76" t="s">
        <v>18654</v>
      </c>
      <c r="AV87" s="76"/>
      <c r="AW87" s="76"/>
      <c r="AX87" s="76" t="b">
        <v>0</v>
      </c>
      <c r="AY87" s="76"/>
      <c r="AZ87" s="76"/>
      <c r="BA87" s="76" t="b">
        <v>0</v>
      </c>
      <c r="BB87" s="76" t="b">
        <v>1</v>
      </c>
      <c r="BC87" s="76" t="b">
        <v>1</v>
      </c>
      <c r="BD87" s="76" t="b">
        <v>0</v>
      </c>
      <c r="BE87" s="76" t="b">
        <v>0</v>
      </c>
      <c r="BF87" s="76" t="b">
        <v>0</v>
      </c>
      <c r="BG87" s="76" t="b">
        <v>0</v>
      </c>
      <c r="BH87" s="83" t="str">
        <f>HYPERLINK("https://pbs.twimg.com/profile_banners/1699431844846956545/1694564763")</f>
        <v>https://pbs.twimg.com/profile_banners/1699431844846956545/1694564763</v>
      </c>
      <c r="BI87" s="76"/>
      <c r="BJ87" s="76" t="s">
        <v>18704</v>
      </c>
      <c r="BK87" s="76" t="b">
        <v>0</v>
      </c>
      <c r="BL87" s="76"/>
      <c r="BM87" s="76" t="s">
        <v>66</v>
      </c>
      <c r="BN87" s="76" t="s">
        <v>18706</v>
      </c>
      <c r="BO87" s="83" t="str">
        <f>HYPERLINK("https://twitter.com/maquininhaton1")</f>
        <v>https://twitter.com/maquininhaton1</v>
      </c>
      <c r="BP87" s="2"/>
    </row>
    <row r="88" spans="1:68" x14ac:dyDescent="0.25">
      <c r="A88" s="62" t="s">
        <v>290</v>
      </c>
      <c r="B88" s="63"/>
      <c r="C88" s="63"/>
      <c r="D88" s="64"/>
      <c r="E88" s="66"/>
      <c r="F88" s="102" t="str">
        <f>HYPERLINK("https://pbs.twimg.com/profile_images/1696215280978944000/MZgfrvEl_normal.jpg")</f>
        <v>https://pbs.twimg.com/profile_images/1696215280978944000/MZgfrvEl_normal.jpg</v>
      </c>
      <c r="G88" s="63"/>
      <c r="H88" s="67"/>
      <c r="I88" s="68"/>
      <c r="J88" s="68"/>
      <c r="K88" s="67" t="s">
        <v>18791</v>
      </c>
      <c r="L88" s="71"/>
      <c r="M88" s="72"/>
      <c r="N88" s="72"/>
      <c r="O88" s="73"/>
      <c r="P88" s="74"/>
      <c r="Q88" s="74"/>
      <c r="R88" s="86"/>
      <c r="S88" s="86"/>
      <c r="T88" s="86"/>
      <c r="U88" s="86"/>
      <c r="V88" s="48"/>
      <c r="W88" s="48"/>
      <c r="X88" s="48"/>
      <c r="Y88" s="48"/>
      <c r="Z88" s="47"/>
      <c r="AA88" s="69">
        <v>88</v>
      </c>
      <c r="AB88" s="69"/>
      <c r="AC88" s="70"/>
      <c r="AD88" s="76" t="s">
        <v>16522</v>
      </c>
      <c r="AE88" s="81" t="s">
        <v>16141</v>
      </c>
      <c r="AF88" s="76">
        <v>1868</v>
      </c>
      <c r="AG88" s="76">
        <v>106</v>
      </c>
      <c r="AH88" s="76">
        <v>436</v>
      </c>
      <c r="AI88" s="76">
        <v>19</v>
      </c>
      <c r="AJ88" s="76">
        <v>531</v>
      </c>
      <c r="AK88" s="76">
        <v>283</v>
      </c>
      <c r="AL88" s="76" t="b">
        <v>0</v>
      </c>
      <c r="AM88" s="78">
        <v>44637.645462962966</v>
      </c>
      <c r="AN88" s="76"/>
      <c r="AO88" s="76" t="s">
        <v>17724</v>
      </c>
      <c r="AP88" s="83" t="str">
        <f>HYPERLINK("https://t.co/fOuKNYrfCj")</f>
        <v>https://t.co/fOuKNYrfCj</v>
      </c>
      <c r="AQ88" s="83" t="str">
        <f>HYPERLINK("https://mla.bs/c134bfe0")</f>
        <v>https://mla.bs/c134bfe0</v>
      </c>
      <c r="AR88" s="76" t="s">
        <v>18297</v>
      </c>
      <c r="AS88" s="76"/>
      <c r="AT88" s="76"/>
      <c r="AU88" s="76"/>
      <c r="AV88" s="76">
        <v>1.6216968114747599E+18</v>
      </c>
      <c r="AW88" s="83" t="str">
        <f>HYPERLINK("https://t.co/fOuKNYrfCj")</f>
        <v>https://t.co/fOuKNYrfCj</v>
      </c>
      <c r="AX88" s="76" t="b">
        <v>1</v>
      </c>
      <c r="AY88" s="76"/>
      <c r="AZ88" s="76"/>
      <c r="BA88" s="76" t="b">
        <v>1</v>
      </c>
      <c r="BB88" s="76" t="b">
        <v>1</v>
      </c>
      <c r="BC88" s="76" t="b">
        <v>1</v>
      </c>
      <c r="BD88" s="76" t="b">
        <v>0</v>
      </c>
      <c r="BE88" s="76" t="b">
        <v>1</v>
      </c>
      <c r="BF88" s="76" t="b">
        <v>0</v>
      </c>
      <c r="BG88" s="76" t="b">
        <v>0</v>
      </c>
      <c r="BH88" s="83" t="str">
        <f>HYPERLINK("https://pbs.twimg.com/profile_banners/1504479925159424011/1693244213")</f>
        <v>https://pbs.twimg.com/profile_banners/1504479925159424011/1693244213</v>
      </c>
      <c r="BI88" s="76"/>
      <c r="BJ88" s="76" t="s">
        <v>18704</v>
      </c>
      <c r="BK88" s="76" t="b">
        <v>0</v>
      </c>
      <c r="BL88" s="76"/>
      <c r="BM88" s="76" t="s">
        <v>66</v>
      </c>
      <c r="BN88" s="76" t="s">
        <v>18706</v>
      </c>
      <c r="BO88" s="83" t="str">
        <f>HYPERLINK("https://twitter.com/oficialjumba")</f>
        <v>https://twitter.com/oficialjumba</v>
      </c>
      <c r="BP88" s="2"/>
    </row>
    <row r="89" spans="1:68" x14ac:dyDescent="0.25">
      <c r="A89" s="62" t="s">
        <v>291</v>
      </c>
      <c r="B89" s="63"/>
      <c r="C89" s="63"/>
      <c r="D89" s="64"/>
      <c r="E89" s="66"/>
      <c r="F89" s="102" t="str">
        <f>HYPERLINK("https://pbs.twimg.com/profile_images/1703169180009213953/hLRUi7_H_normal.jpg")</f>
        <v>https://pbs.twimg.com/profile_images/1703169180009213953/hLRUi7_H_normal.jpg</v>
      </c>
      <c r="G89" s="63"/>
      <c r="H89" s="67"/>
      <c r="I89" s="68"/>
      <c r="J89" s="68"/>
      <c r="K89" s="67" t="s">
        <v>18792</v>
      </c>
      <c r="L89" s="71"/>
      <c r="M89" s="72"/>
      <c r="N89" s="72"/>
      <c r="O89" s="73"/>
      <c r="P89" s="74"/>
      <c r="Q89" s="74"/>
      <c r="R89" s="86"/>
      <c r="S89" s="86"/>
      <c r="T89" s="86"/>
      <c r="U89" s="86"/>
      <c r="V89" s="48"/>
      <c r="W89" s="48"/>
      <c r="X89" s="48"/>
      <c r="Y89" s="48"/>
      <c r="Z89" s="47"/>
      <c r="AA89" s="69">
        <v>89</v>
      </c>
      <c r="AB89" s="69"/>
      <c r="AC89" s="70"/>
      <c r="AD89" s="76" t="s">
        <v>16523</v>
      </c>
      <c r="AE89" s="81" t="s">
        <v>16142</v>
      </c>
      <c r="AF89" s="76">
        <v>44</v>
      </c>
      <c r="AG89" s="76">
        <v>443</v>
      </c>
      <c r="AH89" s="76">
        <v>99</v>
      </c>
      <c r="AI89" s="76">
        <v>1</v>
      </c>
      <c r="AJ89" s="76">
        <v>401</v>
      </c>
      <c r="AK89" s="76">
        <v>19</v>
      </c>
      <c r="AL89" s="76" t="b">
        <v>0</v>
      </c>
      <c r="AM89" s="78">
        <v>44770.745196759257</v>
      </c>
      <c r="AN89" s="76" t="s">
        <v>17427</v>
      </c>
      <c r="AO89" s="76" t="s">
        <v>17725</v>
      </c>
      <c r="AP89" s="76"/>
      <c r="AQ89" s="76"/>
      <c r="AR89" s="76"/>
      <c r="AS89" s="76"/>
      <c r="AT89" s="76"/>
      <c r="AU89" s="76"/>
      <c r="AV89" s="76"/>
      <c r="AW89" s="76"/>
      <c r="AX89" s="76" t="b">
        <v>0</v>
      </c>
      <c r="AY89" s="76"/>
      <c r="AZ89" s="76"/>
      <c r="BA89" s="76" t="b">
        <v>1</v>
      </c>
      <c r="BB89" s="76" t="b">
        <v>0</v>
      </c>
      <c r="BC89" s="76" t="b">
        <v>1</v>
      </c>
      <c r="BD89" s="76" t="b">
        <v>0</v>
      </c>
      <c r="BE89" s="76" t="b">
        <v>0</v>
      </c>
      <c r="BF89" s="76" t="b">
        <v>0</v>
      </c>
      <c r="BG89" s="76" t="b">
        <v>0</v>
      </c>
      <c r="BH89" s="83" t="str">
        <f>HYPERLINK("https://pbs.twimg.com/profile_banners/1552713671775846403/1694899912")</f>
        <v>https://pbs.twimg.com/profile_banners/1552713671775846403/1694899912</v>
      </c>
      <c r="BI89" s="76"/>
      <c r="BJ89" s="76" t="s">
        <v>18704</v>
      </c>
      <c r="BK89" s="76" t="b">
        <v>0</v>
      </c>
      <c r="BL89" s="76"/>
      <c r="BM89" s="76" t="s">
        <v>66</v>
      </c>
      <c r="BN89" s="76" t="s">
        <v>18706</v>
      </c>
      <c r="BO89" s="83" t="str">
        <f>HYPERLINK("https://twitter.com/lawrencemiuller")</f>
        <v>https://twitter.com/lawrencemiuller</v>
      </c>
      <c r="BP89" s="2"/>
    </row>
    <row r="90" spans="1:68" x14ac:dyDescent="0.25">
      <c r="A90" s="62" t="s">
        <v>292</v>
      </c>
      <c r="B90" s="63"/>
      <c r="C90" s="63"/>
      <c r="D90" s="64"/>
      <c r="E90" s="66"/>
      <c r="F90" s="102" t="str">
        <f>HYPERLINK("https://pbs.twimg.com/profile_images/1703839373878267904/JNewVGq9_normal.jpg")</f>
        <v>https://pbs.twimg.com/profile_images/1703839373878267904/JNewVGq9_normal.jpg</v>
      </c>
      <c r="G90" s="63"/>
      <c r="H90" s="67"/>
      <c r="I90" s="68"/>
      <c r="J90" s="68"/>
      <c r="K90" s="67" t="s">
        <v>18793</v>
      </c>
      <c r="L90" s="71"/>
      <c r="M90" s="72"/>
      <c r="N90" s="72"/>
      <c r="O90" s="73"/>
      <c r="P90" s="74"/>
      <c r="Q90" s="74"/>
      <c r="R90" s="86"/>
      <c r="S90" s="86"/>
      <c r="T90" s="86"/>
      <c r="U90" s="86"/>
      <c r="V90" s="48"/>
      <c r="W90" s="48"/>
      <c r="X90" s="48"/>
      <c r="Y90" s="48"/>
      <c r="Z90" s="47"/>
      <c r="AA90" s="69">
        <v>90</v>
      </c>
      <c r="AB90" s="69"/>
      <c r="AC90" s="70"/>
      <c r="AD90" s="76" t="s">
        <v>16524</v>
      </c>
      <c r="AE90" s="81" t="s">
        <v>16143</v>
      </c>
      <c r="AF90" s="76">
        <v>3738</v>
      </c>
      <c r="AG90" s="76">
        <v>4970</v>
      </c>
      <c r="AH90" s="76">
        <v>11063</v>
      </c>
      <c r="AI90" s="76">
        <v>0</v>
      </c>
      <c r="AJ90" s="76">
        <v>11007</v>
      </c>
      <c r="AK90" s="76">
        <v>4031</v>
      </c>
      <c r="AL90" s="76" t="b">
        <v>0</v>
      </c>
      <c r="AM90" s="78">
        <v>44565.547905092593</v>
      </c>
      <c r="AN90" s="76" t="s">
        <v>17428</v>
      </c>
      <c r="AO90" s="76" t="s">
        <v>17726</v>
      </c>
      <c r="AP90" s="76"/>
      <c r="AQ90" s="76"/>
      <c r="AR90" s="76"/>
      <c r="AS90" s="76"/>
      <c r="AT90" s="76"/>
      <c r="AU90" s="76"/>
      <c r="AV90" s="76">
        <v>1.4791420944511301E+18</v>
      </c>
      <c r="AW90" s="76"/>
      <c r="AX90" s="76" t="b">
        <v>0</v>
      </c>
      <c r="AY90" s="76"/>
      <c r="AZ90" s="76"/>
      <c r="BA90" s="76" t="b">
        <v>0</v>
      </c>
      <c r="BB90" s="76" t="b">
        <v>1</v>
      </c>
      <c r="BC90" s="76" t="b">
        <v>1</v>
      </c>
      <c r="BD90" s="76" t="b">
        <v>0</v>
      </c>
      <c r="BE90" s="76" t="b">
        <v>1</v>
      </c>
      <c r="BF90" s="76" t="b">
        <v>0</v>
      </c>
      <c r="BG90" s="76" t="b">
        <v>1</v>
      </c>
      <c r="BH90" s="83" t="str">
        <f>HYPERLINK("https://pbs.twimg.com/profile_banners/1478351951867912195/1641303069")</f>
        <v>https://pbs.twimg.com/profile_banners/1478351951867912195/1641303069</v>
      </c>
      <c r="BI90" s="76"/>
      <c r="BJ90" s="76" t="s">
        <v>18704</v>
      </c>
      <c r="BK90" s="76" t="b">
        <v>0</v>
      </c>
      <c r="BL90" s="76"/>
      <c r="BM90" s="76" t="s">
        <v>66</v>
      </c>
      <c r="BN90" s="76" t="s">
        <v>18706</v>
      </c>
      <c r="BO90" s="83" t="str">
        <f>HYPERLINK("https://twitter.com/betorossi7")</f>
        <v>https://twitter.com/betorossi7</v>
      </c>
      <c r="BP90" s="2"/>
    </row>
    <row r="91" spans="1:68" x14ac:dyDescent="0.25">
      <c r="A91" s="62" t="s">
        <v>754</v>
      </c>
      <c r="B91" s="63"/>
      <c r="C91" s="63"/>
      <c r="D91" s="64"/>
      <c r="E91" s="66"/>
      <c r="F91" s="102" t="str">
        <f>HYPERLINK("https://pbs.twimg.com/profile_images/1588374846802739203/ZviXW9yB_normal.jpg")</f>
        <v>https://pbs.twimg.com/profile_images/1588374846802739203/ZviXW9yB_normal.jpg</v>
      </c>
      <c r="G91" s="63"/>
      <c r="H91" s="67"/>
      <c r="I91" s="68"/>
      <c r="J91" s="68"/>
      <c r="K91" s="67" t="s">
        <v>18794</v>
      </c>
      <c r="L91" s="71"/>
      <c r="M91" s="72"/>
      <c r="N91" s="72"/>
      <c r="O91" s="73"/>
      <c r="P91" s="74"/>
      <c r="Q91" s="74"/>
      <c r="R91" s="86"/>
      <c r="S91" s="86"/>
      <c r="T91" s="86"/>
      <c r="U91" s="86"/>
      <c r="V91" s="48"/>
      <c r="W91" s="48"/>
      <c r="X91" s="48"/>
      <c r="Y91" s="48"/>
      <c r="Z91" s="47"/>
      <c r="AA91" s="69">
        <v>91</v>
      </c>
      <c r="AB91" s="69"/>
      <c r="AC91" s="70"/>
      <c r="AD91" s="76" t="s">
        <v>16525</v>
      </c>
      <c r="AE91" s="81" t="s">
        <v>15917</v>
      </c>
      <c r="AF91" s="76">
        <v>39635</v>
      </c>
      <c r="AG91" s="76">
        <v>6221</v>
      </c>
      <c r="AH91" s="76">
        <v>24909</v>
      </c>
      <c r="AI91" s="76">
        <v>243</v>
      </c>
      <c r="AJ91" s="76">
        <v>10968</v>
      </c>
      <c r="AK91" s="76">
        <v>9623</v>
      </c>
      <c r="AL91" s="76" t="b">
        <v>0</v>
      </c>
      <c r="AM91" s="78">
        <v>40070.822685185187</v>
      </c>
      <c r="AN91" s="76" t="s">
        <v>17429</v>
      </c>
      <c r="AO91" s="76" t="s">
        <v>17727</v>
      </c>
      <c r="AP91" s="83" t="str">
        <f>HYPERLINK("https://t.co/NLZfnK2dWT")</f>
        <v>https://t.co/NLZfnK2dWT</v>
      </c>
      <c r="AQ91" s="83" t="str">
        <f>HYPERLINK("https://linktr.ee/alencarsantana13")</f>
        <v>https://linktr.ee/alencarsantana13</v>
      </c>
      <c r="AR91" s="76" t="s">
        <v>18298</v>
      </c>
      <c r="AS91" s="76"/>
      <c r="AT91" s="76"/>
      <c r="AU91" s="76"/>
      <c r="AV91" s="76">
        <v>1.6150890583295301E+18</v>
      </c>
      <c r="AW91" s="83" t="str">
        <f>HYPERLINK("https://t.co/NLZfnK2dWT")</f>
        <v>https://t.co/NLZfnK2dWT</v>
      </c>
      <c r="AX91" s="76" t="b">
        <v>0</v>
      </c>
      <c r="AY91" s="76"/>
      <c r="AZ91" s="76"/>
      <c r="BA91" s="76" t="b">
        <v>0</v>
      </c>
      <c r="BB91" s="76" t="b">
        <v>1</v>
      </c>
      <c r="BC91" s="76" t="b">
        <v>0</v>
      </c>
      <c r="BD91" s="76" t="b">
        <v>0</v>
      </c>
      <c r="BE91" s="76" t="b">
        <v>1</v>
      </c>
      <c r="BF91" s="76" t="b">
        <v>0</v>
      </c>
      <c r="BG91" s="76" t="b">
        <v>0</v>
      </c>
      <c r="BH91" s="83" t="str">
        <f>HYPERLINK("https://pbs.twimg.com/profile_banners/74243131/1667533072")</f>
        <v>https://pbs.twimg.com/profile_banners/74243131/1667533072</v>
      </c>
      <c r="BI91" s="76"/>
      <c r="BJ91" s="76" t="s">
        <v>18704</v>
      </c>
      <c r="BK91" s="76" t="b">
        <v>0</v>
      </c>
      <c r="BL91" s="76"/>
      <c r="BM91" s="76" t="s">
        <v>65</v>
      </c>
      <c r="BN91" s="76" t="s">
        <v>18706</v>
      </c>
      <c r="BO91" s="83" t="str">
        <f>HYPERLINK("https://twitter.com/alencarbraga13")</f>
        <v>https://twitter.com/alencarbraga13</v>
      </c>
      <c r="BP91" s="2"/>
    </row>
    <row r="92" spans="1:68" x14ac:dyDescent="0.25">
      <c r="A92" s="62" t="s">
        <v>293</v>
      </c>
      <c r="B92" s="63"/>
      <c r="C92" s="63"/>
      <c r="D92" s="64"/>
      <c r="E92" s="66"/>
      <c r="F92" s="102" t="str">
        <f>HYPERLINK("https://pbs.twimg.com/profile_images/1579950136003895296/pk5m1FTe_normal.jpg")</f>
        <v>https://pbs.twimg.com/profile_images/1579950136003895296/pk5m1FTe_normal.jpg</v>
      </c>
      <c r="G92" s="63"/>
      <c r="H92" s="67"/>
      <c r="I92" s="68"/>
      <c r="J92" s="68"/>
      <c r="K92" s="67" t="s">
        <v>18795</v>
      </c>
      <c r="L92" s="71"/>
      <c r="M92" s="72"/>
      <c r="N92" s="72"/>
      <c r="O92" s="73"/>
      <c r="P92" s="74"/>
      <c r="Q92" s="74"/>
      <c r="R92" s="86"/>
      <c r="S92" s="86"/>
      <c r="T92" s="86"/>
      <c r="U92" s="86"/>
      <c r="V92" s="48"/>
      <c r="W92" s="48"/>
      <c r="X92" s="48"/>
      <c r="Y92" s="48"/>
      <c r="Z92" s="47"/>
      <c r="AA92" s="69">
        <v>92</v>
      </c>
      <c r="AB92" s="69"/>
      <c r="AC92" s="70"/>
      <c r="AD92" s="76" t="s">
        <v>16526</v>
      </c>
      <c r="AE92" s="81" t="s">
        <v>16144</v>
      </c>
      <c r="AF92" s="76">
        <v>57</v>
      </c>
      <c r="AG92" s="76">
        <v>230</v>
      </c>
      <c r="AH92" s="76">
        <v>991</v>
      </c>
      <c r="AI92" s="76">
        <v>1</v>
      </c>
      <c r="AJ92" s="76">
        <v>1207</v>
      </c>
      <c r="AK92" s="76">
        <v>171</v>
      </c>
      <c r="AL92" s="76" t="b">
        <v>0</v>
      </c>
      <c r="AM92" s="78">
        <v>44047.137557870374</v>
      </c>
      <c r="AN92" s="76"/>
      <c r="AO92" s="76" t="s">
        <v>17728</v>
      </c>
      <c r="AP92" s="83" t="str">
        <f>HYPERLINK("https://t.co/SsqvVDNAj4")</f>
        <v>https://t.co/SsqvVDNAj4</v>
      </c>
      <c r="AQ92" s="83" t="str">
        <f>HYPERLINK("http://www.youtube.com/@grdotrader")</f>
        <v>http://www.youtube.com/@grdotrader</v>
      </c>
      <c r="AR92" s="76" t="s">
        <v>18299</v>
      </c>
      <c r="AS92" s="76"/>
      <c r="AT92" s="76"/>
      <c r="AU92" s="76"/>
      <c r="AV92" s="76">
        <v>1.6097032440618801E+18</v>
      </c>
      <c r="AW92" s="83" t="str">
        <f>HYPERLINK("https://t.co/SsqvVDNAj4")</f>
        <v>https://t.co/SsqvVDNAj4</v>
      </c>
      <c r="AX92" s="76" t="b">
        <v>0</v>
      </c>
      <c r="AY92" s="76"/>
      <c r="AZ92" s="76"/>
      <c r="BA92" s="76" t="b">
        <v>0</v>
      </c>
      <c r="BB92" s="76" t="b">
        <v>1</v>
      </c>
      <c r="BC92" s="76" t="b">
        <v>1</v>
      </c>
      <c r="BD92" s="76" t="b">
        <v>0</v>
      </c>
      <c r="BE92" s="76" t="b">
        <v>1</v>
      </c>
      <c r="BF92" s="76" t="b">
        <v>0</v>
      </c>
      <c r="BG92" s="76" t="b">
        <v>0</v>
      </c>
      <c r="BH92" s="83" t="str">
        <f>HYPERLINK("https://pbs.twimg.com/profile_banners/1290487068112457731/1665524465")</f>
        <v>https://pbs.twimg.com/profile_banners/1290487068112457731/1665524465</v>
      </c>
      <c r="BI92" s="76"/>
      <c r="BJ92" s="76" t="s">
        <v>18704</v>
      </c>
      <c r="BK92" s="76" t="b">
        <v>0</v>
      </c>
      <c r="BL92" s="76"/>
      <c r="BM92" s="76" t="s">
        <v>66</v>
      </c>
      <c r="BN92" s="76" t="s">
        <v>18706</v>
      </c>
      <c r="BO92" s="83" t="str">
        <f>HYPERLINK("https://twitter.com/grdotrader")</f>
        <v>https://twitter.com/grdotrader</v>
      </c>
      <c r="BP92" s="2"/>
    </row>
    <row r="93" spans="1:68" x14ac:dyDescent="0.25">
      <c r="A93" s="62" t="s">
        <v>755</v>
      </c>
      <c r="B93" s="63"/>
      <c r="C93" s="63"/>
      <c r="D93" s="64"/>
      <c r="E93" s="66"/>
      <c r="F93" s="102" t="str">
        <f>HYPERLINK("https://pbs.twimg.com/profile_images/1427292844612595720/RC1YSvuT_normal.jpg")</f>
        <v>https://pbs.twimg.com/profile_images/1427292844612595720/RC1YSvuT_normal.jpg</v>
      </c>
      <c r="G93" s="63"/>
      <c r="H93" s="67"/>
      <c r="I93" s="68"/>
      <c r="J93" s="68"/>
      <c r="K93" s="67" t="s">
        <v>18796</v>
      </c>
      <c r="L93" s="71"/>
      <c r="M93" s="72"/>
      <c r="N93" s="72"/>
      <c r="O93" s="73"/>
      <c r="P93" s="74"/>
      <c r="Q93" s="74"/>
      <c r="R93" s="86"/>
      <c r="S93" s="86"/>
      <c r="T93" s="86"/>
      <c r="U93" s="86"/>
      <c r="V93" s="48"/>
      <c r="W93" s="48"/>
      <c r="X93" s="48"/>
      <c r="Y93" s="48"/>
      <c r="Z93" s="47"/>
      <c r="AA93" s="69">
        <v>93</v>
      </c>
      <c r="AB93" s="69"/>
      <c r="AC93" s="70"/>
      <c r="AD93" s="76" t="s">
        <v>16527</v>
      </c>
      <c r="AE93" s="81" t="s">
        <v>17135</v>
      </c>
      <c r="AF93" s="76">
        <v>79308941</v>
      </c>
      <c r="AG93" s="76">
        <v>1179</v>
      </c>
      <c r="AH93" s="76">
        <v>56607</v>
      </c>
      <c r="AI93" s="76">
        <v>79876</v>
      </c>
      <c r="AJ93" s="76">
        <v>6177</v>
      </c>
      <c r="AK93" s="76">
        <v>15682</v>
      </c>
      <c r="AL93" s="76" t="b">
        <v>0</v>
      </c>
      <c r="AM93" s="78">
        <v>39399.905393518522</v>
      </c>
      <c r="AN93" s="76" t="s">
        <v>17430</v>
      </c>
      <c r="AO93" s="76" t="s">
        <v>17729</v>
      </c>
      <c r="AP93" s="83" t="str">
        <f>HYPERLINK("https://t.co/bUisN3Y1A6")</f>
        <v>https://t.co/bUisN3Y1A6</v>
      </c>
      <c r="AQ93" s="83" t="str">
        <f>HYPERLINK("http://youtube.com")</f>
        <v>http://youtube.com</v>
      </c>
      <c r="AR93" s="76" t="s">
        <v>6480</v>
      </c>
      <c r="AS93" s="76"/>
      <c r="AT93" s="76"/>
      <c r="AU93" s="76"/>
      <c r="AV93" s="76"/>
      <c r="AW93" s="83" t="str">
        <f>HYPERLINK("https://t.co/bUisN3Y1A6")</f>
        <v>https://t.co/bUisN3Y1A6</v>
      </c>
      <c r="AX93" s="76" t="b">
        <v>1</v>
      </c>
      <c r="AY93" s="76"/>
      <c r="AZ93" s="76"/>
      <c r="BA93" s="76" t="b">
        <v>0</v>
      </c>
      <c r="BB93" s="76" t="b">
        <v>1</v>
      </c>
      <c r="BC93" s="76" t="b">
        <v>0</v>
      </c>
      <c r="BD93" s="76" t="b">
        <v>0</v>
      </c>
      <c r="BE93" s="76" t="b">
        <v>1</v>
      </c>
      <c r="BF93" s="76" t="b">
        <v>0</v>
      </c>
      <c r="BG93" s="76" t="b">
        <v>0</v>
      </c>
      <c r="BH93" s="83" t="str">
        <f>HYPERLINK("https://pbs.twimg.com/profile_banners/10228272/1694793799")</f>
        <v>https://pbs.twimg.com/profile_banners/10228272/1694793799</v>
      </c>
      <c r="BI93" s="76"/>
      <c r="BJ93" s="76" t="s">
        <v>18705</v>
      </c>
      <c r="BK93" s="76" t="b">
        <v>0</v>
      </c>
      <c r="BL93" s="76"/>
      <c r="BM93" s="76" t="s">
        <v>65</v>
      </c>
      <c r="BN93" s="76" t="s">
        <v>18706</v>
      </c>
      <c r="BO93" s="83" t="str">
        <f>HYPERLINK("https://twitter.com/youtube")</f>
        <v>https://twitter.com/youtube</v>
      </c>
      <c r="BP93" s="2"/>
    </row>
    <row r="94" spans="1:68" x14ac:dyDescent="0.25">
      <c r="A94" s="62" t="s">
        <v>294</v>
      </c>
      <c r="B94" s="63"/>
      <c r="C94" s="63"/>
      <c r="D94" s="64"/>
      <c r="E94" s="66"/>
      <c r="F94" s="102" t="str">
        <f>HYPERLINK("https://abs.twimg.com/sticky/default_profile_images/default_profile_normal.png")</f>
        <v>https://abs.twimg.com/sticky/default_profile_images/default_profile_normal.png</v>
      </c>
      <c r="G94" s="63"/>
      <c r="H94" s="67"/>
      <c r="I94" s="68"/>
      <c r="J94" s="68"/>
      <c r="K94" s="67" t="s">
        <v>18797</v>
      </c>
      <c r="L94" s="71"/>
      <c r="M94" s="72"/>
      <c r="N94" s="72"/>
      <c r="O94" s="73"/>
      <c r="P94" s="74"/>
      <c r="Q94" s="74"/>
      <c r="R94" s="86"/>
      <c r="S94" s="86"/>
      <c r="T94" s="86"/>
      <c r="U94" s="86"/>
      <c r="V94" s="48"/>
      <c r="W94" s="48"/>
      <c r="X94" s="48"/>
      <c r="Y94" s="48"/>
      <c r="Z94" s="47"/>
      <c r="AA94" s="69">
        <v>94</v>
      </c>
      <c r="AB94" s="69"/>
      <c r="AC94" s="70"/>
      <c r="AD94" s="76" t="s">
        <v>16528</v>
      </c>
      <c r="AE94" s="81" t="s">
        <v>17136</v>
      </c>
      <c r="AF94" s="76">
        <v>216</v>
      </c>
      <c r="AG94" s="76">
        <v>1334</v>
      </c>
      <c r="AH94" s="76">
        <v>2431</v>
      </c>
      <c r="AI94" s="76">
        <v>2</v>
      </c>
      <c r="AJ94" s="76">
        <v>2095</v>
      </c>
      <c r="AK94" s="76">
        <v>4</v>
      </c>
      <c r="AL94" s="76" t="b">
        <v>0</v>
      </c>
      <c r="AM94" s="78">
        <v>39982.682708333334</v>
      </c>
      <c r="AN94" s="76" t="s">
        <v>17431</v>
      </c>
      <c r="AO94" s="76"/>
      <c r="AP94" s="76"/>
      <c r="AQ94" s="76"/>
      <c r="AR94" s="76"/>
      <c r="AS94" s="76"/>
      <c r="AT94" s="76"/>
      <c r="AU94" s="76"/>
      <c r="AV94" s="76"/>
      <c r="AW94" s="76"/>
      <c r="AX94" s="76" t="b">
        <v>0</v>
      </c>
      <c r="AY94" s="76"/>
      <c r="AZ94" s="76"/>
      <c r="BA94" s="76" t="b">
        <v>1</v>
      </c>
      <c r="BB94" s="76" t="b">
        <v>1</v>
      </c>
      <c r="BC94" s="76" t="b">
        <v>1</v>
      </c>
      <c r="BD94" s="76" t="b">
        <v>1</v>
      </c>
      <c r="BE94" s="76" t="b">
        <v>1</v>
      </c>
      <c r="BF94" s="76" t="b">
        <v>0</v>
      </c>
      <c r="BG94" s="76" t="b">
        <v>0</v>
      </c>
      <c r="BH94" s="76"/>
      <c r="BI94" s="76"/>
      <c r="BJ94" s="76" t="s">
        <v>18704</v>
      </c>
      <c r="BK94" s="76" t="b">
        <v>0</v>
      </c>
      <c r="BL94" s="76"/>
      <c r="BM94" s="76" t="s">
        <v>66</v>
      </c>
      <c r="BN94" s="76" t="s">
        <v>18706</v>
      </c>
      <c r="BO94" s="83" t="str">
        <f>HYPERLINK("https://twitter.com/gandres1982")</f>
        <v>https://twitter.com/gandres1982</v>
      </c>
      <c r="BP94" s="2"/>
    </row>
    <row r="95" spans="1:68" x14ac:dyDescent="0.25">
      <c r="A95" s="62" t="s">
        <v>295</v>
      </c>
      <c r="B95" s="63"/>
      <c r="C95" s="63"/>
      <c r="D95" s="64"/>
      <c r="E95" s="66"/>
      <c r="F95" s="102" t="str">
        <f>HYPERLINK("https://pbs.twimg.com/profile_images/1436091800889053190/9wG0hnVI_normal.jpg")</f>
        <v>https://pbs.twimg.com/profile_images/1436091800889053190/9wG0hnVI_normal.jpg</v>
      </c>
      <c r="G95" s="63"/>
      <c r="H95" s="67"/>
      <c r="I95" s="68"/>
      <c r="J95" s="68"/>
      <c r="K95" s="67" t="s">
        <v>18798</v>
      </c>
      <c r="L95" s="71"/>
      <c r="M95" s="72"/>
      <c r="N95" s="72"/>
      <c r="O95" s="73"/>
      <c r="P95" s="74"/>
      <c r="Q95" s="74"/>
      <c r="R95" s="86"/>
      <c r="S95" s="86"/>
      <c r="T95" s="86"/>
      <c r="U95" s="86"/>
      <c r="V95" s="48"/>
      <c r="W95" s="48"/>
      <c r="X95" s="48"/>
      <c r="Y95" s="48"/>
      <c r="Z95" s="47"/>
      <c r="AA95" s="69">
        <v>95</v>
      </c>
      <c r="AB95" s="69"/>
      <c r="AC95" s="70"/>
      <c r="AD95" s="76" t="s">
        <v>16529</v>
      </c>
      <c r="AE95" s="81" t="s">
        <v>15918</v>
      </c>
      <c r="AF95" s="76">
        <v>4</v>
      </c>
      <c r="AG95" s="76">
        <v>173</v>
      </c>
      <c r="AH95" s="76">
        <v>93</v>
      </c>
      <c r="AI95" s="76">
        <v>0</v>
      </c>
      <c r="AJ95" s="76">
        <v>668</v>
      </c>
      <c r="AK95" s="76">
        <v>29</v>
      </c>
      <c r="AL95" s="76" t="b">
        <v>0</v>
      </c>
      <c r="AM95" s="78">
        <v>42920.954560185186</v>
      </c>
      <c r="AN95" s="76"/>
      <c r="AO95" s="76" t="s">
        <v>17730</v>
      </c>
      <c r="AP95" s="76"/>
      <c r="AQ95" s="76"/>
      <c r="AR95" s="76"/>
      <c r="AS95" s="76"/>
      <c r="AT95" s="76"/>
      <c r="AU95" s="76"/>
      <c r="AV95" s="76"/>
      <c r="AW95" s="76"/>
      <c r="AX95" s="76" t="b">
        <v>0</v>
      </c>
      <c r="AY95" s="76"/>
      <c r="AZ95" s="76"/>
      <c r="BA95" s="76" t="b">
        <v>0</v>
      </c>
      <c r="BB95" s="76" t="b">
        <v>1</v>
      </c>
      <c r="BC95" s="76" t="b">
        <v>1</v>
      </c>
      <c r="BD95" s="76" t="b">
        <v>0</v>
      </c>
      <c r="BE95" s="76" t="b">
        <v>0</v>
      </c>
      <c r="BF95" s="76" t="b">
        <v>0</v>
      </c>
      <c r="BG95" s="76" t="b">
        <v>0</v>
      </c>
      <c r="BH95" s="83" t="str">
        <f>HYPERLINK("https://pbs.twimg.com/profile_banners/882372087696039939/1631226013")</f>
        <v>https://pbs.twimg.com/profile_banners/882372087696039939/1631226013</v>
      </c>
      <c r="BI95" s="76"/>
      <c r="BJ95" s="76" t="s">
        <v>18704</v>
      </c>
      <c r="BK95" s="76" t="b">
        <v>0</v>
      </c>
      <c r="BL95" s="76"/>
      <c r="BM95" s="76" t="s">
        <v>66</v>
      </c>
      <c r="BN95" s="76" t="s">
        <v>18706</v>
      </c>
      <c r="BO95" s="83" t="str">
        <f>HYPERLINK("https://twitter.com/ylearth")</f>
        <v>https://twitter.com/ylearth</v>
      </c>
      <c r="BP95" s="2"/>
    </row>
    <row r="96" spans="1:68" x14ac:dyDescent="0.25">
      <c r="A96" s="62" t="s">
        <v>296</v>
      </c>
      <c r="B96" s="63"/>
      <c r="C96" s="63"/>
      <c r="D96" s="64"/>
      <c r="E96" s="66"/>
      <c r="F96" s="102" t="str">
        <f>HYPERLINK("https://pbs.twimg.com/profile_images/1552927120350904320/bSlniNW1_normal.jpg")</f>
        <v>https://pbs.twimg.com/profile_images/1552927120350904320/bSlniNW1_normal.jpg</v>
      </c>
      <c r="G96" s="63"/>
      <c r="H96" s="67"/>
      <c r="I96" s="68"/>
      <c r="J96" s="68"/>
      <c r="K96" s="67" t="s">
        <v>18799</v>
      </c>
      <c r="L96" s="71"/>
      <c r="M96" s="72"/>
      <c r="N96" s="72"/>
      <c r="O96" s="73"/>
      <c r="P96" s="74"/>
      <c r="Q96" s="74"/>
      <c r="R96" s="86"/>
      <c r="S96" s="86"/>
      <c r="T96" s="86"/>
      <c r="U96" s="86"/>
      <c r="V96" s="48"/>
      <c r="W96" s="48"/>
      <c r="X96" s="48"/>
      <c r="Y96" s="48"/>
      <c r="Z96" s="47"/>
      <c r="AA96" s="69">
        <v>96</v>
      </c>
      <c r="AB96" s="69"/>
      <c r="AC96" s="70"/>
      <c r="AD96" s="76" t="s">
        <v>16530</v>
      </c>
      <c r="AE96" s="81" t="s">
        <v>17137</v>
      </c>
      <c r="AF96" s="76">
        <v>1055</v>
      </c>
      <c r="AG96" s="76">
        <v>1510</v>
      </c>
      <c r="AH96" s="76">
        <v>9088</v>
      </c>
      <c r="AI96" s="76">
        <v>43</v>
      </c>
      <c r="AJ96" s="76">
        <v>4113</v>
      </c>
      <c r="AK96" s="76">
        <v>1883</v>
      </c>
      <c r="AL96" s="76" t="b">
        <v>0</v>
      </c>
      <c r="AM96" s="78">
        <v>41692.68372685185</v>
      </c>
      <c r="AN96" s="76" t="s">
        <v>17419</v>
      </c>
      <c r="AO96" s="76" t="s">
        <v>17731</v>
      </c>
      <c r="AP96" s="83" t="str">
        <f>HYPERLINK("https://t.co/49EE3lNbcl")</f>
        <v>https://t.co/49EE3lNbcl</v>
      </c>
      <c r="AQ96" s="83" t="str">
        <f>HYPERLINK("http://www.gsgbusinesshub.com/")</f>
        <v>http://www.gsgbusinesshub.com/</v>
      </c>
      <c r="AR96" s="76" t="s">
        <v>18300</v>
      </c>
      <c r="AS96" s="76"/>
      <c r="AT96" s="76"/>
      <c r="AU96" s="76"/>
      <c r="AV96" s="76">
        <v>1.3112586410356401E+18</v>
      </c>
      <c r="AW96" s="83" t="str">
        <f>HYPERLINK("https://t.co/49EE3lNbcl")</f>
        <v>https://t.co/49EE3lNbcl</v>
      </c>
      <c r="AX96" s="76" t="b">
        <v>1</v>
      </c>
      <c r="AY96" s="76"/>
      <c r="AZ96" s="76"/>
      <c r="BA96" s="76" t="b">
        <v>0</v>
      </c>
      <c r="BB96" s="76" t="b">
        <v>1</v>
      </c>
      <c r="BC96" s="76" t="b">
        <v>0</v>
      </c>
      <c r="BD96" s="76" t="b">
        <v>0</v>
      </c>
      <c r="BE96" s="76" t="b">
        <v>0</v>
      </c>
      <c r="BF96" s="76" t="b">
        <v>0</v>
      </c>
      <c r="BG96" s="76" t="b">
        <v>0</v>
      </c>
      <c r="BH96" s="83" t="str">
        <f>HYPERLINK("https://pbs.twimg.com/profile_banners/2356584932/1659081610")</f>
        <v>https://pbs.twimg.com/profile_banners/2356584932/1659081610</v>
      </c>
      <c r="BI96" s="76"/>
      <c r="BJ96" s="76" t="s">
        <v>18704</v>
      </c>
      <c r="BK96" s="76" t="b">
        <v>0</v>
      </c>
      <c r="BL96" s="76"/>
      <c r="BM96" s="76" t="s">
        <v>66</v>
      </c>
      <c r="BN96" s="76" t="s">
        <v>18706</v>
      </c>
      <c r="BO96" s="83" t="str">
        <f>HYPERLINK("https://twitter.com/gsgbusinessh")</f>
        <v>https://twitter.com/gsgbusinessh</v>
      </c>
      <c r="BP96" s="2"/>
    </row>
    <row r="97" spans="1:68" x14ac:dyDescent="0.25">
      <c r="A97" s="62" t="s">
        <v>756</v>
      </c>
      <c r="B97" s="63"/>
      <c r="C97" s="63"/>
      <c r="D97" s="64"/>
      <c r="E97" s="66"/>
      <c r="F97" s="102" t="str">
        <f>HYPERLINK("https://pbs.twimg.com/profile_images/1197841135709892609/8FL4UZNQ_normal.jpg")</f>
        <v>https://pbs.twimg.com/profile_images/1197841135709892609/8FL4UZNQ_normal.jpg</v>
      </c>
      <c r="G97" s="63"/>
      <c r="H97" s="67"/>
      <c r="I97" s="68"/>
      <c r="J97" s="68"/>
      <c r="K97" s="67" t="s">
        <v>18800</v>
      </c>
      <c r="L97" s="71"/>
      <c r="M97" s="72"/>
      <c r="N97" s="72"/>
      <c r="O97" s="73"/>
      <c r="P97" s="74"/>
      <c r="Q97" s="74"/>
      <c r="R97" s="86"/>
      <c r="S97" s="86"/>
      <c r="T97" s="86"/>
      <c r="U97" s="86"/>
      <c r="V97" s="48"/>
      <c r="W97" s="48"/>
      <c r="X97" s="48"/>
      <c r="Y97" s="48"/>
      <c r="Z97" s="47"/>
      <c r="AA97" s="69">
        <v>97</v>
      </c>
      <c r="AB97" s="69"/>
      <c r="AC97" s="70"/>
      <c r="AD97" s="76" t="s">
        <v>16531</v>
      </c>
      <c r="AE97" s="81" t="s">
        <v>17138</v>
      </c>
      <c r="AF97" s="76">
        <v>60686</v>
      </c>
      <c r="AG97" s="76">
        <v>397</v>
      </c>
      <c r="AH97" s="76">
        <v>418451</v>
      </c>
      <c r="AI97" s="76">
        <v>1926</v>
      </c>
      <c r="AJ97" s="76">
        <v>1839</v>
      </c>
      <c r="AK97" s="76">
        <v>116125</v>
      </c>
      <c r="AL97" s="76" t="b">
        <v>0</v>
      </c>
      <c r="AM97" s="78">
        <v>40023.916307870371</v>
      </c>
      <c r="AN97" s="76" t="s">
        <v>17419</v>
      </c>
      <c r="AO97" s="76" t="s">
        <v>17732</v>
      </c>
      <c r="AP97" s="83" t="str">
        <f>HYPERLINK("http://t.co/OWdjxr2aFs")</f>
        <v>http://t.co/OWdjxr2aFs</v>
      </c>
      <c r="AQ97" s="83" t="str">
        <f>HYPERLINK("http://www.bolsamania.com")</f>
        <v>http://www.bolsamania.com</v>
      </c>
      <c r="AR97" s="76" t="s">
        <v>18301</v>
      </c>
      <c r="AS97" s="76"/>
      <c r="AT97" s="76"/>
      <c r="AU97" s="76"/>
      <c r="AV97" s="76"/>
      <c r="AW97" s="83" t="str">
        <f>HYPERLINK("http://t.co/OWdjxr2aFs")</f>
        <v>http://t.co/OWdjxr2aFs</v>
      </c>
      <c r="AX97" s="76" t="b">
        <v>0</v>
      </c>
      <c r="AY97" s="76"/>
      <c r="AZ97" s="76"/>
      <c r="BA97" s="76" t="b">
        <v>0</v>
      </c>
      <c r="BB97" s="76" t="b">
        <v>0</v>
      </c>
      <c r="BC97" s="76" t="b">
        <v>0</v>
      </c>
      <c r="BD97" s="76" t="b">
        <v>0</v>
      </c>
      <c r="BE97" s="76" t="b">
        <v>1</v>
      </c>
      <c r="BF97" s="76" t="b">
        <v>0</v>
      </c>
      <c r="BG97" s="76" t="b">
        <v>0</v>
      </c>
      <c r="BH97" s="83" t="str">
        <f>HYPERLINK("https://pbs.twimg.com/profile_banners/61307129/1539788037")</f>
        <v>https://pbs.twimg.com/profile_banners/61307129/1539788037</v>
      </c>
      <c r="BI97" s="76"/>
      <c r="BJ97" s="76" t="s">
        <v>18704</v>
      </c>
      <c r="BK97" s="76" t="b">
        <v>0</v>
      </c>
      <c r="BL97" s="76"/>
      <c r="BM97" s="76" t="s">
        <v>65</v>
      </c>
      <c r="BN97" s="76" t="s">
        <v>18706</v>
      </c>
      <c r="BO97" s="83" t="str">
        <f>HYPERLINK("https://twitter.com/bolsamania")</f>
        <v>https://twitter.com/bolsamania</v>
      </c>
      <c r="BP97" s="2"/>
    </row>
    <row r="98" spans="1:68" x14ac:dyDescent="0.25">
      <c r="A98" s="62" t="s">
        <v>757</v>
      </c>
      <c r="B98" s="63"/>
      <c r="C98" s="63"/>
      <c r="D98" s="64"/>
      <c r="E98" s="66"/>
      <c r="F98" s="102" t="str">
        <f>HYPERLINK("https://pbs.twimg.com/profile_images/1060271522319925257/fJKwJ0r2_normal.jpg")</f>
        <v>https://pbs.twimg.com/profile_images/1060271522319925257/fJKwJ0r2_normal.jpg</v>
      </c>
      <c r="G98" s="63"/>
      <c r="H98" s="67"/>
      <c r="I98" s="68"/>
      <c r="J98" s="68"/>
      <c r="K98" s="67" t="s">
        <v>18801</v>
      </c>
      <c r="L98" s="71"/>
      <c r="M98" s="72"/>
      <c r="N98" s="72"/>
      <c r="O98" s="73"/>
      <c r="P98" s="74"/>
      <c r="Q98" s="74"/>
      <c r="R98" s="86"/>
      <c r="S98" s="86"/>
      <c r="T98" s="86"/>
      <c r="U98" s="86"/>
      <c r="V98" s="48"/>
      <c r="W98" s="48"/>
      <c r="X98" s="48"/>
      <c r="Y98" s="48"/>
      <c r="Z98" s="47"/>
      <c r="AA98" s="69">
        <v>98</v>
      </c>
      <c r="AB98" s="69"/>
      <c r="AC98" s="70"/>
      <c r="AD98" s="76" t="s">
        <v>16532</v>
      </c>
      <c r="AE98" s="81" t="s">
        <v>17139</v>
      </c>
      <c r="AF98" s="76">
        <v>20032067</v>
      </c>
      <c r="AG98" s="76">
        <v>1709</v>
      </c>
      <c r="AH98" s="76">
        <v>473117</v>
      </c>
      <c r="AI98" s="76">
        <v>108933</v>
      </c>
      <c r="AJ98" s="76">
        <v>4019</v>
      </c>
      <c r="AK98" s="76">
        <v>19727</v>
      </c>
      <c r="AL98" s="76" t="b">
        <v>0</v>
      </c>
      <c r="AM98" s="78">
        <v>39168.471979166665</v>
      </c>
      <c r="AN98" s="76" t="s">
        <v>17432</v>
      </c>
      <c r="AO98" s="76" t="s">
        <v>17733</v>
      </c>
      <c r="AP98" s="83" t="str">
        <f>HYPERLINK("https://t.co/1KN78z0bbe")</f>
        <v>https://t.co/1KN78z0bbe</v>
      </c>
      <c r="AQ98" s="83" t="str">
        <f>HYPERLINK("http://washingtonpost.com")</f>
        <v>http://washingtonpost.com</v>
      </c>
      <c r="AR98" s="76" t="s">
        <v>6486</v>
      </c>
      <c r="AS98" s="76"/>
      <c r="AT98" s="76"/>
      <c r="AU98" s="76"/>
      <c r="AV98" s="76">
        <v>1.7074035485965399E+18</v>
      </c>
      <c r="AW98" s="83" t="str">
        <f>HYPERLINK("https://t.co/1KN78z0bbe")</f>
        <v>https://t.co/1KN78z0bbe</v>
      </c>
      <c r="AX98" s="76" t="b">
        <v>1</v>
      </c>
      <c r="AY98" s="76"/>
      <c r="AZ98" s="76"/>
      <c r="BA98" s="76" t="b">
        <v>0</v>
      </c>
      <c r="BB98" s="76" t="b">
        <v>0</v>
      </c>
      <c r="BC98" s="76" t="b">
        <v>0</v>
      </c>
      <c r="BD98" s="76" t="b">
        <v>0</v>
      </c>
      <c r="BE98" s="76" t="b">
        <v>1</v>
      </c>
      <c r="BF98" s="76" t="b">
        <v>0</v>
      </c>
      <c r="BG98" s="76" t="b">
        <v>0</v>
      </c>
      <c r="BH98" s="83" t="str">
        <f>HYPERLINK("https://pbs.twimg.com/profile_banners/2467791/1469484132")</f>
        <v>https://pbs.twimg.com/profile_banners/2467791/1469484132</v>
      </c>
      <c r="BI98" s="76"/>
      <c r="BJ98" s="76" t="s">
        <v>18705</v>
      </c>
      <c r="BK98" s="76" t="b">
        <v>0</v>
      </c>
      <c r="BL98" s="76"/>
      <c r="BM98" s="76" t="s">
        <v>65</v>
      </c>
      <c r="BN98" s="76" t="s">
        <v>18706</v>
      </c>
      <c r="BO98" s="83" t="str">
        <f>HYPERLINK("https://twitter.com/washingtonpost")</f>
        <v>https://twitter.com/washingtonpost</v>
      </c>
      <c r="BP98" s="2"/>
    </row>
    <row r="99" spans="1:68" x14ac:dyDescent="0.25">
      <c r="A99" s="62" t="s">
        <v>758</v>
      </c>
      <c r="B99" s="63"/>
      <c r="C99" s="63"/>
      <c r="D99" s="64"/>
      <c r="E99" s="66"/>
      <c r="F99" s="102" t="str">
        <f>HYPERLINK("https://pbs.twimg.com/profile_images/971415515754266624/zCX0q9d5_normal.jpg")</f>
        <v>https://pbs.twimg.com/profile_images/971415515754266624/zCX0q9d5_normal.jpg</v>
      </c>
      <c r="G99" s="63"/>
      <c r="H99" s="67"/>
      <c r="I99" s="68"/>
      <c r="J99" s="68"/>
      <c r="K99" s="67" t="s">
        <v>18802</v>
      </c>
      <c r="L99" s="71"/>
      <c r="M99" s="72"/>
      <c r="N99" s="72"/>
      <c r="O99" s="73"/>
      <c r="P99" s="74"/>
      <c r="Q99" s="74"/>
      <c r="R99" s="86"/>
      <c r="S99" s="86"/>
      <c r="T99" s="86"/>
      <c r="U99" s="86"/>
      <c r="V99" s="48"/>
      <c r="W99" s="48"/>
      <c r="X99" s="48"/>
      <c r="Y99" s="48"/>
      <c r="Z99" s="47"/>
      <c r="AA99" s="69">
        <v>99</v>
      </c>
      <c r="AB99" s="69"/>
      <c r="AC99" s="70"/>
      <c r="AD99" s="76" t="s">
        <v>16533</v>
      </c>
      <c r="AE99" s="81" t="s">
        <v>17140</v>
      </c>
      <c r="AF99" s="76">
        <v>20562897</v>
      </c>
      <c r="AG99" s="76">
        <v>1093</v>
      </c>
      <c r="AH99" s="76">
        <v>420040</v>
      </c>
      <c r="AI99" s="76">
        <v>128475</v>
      </c>
      <c r="AJ99" s="76">
        <v>1127</v>
      </c>
      <c r="AK99" s="76">
        <v>46381</v>
      </c>
      <c r="AL99" s="76" t="b">
        <v>0</v>
      </c>
      <c r="AM99" s="78">
        <v>39173.265428240738</v>
      </c>
      <c r="AN99" s="76" t="s">
        <v>17433</v>
      </c>
      <c r="AO99" s="76" t="s">
        <v>17734</v>
      </c>
      <c r="AP99" s="83" t="str">
        <f>HYPERLINK("https://t.co/9rMrYLEXTt")</f>
        <v>https://t.co/9rMrYLEXTt</v>
      </c>
      <c r="AQ99" s="83" t="str">
        <f>HYPERLINK("http://wsj.com")</f>
        <v>http://wsj.com</v>
      </c>
      <c r="AR99" s="76" t="s">
        <v>6487</v>
      </c>
      <c r="AS99" s="76" t="s">
        <v>18631</v>
      </c>
      <c r="AT99" s="76" t="s">
        <v>18642</v>
      </c>
      <c r="AU99" s="76" t="s">
        <v>18655</v>
      </c>
      <c r="AV99" s="76">
        <v>1.7044994690126799E+18</v>
      </c>
      <c r="AW99" s="83" t="str">
        <f>HYPERLINK("https://t.co/9rMrYLEXTt")</f>
        <v>https://t.co/9rMrYLEXTt</v>
      </c>
      <c r="AX99" s="76" t="b">
        <v>1</v>
      </c>
      <c r="AY99" s="76"/>
      <c r="AZ99" s="76"/>
      <c r="BA99" s="76" t="b">
        <v>0</v>
      </c>
      <c r="BB99" s="76" t="b">
        <v>1</v>
      </c>
      <c r="BC99" s="76" t="b">
        <v>0</v>
      </c>
      <c r="BD99" s="76" t="b">
        <v>0</v>
      </c>
      <c r="BE99" s="76" t="b">
        <v>1</v>
      </c>
      <c r="BF99" s="76" t="b">
        <v>0</v>
      </c>
      <c r="BG99" s="76" t="b">
        <v>0</v>
      </c>
      <c r="BH99" s="83" t="str">
        <f>HYPERLINK("https://pbs.twimg.com/profile_banners/3108351/1680557947")</f>
        <v>https://pbs.twimg.com/profile_banners/3108351/1680557947</v>
      </c>
      <c r="BI99" s="76"/>
      <c r="BJ99" s="76" t="s">
        <v>18705</v>
      </c>
      <c r="BK99" s="76" t="b">
        <v>0</v>
      </c>
      <c r="BL99" s="76"/>
      <c r="BM99" s="76" t="s">
        <v>65</v>
      </c>
      <c r="BN99" s="76" t="s">
        <v>18706</v>
      </c>
      <c r="BO99" s="83" t="str">
        <f>HYPERLINK("https://twitter.com/wsj")</f>
        <v>https://twitter.com/wsj</v>
      </c>
      <c r="BP99" s="2"/>
    </row>
    <row r="100" spans="1:68" x14ac:dyDescent="0.25">
      <c r="A100" s="62" t="s">
        <v>759</v>
      </c>
      <c r="B100" s="63"/>
      <c r="C100" s="63"/>
      <c r="D100" s="64"/>
      <c r="E100" s="66"/>
      <c r="F100" s="102" t="str">
        <f>HYPERLINK("https://pbs.twimg.com/profile_images/1234931009986142211/Ud7RtB2Y_normal.jpg")</f>
        <v>https://pbs.twimg.com/profile_images/1234931009986142211/Ud7RtB2Y_normal.jpg</v>
      </c>
      <c r="G100" s="63"/>
      <c r="H100" s="67"/>
      <c r="I100" s="68"/>
      <c r="J100" s="68"/>
      <c r="K100" s="67" t="s">
        <v>18803</v>
      </c>
      <c r="L100" s="71"/>
      <c r="M100" s="72"/>
      <c r="N100" s="72"/>
      <c r="O100" s="73"/>
      <c r="P100" s="74"/>
      <c r="Q100" s="74"/>
      <c r="R100" s="86"/>
      <c r="S100" s="86"/>
      <c r="T100" s="86"/>
      <c r="U100" s="86"/>
      <c r="V100" s="48"/>
      <c r="W100" s="48"/>
      <c r="X100" s="48"/>
      <c r="Y100" s="48"/>
      <c r="Z100" s="47"/>
      <c r="AA100" s="69">
        <v>100</v>
      </c>
      <c r="AB100" s="69"/>
      <c r="AC100" s="70"/>
      <c r="AD100" s="76" t="s">
        <v>16534</v>
      </c>
      <c r="AE100" s="81" t="s">
        <v>17141</v>
      </c>
      <c r="AF100" s="76">
        <v>20498</v>
      </c>
      <c r="AG100" s="76">
        <v>286</v>
      </c>
      <c r="AH100" s="76">
        <v>101204</v>
      </c>
      <c r="AI100" s="76">
        <v>447</v>
      </c>
      <c r="AJ100" s="76">
        <v>5331</v>
      </c>
      <c r="AK100" s="76">
        <v>16052</v>
      </c>
      <c r="AL100" s="76" t="b">
        <v>0</v>
      </c>
      <c r="AM100" s="78">
        <v>42423.703090277777</v>
      </c>
      <c r="AN100" s="76" t="s">
        <v>17434</v>
      </c>
      <c r="AO100" s="76" t="s">
        <v>17735</v>
      </c>
      <c r="AP100" s="83" t="str">
        <f>HYPERLINK("https://t.co/7liuHgrRqf")</f>
        <v>https://t.co/7liuHgrRqf</v>
      </c>
      <c r="AQ100" s="83" t="str">
        <f>HYPERLINK("https://www.businessinsider.es")</f>
        <v>https://www.businessinsider.es</v>
      </c>
      <c r="AR100" s="76" t="s">
        <v>6488</v>
      </c>
      <c r="AS100" s="76"/>
      <c r="AT100" s="76"/>
      <c r="AU100" s="76"/>
      <c r="AV100" s="76">
        <v>1.70727393537554E+18</v>
      </c>
      <c r="AW100" s="83" t="str">
        <f>HYPERLINK("https://t.co/7liuHgrRqf")</f>
        <v>https://t.co/7liuHgrRqf</v>
      </c>
      <c r="AX100" s="76" t="b">
        <v>1</v>
      </c>
      <c r="AY100" s="76"/>
      <c r="AZ100" s="76"/>
      <c r="BA100" s="76" t="b">
        <v>0</v>
      </c>
      <c r="BB100" s="76" t="b">
        <v>1</v>
      </c>
      <c r="BC100" s="76" t="b">
        <v>1</v>
      </c>
      <c r="BD100" s="76" t="b">
        <v>0</v>
      </c>
      <c r="BE100" s="76" t="b">
        <v>1</v>
      </c>
      <c r="BF100" s="76" t="b">
        <v>0</v>
      </c>
      <c r="BG100" s="76" t="b">
        <v>0</v>
      </c>
      <c r="BH100" s="83" t="str">
        <f>HYPERLINK("https://pbs.twimg.com/profile_banners/702174188405178368/1583758542")</f>
        <v>https://pbs.twimg.com/profile_banners/702174188405178368/1583758542</v>
      </c>
      <c r="BI100" s="76"/>
      <c r="BJ100" s="76" t="s">
        <v>18704</v>
      </c>
      <c r="BK100" s="76" t="b">
        <v>0</v>
      </c>
      <c r="BL100" s="76"/>
      <c r="BM100" s="76" t="s">
        <v>65</v>
      </c>
      <c r="BN100" s="76" t="s">
        <v>18706</v>
      </c>
      <c r="BO100" s="83" t="str">
        <f>HYPERLINK("https://twitter.com/biespana")</f>
        <v>https://twitter.com/biespana</v>
      </c>
      <c r="BP100" s="2"/>
    </row>
    <row r="101" spans="1:68" x14ac:dyDescent="0.25">
      <c r="A101" s="62" t="s">
        <v>760</v>
      </c>
      <c r="B101" s="63"/>
      <c r="C101" s="63"/>
      <c r="D101" s="64"/>
      <c r="E101" s="66"/>
      <c r="F101" s="102" t="str">
        <f>HYPERLINK("https://pbs.twimg.com/profile_images/1693657090231877634/4UP27xLq_normal.jpg")</f>
        <v>https://pbs.twimg.com/profile_images/1693657090231877634/4UP27xLq_normal.jpg</v>
      </c>
      <c r="G101" s="63"/>
      <c r="H101" s="67"/>
      <c r="I101" s="68"/>
      <c r="J101" s="68"/>
      <c r="K101" s="67" t="s">
        <v>18804</v>
      </c>
      <c r="L101" s="71"/>
      <c r="M101" s="72"/>
      <c r="N101" s="72"/>
      <c r="O101" s="73"/>
      <c r="P101" s="74"/>
      <c r="Q101" s="74"/>
      <c r="R101" s="86"/>
      <c r="S101" s="86"/>
      <c r="T101" s="86"/>
      <c r="U101" s="86"/>
      <c r="V101" s="48"/>
      <c r="W101" s="48"/>
      <c r="X101" s="48"/>
      <c r="Y101" s="48"/>
      <c r="Z101" s="47"/>
      <c r="AA101" s="69">
        <v>101</v>
      </c>
      <c r="AB101" s="69"/>
      <c r="AC101" s="70"/>
      <c r="AD101" s="76" t="s">
        <v>16535</v>
      </c>
      <c r="AE101" s="81" t="s">
        <v>17142</v>
      </c>
      <c r="AF101" s="76">
        <v>22424672</v>
      </c>
      <c r="AG101" s="76">
        <v>378</v>
      </c>
      <c r="AH101" s="76">
        <v>441041</v>
      </c>
      <c r="AI101" s="76">
        <v>52412</v>
      </c>
      <c r="AJ101" s="76">
        <v>1493</v>
      </c>
      <c r="AK101" s="76">
        <v>89983</v>
      </c>
      <c r="AL101" s="76" t="b">
        <v>0</v>
      </c>
      <c r="AM101" s="78">
        <v>39924.510266203702</v>
      </c>
      <c r="AN101" s="76" t="s">
        <v>17435</v>
      </c>
      <c r="AO101" s="76" t="s">
        <v>17736</v>
      </c>
      <c r="AP101" s="83" t="str">
        <f>HYPERLINK("https://t.co/6nHDD785lT")</f>
        <v>https://t.co/6nHDD785lT</v>
      </c>
      <c r="AQ101" s="83" t="str">
        <f>HYPERLINK("http://cnnespanol.cnn.com")</f>
        <v>http://cnnespanol.cnn.com</v>
      </c>
      <c r="AR101" s="76" t="s">
        <v>18302</v>
      </c>
      <c r="AS101" s="76"/>
      <c r="AT101" s="76"/>
      <c r="AU101" s="76"/>
      <c r="AV101" s="76"/>
      <c r="AW101" s="83" t="str">
        <f>HYPERLINK("https://t.co/6nHDD785lT")</f>
        <v>https://t.co/6nHDD785lT</v>
      </c>
      <c r="AX101" s="76" t="b">
        <v>1</v>
      </c>
      <c r="AY101" s="76"/>
      <c r="AZ101" s="76"/>
      <c r="BA101" s="76" t="b">
        <v>0</v>
      </c>
      <c r="BB101" s="76" t="b">
        <v>1</v>
      </c>
      <c r="BC101" s="76" t="b">
        <v>0</v>
      </c>
      <c r="BD101" s="76" t="b">
        <v>0</v>
      </c>
      <c r="BE101" s="76" t="b">
        <v>1</v>
      </c>
      <c r="BF101" s="76" t="b">
        <v>0</v>
      </c>
      <c r="BG101" s="76" t="b">
        <v>0</v>
      </c>
      <c r="BH101" s="83" t="str">
        <f>HYPERLINK("https://pbs.twimg.com/profile_banners/33884545/1411070627")</f>
        <v>https://pbs.twimg.com/profile_banners/33884545/1411070627</v>
      </c>
      <c r="BI101" s="76"/>
      <c r="BJ101" s="76" t="s">
        <v>18704</v>
      </c>
      <c r="BK101" s="76" t="b">
        <v>0</v>
      </c>
      <c r="BL101" s="76"/>
      <c r="BM101" s="76" t="s">
        <v>65</v>
      </c>
      <c r="BN101" s="76" t="s">
        <v>18706</v>
      </c>
      <c r="BO101" s="83" t="str">
        <f>HYPERLINK("https://twitter.com/cnnee")</f>
        <v>https://twitter.com/cnnee</v>
      </c>
      <c r="BP101" s="2"/>
    </row>
    <row r="102" spans="1:68" x14ac:dyDescent="0.25">
      <c r="A102" s="62" t="s">
        <v>716</v>
      </c>
      <c r="B102" s="63"/>
      <c r="C102" s="63"/>
      <c r="D102" s="64"/>
      <c r="E102" s="66"/>
      <c r="F102" s="102" t="str">
        <f>HYPERLINK("https://pbs.twimg.com/profile_images/1628692768519233536/fDsU2aHR_normal.png")</f>
        <v>https://pbs.twimg.com/profile_images/1628692768519233536/fDsU2aHR_normal.png</v>
      </c>
      <c r="G102" s="63"/>
      <c r="H102" s="67"/>
      <c r="I102" s="68"/>
      <c r="J102" s="68"/>
      <c r="K102" s="67" t="s">
        <v>18805</v>
      </c>
      <c r="L102" s="71"/>
      <c r="M102" s="72"/>
      <c r="N102" s="72"/>
      <c r="O102" s="73"/>
      <c r="P102" s="74"/>
      <c r="Q102" s="74"/>
      <c r="R102" s="86"/>
      <c r="S102" s="86"/>
      <c r="T102" s="86"/>
      <c r="U102" s="86"/>
      <c r="V102" s="48"/>
      <c r="W102" s="48"/>
      <c r="X102" s="48"/>
      <c r="Y102" s="48"/>
      <c r="Z102" s="47"/>
      <c r="AA102" s="69">
        <v>102</v>
      </c>
      <c r="AB102" s="69"/>
      <c r="AC102" s="70"/>
      <c r="AD102" s="76" t="s">
        <v>16536</v>
      </c>
      <c r="AE102" s="81" t="s">
        <v>17143</v>
      </c>
      <c r="AF102" s="76">
        <v>349739</v>
      </c>
      <c r="AG102" s="76">
        <v>508</v>
      </c>
      <c r="AH102" s="76">
        <v>164158</v>
      </c>
      <c r="AI102" s="76">
        <v>6891</v>
      </c>
      <c r="AJ102" s="76">
        <v>774</v>
      </c>
      <c r="AK102" s="76">
        <v>10168</v>
      </c>
      <c r="AL102" s="76" t="b">
        <v>0</v>
      </c>
      <c r="AM102" s="78">
        <v>39932.679884259262</v>
      </c>
      <c r="AN102" s="76" t="s">
        <v>17419</v>
      </c>
      <c r="AO102" s="76" t="s">
        <v>17737</v>
      </c>
      <c r="AP102" s="83" t="str">
        <f>HYPERLINK("https://t.co/HEKZ1m0c7k")</f>
        <v>https://t.co/HEKZ1m0c7k</v>
      </c>
      <c r="AQ102" s="83" t="str">
        <f>HYPERLINK("http://cincodias.elpais.com")</f>
        <v>http://cincodias.elpais.com</v>
      </c>
      <c r="AR102" s="76" t="s">
        <v>18303</v>
      </c>
      <c r="AS102" s="76"/>
      <c r="AT102" s="76"/>
      <c r="AU102" s="76"/>
      <c r="AV102" s="76"/>
      <c r="AW102" s="83" t="str">
        <f>HYPERLINK("https://t.co/HEKZ1m0c7k")</f>
        <v>https://t.co/HEKZ1m0c7k</v>
      </c>
      <c r="AX102" s="76" t="b">
        <v>0</v>
      </c>
      <c r="AY102" s="76"/>
      <c r="AZ102" s="76"/>
      <c r="BA102" s="76" t="b">
        <v>0</v>
      </c>
      <c r="BB102" s="76" t="b">
        <v>0</v>
      </c>
      <c r="BC102" s="76" t="b">
        <v>0</v>
      </c>
      <c r="BD102" s="76" t="b">
        <v>0</v>
      </c>
      <c r="BE102" s="76" t="b">
        <v>1</v>
      </c>
      <c r="BF102" s="76" t="b">
        <v>0</v>
      </c>
      <c r="BG102" s="76" t="b">
        <v>0</v>
      </c>
      <c r="BH102" s="83" t="str">
        <f>HYPERLINK("https://pbs.twimg.com/profile_banners/36397274/1677145591")</f>
        <v>https://pbs.twimg.com/profile_banners/36397274/1677145591</v>
      </c>
      <c r="BI102" s="76"/>
      <c r="BJ102" s="76" t="s">
        <v>18704</v>
      </c>
      <c r="BK102" s="76" t="b">
        <v>0</v>
      </c>
      <c r="BL102" s="76"/>
      <c r="BM102" s="76" t="s">
        <v>66</v>
      </c>
      <c r="BN102" s="76" t="s">
        <v>18706</v>
      </c>
      <c r="BO102" s="83" t="str">
        <f>HYPERLINK("https://twitter.com/cincodiascom")</f>
        <v>https://twitter.com/cincodiascom</v>
      </c>
      <c r="BP102" s="2"/>
    </row>
    <row r="103" spans="1:68" x14ac:dyDescent="0.25">
      <c r="A103" s="62" t="s">
        <v>297</v>
      </c>
      <c r="B103" s="63"/>
      <c r="C103" s="63"/>
      <c r="D103" s="64"/>
      <c r="E103" s="66"/>
      <c r="F103" s="102" t="str">
        <f>HYPERLINK("https://pbs.twimg.com/profile_images/1589247117264052225/Yyn8g1et_normal.jpg")</f>
        <v>https://pbs.twimg.com/profile_images/1589247117264052225/Yyn8g1et_normal.jpg</v>
      </c>
      <c r="G103" s="63"/>
      <c r="H103" s="67"/>
      <c r="I103" s="68"/>
      <c r="J103" s="68"/>
      <c r="K103" s="67" t="s">
        <v>18806</v>
      </c>
      <c r="L103" s="71"/>
      <c r="M103" s="72"/>
      <c r="N103" s="72"/>
      <c r="O103" s="73"/>
      <c r="P103" s="74"/>
      <c r="Q103" s="74"/>
      <c r="R103" s="86"/>
      <c r="S103" s="86"/>
      <c r="T103" s="86"/>
      <c r="U103" s="86"/>
      <c r="V103" s="48"/>
      <c r="W103" s="48"/>
      <c r="X103" s="48"/>
      <c r="Y103" s="48"/>
      <c r="Z103" s="47"/>
      <c r="AA103" s="69">
        <v>103</v>
      </c>
      <c r="AB103" s="69"/>
      <c r="AC103" s="70"/>
      <c r="AD103" s="76" t="s">
        <v>16537</v>
      </c>
      <c r="AE103" s="81" t="s">
        <v>17144</v>
      </c>
      <c r="AF103" s="76">
        <v>2738</v>
      </c>
      <c r="AG103" s="76">
        <v>954</v>
      </c>
      <c r="AH103" s="76">
        <v>30388</v>
      </c>
      <c r="AI103" s="76">
        <v>23</v>
      </c>
      <c r="AJ103" s="76">
        <v>25218</v>
      </c>
      <c r="AK103" s="76">
        <v>9103</v>
      </c>
      <c r="AL103" s="76" t="b">
        <v>0</v>
      </c>
      <c r="AM103" s="78">
        <v>40233.505567129629</v>
      </c>
      <c r="AN103" s="76" t="s">
        <v>17436</v>
      </c>
      <c r="AO103" s="76" t="s">
        <v>17738</v>
      </c>
      <c r="AP103" s="83" t="str">
        <f>HYPERLINK("https://t.co/kkDd1YkzOA")</f>
        <v>https://t.co/kkDd1YkzOA</v>
      </c>
      <c r="AQ103" s="83" t="str">
        <f>HYPERLINK("https://msha.ke/mulhernabolsa")</f>
        <v>https://msha.ke/mulhernabolsa</v>
      </c>
      <c r="AR103" s="76" t="s">
        <v>18304</v>
      </c>
      <c r="AS103" s="76"/>
      <c r="AT103" s="76"/>
      <c r="AU103" s="76"/>
      <c r="AV103" s="76">
        <v>1.2906072618665101E+18</v>
      </c>
      <c r="AW103" s="83" t="str">
        <f>HYPERLINK("https://t.co/kkDd1YkzOA")</f>
        <v>https://t.co/kkDd1YkzOA</v>
      </c>
      <c r="AX103" s="76" t="b">
        <v>1</v>
      </c>
      <c r="AY103" s="76"/>
      <c r="AZ103" s="76"/>
      <c r="BA103" s="76" t="b">
        <v>0</v>
      </c>
      <c r="BB103" s="76" t="b">
        <v>1</v>
      </c>
      <c r="BC103" s="76" t="b">
        <v>0</v>
      </c>
      <c r="BD103" s="76" t="b">
        <v>0</v>
      </c>
      <c r="BE103" s="76" t="b">
        <v>1</v>
      </c>
      <c r="BF103" s="76" t="b">
        <v>0</v>
      </c>
      <c r="BG103" s="76" t="b">
        <v>0</v>
      </c>
      <c r="BH103" s="83" t="str">
        <f>HYPERLINK("https://pbs.twimg.com/profile_banners/117060034/1667741228")</f>
        <v>https://pbs.twimg.com/profile_banners/117060034/1667741228</v>
      </c>
      <c r="BI103" s="76"/>
      <c r="BJ103" s="76" t="s">
        <v>18704</v>
      </c>
      <c r="BK103" s="76" t="b">
        <v>0</v>
      </c>
      <c r="BL103" s="76"/>
      <c r="BM103" s="76" t="s">
        <v>66</v>
      </c>
      <c r="BN103" s="76" t="s">
        <v>18706</v>
      </c>
      <c r="BO103" s="83" t="str">
        <f>HYPERLINK("https://twitter.com/carolinedaher")</f>
        <v>https://twitter.com/carolinedaher</v>
      </c>
      <c r="BP103" s="2"/>
    </row>
    <row r="104" spans="1:68" x14ac:dyDescent="0.25">
      <c r="A104" s="62" t="s">
        <v>298</v>
      </c>
      <c r="B104" s="63"/>
      <c r="C104" s="63"/>
      <c r="D104" s="64"/>
      <c r="E104" s="66"/>
      <c r="F104" s="102" t="str">
        <f>HYPERLINK("https://pbs.twimg.com/profile_images/1682646445210337281/GkU-Cdts_normal.jpg")</f>
        <v>https://pbs.twimg.com/profile_images/1682646445210337281/GkU-Cdts_normal.jpg</v>
      </c>
      <c r="G104" s="63"/>
      <c r="H104" s="67"/>
      <c r="I104" s="68"/>
      <c r="J104" s="68"/>
      <c r="K104" s="67" t="s">
        <v>18807</v>
      </c>
      <c r="L104" s="71"/>
      <c r="M104" s="72"/>
      <c r="N104" s="72"/>
      <c r="O104" s="73"/>
      <c r="P104" s="74"/>
      <c r="Q104" s="74"/>
      <c r="R104" s="86"/>
      <c r="S104" s="86"/>
      <c r="T104" s="86"/>
      <c r="U104" s="86"/>
      <c r="V104" s="48"/>
      <c r="W104" s="48"/>
      <c r="X104" s="48"/>
      <c r="Y104" s="48"/>
      <c r="Z104" s="47"/>
      <c r="AA104" s="69">
        <v>104</v>
      </c>
      <c r="AB104" s="69"/>
      <c r="AC104" s="70"/>
      <c r="AD104" s="76" t="s">
        <v>16538</v>
      </c>
      <c r="AE104" s="81" t="s">
        <v>16145</v>
      </c>
      <c r="AF104" s="76">
        <v>451</v>
      </c>
      <c r="AG104" s="76">
        <v>1802</v>
      </c>
      <c r="AH104" s="76">
        <v>89</v>
      </c>
      <c r="AI104" s="76">
        <v>0</v>
      </c>
      <c r="AJ104" s="76">
        <v>90</v>
      </c>
      <c r="AK104" s="76">
        <v>89</v>
      </c>
      <c r="AL104" s="76" t="b">
        <v>0</v>
      </c>
      <c r="AM104" s="78">
        <v>45076.816192129627</v>
      </c>
      <c r="AN104" s="76" t="s">
        <v>10586</v>
      </c>
      <c r="AO104" s="76" t="s">
        <v>17739</v>
      </c>
      <c r="AP104" s="76"/>
      <c r="AQ104" s="76"/>
      <c r="AR104" s="76"/>
      <c r="AS104" s="76"/>
      <c r="AT104" s="76"/>
      <c r="AU104" s="76"/>
      <c r="AV104" s="76"/>
      <c r="AW104" s="76"/>
      <c r="AX104" s="76" t="b">
        <v>0</v>
      </c>
      <c r="AY104" s="76"/>
      <c r="AZ104" s="76"/>
      <c r="BA104" s="76" t="b">
        <v>0</v>
      </c>
      <c r="BB104" s="76" t="b">
        <v>1</v>
      </c>
      <c r="BC104" s="76" t="b">
        <v>1</v>
      </c>
      <c r="BD104" s="76" t="b">
        <v>0</v>
      </c>
      <c r="BE104" s="76" t="b">
        <v>0</v>
      </c>
      <c r="BF104" s="76" t="b">
        <v>0</v>
      </c>
      <c r="BG104" s="76" t="b">
        <v>0</v>
      </c>
      <c r="BH104" s="83" t="str">
        <f>HYPERLINK("https://pbs.twimg.com/profile_banners/1663630088372383744/1685477310")</f>
        <v>https://pbs.twimg.com/profile_banners/1663630088372383744/1685477310</v>
      </c>
      <c r="BI104" s="76"/>
      <c r="BJ104" s="76" t="s">
        <v>18704</v>
      </c>
      <c r="BK104" s="76" t="b">
        <v>0</v>
      </c>
      <c r="BL104" s="76"/>
      <c r="BM104" s="76" t="s">
        <v>66</v>
      </c>
      <c r="BN104" s="76" t="s">
        <v>18706</v>
      </c>
      <c r="BO104" s="83" t="str">
        <f>HYPERLINK("https://twitter.com/agatatrade60180")</f>
        <v>https://twitter.com/agatatrade60180</v>
      </c>
      <c r="BP104" s="2"/>
    </row>
    <row r="105" spans="1:68" x14ac:dyDescent="0.25">
      <c r="A105" s="62" t="s">
        <v>299</v>
      </c>
      <c r="B105" s="63"/>
      <c r="C105" s="63"/>
      <c r="D105" s="64"/>
      <c r="E105" s="66"/>
      <c r="F105" s="102" t="str">
        <f>HYPERLINK("https://pbs.twimg.com/profile_images/1603545636309241856/yvqEuSnz_normal.jpg")</f>
        <v>https://pbs.twimg.com/profile_images/1603545636309241856/yvqEuSnz_normal.jpg</v>
      </c>
      <c r="G105" s="63"/>
      <c r="H105" s="67"/>
      <c r="I105" s="68"/>
      <c r="J105" s="68"/>
      <c r="K105" s="67" t="s">
        <v>18808</v>
      </c>
      <c r="L105" s="71"/>
      <c r="M105" s="72"/>
      <c r="N105" s="72"/>
      <c r="O105" s="73"/>
      <c r="P105" s="74"/>
      <c r="Q105" s="74"/>
      <c r="R105" s="86"/>
      <c r="S105" s="86"/>
      <c r="T105" s="86"/>
      <c r="U105" s="86"/>
      <c r="V105" s="48"/>
      <c r="W105" s="48"/>
      <c r="X105" s="48"/>
      <c r="Y105" s="48"/>
      <c r="Z105" s="47"/>
      <c r="AA105" s="69">
        <v>105</v>
      </c>
      <c r="AB105" s="69"/>
      <c r="AC105" s="70"/>
      <c r="AD105" s="76" t="s">
        <v>16539</v>
      </c>
      <c r="AE105" s="81" t="s">
        <v>17145</v>
      </c>
      <c r="AF105" s="76">
        <v>122385</v>
      </c>
      <c r="AG105" s="76">
        <v>2603</v>
      </c>
      <c r="AH105" s="76">
        <v>355370</v>
      </c>
      <c r="AI105" s="76">
        <v>899</v>
      </c>
      <c r="AJ105" s="76">
        <v>624</v>
      </c>
      <c r="AK105" s="76">
        <v>44169</v>
      </c>
      <c r="AL105" s="76" t="b">
        <v>0</v>
      </c>
      <c r="AM105" s="78">
        <v>39543.722395833334</v>
      </c>
      <c r="AN105" s="76"/>
      <c r="AO105" s="76" t="s">
        <v>17740</v>
      </c>
      <c r="AP105" s="76"/>
      <c r="AQ105" s="76"/>
      <c r="AR105" s="76"/>
      <c r="AS105" s="76"/>
      <c r="AT105" s="76"/>
      <c r="AU105" s="76"/>
      <c r="AV105" s="76"/>
      <c r="AW105" s="76"/>
      <c r="AX105" s="76" t="b">
        <v>1</v>
      </c>
      <c r="AY105" s="76"/>
      <c r="AZ105" s="76"/>
      <c r="BA105" s="76" t="b">
        <v>1</v>
      </c>
      <c r="BB105" s="76" t="b">
        <v>1</v>
      </c>
      <c r="BC105" s="76" t="b">
        <v>0</v>
      </c>
      <c r="BD105" s="76" t="b">
        <v>0</v>
      </c>
      <c r="BE105" s="76" t="b">
        <v>1</v>
      </c>
      <c r="BF105" s="76" t="b">
        <v>0</v>
      </c>
      <c r="BG105" s="76" t="b">
        <v>0</v>
      </c>
      <c r="BH105" s="83" t="str">
        <f>HYPERLINK("https://pbs.twimg.com/profile_banners/14311308/1695317963")</f>
        <v>https://pbs.twimg.com/profile_banners/14311308/1695317963</v>
      </c>
      <c r="BI105" s="76"/>
      <c r="BJ105" s="76" t="s">
        <v>18704</v>
      </c>
      <c r="BK105" s="76" t="b">
        <v>0</v>
      </c>
      <c r="BL105" s="76"/>
      <c r="BM105" s="76" t="s">
        <v>66</v>
      </c>
      <c r="BN105" s="76" t="s">
        <v>18706</v>
      </c>
      <c r="BO105" s="83" t="str">
        <f>HYPERLINK("https://twitter.com/ig")</f>
        <v>https://twitter.com/ig</v>
      </c>
      <c r="BP105" s="2"/>
    </row>
    <row r="106" spans="1:68" x14ac:dyDescent="0.25">
      <c r="A106" s="62" t="s">
        <v>300</v>
      </c>
      <c r="B106" s="63"/>
      <c r="C106" s="63"/>
      <c r="D106" s="64"/>
      <c r="E106" s="66"/>
      <c r="F106" s="102" t="str">
        <f>HYPERLINK("https://pbs.twimg.com/profile_images/1697648791917146114/3yA5r_Pd_normal.jpg")</f>
        <v>https://pbs.twimg.com/profile_images/1697648791917146114/3yA5r_Pd_normal.jpg</v>
      </c>
      <c r="G106" s="63"/>
      <c r="H106" s="67"/>
      <c r="I106" s="68"/>
      <c r="J106" s="68"/>
      <c r="K106" s="67" t="s">
        <v>18809</v>
      </c>
      <c r="L106" s="71"/>
      <c r="M106" s="72"/>
      <c r="N106" s="72"/>
      <c r="O106" s="73"/>
      <c r="P106" s="74"/>
      <c r="Q106" s="74"/>
      <c r="R106" s="86"/>
      <c r="S106" s="86"/>
      <c r="T106" s="86"/>
      <c r="U106" s="86"/>
      <c r="V106" s="48"/>
      <c r="W106" s="48"/>
      <c r="X106" s="48"/>
      <c r="Y106" s="48"/>
      <c r="Z106" s="47"/>
      <c r="AA106" s="69">
        <v>106</v>
      </c>
      <c r="AB106" s="69"/>
      <c r="AC106" s="70"/>
      <c r="AD106" s="76" t="s">
        <v>16540</v>
      </c>
      <c r="AE106" s="81" t="s">
        <v>16146</v>
      </c>
      <c r="AF106" s="76">
        <v>6</v>
      </c>
      <c r="AG106" s="76">
        <v>2</v>
      </c>
      <c r="AH106" s="76">
        <v>3</v>
      </c>
      <c r="AI106" s="76">
        <v>0</v>
      </c>
      <c r="AJ106" s="76">
        <v>0</v>
      </c>
      <c r="AK106" s="76">
        <v>3</v>
      </c>
      <c r="AL106" s="76" t="b">
        <v>0</v>
      </c>
      <c r="AM106" s="78">
        <v>45170.661712962959</v>
      </c>
      <c r="AN106" s="76" t="s">
        <v>10570</v>
      </c>
      <c r="AO106" s="76" t="s">
        <v>17741</v>
      </c>
      <c r="AP106" s="76"/>
      <c r="AQ106" s="76"/>
      <c r="AR106" s="76"/>
      <c r="AS106" s="76"/>
      <c r="AT106" s="76"/>
      <c r="AU106" s="76"/>
      <c r="AV106" s="76"/>
      <c r="AW106" s="76"/>
      <c r="AX106" s="76" t="b">
        <v>0</v>
      </c>
      <c r="AY106" s="76"/>
      <c r="AZ106" s="76"/>
      <c r="BA106" s="76" t="b">
        <v>0</v>
      </c>
      <c r="BB106" s="76" t="b">
        <v>1</v>
      </c>
      <c r="BC106" s="76" t="b">
        <v>1</v>
      </c>
      <c r="BD106" s="76" t="b">
        <v>0</v>
      </c>
      <c r="BE106" s="76" t="b">
        <v>0</v>
      </c>
      <c r="BF106" s="76" t="b">
        <v>0</v>
      </c>
      <c r="BG106" s="76" t="b">
        <v>0</v>
      </c>
      <c r="BH106" s="76"/>
      <c r="BI106" s="76"/>
      <c r="BJ106" s="76" t="s">
        <v>18704</v>
      </c>
      <c r="BK106" s="76" t="b">
        <v>0</v>
      </c>
      <c r="BL106" s="76"/>
      <c r="BM106" s="76" t="s">
        <v>66</v>
      </c>
      <c r="BN106" s="76" t="s">
        <v>18706</v>
      </c>
      <c r="BO106" s="83" t="str">
        <f>HYPERLINK("https://twitter.com/srsucesso137")</f>
        <v>https://twitter.com/srsucesso137</v>
      </c>
      <c r="BP106" s="2"/>
    </row>
    <row r="107" spans="1:68" x14ac:dyDescent="0.25">
      <c r="A107" s="62" t="s">
        <v>301</v>
      </c>
      <c r="B107" s="63"/>
      <c r="C107" s="63"/>
      <c r="D107" s="64"/>
      <c r="E107" s="66"/>
      <c r="F107" s="102" t="str">
        <f>HYPERLINK("https://pbs.twimg.com/profile_images/1101230683295494146/a3vF5Hxk_normal.jpg")</f>
        <v>https://pbs.twimg.com/profile_images/1101230683295494146/a3vF5Hxk_normal.jpg</v>
      </c>
      <c r="G107" s="63"/>
      <c r="H107" s="67"/>
      <c r="I107" s="68"/>
      <c r="J107" s="68"/>
      <c r="K107" s="67" t="s">
        <v>18810</v>
      </c>
      <c r="L107" s="71"/>
      <c r="M107" s="72"/>
      <c r="N107" s="72"/>
      <c r="O107" s="73"/>
      <c r="P107" s="74"/>
      <c r="Q107" s="74"/>
      <c r="R107" s="86"/>
      <c r="S107" s="86"/>
      <c r="T107" s="86"/>
      <c r="U107" s="86"/>
      <c r="V107" s="48"/>
      <c r="W107" s="48"/>
      <c r="X107" s="48"/>
      <c r="Y107" s="48"/>
      <c r="Z107" s="47"/>
      <c r="AA107" s="69">
        <v>107</v>
      </c>
      <c r="AB107" s="69"/>
      <c r="AC107" s="70"/>
      <c r="AD107" s="76" t="s">
        <v>16541</v>
      </c>
      <c r="AE107" s="81" t="s">
        <v>17146</v>
      </c>
      <c r="AF107" s="76">
        <v>419</v>
      </c>
      <c r="AG107" s="76">
        <v>937</v>
      </c>
      <c r="AH107" s="76">
        <v>46841</v>
      </c>
      <c r="AI107" s="76">
        <v>5</v>
      </c>
      <c r="AJ107" s="76">
        <v>38741</v>
      </c>
      <c r="AK107" s="76">
        <v>8</v>
      </c>
      <c r="AL107" s="76" t="b">
        <v>0</v>
      </c>
      <c r="AM107" s="78">
        <v>40405.777881944443</v>
      </c>
      <c r="AN107" s="76"/>
      <c r="AO107" s="76" t="s">
        <v>17742</v>
      </c>
      <c r="AP107" s="76"/>
      <c r="AQ107" s="76"/>
      <c r="AR107" s="76"/>
      <c r="AS107" s="76"/>
      <c r="AT107" s="76"/>
      <c r="AU107" s="76"/>
      <c r="AV107" s="76"/>
      <c r="AW107" s="76"/>
      <c r="AX107" s="76" t="b">
        <v>0</v>
      </c>
      <c r="AY107" s="76"/>
      <c r="AZ107" s="76"/>
      <c r="BA107" s="76" t="b">
        <v>1</v>
      </c>
      <c r="BB107" s="76" t="b">
        <v>1</v>
      </c>
      <c r="BC107" s="76" t="b">
        <v>0</v>
      </c>
      <c r="BD107" s="76" t="b">
        <v>0</v>
      </c>
      <c r="BE107" s="76" t="b">
        <v>1</v>
      </c>
      <c r="BF107" s="76" t="b">
        <v>0</v>
      </c>
      <c r="BG107" s="76" t="b">
        <v>0</v>
      </c>
      <c r="BH107" s="83" t="str">
        <f>HYPERLINK("https://pbs.twimg.com/profile_banners/178798816/1406213283")</f>
        <v>https://pbs.twimg.com/profile_banners/178798816/1406213283</v>
      </c>
      <c r="BI107" s="76"/>
      <c r="BJ107" s="76" t="s">
        <v>18704</v>
      </c>
      <c r="BK107" s="76" t="b">
        <v>0</v>
      </c>
      <c r="BL107" s="76"/>
      <c r="BM107" s="76" t="s">
        <v>66</v>
      </c>
      <c r="BN107" s="76" t="s">
        <v>18706</v>
      </c>
      <c r="BO107" s="83" t="str">
        <f>HYPERLINK("https://twitter.com/alejandrocharry")</f>
        <v>https://twitter.com/alejandrocharry</v>
      </c>
      <c r="BP107" s="2"/>
    </row>
    <row r="108" spans="1:68" x14ac:dyDescent="0.25">
      <c r="A108" s="62" t="s">
        <v>302</v>
      </c>
      <c r="B108" s="63"/>
      <c r="C108" s="63"/>
      <c r="D108" s="64"/>
      <c r="E108" s="66"/>
      <c r="F108" s="102" t="str">
        <f>HYPERLINK("https://pbs.twimg.com/profile_images/1599559790107074560/VO9-uaHB_normal.png")</f>
        <v>https://pbs.twimg.com/profile_images/1599559790107074560/VO9-uaHB_normal.png</v>
      </c>
      <c r="G108" s="63"/>
      <c r="H108" s="67"/>
      <c r="I108" s="68"/>
      <c r="J108" s="68"/>
      <c r="K108" s="67" t="s">
        <v>18811</v>
      </c>
      <c r="L108" s="71"/>
      <c r="M108" s="72"/>
      <c r="N108" s="72"/>
      <c r="O108" s="73"/>
      <c r="P108" s="74"/>
      <c r="Q108" s="74"/>
      <c r="R108" s="86"/>
      <c r="S108" s="86"/>
      <c r="T108" s="86"/>
      <c r="U108" s="86"/>
      <c r="V108" s="48"/>
      <c r="W108" s="48"/>
      <c r="X108" s="48"/>
      <c r="Y108" s="48"/>
      <c r="Z108" s="47"/>
      <c r="AA108" s="69">
        <v>108</v>
      </c>
      <c r="AB108" s="69"/>
      <c r="AC108" s="70"/>
      <c r="AD108" s="76" t="s">
        <v>16542</v>
      </c>
      <c r="AE108" s="81" t="s">
        <v>16147</v>
      </c>
      <c r="AF108" s="76">
        <v>4</v>
      </c>
      <c r="AG108" s="76">
        <v>32</v>
      </c>
      <c r="AH108" s="76">
        <v>73</v>
      </c>
      <c r="AI108" s="76">
        <v>0</v>
      </c>
      <c r="AJ108" s="76">
        <v>17</v>
      </c>
      <c r="AK108" s="76">
        <v>72</v>
      </c>
      <c r="AL108" s="76" t="b">
        <v>0</v>
      </c>
      <c r="AM108" s="78">
        <v>44900.0155787037</v>
      </c>
      <c r="AN108" s="76"/>
      <c r="AO108" s="76"/>
      <c r="AP108" s="76"/>
      <c r="AQ108" s="76"/>
      <c r="AR108" s="76"/>
      <c r="AS108" s="76"/>
      <c r="AT108" s="76"/>
      <c r="AU108" s="76"/>
      <c r="AV108" s="76"/>
      <c r="AW108" s="76"/>
      <c r="AX108" s="76" t="b">
        <v>0</v>
      </c>
      <c r="AY108" s="76"/>
      <c r="AZ108" s="76"/>
      <c r="BA108" s="76" t="b">
        <v>0</v>
      </c>
      <c r="BB108" s="76" t="b">
        <v>1</v>
      </c>
      <c r="BC108" s="76" t="b">
        <v>1</v>
      </c>
      <c r="BD108" s="76" t="b">
        <v>0</v>
      </c>
      <c r="BE108" s="76" t="b">
        <v>0</v>
      </c>
      <c r="BF108" s="76" t="b">
        <v>0</v>
      </c>
      <c r="BG108" s="76" t="b">
        <v>0</v>
      </c>
      <c r="BH108" s="83" t="str">
        <f>HYPERLINK("https://pbs.twimg.com/profile_banners/1599559668468097025/1671217222")</f>
        <v>https://pbs.twimg.com/profile_banners/1599559668468097025/1671217222</v>
      </c>
      <c r="BI108" s="76"/>
      <c r="BJ108" s="76" t="s">
        <v>18704</v>
      </c>
      <c r="BK108" s="76" t="b">
        <v>0</v>
      </c>
      <c r="BL108" s="76"/>
      <c r="BM108" s="76" t="s">
        <v>66</v>
      </c>
      <c r="BN108" s="76" t="s">
        <v>18706</v>
      </c>
      <c r="BO108" s="83" t="str">
        <f>HYPERLINK("https://twitter.com/omarrios22")</f>
        <v>https://twitter.com/omarrios22</v>
      </c>
      <c r="BP108" s="2"/>
    </row>
    <row r="109" spans="1:68" x14ac:dyDescent="0.25">
      <c r="A109" s="62" t="s">
        <v>303</v>
      </c>
      <c r="B109" s="63"/>
      <c r="C109" s="63"/>
      <c r="D109" s="64"/>
      <c r="E109" s="66"/>
      <c r="F109" s="102" t="str">
        <f>HYPERLINK("https://pbs.twimg.com/profile_images/1618704448913645585/SRa-pW4s_normal.jpg")</f>
        <v>https://pbs.twimg.com/profile_images/1618704448913645585/SRa-pW4s_normal.jpg</v>
      </c>
      <c r="G109" s="63"/>
      <c r="H109" s="67"/>
      <c r="I109" s="68"/>
      <c r="J109" s="68"/>
      <c r="K109" s="67" t="s">
        <v>18812</v>
      </c>
      <c r="L109" s="71"/>
      <c r="M109" s="72"/>
      <c r="N109" s="72"/>
      <c r="O109" s="73"/>
      <c r="P109" s="74"/>
      <c r="Q109" s="74"/>
      <c r="R109" s="86"/>
      <c r="S109" s="86"/>
      <c r="T109" s="86"/>
      <c r="U109" s="86"/>
      <c r="V109" s="48"/>
      <c r="W109" s="48"/>
      <c r="X109" s="48"/>
      <c r="Y109" s="48"/>
      <c r="Z109" s="47"/>
      <c r="AA109" s="69">
        <v>109</v>
      </c>
      <c r="AB109" s="69"/>
      <c r="AC109" s="70"/>
      <c r="AD109" s="76" t="s">
        <v>16543</v>
      </c>
      <c r="AE109" s="81" t="s">
        <v>17147</v>
      </c>
      <c r="AF109" s="76">
        <v>14786</v>
      </c>
      <c r="AG109" s="76">
        <v>270</v>
      </c>
      <c r="AH109" s="76">
        <v>47169</v>
      </c>
      <c r="AI109" s="76">
        <v>44</v>
      </c>
      <c r="AJ109" s="76">
        <v>143</v>
      </c>
      <c r="AK109" s="76">
        <v>14412</v>
      </c>
      <c r="AL109" s="76" t="b">
        <v>0</v>
      </c>
      <c r="AM109" s="78">
        <v>40489.528587962966</v>
      </c>
      <c r="AN109" s="76" t="s">
        <v>10570</v>
      </c>
      <c r="AO109" s="83" t="str">
        <f>HYPERLINK("https://t.co/qlnZ5UsZ7Y")</f>
        <v>https://t.co/qlnZ5UsZ7Y</v>
      </c>
      <c r="AP109" s="83" t="str">
        <f>HYPERLINK("https://t.co/3JGflcEKcN")</f>
        <v>https://t.co/3JGflcEKcN</v>
      </c>
      <c r="AQ109" s="83" t="str">
        <f>HYPERLINK("http://www.jornalcontabil.com.br")</f>
        <v>http://www.jornalcontabil.com.br</v>
      </c>
      <c r="AR109" s="76" t="s">
        <v>18305</v>
      </c>
      <c r="AS109" s="83" t="str">
        <f>HYPERLINK("https://t.co/qlnZ5UsZ7Y")</f>
        <v>https://t.co/qlnZ5UsZ7Y</v>
      </c>
      <c r="AT109" s="83" t="str">
        <f>HYPERLINK("http://jornalcontabil.com.br")</f>
        <v>http://jornalcontabil.com.br</v>
      </c>
      <c r="AU109" s="76" t="s">
        <v>18305</v>
      </c>
      <c r="AV109" s="76"/>
      <c r="AW109" s="83" t="str">
        <f>HYPERLINK("https://t.co/3JGflcEKcN")</f>
        <v>https://t.co/3JGflcEKcN</v>
      </c>
      <c r="AX109" s="76" t="b">
        <v>0</v>
      </c>
      <c r="AY109" s="76"/>
      <c r="AZ109" s="76"/>
      <c r="BA109" s="76" t="b">
        <v>0</v>
      </c>
      <c r="BB109" s="76" t="b">
        <v>1</v>
      </c>
      <c r="BC109" s="76" t="b">
        <v>0</v>
      </c>
      <c r="BD109" s="76" t="b">
        <v>0</v>
      </c>
      <c r="BE109" s="76" t="b">
        <v>1</v>
      </c>
      <c r="BF109" s="76" t="b">
        <v>0</v>
      </c>
      <c r="BG109" s="76" t="b">
        <v>0</v>
      </c>
      <c r="BH109" s="83" t="str">
        <f>HYPERLINK("https://pbs.twimg.com/profile_banners/212916157/1666613705")</f>
        <v>https://pbs.twimg.com/profile_banners/212916157/1666613705</v>
      </c>
      <c r="BI109" s="76"/>
      <c r="BJ109" s="76" t="s">
        <v>18704</v>
      </c>
      <c r="BK109" s="76" t="b">
        <v>0</v>
      </c>
      <c r="BL109" s="76"/>
      <c r="BM109" s="76" t="s">
        <v>66</v>
      </c>
      <c r="BN109" s="76" t="s">
        <v>18706</v>
      </c>
      <c r="BO109" s="83" t="str">
        <f>HYPERLINK("https://twitter.com/jornalcontabil_")</f>
        <v>https://twitter.com/jornalcontabil_</v>
      </c>
      <c r="BP109" s="2"/>
    </row>
    <row r="110" spans="1:68" x14ac:dyDescent="0.25">
      <c r="A110" s="62" t="s">
        <v>304</v>
      </c>
      <c r="B110" s="63"/>
      <c r="C110" s="63"/>
      <c r="D110" s="64"/>
      <c r="E110" s="66"/>
      <c r="F110" s="102" t="str">
        <f>HYPERLINK("https://pbs.twimg.com/profile_images/1276150299560992770/f8LsoPYA_normal.jpg")</f>
        <v>https://pbs.twimg.com/profile_images/1276150299560992770/f8LsoPYA_normal.jpg</v>
      </c>
      <c r="G110" s="63"/>
      <c r="H110" s="67"/>
      <c r="I110" s="68"/>
      <c r="J110" s="68"/>
      <c r="K110" s="67" t="s">
        <v>18813</v>
      </c>
      <c r="L110" s="71"/>
      <c r="M110" s="72"/>
      <c r="N110" s="72"/>
      <c r="O110" s="73"/>
      <c r="P110" s="74"/>
      <c r="Q110" s="74"/>
      <c r="R110" s="86"/>
      <c r="S110" s="86"/>
      <c r="T110" s="86"/>
      <c r="U110" s="86"/>
      <c r="V110" s="48"/>
      <c r="W110" s="48"/>
      <c r="X110" s="48"/>
      <c r="Y110" s="48"/>
      <c r="Z110" s="47"/>
      <c r="AA110" s="69">
        <v>110</v>
      </c>
      <c r="AB110" s="69"/>
      <c r="AC110" s="70"/>
      <c r="AD110" s="76" t="s">
        <v>16544</v>
      </c>
      <c r="AE110" s="81" t="s">
        <v>16148</v>
      </c>
      <c r="AF110" s="76">
        <v>58</v>
      </c>
      <c r="AG110" s="76">
        <v>4</v>
      </c>
      <c r="AH110" s="76">
        <v>904</v>
      </c>
      <c r="AI110" s="76">
        <v>4</v>
      </c>
      <c r="AJ110" s="76">
        <v>3</v>
      </c>
      <c r="AK110" s="76">
        <v>893</v>
      </c>
      <c r="AL110" s="76" t="b">
        <v>0</v>
      </c>
      <c r="AM110" s="78">
        <v>43152.878703703704</v>
      </c>
      <c r="AN110" s="76"/>
      <c r="AO110" s="76" t="s">
        <v>17743</v>
      </c>
      <c r="AP110" s="83" t="str">
        <f>HYPERLINK("https://t.co/fMRDv0Jekv")</f>
        <v>https://t.co/fMRDv0Jekv</v>
      </c>
      <c r="AQ110" s="83" t="str">
        <f>HYPERLINK("https://www.williamhunt.com.br/segredos-dos-investimentos-para-iniciantes")</f>
        <v>https://www.williamhunt.com.br/segredos-dos-investimentos-para-iniciantes</v>
      </c>
      <c r="AR110" s="76" t="s">
        <v>18306</v>
      </c>
      <c r="AS110" s="76"/>
      <c r="AT110" s="76"/>
      <c r="AU110" s="76"/>
      <c r="AV110" s="76"/>
      <c r="AW110" s="83" t="str">
        <f>HYPERLINK("https://t.co/fMRDv0Jekv")</f>
        <v>https://t.co/fMRDv0Jekv</v>
      </c>
      <c r="AX110" s="76" t="b">
        <v>0</v>
      </c>
      <c r="AY110" s="76"/>
      <c r="AZ110" s="76"/>
      <c r="BA110" s="76" t="b">
        <v>0</v>
      </c>
      <c r="BB110" s="76" t="b">
        <v>1</v>
      </c>
      <c r="BC110" s="76" t="b">
        <v>0</v>
      </c>
      <c r="BD110" s="76" t="b">
        <v>0</v>
      </c>
      <c r="BE110" s="76" t="b">
        <v>0</v>
      </c>
      <c r="BF110" s="76" t="b">
        <v>0</v>
      </c>
      <c r="BG110" s="76" t="b">
        <v>0</v>
      </c>
      <c r="BH110" s="83" t="str">
        <f>HYPERLINK("https://pbs.twimg.com/profile_banners/966418582421811200/1678219927")</f>
        <v>https://pbs.twimg.com/profile_banners/966418582421811200/1678219927</v>
      </c>
      <c r="BI110" s="76"/>
      <c r="BJ110" s="76" t="s">
        <v>18704</v>
      </c>
      <c r="BK110" s="76" t="b">
        <v>0</v>
      </c>
      <c r="BL110" s="76"/>
      <c r="BM110" s="76" t="s">
        <v>66</v>
      </c>
      <c r="BN110" s="76" t="s">
        <v>18706</v>
      </c>
      <c r="BO110" s="83" t="str">
        <f>HYPERLINK("https://twitter.com/williamhuntbr")</f>
        <v>https://twitter.com/williamhuntbr</v>
      </c>
      <c r="BP110" s="2"/>
    </row>
    <row r="111" spans="1:68" x14ac:dyDescent="0.25">
      <c r="A111" s="62" t="s">
        <v>305</v>
      </c>
      <c r="B111" s="63"/>
      <c r="C111" s="63"/>
      <c r="D111" s="64"/>
      <c r="E111" s="66"/>
      <c r="F111" s="102" t="str">
        <f>HYPERLINK("https://pbs.twimg.com/profile_images/1401173226517143552/PRfYdES1_normal.jpg")</f>
        <v>https://pbs.twimg.com/profile_images/1401173226517143552/PRfYdES1_normal.jpg</v>
      </c>
      <c r="G111" s="63"/>
      <c r="H111" s="67"/>
      <c r="I111" s="68"/>
      <c r="J111" s="68"/>
      <c r="K111" s="67" t="s">
        <v>18814</v>
      </c>
      <c r="L111" s="71"/>
      <c r="M111" s="72"/>
      <c r="N111" s="72"/>
      <c r="O111" s="73"/>
      <c r="P111" s="74"/>
      <c r="Q111" s="74"/>
      <c r="R111" s="86"/>
      <c r="S111" s="86"/>
      <c r="T111" s="86"/>
      <c r="U111" s="86"/>
      <c r="V111" s="48"/>
      <c r="W111" s="48"/>
      <c r="X111" s="48"/>
      <c r="Y111" s="48"/>
      <c r="Z111" s="47"/>
      <c r="AA111" s="69">
        <v>111</v>
      </c>
      <c r="AB111" s="69"/>
      <c r="AC111" s="70"/>
      <c r="AD111" s="76" t="s">
        <v>16545</v>
      </c>
      <c r="AE111" s="81" t="s">
        <v>17148</v>
      </c>
      <c r="AF111" s="76">
        <v>92</v>
      </c>
      <c r="AG111" s="76">
        <v>93</v>
      </c>
      <c r="AH111" s="76">
        <v>1783</v>
      </c>
      <c r="AI111" s="76">
        <v>0</v>
      </c>
      <c r="AJ111" s="76">
        <v>292</v>
      </c>
      <c r="AK111" s="76">
        <v>57</v>
      </c>
      <c r="AL111" s="76" t="b">
        <v>0</v>
      </c>
      <c r="AM111" s="78">
        <v>40026.563831018517</v>
      </c>
      <c r="AN111" s="76" t="s">
        <v>17437</v>
      </c>
      <c r="AO111" s="76" t="s">
        <v>17744</v>
      </c>
      <c r="AP111" s="83" t="str">
        <f>HYPERLINK("https://t.co/mDRLu2t3A5")</f>
        <v>https://t.co/mDRLu2t3A5</v>
      </c>
      <c r="AQ111" s="83" t="str">
        <f>HYPERLINK("http://tonyfinancas.com.br")</f>
        <v>http://tonyfinancas.com.br</v>
      </c>
      <c r="AR111" s="76" t="s">
        <v>18307</v>
      </c>
      <c r="AS111" s="76"/>
      <c r="AT111" s="76"/>
      <c r="AU111" s="76"/>
      <c r="AV111" s="76">
        <v>1.6240553032506199E+18</v>
      </c>
      <c r="AW111" s="83" t="str">
        <f>HYPERLINK("https://t.co/mDRLu2t3A5")</f>
        <v>https://t.co/mDRLu2t3A5</v>
      </c>
      <c r="AX111" s="76" t="b">
        <v>0</v>
      </c>
      <c r="AY111" s="76"/>
      <c r="AZ111" s="76"/>
      <c r="BA111" s="76" t="b">
        <v>1</v>
      </c>
      <c r="BB111" s="76" t="b">
        <v>1</v>
      </c>
      <c r="BC111" s="76" t="b">
        <v>0</v>
      </c>
      <c r="BD111" s="76" t="b">
        <v>0</v>
      </c>
      <c r="BE111" s="76" t="b">
        <v>0</v>
      </c>
      <c r="BF111" s="76" t="b">
        <v>0</v>
      </c>
      <c r="BG111" s="76" t="b">
        <v>0</v>
      </c>
      <c r="BH111" s="83" t="str">
        <f>HYPERLINK("https://pbs.twimg.com/profile_banners/62033604/1617722431")</f>
        <v>https://pbs.twimg.com/profile_banners/62033604/1617722431</v>
      </c>
      <c r="BI111" s="76"/>
      <c r="BJ111" s="76" t="s">
        <v>18704</v>
      </c>
      <c r="BK111" s="76" t="b">
        <v>0</v>
      </c>
      <c r="BL111" s="76"/>
      <c r="BM111" s="76" t="s">
        <v>66</v>
      </c>
      <c r="BN111" s="76" t="s">
        <v>18706</v>
      </c>
      <c r="BO111" s="83" t="str">
        <f>HYPERLINK("https://twitter.com/tony_financas")</f>
        <v>https://twitter.com/tony_financas</v>
      </c>
      <c r="BP111" s="2"/>
    </row>
    <row r="112" spans="1:68" x14ac:dyDescent="0.25">
      <c r="A112" s="62" t="s">
        <v>306</v>
      </c>
      <c r="B112" s="63"/>
      <c r="C112" s="63"/>
      <c r="D112" s="64"/>
      <c r="E112" s="66"/>
      <c r="F112" s="102" t="str">
        <f>HYPERLINK("https://pbs.twimg.com/profile_images/1691548473609383937/gs0RPcHW_normal.jpg")</f>
        <v>https://pbs.twimg.com/profile_images/1691548473609383937/gs0RPcHW_normal.jpg</v>
      </c>
      <c r="G112" s="63"/>
      <c r="H112" s="67"/>
      <c r="I112" s="68"/>
      <c r="J112" s="68"/>
      <c r="K112" s="67" t="s">
        <v>18815</v>
      </c>
      <c r="L112" s="71"/>
      <c r="M112" s="72"/>
      <c r="N112" s="72"/>
      <c r="O112" s="73"/>
      <c r="P112" s="74"/>
      <c r="Q112" s="74"/>
      <c r="R112" s="86"/>
      <c r="S112" s="86"/>
      <c r="T112" s="86"/>
      <c r="U112" s="86"/>
      <c r="V112" s="48"/>
      <c r="W112" s="48"/>
      <c r="X112" s="48"/>
      <c r="Y112" s="48"/>
      <c r="Z112" s="47"/>
      <c r="AA112" s="69">
        <v>112</v>
      </c>
      <c r="AB112" s="69"/>
      <c r="AC112" s="70"/>
      <c r="AD112" s="76" t="s">
        <v>16546</v>
      </c>
      <c r="AE112" s="81" t="s">
        <v>16149</v>
      </c>
      <c r="AF112" s="76">
        <v>4</v>
      </c>
      <c r="AG112" s="76">
        <v>4</v>
      </c>
      <c r="AH112" s="76">
        <v>199</v>
      </c>
      <c r="AI112" s="76">
        <v>0</v>
      </c>
      <c r="AJ112" s="76">
        <v>0</v>
      </c>
      <c r="AK112" s="76">
        <v>190</v>
      </c>
      <c r="AL112" s="76" t="b">
        <v>0</v>
      </c>
      <c r="AM112" s="78">
        <v>44960.45952546296</v>
      </c>
      <c r="AN112" s="83" t="str">
        <f>HYPERLINK("https://btvacademy.com.br/")</f>
        <v>https://btvacademy.com.br/</v>
      </c>
      <c r="AO112" s="76" t="s">
        <v>17745</v>
      </c>
      <c r="AP112" s="83" t="str">
        <f>HYPERLINK("https://t.co/MRqwSus1Hx")</f>
        <v>https://t.co/MRqwSus1Hx</v>
      </c>
      <c r="AQ112" s="83" t="str">
        <f>HYPERLINK("https://btvacademy.com.br/")</f>
        <v>https://btvacademy.com.br/</v>
      </c>
      <c r="AR112" s="76" t="s">
        <v>18308</v>
      </c>
      <c r="AS112" s="83" t="str">
        <f>HYPERLINK("https://t.co/So3HCD94TL")</f>
        <v>https://t.co/So3HCD94TL</v>
      </c>
      <c r="AT112" s="83" t="str">
        <f>HYPERLINK("http://linktr.ee/btvacademy")</f>
        <v>http://linktr.ee/btvacademy</v>
      </c>
      <c r="AU112" s="76" t="s">
        <v>18656</v>
      </c>
      <c r="AV112" s="76"/>
      <c r="AW112" s="83" t="str">
        <f>HYPERLINK("https://t.co/MRqwSus1Hx")</f>
        <v>https://t.co/MRqwSus1Hx</v>
      </c>
      <c r="AX112" s="76" t="b">
        <v>0</v>
      </c>
      <c r="AY112" s="76"/>
      <c r="AZ112" s="76"/>
      <c r="BA112" s="76" t="b">
        <v>0</v>
      </c>
      <c r="BB112" s="76" t="b">
        <v>1</v>
      </c>
      <c r="BC112" s="76" t="b">
        <v>1</v>
      </c>
      <c r="BD112" s="76" t="b">
        <v>0</v>
      </c>
      <c r="BE112" s="76" t="b">
        <v>0</v>
      </c>
      <c r="BF112" s="76" t="b">
        <v>0</v>
      </c>
      <c r="BG112" s="76" t="b">
        <v>0</v>
      </c>
      <c r="BH112" s="83" t="str">
        <f>HYPERLINK("https://pbs.twimg.com/profile_banners/1621463825730965505/1692131538")</f>
        <v>https://pbs.twimg.com/profile_banners/1621463825730965505/1692131538</v>
      </c>
      <c r="BI112" s="76"/>
      <c r="BJ112" s="76" t="s">
        <v>18704</v>
      </c>
      <c r="BK112" s="76" t="b">
        <v>0</v>
      </c>
      <c r="BL112" s="76"/>
      <c r="BM112" s="76" t="s">
        <v>66</v>
      </c>
      <c r="BN112" s="76" t="s">
        <v>18706</v>
      </c>
      <c r="BO112" s="83" t="str">
        <f>HYPERLINK("https://twitter.com/btvacademy")</f>
        <v>https://twitter.com/btvacademy</v>
      </c>
      <c r="BP112" s="2"/>
    </row>
    <row r="113" spans="1:68" x14ac:dyDescent="0.25">
      <c r="A113" s="62" t="s">
        <v>307</v>
      </c>
      <c r="B113" s="63"/>
      <c r="C113" s="63"/>
      <c r="D113" s="64"/>
      <c r="E113" s="66"/>
      <c r="F113" s="102" t="str">
        <f>HYPERLINK("https://pbs.twimg.com/profile_images/1603422192942858242/mXcj-1Kd_normal.jpg")</f>
        <v>https://pbs.twimg.com/profile_images/1603422192942858242/mXcj-1Kd_normal.jpg</v>
      </c>
      <c r="G113" s="63"/>
      <c r="H113" s="67"/>
      <c r="I113" s="68"/>
      <c r="J113" s="68"/>
      <c r="K113" s="67" t="s">
        <v>18816</v>
      </c>
      <c r="L113" s="71"/>
      <c r="M113" s="72"/>
      <c r="N113" s="72"/>
      <c r="O113" s="73"/>
      <c r="P113" s="74"/>
      <c r="Q113" s="74"/>
      <c r="R113" s="86"/>
      <c r="S113" s="86"/>
      <c r="T113" s="86"/>
      <c r="U113" s="86"/>
      <c r="V113" s="48"/>
      <c r="W113" s="48"/>
      <c r="X113" s="48"/>
      <c r="Y113" s="48"/>
      <c r="Z113" s="47"/>
      <c r="AA113" s="69">
        <v>113</v>
      </c>
      <c r="AB113" s="69"/>
      <c r="AC113" s="70"/>
      <c r="AD113" s="76" t="s">
        <v>16547</v>
      </c>
      <c r="AE113" s="81" t="s">
        <v>16150</v>
      </c>
      <c r="AF113" s="76">
        <v>3</v>
      </c>
      <c r="AG113" s="76">
        <v>42</v>
      </c>
      <c r="AH113" s="76">
        <v>109</v>
      </c>
      <c r="AI113" s="76">
        <v>0</v>
      </c>
      <c r="AJ113" s="76">
        <v>72</v>
      </c>
      <c r="AK113" s="76">
        <v>3</v>
      </c>
      <c r="AL113" s="76" t="b">
        <v>0</v>
      </c>
      <c r="AM113" s="78">
        <v>44738.873553240737</v>
      </c>
      <c r="AN113" s="76" t="s">
        <v>17438</v>
      </c>
      <c r="AO113" s="76" t="s">
        <v>17746</v>
      </c>
      <c r="AP113" s="83" t="str">
        <f>HYPERLINK("https://t.co/iRbcvkHVj6")</f>
        <v>https://t.co/iRbcvkHVj6</v>
      </c>
      <c r="AQ113" s="83" t="str">
        <f>HYPERLINK("http://www.investireperguadagnare.it")</f>
        <v>http://www.investireperguadagnare.it</v>
      </c>
      <c r="AR113" s="76" t="s">
        <v>18309</v>
      </c>
      <c r="AS113" s="76"/>
      <c r="AT113" s="76"/>
      <c r="AU113" s="76"/>
      <c r="AV113" s="76"/>
      <c r="AW113" s="83" t="str">
        <f>HYPERLINK("https://t.co/iRbcvkHVj6")</f>
        <v>https://t.co/iRbcvkHVj6</v>
      </c>
      <c r="AX113" s="76" t="b">
        <v>0</v>
      </c>
      <c r="AY113" s="76"/>
      <c r="AZ113" s="76"/>
      <c r="BA113" s="76" t="b">
        <v>0</v>
      </c>
      <c r="BB113" s="76" t="b">
        <v>1</v>
      </c>
      <c r="BC113" s="76" t="b">
        <v>1</v>
      </c>
      <c r="BD113" s="76" t="b">
        <v>0</v>
      </c>
      <c r="BE113" s="76" t="b">
        <v>0</v>
      </c>
      <c r="BF113" s="76" t="b">
        <v>0</v>
      </c>
      <c r="BG113" s="76" t="b">
        <v>0</v>
      </c>
      <c r="BH113" s="83" t="str">
        <f>HYPERLINK("https://pbs.twimg.com/profile_banners/1541163811247460353/1660893542")</f>
        <v>https://pbs.twimg.com/profile_banners/1541163811247460353/1660893542</v>
      </c>
      <c r="BI113" s="76"/>
      <c r="BJ113" s="76" t="s">
        <v>18704</v>
      </c>
      <c r="BK113" s="76" t="b">
        <v>0</v>
      </c>
      <c r="BL113" s="76"/>
      <c r="BM113" s="76" t="s">
        <v>66</v>
      </c>
      <c r="BN113" s="76" t="s">
        <v>18706</v>
      </c>
      <c r="BO113" s="83" t="str">
        <f>HYPERLINK("https://twitter.com/ipg_investire")</f>
        <v>https://twitter.com/ipg_investire</v>
      </c>
      <c r="BP113" s="2"/>
    </row>
    <row r="114" spans="1:68" x14ac:dyDescent="0.25">
      <c r="A114" s="62" t="s">
        <v>761</v>
      </c>
      <c r="B114" s="63"/>
      <c r="C114" s="63"/>
      <c r="D114" s="64"/>
      <c r="E114" s="66"/>
      <c r="F114" s="102" t="str">
        <f>HYPERLINK("https://pbs.twimg.com/profile_images/1412003782192472066/-I2a8aCs_normal.jpg")</f>
        <v>https://pbs.twimg.com/profile_images/1412003782192472066/-I2a8aCs_normal.jpg</v>
      </c>
      <c r="G114" s="63"/>
      <c r="H114" s="67"/>
      <c r="I114" s="68"/>
      <c r="J114" s="68"/>
      <c r="K114" s="67" t="s">
        <v>18817</v>
      </c>
      <c r="L114" s="71"/>
      <c r="M114" s="72"/>
      <c r="N114" s="72"/>
      <c r="O114" s="73"/>
      <c r="P114" s="74"/>
      <c r="Q114" s="74"/>
      <c r="R114" s="86"/>
      <c r="S114" s="86"/>
      <c r="T114" s="86"/>
      <c r="U114" s="86"/>
      <c r="V114" s="48"/>
      <c r="W114" s="48"/>
      <c r="X114" s="48"/>
      <c r="Y114" s="48"/>
      <c r="Z114" s="47"/>
      <c r="AA114" s="69">
        <v>114</v>
      </c>
      <c r="AB114" s="69"/>
      <c r="AC114" s="70"/>
      <c r="AD114" s="76" t="s">
        <v>7758</v>
      </c>
      <c r="AE114" s="81" t="s">
        <v>17149</v>
      </c>
      <c r="AF114" s="76">
        <v>49508</v>
      </c>
      <c r="AG114" s="76">
        <v>3866</v>
      </c>
      <c r="AH114" s="76">
        <v>20560</v>
      </c>
      <c r="AI114" s="76">
        <v>764</v>
      </c>
      <c r="AJ114" s="76">
        <v>6588</v>
      </c>
      <c r="AK114" s="76">
        <v>2325</v>
      </c>
      <c r="AL114" s="76" t="b">
        <v>0</v>
      </c>
      <c r="AM114" s="78">
        <v>39997.7966087963</v>
      </c>
      <c r="AN114" s="76" t="s">
        <v>17433</v>
      </c>
      <c r="AO114" s="76" t="s">
        <v>17747</v>
      </c>
      <c r="AP114" s="83" t="str">
        <f>HYPERLINK("https://t.co/dxhtyZ6j55")</f>
        <v>https://t.co/dxhtyZ6j55</v>
      </c>
      <c r="AQ114" s="83" t="str">
        <f>HYPERLINK("https://linktr.ee/spreaker")</f>
        <v>https://linktr.ee/spreaker</v>
      </c>
      <c r="AR114" s="76" t="s">
        <v>18310</v>
      </c>
      <c r="AS114" s="76"/>
      <c r="AT114" s="76"/>
      <c r="AU114" s="76"/>
      <c r="AV114" s="76"/>
      <c r="AW114" s="83" t="str">
        <f>HYPERLINK("https://t.co/dxhtyZ6j55")</f>
        <v>https://t.co/dxhtyZ6j55</v>
      </c>
      <c r="AX114" s="76" t="b">
        <v>0</v>
      </c>
      <c r="AY114" s="76"/>
      <c r="AZ114" s="76"/>
      <c r="BA114" s="76" t="b">
        <v>0</v>
      </c>
      <c r="BB114" s="76" t="b">
        <v>1</v>
      </c>
      <c r="BC114" s="76" t="b">
        <v>0</v>
      </c>
      <c r="BD114" s="76" t="b">
        <v>0</v>
      </c>
      <c r="BE114" s="76" t="b">
        <v>0</v>
      </c>
      <c r="BF114" s="76" t="b">
        <v>0</v>
      </c>
      <c r="BG114" s="76" t="b">
        <v>0</v>
      </c>
      <c r="BH114" s="83" t="str">
        <f>HYPERLINK("https://pbs.twimg.com/profile_banners/53469538/1656604190")</f>
        <v>https://pbs.twimg.com/profile_banners/53469538/1656604190</v>
      </c>
      <c r="BI114" s="76"/>
      <c r="BJ114" s="76" t="s">
        <v>18704</v>
      </c>
      <c r="BK114" s="76" t="b">
        <v>0</v>
      </c>
      <c r="BL114" s="76"/>
      <c r="BM114" s="76" t="s">
        <v>65</v>
      </c>
      <c r="BN114" s="76" t="s">
        <v>18706</v>
      </c>
      <c r="BO114" s="83" t="str">
        <f>HYPERLINK("https://twitter.com/spreaker")</f>
        <v>https://twitter.com/spreaker</v>
      </c>
      <c r="BP114" s="2"/>
    </row>
    <row r="115" spans="1:68" x14ac:dyDescent="0.25">
      <c r="A115" s="62" t="s">
        <v>308</v>
      </c>
      <c r="B115" s="63"/>
      <c r="C115" s="63"/>
      <c r="D115" s="64"/>
      <c r="E115" s="66"/>
      <c r="F115" s="102" t="str">
        <f>HYPERLINK("https://pbs.twimg.com/profile_images/1460311960197730308/HLDdEzf0_normal.jpg")</f>
        <v>https://pbs.twimg.com/profile_images/1460311960197730308/HLDdEzf0_normal.jpg</v>
      </c>
      <c r="G115" s="63"/>
      <c r="H115" s="67"/>
      <c r="I115" s="68"/>
      <c r="J115" s="68"/>
      <c r="K115" s="67" t="s">
        <v>18818</v>
      </c>
      <c r="L115" s="71"/>
      <c r="M115" s="72"/>
      <c r="N115" s="72"/>
      <c r="O115" s="73"/>
      <c r="P115" s="74"/>
      <c r="Q115" s="74"/>
      <c r="R115" s="86"/>
      <c r="S115" s="86"/>
      <c r="T115" s="86"/>
      <c r="U115" s="86"/>
      <c r="V115" s="48"/>
      <c r="W115" s="48"/>
      <c r="X115" s="48"/>
      <c r="Y115" s="48"/>
      <c r="Z115" s="47"/>
      <c r="AA115" s="69">
        <v>115</v>
      </c>
      <c r="AB115" s="69"/>
      <c r="AC115" s="70"/>
      <c r="AD115" s="76" t="s">
        <v>16548</v>
      </c>
      <c r="AE115" s="81" t="s">
        <v>16151</v>
      </c>
      <c r="AF115" s="76">
        <v>6</v>
      </c>
      <c r="AG115" s="76">
        <v>34</v>
      </c>
      <c r="AH115" s="76">
        <v>76</v>
      </c>
      <c r="AI115" s="76">
        <v>10</v>
      </c>
      <c r="AJ115" s="76">
        <v>2</v>
      </c>
      <c r="AK115" s="76">
        <v>71</v>
      </c>
      <c r="AL115" s="76" t="b">
        <v>0</v>
      </c>
      <c r="AM115" s="78">
        <v>44515.763749999998</v>
      </c>
      <c r="AN115" s="76"/>
      <c r="AO115" s="76" t="s">
        <v>17748</v>
      </c>
      <c r="AP115" s="76"/>
      <c r="AQ115" s="76"/>
      <c r="AR115" s="76"/>
      <c r="AS115" s="76"/>
      <c r="AT115" s="76"/>
      <c r="AU115" s="76"/>
      <c r="AV115" s="76"/>
      <c r="AW115" s="76"/>
      <c r="AX115" s="76" t="b">
        <v>0</v>
      </c>
      <c r="AY115" s="76"/>
      <c r="AZ115" s="76"/>
      <c r="BA115" s="76" t="b">
        <v>0</v>
      </c>
      <c r="BB115" s="76" t="b">
        <v>1</v>
      </c>
      <c r="BC115" s="76" t="b">
        <v>1</v>
      </c>
      <c r="BD115" s="76" t="b">
        <v>0</v>
      </c>
      <c r="BE115" s="76" t="b">
        <v>0</v>
      </c>
      <c r="BF115" s="76" t="b">
        <v>0</v>
      </c>
      <c r="BG115" s="76" t="b">
        <v>0</v>
      </c>
      <c r="BH115" s="83" t="str">
        <f>HYPERLINK("https://pbs.twimg.com/profile_banners/1460311524405301255/1637002239")</f>
        <v>https://pbs.twimg.com/profile_banners/1460311524405301255/1637002239</v>
      </c>
      <c r="BI115" s="76"/>
      <c r="BJ115" s="76" t="s">
        <v>18704</v>
      </c>
      <c r="BK115" s="76" t="b">
        <v>0</v>
      </c>
      <c r="BL115" s="76"/>
      <c r="BM115" s="76" t="s">
        <v>66</v>
      </c>
      <c r="BN115" s="76" t="s">
        <v>18706</v>
      </c>
      <c r="BO115" s="83" t="str">
        <f>HYPERLINK("https://twitter.com/raspay_")</f>
        <v>https://twitter.com/raspay_</v>
      </c>
      <c r="BP115" s="2"/>
    </row>
    <row r="116" spans="1:68" x14ac:dyDescent="0.25">
      <c r="A116" s="62" t="s">
        <v>309</v>
      </c>
      <c r="B116" s="63"/>
      <c r="C116" s="63"/>
      <c r="D116" s="64"/>
      <c r="E116" s="66"/>
      <c r="F116" s="102" t="str">
        <f>HYPERLINK("https://pbs.twimg.com/profile_images/1256931558784671744/CL7mIqmd_normal.jpg")</f>
        <v>https://pbs.twimg.com/profile_images/1256931558784671744/CL7mIqmd_normal.jpg</v>
      </c>
      <c r="G116" s="63"/>
      <c r="H116" s="67"/>
      <c r="I116" s="68"/>
      <c r="J116" s="68"/>
      <c r="K116" s="67" t="s">
        <v>18819</v>
      </c>
      <c r="L116" s="71"/>
      <c r="M116" s="72"/>
      <c r="N116" s="72"/>
      <c r="O116" s="73"/>
      <c r="P116" s="74"/>
      <c r="Q116" s="74"/>
      <c r="R116" s="86"/>
      <c r="S116" s="86"/>
      <c r="T116" s="86"/>
      <c r="U116" s="86"/>
      <c r="V116" s="48"/>
      <c r="W116" s="48"/>
      <c r="X116" s="48"/>
      <c r="Y116" s="48"/>
      <c r="Z116" s="47"/>
      <c r="AA116" s="69">
        <v>116</v>
      </c>
      <c r="AB116" s="69"/>
      <c r="AC116" s="70"/>
      <c r="AD116" s="76" t="s">
        <v>16549</v>
      </c>
      <c r="AE116" s="81" t="s">
        <v>17150</v>
      </c>
      <c r="AF116" s="76">
        <v>97</v>
      </c>
      <c r="AG116" s="76">
        <v>381</v>
      </c>
      <c r="AH116" s="76">
        <v>2067</v>
      </c>
      <c r="AI116" s="76">
        <v>3</v>
      </c>
      <c r="AJ116" s="76">
        <v>846</v>
      </c>
      <c r="AK116" s="76">
        <v>266</v>
      </c>
      <c r="AL116" s="76" t="b">
        <v>0</v>
      </c>
      <c r="AM116" s="78">
        <v>41714.785949074074</v>
      </c>
      <c r="AN116" s="76"/>
      <c r="AO116" s="76" t="s">
        <v>17749</v>
      </c>
      <c r="AP116" s="83" t="str">
        <f>HYPERLINK("https://t.co/nsff9nWzqv")</f>
        <v>https://t.co/nsff9nWzqv</v>
      </c>
      <c r="AQ116" s="83" t="str">
        <f>HYPERLINK("https://comprargeneradordeozono.es")</f>
        <v>https://comprargeneradordeozono.es</v>
      </c>
      <c r="AR116" s="76" t="s">
        <v>18311</v>
      </c>
      <c r="AS116" s="83" t="str">
        <f>HYPERLINK("https://t.co/nsff9nWzqv")</f>
        <v>https://t.co/nsff9nWzqv</v>
      </c>
      <c r="AT116" s="83" t="str">
        <f>HYPERLINK("https://comprargeneradordeozono.es")</f>
        <v>https://comprargeneradordeozono.es</v>
      </c>
      <c r="AU116" s="76" t="s">
        <v>18311</v>
      </c>
      <c r="AV116" s="76"/>
      <c r="AW116" s="83" t="str">
        <f>HYPERLINK("https://t.co/nsff9nWzqv")</f>
        <v>https://t.co/nsff9nWzqv</v>
      </c>
      <c r="AX116" s="76" t="b">
        <v>0</v>
      </c>
      <c r="AY116" s="76"/>
      <c r="AZ116" s="76"/>
      <c r="BA116" s="76" t="b">
        <v>0</v>
      </c>
      <c r="BB116" s="76" t="b">
        <v>1</v>
      </c>
      <c r="BC116" s="76" t="b">
        <v>1</v>
      </c>
      <c r="BD116" s="76" t="b">
        <v>0</v>
      </c>
      <c r="BE116" s="76" t="b">
        <v>0</v>
      </c>
      <c r="BF116" s="76" t="b">
        <v>0</v>
      </c>
      <c r="BG116" s="76" t="b">
        <v>0</v>
      </c>
      <c r="BH116" s="83" t="str">
        <f>HYPERLINK("https://pbs.twimg.com/profile_banners/2393136536/1416011896")</f>
        <v>https://pbs.twimg.com/profile_banners/2393136536/1416011896</v>
      </c>
      <c r="BI116" s="76"/>
      <c r="BJ116" s="76" t="s">
        <v>18705</v>
      </c>
      <c r="BK116" s="76" t="b">
        <v>0</v>
      </c>
      <c r="BL116" s="76"/>
      <c r="BM116" s="76" t="s">
        <v>66</v>
      </c>
      <c r="BN116" s="76" t="s">
        <v>18706</v>
      </c>
      <c r="BO116" s="83" t="str">
        <f>HYPERLINK("https://twitter.com/marketcasero")</f>
        <v>https://twitter.com/marketcasero</v>
      </c>
      <c r="BP116" s="2"/>
    </row>
    <row r="117" spans="1:68" x14ac:dyDescent="0.25">
      <c r="A117" s="62" t="s">
        <v>310</v>
      </c>
      <c r="B117" s="63"/>
      <c r="C117" s="63"/>
      <c r="D117" s="64"/>
      <c r="E117" s="66"/>
      <c r="F117" s="102" t="str">
        <f>HYPERLINK("https://pbs.twimg.com/profile_images/1699367946353627136/qwlOLel-_normal.jpg")</f>
        <v>https://pbs.twimg.com/profile_images/1699367946353627136/qwlOLel-_normal.jpg</v>
      </c>
      <c r="G117" s="63"/>
      <c r="H117" s="67"/>
      <c r="I117" s="68"/>
      <c r="J117" s="68"/>
      <c r="K117" s="67" t="s">
        <v>18820</v>
      </c>
      <c r="L117" s="71"/>
      <c r="M117" s="72"/>
      <c r="N117" s="72"/>
      <c r="O117" s="73"/>
      <c r="P117" s="74"/>
      <c r="Q117" s="74"/>
      <c r="R117" s="86"/>
      <c r="S117" s="86"/>
      <c r="T117" s="86"/>
      <c r="U117" s="86"/>
      <c r="V117" s="48"/>
      <c r="W117" s="48"/>
      <c r="X117" s="48"/>
      <c r="Y117" s="48"/>
      <c r="Z117" s="47"/>
      <c r="AA117" s="69">
        <v>117</v>
      </c>
      <c r="AB117" s="69"/>
      <c r="AC117" s="70"/>
      <c r="AD117" s="76" t="s">
        <v>16550</v>
      </c>
      <c r="AE117" s="81" t="s">
        <v>16152</v>
      </c>
      <c r="AF117" s="76">
        <v>258</v>
      </c>
      <c r="AG117" s="76">
        <v>332</v>
      </c>
      <c r="AH117" s="76">
        <v>28</v>
      </c>
      <c r="AI117" s="76">
        <v>6</v>
      </c>
      <c r="AJ117" s="76">
        <v>3122</v>
      </c>
      <c r="AK117" s="76">
        <v>0</v>
      </c>
      <c r="AL117" s="76" t="b">
        <v>0</v>
      </c>
      <c r="AM117" s="78">
        <v>44989.920057870368</v>
      </c>
      <c r="AN117" s="76"/>
      <c r="AO117" s="76" t="s">
        <v>17750</v>
      </c>
      <c r="AP117" s="76"/>
      <c r="AQ117" s="76"/>
      <c r="AR117" s="76"/>
      <c r="AS117" s="76"/>
      <c r="AT117" s="76"/>
      <c r="AU117" s="76"/>
      <c r="AV117" s="76"/>
      <c r="AW117" s="76"/>
      <c r="AX117" s="76" t="b">
        <v>0</v>
      </c>
      <c r="AY117" s="76"/>
      <c r="AZ117" s="76"/>
      <c r="BA117" s="76" t="b">
        <v>1</v>
      </c>
      <c r="BB117" s="76" t="b">
        <v>1</v>
      </c>
      <c r="BC117" s="76" t="b">
        <v>1</v>
      </c>
      <c r="BD117" s="76" t="b">
        <v>0</v>
      </c>
      <c r="BE117" s="76" t="b">
        <v>0</v>
      </c>
      <c r="BF117" s="76" t="b">
        <v>0</v>
      </c>
      <c r="BG117" s="76" t="b">
        <v>0</v>
      </c>
      <c r="BH117" s="83" t="str">
        <f>HYPERLINK("https://pbs.twimg.com/profile_banners/1632140004695879681/1694108219")</f>
        <v>https://pbs.twimg.com/profile_banners/1632140004695879681/1694108219</v>
      </c>
      <c r="BI117" s="76"/>
      <c r="BJ117" s="76" t="s">
        <v>18704</v>
      </c>
      <c r="BK117" s="76" t="b">
        <v>0</v>
      </c>
      <c r="BL117" s="76"/>
      <c r="BM117" s="76" t="s">
        <v>66</v>
      </c>
      <c r="BN117" s="76" t="s">
        <v>18706</v>
      </c>
      <c r="BO117" s="83" t="str">
        <f>HYPERLINK("https://twitter.com/wallstwealthy")</f>
        <v>https://twitter.com/wallstwealthy</v>
      </c>
      <c r="BP117" s="2"/>
    </row>
    <row r="118" spans="1:68" x14ac:dyDescent="0.25">
      <c r="A118" s="62" t="s">
        <v>311</v>
      </c>
      <c r="B118" s="63"/>
      <c r="C118" s="63"/>
      <c r="D118" s="64"/>
      <c r="E118" s="66"/>
      <c r="F118" s="102" t="str">
        <f>HYPERLINK("https://pbs.twimg.com/profile_images/669861216442040323/LCufdZ2__normal.jpg")</f>
        <v>https://pbs.twimg.com/profile_images/669861216442040323/LCufdZ2__normal.jpg</v>
      </c>
      <c r="G118" s="63"/>
      <c r="H118" s="67"/>
      <c r="I118" s="68"/>
      <c r="J118" s="68"/>
      <c r="K118" s="67" t="s">
        <v>18821</v>
      </c>
      <c r="L118" s="71"/>
      <c r="M118" s="72"/>
      <c r="N118" s="72"/>
      <c r="O118" s="73"/>
      <c r="P118" s="74"/>
      <c r="Q118" s="74"/>
      <c r="R118" s="86"/>
      <c r="S118" s="86"/>
      <c r="T118" s="86"/>
      <c r="U118" s="86"/>
      <c r="V118" s="48"/>
      <c r="W118" s="48"/>
      <c r="X118" s="48"/>
      <c r="Y118" s="48"/>
      <c r="Z118" s="47"/>
      <c r="AA118" s="69">
        <v>118</v>
      </c>
      <c r="AB118" s="69"/>
      <c r="AC118" s="70"/>
      <c r="AD118" s="76" t="s">
        <v>16551</v>
      </c>
      <c r="AE118" s="81" t="s">
        <v>17151</v>
      </c>
      <c r="AF118" s="76">
        <v>515</v>
      </c>
      <c r="AG118" s="76">
        <v>581</v>
      </c>
      <c r="AH118" s="76">
        <v>61003</v>
      </c>
      <c r="AI118" s="76">
        <v>12</v>
      </c>
      <c r="AJ118" s="76">
        <v>142</v>
      </c>
      <c r="AK118" s="76">
        <v>73</v>
      </c>
      <c r="AL118" s="76" t="b">
        <v>0</v>
      </c>
      <c r="AM118" s="78">
        <v>40941.15960648148</v>
      </c>
      <c r="AN118" s="76" t="s">
        <v>17439</v>
      </c>
      <c r="AO118" s="76" t="s">
        <v>17751</v>
      </c>
      <c r="AP118" s="76"/>
      <c r="AQ118" s="76"/>
      <c r="AR118" s="76"/>
      <c r="AS118" s="76"/>
      <c r="AT118" s="76"/>
      <c r="AU118" s="76"/>
      <c r="AV118" s="76"/>
      <c r="AW118" s="76"/>
      <c r="AX118" s="76" t="b">
        <v>0</v>
      </c>
      <c r="AY118" s="76"/>
      <c r="AZ118" s="76"/>
      <c r="BA118" s="76" t="b">
        <v>0</v>
      </c>
      <c r="BB118" s="76" t="b">
        <v>1</v>
      </c>
      <c r="BC118" s="76" t="b">
        <v>0</v>
      </c>
      <c r="BD118" s="76" t="b">
        <v>0</v>
      </c>
      <c r="BE118" s="76" t="b">
        <v>1</v>
      </c>
      <c r="BF118" s="76" t="b">
        <v>0</v>
      </c>
      <c r="BG118" s="76" t="b">
        <v>0</v>
      </c>
      <c r="BH118" s="76"/>
      <c r="BI118" s="76"/>
      <c r="BJ118" s="76" t="s">
        <v>18704</v>
      </c>
      <c r="BK118" s="76" t="b">
        <v>0</v>
      </c>
      <c r="BL118" s="76"/>
      <c r="BM118" s="76" t="s">
        <v>66</v>
      </c>
      <c r="BN118" s="76" t="s">
        <v>18706</v>
      </c>
      <c r="BO118" s="83" t="str">
        <f>HYPERLINK("https://twitter.com/johanfelipe94")</f>
        <v>https://twitter.com/johanfelipe94</v>
      </c>
      <c r="BP118" s="2"/>
    </row>
    <row r="119" spans="1:68" x14ac:dyDescent="0.25">
      <c r="A119" s="62" t="s">
        <v>762</v>
      </c>
      <c r="B119" s="63"/>
      <c r="C119" s="63"/>
      <c r="D119" s="64"/>
      <c r="E119" s="66"/>
      <c r="F119" s="102" t="str">
        <f>HYPERLINK("https://pbs.twimg.com/profile_images/1228511089278824448/n2-4ZrFE_normal.jpg")</f>
        <v>https://pbs.twimg.com/profile_images/1228511089278824448/n2-4ZrFE_normal.jpg</v>
      </c>
      <c r="G119" s="63"/>
      <c r="H119" s="67"/>
      <c r="I119" s="68"/>
      <c r="J119" s="68"/>
      <c r="K119" s="67" t="s">
        <v>18822</v>
      </c>
      <c r="L119" s="71"/>
      <c r="M119" s="72"/>
      <c r="N119" s="72"/>
      <c r="O119" s="73"/>
      <c r="P119" s="74"/>
      <c r="Q119" s="74"/>
      <c r="R119" s="86"/>
      <c r="S119" s="86"/>
      <c r="T119" s="86"/>
      <c r="U119" s="86"/>
      <c r="V119" s="48"/>
      <c r="W119" s="48"/>
      <c r="X119" s="48"/>
      <c r="Y119" s="48"/>
      <c r="Z119" s="47"/>
      <c r="AA119" s="69">
        <v>119</v>
      </c>
      <c r="AB119" s="69"/>
      <c r="AC119" s="70"/>
      <c r="AD119" s="76" t="s">
        <v>16552</v>
      </c>
      <c r="AE119" s="81" t="s">
        <v>17152</v>
      </c>
      <c r="AF119" s="76">
        <v>39444</v>
      </c>
      <c r="AG119" s="76">
        <v>914</v>
      </c>
      <c r="AH119" s="76">
        <v>3746</v>
      </c>
      <c r="AI119" s="76">
        <v>190</v>
      </c>
      <c r="AJ119" s="76">
        <v>2155</v>
      </c>
      <c r="AK119" s="76">
        <v>744</v>
      </c>
      <c r="AL119" s="76" t="b">
        <v>0</v>
      </c>
      <c r="AM119" s="78">
        <v>40016.903437499997</v>
      </c>
      <c r="AN119" s="76" t="s">
        <v>17440</v>
      </c>
      <c r="AO119" s="76" t="s">
        <v>17752</v>
      </c>
      <c r="AP119" s="83" t="str">
        <f>HYPERLINK("https://t.co/qW08ytKg9U")</f>
        <v>https://t.co/qW08ytKg9U</v>
      </c>
      <c r="AQ119" s="83" t="str">
        <f>HYPERLINK("http://www.fedesarrollo.org.co")</f>
        <v>http://www.fedesarrollo.org.co</v>
      </c>
      <c r="AR119" s="76" t="s">
        <v>18312</v>
      </c>
      <c r="AS119" s="76"/>
      <c r="AT119" s="76"/>
      <c r="AU119" s="76"/>
      <c r="AV119" s="76"/>
      <c r="AW119" s="83" t="str">
        <f>HYPERLINK("https://t.co/qW08ytKg9U")</f>
        <v>https://t.co/qW08ytKg9U</v>
      </c>
      <c r="AX119" s="76" t="b">
        <v>0</v>
      </c>
      <c r="AY119" s="76"/>
      <c r="AZ119" s="76"/>
      <c r="BA119" s="76" t="b">
        <v>0</v>
      </c>
      <c r="BB119" s="76" t="b">
        <v>1</v>
      </c>
      <c r="BC119" s="76" t="b">
        <v>0</v>
      </c>
      <c r="BD119" s="76" t="b">
        <v>0</v>
      </c>
      <c r="BE119" s="76" t="b">
        <v>1</v>
      </c>
      <c r="BF119" s="76" t="b">
        <v>0</v>
      </c>
      <c r="BG119" s="76" t="b">
        <v>0</v>
      </c>
      <c r="BH119" s="83" t="str">
        <f>HYPERLINK("https://pbs.twimg.com/profile_banners/59258459/1623989920")</f>
        <v>https://pbs.twimg.com/profile_banners/59258459/1623989920</v>
      </c>
      <c r="BI119" s="76"/>
      <c r="BJ119" s="76" t="s">
        <v>18704</v>
      </c>
      <c r="BK119" s="76" t="b">
        <v>0</v>
      </c>
      <c r="BL119" s="76"/>
      <c r="BM119" s="76" t="s">
        <v>65</v>
      </c>
      <c r="BN119" s="76" t="s">
        <v>18706</v>
      </c>
      <c r="BO119" s="83" t="str">
        <f>HYPERLINK("https://twitter.com/luisfermejia")</f>
        <v>https://twitter.com/luisfermejia</v>
      </c>
      <c r="BP119" s="2"/>
    </row>
    <row r="120" spans="1:68" x14ac:dyDescent="0.25">
      <c r="A120" s="62" t="s">
        <v>763</v>
      </c>
      <c r="B120" s="63"/>
      <c r="C120" s="63"/>
      <c r="D120" s="64"/>
      <c r="E120" s="66"/>
      <c r="F120" s="102" t="str">
        <f>HYPERLINK("https://pbs.twimg.com/profile_images/1631815075752292352/g0Qtwb8z_normal.jpg")</f>
        <v>https://pbs.twimg.com/profile_images/1631815075752292352/g0Qtwb8z_normal.jpg</v>
      </c>
      <c r="G120" s="63"/>
      <c r="H120" s="67"/>
      <c r="I120" s="68"/>
      <c r="J120" s="68"/>
      <c r="K120" s="67" t="s">
        <v>18823</v>
      </c>
      <c r="L120" s="71"/>
      <c r="M120" s="72"/>
      <c r="N120" s="72"/>
      <c r="O120" s="73"/>
      <c r="P120" s="74"/>
      <c r="Q120" s="74"/>
      <c r="R120" s="86"/>
      <c r="S120" s="86"/>
      <c r="T120" s="86"/>
      <c r="U120" s="86"/>
      <c r="V120" s="48"/>
      <c r="W120" s="48"/>
      <c r="X120" s="48"/>
      <c r="Y120" s="48"/>
      <c r="Z120" s="47"/>
      <c r="AA120" s="69">
        <v>120</v>
      </c>
      <c r="AB120" s="69"/>
      <c r="AC120" s="70"/>
      <c r="AD120" s="76" t="s">
        <v>16553</v>
      </c>
      <c r="AE120" s="81" t="s">
        <v>17153</v>
      </c>
      <c r="AF120" s="76">
        <v>6991532</v>
      </c>
      <c r="AG120" s="76">
        <v>2719</v>
      </c>
      <c r="AH120" s="76">
        <v>145142</v>
      </c>
      <c r="AI120" s="76">
        <v>6178</v>
      </c>
      <c r="AJ120" s="76">
        <v>22960</v>
      </c>
      <c r="AK120" s="76">
        <v>10383</v>
      </c>
      <c r="AL120" s="76" t="b">
        <v>0</v>
      </c>
      <c r="AM120" s="78">
        <v>39987.086238425924</v>
      </c>
      <c r="AN120" s="76" t="s">
        <v>17441</v>
      </c>
      <c r="AO120" s="76" t="s">
        <v>17753</v>
      </c>
      <c r="AP120" s="83" t="str">
        <f>HYPERLINK("https://t.co/EX6or3gzHj")</f>
        <v>https://t.co/EX6or3gzHj</v>
      </c>
      <c r="AQ120" s="83" t="str">
        <f>HYPERLINK("http://www.gustavopetro.co")</f>
        <v>http://www.gustavopetro.co</v>
      </c>
      <c r="AR120" s="76" t="s">
        <v>18313</v>
      </c>
      <c r="AS120" s="76"/>
      <c r="AT120" s="76"/>
      <c r="AU120" s="76"/>
      <c r="AV120" s="76">
        <v>1.7067088367555699E+18</v>
      </c>
      <c r="AW120" s="83" t="str">
        <f>HYPERLINK("https://t.co/EX6or3gzHj")</f>
        <v>https://t.co/EX6or3gzHj</v>
      </c>
      <c r="AX120" s="76" t="b">
        <v>1</v>
      </c>
      <c r="AY120" s="76"/>
      <c r="AZ120" s="76"/>
      <c r="BA120" s="76" t="b">
        <v>1</v>
      </c>
      <c r="BB120" s="76" t="b">
        <v>1</v>
      </c>
      <c r="BC120" s="76" t="b">
        <v>0</v>
      </c>
      <c r="BD120" s="76" t="b">
        <v>0</v>
      </c>
      <c r="BE120" s="76" t="b">
        <v>1</v>
      </c>
      <c r="BF120" s="76" t="b">
        <v>0</v>
      </c>
      <c r="BG120" s="76" t="b">
        <v>0</v>
      </c>
      <c r="BH120" s="83" t="str">
        <f>HYPERLINK("https://pbs.twimg.com/profile_banners/49849732/1694136277")</f>
        <v>https://pbs.twimg.com/profile_banners/49849732/1694136277</v>
      </c>
      <c r="BI120" s="76"/>
      <c r="BJ120" s="76" t="s">
        <v>18705</v>
      </c>
      <c r="BK120" s="76" t="b">
        <v>0</v>
      </c>
      <c r="BL120" s="76"/>
      <c r="BM120" s="76" t="s">
        <v>65</v>
      </c>
      <c r="BN120" s="76" t="s">
        <v>18706</v>
      </c>
      <c r="BO120" s="83" t="str">
        <f>HYPERLINK("https://twitter.com/petrogustavo")</f>
        <v>https://twitter.com/petrogustavo</v>
      </c>
      <c r="BP120" s="2"/>
    </row>
    <row r="121" spans="1:68" x14ac:dyDescent="0.25">
      <c r="A121" s="62" t="s">
        <v>312</v>
      </c>
      <c r="B121" s="63"/>
      <c r="C121" s="63"/>
      <c r="D121" s="64"/>
      <c r="E121" s="66"/>
      <c r="F121" s="102" t="str">
        <f>HYPERLINK("https://pbs.twimg.com/profile_images/1701016883343077377/Kyp579w8_normal.jpg")</f>
        <v>https://pbs.twimg.com/profile_images/1701016883343077377/Kyp579w8_normal.jpg</v>
      </c>
      <c r="G121" s="63"/>
      <c r="H121" s="67"/>
      <c r="I121" s="68"/>
      <c r="J121" s="68"/>
      <c r="K121" s="67" t="s">
        <v>18824</v>
      </c>
      <c r="L121" s="71"/>
      <c r="M121" s="72"/>
      <c r="N121" s="72"/>
      <c r="O121" s="73"/>
      <c r="P121" s="74"/>
      <c r="Q121" s="74"/>
      <c r="R121" s="86"/>
      <c r="S121" s="86"/>
      <c r="T121" s="86"/>
      <c r="U121" s="86"/>
      <c r="V121" s="48"/>
      <c r="W121" s="48"/>
      <c r="X121" s="48"/>
      <c r="Y121" s="48"/>
      <c r="Z121" s="47"/>
      <c r="AA121" s="69">
        <v>121</v>
      </c>
      <c r="AB121" s="69"/>
      <c r="AC121" s="70"/>
      <c r="AD121" s="76" t="s">
        <v>16554</v>
      </c>
      <c r="AE121" s="81" t="s">
        <v>16153</v>
      </c>
      <c r="AF121" s="76">
        <v>1</v>
      </c>
      <c r="AG121" s="76">
        <v>20</v>
      </c>
      <c r="AH121" s="76">
        <v>11</v>
      </c>
      <c r="AI121" s="76">
        <v>0</v>
      </c>
      <c r="AJ121" s="76">
        <v>19</v>
      </c>
      <c r="AK121" s="76">
        <v>0</v>
      </c>
      <c r="AL121" s="76" t="b">
        <v>0</v>
      </c>
      <c r="AM121" s="78">
        <v>45179.982002314813</v>
      </c>
      <c r="AN121" s="76"/>
      <c r="AO121" s="76"/>
      <c r="AP121" s="76"/>
      <c r="AQ121" s="76"/>
      <c r="AR121" s="76"/>
      <c r="AS121" s="76"/>
      <c r="AT121" s="76"/>
      <c r="AU121" s="76"/>
      <c r="AV121" s="76"/>
      <c r="AW121" s="76"/>
      <c r="AX121" s="76" t="b">
        <v>0</v>
      </c>
      <c r="AY121" s="76"/>
      <c r="AZ121" s="76"/>
      <c r="BA121" s="76" t="b">
        <v>0</v>
      </c>
      <c r="BB121" s="76" t="b">
        <v>1</v>
      </c>
      <c r="BC121" s="76" t="b">
        <v>1</v>
      </c>
      <c r="BD121" s="76" t="b">
        <v>0</v>
      </c>
      <c r="BE121" s="76" t="b">
        <v>0</v>
      </c>
      <c r="BF121" s="76" t="b">
        <v>0</v>
      </c>
      <c r="BG121" s="76" t="b">
        <v>0</v>
      </c>
      <c r="BH121" s="76"/>
      <c r="BI121" s="76"/>
      <c r="BJ121" s="76" t="s">
        <v>18704</v>
      </c>
      <c r="BK121" s="76" t="b">
        <v>0</v>
      </c>
      <c r="BL121" s="76"/>
      <c r="BM121" s="76" t="s">
        <v>66</v>
      </c>
      <c r="BN121" s="76" t="s">
        <v>18706</v>
      </c>
      <c r="BO121" s="83" t="str">
        <f>HYPERLINK("https://twitter.com/kawanandradec")</f>
        <v>https://twitter.com/kawanandradec</v>
      </c>
      <c r="BP121" s="2"/>
    </row>
    <row r="122" spans="1:68" x14ac:dyDescent="0.25">
      <c r="A122" s="62" t="s">
        <v>313</v>
      </c>
      <c r="B122" s="63"/>
      <c r="C122" s="63"/>
      <c r="D122" s="64"/>
      <c r="E122" s="66"/>
      <c r="F122" s="102" t="str">
        <f>HYPERLINK("https://pbs.twimg.com/profile_images/1689377510700584960/POq7HoEV_normal.jpg")</f>
        <v>https://pbs.twimg.com/profile_images/1689377510700584960/POq7HoEV_normal.jpg</v>
      </c>
      <c r="G122" s="63"/>
      <c r="H122" s="67"/>
      <c r="I122" s="68"/>
      <c r="J122" s="68"/>
      <c r="K122" s="67" t="s">
        <v>18825</v>
      </c>
      <c r="L122" s="71"/>
      <c r="M122" s="72"/>
      <c r="N122" s="72"/>
      <c r="O122" s="73"/>
      <c r="P122" s="74"/>
      <c r="Q122" s="74"/>
      <c r="R122" s="86"/>
      <c r="S122" s="86"/>
      <c r="T122" s="86"/>
      <c r="U122" s="86"/>
      <c r="V122" s="48"/>
      <c r="W122" s="48"/>
      <c r="X122" s="48"/>
      <c r="Y122" s="48"/>
      <c r="Z122" s="47"/>
      <c r="AA122" s="69">
        <v>122</v>
      </c>
      <c r="AB122" s="69"/>
      <c r="AC122" s="70"/>
      <c r="AD122" s="76" t="s">
        <v>16555</v>
      </c>
      <c r="AE122" s="81" t="s">
        <v>16154</v>
      </c>
      <c r="AF122" s="76">
        <v>20</v>
      </c>
      <c r="AG122" s="76">
        <v>169</v>
      </c>
      <c r="AH122" s="76">
        <v>1046</v>
      </c>
      <c r="AI122" s="76">
        <v>0</v>
      </c>
      <c r="AJ122" s="76">
        <v>2615</v>
      </c>
      <c r="AK122" s="76">
        <v>934</v>
      </c>
      <c r="AL122" s="76" t="b">
        <v>0</v>
      </c>
      <c r="AM122" s="78">
        <v>44934.635949074072</v>
      </c>
      <c r="AN122" s="76" t="s">
        <v>10607</v>
      </c>
      <c r="AO122" s="76" t="s">
        <v>17754</v>
      </c>
      <c r="AP122" s="83" t="str">
        <f>HYPERLINK("https://t.co/7BUIJWt2F0")</f>
        <v>https://t.co/7BUIJWt2F0</v>
      </c>
      <c r="AQ122" s="83" t="str">
        <f>HYPERLINK("https://www.youtube.com/playlist?list=PLBeaxGVsgNiO0-tICLp1lrxB2h03hD2v2")</f>
        <v>https://www.youtube.com/playlist?list=PLBeaxGVsgNiO0-tICLp1lrxB2h03hD2v2</v>
      </c>
      <c r="AR122" s="76" t="s">
        <v>18314</v>
      </c>
      <c r="AS122" s="76"/>
      <c r="AT122" s="76"/>
      <c r="AU122" s="76"/>
      <c r="AV122" s="76"/>
      <c r="AW122" s="83" t="str">
        <f>HYPERLINK("https://t.co/7BUIJWt2F0")</f>
        <v>https://t.co/7BUIJWt2F0</v>
      </c>
      <c r="AX122" s="76" t="b">
        <v>0</v>
      </c>
      <c r="AY122" s="76"/>
      <c r="AZ122" s="76"/>
      <c r="BA122" s="76" t="b">
        <v>0</v>
      </c>
      <c r="BB122" s="76" t="b">
        <v>1</v>
      </c>
      <c r="BC122" s="76" t="b">
        <v>1</v>
      </c>
      <c r="BD122" s="76" t="b">
        <v>0</v>
      </c>
      <c r="BE122" s="76" t="b">
        <v>0</v>
      </c>
      <c r="BF122" s="76" t="b">
        <v>0</v>
      </c>
      <c r="BG122" s="76" t="b">
        <v>0</v>
      </c>
      <c r="BH122" s="83" t="str">
        <f>HYPERLINK("https://pbs.twimg.com/profile_banners/1612105648036012036/1694000880")</f>
        <v>https://pbs.twimg.com/profile_banners/1612105648036012036/1694000880</v>
      </c>
      <c r="BI122" s="76"/>
      <c r="BJ122" s="76" t="s">
        <v>18704</v>
      </c>
      <c r="BK122" s="76" t="b">
        <v>0</v>
      </c>
      <c r="BL122" s="76"/>
      <c r="BM122" s="76" t="s">
        <v>66</v>
      </c>
      <c r="BN122" s="76" t="s">
        <v>18706</v>
      </c>
      <c r="BO122" s="83" t="str">
        <f>HYPERLINK("https://twitter.com/sigler_marcia")</f>
        <v>https://twitter.com/sigler_marcia</v>
      </c>
      <c r="BP122" s="2"/>
    </row>
    <row r="123" spans="1:68" x14ac:dyDescent="0.25">
      <c r="A123" s="62" t="s">
        <v>314</v>
      </c>
      <c r="B123" s="63"/>
      <c r="C123" s="63"/>
      <c r="D123" s="64"/>
      <c r="E123" s="66"/>
      <c r="F123" s="102" t="str">
        <f>HYPERLINK("https://pbs.twimg.com/profile_images/1560322817538899971/-F4UkFrn_normal.jpg")</f>
        <v>https://pbs.twimg.com/profile_images/1560322817538899971/-F4UkFrn_normal.jpg</v>
      </c>
      <c r="G123" s="63"/>
      <c r="H123" s="67"/>
      <c r="I123" s="68"/>
      <c r="J123" s="68"/>
      <c r="K123" s="67" t="s">
        <v>18826</v>
      </c>
      <c r="L123" s="71"/>
      <c r="M123" s="72"/>
      <c r="N123" s="72"/>
      <c r="O123" s="73"/>
      <c r="P123" s="74"/>
      <c r="Q123" s="74"/>
      <c r="R123" s="86"/>
      <c r="S123" s="86"/>
      <c r="T123" s="86"/>
      <c r="U123" s="86"/>
      <c r="V123" s="48"/>
      <c r="W123" s="48"/>
      <c r="X123" s="48"/>
      <c r="Y123" s="48"/>
      <c r="Z123" s="47"/>
      <c r="AA123" s="69">
        <v>123</v>
      </c>
      <c r="AB123" s="69"/>
      <c r="AC123" s="70"/>
      <c r="AD123" s="76" t="s">
        <v>16556</v>
      </c>
      <c r="AE123" s="81" t="s">
        <v>17154</v>
      </c>
      <c r="AF123" s="76">
        <v>1366</v>
      </c>
      <c r="AG123" s="76">
        <v>2590</v>
      </c>
      <c r="AH123" s="76">
        <v>6054</v>
      </c>
      <c r="AI123" s="76">
        <v>41</v>
      </c>
      <c r="AJ123" s="76">
        <v>8745</v>
      </c>
      <c r="AK123" s="76">
        <v>308</v>
      </c>
      <c r="AL123" s="76" t="b">
        <v>0</v>
      </c>
      <c r="AM123" s="78">
        <v>40698.885300925926</v>
      </c>
      <c r="AN123" s="76" t="s">
        <v>17442</v>
      </c>
      <c r="AO123" s="76" t="s">
        <v>17755</v>
      </c>
      <c r="AP123" s="83" t="str">
        <f>HYPERLINK("https://t.co/bDq02pdg2h")</f>
        <v>https://t.co/bDq02pdg2h</v>
      </c>
      <c r="AQ123" s="83" t="str">
        <f>HYPERLINK("http://linkedin.com/in/massimopoli1981")</f>
        <v>http://linkedin.com/in/massimopoli1981</v>
      </c>
      <c r="AR123" s="76" t="s">
        <v>18315</v>
      </c>
      <c r="AS123" s="83" t="str">
        <f>HYPERLINK("https://t.co/7aT73d7XJ7")</f>
        <v>https://t.co/7aT73d7XJ7</v>
      </c>
      <c r="AT123" s="83" t="str">
        <f>HYPERLINK("http://www.smartenergy.net")</f>
        <v>http://www.smartenergy.net</v>
      </c>
      <c r="AU123" s="76" t="s">
        <v>18657</v>
      </c>
      <c r="AV123" s="76"/>
      <c r="AW123" s="83" t="str">
        <f>HYPERLINK("https://t.co/bDq02pdg2h")</f>
        <v>https://t.co/bDq02pdg2h</v>
      </c>
      <c r="AX123" s="76" t="b">
        <v>1</v>
      </c>
      <c r="AY123" s="76"/>
      <c r="AZ123" s="76"/>
      <c r="BA123" s="76" t="b">
        <v>0</v>
      </c>
      <c r="BB123" s="76" t="b">
        <v>1</v>
      </c>
      <c r="BC123" s="76" t="b">
        <v>0</v>
      </c>
      <c r="BD123" s="76" t="b">
        <v>0</v>
      </c>
      <c r="BE123" s="76" t="b">
        <v>1</v>
      </c>
      <c r="BF123" s="76" t="b">
        <v>0</v>
      </c>
      <c r="BG123" s="76" t="b">
        <v>0</v>
      </c>
      <c r="BH123" s="83" t="str">
        <f>HYPERLINK("https://pbs.twimg.com/profile_banners/311075294/1682114544")</f>
        <v>https://pbs.twimg.com/profile_banners/311075294/1682114544</v>
      </c>
      <c r="BI123" s="76"/>
      <c r="BJ123" s="76" t="s">
        <v>18704</v>
      </c>
      <c r="BK123" s="76" t="b">
        <v>0</v>
      </c>
      <c r="BL123" s="76"/>
      <c r="BM123" s="76" t="s">
        <v>66</v>
      </c>
      <c r="BN123" s="76" t="s">
        <v>18706</v>
      </c>
      <c r="BO123" s="83" t="str">
        <f>HYPERLINK("https://twitter.com/massimopoli")</f>
        <v>https://twitter.com/massimopoli</v>
      </c>
      <c r="BP123" s="2"/>
    </row>
    <row r="124" spans="1:68" x14ac:dyDescent="0.25">
      <c r="A124" s="62" t="s">
        <v>764</v>
      </c>
      <c r="B124" s="63"/>
      <c r="C124" s="63"/>
      <c r="D124" s="64"/>
      <c r="E124" s="66"/>
      <c r="F124" s="102" t="str">
        <f>HYPERLINK("https://pbs.twimg.com/profile_images/1604963284234522628/iE4FVsKt_normal.jpg")</f>
        <v>https://pbs.twimg.com/profile_images/1604963284234522628/iE4FVsKt_normal.jpg</v>
      </c>
      <c r="G124" s="63"/>
      <c r="H124" s="67"/>
      <c r="I124" s="68"/>
      <c r="J124" s="68"/>
      <c r="K124" s="67" t="s">
        <v>18827</v>
      </c>
      <c r="L124" s="71"/>
      <c r="M124" s="72"/>
      <c r="N124" s="72"/>
      <c r="O124" s="73"/>
      <c r="P124" s="74"/>
      <c r="Q124" s="74"/>
      <c r="R124" s="86"/>
      <c r="S124" s="86"/>
      <c r="T124" s="86"/>
      <c r="U124" s="86"/>
      <c r="V124" s="48"/>
      <c r="W124" s="48"/>
      <c r="X124" s="48"/>
      <c r="Y124" s="48"/>
      <c r="Z124" s="47"/>
      <c r="AA124" s="69">
        <v>124</v>
      </c>
      <c r="AB124" s="69"/>
      <c r="AC124" s="70"/>
      <c r="AD124" s="76" t="s">
        <v>16557</v>
      </c>
      <c r="AE124" s="81" t="s">
        <v>15919</v>
      </c>
      <c r="AF124" s="76">
        <v>395</v>
      </c>
      <c r="AG124" s="76">
        <v>125</v>
      </c>
      <c r="AH124" s="76">
        <v>406</v>
      </c>
      <c r="AI124" s="76">
        <v>1</v>
      </c>
      <c r="AJ124" s="76">
        <v>632</v>
      </c>
      <c r="AK124" s="76">
        <v>296</v>
      </c>
      <c r="AL124" s="76" t="b">
        <v>0</v>
      </c>
      <c r="AM124" s="78">
        <v>44911.94195601852</v>
      </c>
      <c r="AN124" s="76"/>
      <c r="AO124" s="76" t="s">
        <v>17756</v>
      </c>
      <c r="AP124" s="83" t="str">
        <f>HYPERLINK("https://t.co/nKdzolSVhN")</f>
        <v>https://t.co/nKdzolSVhN</v>
      </c>
      <c r="AQ124" s="83" t="str">
        <f>HYPERLINK("https://www.facebook.com/GiovanniMaioranoUfficiale")</f>
        <v>https://www.facebook.com/GiovanniMaioranoUfficiale</v>
      </c>
      <c r="AR124" s="76" t="s">
        <v>18316</v>
      </c>
      <c r="AS124" s="76"/>
      <c r="AT124" s="76"/>
      <c r="AU124" s="76"/>
      <c r="AV124" s="76">
        <v>1.66693684149535E+18</v>
      </c>
      <c r="AW124" s="83" t="str">
        <f>HYPERLINK("https://t.co/nKdzolSVhN")</f>
        <v>https://t.co/nKdzolSVhN</v>
      </c>
      <c r="AX124" s="76" t="b">
        <v>0</v>
      </c>
      <c r="AY124" s="76"/>
      <c r="AZ124" s="76"/>
      <c r="BA124" s="76" t="b">
        <v>0</v>
      </c>
      <c r="BB124" s="76" t="b">
        <v>1</v>
      </c>
      <c r="BC124" s="76" t="b">
        <v>1</v>
      </c>
      <c r="BD124" s="76" t="b">
        <v>0</v>
      </c>
      <c r="BE124" s="76" t="b">
        <v>0</v>
      </c>
      <c r="BF124" s="76" t="b">
        <v>0</v>
      </c>
      <c r="BG124" s="76" t="b">
        <v>0</v>
      </c>
      <c r="BH124" s="83" t="str">
        <f>HYPERLINK("https://pbs.twimg.com/profile_banners/1603881513661173762/1671488338")</f>
        <v>https://pbs.twimg.com/profile_banners/1603881513661173762/1671488338</v>
      </c>
      <c r="BI124" s="76"/>
      <c r="BJ124" s="76" t="s">
        <v>18704</v>
      </c>
      <c r="BK124" s="76" t="b">
        <v>0</v>
      </c>
      <c r="BL124" s="76"/>
      <c r="BM124" s="76" t="s">
        <v>65</v>
      </c>
      <c r="BN124" s="76" t="s">
        <v>18706</v>
      </c>
      <c r="BO124" s="83" t="str">
        <f>HYPERLINK("https://twitter.com/giomaiorano_")</f>
        <v>https://twitter.com/giomaiorano_</v>
      </c>
      <c r="BP124" s="2"/>
    </row>
    <row r="125" spans="1:68" x14ac:dyDescent="0.25">
      <c r="A125" s="62" t="s">
        <v>765</v>
      </c>
      <c r="B125" s="63"/>
      <c r="C125" s="63"/>
      <c r="D125" s="64"/>
      <c r="E125" s="66"/>
      <c r="F125" s="102" t="str">
        <f>HYPERLINK("https://pbs.twimg.com/profile_images/1595042497910259715/V2-dL0cp_normal.jpg")</f>
        <v>https://pbs.twimg.com/profile_images/1595042497910259715/V2-dL0cp_normal.jpg</v>
      </c>
      <c r="G125" s="63"/>
      <c r="H125" s="67"/>
      <c r="I125" s="68"/>
      <c r="J125" s="68"/>
      <c r="K125" s="67" t="s">
        <v>18828</v>
      </c>
      <c r="L125" s="71"/>
      <c r="M125" s="72"/>
      <c r="N125" s="72"/>
      <c r="O125" s="73"/>
      <c r="P125" s="74"/>
      <c r="Q125" s="74"/>
      <c r="R125" s="86"/>
      <c r="S125" s="86"/>
      <c r="T125" s="86"/>
      <c r="U125" s="86"/>
      <c r="V125" s="48"/>
      <c r="W125" s="48"/>
      <c r="X125" s="48"/>
      <c r="Y125" s="48"/>
      <c r="Z125" s="47"/>
      <c r="AA125" s="69">
        <v>125</v>
      </c>
      <c r="AB125" s="69"/>
      <c r="AC125" s="70"/>
      <c r="AD125" s="76" t="s">
        <v>16558</v>
      </c>
      <c r="AE125" s="81" t="s">
        <v>15920</v>
      </c>
      <c r="AF125" s="76">
        <v>31226</v>
      </c>
      <c r="AG125" s="76">
        <v>4497</v>
      </c>
      <c r="AH125" s="76">
        <v>40054</v>
      </c>
      <c r="AI125" s="76">
        <v>167</v>
      </c>
      <c r="AJ125" s="76">
        <v>16357</v>
      </c>
      <c r="AK125" s="76">
        <v>3385</v>
      </c>
      <c r="AL125" s="76" t="b">
        <v>0</v>
      </c>
      <c r="AM125" s="78">
        <v>41214.742256944446</v>
      </c>
      <c r="AN125" s="76" t="s">
        <v>17443</v>
      </c>
      <c r="AO125" s="76" t="s">
        <v>17757</v>
      </c>
      <c r="AP125" s="83" t="str">
        <f>HYPERLINK("https://t.co/KZCpB50DyP")</f>
        <v>https://t.co/KZCpB50DyP</v>
      </c>
      <c r="AQ125" s="83" t="str">
        <f>HYPERLINK("http://www.luciomalan.it")</f>
        <v>http://www.luciomalan.it</v>
      </c>
      <c r="AR125" s="76" t="s">
        <v>18317</v>
      </c>
      <c r="AS125" s="76"/>
      <c r="AT125" s="76"/>
      <c r="AU125" s="76"/>
      <c r="AV125" s="76"/>
      <c r="AW125" s="83" t="str">
        <f>HYPERLINK("https://t.co/KZCpB50DyP")</f>
        <v>https://t.co/KZCpB50DyP</v>
      </c>
      <c r="AX125" s="76" t="b">
        <v>1</v>
      </c>
      <c r="AY125" s="76"/>
      <c r="AZ125" s="76"/>
      <c r="BA125" s="76" t="b">
        <v>1</v>
      </c>
      <c r="BB125" s="76" t="b">
        <v>1</v>
      </c>
      <c r="BC125" s="76" t="b">
        <v>1</v>
      </c>
      <c r="BD125" s="76" t="b">
        <v>0</v>
      </c>
      <c r="BE125" s="76" t="b">
        <v>1</v>
      </c>
      <c r="BF125" s="76" t="b">
        <v>0</v>
      </c>
      <c r="BG125" s="76" t="b">
        <v>0</v>
      </c>
      <c r="BH125" s="83" t="str">
        <f>HYPERLINK("https://pbs.twimg.com/profile_banners/919526072/1674734210")</f>
        <v>https://pbs.twimg.com/profile_banners/919526072/1674734210</v>
      </c>
      <c r="BI125" s="76"/>
      <c r="BJ125" s="76" t="s">
        <v>18704</v>
      </c>
      <c r="BK125" s="76" t="b">
        <v>0</v>
      </c>
      <c r="BL125" s="76"/>
      <c r="BM125" s="76" t="s">
        <v>65</v>
      </c>
      <c r="BN125" s="76" t="s">
        <v>18706</v>
      </c>
      <c r="BO125" s="83" t="str">
        <f>HYPERLINK("https://twitter.com/luciomalan")</f>
        <v>https://twitter.com/luciomalan</v>
      </c>
      <c r="BP125" s="2"/>
    </row>
    <row r="126" spans="1:68" x14ac:dyDescent="0.25">
      <c r="A126" s="62" t="s">
        <v>315</v>
      </c>
      <c r="B126" s="63"/>
      <c r="C126" s="63"/>
      <c r="D126" s="64"/>
      <c r="E126" s="66"/>
      <c r="F126" s="102" t="str">
        <f>HYPERLINK("https://pbs.twimg.com/profile_images/1309137982411206656/w0KdKLTc_normal.jpg")</f>
        <v>https://pbs.twimg.com/profile_images/1309137982411206656/w0KdKLTc_normal.jpg</v>
      </c>
      <c r="G126" s="63"/>
      <c r="H126" s="67"/>
      <c r="I126" s="68"/>
      <c r="J126" s="68"/>
      <c r="K126" s="67" t="s">
        <v>18829</v>
      </c>
      <c r="L126" s="71"/>
      <c r="M126" s="72"/>
      <c r="N126" s="72"/>
      <c r="O126" s="73"/>
      <c r="P126" s="74"/>
      <c r="Q126" s="74"/>
      <c r="R126" s="86"/>
      <c r="S126" s="86"/>
      <c r="T126" s="86"/>
      <c r="U126" s="86"/>
      <c r="V126" s="48"/>
      <c r="W126" s="48"/>
      <c r="X126" s="48"/>
      <c r="Y126" s="48"/>
      <c r="Z126" s="47"/>
      <c r="AA126" s="69">
        <v>126</v>
      </c>
      <c r="AB126" s="69"/>
      <c r="AC126" s="70"/>
      <c r="AD126" s="76" t="s">
        <v>16559</v>
      </c>
      <c r="AE126" s="81" t="s">
        <v>16155</v>
      </c>
      <c r="AF126" s="76">
        <v>3338</v>
      </c>
      <c r="AG126" s="76">
        <v>5001</v>
      </c>
      <c r="AH126" s="76">
        <v>278362</v>
      </c>
      <c r="AI126" s="76">
        <v>3</v>
      </c>
      <c r="AJ126" s="76">
        <v>45948</v>
      </c>
      <c r="AK126" s="76">
        <v>114</v>
      </c>
      <c r="AL126" s="76" t="b">
        <v>0</v>
      </c>
      <c r="AM126" s="78">
        <v>42564.694062499999</v>
      </c>
      <c r="AN126" s="76"/>
      <c r="AO126" s="76" t="s">
        <v>17758</v>
      </c>
      <c r="AP126" s="76"/>
      <c r="AQ126" s="76"/>
      <c r="AR126" s="76"/>
      <c r="AS126" s="76"/>
      <c r="AT126" s="76"/>
      <c r="AU126" s="76"/>
      <c r="AV126" s="76">
        <v>9.8628763420399206E+17</v>
      </c>
      <c r="AW126" s="76"/>
      <c r="AX126" s="76" t="b">
        <v>0</v>
      </c>
      <c r="AY126" s="76"/>
      <c r="AZ126" s="76"/>
      <c r="BA126" s="76" t="b">
        <v>0</v>
      </c>
      <c r="BB126" s="76" t="b">
        <v>0</v>
      </c>
      <c r="BC126" s="76" t="b">
        <v>0</v>
      </c>
      <c r="BD126" s="76" t="b">
        <v>0</v>
      </c>
      <c r="BE126" s="76" t="b">
        <v>1</v>
      </c>
      <c r="BF126" s="76" t="b">
        <v>0</v>
      </c>
      <c r="BG126" s="76" t="b">
        <v>0</v>
      </c>
      <c r="BH126" s="83" t="str">
        <f>HYPERLINK("https://pbs.twimg.com/profile_banners/753267606472232960/1655898925")</f>
        <v>https://pbs.twimg.com/profile_banners/753267606472232960/1655898925</v>
      </c>
      <c r="BI126" s="76"/>
      <c r="BJ126" s="76" t="s">
        <v>18704</v>
      </c>
      <c r="BK126" s="76" t="b">
        <v>0</v>
      </c>
      <c r="BL126" s="76"/>
      <c r="BM126" s="76" t="s">
        <v>66</v>
      </c>
      <c r="BN126" s="76" t="s">
        <v>18706</v>
      </c>
      <c r="BO126" s="83" t="str">
        <f>HYPERLINK("https://twitter.com/el82ye78")</f>
        <v>https://twitter.com/el82ye78</v>
      </c>
      <c r="BP126" s="2"/>
    </row>
    <row r="127" spans="1:68" x14ac:dyDescent="0.25">
      <c r="A127" s="62" t="s">
        <v>316</v>
      </c>
      <c r="B127" s="63"/>
      <c r="C127" s="63"/>
      <c r="D127" s="64"/>
      <c r="E127" s="66"/>
      <c r="F127" s="102" t="str">
        <f>HYPERLINK("https://pbs.twimg.com/profile_images/804299616/dalmo-com-a-corneta_normal.jpg")</f>
        <v>https://pbs.twimg.com/profile_images/804299616/dalmo-com-a-corneta_normal.jpg</v>
      </c>
      <c r="G127" s="63"/>
      <c r="H127" s="67"/>
      <c r="I127" s="68"/>
      <c r="J127" s="68"/>
      <c r="K127" s="67" t="s">
        <v>18830</v>
      </c>
      <c r="L127" s="71"/>
      <c r="M127" s="72"/>
      <c r="N127" s="72"/>
      <c r="O127" s="73"/>
      <c r="P127" s="74"/>
      <c r="Q127" s="74"/>
      <c r="R127" s="86"/>
      <c r="S127" s="86"/>
      <c r="T127" s="86"/>
      <c r="U127" s="86"/>
      <c r="V127" s="48"/>
      <c r="W127" s="48"/>
      <c r="X127" s="48"/>
      <c r="Y127" s="48"/>
      <c r="Z127" s="47"/>
      <c r="AA127" s="69">
        <v>127</v>
      </c>
      <c r="AB127" s="69"/>
      <c r="AC127" s="70"/>
      <c r="AD127" s="76" t="s">
        <v>16560</v>
      </c>
      <c r="AE127" s="81" t="s">
        <v>17155</v>
      </c>
      <c r="AF127" s="76">
        <v>16574</v>
      </c>
      <c r="AG127" s="76">
        <v>181</v>
      </c>
      <c r="AH127" s="76">
        <v>123354</v>
      </c>
      <c r="AI127" s="76">
        <v>140</v>
      </c>
      <c r="AJ127" s="76">
        <v>663</v>
      </c>
      <c r="AK127" s="76">
        <v>41197</v>
      </c>
      <c r="AL127" s="76" t="b">
        <v>0</v>
      </c>
      <c r="AM127" s="78">
        <v>39776.796944444446</v>
      </c>
      <c r="AN127" s="76" t="s">
        <v>17444</v>
      </c>
      <c r="AO127" s="76" t="s">
        <v>17759</v>
      </c>
      <c r="AP127" s="83" t="str">
        <f>HYPERLINK("https://t.co/nTLtrvv75q")</f>
        <v>https://t.co/nTLtrvv75q</v>
      </c>
      <c r="AQ127" s="83" t="str">
        <f>HYPERLINK("http://www.diarinho.net")</f>
        <v>http://www.diarinho.net</v>
      </c>
      <c r="AR127" s="76" t="s">
        <v>6493</v>
      </c>
      <c r="AS127" s="76"/>
      <c r="AT127" s="76"/>
      <c r="AU127" s="76"/>
      <c r="AV127" s="76">
        <v>1.7073447316240399E+18</v>
      </c>
      <c r="AW127" s="83" t="str">
        <f>HYPERLINK("https://t.co/nTLtrvv75q")</f>
        <v>https://t.co/nTLtrvv75q</v>
      </c>
      <c r="AX127" s="76" t="b">
        <v>1</v>
      </c>
      <c r="AY127" s="76"/>
      <c r="AZ127" s="76"/>
      <c r="BA127" s="76" t="b">
        <v>0</v>
      </c>
      <c r="BB127" s="76" t="b">
        <v>1</v>
      </c>
      <c r="BC127" s="76" t="b">
        <v>0</v>
      </c>
      <c r="BD127" s="76" t="b">
        <v>0</v>
      </c>
      <c r="BE127" s="76" t="b">
        <v>1</v>
      </c>
      <c r="BF127" s="76" t="b">
        <v>0</v>
      </c>
      <c r="BG127" s="76" t="b">
        <v>1</v>
      </c>
      <c r="BH127" s="83" t="str">
        <f>HYPERLINK("https://pbs.twimg.com/profile_banners/17598409/1678718329")</f>
        <v>https://pbs.twimg.com/profile_banners/17598409/1678718329</v>
      </c>
      <c r="BI127" s="76" t="s">
        <v>18703</v>
      </c>
      <c r="BJ127" s="76" t="s">
        <v>18704</v>
      </c>
      <c r="BK127" s="76" t="b">
        <v>0</v>
      </c>
      <c r="BL127" s="76"/>
      <c r="BM127" s="76" t="s">
        <v>66</v>
      </c>
      <c r="BN127" s="76" t="s">
        <v>18706</v>
      </c>
      <c r="BO127" s="83" t="str">
        <f>HYPERLINK("https://twitter.com/diarinho")</f>
        <v>https://twitter.com/diarinho</v>
      </c>
      <c r="BP127" s="2"/>
    </row>
    <row r="128" spans="1:68" x14ac:dyDescent="0.25">
      <c r="A128" s="62" t="s">
        <v>317</v>
      </c>
      <c r="B128" s="63"/>
      <c r="C128" s="63"/>
      <c r="D128" s="64"/>
      <c r="E128" s="66"/>
      <c r="F128" s="102" t="str">
        <f>HYPERLINK("https://pbs.twimg.com/profile_images/1605267928575778829/qCL_v0gL_normal.jpg")</f>
        <v>https://pbs.twimg.com/profile_images/1605267928575778829/qCL_v0gL_normal.jpg</v>
      </c>
      <c r="G128" s="63"/>
      <c r="H128" s="67"/>
      <c r="I128" s="68"/>
      <c r="J128" s="68"/>
      <c r="K128" s="67" t="s">
        <v>18831</v>
      </c>
      <c r="L128" s="71"/>
      <c r="M128" s="72"/>
      <c r="N128" s="72"/>
      <c r="O128" s="73"/>
      <c r="P128" s="74"/>
      <c r="Q128" s="74"/>
      <c r="R128" s="86"/>
      <c r="S128" s="86"/>
      <c r="T128" s="86"/>
      <c r="U128" s="86"/>
      <c r="V128" s="48"/>
      <c r="W128" s="48"/>
      <c r="X128" s="48"/>
      <c r="Y128" s="48"/>
      <c r="Z128" s="47"/>
      <c r="AA128" s="69">
        <v>128</v>
      </c>
      <c r="AB128" s="69"/>
      <c r="AC128" s="70"/>
      <c r="AD128" s="76" t="s">
        <v>16561</v>
      </c>
      <c r="AE128" s="81" t="s">
        <v>16156</v>
      </c>
      <c r="AF128" s="76">
        <v>54</v>
      </c>
      <c r="AG128" s="76">
        <v>6</v>
      </c>
      <c r="AH128" s="76">
        <v>659</v>
      </c>
      <c r="AI128" s="76">
        <v>0</v>
      </c>
      <c r="AJ128" s="76">
        <v>152</v>
      </c>
      <c r="AK128" s="76">
        <v>461</v>
      </c>
      <c r="AL128" s="76" t="b">
        <v>0</v>
      </c>
      <c r="AM128" s="78">
        <v>43609.732372685183</v>
      </c>
      <c r="AN128" s="76"/>
      <c r="AO128" s="76" t="s">
        <v>17760</v>
      </c>
      <c r="AP128" s="76"/>
      <c r="AQ128" s="76"/>
      <c r="AR128" s="76"/>
      <c r="AS128" s="76"/>
      <c r="AT128" s="76"/>
      <c r="AU128" s="76"/>
      <c r="AV128" s="76"/>
      <c r="AW128" s="76"/>
      <c r="AX128" s="76" t="b">
        <v>0</v>
      </c>
      <c r="AY128" s="76"/>
      <c r="AZ128" s="76"/>
      <c r="BA128" s="76" t="b">
        <v>0</v>
      </c>
      <c r="BB128" s="76" t="b">
        <v>1</v>
      </c>
      <c r="BC128" s="76" t="b">
        <v>0</v>
      </c>
      <c r="BD128" s="76" t="b">
        <v>0</v>
      </c>
      <c r="BE128" s="76" t="b">
        <v>0</v>
      </c>
      <c r="BF128" s="76" t="b">
        <v>0</v>
      </c>
      <c r="BG128" s="76" t="b">
        <v>0</v>
      </c>
      <c r="BH128" s="83" t="str">
        <f>HYPERLINK("https://pbs.twimg.com/profile_banners/1131976809204125696/1655150405")</f>
        <v>https://pbs.twimg.com/profile_banners/1131976809204125696/1655150405</v>
      </c>
      <c r="BI128" s="76"/>
      <c r="BJ128" s="76" t="s">
        <v>18704</v>
      </c>
      <c r="BK128" s="76" t="b">
        <v>0</v>
      </c>
      <c r="BL128" s="76"/>
      <c r="BM128" s="76" t="s">
        <v>66</v>
      </c>
      <c r="BN128" s="76" t="s">
        <v>18706</v>
      </c>
      <c r="BO128" s="83" t="str">
        <f>HYPERLINK("https://twitter.com/eep_fumep")</f>
        <v>https://twitter.com/eep_fumep</v>
      </c>
      <c r="BP128" s="2"/>
    </row>
    <row r="129" spans="1:68" x14ac:dyDescent="0.25">
      <c r="A129" s="62" t="s">
        <v>318</v>
      </c>
      <c r="B129" s="63"/>
      <c r="C129" s="63"/>
      <c r="D129" s="64"/>
      <c r="E129" s="66"/>
      <c r="F129" s="102" t="str">
        <f>HYPERLINK("https://pbs.twimg.com/profile_images/1675963250465288192/BtFKOzI6_normal.jpg")</f>
        <v>https://pbs.twimg.com/profile_images/1675963250465288192/BtFKOzI6_normal.jpg</v>
      </c>
      <c r="G129" s="63"/>
      <c r="H129" s="67"/>
      <c r="I129" s="68"/>
      <c r="J129" s="68"/>
      <c r="K129" s="67" t="s">
        <v>18832</v>
      </c>
      <c r="L129" s="71"/>
      <c r="M129" s="72"/>
      <c r="N129" s="72"/>
      <c r="O129" s="73"/>
      <c r="P129" s="74"/>
      <c r="Q129" s="74"/>
      <c r="R129" s="86"/>
      <c r="S129" s="86"/>
      <c r="T129" s="86"/>
      <c r="U129" s="86"/>
      <c r="V129" s="48"/>
      <c r="W129" s="48"/>
      <c r="X129" s="48"/>
      <c r="Y129" s="48"/>
      <c r="Z129" s="47"/>
      <c r="AA129" s="69">
        <v>129</v>
      </c>
      <c r="AB129" s="69"/>
      <c r="AC129" s="70"/>
      <c r="AD129" s="76" t="s">
        <v>318</v>
      </c>
      <c r="AE129" s="81" t="s">
        <v>17156</v>
      </c>
      <c r="AF129" s="76">
        <v>13</v>
      </c>
      <c r="AG129" s="76">
        <v>44</v>
      </c>
      <c r="AH129" s="76">
        <v>773</v>
      </c>
      <c r="AI129" s="76">
        <v>0</v>
      </c>
      <c r="AJ129" s="76">
        <v>531</v>
      </c>
      <c r="AK129" s="76">
        <v>42</v>
      </c>
      <c r="AL129" s="76" t="b">
        <v>0</v>
      </c>
      <c r="AM129" s="78">
        <v>40541.276030092595</v>
      </c>
      <c r="AN129" s="76" t="s">
        <v>17445</v>
      </c>
      <c r="AO129" s="76" t="s">
        <v>17761</v>
      </c>
      <c r="AP129" s="76"/>
      <c r="AQ129" s="76"/>
      <c r="AR129" s="76"/>
      <c r="AS129" s="76"/>
      <c r="AT129" s="76"/>
      <c r="AU129" s="76"/>
      <c r="AV129" s="76"/>
      <c r="AW129" s="76"/>
      <c r="AX129" s="76" t="b">
        <v>0</v>
      </c>
      <c r="AY129" s="76"/>
      <c r="AZ129" s="76"/>
      <c r="BA129" s="76" t="b">
        <v>0</v>
      </c>
      <c r="BB129" s="76" t="b">
        <v>1</v>
      </c>
      <c r="BC129" s="76" t="b">
        <v>1</v>
      </c>
      <c r="BD129" s="76" t="b">
        <v>0</v>
      </c>
      <c r="BE129" s="76" t="b">
        <v>0</v>
      </c>
      <c r="BF129" s="76" t="b">
        <v>0</v>
      </c>
      <c r="BG129" s="76" t="b">
        <v>0</v>
      </c>
      <c r="BH129" s="83" t="str">
        <f>HYPERLINK("https://pbs.twimg.com/profile_banners/231700444/1688477164")</f>
        <v>https://pbs.twimg.com/profile_banners/231700444/1688477164</v>
      </c>
      <c r="BI129" s="76"/>
      <c r="BJ129" s="76" t="s">
        <v>18704</v>
      </c>
      <c r="BK129" s="76" t="b">
        <v>0</v>
      </c>
      <c r="BL129" s="76"/>
      <c r="BM129" s="76" t="s">
        <v>66</v>
      </c>
      <c r="BN129" s="76" t="s">
        <v>18706</v>
      </c>
      <c r="BO129" s="83" t="str">
        <f>HYPERLINK("https://twitter.com/keyfallent")</f>
        <v>https://twitter.com/keyfallent</v>
      </c>
      <c r="BP129" s="2"/>
    </row>
    <row r="130" spans="1:68" x14ac:dyDescent="0.25">
      <c r="A130" s="62" t="s">
        <v>319</v>
      </c>
      <c r="B130" s="63"/>
      <c r="C130" s="63"/>
      <c r="D130" s="64"/>
      <c r="E130" s="66"/>
      <c r="F130" s="102" t="str">
        <f>HYPERLINK("https://pbs.twimg.com/profile_images/1681886401225162753/GHU6ie80_normal.jpg")</f>
        <v>https://pbs.twimg.com/profile_images/1681886401225162753/GHU6ie80_normal.jpg</v>
      </c>
      <c r="G130" s="63"/>
      <c r="H130" s="67"/>
      <c r="I130" s="68"/>
      <c r="J130" s="68"/>
      <c r="K130" s="67" t="s">
        <v>18833</v>
      </c>
      <c r="L130" s="71"/>
      <c r="M130" s="72"/>
      <c r="N130" s="72"/>
      <c r="O130" s="73"/>
      <c r="P130" s="74"/>
      <c r="Q130" s="74"/>
      <c r="R130" s="86"/>
      <c r="S130" s="86"/>
      <c r="T130" s="86"/>
      <c r="U130" s="86"/>
      <c r="V130" s="48"/>
      <c r="W130" s="48"/>
      <c r="X130" s="48"/>
      <c r="Y130" s="48"/>
      <c r="Z130" s="47"/>
      <c r="AA130" s="69">
        <v>130</v>
      </c>
      <c r="AB130" s="69"/>
      <c r="AC130" s="70"/>
      <c r="AD130" s="76" t="s">
        <v>16562</v>
      </c>
      <c r="AE130" s="81" t="s">
        <v>16157</v>
      </c>
      <c r="AF130" s="76">
        <v>0</v>
      </c>
      <c r="AG130" s="76">
        <v>13</v>
      </c>
      <c r="AH130" s="76">
        <v>8</v>
      </c>
      <c r="AI130" s="76">
        <v>0</v>
      </c>
      <c r="AJ130" s="76">
        <v>2</v>
      </c>
      <c r="AK130" s="76">
        <v>0</v>
      </c>
      <c r="AL130" s="76" t="b">
        <v>0</v>
      </c>
      <c r="AM130" s="78">
        <v>45127.190069444441</v>
      </c>
      <c r="AN130" s="76"/>
      <c r="AO130" s="76" t="s">
        <v>17762</v>
      </c>
      <c r="AP130" s="76"/>
      <c r="AQ130" s="76"/>
      <c r="AR130" s="76"/>
      <c r="AS130" s="83" t="str">
        <f>HYPERLINK("https://t.co/vr4NigfbkR")</f>
        <v>https://t.co/vr4NigfbkR</v>
      </c>
      <c r="AT130" s="83" t="str">
        <f>HYPERLINK("https://www.twitch.tv/keynesionomia")</f>
        <v>https://www.twitch.tv/keynesionomia</v>
      </c>
      <c r="AU130" s="76" t="s">
        <v>18658</v>
      </c>
      <c r="AV130" s="76"/>
      <c r="AW130" s="76"/>
      <c r="AX130" s="76" t="b">
        <v>0</v>
      </c>
      <c r="AY130" s="76"/>
      <c r="AZ130" s="76"/>
      <c r="BA130" s="76" t="b">
        <v>0</v>
      </c>
      <c r="BB130" s="76" t="b">
        <v>1</v>
      </c>
      <c r="BC130" s="76" t="b">
        <v>1</v>
      </c>
      <c r="BD130" s="76" t="b">
        <v>0</v>
      </c>
      <c r="BE130" s="76" t="b">
        <v>0</v>
      </c>
      <c r="BF130" s="76" t="b">
        <v>0</v>
      </c>
      <c r="BG130" s="76" t="b">
        <v>0</v>
      </c>
      <c r="BH130" s="76"/>
      <c r="BI130" s="76"/>
      <c r="BJ130" s="76" t="s">
        <v>18704</v>
      </c>
      <c r="BK130" s="76" t="b">
        <v>0</v>
      </c>
      <c r="BL130" s="76"/>
      <c r="BM130" s="76" t="s">
        <v>66</v>
      </c>
      <c r="BN130" s="76" t="s">
        <v>18706</v>
      </c>
      <c r="BO130" s="83" t="str">
        <f>HYPERLINK("https://twitter.com/keynesionomia")</f>
        <v>https://twitter.com/keynesionomia</v>
      </c>
      <c r="BP130" s="2"/>
    </row>
    <row r="131" spans="1:68" x14ac:dyDescent="0.25">
      <c r="A131" s="62" t="s">
        <v>320</v>
      </c>
      <c r="B131" s="63"/>
      <c r="C131" s="63"/>
      <c r="D131" s="64"/>
      <c r="E131" s="66"/>
      <c r="F131" s="102" t="str">
        <f>HYPERLINK("https://pbs.twimg.com/profile_images/1323758908658298882/79Ji5FBc_normal.jpg")</f>
        <v>https://pbs.twimg.com/profile_images/1323758908658298882/79Ji5FBc_normal.jpg</v>
      </c>
      <c r="G131" s="63"/>
      <c r="H131" s="67"/>
      <c r="I131" s="68"/>
      <c r="J131" s="68"/>
      <c r="K131" s="67" t="s">
        <v>18834</v>
      </c>
      <c r="L131" s="71"/>
      <c r="M131" s="72"/>
      <c r="N131" s="72"/>
      <c r="O131" s="73"/>
      <c r="P131" s="74"/>
      <c r="Q131" s="74"/>
      <c r="R131" s="86"/>
      <c r="S131" s="86"/>
      <c r="T131" s="86"/>
      <c r="U131" s="86"/>
      <c r="V131" s="48"/>
      <c r="W131" s="48"/>
      <c r="X131" s="48"/>
      <c r="Y131" s="48"/>
      <c r="Z131" s="47"/>
      <c r="AA131" s="69">
        <v>131</v>
      </c>
      <c r="AB131" s="69"/>
      <c r="AC131" s="70"/>
      <c r="AD131" s="76" t="s">
        <v>16563</v>
      </c>
      <c r="AE131" s="81" t="s">
        <v>15921</v>
      </c>
      <c r="AF131" s="76">
        <v>135</v>
      </c>
      <c r="AG131" s="76">
        <v>1014</v>
      </c>
      <c r="AH131" s="76">
        <v>917</v>
      </c>
      <c r="AI131" s="76">
        <v>8</v>
      </c>
      <c r="AJ131" s="76">
        <v>927</v>
      </c>
      <c r="AK131" s="76">
        <v>205</v>
      </c>
      <c r="AL131" s="76" t="b">
        <v>0</v>
      </c>
      <c r="AM131" s="78">
        <v>40434.658090277779</v>
      </c>
      <c r="AN131" s="76" t="s">
        <v>17446</v>
      </c>
      <c r="AO131" s="76" t="s">
        <v>17763</v>
      </c>
      <c r="AP131" s="76"/>
      <c r="AQ131" s="76"/>
      <c r="AR131" s="76"/>
      <c r="AS131" s="76"/>
      <c r="AT131" s="76"/>
      <c r="AU131" s="76"/>
      <c r="AV131" s="76"/>
      <c r="AW131" s="76"/>
      <c r="AX131" s="76" t="b">
        <v>0</v>
      </c>
      <c r="AY131" s="76"/>
      <c r="AZ131" s="76"/>
      <c r="BA131" s="76" t="b">
        <v>0</v>
      </c>
      <c r="BB131" s="76" t="b">
        <v>1</v>
      </c>
      <c r="BC131" s="76" t="b">
        <v>0</v>
      </c>
      <c r="BD131" s="76" t="b">
        <v>0</v>
      </c>
      <c r="BE131" s="76" t="b">
        <v>1</v>
      </c>
      <c r="BF131" s="76" t="b">
        <v>0</v>
      </c>
      <c r="BG131" s="76" t="b">
        <v>0</v>
      </c>
      <c r="BH131" s="83" t="str">
        <f>HYPERLINK("https://pbs.twimg.com/profile_banners/190292183/1604443724")</f>
        <v>https://pbs.twimg.com/profile_banners/190292183/1604443724</v>
      </c>
      <c r="BI131" s="76"/>
      <c r="BJ131" s="76" t="s">
        <v>18704</v>
      </c>
      <c r="BK131" s="76" t="b">
        <v>0</v>
      </c>
      <c r="BL131" s="76"/>
      <c r="BM131" s="76" t="s">
        <v>66</v>
      </c>
      <c r="BN131" s="76" t="s">
        <v>18706</v>
      </c>
      <c r="BO131" s="83" t="str">
        <f>HYPERLINK("https://twitter.com/ayronferreira")</f>
        <v>https://twitter.com/ayronferreira</v>
      </c>
      <c r="BP131" s="2"/>
    </row>
    <row r="132" spans="1:68" x14ac:dyDescent="0.25">
      <c r="A132" s="62" t="s">
        <v>321</v>
      </c>
      <c r="B132" s="63"/>
      <c r="C132" s="63"/>
      <c r="D132" s="64"/>
      <c r="E132" s="66"/>
      <c r="F132" s="102" t="str">
        <f>HYPERLINK("https://pbs.twimg.com/profile_images/1641559324974563330/WhHAId3b_normal.png")</f>
        <v>https://pbs.twimg.com/profile_images/1641559324974563330/WhHAId3b_normal.png</v>
      </c>
      <c r="G132" s="63"/>
      <c r="H132" s="67"/>
      <c r="I132" s="68"/>
      <c r="J132" s="68"/>
      <c r="K132" s="67" t="s">
        <v>18835</v>
      </c>
      <c r="L132" s="71"/>
      <c r="M132" s="72"/>
      <c r="N132" s="72"/>
      <c r="O132" s="73"/>
      <c r="P132" s="74"/>
      <c r="Q132" s="74"/>
      <c r="R132" s="86"/>
      <c r="S132" s="86"/>
      <c r="T132" s="86"/>
      <c r="U132" s="86"/>
      <c r="V132" s="48"/>
      <c r="W132" s="48"/>
      <c r="X132" s="48"/>
      <c r="Y132" s="48"/>
      <c r="Z132" s="47"/>
      <c r="AA132" s="69">
        <v>132</v>
      </c>
      <c r="AB132" s="69"/>
      <c r="AC132" s="70"/>
      <c r="AD132" s="76" t="s">
        <v>16564</v>
      </c>
      <c r="AE132" s="81" t="s">
        <v>16158</v>
      </c>
      <c r="AF132" s="76">
        <v>15</v>
      </c>
      <c r="AG132" s="76">
        <v>14</v>
      </c>
      <c r="AH132" s="76">
        <v>47</v>
      </c>
      <c r="AI132" s="76">
        <v>0</v>
      </c>
      <c r="AJ132" s="76">
        <v>15</v>
      </c>
      <c r="AK132" s="76">
        <v>29</v>
      </c>
      <c r="AL132" s="76" t="b">
        <v>0</v>
      </c>
      <c r="AM132" s="78">
        <v>45015.912222222221</v>
      </c>
      <c r="AN132" s="76"/>
      <c r="AO132" s="76" t="s">
        <v>17764</v>
      </c>
      <c r="AP132" s="83" t="str">
        <f>HYPERLINK("https://t.co/zHI8KWtT4v")</f>
        <v>https://t.co/zHI8KWtT4v</v>
      </c>
      <c r="AQ132" s="83" t="str">
        <f>HYPERLINK("https://linkr.bio/deriv")</f>
        <v>https://linkr.bio/deriv</v>
      </c>
      <c r="AR132" s="76" t="s">
        <v>18318</v>
      </c>
      <c r="AS132" s="76"/>
      <c r="AT132" s="76"/>
      <c r="AU132" s="76"/>
      <c r="AV132" s="76"/>
      <c r="AW132" s="83" t="str">
        <f>HYPERLINK("https://t.co/zHI8KWtT4v")</f>
        <v>https://t.co/zHI8KWtT4v</v>
      </c>
      <c r="AX132" s="76" t="b">
        <v>0</v>
      </c>
      <c r="AY132" s="76"/>
      <c r="AZ132" s="76"/>
      <c r="BA132" s="76" t="b">
        <v>0</v>
      </c>
      <c r="BB132" s="76" t="b">
        <v>1</v>
      </c>
      <c r="BC132" s="76" t="b">
        <v>1</v>
      </c>
      <c r="BD132" s="76" t="b">
        <v>0</v>
      </c>
      <c r="BE132" s="76" t="b">
        <v>0</v>
      </c>
      <c r="BF132" s="76" t="b">
        <v>0</v>
      </c>
      <c r="BG132" s="76" t="b">
        <v>0</v>
      </c>
      <c r="BH132" s="76"/>
      <c r="BI132" s="76"/>
      <c r="BJ132" s="76" t="s">
        <v>18704</v>
      </c>
      <c r="BK132" s="76" t="b">
        <v>0</v>
      </c>
      <c r="BL132" s="76"/>
      <c r="BM132" s="76" t="s">
        <v>66</v>
      </c>
      <c r="BN132" s="76" t="s">
        <v>18706</v>
      </c>
      <c r="BO132" s="83" t="str">
        <f>HYPERLINK("https://twitter.com/edsonderiv")</f>
        <v>https://twitter.com/edsonderiv</v>
      </c>
      <c r="BP132" s="2"/>
    </row>
    <row r="133" spans="1:68" x14ac:dyDescent="0.25">
      <c r="A133" s="62" t="s">
        <v>322</v>
      </c>
      <c r="B133" s="63"/>
      <c r="C133" s="63"/>
      <c r="D133" s="64"/>
      <c r="E133" s="66"/>
      <c r="F133" s="102" t="str">
        <f>HYPERLINK("https://pbs.twimg.com/profile_images/1619161712967434240/ISM2hv8y_normal.png")</f>
        <v>https://pbs.twimg.com/profile_images/1619161712967434240/ISM2hv8y_normal.png</v>
      </c>
      <c r="G133" s="63"/>
      <c r="H133" s="67"/>
      <c r="I133" s="68"/>
      <c r="J133" s="68"/>
      <c r="K133" s="67" t="s">
        <v>18836</v>
      </c>
      <c r="L133" s="71"/>
      <c r="M133" s="72"/>
      <c r="N133" s="72"/>
      <c r="O133" s="73"/>
      <c r="P133" s="74"/>
      <c r="Q133" s="74"/>
      <c r="R133" s="86"/>
      <c r="S133" s="86"/>
      <c r="T133" s="86"/>
      <c r="U133" s="86"/>
      <c r="V133" s="48"/>
      <c r="W133" s="48"/>
      <c r="X133" s="48"/>
      <c r="Y133" s="48"/>
      <c r="Z133" s="47"/>
      <c r="AA133" s="69">
        <v>133</v>
      </c>
      <c r="AB133" s="69"/>
      <c r="AC133" s="70"/>
      <c r="AD133" s="76" t="s">
        <v>16565</v>
      </c>
      <c r="AE133" s="81" t="s">
        <v>16159</v>
      </c>
      <c r="AF133" s="76">
        <v>105</v>
      </c>
      <c r="AG133" s="76">
        <v>1</v>
      </c>
      <c r="AH133" s="76">
        <v>5085</v>
      </c>
      <c r="AI133" s="76">
        <v>2</v>
      </c>
      <c r="AJ133" s="76">
        <v>484</v>
      </c>
      <c r="AK133" s="76">
        <v>2</v>
      </c>
      <c r="AL133" s="76" t="b">
        <v>0</v>
      </c>
      <c r="AM133" s="78">
        <v>44954.106226851851</v>
      </c>
      <c r="AN133" s="76" t="s">
        <v>17447</v>
      </c>
      <c r="AO133" s="76" t="s">
        <v>17765</v>
      </c>
      <c r="AP133" s="83" t="str">
        <f>HYPERLINK("https://t.co/6zM1sTDnwp")</f>
        <v>https://t.co/6zM1sTDnwp</v>
      </c>
      <c r="AQ133" s="83" t="str">
        <f>HYPERLINK("https://www.falkcapital.com.br")</f>
        <v>https://www.falkcapital.com.br</v>
      </c>
      <c r="AR133" s="76" t="s">
        <v>18319</v>
      </c>
      <c r="AS133" s="76"/>
      <c r="AT133" s="76"/>
      <c r="AU133" s="76"/>
      <c r="AV133" s="76">
        <v>1.6231241475544699E+18</v>
      </c>
      <c r="AW133" s="83" t="str">
        <f>HYPERLINK("https://t.co/6zM1sTDnwp")</f>
        <v>https://t.co/6zM1sTDnwp</v>
      </c>
      <c r="AX133" s="76" t="b">
        <v>0</v>
      </c>
      <c r="AY133" s="76"/>
      <c r="AZ133" s="76"/>
      <c r="BA133" s="76" t="b">
        <v>0</v>
      </c>
      <c r="BB133" s="76" t="b">
        <v>1</v>
      </c>
      <c r="BC133" s="76" t="b">
        <v>1</v>
      </c>
      <c r="BD133" s="76" t="b">
        <v>0</v>
      </c>
      <c r="BE133" s="76" t="b">
        <v>0</v>
      </c>
      <c r="BF133" s="76" t="b">
        <v>0</v>
      </c>
      <c r="BG133" s="76" t="b">
        <v>0</v>
      </c>
      <c r="BH133" s="83" t="str">
        <f>HYPERLINK("https://pbs.twimg.com/profile_banners/1619161540866850818/1692242078")</f>
        <v>https://pbs.twimg.com/profile_banners/1619161540866850818/1692242078</v>
      </c>
      <c r="BI133" s="76"/>
      <c r="BJ133" s="76" t="s">
        <v>18704</v>
      </c>
      <c r="BK133" s="76" t="b">
        <v>0</v>
      </c>
      <c r="BL133" s="76"/>
      <c r="BM133" s="76" t="s">
        <v>66</v>
      </c>
      <c r="BN133" s="76" t="s">
        <v>18706</v>
      </c>
      <c r="BO133" s="83" t="str">
        <f>HYPERLINK("https://twitter.com/falkalertas")</f>
        <v>https://twitter.com/falkalertas</v>
      </c>
      <c r="BP133" s="2"/>
    </row>
    <row r="134" spans="1:68" x14ac:dyDescent="0.25">
      <c r="A134" s="62" t="s">
        <v>568</v>
      </c>
      <c r="B134" s="63"/>
      <c r="C134" s="63"/>
      <c r="D134" s="64"/>
      <c r="E134" s="66"/>
      <c r="F134" s="102" t="str">
        <f>HYPERLINK("https://pbs.twimg.com/profile_images/1623099129726484485/efR1z8CS_normal.png")</f>
        <v>https://pbs.twimg.com/profile_images/1623099129726484485/efR1z8CS_normal.png</v>
      </c>
      <c r="G134" s="63"/>
      <c r="H134" s="67"/>
      <c r="I134" s="68"/>
      <c r="J134" s="68"/>
      <c r="K134" s="67" t="s">
        <v>18837</v>
      </c>
      <c r="L134" s="71"/>
      <c r="M134" s="72"/>
      <c r="N134" s="72"/>
      <c r="O134" s="73"/>
      <c r="P134" s="74"/>
      <c r="Q134" s="74"/>
      <c r="R134" s="86"/>
      <c r="S134" s="86"/>
      <c r="T134" s="86"/>
      <c r="U134" s="86"/>
      <c r="V134" s="48"/>
      <c r="W134" s="48"/>
      <c r="X134" s="48"/>
      <c r="Y134" s="48"/>
      <c r="Z134" s="47"/>
      <c r="AA134" s="69">
        <v>134</v>
      </c>
      <c r="AB134" s="69"/>
      <c r="AC134" s="70"/>
      <c r="AD134" s="76" t="s">
        <v>16566</v>
      </c>
      <c r="AE134" s="81" t="s">
        <v>16302</v>
      </c>
      <c r="AF134" s="76">
        <v>23</v>
      </c>
      <c r="AG134" s="76">
        <v>22</v>
      </c>
      <c r="AH134" s="76">
        <v>404</v>
      </c>
      <c r="AI134" s="76">
        <v>0</v>
      </c>
      <c r="AJ134" s="76">
        <v>111</v>
      </c>
      <c r="AK134" s="76">
        <v>44</v>
      </c>
      <c r="AL134" s="76" t="b">
        <v>0</v>
      </c>
      <c r="AM134" s="78">
        <v>44964.971412037034</v>
      </c>
      <c r="AN134" s="76"/>
      <c r="AO134" s="76" t="s">
        <v>17766</v>
      </c>
      <c r="AP134" s="83" t="str">
        <f>HYPERLINK("https://t.co/3O2bWSKOJy")</f>
        <v>https://t.co/3O2bWSKOJy</v>
      </c>
      <c r="AQ134" s="83" t="str">
        <f>HYPERLINK("https://www.falkcapital.com.br/")</f>
        <v>https://www.falkcapital.com.br/</v>
      </c>
      <c r="AR134" s="76" t="s">
        <v>18319</v>
      </c>
      <c r="AS134" s="76"/>
      <c r="AT134" s="76"/>
      <c r="AU134" s="76"/>
      <c r="AV134" s="76">
        <v>1.6231010909704399E+18</v>
      </c>
      <c r="AW134" s="83" t="str">
        <f>HYPERLINK("https://t.co/3O2bWSKOJy")</f>
        <v>https://t.co/3O2bWSKOJy</v>
      </c>
      <c r="AX134" s="76" t="b">
        <v>0</v>
      </c>
      <c r="AY134" s="76"/>
      <c r="AZ134" s="76"/>
      <c r="BA134" s="76" t="b">
        <v>0</v>
      </c>
      <c r="BB134" s="76" t="b">
        <v>1</v>
      </c>
      <c r="BC134" s="76" t="b">
        <v>1</v>
      </c>
      <c r="BD134" s="76" t="b">
        <v>0</v>
      </c>
      <c r="BE134" s="76" t="b">
        <v>0</v>
      </c>
      <c r="BF134" s="76" t="b">
        <v>0</v>
      </c>
      <c r="BG134" s="76" t="b">
        <v>0</v>
      </c>
      <c r="BH134" s="83" t="str">
        <f>HYPERLINK("https://pbs.twimg.com/profile_banners/1623098958401732610/1692242144")</f>
        <v>https://pbs.twimg.com/profile_banners/1623098958401732610/1692242144</v>
      </c>
      <c r="BI134" s="76"/>
      <c r="BJ134" s="76" t="s">
        <v>18704</v>
      </c>
      <c r="BK134" s="76" t="b">
        <v>0</v>
      </c>
      <c r="BL134" s="76"/>
      <c r="BM134" s="76" t="s">
        <v>66</v>
      </c>
      <c r="BN134" s="76" t="s">
        <v>18706</v>
      </c>
      <c r="BO134" s="83" t="str">
        <f>HYPERLINK("https://twitter.com/falkcapital")</f>
        <v>https://twitter.com/falkcapital</v>
      </c>
      <c r="BP134" s="2"/>
    </row>
    <row r="135" spans="1:68" x14ac:dyDescent="0.25">
      <c r="A135" s="62" t="s">
        <v>323</v>
      </c>
      <c r="B135" s="63"/>
      <c r="C135" s="63"/>
      <c r="D135" s="64"/>
      <c r="E135" s="66"/>
      <c r="F135" s="102" t="str">
        <f>HYPERLINK("https://pbs.twimg.com/profile_images/1703986930399027200/YxMVS9f7_normal.jpg")</f>
        <v>https://pbs.twimg.com/profile_images/1703986930399027200/YxMVS9f7_normal.jpg</v>
      </c>
      <c r="G135" s="63"/>
      <c r="H135" s="67"/>
      <c r="I135" s="68"/>
      <c r="J135" s="68"/>
      <c r="K135" s="67" t="s">
        <v>18838</v>
      </c>
      <c r="L135" s="71"/>
      <c r="M135" s="72"/>
      <c r="N135" s="72"/>
      <c r="O135" s="73"/>
      <c r="P135" s="74"/>
      <c r="Q135" s="74"/>
      <c r="R135" s="86"/>
      <c r="S135" s="86"/>
      <c r="T135" s="86"/>
      <c r="U135" s="86"/>
      <c r="V135" s="48"/>
      <c r="W135" s="48"/>
      <c r="X135" s="48"/>
      <c r="Y135" s="48"/>
      <c r="Z135" s="47"/>
      <c r="AA135" s="69">
        <v>135</v>
      </c>
      <c r="AB135" s="69"/>
      <c r="AC135" s="70"/>
      <c r="AD135" s="76" t="s">
        <v>16567</v>
      </c>
      <c r="AE135" s="81" t="s">
        <v>16160</v>
      </c>
      <c r="AF135" s="76">
        <v>7</v>
      </c>
      <c r="AG135" s="76">
        <v>234</v>
      </c>
      <c r="AH135" s="76">
        <v>220</v>
      </c>
      <c r="AI135" s="76">
        <v>0</v>
      </c>
      <c r="AJ135" s="76">
        <v>2988</v>
      </c>
      <c r="AK135" s="76">
        <v>13</v>
      </c>
      <c r="AL135" s="76" t="b">
        <v>0</v>
      </c>
      <c r="AM135" s="78">
        <v>43486.201458333337</v>
      </c>
      <c r="AN135" s="76" t="s">
        <v>17402</v>
      </c>
      <c r="AO135" s="76"/>
      <c r="AP135" s="76"/>
      <c r="AQ135" s="76"/>
      <c r="AR135" s="76"/>
      <c r="AS135" s="76"/>
      <c r="AT135" s="76"/>
      <c r="AU135" s="76"/>
      <c r="AV135" s="76"/>
      <c r="AW135" s="76"/>
      <c r="AX135" s="76" t="b">
        <v>0</v>
      </c>
      <c r="AY135" s="76"/>
      <c r="AZ135" s="76"/>
      <c r="BA135" s="76" t="b">
        <v>1</v>
      </c>
      <c r="BB135" s="76" t="b">
        <v>0</v>
      </c>
      <c r="BC135" s="76" t="b">
        <v>1</v>
      </c>
      <c r="BD135" s="76" t="b">
        <v>0</v>
      </c>
      <c r="BE135" s="76" t="b">
        <v>1</v>
      </c>
      <c r="BF135" s="76" t="b">
        <v>0</v>
      </c>
      <c r="BG135" s="76" t="b">
        <v>0</v>
      </c>
      <c r="BH135" s="76"/>
      <c r="BI135" s="76"/>
      <c r="BJ135" s="76" t="s">
        <v>18704</v>
      </c>
      <c r="BK135" s="76" t="b">
        <v>0</v>
      </c>
      <c r="BL135" s="76"/>
      <c r="BM135" s="76" t="s">
        <v>66</v>
      </c>
      <c r="BN135" s="76" t="s">
        <v>18706</v>
      </c>
      <c r="BO135" s="83" t="str">
        <f>HYPERLINK("https://twitter.com/jesuisjavi")</f>
        <v>https://twitter.com/jesuisjavi</v>
      </c>
      <c r="BP135" s="2"/>
    </row>
    <row r="136" spans="1:68" x14ac:dyDescent="0.25">
      <c r="A136" s="62" t="s">
        <v>324</v>
      </c>
      <c r="B136" s="63"/>
      <c r="C136" s="63"/>
      <c r="D136" s="64"/>
      <c r="E136" s="66"/>
      <c r="F136" s="102" t="str">
        <f>HYPERLINK("https://pbs.twimg.com/profile_images/1700595292385452032/utyHRpqV_normal.jpg")</f>
        <v>https://pbs.twimg.com/profile_images/1700595292385452032/utyHRpqV_normal.jpg</v>
      </c>
      <c r="G136" s="63"/>
      <c r="H136" s="67"/>
      <c r="I136" s="68"/>
      <c r="J136" s="68"/>
      <c r="K136" s="67" t="s">
        <v>18839</v>
      </c>
      <c r="L136" s="71"/>
      <c r="M136" s="72"/>
      <c r="N136" s="72"/>
      <c r="O136" s="73"/>
      <c r="P136" s="74"/>
      <c r="Q136" s="74"/>
      <c r="R136" s="86"/>
      <c r="S136" s="86"/>
      <c r="T136" s="86"/>
      <c r="U136" s="86"/>
      <c r="V136" s="48"/>
      <c r="W136" s="48"/>
      <c r="X136" s="48"/>
      <c r="Y136" s="48"/>
      <c r="Z136" s="47"/>
      <c r="AA136" s="69">
        <v>136</v>
      </c>
      <c r="AB136" s="69"/>
      <c r="AC136" s="70"/>
      <c r="AD136" s="76" t="s">
        <v>16568</v>
      </c>
      <c r="AE136" s="81" t="s">
        <v>16161</v>
      </c>
      <c r="AF136" s="76">
        <v>5</v>
      </c>
      <c r="AG136" s="76">
        <v>7</v>
      </c>
      <c r="AH136" s="76">
        <v>6</v>
      </c>
      <c r="AI136" s="76">
        <v>0</v>
      </c>
      <c r="AJ136" s="76">
        <v>1</v>
      </c>
      <c r="AK136" s="76">
        <v>6</v>
      </c>
      <c r="AL136" s="76" t="b">
        <v>0</v>
      </c>
      <c r="AM136" s="78">
        <v>45178.81</v>
      </c>
      <c r="AN136" s="76" t="s">
        <v>17448</v>
      </c>
      <c r="AO136" s="76" t="s">
        <v>17767</v>
      </c>
      <c r="AP136" s="76"/>
      <c r="AQ136" s="76"/>
      <c r="AR136" s="76"/>
      <c r="AS136" s="76"/>
      <c r="AT136" s="76"/>
      <c r="AU136" s="76"/>
      <c r="AV136" s="76"/>
      <c r="AW136" s="76"/>
      <c r="AX136" s="76" t="b">
        <v>0</v>
      </c>
      <c r="AY136" s="76"/>
      <c r="AZ136" s="76"/>
      <c r="BA136" s="76" t="b">
        <v>0</v>
      </c>
      <c r="BB136" s="76" t="b">
        <v>1</v>
      </c>
      <c r="BC136" s="76" t="b">
        <v>1</v>
      </c>
      <c r="BD136" s="76" t="b">
        <v>0</v>
      </c>
      <c r="BE136" s="76" t="b">
        <v>0</v>
      </c>
      <c r="BF136" s="76" t="b">
        <v>0</v>
      </c>
      <c r="BG136" s="76" t="b">
        <v>0</v>
      </c>
      <c r="BH136" s="83" t="str">
        <f>HYPERLINK("https://pbs.twimg.com/profile_banners/1700591432677879808/1694293898")</f>
        <v>https://pbs.twimg.com/profile_banners/1700591432677879808/1694293898</v>
      </c>
      <c r="BI136" s="76"/>
      <c r="BJ136" s="76" t="s">
        <v>18704</v>
      </c>
      <c r="BK136" s="76" t="b">
        <v>0</v>
      </c>
      <c r="BL136" s="76"/>
      <c r="BM136" s="76" t="s">
        <v>66</v>
      </c>
      <c r="BN136" s="76" t="s">
        <v>18706</v>
      </c>
      <c r="BO136" s="83" t="str">
        <f>HYPERLINK("https://twitter.com/suportehotdog")</f>
        <v>https://twitter.com/suportehotdog</v>
      </c>
      <c r="BP136" s="2"/>
    </row>
    <row r="137" spans="1:68" x14ac:dyDescent="0.25">
      <c r="A137" s="62" t="s">
        <v>325</v>
      </c>
      <c r="B137" s="63"/>
      <c r="C137" s="63"/>
      <c r="D137" s="64"/>
      <c r="E137" s="66"/>
      <c r="F137" s="102" t="str">
        <f>HYPERLINK("https://pbs.twimg.com/profile_images/1598483659241230336/WIXT5Fqb_normal.png")</f>
        <v>https://pbs.twimg.com/profile_images/1598483659241230336/WIXT5Fqb_normal.png</v>
      </c>
      <c r="G137" s="63"/>
      <c r="H137" s="67"/>
      <c r="I137" s="68"/>
      <c r="J137" s="68"/>
      <c r="K137" s="67" t="s">
        <v>18840</v>
      </c>
      <c r="L137" s="71"/>
      <c r="M137" s="72"/>
      <c r="N137" s="72"/>
      <c r="O137" s="73"/>
      <c r="P137" s="74"/>
      <c r="Q137" s="74"/>
      <c r="R137" s="86"/>
      <c r="S137" s="86"/>
      <c r="T137" s="86"/>
      <c r="U137" s="86"/>
      <c r="V137" s="48"/>
      <c r="W137" s="48"/>
      <c r="X137" s="48"/>
      <c r="Y137" s="48"/>
      <c r="Z137" s="47"/>
      <c r="AA137" s="69">
        <v>137</v>
      </c>
      <c r="AB137" s="69"/>
      <c r="AC137" s="70"/>
      <c r="AD137" s="76" t="s">
        <v>16569</v>
      </c>
      <c r="AE137" s="81" t="s">
        <v>16162</v>
      </c>
      <c r="AF137" s="76">
        <v>0</v>
      </c>
      <c r="AG137" s="76">
        <v>5</v>
      </c>
      <c r="AH137" s="76">
        <v>6</v>
      </c>
      <c r="AI137" s="76">
        <v>0</v>
      </c>
      <c r="AJ137" s="76">
        <v>3</v>
      </c>
      <c r="AK137" s="76">
        <v>2</v>
      </c>
      <c r="AL137" s="76" t="b">
        <v>0</v>
      </c>
      <c r="AM137" s="78">
        <v>44897.046030092592</v>
      </c>
      <c r="AN137" s="76"/>
      <c r="AO137" s="76"/>
      <c r="AP137" s="76"/>
      <c r="AQ137" s="76"/>
      <c r="AR137" s="76"/>
      <c r="AS137" s="76"/>
      <c r="AT137" s="76"/>
      <c r="AU137" s="76"/>
      <c r="AV137" s="76"/>
      <c r="AW137" s="76"/>
      <c r="AX137" s="76" t="b">
        <v>0</v>
      </c>
      <c r="AY137" s="76"/>
      <c r="AZ137" s="76"/>
      <c r="BA137" s="76" t="b">
        <v>0</v>
      </c>
      <c r="BB137" s="76" t="b">
        <v>1</v>
      </c>
      <c r="BC137" s="76" t="b">
        <v>1</v>
      </c>
      <c r="BD137" s="76" t="b">
        <v>0</v>
      </c>
      <c r="BE137" s="76" t="b">
        <v>0</v>
      </c>
      <c r="BF137" s="76" t="b">
        <v>0</v>
      </c>
      <c r="BG137" s="76" t="b">
        <v>0</v>
      </c>
      <c r="BH137" s="76"/>
      <c r="BI137" s="76"/>
      <c r="BJ137" s="76" t="s">
        <v>18704</v>
      </c>
      <c r="BK137" s="76" t="b">
        <v>0</v>
      </c>
      <c r="BL137" s="76"/>
      <c r="BM137" s="76" t="s">
        <v>66</v>
      </c>
      <c r="BN137" s="76" t="s">
        <v>18706</v>
      </c>
      <c r="BO137" s="83" t="str">
        <f>HYPERLINK("https://twitter.com/vellascoofc")</f>
        <v>https://twitter.com/vellascoofc</v>
      </c>
      <c r="BP137" s="2"/>
    </row>
    <row r="138" spans="1:68" x14ac:dyDescent="0.25">
      <c r="A138" s="62" t="s">
        <v>326</v>
      </c>
      <c r="B138" s="63"/>
      <c r="C138" s="63"/>
      <c r="D138" s="64"/>
      <c r="E138" s="66"/>
      <c r="F138" s="102" t="str">
        <f>HYPERLINK("https://pbs.twimg.com/profile_images/1608485869735796740/WuIPM8qO_normal.jpg")</f>
        <v>https://pbs.twimg.com/profile_images/1608485869735796740/WuIPM8qO_normal.jpg</v>
      </c>
      <c r="G138" s="63"/>
      <c r="H138" s="67"/>
      <c r="I138" s="68"/>
      <c r="J138" s="68"/>
      <c r="K138" s="67" t="s">
        <v>18841</v>
      </c>
      <c r="L138" s="71"/>
      <c r="M138" s="72"/>
      <c r="N138" s="72"/>
      <c r="O138" s="73"/>
      <c r="P138" s="74"/>
      <c r="Q138" s="74"/>
      <c r="R138" s="86"/>
      <c r="S138" s="86"/>
      <c r="T138" s="86"/>
      <c r="U138" s="86"/>
      <c r="V138" s="48"/>
      <c r="W138" s="48"/>
      <c r="X138" s="48"/>
      <c r="Y138" s="48"/>
      <c r="Z138" s="47"/>
      <c r="AA138" s="69">
        <v>138</v>
      </c>
      <c r="AB138" s="69"/>
      <c r="AC138" s="70"/>
      <c r="AD138" s="76" t="s">
        <v>16570</v>
      </c>
      <c r="AE138" s="81" t="s">
        <v>16163</v>
      </c>
      <c r="AF138" s="76">
        <v>11</v>
      </c>
      <c r="AG138" s="76">
        <v>74</v>
      </c>
      <c r="AH138" s="76">
        <v>54</v>
      </c>
      <c r="AI138" s="76">
        <v>0</v>
      </c>
      <c r="AJ138" s="76">
        <v>255</v>
      </c>
      <c r="AK138" s="76">
        <v>5</v>
      </c>
      <c r="AL138" s="76" t="b">
        <v>0</v>
      </c>
      <c r="AM138" s="78">
        <v>44924.645972222221</v>
      </c>
      <c r="AN138" s="76"/>
      <c r="AO138" s="76" t="s">
        <v>17768</v>
      </c>
      <c r="AP138" s="83" t="str">
        <f>HYPERLINK("https://t.co/go4rdU7Tho")</f>
        <v>https://t.co/go4rdU7Tho</v>
      </c>
      <c r="AQ138" s="83" t="str">
        <f>HYPERLINK("https://www.instagram.com/jarlisonjss")</f>
        <v>https://www.instagram.com/jarlisonjss</v>
      </c>
      <c r="AR138" s="76" t="s">
        <v>18320</v>
      </c>
      <c r="AS138" s="76"/>
      <c r="AT138" s="76"/>
      <c r="AU138" s="76"/>
      <c r="AV138" s="76">
        <v>1.64164977554304E+18</v>
      </c>
      <c r="AW138" s="83" t="str">
        <f>HYPERLINK("https://t.co/go4rdU7Tho")</f>
        <v>https://t.co/go4rdU7Tho</v>
      </c>
      <c r="AX138" s="76" t="b">
        <v>0</v>
      </c>
      <c r="AY138" s="76"/>
      <c r="AZ138" s="76"/>
      <c r="BA138" s="76" t="b">
        <v>0</v>
      </c>
      <c r="BB138" s="76" t="b">
        <v>0</v>
      </c>
      <c r="BC138" s="76" t="b">
        <v>1</v>
      </c>
      <c r="BD138" s="76" t="b">
        <v>0</v>
      </c>
      <c r="BE138" s="76" t="b">
        <v>0</v>
      </c>
      <c r="BF138" s="76" t="b">
        <v>0</v>
      </c>
      <c r="BG138" s="76" t="b">
        <v>0</v>
      </c>
      <c r="BH138" s="76"/>
      <c r="BI138" s="76"/>
      <c r="BJ138" s="76" t="s">
        <v>18704</v>
      </c>
      <c r="BK138" s="76" t="b">
        <v>0</v>
      </c>
      <c r="BL138" s="76"/>
      <c r="BM138" s="76" t="s">
        <v>66</v>
      </c>
      <c r="BN138" s="76" t="s">
        <v>18706</v>
      </c>
      <c r="BO138" s="83" t="str">
        <f>HYPERLINK("https://twitter.com/jarlisonjss")</f>
        <v>https://twitter.com/jarlisonjss</v>
      </c>
      <c r="BP138" s="2"/>
    </row>
    <row r="139" spans="1:68" x14ac:dyDescent="0.25">
      <c r="A139" s="62" t="s">
        <v>327</v>
      </c>
      <c r="B139" s="63"/>
      <c r="C139" s="63"/>
      <c r="D139" s="64"/>
      <c r="E139" s="66"/>
      <c r="F139" s="102" t="str">
        <f>HYPERLINK("https://pbs.twimg.com/profile_images/1705084856189718528/KMw7tzT-_normal.jpg")</f>
        <v>https://pbs.twimg.com/profile_images/1705084856189718528/KMw7tzT-_normal.jpg</v>
      </c>
      <c r="G139" s="63"/>
      <c r="H139" s="67"/>
      <c r="I139" s="68"/>
      <c r="J139" s="68"/>
      <c r="K139" s="67" t="s">
        <v>18842</v>
      </c>
      <c r="L139" s="71"/>
      <c r="M139" s="72"/>
      <c r="N139" s="72"/>
      <c r="O139" s="73"/>
      <c r="P139" s="74"/>
      <c r="Q139" s="74"/>
      <c r="R139" s="86"/>
      <c r="S139" s="86"/>
      <c r="T139" s="86"/>
      <c r="U139" s="86"/>
      <c r="V139" s="48"/>
      <c r="W139" s="48"/>
      <c r="X139" s="48"/>
      <c r="Y139" s="48"/>
      <c r="Z139" s="47"/>
      <c r="AA139" s="69">
        <v>139</v>
      </c>
      <c r="AB139" s="69"/>
      <c r="AC139" s="70"/>
      <c r="AD139" s="76" t="s">
        <v>16571</v>
      </c>
      <c r="AE139" s="81" t="s">
        <v>16164</v>
      </c>
      <c r="AF139" s="76">
        <v>16</v>
      </c>
      <c r="AG139" s="76">
        <v>121</v>
      </c>
      <c r="AH139" s="76">
        <v>24</v>
      </c>
      <c r="AI139" s="76">
        <v>0</v>
      </c>
      <c r="AJ139" s="76">
        <v>15</v>
      </c>
      <c r="AK139" s="76">
        <v>7</v>
      </c>
      <c r="AL139" s="76" t="b">
        <v>0</v>
      </c>
      <c r="AM139" s="78">
        <v>45177.848530092589</v>
      </c>
      <c r="AN139" s="76"/>
      <c r="AO139" s="76" t="s">
        <v>17769</v>
      </c>
      <c r="AP139" s="76"/>
      <c r="AQ139" s="76"/>
      <c r="AR139" s="76"/>
      <c r="AS139" s="83" t="str">
        <f>HYPERLINK("https://t.co/vejHcII8AE")</f>
        <v>https://t.co/vejHcII8AE</v>
      </c>
      <c r="AT139" s="83" t="str">
        <f>HYPERLINK("http://M.Sc")</f>
        <v>http://M.Sc</v>
      </c>
      <c r="AU139" s="76" t="s">
        <v>18659</v>
      </c>
      <c r="AV139" s="76"/>
      <c r="AW139" s="76"/>
      <c r="AX139" s="76" t="b">
        <v>0</v>
      </c>
      <c r="AY139" s="76"/>
      <c r="AZ139" s="76"/>
      <c r="BA139" s="76" t="b">
        <v>0</v>
      </c>
      <c r="BB139" s="76" t="b">
        <v>1</v>
      </c>
      <c r="BC139" s="76" t="b">
        <v>1</v>
      </c>
      <c r="BD139" s="76" t="b">
        <v>0</v>
      </c>
      <c r="BE139" s="76" t="b">
        <v>0</v>
      </c>
      <c r="BF139" s="76" t="b">
        <v>0</v>
      </c>
      <c r="BG139" s="76" t="b">
        <v>0</v>
      </c>
      <c r="BH139" s="83" t="str">
        <f>HYPERLINK("https://pbs.twimg.com/profile_banners/1700243061266173953/1695358789")</f>
        <v>https://pbs.twimg.com/profile_banners/1700243061266173953/1695358789</v>
      </c>
      <c r="BI139" s="76"/>
      <c r="BJ139" s="76" t="s">
        <v>18704</v>
      </c>
      <c r="BK139" s="76" t="b">
        <v>0</v>
      </c>
      <c r="BL139" s="76"/>
      <c r="BM139" s="76" t="s">
        <v>66</v>
      </c>
      <c r="BN139" s="76" t="s">
        <v>18706</v>
      </c>
      <c r="BO139" s="83" t="str">
        <f>HYPERLINK("https://twitter.com/victor_dhn")</f>
        <v>https://twitter.com/victor_dhn</v>
      </c>
      <c r="BP139" s="2"/>
    </row>
    <row r="140" spans="1:68" x14ac:dyDescent="0.25">
      <c r="A140" s="62" t="s">
        <v>328</v>
      </c>
      <c r="B140" s="63"/>
      <c r="C140" s="63"/>
      <c r="D140" s="64"/>
      <c r="E140" s="66"/>
      <c r="F140" s="102" t="str">
        <f>HYPERLINK("https://pbs.twimg.com/profile_images/1116965858914574337/szVCX-V6_normal.jpg")</f>
        <v>https://pbs.twimg.com/profile_images/1116965858914574337/szVCX-V6_normal.jpg</v>
      </c>
      <c r="G140" s="63"/>
      <c r="H140" s="67"/>
      <c r="I140" s="68"/>
      <c r="J140" s="68"/>
      <c r="K140" s="67" t="s">
        <v>18843</v>
      </c>
      <c r="L140" s="71"/>
      <c r="M140" s="72"/>
      <c r="N140" s="72"/>
      <c r="O140" s="73"/>
      <c r="P140" s="74"/>
      <c r="Q140" s="74"/>
      <c r="R140" s="86"/>
      <c r="S140" s="86"/>
      <c r="T140" s="86"/>
      <c r="U140" s="86"/>
      <c r="V140" s="48"/>
      <c r="W140" s="48"/>
      <c r="X140" s="48"/>
      <c r="Y140" s="48"/>
      <c r="Z140" s="47"/>
      <c r="AA140" s="69">
        <v>140</v>
      </c>
      <c r="AB140" s="69"/>
      <c r="AC140" s="70"/>
      <c r="AD140" s="76" t="s">
        <v>16572</v>
      </c>
      <c r="AE140" s="81" t="s">
        <v>16165</v>
      </c>
      <c r="AF140" s="76">
        <v>1044</v>
      </c>
      <c r="AG140" s="76">
        <v>2160</v>
      </c>
      <c r="AH140" s="76">
        <v>90902</v>
      </c>
      <c r="AI140" s="76">
        <v>2</v>
      </c>
      <c r="AJ140" s="76">
        <v>92749</v>
      </c>
      <c r="AK140" s="76">
        <v>389</v>
      </c>
      <c r="AL140" s="76" t="b">
        <v>0</v>
      </c>
      <c r="AM140" s="78">
        <v>43568.30914351852</v>
      </c>
      <c r="AN140" s="76"/>
      <c r="AO140" s="76" t="s">
        <v>17770</v>
      </c>
      <c r="AP140" s="76"/>
      <c r="AQ140" s="76"/>
      <c r="AR140" s="76"/>
      <c r="AS140" s="76"/>
      <c r="AT140" s="76"/>
      <c r="AU140" s="76"/>
      <c r="AV140" s="76"/>
      <c r="AW140" s="76"/>
      <c r="AX140" s="76" t="b">
        <v>0</v>
      </c>
      <c r="AY140" s="76"/>
      <c r="AZ140" s="76"/>
      <c r="BA140" s="76" t="b">
        <v>0</v>
      </c>
      <c r="BB140" s="76" t="b">
        <v>1</v>
      </c>
      <c r="BC140" s="76" t="b">
        <v>1</v>
      </c>
      <c r="BD140" s="76" t="b">
        <v>0</v>
      </c>
      <c r="BE140" s="76" t="b">
        <v>1</v>
      </c>
      <c r="BF140" s="76" t="b">
        <v>0</v>
      </c>
      <c r="BG140" s="76" t="b">
        <v>0</v>
      </c>
      <c r="BH140" s="76"/>
      <c r="BI140" s="76"/>
      <c r="BJ140" s="76" t="s">
        <v>18704</v>
      </c>
      <c r="BK140" s="76" t="b">
        <v>0</v>
      </c>
      <c r="BL140" s="76"/>
      <c r="BM140" s="76" t="s">
        <v>66</v>
      </c>
      <c r="BN140" s="76" t="s">
        <v>18706</v>
      </c>
      <c r="BO140" s="83" t="str">
        <f>HYPERLINK("https://twitter.com/opnet67")</f>
        <v>https://twitter.com/opnet67</v>
      </c>
      <c r="BP140" s="2"/>
    </row>
    <row r="141" spans="1:68" x14ac:dyDescent="0.25">
      <c r="A141" s="62" t="s">
        <v>387</v>
      </c>
      <c r="B141" s="63"/>
      <c r="C141" s="63"/>
      <c r="D141" s="64"/>
      <c r="E141" s="66"/>
      <c r="F141" s="102" t="str">
        <f>HYPERLINK("https://pbs.twimg.com/profile_images/1241147984924082183/gZgx_hL-_normal.jpg")</f>
        <v>https://pbs.twimg.com/profile_images/1241147984924082183/gZgx_hL-_normal.jpg</v>
      </c>
      <c r="G141" s="63"/>
      <c r="H141" s="67"/>
      <c r="I141" s="68"/>
      <c r="J141" s="68"/>
      <c r="K141" s="67" t="s">
        <v>18844</v>
      </c>
      <c r="L141" s="71"/>
      <c r="M141" s="72"/>
      <c r="N141" s="72"/>
      <c r="O141" s="73"/>
      <c r="P141" s="74"/>
      <c r="Q141" s="74"/>
      <c r="R141" s="86"/>
      <c r="S141" s="86"/>
      <c r="T141" s="86"/>
      <c r="U141" s="86"/>
      <c r="V141" s="48"/>
      <c r="W141" s="48"/>
      <c r="X141" s="48"/>
      <c r="Y141" s="48"/>
      <c r="Z141" s="47"/>
      <c r="AA141" s="69">
        <v>141</v>
      </c>
      <c r="AB141" s="69"/>
      <c r="AC141" s="70"/>
      <c r="AD141" s="76" t="s">
        <v>16573</v>
      </c>
      <c r="AE141" s="81" t="s">
        <v>15979</v>
      </c>
      <c r="AF141" s="76">
        <v>71127</v>
      </c>
      <c r="AG141" s="76">
        <v>28</v>
      </c>
      <c r="AH141" s="76">
        <v>28352</v>
      </c>
      <c r="AI141" s="76">
        <v>328</v>
      </c>
      <c r="AJ141" s="76">
        <v>359</v>
      </c>
      <c r="AK141" s="76">
        <v>2635</v>
      </c>
      <c r="AL141" s="76" t="b">
        <v>0</v>
      </c>
      <c r="AM141" s="78">
        <v>43896.790462962963</v>
      </c>
      <c r="AN141" s="76" t="s">
        <v>10570</v>
      </c>
      <c r="AO141" s="76" t="s">
        <v>17771</v>
      </c>
      <c r="AP141" s="83" t="str">
        <f>HYPERLINK("https://t.co/UXpU15u2ux")</f>
        <v>https://t.co/UXpU15u2ux</v>
      </c>
      <c r="AQ141" s="83" t="str">
        <f>HYPERLINK("https://mla.bs/c1acb5b4")</f>
        <v>https://mla.bs/c1acb5b4</v>
      </c>
      <c r="AR141" s="76" t="s">
        <v>18321</v>
      </c>
      <c r="AS141" s="76"/>
      <c r="AT141" s="76"/>
      <c r="AU141" s="76"/>
      <c r="AV141" s="76">
        <v>1.6658505570456499E+18</v>
      </c>
      <c r="AW141" s="83" t="str">
        <f>HYPERLINK("https://t.co/UXpU15u2ux")</f>
        <v>https://t.co/UXpU15u2ux</v>
      </c>
      <c r="AX141" s="76" t="b">
        <v>0</v>
      </c>
      <c r="AY141" s="76"/>
      <c r="AZ141" s="76"/>
      <c r="BA141" s="76" t="b">
        <v>1</v>
      </c>
      <c r="BB141" s="76" t="b">
        <v>1</v>
      </c>
      <c r="BC141" s="76" t="b">
        <v>1</v>
      </c>
      <c r="BD141" s="76" t="b">
        <v>0</v>
      </c>
      <c r="BE141" s="76" t="b">
        <v>1</v>
      </c>
      <c r="BF141" s="76" t="b">
        <v>0</v>
      </c>
      <c r="BG141" s="76" t="b">
        <v>0</v>
      </c>
      <c r="BH141" s="83" t="str">
        <f>HYPERLINK("https://pbs.twimg.com/profile_banners/1236003131244392448/1685619312")</f>
        <v>https://pbs.twimg.com/profile_banners/1236003131244392448/1685619312</v>
      </c>
      <c r="BI141" s="76"/>
      <c r="BJ141" s="76" t="s">
        <v>18704</v>
      </c>
      <c r="BK141" s="76" t="b">
        <v>0</v>
      </c>
      <c r="BL141" s="76"/>
      <c r="BM141" s="76" t="s">
        <v>66</v>
      </c>
      <c r="BN141" s="76" t="s">
        <v>18706</v>
      </c>
      <c r="BO141" s="83" t="str">
        <f>HYPERLINK("https://twitter.com/einvestidor")</f>
        <v>https://twitter.com/einvestidor</v>
      </c>
      <c r="BP141" s="2"/>
    </row>
    <row r="142" spans="1:68" x14ac:dyDescent="0.25">
      <c r="A142" s="62" t="s">
        <v>329</v>
      </c>
      <c r="B142" s="63"/>
      <c r="C142" s="63"/>
      <c r="D142" s="64"/>
      <c r="E142" s="66"/>
      <c r="F142" s="102" t="str">
        <f>HYPERLINK("https://pbs.twimg.com/profile_images/1151233184866004993/8_q-s1Ga_normal.jpg")</f>
        <v>https://pbs.twimg.com/profile_images/1151233184866004993/8_q-s1Ga_normal.jpg</v>
      </c>
      <c r="G142" s="63"/>
      <c r="H142" s="67"/>
      <c r="I142" s="68"/>
      <c r="J142" s="68"/>
      <c r="K142" s="67" t="s">
        <v>18845</v>
      </c>
      <c r="L142" s="71"/>
      <c r="M142" s="72"/>
      <c r="N142" s="72"/>
      <c r="O142" s="73"/>
      <c r="P142" s="74"/>
      <c r="Q142" s="74"/>
      <c r="R142" s="86"/>
      <c r="S142" s="86"/>
      <c r="T142" s="86"/>
      <c r="U142" s="86"/>
      <c r="V142" s="48"/>
      <c r="W142" s="48"/>
      <c r="X142" s="48"/>
      <c r="Y142" s="48"/>
      <c r="Z142" s="47"/>
      <c r="AA142" s="69">
        <v>142</v>
      </c>
      <c r="AB142" s="69"/>
      <c r="AC142" s="70"/>
      <c r="AD142" s="76" t="s">
        <v>16574</v>
      </c>
      <c r="AE142" s="81" t="s">
        <v>17157</v>
      </c>
      <c r="AF142" s="76">
        <v>290</v>
      </c>
      <c r="AG142" s="76">
        <v>1071</v>
      </c>
      <c r="AH142" s="76">
        <v>25497</v>
      </c>
      <c r="AI142" s="76">
        <v>2</v>
      </c>
      <c r="AJ142" s="76">
        <v>7147</v>
      </c>
      <c r="AK142" s="76">
        <v>1505</v>
      </c>
      <c r="AL142" s="76" t="b">
        <v>0</v>
      </c>
      <c r="AM142" s="78">
        <v>40940.011620370373</v>
      </c>
      <c r="AN142" s="76" t="s">
        <v>17449</v>
      </c>
      <c r="AO142" s="76" t="s">
        <v>17772</v>
      </c>
      <c r="AP142" s="76"/>
      <c r="AQ142" s="76"/>
      <c r="AR142" s="76"/>
      <c r="AS142" s="76"/>
      <c r="AT142" s="76"/>
      <c r="AU142" s="76"/>
      <c r="AV142" s="76">
        <v>1.43243128566704E+18</v>
      </c>
      <c r="AW142" s="76"/>
      <c r="AX142" s="76" t="b">
        <v>0</v>
      </c>
      <c r="AY142" s="76"/>
      <c r="AZ142" s="76"/>
      <c r="BA142" s="76" t="b">
        <v>0</v>
      </c>
      <c r="BB142" s="76" t="b">
        <v>0</v>
      </c>
      <c r="BC142" s="76" t="b">
        <v>1</v>
      </c>
      <c r="BD142" s="76" t="b">
        <v>0</v>
      </c>
      <c r="BE142" s="76" t="b">
        <v>1</v>
      </c>
      <c r="BF142" s="76" t="b">
        <v>0</v>
      </c>
      <c r="BG142" s="76" t="b">
        <v>0</v>
      </c>
      <c r="BH142" s="83" t="str">
        <f>HYPERLINK("https://pbs.twimg.com/profile_banners/479977457/1371682204")</f>
        <v>https://pbs.twimg.com/profile_banners/479977457/1371682204</v>
      </c>
      <c r="BI142" s="76"/>
      <c r="BJ142" s="76" t="s">
        <v>18704</v>
      </c>
      <c r="BK142" s="76" t="b">
        <v>0</v>
      </c>
      <c r="BL142" s="76"/>
      <c r="BM142" s="76" t="s">
        <v>66</v>
      </c>
      <c r="BN142" s="76" t="s">
        <v>18706</v>
      </c>
      <c r="BO142" s="83" t="str">
        <f>HYPERLINK("https://twitter.com/juanero1982")</f>
        <v>https://twitter.com/juanero1982</v>
      </c>
      <c r="BP142" s="2"/>
    </row>
    <row r="143" spans="1:68" x14ac:dyDescent="0.25">
      <c r="A143" s="62" t="s">
        <v>330</v>
      </c>
      <c r="B143" s="63"/>
      <c r="C143" s="63"/>
      <c r="D143" s="64"/>
      <c r="E143" s="66"/>
      <c r="F143" s="102" t="str">
        <f>HYPERLINK("https://pbs.twimg.com/profile_images/1259604741652385792/kJEgnJyE_normal.jpg")</f>
        <v>https://pbs.twimg.com/profile_images/1259604741652385792/kJEgnJyE_normal.jpg</v>
      </c>
      <c r="G143" s="63"/>
      <c r="H143" s="67"/>
      <c r="I143" s="68"/>
      <c r="J143" s="68"/>
      <c r="K143" s="67" t="s">
        <v>18846</v>
      </c>
      <c r="L143" s="71"/>
      <c r="M143" s="72"/>
      <c r="N143" s="72"/>
      <c r="O143" s="73"/>
      <c r="P143" s="74"/>
      <c r="Q143" s="74"/>
      <c r="R143" s="86"/>
      <c r="S143" s="86"/>
      <c r="T143" s="86"/>
      <c r="U143" s="86"/>
      <c r="V143" s="48"/>
      <c r="W143" s="48"/>
      <c r="X143" s="48"/>
      <c r="Y143" s="48"/>
      <c r="Z143" s="47"/>
      <c r="AA143" s="69">
        <v>143</v>
      </c>
      <c r="AB143" s="69"/>
      <c r="AC143" s="70"/>
      <c r="AD143" s="76" t="s">
        <v>16575</v>
      </c>
      <c r="AE143" s="81" t="s">
        <v>16166</v>
      </c>
      <c r="AF143" s="76">
        <v>1</v>
      </c>
      <c r="AG143" s="76">
        <v>0</v>
      </c>
      <c r="AH143" s="76">
        <v>223</v>
      </c>
      <c r="AI143" s="76">
        <v>0</v>
      </c>
      <c r="AJ143" s="76">
        <v>0</v>
      </c>
      <c r="AK143" s="76">
        <v>27</v>
      </c>
      <c r="AL143" s="76" t="b">
        <v>0</v>
      </c>
      <c r="AM143" s="78">
        <v>43961.913888888892</v>
      </c>
      <c r="AN143" s="76"/>
      <c r="AO143" s="76" t="s">
        <v>17773</v>
      </c>
      <c r="AP143" s="76"/>
      <c r="AQ143" s="76"/>
      <c r="AR143" s="76"/>
      <c r="AS143" s="76"/>
      <c r="AT143" s="76"/>
      <c r="AU143" s="76"/>
      <c r="AV143" s="76"/>
      <c r="AW143" s="76"/>
      <c r="AX143" s="76" t="b">
        <v>0</v>
      </c>
      <c r="AY143" s="76"/>
      <c r="AZ143" s="76"/>
      <c r="BA143" s="76" t="b">
        <v>0</v>
      </c>
      <c r="BB143" s="76" t="b">
        <v>1</v>
      </c>
      <c r="BC143" s="76" t="b">
        <v>1</v>
      </c>
      <c r="BD143" s="76" t="b">
        <v>0</v>
      </c>
      <c r="BE143" s="76" t="b">
        <v>0</v>
      </c>
      <c r="BF143" s="76" t="b">
        <v>0</v>
      </c>
      <c r="BG143" s="76" t="b">
        <v>0</v>
      </c>
      <c r="BH143" s="83" t="str">
        <f>HYPERLINK("https://pbs.twimg.com/profile_banners/1259602701626769409/1589148126")</f>
        <v>https://pbs.twimg.com/profile_banners/1259602701626769409/1589148126</v>
      </c>
      <c r="BI143" s="76"/>
      <c r="BJ143" s="76" t="s">
        <v>18704</v>
      </c>
      <c r="BK143" s="76" t="b">
        <v>0</v>
      </c>
      <c r="BL143" s="76"/>
      <c r="BM143" s="76" t="s">
        <v>66</v>
      </c>
      <c r="BN143" s="76" t="s">
        <v>18706</v>
      </c>
      <c r="BO143" s="83" t="str">
        <f>HYPERLINK("https://twitter.com/verodatobr")</f>
        <v>https://twitter.com/verodatobr</v>
      </c>
      <c r="BP143" s="2"/>
    </row>
    <row r="144" spans="1:68" x14ac:dyDescent="0.25">
      <c r="A144" s="62" t="s">
        <v>331</v>
      </c>
      <c r="B144" s="63"/>
      <c r="C144" s="63"/>
      <c r="D144" s="64"/>
      <c r="E144" s="66"/>
      <c r="F144" s="102" t="str">
        <f>HYPERLINK("https://pbs.twimg.com/profile_images/1629500901529378816/tRvt-cH__normal.jpg")</f>
        <v>https://pbs.twimg.com/profile_images/1629500901529378816/tRvt-cH__normal.jpg</v>
      </c>
      <c r="G144" s="63"/>
      <c r="H144" s="67"/>
      <c r="I144" s="68"/>
      <c r="J144" s="68"/>
      <c r="K144" s="67" t="s">
        <v>18847</v>
      </c>
      <c r="L144" s="71"/>
      <c r="M144" s="72"/>
      <c r="N144" s="72"/>
      <c r="O144" s="73"/>
      <c r="P144" s="74"/>
      <c r="Q144" s="74"/>
      <c r="R144" s="86"/>
      <c r="S144" s="86"/>
      <c r="T144" s="86"/>
      <c r="U144" s="86"/>
      <c r="V144" s="48"/>
      <c r="W144" s="48"/>
      <c r="X144" s="48"/>
      <c r="Y144" s="48"/>
      <c r="Z144" s="47"/>
      <c r="AA144" s="69">
        <v>144</v>
      </c>
      <c r="AB144" s="69"/>
      <c r="AC144" s="70"/>
      <c r="AD144" s="76" t="s">
        <v>16576</v>
      </c>
      <c r="AE144" s="81" t="s">
        <v>15922</v>
      </c>
      <c r="AF144" s="76">
        <v>9</v>
      </c>
      <c r="AG144" s="76">
        <v>77</v>
      </c>
      <c r="AH144" s="76">
        <v>214</v>
      </c>
      <c r="AI144" s="76">
        <v>3</v>
      </c>
      <c r="AJ144" s="76">
        <v>459</v>
      </c>
      <c r="AK144" s="76">
        <v>6</v>
      </c>
      <c r="AL144" s="76" t="b">
        <v>0</v>
      </c>
      <c r="AM144" s="78">
        <v>41430.018495370372</v>
      </c>
      <c r="AN144" s="76"/>
      <c r="AO144" s="76" t="s">
        <v>17774</v>
      </c>
      <c r="AP144" s="83" t="str">
        <f>HYPERLINK("https://t.co/O500obtAU0")</f>
        <v>https://t.co/O500obtAU0</v>
      </c>
      <c r="AQ144" s="83" t="str">
        <f>HYPERLINK("https://www.instagram.com/educacaofinanceiraeinves.vsa/?hl=pt-br")</f>
        <v>https://www.instagram.com/educacaofinanceiraeinves.vsa/?hl=pt-br</v>
      </c>
      <c r="AR144" s="76" t="s">
        <v>18322</v>
      </c>
      <c r="AS144" s="76"/>
      <c r="AT144" s="76"/>
      <c r="AU144" s="76"/>
      <c r="AV144" s="76"/>
      <c r="AW144" s="83" t="str">
        <f>HYPERLINK("https://t.co/O500obtAU0")</f>
        <v>https://t.co/O500obtAU0</v>
      </c>
      <c r="AX144" s="76" t="b">
        <v>0</v>
      </c>
      <c r="AY144" s="76"/>
      <c r="AZ144" s="76"/>
      <c r="BA144" s="76" t="b">
        <v>0</v>
      </c>
      <c r="BB144" s="76" t="b">
        <v>1</v>
      </c>
      <c r="BC144" s="76" t="b">
        <v>1</v>
      </c>
      <c r="BD144" s="76" t="b">
        <v>0</v>
      </c>
      <c r="BE144" s="76" t="b">
        <v>0</v>
      </c>
      <c r="BF144" s="76" t="b">
        <v>0</v>
      </c>
      <c r="BG144" s="76" t="b">
        <v>0</v>
      </c>
      <c r="BH144" s="83" t="str">
        <f>HYPERLINK("https://pbs.twimg.com/profile_banners/1483647062/1693149349")</f>
        <v>https://pbs.twimg.com/profile_banners/1483647062/1693149349</v>
      </c>
      <c r="BI144" s="76"/>
      <c r="BJ144" s="76" t="s">
        <v>18704</v>
      </c>
      <c r="BK144" s="76" t="b">
        <v>0</v>
      </c>
      <c r="BL144" s="76"/>
      <c r="BM144" s="76" t="s">
        <v>66</v>
      </c>
      <c r="BN144" s="76" t="s">
        <v>18706</v>
      </c>
      <c r="BO144" s="83" t="str">
        <f>HYPERLINK("https://twitter.com/viniciusantosa")</f>
        <v>https://twitter.com/viniciusantosa</v>
      </c>
      <c r="BP144" s="2"/>
    </row>
    <row r="145" spans="1:68" x14ac:dyDescent="0.25">
      <c r="A145" s="62" t="s">
        <v>332</v>
      </c>
      <c r="B145" s="63"/>
      <c r="C145" s="63"/>
      <c r="D145" s="64"/>
      <c r="E145" s="66"/>
      <c r="F145" s="102" t="str">
        <f>HYPERLINK("https://pbs.twimg.com/profile_images/1605380523819507714/Z5c9T6sP_normal.jpg")</f>
        <v>https://pbs.twimg.com/profile_images/1605380523819507714/Z5c9T6sP_normal.jpg</v>
      </c>
      <c r="G145" s="63"/>
      <c r="H145" s="67"/>
      <c r="I145" s="68"/>
      <c r="J145" s="68"/>
      <c r="K145" s="67" t="s">
        <v>18848</v>
      </c>
      <c r="L145" s="71"/>
      <c r="M145" s="72"/>
      <c r="N145" s="72"/>
      <c r="O145" s="73"/>
      <c r="P145" s="74"/>
      <c r="Q145" s="74"/>
      <c r="R145" s="86"/>
      <c r="S145" s="86"/>
      <c r="T145" s="86"/>
      <c r="U145" s="86"/>
      <c r="V145" s="48"/>
      <c r="W145" s="48"/>
      <c r="X145" s="48"/>
      <c r="Y145" s="48"/>
      <c r="Z145" s="47"/>
      <c r="AA145" s="69">
        <v>145</v>
      </c>
      <c r="AB145" s="69"/>
      <c r="AC145" s="70"/>
      <c r="AD145" s="76" t="s">
        <v>16577</v>
      </c>
      <c r="AE145" s="81" t="s">
        <v>17158</v>
      </c>
      <c r="AF145" s="76">
        <v>989</v>
      </c>
      <c r="AG145" s="76">
        <v>833</v>
      </c>
      <c r="AH145" s="76">
        <v>58630</v>
      </c>
      <c r="AI145" s="76">
        <v>31</v>
      </c>
      <c r="AJ145" s="76">
        <v>1424</v>
      </c>
      <c r="AK145" s="76">
        <v>26780</v>
      </c>
      <c r="AL145" s="76" t="b">
        <v>0</v>
      </c>
      <c r="AM145" s="78">
        <v>41102.9762962963</v>
      </c>
      <c r="AN145" s="76" t="s">
        <v>17450</v>
      </c>
      <c r="AO145" s="76" t="s">
        <v>17775</v>
      </c>
      <c r="AP145" s="83" t="str">
        <f>HYPERLINK("https://t.co/thJ8G06pVo")</f>
        <v>https://t.co/thJ8G06pVo</v>
      </c>
      <c r="AQ145" s="83" t="str">
        <f>HYPERLINK("https://proeducacional.com/?ref=23")</f>
        <v>https://proeducacional.com/?ref=23</v>
      </c>
      <c r="AR145" s="76" t="s">
        <v>18323</v>
      </c>
      <c r="AS145" s="76"/>
      <c r="AT145" s="76"/>
      <c r="AU145" s="76"/>
      <c r="AV145" s="76"/>
      <c r="AW145" s="83" t="str">
        <f>HYPERLINK("https://t.co/thJ8G06pVo")</f>
        <v>https://t.co/thJ8G06pVo</v>
      </c>
      <c r="AX145" s="76" t="b">
        <v>0</v>
      </c>
      <c r="AY145" s="76"/>
      <c r="AZ145" s="76"/>
      <c r="BA145" s="76" t="b">
        <v>0</v>
      </c>
      <c r="BB145" s="76" t="b">
        <v>0</v>
      </c>
      <c r="BC145" s="76" t="b">
        <v>0</v>
      </c>
      <c r="BD145" s="76" t="b">
        <v>0</v>
      </c>
      <c r="BE145" s="76" t="b">
        <v>0</v>
      </c>
      <c r="BF145" s="76" t="b">
        <v>0</v>
      </c>
      <c r="BG145" s="76" t="b">
        <v>0</v>
      </c>
      <c r="BH145" s="83" t="str">
        <f>HYPERLINK("https://pbs.twimg.com/profile_banners/634133167/1693503589")</f>
        <v>https://pbs.twimg.com/profile_banners/634133167/1693503589</v>
      </c>
      <c r="BI145" s="76"/>
      <c r="BJ145" s="76" t="s">
        <v>18704</v>
      </c>
      <c r="BK145" s="76" t="b">
        <v>0</v>
      </c>
      <c r="BL145" s="76"/>
      <c r="BM145" s="76" t="s">
        <v>66</v>
      </c>
      <c r="BN145" s="76" t="s">
        <v>18706</v>
      </c>
      <c r="BO145" s="83" t="str">
        <f>HYPERLINK("https://twitter.com/eddie_poker")</f>
        <v>https://twitter.com/eddie_poker</v>
      </c>
      <c r="BP145" s="2"/>
    </row>
    <row r="146" spans="1:68" x14ac:dyDescent="0.25">
      <c r="A146" s="62" t="s">
        <v>333</v>
      </c>
      <c r="B146" s="63"/>
      <c r="C146" s="63"/>
      <c r="D146" s="64"/>
      <c r="E146" s="66"/>
      <c r="F146" s="102" t="str">
        <f>HYPERLINK("https://pbs.twimg.com/profile_images/1630688084558856193/upY1XZ9v_normal.jpg")</f>
        <v>https://pbs.twimg.com/profile_images/1630688084558856193/upY1XZ9v_normal.jpg</v>
      </c>
      <c r="G146" s="63"/>
      <c r="H146" s="67"/>
      <c r="I146" s="68"/>
      <c r="J146" s="68"/>
      <c r="K146" s="67" t="s">
        <v>18849</v>
      </c>
      <c r="L146" s="71"/>
      <c r="M146" s="72"/>
      <c r="N146" s="72"/>
      <c r="O146" s="73"/>
      <c r="P146" s="74"/>
      <c r="Q146" s="74"/>
      <c r="R146" s="86"/>
      <c r="S146" s="86"/>
      <c r="T146" s="86"/>
      <c r="U146" s="86"/>
      <c r="V146" s="48"/>
      <c r="W146" s="48"/>
      <c r="X146" s="48"/>
      <c r="Y146" s="48"/>
      <c r="Z146" s="47"/>
      <c r="AA146" s="69">
        <v>146</v>
      </c>
      <c r="AB146" s="69"/>
      <c r="AC146" s="70"/>
      <c r="AD146" s="76" t="s">
        <v>16578</v>
      </c>
      <c r="AE146" s="81" t="s">
        <v>17159</v>
      </c>
      <c r="AF146" s="76">
        <v>16165</v>
      </c>
      <c r="AG146" s="76">
        <v>5608</v>
      </c>
      <c r="AH146" s="76">
        <v>8081</v>
      </c>
      <c r="AI146" s="76">
        <v>113</v>
      </c>
      <c r="AJ146" s="76">
        <v>79</v>
      </c>
      <c r="AK146" s="76">
        <v>1660</v>
      </c>
      <c r="AL146" s="76" t="b">
        <v>0</v>
      </c>
      <c r="AM146" s="78">
        <v>40045.682152777779</v>
      </c>
      <c r="AN146" s="76"/>
      <c r="AO146" s="76" t="s">
        <v>17776</v>
      </c>
      <c r="AP146" s="83" t="str">
        <f>HYPERLINK("https://t.co/KEp0Tg7DH3")</f>
        <v>https://t.co/KEp0Tg7DH3</v>
      </c>
      <c r="AQ146" s="83" t="str">
        <f>HYPERLINK("http://www.portalvgv.com.br")</f>
        <v>http://www.portalvgv.com.br</v>
      </c>
      <c r="AR146" s="76" t="s">
        <v>18324</v>
      </c>
      <c r="AS146" s="76"/>
      <c r="AT146" s="76"/>
      <c r="AU146" s="76"/>
      <c r="AV146" s="76"/>
      <c r="AW146" s="83" t="str">
        <f>HYPERLINK("https://t.co/KEp0Tg7DH3")</f>
        <v>https://t.co/KEp0Tg7DH3</v>
      </c>
      <c r="AX146" s="76" t="b">
        <v>0</v>
      </c>
      <c r="AY146" s="76"/>
      <c r="AZ146" s="76"/>
      <c r="BA146" s="76" t="b">
        <v>0</v>
      </c>
      <c r="BB146" s="76" t="b">
        <v>1</v>
      </c>
      <c r="BC146" s="76" t="b">
        <v>0</v>
      </c>
      <c r="BD146" s="76" t="b">
        <v>0</v>
      </c>
      <c r="BE146" s="76" t="b">
        <v>0</v>
      </c>
      <c r="BF146" s="76" t="b">
        <v>0</v>
      </c>
      <c r="BG146" s="76" t="b">
        <v>0</v>
      </c>
      <c r="BH146" s="83" t="str">
        <f>HYPERLINK("https://pbs.twimg.com/profile_banners/67350941/1500912731")</f>
        <v>https://pbs.twimg.com/profile_banners/67350941/1500912731</v>
      </c>
      <c r="BI146" s="76"/>
      <c r="BJ146" s="76" t="s">
        <v>18704</v>
      </c>
      <c r="BK146" s="76" t="b">
        <v>0</v>
      </c>
      <c r="BL146" s="76"/>
      <c r="BM146" s="76" t="s">
        <v>66</v>
      </c>
      <c r="BN146" s="76" t="s">
        <v>18706</v>
      </c>
      <c r="BO146" s="83" t="str">
        <f>HYPERLINK("https://twitter.com/portalvgv")</f>
        <v>https://twitter.com/portalvgv</v>
      </c>
      <c r="BP146" s="2"/>
    </row>
    <row r="147" spans="1:68" x14ac:dyDescent="0.25">
      <c r="A147" s="62" t="s">
        <v>334</v>
      </c>
      <c r="B147" s="63"/>
      <c r="C147" s="63"/>
      <c r="D147" s="64"/>
      <c r="E147" s="66"/>
      <c r="F147" s="102" t="str">
        <f>HYPERLINK("https://pbs.twimg.com/profile_images/1679209222507053056/x4xiqfDI_normal.jpg")</f>
        <v>https://pbs.twimg.com/profile_images/1679209222507053056/x4xiqfDI_normal.jpg</v>
      </c>
      <c r="G147" s="63"/>
      <c r="H147" s="67"/>
      <c r="I147" s="68"/>
      <c r="J147" s="68"/>
      <c r="K147" s="67" t="s">
        <v>18850</v>
      </c>
      <c r="L147" s="71"/>
      <c r="M147" s="72"/>
      <c r="N147" s="72"/>
      <c r="O147" s="73"/>
      <c r="P147" s="74"/>
      <c r="Q147" s="74"/>
      <c r="R147" s="86"/>
      <c r="S147" s="86"/>
      <c r="T147" s="86"/>
      <c r="U147" s="86"/>
      <c r="V147" s="48"/>
      <c r="W147" s="48"/>
      <c r="X147" s="48"/>
      <c r="Y147" s="48"/>
      <c r="Z147" s="47"/>
      <c r="AA147" s="69">
        <v>147</v>
      </c>
      <c r="AB147" s="69"/>
      <c r="AC147" s="70"/>
      <c r="AD147" s="76" t="s">
        <v>16579</v>
      </c>
      <c r="AE147" s="81" t="s">
        <v>15923</v>
      </c>
      <c r="AF147" s="76">
        <v>600</v>
      </c>
      <c r="AG147" s="76">
        <v>106</v>
      </c>
      <c r="AH147" s="76">
        <v>247</v>
      </c>
      <c r="AI147" s="76">
        <v>2</v>
      </c>
      <c r="AJ147" s="76">
        <v>40</v>
      </c>
      <c r="AK147" s="76">
        <v>95</v>
      </c>
      <c r="AL147" s="76" t="b">
        <v>0</v>
      </c>
      <c r="AM147" s="78">
        <v>40117.527557870373</v>
      </c>
      <c r="AN147" s="76" t="s">
        <v>10586</v>
      </c>
      <c r="AO147" s="76" t="s">
        <v>17777</v>
      </c>
      <c r="AP147" s="83" t="str">
        <f>HYPERLINK("https://t.co/9mmmzRHkAe")</f>
        <v>https://t.co/9mmmzRHkAe</v>
      </c>
      <c r="AQ147" s="83" t="str">
        <f>HYPERLINK("http://sst.trade")</f>
        <v>http://sst.trade</v>
      </c>
      <c r="AR147" s="76" t="s">
        <v>6563</v>
      </c>
      <c r="AS147" s="76"/>
      <c r="AT147" s="76"/>
      <c r="AU147" s="76"/>
      <c r="AV147" s="76"/>
      <c r="AW147" s="83" t="str">
        <f>HYPERLINK("https://t.co/9mmmzRHkAe")</f>
        <v>https://t.co/9mmmzRHkAe</v>
      </c>
      <c r="AX147" s="76" t="b">
        <v>1</v>
      </c>
      <c r="AY147" s="76"/>
      <c r="AZ147" s="76"/>
      <c r="BA147" s="76" t="b">
        <v>0</v>
      </c>
      <c r="BB147" s="76" t="b">
        <v>1</v>
      </c>
      <c r="BC147" s="76" t="b">
        <v>0</v>
      </c>
      <c r="BD147" s="76" t="b">
        <v>0</v>
      </c>
      <c r="BE147" s="76" t="b">
        <v>1</v>
      </c>
      <c r="BF147" s="76" t="b">
        <v>0</v>
      </c>
      <c r="BG147" s="76" t="b">
        <v>0</v>
      </c>
      <c r="BH147" s="83" t="str">
        <f>HYPERLINK("https://pbs.twimg.com/profile_banners/86519869/1626259938")</f>
        <v>https://pbs.twimg.com/profile_banners/86519869/1626259938</v>
      </c>
      <c r="BI147" s="76"/>
      <c r="BJ147" s="76" t="s">
        <v>18704</v>
      </c>
      <c r="BK147" s="76" t="b">
        <v>0</v>
      </c>
      <c r="BL147" s="76"/>
      <c r="BM147" s="76" t="s">
        <v>66</v>
      </c>
      <c r="BN147" s="76" t="s">
        <v>18706</v>
      </c>
      <c r="BO147" s="83" t="str">
        <f>HYPERLINK("https://twitter.com/eduardo_garufi")</f>
        <v>https://twitter.com/eduardo_garufi</v>
      </c>
      <c r="BP147" s="2"/>
    </row>
    <row r="148" spans="1:68" x14ac:dyDescent="0.25">
      <c r="A148" s="62" t="s">
        <v>335</v>
      </c>
      <c r="B148" s="63"/>
      <c r="C148" s="63"/>
      <c r="D148" s="64"/>
      <c r="E148" s="66"/>
      <c r="F148" s="102" t="str">
        <f>HYPERLINK("https://pbs.twimg.com/profile_images/1491927582488641558/fZ25myx9_normal.jpg")</f>
        <v>https://pbs.twimg.com/profile_images/1491927582488641558/fZ25myx9_normal.jpg</v>
      </c>
      <c r="G148" s="63"/>
      <c r="H148" s="67"/>
      <c r="I148" s="68"/>
      <c r="J148" s="68"/>
      <c r="K148" s="67" t="s">
        <v>18851</v>
      </c>
      <c r="L148" s="71"/>
      <c r="M148" s="72"/>
      <c r="N148" s="72"/>
      <c r="O148" s="73"/>
      <c r="P148" s="74"/>
      <c r="Q148" s="74"/>
      <c r="R148" s="86"/>
      <c r="S148" s="86"/>
      <c r="T148" s="86"/>
      <c r="U148" s="86"/>
      <c r="V148" s="48"/>
      <c r="W148" s="48"/>
      <c r="X148" s="48"/>
      <c r="Y148" s="48"/>
      <c r="Z148" s="47"/>
      <c r="AA148" s="69">
        <v>148</v>
      </c>
      <c r="AB148" s="69"/>
      <c r="AC148" s="70"/>
      <c r="AD148" s="76" t="s">
        <v>16580</v>
      </c>
      <c r="AE148" s="81" t="s">
        <v>16167</v>
      </c>
      <c r="AF148" s="76">
        <v>563</v>
      </c>
      <c r="AG148" s="76">
        <v>68</v>
      </c>
      <c r="AH148" s="76">
        <v>402</v>
      </c>
      <c r="AI148" s="76">
        <v>1</v>
      </c>
      <c r="AJ148" s="76">
        <v>121</v>
      </c>
      <c r="AK148" s="76">
        <v>89</v>
      </c>
      <c r="AL148" s="76" t="b">
        <v>0</v>
      </c>
      <c r="AM148" s="78">
        <v>44603.007268518515</v>
      </c>
      <c r="AN148" s="76"/>
      <c r="AO148" s="76" t="s">
        <v>17778</v>
      </c>
      <c r="AP148" s="83" t="str">
        <f>HYPERLINK("https://t.co/kLt2aoLn7q")</f>
        <v>https://t.co/kLt2aoLn7q</v>
      </c>
      <c r="AQ148" s="83" t="str">
        <f>HYPERLINK("http://4p.finance")</f>
        <v>http://4p.finance</v>
      </c>
      <c r="AR148" s="76" t="s">
        <v>18325</v>
      </c>
      <c r="AS148" s="76"/>
      <c r="AT148" s="76"/>
      <c r="AU148" s="76"/>
      <c r="AV148" s="76">
        <v>1.6931454871157601E+18</v>
      </c>
      <c r="AW148" s="83" t="str">
        <f>HYPERLINK("https://t.co/kLt2aoLn7q")</f>
        <v>https://t.co/kLt2aoLn7q</v>
      </c>
      <c r="AX148" s="76" t="b">
        <v>1</v>
      </c>
      <c r="AY148" s="76"/>
      <c r="AZ148" s="76"/>
      <c r="BA148" s="76" t="b">
        <v>0</v>
      </c>
      <c r="BB148" s="76" t="b">
        <v>1</v>
      </c>
      <c r="BC148" s="76" t="b">
        <v>1</v>
      </c>
      <c r="BD148" s="76" t="b">
        <v>0</v>
      </c>
      <c r="BE148" s="76" t="b">
        <v>0</v>
      </c>
      <c r="BF148" s="76" t="b">
        <v>0</v>
      </c>
      <c r="BG148" s="76" t="b">
        <v>0</v>
      </c>
      <c r="BH148" s="83" t="str">
        <f>HYPERLINK("https://pbs.twimg.com/profile_banners/1491927522648412161/1695514720")</f>
        <v>https://pbs.twimg.com/profile_banners/1491927522648412161/1695514720</v>
      </c>
      <c r="BI148" s="76"/>
      <c r="BJ148" s="76" t="s">
        <v>18704</v>
      </c>
      <c r="BK148" s="76" t="b">
        <v>0</v>
      </c>
      <c r="BL148" s="76"/>
      <c r="BM148" s="76" t="s">
        <v>66</v>
      </c>
      <c r="BN148" s="76" t="s">
        <v>18706</v>
      </c>
      <c r="BO148" s="83" t="str">
        <f>HYPERLINK("https://twitter.com/ocriptomestre")</f>
        <v>https://twitter.com/ocriptomestre</v>
      </c>
      <c r="BP148" s="2"/>
    </row>
    <row r="149" spans="1:68" x14ac:dyDescent="0.25">
      <c r="A149" s="62" t="s">
        <v>336</v>
      </c>
      <c r="B149" s="63"/>
      <c r="C149" s="63"/>
      <c r="D149" s="64"/>
      <c r="E149" s="66"/>
      <c r="F149" s="102" t="str">
        <f>HYPERLINK("https://pbs.twimg.com/profile_images/771187095964557312/_SF9Ei7A_normal.jpg")</f>
        <v>https://pbs.twimg.com/profile_images/771187095964557312/_SF9Ei7A_normal.jpg</v>
      </c>
      <c r="G149" s="63"/>
      <c r="H149" s="67"/>
      <c r="I149" s="68"/>
      <c r="J149" s="68"/>
      <c r="K149" s="67" t="s">
        <v>18852</v>
      </c>
      <c r="L149" s="71"/>
      <c r="M149" s="72"/>
      <c r="N149" s="72"/>
      <c r="O149" s="73"/>
      <c r="P149" s="74"/>
      <c r="Q149" s="74"/>
      <c r="R149" s="86"/>
      <c r="S149" s="86"/>
      <c r="T149" s="86"/>
      <c r="U149" s="86"/>
      <c r="V149" s="48"/>
      <c r="W149" s="48"/>
      <c r="X149" s="48"/>
      <c r="Y149" s="48"/>
      <c r="Z149" s="47"/>
      <c r="AA149" s="69">
        <v>149</v>
      </c>
      <c r="AB149" s="69"/>
      <c r="AC149" s="70"/>
      <c r="AD149" s="76" t="s">
        <v>16581</v>
      </c>
      <c r="AE149" s="81" t="s">
        <v>16168</v>
      </c>
      <c r="AF149" s="76">
        <v>1236</v>
      </c>
      <c r="AG149" s="76">
        <v>3949</v>
      </c>
      <c r="AH149" s="76">
        <v>4799</v>
      </c>
      <c r="AI149" s="76">
        <v>2</v>
      </c>
      <c r="AJ149" s="76">
        <v>14922</v>
      </c>
      <c r="AK149" s="76">
        <v>3659</v>
      </c>
      <c r="AL149" s="76" t="b">
        <v>0</v>
      </c>
      <c r="AM149" s="78">
        <v>42580.221354166664</v>
      </c>
      <c r="AN149" s="76" t="s">
        <v>17451</v>
      </c>
      <c r="AO149" s="76" t="s">
        <v>17779</v>
      </c>
      <c r="AP149" s="83" t="str">
        <f>HYPERLINK("https://t.co/iNWbM5xu15")</f>
        <v>https://t.co/iNWbM5xu15</v>
      </c>
      <c r="AQ149" s="83" t="str">
        <f>HYPERLINK("https://youtube.com/channel/UC9-bYwrTq5IRsmICD5D9-cA")</f>
        <v>https://youtube.com/channel/UC9-bYwrTq5IRsmICD5D9-cA</v>
      </c>
      <c r="AR149" s="76" t="s">
        <v>18326</v>
      </c>
      <c r="AS149" s="76"/>
      <c r="AT149" s="76"/>
      <c r="AU149" s="76"/>
      <c r="AV149" s="76"/>
      <c r="AW149" s="83" t="str">
        <f>HYPERLINK("https://t.co/iNWbM5xu15")</f>
        <v>https://t.co/iNWbM5xu15</v>
      </c>
      <c r="AX149" s="76" t="b">
        <v>0</v>
      </c>
      <c r="AY149" s="76"/>
      <c r="AZ149" s="76"/>
      <c r="BA149" s="76" t="b">
        <v>0</v>
      </c>
      <c r="BB149" s="76" t="b">
        <v>0</v>
      </c>
      <c r="BC149" s="76" t="b">
        <v>0</v>
      </c>
      <c r="BD149" s="76" t="b">
        <v>0</v>
      </c>
      <c r="BE149" s="76" t="b">
        <v>0</v>
      </c>
      <c r="BF149" s="76" t="b">
        <v>0</v>
      </c>
      <c r="BG149" s="76" t="b">
        <v>0</v>
      </c>
      <c r="BH149" s="83" t="str">
        <f>HYPERLINK("https://pbs.twimg.com/profile_banners/758894510759747584/1539836261")</f>
        <v>https://pbs.twimg.com/profile_banners/758894510759747584/1539836261</v>
      </c>
      <c r="BI149" s="76"/>
      <c r="BJ149" s="76" t="s">
        <v>18704</v>
      </c>
      <c r="BK149" s="76" t="b">
        <v>0</v>
      </c>
      <c r="BL149" s="76"/>
      <c r="BM149" s="76" t="s">
        <v>66</v>
      </c>
      <c r="BN149" s="76" t="s">
        <v>18706</v>
      </c>
      <c r="BO149" s="83" t="str">
        <f>HYPERLINK("https://twitter.com/elbunkerradior")</f>
        <v>https://twitter.com/elbunkerradior</v>
      </c>
      <c r="BP149" s="2"/>
    </row>
    <row r="150" spans="1:68" x14ac:dyDescent="0.25">
      <c r="A150" s="62" t="s">
        <v>337</v>
      </c>
      <c r="B150" s="63"/>
      <c r="C150" s="63"/>
      <c r="D150" s="64"/>
      <c r="E150" s="66"/>
      <c r="F150" s="102" t="str">
        <f>HYPERLINK("https://pbs.twimg.com/profile_images/1705633055841325056/6MZFeYY__normal.jpg")</f>
        <v>https://pbs.twimg.com/profile_images/1705633055841325056/6MZFeYY__normal.jpg</v>
      </c>
      <c r="G150" s="63"/>
      <c r="H150" s="67"/>
      <c r="I150" s="68"/>
      <c r="J150" s="68"/>
      <c r="K150" s="67" t="s">
        <v>18853</v>
      </c>
      <c r="L150" s="71"/>
      <c r="M150" s="72"/>
      <c r="N150" s="72"/>
      <c r="O150" s="73"/>
      <c r="P150" s="74"/>
      <c r="Q150" s="74"/>
      <c r="R150" s="86"/>
      <c r="S150" s="86"/>
      <c r="T150" s="86"/>
      <c r="U150" s="86"/>
      <c r="V150" s="48"/>
      <c r="W150" s="48"/>
      <c r="X150" s="48"/>
      <c r="Y150" s="48"/>
      <c r="Z150" s="47"/>
      <c r="AA150" s="69">
        <v>150</v>
      </c>
      <c r="AB150" s="69"/>
      <c r="AC150" s="70"/>
      <c r="AD150" s="76" t="s">
        <v>16582</v>
      </c>
      <c r="AE150" s="81" t="s">
        <v>16169</v>
      </c>
      <c r="AF150" s="76">
        <v>0</v>
      </c>
      <c r="AG150" s="76">
        <v>9</v>
      </c>
      <c r="AH150" s="76">
        <v>18</v>
      </c>
      <c r="AI150" s="76">
        <v>0</v>
      </c>
      <c r="AJ150" s="76">
        <v>9</v>
      </c>
      <c r="AK150" s="76">
        <v>9</v>
      </c>
      <c r="AL150" s="76" t="b">
        <v>0</v>
      </c>
      <c r="AM150" s="78">
        <v>44958.770682870374</v>
      </c>
      <c r="AN150" s="76"/>
      <c r="AO150" s="76" t="s">
        <v>17780</v>
      </c>
      <c r="AP150" s="76"/>
      <c r="AQ150" s="76"/>
      <c r="AR150" s="76"/>
      <c r="AS150" s="76"/>
      <c r="AT150" s="76"/>
      <c r="AU150" s="76"/>
      <c r="AV150" s="76"/>
      <c r="AW150" s="76"/>
      <c r="AX150" s="76" t="b">
        <v>0</v>
      </c>
      <c r="AY150" s="76"/>
      <c r="AZ150" s="76"/>
      <c r="BA150" s="76" t="b">
        <v>0</v>
      </c>
      <c r="BB150" s="76" t="b">
        <v>1</v>
      </c>
      <c r="BC150" s="76" t="b">
        <v>1</v>
      </c>
      <c r="BD150" s="76" t="b">
        <v>0</v>
      </c>
      <c r="BE150" s="76" t="b">
        <v>0</v>
      </c>
      <c r="BF150" s="76" t="b">
        <v>0</v>
      </c>
      <c r="BG150" s="76" t="b">
        <v>0</v>
      </c>
      <c r="BH150" s="83" t="str">
        <f>HYPERLINK("https://pbs.twimg.com/profile_banners/1620851830811918340/1695489586")</f>
        <v>https://pbs.twimg.com/profile_banners/1620851830811918340/1695489586</v>
      </c>
      <c r="BI150" s="76"/>
      <c r="BJ150" s="76" t="s">
        <v>18704</v>
      </c>
      <c r="BK150" s="76" t="b">
        <v>0</v>
      </c>
      <c r="BL150" s="76"/>
      <c r="BM150" s="76" t="s">
        <v>66</v>
      </c>
      <c r="BN150" s="76" t="s">
        <v>18706</v>
      </c>
      <c r="BO150" s="83" t="str">
        <f>HYPERLINK("https://twitter.com/sanchezzandre")</f>
        <v>https://twitter.com/sanchezzandre</v>
      </c>
      <c r="BP150" s="2"/>
    </row>
    <row r="151" spans="1:68" x14ac:dyDescent="0.25">
      <c r="A151" s="62" t="s">
        <v>338</v>
      </c>
      <c r="B151" s="63"/>
      <c r="C151" s="63"/>
      <c r="D151" s="64"/>
      <c r="E151" s="66"/>
      <c r="F151" s="102" t="str">
        <f>HYPERLINK("https://pbs.twimg.com/profile_images/1684928278849613825/tE9twdwC_normal.jpg")</f>
        <v>https://pbs.twimg.com/profile_images/1684928278849613825/tE9twdwC_normal.jpg</v>
      </c>
      <c r="G151" s="63"/>
      <c r="H151" s="67"/>
      <c r="I151" s="68"/>
      <c r="J151" s="68"/>
      <c r="K151" s="67" t="s">
        <v>18854</v>
      </c>
      <c r="L151" s="71"/>
      <c r="M151" s="72"/>
      <c r="N151" s="72"/>
      <c r="O151" s="73"/>
      <c r="P151" s="74"/>
      <c r="Q151" s="74"/>
      <c r="R151" s="86"/>
      <c r="S151" s="86"/>
      <c r="T151" s="86"/>
      <c r="U151" s="86"/>
      <c r="V151" s="48"/>
      <c r="W151" s="48"/>
      <c r="X151" s="48"/>
      <c r="Y151" s="48"/>
      <c r="Z151" s="47"/>
      <c r="AA151" s="69">
        <v>151</v>
      </c>
      <c r="AB151" s="69"/>
      <c r="AC151" s="70"/>
      <c r="AD151" s="76" t="s">
        <v>16583</v>
      </c>
      <c r="AE151" s="81" t="s">
        <v>16170</v>
      </c>
      <c r="AF151" s="76">
        <v>0</v>
      </c>
      <c r="AG151" s="76">
        <v>6</v>
      </c>
      <c r="AH151" s="76">
        <v>30</v>
      </c>
      <c r="AI151" s="76">
        <v>0</v>
      </c>
      <c r="AJ151" s="76">
        <v>13</v>
      </c>
      <c r="AK151" s="76">
        <v>18</v>
      </c>
      <c r="AL151" s="76" t="b">
        <v>0</v>
      </c>
      <c r="AM151" s="78">
        <v>43889.093993055554</v>
      </c>
      <c r="AN151" s="76"/>
      <c r="AO151" s="76" t="s">
        <v>17781</v>
      </c>
      <c r="AP151" s="83" t="str">
        <f>HYPERLINK("https://t.co/vybSKyTIqi")</f>
        <v>https://t.co/vybSKyTIqi</v>
      </c>
      <c r="AQ151" s="83" t="str">
        <f>HYPERLINK("http://www.prospectinvestimentos.com")</f>
        <v>http://www.prospectinvestimentos.com</v>
      </c>
      <c r="AR151" s="76" t="s">
        <v>18327</v>
      </c>
      <c r="AS151" s="76"/>
      <c r="AT151" s="76"/>
      <c r="AU151" s="76"/>
      <c r="AV151" s="76"/>
      <c r="AW151" s="83" t="str">
        <f>HYPERLINK("https://t.co/vybSKyTIqi")</f>
        <v>https://t.co/vybSKyTIqi</v>
      </c>
      <c r="AX151" s="76" t="b">
        <v>0</v>
      </c>
      <c r="AY151" s="76"/>
      <c r="AZ151" s="76"/>
      <c r="BA151" s="76" t="b">
        <v>0</v>
      </c>
      <c r="BB151" s="76" t="b">
        <v>1</v>
      </c>
      <c r="BC151" s="76" t="b">
        <v>1</v>
      </c>
      <c r="BD151" s="76" t="b">
        <v>0</v>
      </c>
      <c r="BE151" s="76" t="b">
        <v>0</v>
      </c>
      <c r="BF151" s="76" t="b">
        <v>0</v>
      </c>
      <c r="BG151" s="76" t="b">
        <v>0</v>
      </c>
      <c r="BH151" s="83" t="str">
        <f>HYPERLINK("https://pbs.twimg.com/profile_banners/1233213986595917824/1679946449")</f>
        <v>https://pbs.twimg.com/profile_banners/1233213986595917824/1679946449</v>
      </c>
      <c r="BI151" s="76"/>
      <c r="BJ151" s="76" t="s">
        <v>18704</v>
      </c>
      <c r="BK151" s="76" t="b">
        <v>0</v>
      </c>
      <c r="BL151" s="76"/>
      <c r="BM151" s="76" t="s">
        <v>66</v>
      </c>
      <c r="BN151" s="76" t="s">
        <v>18706</v>
      </c>
      <c r="BO151" s="83" t="str">
        <f>HYPERLINK("https://twitter.com/jhonata13179362")</f>
        <v>https://twitter.com/jhonata13179362</v>
      </c>
      <c r="BP151" s="2"/>
    </row>
    <row r="152" spans="1:68" x14ac:dyDescent="0.25">
      <c r="A152" s="62" t="s">
        <v>766</v>
      </c>
      <c r="B152" s="63"/>
      <c r="C152" s="63"/>
      <c r="D152" s="64"/>
      <c r="E152" s="66"/>
      <c r="F152" s="102" t="str">
        <f>HYPERLINK("https://pbs.twimg.com/profile_images/1420510146233618432/A4pLrbft_normal.jpg")</f>
        <v>https://pbs.twimg.com/profile_images/1420510146233618432/A4pLrbft_normal.jpg</v>
      </c>
      <c r="G152" s="63"/>
      <c r="H152" s="67"/>
      <c r="I152" s="68"/>
      <c r="J152" s="68"/>
      <c r="K152" s="67" t="s">
        <v>18855</v>
      </c>
      <c r="L152" s="71"/>
      <c r="M152" s="72"/>
      <c r="N152" s="72"/>
      <c r="O152" s="73"/>
      <c r="P152" s="74"/>
      <c r="Q152" s="74"/>
      <c r="R152" s="86"/>
      <c r="S152" s="86"/>
      <c r="T152" s="86"/>
      <c r="U152" s="86"/>
      <c r="V152" s="48"/>
      <c r="W152" s="48"/>
      <c r="X152" s="48"/>
      <c r="Y152" s="48"/>
      <c r="Z152" s="47"/>
      <c r="AA152" s="69">
        <v>152</v>
      </c>
      <c r="AB152" s="69"/>
      <c r="AC152" s="70"/>
      <c r="AD152" s="76" t="s">
        <v>16584</v>
      </c>
      <c r="AE152" s="81" t="s">
        <v>17160</v>
      </c>
      <c r="AF152" s="76">
        <v>9</v>
      </c>
      <c r="AG152" s="76">
        <v>7</v>
      </c>
      <c r="AH152" s="76">
        <v>14</v>
      </c>
      <c r="AI152" s="76">
        <v>0</v>
      </c>
      <c r="AJ152" s="76">
        <v>1</v>
      </c>
      <c r="AK152" s="76">
        <v>2</v>
      </c>
      <c r="AL152" s="76" t="b">
        <v>0</v>
      </c>
      <c r="AM152" s="78">
        <v>42778.702303240738</v>
      </c>
      <c r="AN152" s="76" t="s">
        <v>17452</v>
      </c>
      <c r="AO152" s="76" t="s">
        <v>17782</v>
      </c>
      <c r="AP152" s="83" t="str">
        <f>HYPERLINK("https://t.co/w8UhapfIIp")</f>
        <v>https://t.co/w8UhapfIIp</v>
      </c>
      <c r="AQ152" s="83" t="str">
        <f>HYPERLINK("https://proeducacional.com/")</f>
        <v>https://proeducacional.com/</v>
      </c>
      <c r="AR152" s="76" t="s">
        <v>18328</v>
      </c>
      <c r="AS152" s="76"/>
      <c r="AT152" s="76"/>
      <c r="AU152" s="76"/>
      <c r="AV152" s="76"/>
      <c r="AW152" s="83" t="str">
        <f>HYPERLINK("https://t.co/w8UhapfIIp")</f>
        <v>https://t.co/w8UhapfIIp</v>
      </c>
      <c r="AX152" s="76" t="b">
        <v>0</v>
      </c>
      <c r="AY152" s="76"/>
      <c r="AZ152" s="76"/>
      <c r="BA152" s="76" t="b">
        <v>1</v>
      </c>
      <c r="BB152" s="76" t="b">
        <v>1</v>
      </c>
      <c r="BC152" s="76" t="b">
        <v>0</v>
      </c>
      <c r="BD152" s="76" t="b">
        <v>0</v>
      </c>
      <c r="BE152" s="76" t="b">
        <v>0</v>
      </c>
      <c r="BF152" s="76" t="b">
        <v>0</v>
      </c>
      <c r="BG152" s="76" t="b">
        <v>0</v>
      </c>
      <c r="BH152" s="83" t="str">
        <f>HYPERLINK("https://pbs.twimg.com/profile_banners/830821595082063872/1627510988")</f>
        <v>https://pbs.twimg.com/profile_banners/830821595082063872/1627510988</v>
      </c>
      <c r="BI152" s="76"/>
      <c r="BJ152" s="76" t="s">
        <v>18704</v>
      </c>
      <c r="BK152" s="76" t="b">
        <v>0</v>
      </c>
      <c r="BL152" s="76"/>
      <c r="BM152" s="76" t="s">
        <v>65</v>
      </c>
      <c r="BN152" s="76" t="s">
        <v>18706</v>
      </c>
      <c r="BO152" s="83" t="str">
        <f>HYPERLINK("https://twitter.com/proeducacional")</f>
        <v>https://twitter.com/proeducacional</v>
      </c>
      <c r="BP152" s="2"/>
    </row>
    <row r="153" spans="1:68" x14ac:dyDescent="0.25">
      <c r="A153" s="62" t="s">
        <v>767</v>
      </c>
      <c r="B153" s="63"/>
      <c r="C153" s="63"/>
      <c r="D153" s="64"/>
      <c r="E153" s="66"/>
      <c r="F153" s="102" t="str">
        <f>HYPERLINK("https://abs.twimg.com/sticky/default_profile_images/default_profile_normal.png")</f>
        <v>https://abs.twimg.com/sticky/default_profile_images/default_profile_normal.png</v>
      </c>
      <c r="G153" s="63"/>
      <c r="H153" s="67"/>
      <c r="I153" s="68"/>
      <c r="J153" s="68"/>
      <c r="K153" s="67" t="s">
        <v>18856</v>
      </c>
      <c r="L153" s="71"/>
      <c r="M153" s="72"/>
      <c r="N153" s="72"/>
      <c r="O153" s="73"/>
      <c r="P153" s="74"/>
      <c r="Q153" s="74"/>
      <c r="R153" s="86"/>
      <c r="S153" s="86"/>
      <c r="T153" s="86"/>
      <c r="U153" s="86"/>
      <c r="V153" s="48"/>
      <c r="W153" s="48"/>
      <c r="X153" s="48"/>
      <c r="Y153" s="48"/>
      <c r="Z153" s="47"/>
      <c r="AA153" s="69">
        <v>153</v>
      </c>
      <c r="AB153" s="69"/>
      <c r="AC153" s="70"/>
      <c r="AD153" s="76" t="s">
        <v>767</v>
      </c>
      <c r="AE153" s="81" t="s">
        <v>17161</v>
      </c>
      <c r="AF153" s="76">
        <v>123</v>
      </c>
      <c r="AG153" s="76">
        <v>0</v>
      </c>
      <c r="AH153" s="76">
        <v>1</v>
      </c>
      <c r="AI153" s="76">
        <v>2</v>
      </c>
      <c r="AJ153" s="76">
        <v>0</v>
      </c>
      <c r="AK153" s="76">
        <v>0</v>
      </c>
      <c r="AL153" s="76" t="b">
        <v>0</v>
      </c>
      <c r="AM153" s="78">
        <v>39683.897164351853</v>
      </c>
      <c r="AN153" s="76"/>
      <c r="AO153" s="76"/>
      <c r="AP153" s="76"/>
      <c r="AQ153" s="76"/>
      <c r="AR153" s="76"/>
      <c r="AS153" s="76"/>
      <c r="AT153" s="76"/>
      <c r="AU153" s="76"/>
      <c r="AV153" s="76"/>
      <c r="AW153" s="76"/>
      <c r="AX153" s="76" t="b">
        <v>0</v>
      </c>
      <c r="AY153" s="76"/>
      <c r="AZ153" s="76"/>
      <c r="BA153" s="76" t="b">
        <v>0</v>
      </c>
      <c r="BB153" s="76" t="b">
        <v>1</v>
      </c>
      <c r="BC153" s="76" t="b">
        <v>1</v>
      </c>
      <c r="BD153" s="76" t="b">
        <v>1</v>
      </c>
      <c r="BE153" s="76" t="b">
        <v>0</v>
      </c>
      <c r="BF153" s="76" t="b">
        <v>0</v>
      </c>
      <c r="BG153" s="76" t="b">
        <v>0</v>
      </c>
      <c r="BH153" s="76"/>
      <c r="BI153" s="76"/>
      <c r="BJ153" s="76" t="s">
        <v>18704</v>
      </c>
      <c r="BK153" s="76" t="b">
        <v>0</v>
      </c>
      <c r="BL153" s="76"/>
      <c r="BM153" s="76" t="s">
        <v>65</v>
      </c>
      <c r="BN153" s="76" t="s">
        <v>18706</v>
      </c>
      <c r="BO153" s="83" t="str">
        <f>HYPERLINK("https://twitter.com/jhonata")</f>
        <v>https://twitter.com/jhonata</v>
      </c>
      <c r="BP153" s="2"/>
    </row>
    <row r="154" spans="1:68" x14ac:dyDescent="0.25">
      <c r="A154" s="62" t="s">
        <v>339</v>
      </c>
      <c r="B154" s="63"/>
      <c r="C154" s="63"/>
      <c r="D154" s="64"/>
      <c r="E154" s="66"/>
      <c r="F154" s="102" t="str">
        <f>HYPERLINK("https://pbs.twimg.com/profile_images/1635926557977100289/xd69FX_J_normal.jpg")</f>
        <v>https://pbs.twimg.com/profile_images/1635926557977100289/xd69FX_J_normal.jpg</v>
      </c>
      <c r="G154" s="63"/>
      <c r="H154" s="67"/>
      <c r="I154" s="68"/>
      <c r="J154" s="68"/>
      <c r="K154" s="67" t="s">
        <v>18857</v>
      </c>
      <c r="L154" s="71"/>
      <c r="M154" s="72"/>
      <c r="N154" s="72"/>
      <c r="O154" s="73"/>
      <c r="P154" s="74"/>
      <c r="Q154" s="74"/>
      <c r="R154" s="86"/>
      <c r="S154" s="86"/>
      <c r="T154" s="86"/>
      <c r="U154" s="86"/>
      <c r="V154" s="48"/>
      <c r="W154" s="48"/>
      <c r="X154" s="48"/>
      <c r="Y154" s="48"/>
      <c r="Z154" s="47"/>
      <c r="AA154" s="69">
        <v>154</v>
      </c>
      <c r="AB154" s="69"/>
      <c r="AC154" s="70"/>
      <c r="AD154" s="76" t="s">
        <v>16585</v>
      </c>
      <c r="AE154" s="81" t="s">
        <v>16171</v>
      </c>
      <c r="AF154" s="76">
        <v>134</v>
      </c>
      <c r="AG154" s="76">
        <v>23</v>
      </c>
      <c r="AH154" s="76">
        <v>905</v>
      </c>
      <c r="AI154" s="76">
        <v>1</v>
      </c>
      <c r="AJ154" s="76">
        <v>65</v>
      </c>
      <c r="AK154" s="76">
        <v>438</v>
      </c>
      <c r="AL154" s="76" t="b">
        <v>0</v>
      </c>
      <c r="AM154" s="78">
        <v>42933.850810185184</v>
      </c>
      <c r="AN154" s="76" t="s">
        <v>17453</v>
      </c>
      <c r="AO154" s="76" t="s">
        <v>17783</v>
      </c>
      <c r="AP154" s="83" t="str">
        <f>HYPERLINK("https://t.co/mcGgPwUBcR")</f>
        <v>https://t.co/mcGgPwUBcR</v>
      </c>
      <c r="AQ154" s="83" t="str">
        <f>HYPERLINK("http://bit.ly/m/TraderVlogLinks")</f>
        <v>http://bit.ly/m/TraderVlogLinks</v>
      </c>
      <c r="AR154" s="76" t="s">
        <v>18329</v>
      </c>
      <c r="AS154" s="76"/>
      <c r="AT154" s="76"/>
      <c r="AU154" s="76"/>
      <c r="AV154" s="76">
        <v>1.6569119628975501E+18</v>
      </c>
      <c r="AW154" s="83" t="str">
        <f>HYPERLINK("https://t.co/mcGgPwUBcR")</f>
        <v>https://t.co/mcGgPwUBcR</v>
      </c>
      <c r="AX154" s="76" t="b">
        <v>0</v>
      </c>
      <c r="AY154" s="76"/>
      <c r="AZ154" s="76"/>
      <c r="BA154" s="76" t="b">
        <v>0</v>
      </c>
      <c r="BB154" s="76" t="b">
        <v>0</v>
      </c>
      <c r="BC154" s="76" t="b">
        <v>0</v>
      </c>
      <c r="BD154" s="76" t="b">
        <v>0</v>
      </c>
      <c r="BE154" s="76" t="b">
        <v>1</v>
      </c>
      <c r="BF154" s="76" t="b">
        <v>0</v>
      </c>
      <c r="BG154" s="76" t="b">
        <v>0</v>
      </c>
      <c r="BH154" s="83" t="str">
        <f>HYPERLINK("https://pbs.twimg.com/profile_banners/887045533331845120/1687608134")</f>
        <v>https://pbs.twimg.com/profile_banners/887045533331845120/1687608134</v>
      </c>
      <c r="BI154" s="76"/>
      <c r="BJ154" s="76" t="s">
        <v>18704</v>
      </c>
      <c r="BK154" s="76" t="b">
        <v>0</v>
      </c>
      <c r="BL154" s="76"/>
      <c r="BM154" s="76" t="s">
        <v>66</v>
      </c>
      <c r="BN154" s="76" t="s">
        <v>18706</v>
      </c>
      <c r="BO154" s="83" t="str">
        <f>HYPERLINK("https://twitter.com/tradervlog")</f>
        <v>https://twitter.com/tradervlog</v>
      </c>
      <c r="BP154" s="2"/>
    </row>
    <row r="155" spans="1:68" x14ac:dyDescent="0.25">
      <c r="A155" s="62" t="s">
        <v>340</v>
      </c>
      <c r="B155" s="63"/>
      <c r="C155" s="63"/>
      <c r="D155" s="64"/>
      <c r="E155" s="66"/>
      <c r="F155" s="102" t="str">
        <f>HYPERLINK("https://pbs.twimg.com/profile_images/1577020692184301587/YW6XkdWF_normal.jpg")</f>
        <v>https://pbs.twimg.com/profile_images/1577020692184301587/YW6XkdWF_normal.jpg</v>
      </c>
      <c r="G155" s="63"/>
      <c r="H155" s="67"/>
      <c r="I155" s="68"/>
      <c r="J155" s="68"/>
      <c r="K155" s="67" t="s">
        <v>18858</v>
      </c>
      <c r="L155" s="71"/>
      <c r="M155" s="72"/>
      <c r="N155" s="72"/>
      <c r="O155" s="73"/>
      <c r="P155" s="74"/>
      <c r="Q155" s="74"/>
      <c r="R155" s="86"/>
      <c r="S155" s="86"/>
      <c r="T155" s="86"/>
      <c r="U155" s="86"/>
      <c r="V155" s="48"/>
      <c r="W155" s="48"/>
      <c r="X155" s="48"/>
      <c r="Y155" s="48"/>
      <c r="Z155" s="47"/>
      <c r="AA155" s="69">
        <v>155</v>
      </c>
      <c r="AB155" s="69"/>
      <c r="AC155" s="70"/>
      <c r="AD155" s="76" t="s">
        <v>16586</v>
      </c>
      <c r="AE155" s="81" t="s">
        <v>16172</v>
      </c>
      <c r="AF155" s="76">
        <v>19</v>
      </c>
      <c r="AG155" s="76">
        <v>0</v>
      </c>
      <c r="AH155" s="76">
        <v>498</v>
      </c>
      <c r="AI155" s="76">
        <v>0</v>
      </c>
      <c r="AJ155" s="76">
        <v>5</v>
      </c>
      <c r="AK155" s="76">
        <v>494</v>
      </c>
      <c r="AL155" s="76" t="b">
        <v>0</v>
      </c>
      <c r="AM155" s="78">
        <v>44054.259259259263</v>
      </c>
      <c r="AN155" s="76"/>
      <c r="AO155" s="76" t="s">
        <v>17784</v>
      </c>
      <c r="AP155" s="83" t="str">
        <f>HYPERLINK("https://t.co/nzu6PhKPfx")</f>
        <v>https://t.co/nzu6PhKPfx</v>
      </c>
      <c r="AQ155" s="83" t="str">
        <f>HYPERLINK("https://linktr.ee/studiomadehits")</f>
        <v>https://linktr.ee/studiomadehits</v>
      </c>
      <c r="AR155" s="76" t="s">
        <v>18330</v>
      </c>
      <c r="AS155" s="76"/>
      <c r="AT155" s="76"/>
      <c r="AU155" s="76"/>
      <c r="AV155" s="76"/>
      <c r="AW155" s="83" t="str">
        <f>HYPERLINK("https://t.co/nzu6PhKPfx")</f>
        <v>https://t.co/nzu6PhKPfx</v>
      </c>
      <c r="AX155" s="76" t="b">
        <v>0</v>
      </c>
      <c r="AY155" s="76"/>
      <c r="AZ155" s="76"/>
      <c r="BA155" s="76" t="b">
        <v>0</v>
      </c>
      <c r="BB155" s="76" t="b">
        <v>1</v>
      </c>
      <c r="BC155" s="76" t="b">
        <v>1</v>
      </c>
      <c r="BD155" s="76" t="b">
        <v>0</v>
      </c>
      <c r="BE155" s="76" t="b">
        <v>0</v>
      </c>
      <c r="BF155" s="76" t="b">
        <v>0</v>
      </c>
      <c r="BG155" s="76" t="b">
        <v>0</v>
      </c>
      <c r="BH155" s="83" t="str">
        <f>HYPERLINK("https://pbs.twimg.com/profile_banners/1293067913453338625/1664826009")</f>
        <v>https://pbs.twimg.com/profile_banners/1293067913453338625/1664826009</v>
      </c>
      <c r="BI155" s="76"/>
      <c r="BJ155" s="76" t="s">
        <v>18704</v>
      </c>
      <c r="BK155" s="76" t="b">
        <v>0</v>
      </c>
      <c r="BL155" s="76"/>
      <c r="BM155" s="76" t="s">
        <v>66</v>
      </c>
      <c r="BN155" s="76" t="s">
        <v>18706</v>
      </c>
      <c r="BO155" s="83" t="str">
        <f>HYPERLINK("https://twitter.com/made_hits")</f>
        <v>https://twitter.com/made_hits</v>
      </c>
      <c r="BP155" s="2"/>
    </row>
    <row r="156" spans="1:68" x14ac:dyDescent="0.25">
      <c r="A156" s="62" t="s">
        <v>341</v>
      </c>
      <c r="B156" s="63"/>
      <c r="C156" s="63"/>
      <c r="D156" s="64"/>
      <c r="E156" s="66"/>
      <c r="F156" s="102" t="str">
        <f>HYPERLINK("https://pbs.twimg.com/profile_images/1177212695776518144/61vDUE-Q_normal.jpg")</f>
        <v>https://pbs.twimg.com/profile_images/1177212695776518144/61vDUE-Q_normal.jpg</v>
      </c>
      <c r="G156" s="63"/>
      <c r="H156" s="67"/>
      <c r="I156" s="68"/>
      <c r="J156" s="68"/>
      <c r="K156" s="67" t="s">
        <v>18859</v>
      </c>
      <c r="L156" s="71"/>
      <c r="M156" s="72"/>
      <c r="N156" s="72"/>
      <c r="O156" s="73"/>
      <c r="P156" s="74"/>
      <c r="Q156" s="74"/>
      <c r="R156" s="86"/>
      <c r="S156" s="86"/>
      <c r="T156" s="86"/>
      <c r="U156" s="86"/>
      <c r="V156" s="48"/>
      <c r="W156" s="48"/>
      <c r="X156" s="48"/>
      <c r="Y156" s="48"/>
      <c r="Z156" s="47"/>
      <c r="AA156" s="69">
        <v>156</v>
      </c>
      <c r="AB156" s="69"/>
      <c r="AC156" s="70"/>
      <c r="AD156" s="76" t="s">
        <v>16587</v>
      </c>
      <c r="AE156" s="81" t="s">
        <v>17162</v>
      </c>
      <c r="AF156" s="76">
        <v>5406</v>
      </c>
      <c r="AG156" s="76">
        <v>301</v>
      </c>
      <c r="AH156" s="76">
        <v>19527</v>
      </c>
      <c r="AI156" s="76">
        <v>74</v>
      </c>
      <c r="AJ156" s="76">
        <v>106</v>
      </c>
      <c r="AK156" s="76">
        <v>7593</v>
      </c>
      <c r="AL156" s="76" t="b">
        <v>0</v>
      </c>
      <c r="AM156" s="78">
        <v>40056.621666666666</v>
      </c>
      <c r="AN156" s="76" t="s">
        <v>17454</v>
      </c>
      <c r="AO156" s="76" t="s">
        <v>17785</v>
      </c>
      <c r="AP156" s="83" t="str">
        <f>HYPERLINK("https://t.co/sODD7O12qo")</f>
        <v>https://t.co/sODD7O12qo</v>
      </c>
      <c r="AQ156" s="83" t="str">
        <f>HYPERLINK("https://guarulhosonline.com.br/")</f>
        <v>https://guarulhosonline.com.br/</v>
      </c>
      <c r="AR156" s="76" t="s">
        <v>18331</v>
      </c>
      <c r="AS156" s="76"/>
      <c r="AT156" s="76"/>
      <c r="AU156" s="76"/>
      <c r="AV156" s="76"/>
      <c r="AW156" s="83" t="str">
        <f>HYPERLINK("https://t.co/sODD7O12qo")</f>
        <v>https://t.co/sODD7O12qo</v>
      </c>
      <c r="AX156" s="76" t="b">
        <v>0</v>
      </c>
      <c r="AY156" s="76"/>
      <c r="AZ156" s="76"/>
      <c r="BA156" s="76" t="b">
        <v>1</v>
      </c>
      <c r="BB156" s="76" t="b">
        <v>0</v>
      </c>
      <c r="BC156" s="76" t="b">
        <v>0</v>
      </c>
      <c r="BD156" s="76" t="b">
        <v>0</v>
      </c>
      <c r="BE156" s="76" t="b">
        <v>1</v>
      </c>
      <c r="BF156" s="76" t="b">
        <v>0</v>
      </c>
      <c r="BG156" s="76" t="b">
        <v>0</v>
      </c>
      <c r="BH156" s="83" t="str">
        <f>HYPERLINK("https://pbs.twimg.com/profile_banners/70411503/1569504354")</f>
        <v>https://pbs.twimg.com/profile_banners/70411503/1569504354</v>
      </c>
      <c r="BI156" s="76"/>
      <c r="BJ156" s="76" t="s">
        <v>18704</v>
      </c>
      <c r="BK156" s="76" t="b">
        <v>0</v>
      </c>
      <c r="BL156" s="76"/>
      <c r="BM156" s="76" t="s">
        <v>66</v>
      </c>
      <c r="BN156" s="76" t="s">
        <v>18706</v>
      </c>
      <c r="BO156" s="83" t="str">
        <f>HYPERLINK("https://twitter.com/guarulhosonline")</f>
        <v>https://twitter.com/guarulhosonline</v>
      </c>
      <c r="BP156" s="2"/>
    </row>
    <row r="157" spans="1:68" x14ac:dyDescent="0.25">
      <c r="A157" s="62" t="s">
        <v>342</v>
      </c>
      <c r="B157" s="63"/>
      <c r="C157" s="63"/>
      <c r="D157" s="64"/>
      <c r="E157" s="66"/>
      <c r="F157" s="102" t="str">
        <f>HYPERLINK("https://pbs.twimg.com/profile_images/1655611509618139138/koycjPgc_normal.jpg")</f>
        <v>https://pbs.twimg.com/profile_images/1655611509618139138/koycjPgc_normal.jpg</v>
      </c>
      <c r="G157" s="63"/>
      <c r="H157" s="67"/>
      <c r="I157" s="68"/>
      <c r="J157" s="68"/>
      <c r="K157" s="67" t="s">
        <v>18860</v>
      </c>
      <c r="L157" s="71"/>
      <c r="M157" s="72"/>
      <c r="N157" s="72"/>
      <c r="O157" s="73"/>
      <c r="P157" s="74"/>
      <c r="Q157" s="74"/>
      <c r="R157" s="86"/>
      <c r="S157" s="86"/>
      <c r="T157" s="86"/>
      <c r="U157" s="86"/>
      <c r="V157" s="48"/>
      <c r="W157" s="48"/>
      <c r="X157" s="48"/>
      <c r="Y157" s="48"/>
      <c r="Z157" s="47"/>
      <c r="AA157" s="69">
        <v>157</v>
      </c>
      <c r="AB157" s="69"/>
      <c r="AC157" s="70"/>
      <c r="AD157" s="76" t="s">
        <v>16588</v>
      </c>
      <c r="AE157" s="81" t="s">
        <v>16173</v>
      </c>
      <c r="AF157" s="76">
        <v>14</v>
      </c>
      <c r="AG157" s="76">
        <v>5</v>
      </c>
      <c r="AH157" s="76">
        <v>3558</v>
      </c>
      <c r="AI157" s="76">
        <v>0</v>
      </c>
      <c r="AJ157" s="76">
        <v>53</v>
      </c>
      <c r="AK157" s="76">
        <v>3484</v>
      </c>
      <c r="AL157" s="76" t="b">
        <v>0</v>
      </c>
      <c r="AM157" s="78">
        <v>45054.68855324074</v>
      </c>
      <c r="AN157" s="76" t="s">
        <v>17455</v>
      </c>
      <c r="AO157" s="76" t="s">
        <v>17786</v>
      </c>
      <c r="AP157" s="83" t="str">
        <f>HYPERLINK("https://t.co/g2cRzylHuz")</f>
        <v>https://t.co/g2cRzylHuz</v>
      </c>
      <c r="AQ157" s="83" t="str">
        <f>HYPERLINK("http://linktr.ee/digitaleducacional")</f>
        <v>http://linktr.ee/digitaleducacional</v>
      </c>
      <c r="AR157" s="76" t="s">
        <v>18332</v>
      </c>
      <c r="AS157" s="76"/>
      <c r="AT157" s="76"/>
      <c r="AU157" s="76"/>
      <c r="AV157" s="76"/>
      <c r="AW157" s="83" t="str">
        <f>HYPERLINK("https://t.co/g2cRzylHuz")</f>
        <v>https://t.co/g2cRzylHuz</v>
      </c>
      <c r="AX157" s="76" t="b">
        <v>0</v>
      </c>
      <c r="AY157" s="76"/>
      <c r="AZ157" s="76"/>
      <c r="BA157" s="76" t="b">
        <v>0</v>
      </c>
      <c r="BB157" s="76" t="b">
        <v>1</v>
      </c>
      <c r="BC157" s="76" t="b">
        <v>1</v>
      </c>
      <c r="BD157" s="76" t="b">
        <v>0</v>
      </c>
      <c r="BE157" s="76" t="b">
        <v>0</v>
      </c>
      <c r="BF157" s="76" t="b">
        <v>0</v>
      </c>
      <c r="BG157" s="76" t="b">
        <v>0</v>
      </c>
      <c r="BH157" s="83" t="str">
        <f>HYPERLINK("https://pbs.twimg.com/profile_banners/1655611270987407362/1683564072")</f>
        <v>https://pbs.twimg.com/profile_banners/1655611270987407362/1683564072</v>
      </c>
      <c r="BI157" s="76"/>
      <c r="BJ157" s="76" t="s">
        <v>18704</v>
      </c>
      <c r="BK157" s="76" t="b">
        <v>0</v>
      </c>
      <c r="BL157" s="76"/>
      <c r="BM157" s="76" t="s">
        <v>66</v>
      </c>
      <c r="BN157" s="76" t="s">
        <v>18706</v>
      </c>
      <c r="BO157" s="83" t="str">
        <f>HYPERLINK("https://twitter.com/digital_educ10")</f>
        <v>https://twitter.com/digital_educ10</v>
      </c>
      <c r="BP157" s="2"/>
    </row>
    <row r="158" spans="1:68" x14ac:dyDescent="0.25">
      <c r="A158" s="62" t="s">
        <v>343</v>
      </c>
      <c r="B158" s="63"/>
      <c r="C158" s="63"/>
      <c r="D158" s="64"/>
      <c r="E158" s="66"/>
      <c r="F158" s="102" t="str">
        <f>HYPERLINK("https://pbs.twimg.com/profile_images/1279110856467451907/LHp3GyiZ_normal.jpg")</f>
        <v>https://pbs.twimg.com/profile_images/1279110856467451907/LHp3GyiZ_normal.jpg</v>
      </c>
      <c r="G158" s="63"/>
      <c r="H158" s="67"/>
      <c r="I158" s="68"/>
      <c r="J158" s="68"/>
      <c r="K158" s="67" t="s">
        <v>18861</v>
      </c>
      <c r="L158" s="71"/>
      <c r="M158" s="72"/>
      <c r="N158" s="72"/>
      <c r="O158" s="73"/>
      <c r="P158" s="74"/>
      <c r="Q158" s="74"/>
      <c r="R158" s="86"/>
      <c r="S158" s="86"/>
      <c r="T158" s="86"/>
      <c r="U158" s="86"/>
      <c r="V158" s="48"/>
      <c r="W158" s="48"/>
      <c r="X158" s="48"/>
      <c r="Y158" s="48"/>
      <c r="Z158" s="47"/>
      <c r="AA158" s="69">
        <v>158</v>
      </c>
      <c r="AB158" s="69"/>
      <c r="AC158" s="70"/>
      <c r="AD158" s="76" t="s">
        <v>16589</v>
      </c>
      <c r="AE158" s="81" t="s">
        <v>17163</v>
      </c>
      <c r="AF158" s="76">
        <v>2194</v>
      </c>
      <c r="AG158" s="76">
        <v>102</v>
      </c>
      <c r="AH158" s="76">
        <v>2866</v>
      </c>
      <c r="AI158" s="76">
        <v>18</v>
      </c>
      <c r="AJ158" s="76">
        <v>824</v>
      </c>
      <c r="AK158" s="76">
        <v>1805</v>
      </c>
      <c r="AL158" s="76" t="b">
        <v>0</v>
      </c>
      <c r="AM158" s="78">
        <v>41829.1565625</v>
      </c>
      <c r="AN158" s="76" t="s">
        <v>17456</v>
      </c>
      <c r="AO158" s="76" t="s">
        <v>17787</v>
      </c>
      <c r="AP158" s="83" t="str">
        <f>HYPERLINK("https://t.co/iF1SOnmP5b")</f>
        <v>https://t.co/iF1SOnmP5b</v>
      </c>
      <c r="AQ158" s="83" t="str">
        <f>HYPERLINK("http://economicas.udea.edu.co/")</f>
        <v>http://economicas.udea.edu.co/</v>
      </c>
      <c r="AR158" s="76" t="s">
        <v>18333</v>
      </c>
      <c r="AS158" s="76"/>
      <c r="AT158" s="76"/>
      <c r="AU158" s="76"/>
      <c r="AV158" s="76"/>
      <c r="AW158" s="83" t="str">
        <f>HYPERLINK("https://t.co/iF1SOnmP5b")</f>
        <v>https://t.co/iF1SOnmP5b</v>
      </c>
      <c r="AX158" s="76" t="b">
        <v>0</v>
      </c>
      <c r="AY158" s="76"/>
      <c r="AZ158" s="76"/>
      <c r="BA158" s="76" t="b">
        <v>0</v>
      </c>
      <c r="BB158" s="76" t="b">
        <v>1</v>
      </c>
      <c r="BC158" s="76" t="b">
        <v>0</v>
      </c>
      <c r="BD158" s="76" t="b">
        <v>0</v>
      </c>
      <c r="BE158" s="76" t="b">
        <v>0</v>
      </c>
      <c r="BF158" s="76" t="b">
        <v>0</v>
      </c>
      <c r="BG158" s="76" t="b">
        <v>0</v>
      </c>
      <c r="BH158" s="83" t="str">
        <f>HYPERLINK("https://pbs.twimg.com/profile_banners/2612871692/1655131104")</f>
        <v>https://pbs.twimg.com/profile_banners/2612871692/1655131104</v>
      </c>
      <c r="BI158" s="76"/>
      <c r="BJ158" s="76" t="s">
        <v>18704</v>
      </c>
      <c r="BK158" s="76" t="b">
        <v>0</v>
      </c>
      <c r="BL158" s="76"/>
      <c r="BM158" s="76" t="s">
        <v>66</v>
      </c>
      <c r="BN158" s="76" t="s">
        <v>18706</v>
      </c>
      <c r="BO158" s="83" t="str">
        <f>HYPERLINK("https://twitter.com/economicasudea")</f>
        <v>https://twitter.com/economicasudea</v>
      </c>
      <c r="BP158" s="2"/>
    </row>
    <row r="159" spans="1:68" x14ac:dyDescent="0.25">
      <c r="A159" s="62" t="s">
        <v>344</v>
      </c>
      <c r="B159" s="63"/>
      <c r="C159" s="63"/>
      <c r="D159" s="64"/>
      <c r="E159" s="66"/>
      <c r="F159" s="102" t="str">
        <f>HYPERLINK("https://pbs.twimg.com/profile_images/1574962766133198854/ygK440bb_normal.jpg")</f>
        <v>https://pbs.twimg.com/profile_images/1574962766133198854/ygK440bb_normal.jpg</v>
      </c>
      <c r="G159" s="63"/>
      <c r="H159" s="67"/>
      <c r="I159" s="68"/>
      <c r="J159" s="68"/>
      <c r="K159" s="67" t="s">
        <v>18862</v>
      </c>
      <c r="L159" s="71"/>
      <c r="M159" s="72"/>
      <c r="N159" s="72"/>
      <c r="O159" s="73"/>
      <c r="P159" s="74"/>
      <c r="Q159" s="74"/>
      <c r="R159" s="86"/>
      <c r="S159" s="86"/>
      <c r="T159" s="86"/>
      <c r="U159" s="86"/>
      <c r="V159" s="48"/>
      <c r="W159" s="48"/>
      <c r="X159" s="48"/>
      <c r="Y159" s="48"/>
      <c r="Z159" s="47"/>
      <c r="AA159" s="69">
        <v>159</v>
      </c>
      <c r="AB159" s="69"/>
      <c r="AC159" s="70"/>
      <c r="AD159" s="76" t="s">
        <v>16590</v>
      </c>
      <c r="AE159" s="81" t="s">
        <v>16174</v>
      </c>
      <c r="AF159" s="76">
        <v>90</v>
      </c>
      <c r="AG159" s="76">
        <v>636</v>
      </c>
      <c r="AH159" s="76">
        <v>14915</v>
      </c>
      <c r="AI159" s="76">
        <v>0</v>
      </c>
      <c r="AJ159" s="76">
        <v>11130</v>
      </c>
      <c r="AK159" s="76">
        <v>2201</v>
      </c>
      <c r="AL159" s="76" t="b">
        <v>0</v>
      </c>
      <c r="AM159" s="78">
        <v>44206.719282407408</v>
      </c>
      <c r="AN159" s="76" t="s">
        <v>17456</v>
      </c>
      <c r="AO159" s="76" t="s">
        <v>17788</v>
      </c>
      <c r="AP159" s="76"/>
      <c r="AQ159" s="76"/>
      <c r="AR159" s="76"/>
      <c r="AS159" s="76"/>
      <c r="AT159" s="76"/>
      <c r="AU159" s="76"/>
      <c r="AV159" s="76"/>
      <c r="AW159" s="76"/>
      <c r="AX159" s="76" t="b">
        <v>0</v>
      </c>
      <c r="AY159" s="76"/>
      <c r="AZ159" s="76"/>
      <c r="BA159" s="76" t="b">
        <v>0</v>
      </c>
      <c r="BB159" s="76" t="b">
        <v>1</v>
      </c>
      <c r="BC159" s="76" t="b">
        <v>1</v>
      </c>
      <c r="BD159" s="76" t="b">
        <v>0</v>
      </c>
      <c r="BE159" s="76" t="b">
        <v>1</v>
      </c>
      <c r="BF159" s="76" t="b">
        <v>0</v>
      </c>
      <c r="BG159" s="76" t="b">
        <v>0</v>
      </c>
      <c r="BH159" s="83" t="str">
        <f>HYPERLINK("https://pbs.twimg.com/profile_banners/1348317316665245696/1664335376")</f>
        <v>https://pbs.twimg.com/profile_banners/1348317316665245696/1664335376</v>
      </c>
      <c r="BI159" s="76"/>
      <c r="BJ159" s="76" t="s">
        <v>18704</v>
      </c>
      <c r="BK159" s="76" t="b">
        <v>0</v>
      </c>
      <c r="BL159" s="76"/>
      <c r="BM159" s="76" t="s">
        <v>66</v>
      </c>
      <c r="BN159" s="76" t="s">
        <v>18706</v>
      </c>
      <c r="BO159" s="83" t="str">
        <f>HYPERLINK("https://twitter.com/vallejo1rodri2")</f>
        <v>https://twitter.com/vallejo1rodri2</v>
      </c>
      <c r="BP159" s="2"/>
    </row>
    <row r="160" spans="1:68" x14ac:dyDescent="0.25">
      <c r="A160" s="62" t="s">
        <v>345</v>
      </c>
      <c r="B160" s="63"/>
      <c r="C160" s="63"/>
      <c r="D160" s="64"/>
      <c r="E160" s="66"/>
      <c r="F160" s="102" t="str">
        <f>HYPERLINK("https://pbs.twimg.com/profile_images/937842361559904261/e8bBRYYw_normal.jpg")</f>
        <v>https://pbs.twimg.com/profile_images/937842361559904261/e8bBRYYw_normal.jpg</v>
      </c>
      <c r="G160" s="63"/>
      <c r="H160" s="67"/>
      <c r="I160" s="68"/>
      <c r="J160" s="68"/>
      <c r="K160" s="67" t="s">
        <v>18863</v>
      </c>
      <c r="L160" s="71"/>
      <c r="M160" s="72"/>
      <c r="N160" s="72"/>
      <c r="O160" s="73"/>
      <c r="P160" s="74"/>
      <c r="Q160" s="74"/>
      <c r="R160" s="86"/>
      <c r="S160" s="86"/>
      <c r="T160" s="86"/>
      <c r="U160" s="86"/>
      <c r="V160" s="48"/>
      <c r="W160" s="48"/>
      <c r="X160" s="48"/>
      <c r="Y160" s="48"/>
      <c r="Z160" s="47"/>
      <c r="AA160" s="69">
        <v>160</v>
      </c>
      <c r="AB160" s="69"/>
      <c r="AC160" s="70"/>
      <c r="AD160" s="76" t="s">
        <v>16591</v>
      </c>
      <c r="AE160" s="81" t="s">
        <v>16175</v>
      </c>
      <c r="AF160" s="76">
        <v>15</v>
      </c>
      <c r="AG160" s="76">
        <v>63</v>
      </c>
      <c r="AH160" s="76">
        <v>49</v>
      </c>
      <c r="AI160" s="76">
        <v>0</v>
      </c>
      <c r="AJ160" s="76">
        <v>90</v>
      </c>
      <c r="AK160" s="76">
        <v>29</v>
      </c>
      <c r="AL160" s="76" t="b">
        <v>0</v>
      </c>
      <c r="AM160" s="78">
        <v>43074.014085648145</v>
      </c>
      <c r="AN160" s="76"/>
      <c r="AO160" s="76" t="s">
        <v>17789</v>
      </c>
      <c r="AP160" s="83" t="str">
        <f>HYPERLINK("https://t.co/FNo7QhyLqu")</f>
        <v>https://t.co/FNo7QhyLqu</v>
      </c>
      <c r="AQ160" s="83" t="str">
        <f>HYPERLINK("http://averatrading.com")</f>
        <v>http://averatrading.com</v>
      </c>
      <c r="AR160" s="76" t="s">
        <v>18334</v>
      </c>
      <c r="AS160" s="76"/>
      <c r="AT160" s="76"/>
      <c r="AU160" s="76"/>
      <c r="AV160" s="76"/>
      <c r="AW160" s="83" t="str">
        <f>HYPERLINK("https://t.co/FNo7QhyLqu")</f>
        <v>https://t.co/FNo7QhyLqu</v>
      </c>
      <c r="AX160" s="76" t="b">
        <v>0</v>
      </c>
      <c r="AY160" s="76"/>
      <c r="AZ160" s="76"/>
      <c r="BA160" s="76" t="b">
        <v>0</v>
      </c>
      <c r="BB160" s="76" t="b">
        <v>1</v>
      </c>
      <c r="BC160" s="76" t="b">
        <v>1</v>
      </c>
      <c r="BD160" s="76" t="b">
        <v>0</v>
      </c>
      <c r="BE160" s="76" t="b">
        <v>0</v>
      </c>
      <c r="BF160" s="76" t="b">
        <v>0</v>
      </c>
      <c r="BG160" s="76" t="b">
        <v>0</v>
      </c>
      <c r="BH160" s="76"/>
      <c r="BI160" s="76"/>
      <c r="BJ160" s="76" t="s">
        <v>18704</v>
      </c>
      <c r="BK160" s="76" t="b">
        <v>0</v>
      </c>
      <c r="BL160" s="76"/>
      <c r="BM160" s="76" t="s">
        <v>66</v>
      </c>
      <c r="BN160" s="76" t="s">
        <v>18706</v>
      </c>
      <c r="BO160" s="83" t="str">
        <f>HYPERLINK("https://twitter.com/rmac_avera")</f>
        <v>https://twitter.com/rmac_avera</v>
      </c>
      <c r="BP160" s="2"/>
    </row>
    <row r="161" spans="1:68" x14ac:dyDescent="0.25">
      <c r="A161" s="62" t="s">
        <v>346</v>
      </c>
      <c r="B161" s="63"/>
      <c r="C161" s="63"/>
      <c r="D161" s="64"/>
      <c r="E161" s="66"/>
      <c r="F161" s="102" t="str">
        <f>HYPERLINK("https://pbs.twimg.com/profile_images/1703901655190712320/pDeuaAoR_normal.jpg")</f>
        <v>https://pbs.twimg.com/profile_images/1703901655190712320/pDeuaAoR_normal.jpg</v>
      </c>
      <c r="G161" s="63"/>
      <c r="H161" s="67"/>
      <c r="I161" s="68"/>
      <c r="J161" s="68"/>
      <c r="K161" s="67" t="s">
        <v>18864</v>
      </c>
      <c r="L161" s="71"/>
      <c r="M161" s="72"/>
      <c r="N161" s="72"/>
      <c r="O161" s="73"/>
      <c r="P161" s="74"/>
      <c r="Q161" s="74"/>
      <c r="R161" s="86"/>
      <c r="S161" s="86"/>
      <c r="T161" s="86"/>
      <c r="U161" s="86"/>
      <c r="V161" s="48"/>
      <c r="W161" s="48"/>
      <c r="X161" s="48"/>
      <c r="Y161" s="48"/>
      <c r="Z161" s="47"/>
      <c r="AA161" s="69">
        <v>161</v>
      </c>
      <c r="AB161" s="69"/>
      <c r="AC161" s="70"/>
      <c r="AD161" s="76" t="s">
        <v>16592</v>
      </c>
      <c r="AE161" s="81" t="s">
        <v>15924</v>
      </c>
      <c r="AF161" s="76">
        <v>95</v>
      </c>
      <c r="AG161" s="76">
        <v>386</v>
      </c>
      <c r="AH161" s="76">
        <v>1482</v>
      </c>
      <c r="AI161" s="76">
        <v>2</v>
      </c>
      <c r="AJ161" s="76">
        <v>3064</v>
      </c>
      <c r="AK161" s="76">
        <v>93</v>
      </c>
      <c r="AL161" s="76" t="b">
        <v>0</v>
      </c>
      <c r="AM161" s="78">
        <v>40628.726354166669</v>
      </c>
      <c r="AN161" s="76" t="s">
        <v>17457</v>
      </c>
      <c r="AO161" s="76" t="s">
        <v>17790</v>
      </c>
      <c r="AP161" s="76"/>
      <c r="AQ161" s="76"/>
      <c r="AR161" s="76"/>
      <c r="AS161" s="76"/>
      <c r="AT161" s="76"/>
      <c r="AU161" s="76"/>
      <c r="AV161" s="76"/>
      <c r="AW161" s="76"/>
      <c r="AX161" s="76" t="b">
        <v>0</v>
      </c>
      <c r="AY161" s="76"/>
      <c r="AZ161" s="76"/>
      <c r="BA161" s="76" t="b">
        <v>0</v>
      </c>
      <c r="BB161" s="76" t="b">
        <v>1</v>
      </c>
      <c r="BC161" s="76" t="b">
        <v>1</v>
      </c>
      <c r="BD161" s="76" t="b">
        <v>0</v>
      </c>
      <c r="BE161" s="76" t="b">
        <v>1</v>
      </c>
      <c r="BF161" s="76" t="b">
        <v>0</v>
      </c>
      <c r="BG161" s="76" t="b">
        <v>0</v>
      </c>
      <c r="BH161" s="76"/>
      <c r="BI161" s="76"/>
      <c r="BJ161" s="76" t="s">
        <v>18704</v>
      </c>
      <c r="BK161" s="76" t="b">
        <v>0</v>
      </c>
      <c r="BL161" s="76"/>
      <c r="BM161" s="76" t="s">
        <v>66</v>
      </c>
      <c r="BN161" s="76" t="s">
        <v>18706</v>
      </c>
      <c r="BO161" s="83" t="str">
        <f>HYPERLINK("https://twitter.com/j_henrique_")</f>
        <v>https://twitter.com/j_henrique_</v>
      </c>
      <c r="BP161" s="2"/>
    </row>
    <row r="162" spans="1:68" x14ac:dyDescent="0.25">
      <c r="A162" s="62" t="s">
        <v>347</v>
      </c>
      <c r="B162" s="63"/>
      <c r="C162" s="63"/>
      <c r="D162" s="64"/>
      <c r="E162" s="66"/>
      <c r="F162" s="102" t="str">
        <f>HYPERLINK("https://pbs.twimg.com/profile_images/1415671442369224705/9mHiRMTU_normal.jpg")</f>
        <v>https://pbs.twimg.com/profile_images/1415671442369224705/9mHiRMTU_normal.jpg</v>
      </c>
      <c r="G162" s="63"/>
      <c r="H162" s="67"/>
      <c r="I162" s="68"/>
      <c r="J162" s="68"/>
      <c r="K162" s="67" t="s">
        <v>18865</v>
      </c>
      <c r="L162" s="71"/>
      <c r="M162" s="72"/>
      <c r="N162" s="72"/>
      <c r="O162" s="73"/>
      <c r="P162" s="74"/>
      <c r="Q162" s="74"/>
      <c r="R162" s="86"/>
      <c r="S162" s="86"/>
      <c r="T162" s="86"/>
      <c r="U162" s="86"/>
      <c r="V162" s="48"/>
      <c r="W162" s="48"/>
      <c r="X162" s="48"/>
      <c r="Y162" s="48"/>
      <c r="Z162" s="47"/>
      <c r="AA162" s="69">
        <v>162</v>
      </c>
      <c r="AB162" s="69"/>
      <c r="AC162" s="70"/>
      <c r="AD162" s="76" t="s">
        <v>16593</v>
      </c>
      <c r="AE162" s="81" t="s">
        <v>17164</v>
      </c>
      <c r="AF162" s="76">
        <v>411</v>
      </c>
      <c r="AG162" s="76">
        <v>465</v>
      </c>
      <c r="AH162" s="76">
        <v>3677</v>
      </c>
      <c r="AI162" s="76">
        <v>3</v>
      </c>
      <c r="AJ162" s="76">
        <v>17187</v>
      </c>
      <c r="AK162" s="76">
        <v>510</v>
      </c>
      <c r="AL162" s="76" t="b">
        <v>0</v>
      </c>
      <c r="AM162" s="78">
        <v>40462.597256944442</v>
      </c>
      <c r="AN162" s="76" t="s">
        <v>17416</v>
      </c>
      <c r="AO162" s="76" t="s">
        <v>17791</v>
      </c>
      <c r="AP162" s="83" t="str">
        <f>HYPERLINK("https://t.co/gTleXxyRS2")</f>
        <v>https://t.co/gTleXxyRS2</v>
      </c>
      <c r="AQ162" s="83" t="str">
        <f>HYPERLINK("http://www.hubdoinvestidor.com.br")</f>
        <v>http://www.hubdoinvestidor.com.br</v>
      </c>
      <c r="AR162" s="76" t="s">
        <v>18335</v>
      </c>
      <c r="AS162" s="76"/>
      <c r="AT162" s="76"/>
      <c r="AU162" s="76"/>
      <c r="AV162" s="76"/>
      <c r="AW162" s="83" t="str">
        <f>HYPERLINK("https://t.co/gTleXxyRS2")</f>
        <v>https://t.co/gTleXxyRS2</v>
      </c>
      <c r="AX162" s="76" t="b">
        <v>0</v>
      </c>
      <c r="AY162" s="76"/>
      <c r="AZ162" s="76"/>
      <c r="BA162" s="76" t="b">
        <v>0</v>
      </c>
      <c r="BB162" s="76" t="b">
        <v>1</v>
      </c>
      <c r="BC162" s="76" t="b">
        <v>1</v>
      </c>
      <c r="BD162" s="76" t="b">
        <v>0</v>
      </c>
      <c r="BE162" s="76" t="b">
        <v>1</v>
      </c>
      <c r="BF162" s="76" t="b">
        <v>0</v>
      </c>
      <c r="BG162" s="76" t="b">
        <v>0</v>
      </c>
      <c r="BH162" s="83" t="str">
        <f>HYPERLINK("https://pbs.twimg.com/profile_banners/201282088/1607535951")</f>
        <v>https://pbs.twimg.com/profile_banners/201282088/1607535951</v>
      </c>
      <c r="BI162" s="76"/>
      <c r="BJ162" s="76" t="s">
        <v>18704</v>
      </c>
      <c r="BK162" s="76" t="b">
        <v>0</v>
      </c>
      <c r="BL162" s="76"/>
      <c r="BM162" s="76" t="s">
        <v>66</v>
      </c>
      <c r="BN162" s="76" t="s">
        <v>18706</v>
      </c>
      <c r="BO162" s="83" t="str">
        <f>HYPERLINK("https://twitter.com/r_penhafilho")</f>
        <v>https://twitter.com/r_penhafilho</v>
      </c>
      <c r="BP162" s="2"/>
    </row>
    <row r="163" spans="1:68" x14ac:dyDescent="0.25">
      <c r="A163" s="62" t="s">
        <v>598</v>
      </c>
      <c r="B163" s="63"/>
      <c r="C163" s="63"/>
      <c r="D163" s="64"/>
      <c r="E163" s="66"/>
      <c r="F163" s="102" t="str">
        <f>HYPERLINK("https://pbs.twimg.com/profile_images/1260173862563651585/hl2WdjmD_normal.jpg")</f>
        <v>https://pbs.twimg.com/profile_images/1260173862563651585/hl2WdjmD_normal.jpg</v>
      </c>
      <c r="G163" s="63"/>
      <c r="H163" s="67"/>
      <c r="I163" s="68"/>
      <c r="J163" s="68"/>
      <c r="K163" s="67" t="s">
        <v>18866</v>
      </c>
      <c r="L163" s="71"/>
      <c r="M163" s="72"/>
      <c r="N163" s="72"/>
      <c r="O163" s="73"/>
      <c r="P163" s="74"/>
      <c r="Q163" s="74"/>
      <c r="R163" s="86"/>
      <c r="S163" s="86"/>
      <c r="T163" s="86"/>
      <c r="U163" s="86"/>
      <c r="V163" s="48"/>
      <c r="W163" s="48"/>
      <c r="X163" s="48"/>
      <c r="Y163" s="48"/>
      <c r="Z163" s="47"/>
      <c r="AA163" s="69">
        <v>163</v>
      </c>
      <c r="AB163" s="69"/>
      <c r="AC163" s="70"/>
      <c r="AD163" s="76" t="s">
        <v>16594</v>
      </c>
      <c r="AE163" s="81" t="s">
        <v>16319</v>
      </c>
      <c r="AF163" s="76">
        <v>379</v>
      </c>
      <c r="AG163" s="76">
        <v>113</v>
      </c>
      <c r="AH163" s="76">
        <v>829</v>
      </c>
      <c r="AI163" s="76">
        <v>2</v>
      </c>
      <c r="AJ163" s="76">
        <v>378</v>
      </c>
      <c r="AK163" s="76">
        <v>219</v>
      </c>
      <c r="AL163" s="76" t="b">
        <v>0</v>
      </c>
      <c r="AM163" s="78">
        <v>43955.730671296296</v>
      </c>
      <c r="AN163" s="76"/>
      <c r="AO163" s="76" t="s">
        <v>17792</v>
      </c>
      <c r="AP163" s="83" t="str">
        <f>HYPERLINK("https://t.co/fWvjFLMEmT")</f>
        <v>https://t.co/fWvjFLMEmT</v>
      </c>
      <c r="AQ163" s="83" t="str">
        <f>HYPERLINK("https://hubdoinvestidor.com.br/")</f>
        <v>https://hubdoinvestidor.com.br/</v>
      </c>
      <c r="AR163" s="76" t="s">
        <v>18335</v>
      </c>
      <c r="AS163" s="83" t="str">
        <f>HYPERLINK("https://t.co/U4CHfdcgSn")</f>
        <v>https://t.co/U4CHfdcgSn</v>
      </c>
      <c r="AT163" s="83" t="str">
        <f>HYPERLINK("http://linktr.ee/hubdoinvestidor")</f>
        <v>http://linktr.ee/hubdoinvestidor</v>
      </c>
      <c r="AU163" s="76" t="s">
        <v>18660</v>
      </c>
      <c r="AV163" s="76"/>
      <c r="AW163" s="83" t="str">
        <f>HYPERLINK("https://t.co/fWvjFLMEmT")</f>
        <v>https://t.co/fWvjFLMEmT</v>
      </c>
      <c r="AX163" s="76" t="b">
        <v>0</v>
      </c>
      <c r="AY163" s="76"/>
      <c r="AZ163" s="76"/>
      <c r="BA163" s="76" t="b">
        <v>0</v>
      </c>
      <c r="BB163" s="76" t="b">
        <v>1</v>
      </c>
      <c r="BC163" s="76" t="b">
        <v>1</v>
      </c>
      <c r="BD163" s="76" t="b">
        <v>0</v>
      </c>
      <c r="BE163" s="76" t="b">
        <v>0</v>
      </c>
      <c r="BF163" s="76" t="b">
        <v>0</v>
      </c>
      <c r="BG163" s="76" t="b">
        <v>0</v>
      </c>
      <c r="BH163" s="83" t="str">
        <f>HYPERLINK("https://pbs.twimg.com/profile_banners/1257362360626491394/1589417608")</f>
        <v>https://pbs.twimg.com/profile_banners/1257362360626491394/1589417608</v>
      </c>
      <c r="BI163" s="76"/>
      <c r="BJ163" s="76" t="s">
        <v>18704</v>
      </c>
      <c r="BK163" s="76" t="b">
        <v>0</v>
      </c>
      <c r="BL163" s="76"/>
      <c r="BM163" s="76" t="s">
        <v>66</v>
      </c>
      <c r="BN163" s="76" t="s">
        <v>18706</v>
      </c>
      <c r="BO163" s="83" t="str">
        <f>HYPERLINK("https://twitter.com/hubinvestidor")</f>
        <v>https://twitter.com/hubinvestidor</v>
      </c>
      <c r="BP163" s="2"/>
    </row>
    <row r="164" spans="1:68" x14ac:dyDescent="0.25">
      <c r="A164" s="62" t="s">
        <v>348</v>
      </c>
      <c r="B164" s="63"/>
      <c r="C164" s="63"/>
      <c r="D164" s="64"/>
      <c r="E164" s="66"/>
      <c r="F164" s="102" t="str">
        <f>HYPERLINK("https://pbs.twimg.com/profile_images/1611007714779357192/KfacuwSp_normal.png")</f>
        <v>https://pbs.twimg.com/profile_images/1611007714779357192/KfacuwSp_normal.png</v>
      </c>
      <c r="G164" s="63"/>
      <c r="H164" s="67"/>
      <c r="I164" s="68"/>
      <c r="J164" s="68"/>
      <c r="K164" s="67" t="s">
        <v>18867</v>
      </c>
      <c r="L164" s="71"/>
      <c r="M164" s="72"/>
      <c r="N164" s="72"/>
      <c r="O164" s="73"/>
      <c r="P164" s="74"/>
      <c r="Q164" s="74"/>
      <c r="R164" s="86"/>
      <c r="S164" s="86"/>
      <c r="T164" s="86"/>
      <c r="U164" s="86"/>
      <c r="V164" s="48"/>
      <c r="W164" s="48"/>
      <c r="X164" s="48"/>
      <c r="Y164" s="48"/>
      <c r="Z164" s="47"/>
      <c r="AA164" s="69">
        <v>164</v>
      </c>
      <c r="AB164" s="69"/>
      <c r="AC164" s="70"/>
      <c r="AD164" s="76" t="s">
        <v>16595</v>
      </c>
      <c r="AE164" s="81" t="s">
        <v>15925</v>
      </c>
      <c r="AF164" s="76">
        <v>23</v>
      </c>
      <c r="AG164" s="76">
        <v>39</v>
      </c>
      <c r="AH164" s="76">
        <v>1268</v>
      </c>
      <c r="AI164" s="76">
        <v>1</v>
      </c>
      <c r="AJ164" s="76">
        <v>84</v>
      </c>
      <c r="AK164" s="76">
        <v>111</v>
      </c>
      <c r="AL164" s="76" t="b">
        <v>0</v>
      </c>
      <c r="AM164" s="78">
        <v>44931.561377314814</v>
      </c>
      <c r="AN164" s="76"/>
      <c r="AO164" s="76" t="s">
        <v>17793</v>
      </c>
      <c r="AP164" s="83" t="str">
        <f>HYPERLINK("https://t.co/xNNOtQXZkz")</f>
        <v>https://t.co/xNNOtQXZkz</v>
      </c>
      <c r="AQ164" s="83" t="str">
        <f>HYPERLINK("https://klainvest.com/")</f>
        <v>https://klainvest.com/</v>
      </c>
      <c r="AR164" s="76" t="s">
        <v>18336</v>
      </c>
      <c r="AS164" s="76"/>
      <c r="AT164" s="76"/>
      <c r="AU164" s="76"/>
      <c r="AV164" s="76"/>
      <c r="AW164" s="83" t="str">
        <f>HYPERLINK("https://t.co/xNNOtQXZkz")</f>
        <v>https://t.co/xNNOtQXZkz</v>
      </c>
      <c r="AX164" s="76" t="b">
        <v>0</v>
      </c>
      <c r="AY164" s="76"/>
      <c r="AZ164" s="76"/>
      <c r="BA164" s="76" t="b">
        <v>0</v>
      </c>
      <c r="BB164" s="76" t="b">
        <v>1</v>
      </c>
      <c r="BC164" s="76" t="b">
        <v>1</v>
      </c>
      <c r="BD164" s="76" t="b">
        <v>0</v>
      </c>
      <c r="BE164" s="76" t="b">
        <v>0</v>
      </c>
      <c r="BF164" s="76" t="b">
        <v>0</v>
      </c>
      <c r="BG164" s="76" t="b">
        <v>0</v>
      </c>
      <c r="BH164" s="83" t="str">
        <f>HYPERLINK("https://pbs.twimg.com/profile_banners/1610991165196713986/1673034494")</f>
        <v>https://pbs.twimg.com/profile_banners/1610991165196713986/1673034494</v>
      </c>
      <c r="BI164" s="76"/>
      <c r="BJ164" s="76" t="s">
        <v>18704</v>
      </c>
      <c r="BK164" s="76" t="b">
        <v>0</v>
      </c>
      <c r="BL164" s="76"/>
      <c r="BM164" s="76" t="s">
        <v>66</v>
      </c>
      <c r="BN164" s="76" t="s">
        <v>18706</v>
      </c>
      <c r="BO164" s="83" t="str">
        <f>HYPERLINK("https://twitter.com/invest_kla")</f>
        <v>https://twitter.com/invest_kla</v>
      </c>
      <c r="BP164" s="2"/>
    </row>
    <row r="165" spans="1:68" x14ac:dyDescent="0.25">
      <c r="A165" s="62" t="s">
        <v>349</v>
      </c>
      <c r="B165" s="63"/>
      <c r="C165" s="63"/>
      <c r="D165" s="64"/>
      <c r="E165" s="66"/>
      <c r="F165" s="102" t="str">
        <f>HYPERLINK("https://pbs.twimg.com/profile_images/1699367792825217024/Ru_izWzc_normal.jpg")</f>
        <v>https://pbs.twimg.com/profile_images/1699367792825217024/Ru_izWzc_normal.jpg</v>
      </c>
      <c r="G165" s="63"/>
      <c r="H165" s="67"/>
      <c r="I165" s="68"/>
      <c r="J165" s="68"/>
      <c r="K165" s="67" t="s">
        <v>18868</v>
      </c>
      <c r="L165" s="71"/>
      <c r="M165" s="72"/>
      <c r="N165" s="72"/>
      <c r="O165" s="73"/>
      <c r="P165" s="74"/>
      <c r="Q165" s="74"/>
      <c r="R165" s="86"/>
      <c r="S165" s="86"/>
      <c r="T165" s="86"/>
      <c r="U165" s="86"/>
      <c r="V165" s="48"/>
      <c r="W165" s="48"/>
      <c r="X165" s="48"/>
      <c r="Y165" s="48"/>
      <c r="Z165" s="47"/>
      <c r="AA165" s="69">
        <v>165</v>
      </c>
      <c r="AB165" s="69"/>
      <c r="AC165" s="70"/>
      <c r="AD165" s="76" t="s">
        <v>16596</v>
      </c>
      <c r="AE165" s="81" t="s">
        <v>16176</v>
      </c>
      <c r="AF165" s="76">
        <v>132</v>
      </c>
      <c r="AG165" s="76">
        <v>315</v>
      </c>
      <c r="AH165" s="76">
        <v>25</v>
      </c>
      <c r="AI165" s="76">
        <v>1</v>
      </c>
      <c r="AJ165" s="76">
        <v>3497</v>
      </c>
      <c r="AK165" s="76">
        <v>0</v>
      </c>
      <c r="AL165" s="76" t="b">
        <v>0</v>
      </c>
      <c r="AM165" s="78">
        <v>44989.913263888891</v>
      </c>
      <c r="AN165" s="76"/>
      <c r="AO165" s="76" t="s">
        <v>17794</v>
      </c>
      <c r="AP165" s="76"/>
      <c r="AQ165" s="76"/>
      <c r="AR165" s="76"/>
      <c r="AS165" s="76"/>
      <c r="AT165" s="76"/>
      <c r="AU165" s="76"/>
      <c r="AV165" s="76"/>
      <c r="AW165" s="76"/>
      <c r="AX165" s="76" t="b">
        <v>0</v>
      </c>
      <c r="AY165" s="76"/>
      <c r="AZ165" s="76"/>
      <c r="BA165" s="76" t="b">
        <v>1</v>
      </c>
      <c r="BB165" s="76" t="b">
        <v>1</v>
      </c>
      <c r="BC165" s="76" t="b">
        <v>1</v>
      </c>
      <c r="BD165" s="76" t="b">
        <v>0</v>
      </c>
      <c r="BE165" s="76" t="b">
        <v>0</v>
      </c>
      <c r="BF165" s="76" t="b">
        <v>0</v>
      </c>
      <c r="BG165" s="76" t="b">
        <v>1</v>
      </c>
      <c r="BH165" s="83" t="str">
        <f>HYPERLINK("https://pbs.twimg.com/profile_banners/1632137562457513985/1694109040")</f>
        <v>https://pbs.twimg.com/profile_banners/1632137562457513985/1694109040</v>
      </c>
      <c r="BI165" s="76"/>
      <c r="BJ165" s="76" t="s">
        <v>18704</v>
      </c>
      <c r="BK165" s="76" t="b">
        <v>0</v>
      </c>
      <c r="BL165" s="76"/>
      <c r="BM165" s="76" t="s">
        <v>66</v>
      </c>
      <c r="BN165" s="76" t="s">
        <v>18706</v>
      </c>
      <c r="BO165" s="83" t="str">
        <f>HYPERLINK("https://twitter.com/zenstockjourney")</f>
        <v>https://twitter.com/zenstockjourney</v>
      </c>
      <c r="BP165" s="2"/>
    </row>
    <row r="166" spans="1:68" x14ac:dyDescent="0.25">
      <c r="A166" s="62" t="s">
        <v>350</v>
      </c>
      <c r="B166" s="63"/>
      <c r="C166" s="63"/>
      <c r="D166" s="64"/>
      <c r="E166" s="66"/>
      <c r="F166" s="102" t="str">
        <f>HYPERLINK("https://pbs.twimg.com/profile_images/1373348274288099328/X9OehZDj_normal.jpg")</f>
        <v>https://pbs.twimg.com/profile_images/1373348274288099328/X9OehZDj_normal.jpg</v>
      </c>
      <c r="G166" s="63"/>
      <c r="H166" s="67"/>
      <c r="I166" s="68"/>
      <c r="J166" s="68"/>
      <c r="K166" s="67" t="s">
        <v>18869</v>
      </c>
      <c r="L166" s="71"/>
      <c r="M166" s="72"/>
      <c r="N166" s="72"/>
      <c r="O166" s="73"/>
      <c r="P166" s="74"/>
      <c r="Q166" s="74"/>
      <c r="R166" s="86"/>
      <c r="S166" s="86"/>
      <c r="T166" s="86"/>
      <c r="U166" s="86"/>
      <c r="V166" s="48"/>
      <c r="W166" s="48"/>
      <c r="X166" s="48"/>
      <c r="Y166" s="48"/>
      <c r="Z166" s="47"/>
      <c r="AA166" s="69">
        <v>166</v>
      </c>
      <c r="AB166" s="69"/>
      <c r="AC166" s="70"/>
      <c r="AD166" s="76" t="s">
        <v>16597</v>
      </c>
      <c r="AE166" s="81" t="s">
        <v>16177</v>
      </c>
      <c r="AF166" s="76">
        <v>177</v>
      </c>
      <c r="AG166" s="76">
        <v>137</v>
      </c>
      <c r="AH166" s="76">
        <v>17421</v>
      </c>
      <c r="AI166" s="76">
        <v>4</v>
      </c>
      <c r="AJ166" s="76">
        <v>16</v>
      </c>
      <c r="AK166" s="76">
        <v>245</v>
      </c>
      <c r="AL166" s="76" t="b">
        <v>0</v>
      </c>
      <c r="AM166" s="78">
        <v>44259.75640046296</v>
      </c>
      <c r="AN166" s="76" t="s">
        <v>10570</v>
      </c>
      <c r="AO166" s="76" t="s">
        <v>17795</v>
      </c>
      <c r="AP166" s="83" t="str">
        <f>HYPERLINK("https://t.co/QXlH6gxih5")</f>
        <v>https://t.co/QXlH6gxih5</v>
      </c>
      <c r="AQ166" s="83" t="str">
        <f>HYPERLINK("https://brasil.perfil.com/")</f>
        <v>https://brasil.perfil.com/</v>
      </c>
      <c r="AR166" s="76" t="s">
        <v>18337</v>
      </c>
      <c r="AS166" s="76"/>
      <c r="AT166" s="76"/>
      <c r="AU166" s="76"/>
      <c r="AV166" s="76"/>
      <c r="AW166" s="83" t="str">
        <f>HYPERLINK("https://t.co/QXlH6gxih5")</f>
        <v>https://t.co/QXlH6gxih5</v>
      </c>
      <c r="AX166" s="76" t="b">
        <v>0</v>
      </c>
      <c r="AY166" s="76"/>
      <c r="AZ166" s="76"/>
      <c r="BA166" s="76" t="b">
        <v>0</v>
      </c>
      <c r="BB166" s="76" t="b">
        <v>1</v>
      </c>
      <c r="BC166" s="76" t="b">
        <v>1</v>
      </c>
      <c r="BD166" s="76" t="b">
        <v>0</v>
      </c>
      <c r="BE166" s="76" t="b">
        <v>1</v>
      </c>
      <c r="BF166" s="76" t="b">
        <v>0</v>
      </c>
      <c r="BG166" s="76" t="b">
        <v>0</v>
      </c>
      <c r="BH166" s="83" t="str">
        <f>HYPERLINK("https://pbs.twimg.com/profile_banners/1367537445529657353/1615406722")</f>
        <v>https://pbs.twimg.com/profile_banners/1367537445529657353/1615406722</v>
      </c>
      <c r="BI166" s="76"/>
      <c r="BJ166" s="76" t="s">
        <v>18704</v>
      </c>
      <c r="BK166" s="76" t="b">
        <v>0</v>
      </c>
      <c r="BL166" s="76"/>
      <c r="BM166" s="76" t="s">
        <v>66</v>
      </c>
      <c r="BN166" s="76" t="s">
        <v>18706</v>
      </c>
      <c r="BO166" s="83" t="str">
        <f>HYPERLINK("https://twitter.com/perfilcombrasil")</f>
        <v>https://twitter.com/perfilcombrasil</v>
      </c>
      <c r="BP166" s="2"/>
    </row>
    <row r="167" spans="1:68" x14ac:dyDescent="0.25">
      <c r="A167" s="62" t="s">
        <v>351</v>
      </c>
      <c r="B167" s="63"/>
      <c r="C167" s="63"/>
      <c r="D167" s="64"/>
      <c r="E167" s="66"/>
      <c r="F167" s="102" t="str">
        <f>HYPERLINK("https://pbs.twimg.com/profile_images/1699367769412628480/P7a_Q0iM_normal.jpg")</f>
        <v>https://pbs.twimg.com/profile_images/1699367769412628480/P7a_Q0iM_normal.jpg</v>
      </c>
      <c r="G167" s="63"/>
      <c r="H167" s="67"/>
      <c r="I167" s="68"/>
      <c r="J167" s="68"/>
      <c r="K167" s="67" t="s">
        <v>18870</v>
      </c>
      <c r="L167" s="71"/>
      <c r="M167" s="72"/>
      <c r="N167" s="72"/>
      <c r="O167" s="73"/>
      <c r="P167" s="74"/>
      <c r="Q167" s="74"/>
      <c r="R167" s="86"/>
      <c r="S167" s="86"/>
      <c r="T167" s="86"/>
      <c r="U167" s="86"/>
      <c r="V167" s="48"/>
      <c r="W167" s="48"/>
      <c r="X167" s="48"/>
      <c r="Y167" s="48"/>
      <c r="Z167" s="47"/>
      <c r="AA167" s="69">
        <v>167</v>
      </c>
      <c r="AB167" s="69"/>
      <c r="AC167" s="70"/>
      <c r="AD167" s="76" t="s">
        <v>16598</v>
      </c>
      <c r="AE167" s="81" t="s">
        <v>16178</v>
      </c>
      <c r="AF167" s="76">
        <v>229</v>
      </c>
      <c r="AG167" s="76">
        <v>312</v>
      </c>
      <c r="AH167" s="76">
        <v>22</v>
      </c>
      <c r="AI167" s="76">
        <v>5</v>
      </c>
      <c r="AJ167" s="76">
        <v>2706</v>
      </c>
      <c r="AK167" s="76">
        <v>0</v>
      </c>
      <c r="AL167" s="76" t="b">
        <v>0</v>
      </c>
      <c r="AM167" s="78">
        <v>44989.895509259259</v>
      </c>
      <c r="AN167" s="76"/>
      <c r="AO167" s="76" t="s">
        <v>17796</v>
      </c>
      <c r="AP167" s="76"/>
      <c r="AQ167" s="76"/>
      <c r="AR167" s="76"/>
      <c r="AS167" s="76"/>
      <c r="AT167" s="76"/>
      <c r="AU167" s="76"/>
      <c r="AV167" s="76"/>
      <c r="AW167" s="76"/>
      <c r="AX167" s="76" t="b">
        <v>0</v>
      </c>
      <c r="AY167" s="76"/>
      <c r="AZ167" s="76"/>
      <c r="BA167" s="76" t="b">
        <v>1</v>
      </c>
      <c r="BB167" s="76" t="b">
        <v>1</v>
      </c>
      <c r="BC167" s="76" t="b">
        <v>1</v>
      </c>
      <c r="BD167" s="76" t="b">
        <v>0</v>
      </c>
      <c r="BE167" s="76" t="b">
        <v>0</v>
      </c>
      <c r="BF167" s="76" t="b">
        <v>0</v>
      </c>
      <c r="BG167" s="76" t="b">
        <v>1</v>
      </c>
      <c r="BH167" s="83" t="str">
        <f>HYPERLINK("https://pbs.twimg.com/profile_banners/1632131089702453250/1694106017")</f>
        <v>https://pbs.twimg.com/profile_banners/1632131089702453250/1694106017</v>
      </c>
      <c r="BI167" s="76"/>
      <c r="BJ167" s="76" t="s">
        <v>18704</v>
      </c>
      <c r="BK167" s="76" t="b">
        <v>0</v>
      </c>
      <c r="BL167" s="76"/>
      <c r="BM167" s="76" t="s">
        <v>66</v>
      </c>
      <c r="BN167" s="76" t="s">
        <v>18706</v>
      </c>
      <c r="BO167" s="83" t="str">
        <f>HYPERLINK("https://twitter.com/posistockwizard")</f>
        <v>https://twitter.com/posistockwizard</v>
      </c>
      <c r="BP167" s="2"/>
    </row>
    <row r="168" spans="1:68" x14ac:dyDescent="0.25">
      <c r="A168" s="62" t="s">
        <v>352</v>
      </c>
      <c r="B168" s="63"/>
      <c r="C168" s="63"/>
      <c r="D168" s="64"/>
      <c r="E168" s="66"/>
      <c r="F168" s="102" t="str">
        <f>HYPERLINK("https://pbs.twimg.com/profile_images/1632118556744712192/w-JrvfT6_normal.jpg")</f>
        <v>https://pbs.twimg.com/profile_images/1632118556744712192/w-JrvfT6_normal.jpg</v>
      </c>
      <c r="G168" s="63"/>
      <c r="H168" s="67"/>
      <c r="I168" s="68"/>
      <c r="J168" s="68"/>
      <c r="K168" s="67" t="s">
        <v>18871</v>
      </c>
      <c r="L168" s="71"/>
      <c r="M168" s="72"/>
      <c r="N168" s="72"/>
      <c r="O168" s="73"/>
      <c r="P168" s="74"/>
      <c r="Q168" s="74"/>
      <c r="R168" s="86"/>
      <c r="S168" s="86"/>
      <c r="T168" s="86"/>
      <c r="U168" s="86"/>
      <c r="V168" s="48"/>
      <c r="W168" s="48"/>
      <c r="X168" s="48"/>
      <c r="Y168" s="48"/>
      <c r="Z168" s="47"/>
      <c r="AA168" s="69">
        <v>168</v>
      </c>
      <c r="AB168" s="69"/>
      <c r="AC168" s="70"/>
      <c r="AD168" s="76" t="s">
        <v>16599</v>
      </c>
      <c r="AE168" s="81" t="s">
        <v>16179</v>
      </c>
      <c r="AF168" s="76">
        <v>99</v>
      </c>
      <c r="AG168" s="76">
        <v>284</v>
      </c>
      <c r="AH168" s="76">
        <v>21962</v>
      </c>
      <c r="AI168" s="76">
        <v>1</v>
      </c>
      <c r="AJ168" s="76">
        <v>9702</v>
      </c>
      <c r="AK168" s="76">
        <v>159</v>
      </c>
      <c r="AL168" s="76" t="b">
        <v>0</v>
      </c>
      <c r="AM168" s="78">
        <v>44989.860069444447</v>
      </c>
      <c r="AN168" s="76"/>
      <c r="AO168" s="76"/>
      <c r="AP168" s="76"/>
      <c r="AQ168" s="76"/>
      <c r="AR168" s="76"/>
      <c r="AS168" s="76"/>
      <c r="AT168" s="76"/>
      <c r="AU168" s="76"/>
      <c r="AV168" s="76"/>
      <c r="AW168" s="76"/>
      <c r="AX168" s="76" t="b">
        <v>0</v>
      </c>
      <c r="AY168" s="76"/>
      <c r="AZ168" s="76"/>
      <c r="BA168" s="76" t="b">
        <v>0</v>
      </c>
      <c r="BB168" s="76" t="b">
        <v>1</v>
      </c>
      <c r="BC168" s="76" t="b">
        <v>1</v>
      </c>
      <c r="BD168" s="76" t="b">
        <v>0</v>
      </c>
      <c r="BE168" s="76" t="b">
        <v>0</v>
      </c>
      <c r="BF168" s="76" t="b">
        <v>0</v>
      </c>
      <c r="BG168" s="76" t="b">
        <v>0</v>
      </c>
      <c r="BH168" s="76"/>
      <c r="BI168" s="76"/>
      <c r="BJ168" s="76" t="s">
        <v>18704</v>
      </c>
      <c r="BK168" s="76" t="b">
        <v>0</v>
      </c>
      <c r="BL168" s="76"/>
      <c r="BM168" s="76" t="s">
        <v>66</v>
      </c>
      <c r="BN168" s="76" t="s">
        <v>18706</v>
      </c>
      <c r="BO168" s="83" t="str">
        <f>HYPERLINK("https://twitter.com/zealberto_rios")</f>
        <v>https://twitter.com/zealberto_rios</v>
      </c>
      <c r="BP168" s="2"/>
    </row>
    <row r="169" spans="1:68" x14ac:dyDescent="0.25">
      <c r="A169" s="62" t="s">
        <v>353</v>
      </c>
      <c r="B169" s="63"/>
      <c r="C169" s="63"/>
      <c r="D169" s="64"/>
      <c r="E169" s="66"/>
      <c r="F169" s="102" t="str">
        <f>HYPERLINK("https://pbs.twimg.com/profile_images/1297877005644582912/RHlYwGJG_normal.jpg")</f>
        <v>https://pbs.twimg.com/profile_images/1297877005644582912/RHlYwGJG_normal.jpg</v>
      </c>
      <c r="G169" s="63"/>
      <c r="H169" s="67"/>
      <c r="I169" s="68"/>
      <c r="J169" s="68"/>
      <c r="K169" s="67" t="s">
        <v>18872</v>
      </c>
      <c r="L169" s="71"/>
      <c r="M169" s="72"/>
      <c r="N169" s="72"/>
      <c r="O169" s="73"/>
      <c r="P169" s="74"/>
      <c r="Q169" s="74"/>
      <c r="R169" s="86"/>
      <c r="S169" s="86"/>
      <c r="T169" s="86"/>
      <c r="U169" s="86"/>
      <c r="V169" s="48"/>
      <c r="W169" s="48"/>
      <c r="X169" s="48"/>
      <c r="Y169" s="48"/>
      <c r="Z169" s="47"/>
      <c r="AA169" s="69">
        <v>169</v>
      </c>
      <c r="AB169" s="69"/>
      <c r="AC169" s="70"/>
      <c r="AD169" s="76" t="s">
        <v>16600</v>
      </c>
      <c r="AE169" s="81" t="s">
        <v>17165</v>
      </c>
      <c r="AF169" s="76">
        <v>1779</v>
      </c>
      <c r="AG169" s="76">
        <v>502</v>
      </c>
      <c r="AH169" s="76">
        <v>45862</v>
      </c>
      <c r="AI169" s="76">
        <v>12</v>
      </c>
      <c r="AJ169" s="76">
        <v>37</v>
      </c>
      <c r="AK169" s="76">
        <v>32960</v>
      </c>
      <c r="AL169" s="76" t="b">
        <v>0</v>
      </c>
      <c r="AM169" s="78">
        <v>40239.534386574072</v>
      </c>
      <c r="AN169" s="76" t="s">
        <v>17458</v>
      </c>
      <c r="AO169" s="76" t="s">
        <v>17797</v>
      </c>
      <c r="AP169" s="83" t="str">
        <f>HYPERLINK("https://t.co/JKol0Vx7aI")</f>
        <v>https://t.co/JKol0Vx7aI</v>
      </c>
      <c r="AQ169" s="83" t="str">
        <f>HYPERLINK("http://www.correiodeminas.com.br")</f>
        <v>http://www.correiodeminas.com.br</v>
      </c>
      <c r="AR169" s="76" t="s">
        <v>18338</v>
      </c>
      <c r="AS169" s="76"/>
      <c r="AT169" s="76"/>
      <c r="AU169" s="76"/>
      <c r="AV169" s="76"/>
      <c r="AW169" s="83" t="str">
        <f>HYPERLINK("https://t.co/JKol0Vx7aI")</f>
        <v>https://t.co/JKol0Vx7aI</v>
      </c>
      <c r="AX169" s="76" t="b">
        <v>0</v>
      </c>
      <c r="AY169" s="76"/>
      <c r="AZ169" s="76"/>
      <c r="BA169" s="76" t="b">
        <v>0</v>
      </c>
      <c r="BB169" s="76" t="b">
        <v>1</v>
      </c>
      <c r="BC169" s="76" t="b">
        <v>0</v>
      </c>
      <c r="BD169" s="76" t="b">
        <v>0</v>
      </c>
      <c r="BE169" s="76" t="b">
        <v>1</v>
      </c>
      <c r="BF169" s="76" t="b">
        <v>0</v>
      </c>
      <c r="BG169" s="76" t="b">
        <v>0</v>
      </c>
      <c r="BH169" s="83" t="str">
        <f>HYPERLINK("https://pbs.twimg.com/profile_banners/119024617/1644316510")</f>
        <v>https://pbs.twimg.com/profile_banners/119024617/1644316510</v>
      </c>
      <c r="BI169" s="76"/>
      <c r="BJ169" s="76" t="s">
        <v>18704</v>
      </c>
      <c r="BK169" s="76" t="b">
        <v>0</v>
      </c>
      <c r="BL169" s="76"/>
      <c r="BM169" s="76" t="s">
        <v>66</v>
      </c>
      <c r="BN169" s="76" t="s">
        <v>18706</v>
      </c>
      <c r="BO169" s="83" t="str">
        <f>HYPERLINK("https://twitter.com/correiodeminas")</f>
        <v>https://twitter.com/correiodeminas</v>
      </c>
      <c r="BP169" s="2"/>
    </row>
    <row r="170" spans="1:68" x14ac:dyDescent="0.25">
      <c r="A170" s="62" t="s">
        <v>354</v>
      </c>
      <c r="B170" s="63"/>
      <c r="C170" s="63"/>
      <c r="D170" s="64"/>
      <c r="E170" s="66"/>
      <c r="F170" s="102" t="str">
        <f>HYPERLINK("https://pbs.twimg.com/profile_images/1061763664431271936/INskQggu_normal.jpg")</f>
        <v>https://pbs.twimg.com/profile_images/1061763664431271936/INskQggu_normal.jpg</v>
      </c>
      <c r="G170" s="63"/>
      <c r="H170" s="67"/>
      <c r="I170" s="68"/>
      <c r="J170" s="68"/>
      <c r="K170" s="67" t="s">
        <v>18873</v>
      </c>
      <c r="L170" s="71"/>
      <c r="M170" s="72"/>
      <c r="N170" s="72"/>
      <c r="O170" s="73"/>
      <c r="P170" s="74"/>
      <c r="Q170" s="74"/>
      <c r="R170" s="86"/>
      <c r="S170" s="86"/>
      <c r="T170" s="86"/>
      <c r="U170" s="86"/>
      <c r="V170" s="48"/>
      <c r="W170" s="48"/>
      <c r="X170" s="48"/>
      <c r="Y170" s="48"/>
      <c r="Z170" s="47"/>
      <c r="AA170" s="69">
        <v>170</v>
      </c>
      <c r="AB170" s="69"/>
      <c r="AC170" s="70"/>
      <c r="AD170" s="76" t="s">
        <v>16601</v>
      </c>
      <c r="AE170" s="81" t="s">
        <v>16180</v>
      </c>
      <c r="AF170" s="76">
        <v>184</v>
      </c>
      <c r="AG170" s="76">
        <v>1010</v>
      </c>
      <c r="AH170" s="76">
        <v>22671</v>
      </c>
      <c r="AI170" s="76">
        <v>0</v>
      </c>
      <c r="AJ170" s="76">
        <v>23914</v>
      </c>
      <c r="AK170" s="76">
        <v>126</v>
      </c>
      <c r="AL170" s="76" t="b">
        <v>0</v>
      </c>
      <c r="AM170" s="78">
        <v>43328.626481481479</v>
      </c>
      <c r="AN170" s="76"/>
      <c r="AO170" s="76"/>
      <c r="AP170" s="76"/>
      <c r="AQ170" s="76"/>
      <c r="AR170" s="76"/>
      <c r="AS170" s="76"/>
      <c r="AT170" s="76"/>
      <c r="AU170" s="76"/>
      <c r="AV170" s="76">
        <v>1.45082794171839E+18</v>
      </c>
      <c r="AW170" s="76"/>
      <c r="AX170" s="76" t="b">
        <v>0</v>
      </c>
      <c r="AY170" s="76"/>
      <c r="AZ170" s="76"/>
      <c r="BA170" s="76" t="b">
        <v>0</v>
      </c>
      <c r="BB170" s="76" t="b">
        <v>0</v>
      </c>
      <c r="BC170" s="76" t="b">
        <v>1</v>
      </c>
      <c r="BD170" s="76" t="b">
        <v>0</v>
      </c>
      <c r="BE170" s="76" t="b">
        <v>1</v>
      </c>
      <c r="BF170" s="76" t="b">
        <v>0</v>
      </c>
      <c r="BG170" s="76" t="b">
        <v>1</v>
      </c>
      <c r="BH170" s="83" t="str">
        <f>HYPERLINK("https://pbs.twimg.com/profile_banners/1030107447543955457/1541979550")</f>
        <v>https://pbs.twimg.com/profile_banners/1030107447543955457/1541979550</v>
      </c>
      <c r="BI170" s="76"/>
      <c r="BJ170" s="76" t="s">
        <v>18704</v>
      </c>
      <c r="BK170" s="76" t="b">
        <v>0</v>
      </c>
      <c r="BL170" s="76"/>
      <c r="BM170" s="76" t="s">
        <v>66</v>
      </c>
      <c r="BN170" s="76" t="s">
        <v>18706</v>
      </c>
      <c r="BO170" s="83" t="str">
        <f>HYPERLINK("https://twitter.com/amalia38886043")</f>
        <v>https://twitter.com/amalia38886043</v>
      </c>
      <c r="BP170" s="2"/>
    </row>
    <row r="171" spans="1:68" x14ac:dyDescent="0.25">
      <c r="A171" s="62" t="s">
        <v>355</v>
      </c>
      <c r="B171" s="63"/>
      <c r="C171" s="63"/>
      <c r="D171" s="64"/>
      <c r="E171" s="66"/>
      <c r="F171" s="102" t="str">
        <f>HYPERLINK("https://pbs.twimg.com/profile_images/1638880651880329217/sTlebUyJ_normal.jpg")</f>
        <v>https://pbs.twimg.com/profile_images/1638880651880329217/sTlebUyJ_normal.jpg</v>
      </c>
      <c r="G171" s="63"/>
      <c r="H171" s="67"/>
      <c r="I171" s="68"/>
      <c r="J171" s="68"/>
      <c r="K171" s="67" t="s">
        <v>18874</v>
      </c>
      <c r="L171" s="71"/>
      <c r="M171" s="72"/>
      <c r="N171" s="72"/>
      <c r="O171" s="73"/>
      <c r="P171" s="74"/>
      <c r="Q171" s="74"/>
      <c r="R171" s="86"/>
      <c r="S171" s="86"/>
      <c r="T171" s="86"/>
      <c r="U171" s="86"/>
      <c r="V171" s="48"/>
      <c r="W171" s="48"/>
      <c r="X171" s="48"/>
      <c r="Y171" s="48"/>
      <c r="Z171" s="47"/>
      <c r="AA171" s="69">
        <v>171</v>
      </c>
      <c r="AB171" s="69"/>
      <c r="AC171" s="70"/>
      <c r="AD171" s="76" t="s">
        <v>16602</v>
      </c>
      <c r="AE171" s="81" t="s">
        <v>16181</v>
      </c>
      <c r="AF171" s="76">
        <v>125</v>
      </c>
      <c r="AG171" s="76">
        <v>634</v>
      </c>
      <c r="AH171" s="76">
        <v>23840</v>
      </c>
      <c r="AI171" s="76">
        <v>6</v>
      </c>
      <c r="AJ171" s="76">
        <v>27620</v>
      </c>
      <c r="AK171" s="76">
        <v>903</v>
      </c>
      <c r="AL171" s="76" t="b">
        <v>0</v>
      </c>
      <c r="AM171" s="78">
        <v>45007.679282407407</v>
      </c>
      <c r="AN171" s="76" t="s">
        <v>10586</v>
      </c>
      <c r="AO171" s="76" t="s">
        <v>17798</v>
      </c>
      <c r="AP171" s="83" t="str">
        <f>HYPERLINK("https://t.co/FxoPqhzTQm")</f>
        <v>https://t.co/FxoPqhzTQm</v>
      </c>
      <c r="AQ171" s="83" t="str">
        <f>HYPERLINK("https://sites.google.com/view/www-bedrock/bedrock")</f>
        <v>https://sites.google.com/view/www-bedrock/bedrock</v>
      </c>
      <c r="AR171" s="76" t="s">
        <v>18339</v>
      </c>
      <c r="AS171" s="76"/>
      <c r="AT171" s="76"/>
      <c r="AU171" s="76"/>
      <c r="AV171" s="76">
        <v>1.64957757998303E+18</v>
      </c>
      <c r="AW171" s="83" t="str">
        <f>HYPERLINK("https://t.co/FxoPqhzTQm")</f>
        <v>https://t.co/FxoPqhzTQm</v>
      </c>
      <c r="AX171" s="76" t="b">
        <v>1</v>
      </c>
      <c r="AY171" s="76"/>
      <c r="AZ171" s="76"/>
      <c r="BA171" s="76" t="b">
        <v>1</v>
      </c>
      <c r="BB171" s="76" t="b">
        <v>1</v>
      </c>
      <c r="BC171" s="76" t="b">
        <v>1</v>
      </c>
      <c r="BD171" s="76" t="b">
        <v>0</v>
      </c>
      <c r="BE171" s="76" t="b">
        <v>1</v>
      </c>
      <c r="BF171" s="76" t="b">
        <v>0</v>
      </c>
      <c r="BG171" s="76" t="b">
        <v>0</v>
      </c>
      <c r="BH171" s="83" t="str">
        <f>HYPERLINK("https://pbs.twimg.com/profile_banners/1638575699861569538/1679502616")</f>
        <v>https://pbs.twimg.com/profile_banners/1638575699861569538/1679502616</v>
      </c>
      <c r="BI171" s="76"/>
      <c r="BJ171" s="76" t="s">
        <v>18704</v>
      </c>
      <c r="BK171" s="76" t="b">
        <v>0</v>
      </c>
      <c r="BL171" s="76"/>
      <c r="BM171" s="76" t="s">
        <v>66</v>
      </c>
      <c r="BN171" s="76" t="s">
        <v>18706</v>
      </c>
      <c r="BO171" s="83" t="str">
        <f>HYPERLINK("https://twitter.com/bedrock079tm")</f>
        <v>https://twitter.com/bedrock079tm</v>
      </c>
      <c r="BP171" s="2"/>
    </row>
    <row r="172" spans="1:68" x14ac:dyDescent="0.25">
      <c r="A172" s="62" t="s">
        <v>356</v>
      </c>
      <c r="B172" s="63"/>
      <c r="C172" s="63"/>
      <c r="D172" s="64"/>
      <c r="E172" s="66"/>
      <c r="F172" s="102" t="str">
        <f>HYPERLINK("https://pbs.twimg.com/profile_images/1631749166748631050/Rgr4ToBl_normal.jpg")</f>
        <v>https://pbs.twimg.com/profile_images/1631749166748631050/Rgr4ToBl_normal.jpg</v>
      </c>
      <c r="G172" s="63"/>
      <c r="H172" s="67"/>
      <c r="I172" s="68"/>
      <c r="J172" s="68"/>
      <c r="K172" s="67" t="s">
        <v>18875</v>
      </c>
      <c r="L172" s="71"/>
      <c r="M172" s="72"/>
      <c r="N172" s="72"/>
      <c r="O172" s="73"/>
      <c r="P172" s="74"/>
      <c r="Q172" s="74"/>
      <c r="R172" s="86"/>
      <c r="S172" s="86"/>
      <c r="T172" s="86"/>
      <c r="U172" s="86"/>
      <c r="V172" s="48"/>
      <c r="W172" s="48"/>
      <c r="X172" s="48"/>
      <c r="Y172" s="48"/>
      <c r="Z172" s="47"/>
      <c r="AA172" s="69">
        <v>172</v>
      </c>
      <c r="AB172" s="69"/>
      <c r="AC172" s="70"/>
      <c r="AD172" s="76" t="s">
        <v>356</v>
      </c>
      <c r="AE172" s="81" t="s">
        <v>16182</v>
      </c>
      <c r="AF172" s="76">
        <v>42</v>
      </c>
      <c r="AG172" s="76">
        <v>213</v>
      </c>
      <c r="AH172" s="76">
        <v>418</v>
      </c>
      <c r="AI172" s="76">
        <v>0</v>
      </c>
      <c r="AJ172" s="76">
        <v>98</v>
      </c>
      <c r="AK172" s="76">
        <v>121</v>
      </c>
      <c r="AL172" s="76" t="b">
        <v>0</v>
      </c>
      <c r="AM172" s="78">
        <v>44988.841226851851</v>
      </c>
      <c r="AN172" s="76"/>
      <c r="AO172" s="76" t="s">
        <v>17799</v>
      </c>
      <c r="AP172" s="83" t="str">
        <f>HYPERLINK("https://t.co/21lDKwLfF6")</f>
        <v>https://t.co/21lDKwLfF6</v>
      </c>
      <c r="AQ172" s="83" t="str">
        <f>HYPERLINK("http://ovies.com.br")</f>
        <v>http://ovies.com.br</v>
      </c>
      <c r="AR172" s="76" t="s">
        <v>18340</v>
      </c>
      <c r="AS172" s="76"/>
      <c r="AT172" s="76"/>
      <c r="AU172" s="76"/>
      <c r="AV172" s="76"/>
      <c r="AW172" s="83" t="str">
        <f>HYPERLINK("https://t.co/21lDKwLfF6")</f>
        <v>https://t.co/21lDKwLfF6</v>
      </c>
      <c r="AX172" s="76" t="b">
        <v>0</v>
      </c>
      <c r="AY172" s="76"/>
      <c r="AZ172" s="76"/>
      <c r="BA172" s="76" t="b">
        <v>0</v>
      </c>
      <c r="BB172" s="76" t="b">
        <v>1</v>
      </c>
      <c r="BC172" s="76" t="b">
        <v>1</v>
      </c>
      <c r="BD172" s="76" t="b">
        <v>0</v>
      </c>
      <c r="BE172" s="76" t="b">
        <v>0</v>
      </c>
      <c r="BF172" s="76" t="b">
        <v>0</v>
      </c>
      <c r="BG172" s="76" t="b">
        <v>0</v>
      </c>
      <c r="BH172" s="83" t="str">
        <f>HYPERLINK("https://pbs.twimg.com/profile_banners/1631748852301660171/1679066633")</f>
        <v>https://pbs.twimg.com/profile_banners/1631748852301660171/1679066633</v>
      </c>
      <c r="BI172" s="76"/>
      <c r="BJ172" s="76" t="s">
        <v>18704</v>
      </c>
      <c r="BK172" s="76" t="b">
        <v>0</v>
      </c>
      <c r="BL172" s="76"/>
      <c r="BM172" s="76" t="s">
        <v>66</v>
      </c>
      <c r="BN172" s="76" t="s">
        <v>18706</v>
      </c>
      <c r="BO172" s="83" t="str">
        <f>HYPERLINK("https://twitter.com/viesdanoticia")</f>
        <v>https://twitter.com/viesdanoticia</v>
      </c>
      <c r="BP172" s="2"/>
    </row>
    <row r="173" spans="1:68" x14ac:dyDescent="0.25">
      <c r="A173" s="62" t="s">
        <v>357</v>
      </c>
      <c r="B173" s="63"/>
      <c r="C173" s="63"/>
      <c r="D173" s="64"/>
      <c r="E173" s="66"/>
      <c r="F173" s="102" t="str">
        <f>HYPERLINK("https://pbs.twimg.com/profile_images/1693639422074351616/hU9mP7eb_normal.jpg")</f>
        <v>https://pbs.twimg.com/profile_images/1693639422074351616/hU9mP7eb_normal.jpg</v>
      </c>
      <c r="G173" s="63"/>
      <c r="H173" s="67"/>
      <c r="I173" s="68"/>
      <c r="J173" s="68"/>
      <c r="K173" s="67" t="s">
        <v>18876</v>
      </c>
      <c r="L173" s="71"/>
      <c r="M173" s="72"/>
      <c r="N173" s="72"/>
      <c r="O173" s="73"/>
      <c r="P173" s="74"/>
      <c r="Q173" s="74"/>
      <c r="R173" s="86"/>
      <c r="S173" s="86"/>
      <c r="T173" s="86"/>
      <c r="U173" s="86"/>
      <c r="V173" s="48"/>
      <c r="W173" s="48"/>
      <c r="X173" s="48"/>
      <c r="Y173" s="48"/>
      <c r="Z173" s="47"/>
      <c r="AA173" s="69">
        <v>173</v>
      </c>
      <c r="AB173" s="69"/>
      <c r="AC173" s="70"/>
      <c r="AD173" s="76" t="s">
        <v>16603</v>
      </c>
      <c r="AE173" s="81" t="s">
        <v>16183</v>
      </c>
      <c r="AF173" s="76">
        <v>106</v>
      </c>
      <c r="AG173" s="76">
        <v>72</v>
      </c>
      <c r="AH173" s="76">
        <v>1908</v>
      </c>
      <c r="AI173" s="76">
        <v>0</v>
      </c>
      <c r="AJ173" s="76">
        <v>223</v>
      </c>
      <c r="AK173" s="76">
        <v>1685</v>
      </c>
      <c r="AL173" s="76" t="b">
        <v>0</v>
      </c>
      <c r="AM173" s="78">
        <v>43888.662511574075</v>
      </c>
      <c r="AN173" s="76" t="s">
        <v>10570</v>
      </c>
      <c r="AO173" s="76" t="s">
        <v>17800</v>
      </c>
      <c r="AP173" s="83" t="str">
        <f>HYPERLINK("https://t.co/0KWt3P4iiZ")</f>
        <v>https://t.co/0KWt3P4iiZ</v>
      </c>
      <c r="AQ173" s="83" t="str">
        <f>HYPERLINK("https://www.earn2trade.com/pt/")</f>
        <v>https://www.earn2trade.com/pt/</v>
      </c>
      <c r="AR173" s="76" t="s">
        <v>18341</v>
      </c>
      <c r="AS173" s="76"/>
      <c r="AT173" s="76"/>
      <c r="AU173" s="76"/>
      <c r="AV173" s="76"/>
      <c r="AW173" s="83" t="str">
        <f>HYPERLINK("https://t.co/0KWt3P4iiZ")</f>
        <v>https://t.co/0KWt3P4iiZ</v>
      </c>
      <c r="AX173" s="76" t="b">
        <v>0</v>
      </c>
      <c r="AY173" s="76"/>
      <c r="AZ173" s="76"/>
      <c r="BA173" s="76" t="b">
        <v>0</v>
      </c>
      <c r="BB173" s="76" t="b">
        <v>1</v>
      </c>
      <c r="BC173" s="76" t="b">
        <v>1</v>
      </c>
      <c r="BD173" s="76" t="b">
        <v>0</v>
      </c>
      <c r="BE173" s="76" t="b">
        <v>0</v>
      </c>
      <c r="BF173" s="76" t="b">
        <v>0</v>
      </c>
      <c r="BG173" s="76" t="b">
        <v>0</v>
      </c>
      <c r="BH173" s="83" t="str">
        <f>HYPERLINK("https://pbs.twimg.com/profile_banners/1233057664831250438/1692630080")</f>
        <v>https://pbs.twimg.com/profile_banners/1233057664831250438/1692630080</v>
      </c>
      <c r="BI173" s="76"/>
      <c r="BJ173" s="76" t="s">
        <v>18704</v>
      </c>
      <c r="BK173" s="76" t="b">
        <v>0</v>
      </c>
      <c r="BL173" s="76"/>
      <c r="BM173" s="76" t="s">
        <v>66</v>
      </c>
      <c r="BN173" s="76" t="s">
        <v>18706</v>
      </c>
      <c r="BO173" s="83" t="str">
        <f>HYPERLINK("https://twitter.com/earn2trade_br")</f>
        <v>https://twitter.com/earn2trade_br</v>
      </c>
      <c r="BP173" s="2"/>
    </row>
    <row r="174" spans="1:68" x14ac:dyDescent="0.25">
      <c r="A174" s="62" t="s">
        <v>358</v>
      </c>
      <c r="B174" s="63"/>
      <c r="C174" s="63"/>
      <c r="D174" s="64"/>
      <c r="E174" s="66"/>
      <c r="F174" s="102" t="str">
        <f>HYPERLINK("https://pbs.twimg.com/profile_images/3039157428/296d805a524661987d33e56e985a5114_normal.jpeg")</f>
        <v>https://pbs.twimg.com/profile_images/3039157428/296d805a524661987d33e56e985a5114_normal.jpeg</v>
      </c>
      <c r="G174" s="63"/>
      <c r="H174" s="67"/>
      <c r="I174" s="68"/>
      <c r="J174" s="68"/>
      <c r="K174" s="67" t="s">
        <v>18877</v>
      </c>
      <c r="L174" s="71"/>
      <c r="M174" s="72"/>
      <c r="N174" s="72"/>
      <c r="O174" s="73"/>
      <c r="P174" s="74"/>
      <c r="Q174" s="74"/>
      <c r="R174" s="86"/>
      <c r="S174" s="86"/>
      <c r="T174" s="86"/>
      <c r="U174" s="86"/>
      <c r="V174" s="48"/>
      <c r="W174" s="48"/>
      <c r="X174" s="48"/>
      <c r="Y174" s="48"/>
      <c r="Z174" s="47"/>
      <c r="AA174" s="69">
        <v>174</v>
      </c>
      <c r="AB174" s="69"/>
      <c r="AC174" s="70"/>
      <c r="AD174" s="76" t="s">
        <v>16604</v>
      </c>
      <c r="AE174" s="81" t="s">
        <v>17166</v>
      </c>
      <c r="AF174" s="76">
        <v>858</v>
      </c>
      <c r="AG174" s="76">
        <v>2137</v>
      </c>
      <c r="AH174" s="76">
        <v>75058</v>
      </c>
      <c r="AI174" s="76">
        <v>33</v>
      </c>
      <c r="AJ174" s="76">
        <v>46429</v>
      </c>
      <c r="AK174" s="76">
        <v>1293</v>
      </c>
      <c r="AL174" s="76" t="b">
        <v>0</v>
      </c>
      <c r="AM174" s="78">
        <v>40335.663495370369</v>
      </c>
      <c r="AN174" s="76"/>
      <c r="AO174" s="76" t="s">
        <v>17801</v>
      </c>
      <c r="AP174" s="76"/>
      <c r="AQ174" s="76"/>
      <c r="AR174" s="76"/>
      <c r="AS174" s="76"/>
      <c r="AT174" s="76"/>
      <c r="AU174" s="76"/>
      <c r="AV174" s="76"/>
      <c r="AW174" s="76"/>
      <c r="AX174" s="76" t="b">
        <v>0</v>
      </c>
      <c r="AY174" s="76"/>
      <c r="AZ174" s="76"/>
      <c r="BA174" s="76" t="b">
        <v>0</v>
      </c>
      <c r="BB174" s="76" t="b">
        <v>1</v>
      </c>
      <c r="BC174" s="76" t="b">
        <v>0</v>
      </c>
      <c r="BD174" s="76" t="b">
        <v>0</v>
      </c>
      <c r="BE174" s="76" t="b">
        <v>1</v>
      </c>
      <c r="BF174" s="76" t="b">
        <v>0</v>
      </c>
      <c r="BG174" s="76" t="b">
        <v>0</v>
      </c>
      <c r="BH174" s="83" t="str">
        <f>HYPERLINK("https://pbs.twimg.com/profile_banners/152678723/1636834716")</f>
        <v>https://pbs.twimg.com/profile_banners/152678723/1636834716</v>
      </c>
      <c r="BI174" s="76"/>
      <c r="BJ174" s="76" t="s">
        <v>18704</v>
      </c>
      <c r="BK174" s="76" t="b">
        <v>0</v>
      </c>
      <c r="BL174" s="76"/>
      <c r="BM174" s="76" t="s">
        <v>66</v>
      </c>
      <c r="BN174" s="76" t="s">
        <v>18706</v>
      </c>
      <c r="BO174" s="83" t="str">
        <f>HYPERLINK("https://twitter.com/neo_silva")</f>
        <v>https://twitter.com/neo_silva</v>
      </c>
      <c r="BP174" s="2"/>
    </row>
    <row r="175" spans="1:68" x14ac:dyDescent="0.25">
      <c r="A175" s="62" t="s">
        <v>359</v>
      </c>
      <c r="B175" s="63"/>
      <c r="C175" s="63"/>
      <c r="D175" s="64"/>
      <c r="E175" s="66"/>
      <c r="F175" s="102" t="str">
        <f>HYPERLINK("https://pbs.twimg.com/profile_images/1651952473068716033/KixrVrY0_normal.jpg")</f>
        <v>https://pbs.twimg.com/profile_images/1651952473068716033/KixrVrY0_normal.jpg</v>
      </c>
      <c r="G175" s="63"/>
      <c r="H175" s="67"/>
      <c r="I175" s="68"/>
      <c r="J175" s="68"/>
      <c r="K175" s="67" t="s">
        <v>18878</v>
      </c>
      <c r="L175" s="71"/>
      <c r="M175" s="72"/>
      <c r="N175" s="72"/>
      <c r="O175" s="73"/>
      <c r="P175" s="74"/>
      <c r="Q175" s="74"/>
      <c r="R175" s="86"/>
      <c r="S175" s="86"/>
      <c r="T175" s="86"/>
      <c r="U175" s="86"/>
      <c r="V175" s="48"/>
      <c r="W175" s="48"/>
      <c r="X175" s="48"/>
      <c r="Y175" s="48"/>
      <c r="Z175" s="47"/>
      <c r="AA175" s="69">
        <v>175</v>
      </c>
      <c r="AB175" s="69"/>
      <c r="AC175" s="70"/>
      <c r="AD175" s="76" t="s">
        <v>16605</v>
      </c>
      <c r="AE175" s="81" t="s">
        <v>16184</v>
      </c>
      <c r="AF175" s="76">
        <v>3</v>
      </c>
      <c r="AG175" s="76">
        <v>37</v>
      </c>
      <c r="AH175" s="76">
        <v>4</v>
      </c>
      <c r="AI175" s="76">
        <v>0</v>
      </c>
      <c r="AJ175" s="76">
        <v>2</v>
      </c>
      <c r="AK175" s="76">
        <v>0</v>
      </c>
      <c r="AL175" s="76" t="b">
        <v>0</v>
      </c>
      <c r="AM175" s="78">
        <v>45044.591307870367</v>
      </c>
      <c r="AN175" s="76" t="s">
        <v>17459</v>
      </c>
      <c r="AO175" s="76" t="s">
        <v>17802</v>
      </c>
      <c r="AP175" s="83" t="str">
        <f>HYPERLINK("https://t.co/Nj061zRj6L")</f>
        <v>https://t.co/Nj061zRj6L</v>
      </c>
      <c r="AQ175" s="83" t="str">
        <f>HYPERLINK("https://teddydigital.io/")</f>
        <v>https://teddydigital.io/</v>
      </c>
      <c r="AR175" s="76" t="s">
        <v>18342</v>
      </c>
      <c r="AS175" s="83" t="str">
        <f>HYPERLINK("https://t.co/u7OsYIQovB")</f>
        <v>https://t.co/u7OsYIQovB</v>
      </c>
      <c r="AT175" s="83" t="str">
        <f>HYPERLINK("http://teddydigital.io/teddy-360/")</f>
        <v>http://teddydigital.io/teddy-360/</v>
      </c>
      <c r="AU175" s="76" t="s">
        <v>18661</v>
      </c>
      <c r="AV175" s="76"/>
      <c r="AW175" s="83" t="str">
        <f>HYPERLINK("https://t.co/Nj061zRj6L")</f>
        <v>https://t.co/Nj061zRj6L</v>
      </c>
      <c r="AX175" s="76" t="b">
        <v>0</v>
      </c>
      <c r="AY175" s="76"/>
      <c r="AZ175" s="76"/>
      <c r="BA175" s="76" t="b">
        <v>0</v>
      </c>
      <c r="BB175" s="76" t="b">
        <v>1</v>
      </c>
      <c r="BC175" s="76" t="b">
        <v>1</v>
      </c>
      <c r="BD175" s="76" t="b">
        <v>0</v>
      </c>
      <c r="BE175" s="76" t="b">
        <v>0</v>
      </c>
      <c r="BF175" s="76" t="b">
        <v>0</v>
      </c>
      <c r="BG175" s="76" t="b">
        <v>0</v>
      </c>
      <c r="BH175" s="76"/>
      <c r="BI175" s="76"/>
      <c r="BJ175" s="76" t="s">
        <v>18704</v>
      </c>
      <c r="BK175" s="76" t="b">
        <v>0</v>
      </c>
      <c r="BL175" s="76"/>
      <c r="BM175" s="76" t="s">
        <v>66</v>
      </c>
      <c r="BN175" s="76" t="s">
        <v>18706</v>
      </c>
      <c r="BO175" s="83" t="str">
        <f>HYPERLINK("https://twitter.com/teddyopen")</f>
        <v>https://twitter.com/teddyopen</v>
      </c>
      <c r="BP175" s="2"/>
    </row>
    <row r="176" spans="1:68" x14ac:dyDescent="0.25">
      <c r="A176" s="62" t="s">
        <v>360</v>
      </c>
      <c r="B176" s="63"/>
      <c r="C176" s="63"/>
      <c r="D176" s="64"/>
      <c r="E176" s="66"/>
      <c r="F176" s="102" t="str">
        <f>HYPERLINK("https://pbs.twimg.com/profile_images/1475281567329230854/3MJjYQHw_normal.jpg")</f>
        <v>https://pbs.twimg.com/profile_images/1475281567329230854/3MJjYQHw_normal.jpg</v>
      </c>
      <c r="G176" s="63"/>
      <c r="H176" s="67"/>
      <c r="I176" s="68"/>
      <c r="J176" s="68"/>
      <c r="K176" s="67" t="s">
        <v>18879</v>
      </c>
      <c r="L176" s="71"/>
      <c r="M176" s="72"/>
      <c r="N176" s="72"/>
      <c r="O176" s="73"/>
      <c r="P176" s="74"/>
      <c r="Q176" s="74"/>
      <c r="R176" s="86"/>
      <c r="S176" s="86"/>
      <c r="T176" s="86"/>
      <c r="U176" s="86"/>
      <c r="V176" s="48"/>
      <c r="W176" s="48"/>
      <c r="X176" s="48"/>
      <c r="Y176" s="48"/>
      <c r="Z176" s="47"/>
      <c r="AA176" s="69">
        <v>176</v>
      </c>
      <c r="AB176" s="69"/>
      <c r="AC176" s="70"/>
      <c r="AD176" s="76" t="s">
        <v>16606</v>
      </c>
      <c r="AE176" s="81" t="s">
        <v>17167</v>
      </c>
      <c r="AF176" s="76">
        <v>760</v>
      </c>
      <c r="AG176" s="76">
        <v>1475</v>
      </c>
      <c r="AH176" s="76">
        <v>42184</v>
      </c>
      <c r="AI176" s="76">
        <v>4</v>
      </c>
      <c r="AJ176" s="76">
        <v>54005</v>
      </c>
      <c r="AK176" s="76">
        <v>5160</v>
      </c>
      <c r="AL176" s="76" t="b">
        <v>0</v>
      </c>
      <c r="AM176" s="78">
        <v>40625.026377314818</v>
      </c>
      <c r="AN176" s="76" t="s">
        <v>17460</v>
      </c>
      <c r="AO176" s="76" t="s">
        <v>17803</v>
      </c>
      <c r="AP176" s="76"/>
      <c r="AQ176" s="76"/>
      <c r="AR176" s="76"/>
      <c r="AS176" s="76"/>
      <c r="AT176" s="76"/>
      <c r="AU176" s="76"/>
      <c r="AV176" s="76"/>
      <c r="AW176" s="76"/>
      <c r="AX176" s="76" t="b">
        <v>0</v>
      </c>
      <c r="AY176" s="76"/>
      <c r="AZ176" s="76"/>
      <c r="BA176" s="76" t="b">
        <v>0</v>
      </c>
      <c r="BB176" s="76" t="b">
        <v>1</v>
      </c>
      <c r="BC176" s="76" t="b">
        <v>0</v>
      </c>
      <c r="BD176" s="76" t="b">
        <v>0</v>
      </c>
      <c r="BE176" s="76" t="b">
        <v>1</v>
      </c>
      <c r="BF176" s="76" t="b">
        <v>0</v>
      </c>
      <c r="BG176" s="76" t="b">
        <v>0</v>
      </c>
      <c r="BH176" s="83" t="str">
        <f>HYPERLINK("https://pbs.twimg.com/profile_banners/270647451/1640569091")</f>
        <v>https://pbs.twimg.com/profile_banners/270647451/1640569091</v>
      </c>
      <c r="BI176" s="76"/>
      <c r="BJ176" s="76" t="s">
        <v>18704</v>
      </c>
      <c r="BK176" s="76" t="b">
        <v>0</v>
      </c>
      <c r="BL176" s="76"/>
      <c r="BM176" s="76" t="s">
        <v>66</v>
      </c>
      <c r="BN176" s="76" t="s">
        <v>18706</v>
      </c>
      <c r="BO176" s="83" t="str">
        <f>HYPERLINK("https://twitter.com/alejandro994")</f>
        <v>https://twitter.com/alejandro994</v>
      </c>
      <c r="BP176" s="2"/>
    </row>
    <row r="177" spans="1:68" x14ac:dyDescent="0.25">
      <c r="A177" s="62" t="s">
        <v>361</v>
      </c>
      <c r="B177" s="63"/>
      <c r="C177" s="63"/>
      <c r="D177" s="64"/>
      <c r="E177" s="66"/>
      <c r="F177" s="102" t="str">
        <f>HYPERLINK("https://pbs.twimg.com/profile_images/1666293155577167873/Mg3Pb3Bz_normal.jpg")</f>
        <v>https://pbs.twimg.com/profile_images/1666293155577167873/Mg3Pb3Bz_normal.jpg</v>
      </c>
      <c r="G177" s="63"/>
      <c r="H177" s="67"/>
      <c r="I177" s="68"/>
      <c r="J177" s="68"/>
      <c r="K177" s="67" t="s">
        <v>18880</v>
      </c>
      <c r="L177" s="71"/>
      <c r="M177" s="72"/>
      <c r="N177" s="72"/>
      <c r="O177" s="73"/>
      <c r="P177" s="74"/>
      <c r="Q177" s="74"/>
      <c r="R177" s="86"/>
      <c r="S177" s="86"/>
      <c r="T177" s="86"/>
      <c r="U177" s="86"/>
      <c r="V177" s="48"/>
      <c r="W177" s="48"/>
      <c r="X177" s="48"/>
      <c r="Y177" s="48"/>
      <c r="Z177" s="47"/>
      <c r="AA177" s="69">
        <v>177</v>
      </c>
      <c r="AB177" s="69"/>
      <c r="AC177" s="70"/>
      <c r="AD177" s="76" t="s">
        <v>16607</v>
      </c>
      <c r="AE177" s="81" t="s">
        <v>17168</v>
      </c>
      <c r="AF177" s="76">
        <v>71</v>
      </c>
      <c r="AG177" s="76">
        <v>198</v>
      </c>
      <c r="AH177" s="76">
        <v>1151</v>
      </c>
      <c r="AI177" s="76">
        <v>0</v>
      </c>
      <c r="AJ177" s="76">
        <v>3564</v>
      </c>
      <c r="AK177" s="76">
        <v>66</v>
      </c>
      <c r="AL177" s="76" t="b">
        <v>0</v>
      </c>
      <c r="AM177" s="78">
        <v>40564.0237037037</v>
      </c>
      <c r="AN177" s="76"/>
      <c r="AO177" s="76"/>
      <c r="AP177" s="76"/>
      <c r="AQ177" s="76"/>
      <c r="AR177" s="76"/>
      <c r="AS177" s="76"/>
      <c r="AT177" s="76"/>
      <c r="AU177" s="76"/>
      <c r="AV177" s="76"/>
      <c r="AW177" s="76"/>
      <c r="AX177" s="76" t="b">
        <v>0</v>
      </c>
      <c r="AY177" s="76"/>
      <c r="AZ177" s="76"/>
      <c r="BA177" s="76" t="b">
        <v>0</v>
      </c>
      <c r="BB177" s="76" t="b">
        <v>1</v>
      </c>
      <c r="BC177" s="76" t="b">
        <v>1</v>
      </c>
      <c r="BD177" s="76" t="b">
        <v>0</v>
      </c>
      <c r="BE177" s="76" t="b">
        <v>0</v>
      </c>
      <c r="BF177" s="76" t="b">
        <v>0</v>
      </c>
      <c r="BG177" s="76" t="b">
        <v>0</v>
      </c>
      <c r="BH177" s="83" t="str">
        <f>HYPERLINK("https://pbs.twimg.com/profile_banners/240899947/1686110222")</f>
        <v>https://pbs.twimg.com/profile_banners/240899947/1686110222</v>
      </c>
      <c r="BI177" s="76"/>
      <c r="BJ177" s="76" t="s">
        <v>18704</v>
      </c>
      <c r="BK177" s="76" t="b">
        <v>0</v>
      </c>
      <c r="BL177" s="76"/>
      <c r="BM177" s="76" t="s">
        <v>66</v>
      </c>
      <c r="BN177" s="76" t="s">
        <v>18706</v>
      </c>
      <c r="BO177" s="83" t="str">
        <f>HYPERLINK("https://twitter.com/drodri1972")</f>
        <v>https://twitter.com/drodri1972</v>
      </c>
      <c r="BP177" s="2"/>
    </row>
    <row r="178" spans="1:68" x14ac:dyDescent="0.25">
      <c r="A178" s="62" t="s">
        <v>362</v>
      </c>
      <c r="B178" s="63"/>
      <c r="C178" s="63"/>
      <c r="D178" s="64"/>
      <c r="E178" s="66"/>
      <c r="F178" s="102" t="str">
        <f>HYPERLINK("https://pbs.twimg.com/profile_images/1478391888076058624/G9nBw5N__normal.jpg")</f>
        <v>https://pbs.twimg.com/profile_images/1478391888076058624/G9nBw5N__normal.jpg</v>
      </c>
      <c r="G178" s="63"/>
      <c r="H178" s="67"/>
      <c r="I178" s="68"/>
      <c r="J178" s="68"/>
      <c r="K178" s="67" t="s">
        <v>18881</v>
      </c>
      <c r="L178" s="71"/>
      <c r="M178" s="72"/>
      <c r="N178" s="72"/>
      <c r="O178" s="73"/>
      <c r="P178" s="74"/>
      <c r="Q178" s="74"/>
      <c r="R178" s="86"/>
      <c r="S178" s="86"/>
      <c r="T178" s="86"/>
      <c r="U178" s="86"/>
      <c r="V178" s="48"/>
      <c r="W178" s="48"/>
      <c r="X178" s="48"/>
      <c r="Y178" s="48"/>
      <c r="Z178" s="47"/>
      <c r="AA178" s="69">
        <v>178</v>
      </c>
      <c r="AB178" s="69"/>
      <c r="AC178" s="70"/>
      <c r="AD178" s="76" t="s">
        <v>16608</v>
      </c>
      <c r="AE178" s="81" t="s">
        <v>17169</v>
      </c>
      <c r="AF178" s="76">
        <v>156</v>
      </c>
      <c r="AG178" s="76">
        <v>796</v>
      </c>
      <c r="AH178" s="76">
        <v>1564</v>
      </c>
      <c r="AI178" s="76">
        <v>11</v>
      </c>
      <c r="AJ178" s="76">
        <v>1019</v>
      </c>
      <c r="AK178" s="76">
        <v>360</v>
      </c>
      <c r="AL178" s="76" t="b">
        <v>0</v>
      </c>
      <c r="AM178" s="78">
        <v>40617.599942129629</v>
      </c>
      <c r="AN178" s="76" t="s">
        <v>17461</v>
      </c>
      <c r="AO178" s="76" t="s">
        <v>17804</v>
      </c>
      <c r="AP178" s="76"/>
      <c r="AQ178" s="76"/>
      <c r="AR178" s="76"/>
      <c r="AS178" s="76"/>
      <c r="AT178" s="76"/>
      <c r="AU178" s="76"/>
      <c r="AV178" s="76"/>
      <c r="AW178" s="76"/>
      <c r="AX178" s="76" t="b">
        <v>0</v>
      </c>
      <c r="AY178" s="76"/>
      <c r="AZ178" s="76"/>
      <c r="BA178" s="76" t="b">
        <v>0</v>
      </c>
      <c r="BB178" s="76" t="b">
        <v>1</v>
      </c>
      <c r="BC178" s="76" t="b">
        <v>0</v>
      </c>
      <c r="BD178" s="76" t="b">
        <v>0</v>
      </c>
      <c r="BE178" s="76" t="b">
        <v>1</v>
      </c>
      <c r="BF178" s="76" t="b">
        <v>0</v>
      </c>
      <c r="BG178" s="76" t="b">
        <v>0</v>
      </c>
      <c r="BH178" s="83" t="str">
        <f>HYPERLINK("https://pbs.twimg.com/profile_banners/266611119/1641311068")</f>
        <v>https://pbs.twimg.com/profile_banners/266611119/1641311068</v>
      </c>
      <c r="BI178" s="76"/>
      <c r="BJ178" s="76" t="s">
        <v>18704</v>
      </c>
      <c r="BK178" s="76" t="b">
        <v>0</v>
      </c>
      <c r="BL178" s="76"/>
      <c r="BM178" s="76" t="s">
        <v>66</v>
      </c>
      <c r="BN178" s="76" t="s">
        <v>18706</v>
      </c>
      <c r="BO178" s="83" t="str">
        <f>HYPERLINK("https://twitter.com/ygor_fbc")</f>
        <v>https://twitter.com/ygor_fbc</v>
      </c>
      <c r="BP178" s="2"/>
    </row>
    <row r="179" spans="1:68" x14ac:dyDescent="0.25">
      <c r="A179" s="62" t="s">
        <v>768</v>
      </c>
      <c r="B179" s="63"/>
      <c r="C179" s="63"/>
      <c r="D179" s="64"/>
      <c r="E179" s="66"/>
      <c r="F179" s="102" t="str">
        <f>HYPERLINK("https://pbs.twimg.com/profile_images/1697667153669894144/C9WHJNVx_normal.jpg")</f>
        <v>https://pbs.twimg.com/profile_images/1697667153669894144/C9WHJNVx_normal.jpg</v>
      </c>
      <c r="G179" s="63"/>
      <c r="H179" s="67"/>
      <c r="I179" s="68"/>
      <c r="J179" s="68"/>
      <c r="K179" s="67" t="s">
        <v>18882</v>
      </c>
      <c r="L179" s="71"/>
      <c r="M179" s="72"/>
      <c r="N179" s="72"/>
      <c r="O179" s="73"/>
      <c r="P179" s="74"/>
      <c r="Q179" s="74"/>
      <c r="R179" s="86"/>
      <c r="S179" s="86"/>
      <c r="T179" s="86"/>
      <c r="U179" s="86"/>
      <c r="V179" s="48"/>
      <c r="W179" s="48"/>
      <c r="X179" s="48"/>
      <c r="Y179" s="48"/>
      <c r="Z179" s="47"/>
      <c r="AA179" s="69">
        <v>179</v>
      </c>
      <c r="AB179" s="69"/>
      <c r="AC179" s="70"/>
      <c r="AD179" s="76" t="s">
        <v>16609</v>
      </c>
      <c r="AE179" s="81" t="s">
        <v>17170</v>
      </c>
      <c r="AF179" s="76">
        <v>17167</v>
      </c>
      <c r="AG179" s="76">
        <v>647</v>
      </c>
      <c r="AH179" s="76">
        <v>6238</v>
      </c>
      <c r="AI179" s="76">
        <v>118</v>
      </c>
      <c r="AJ179" s="76">
        <v>40580</v>
      </c>
      <c r="AK179" s="76">
        <v>826</v>
      </c>
      <c r="AL179" s="76" t="b">
        <v>0</v>
      </c>
      <c r="AM179" s="78">
        <v>43159.598692129628</v>
      </c>
      <c r="AN179" s="76"/>
      <c r="AO179" s="76" t="s">
        <v>17805</v>
      </c>
      <c r="AP179" s="83" t="str">
        <f>HYPERLINK("https://t.co/BR0k6Bdt3j")</f>
        <v>https://t.co/BR0k6Bdt3j</v>
      </c>
      <c r="AQ179" s="83" t="str">
        <f>HYPERLINK("https://linktr.ee/igormundstock")</f>
        <v>https://linktr.ee/igormundstock</v>
      </c>
      <c r="AR179" s="76" t="s">
        <v>18343</v>
      </c>
      <c r="AS179" s="76"/>
      <c r="AT179" s="76"/>
      <c r="AU179" s="76"/>
      <c r="AV179" s="76">
        <v>1.66462666654131E+18</v>
      </c>
      <c r="AW179" s="83" t="str">
        <f>HYPERLINK("https://t.co/BR0k6Bdt3j")</f>
        <v>https://t.co/BR0k6Bdt3j</v>
      </c>
      <c r="AX179" s="76" t="b">
        <v>1</v>
      </c>
      <c r="AY179" s="76"/>
      <c r="AZ179" s="76"/>
      <c r="BA179" s="76" t="b">
        <v>0</v>
      </c>
      <c r="BB179" s="76" t="b">
        <v>1</v>
      </c>
      <c r="BC179" s="76" t="b">
        <v>0</v>
      </c>
      <c r="BD179" s="76" t="b">
        <v>0</v>
      </c>
      <c r="BE179" s="76" t="b">
        <v>1</v>
      </c>
      <c r="BF179" s="76" t="b">
        <v>0</v>
      </c>
      <c r="BG179" s="76" t="b">
        <v>0</v>
      </c>
      <c r="BH179" s="83" t="str">
        <f>HYPERLINK("https://pbs.twimg.com/profile_banners/968853826315972608/1693590377")</f>
        <v>https://pbs.twimg.com/profile_banners/968853826315972608/1693590377</v>
      </c>
      <c r="BI179" s="76"/>
      <c r="BJ179" s="76" t="s">
        <v>18704</v>
      </c>
      <c r="BK179" s="76" t="b">
        <v>0</v>
      </c>
      <c r="BL179" s="76"/>
      <c r="BM179" s="76" t="s">
        <v>65</v>
      </c>
      <c r="BN179" s="76" t="s">
        <v>18706</v>
      </c>
      <c r="BO179" s="83" t="str">
        <f>HYPERLINK("https://twitter.com/igor_mundstock")</f>
        <v>https://twitter.com/igor_mundstock</v>
      </c>
      <c r="BP179" s="2"/>
    </row>
    <row r="180" spans="1:68" x14ac:dyDescent="0.25">
      <c r="A180" s="62" t="s">
        <v>363</v>
      </c>
      <c r="B180" s="63"/>
      <c r="C180" s="63"/>
      <c r="D180" s="64"/>
      <c r="E180" s="66"/>
      <c r="F180" s="102" t="str">
        <f>HYPERLINK("https://pbs.twimg.com/profile_images/1626422824867975169/qD7uN1ws_normal.jpg")</f>
        <v>https://pbs.twimg.com/profile_images/1626422824867975169/qD7uN1ws_normal.jpg</v>
      </c>
      <c r="G180" s="63"/>
      <c r="H180" s="67"/>
      <c r="I180" s="68"/>
      <c r="J180" s="68"/>
      <c r="K180" s="67" t="s">
        <v>18883</v>
      </c>
      <c r="L180" s="71"/>
      <c r="M180" s="72"/>
      <c r="N180" s="72"/>
      <c r="O180" s="73"/>
      <c r="P180" s="74"/>
      <c r="Q180" s="74"/>
      <c r="R180" s="86"/>
      <c r="S180" s="86"/>
      <c r="T180" s="86"/>
      <c r="U180" s="86"/>
      <c r="V180" s="48"/>
      <c r="W180" s="48"/>
      <c r="X180" s="48"/>
      <c r="Y180" s="48"/>
      <c r="Z180" s="47"/>
      <c r="AA180" s="69">
        <v>180</v>
      </c>
      <c r="AB180" s="69"/>
      <c r="AC180" s="70"/>
      <c r="AD180" s="76" t="s">
        <v>16610</v>
      </c>
      <c r="AE180" s="81" t="s">
        <v>16185</v>
      </c>
      <c r="AF180" s="76">
        <v>126</v>
      </c>
      <c r="AG180" s="76">
        <v>15</v>
      </c>
      <c r="AH180" s="76">
        <v>763</v>
      </c>
      <c r="AI180" s="76">
        <v>2</v>
      </c>
      <c r="AJ180" s="76">
        <v>8</v>
      </c>
      <c r="AK180" s="76">
        <v>30</v>
      </c>
      <c r="AL180" s="76" t="b">
        <v>0</v>
      </c>
      <c r="AM180" s="78">
        <v>44936.575208333335</v>
      </c>
      <c r="AN180" s="76"/>
      <c r="AO180" s="76" t="s">
        <v>17806</v>
      </c>
      <c r="AP180" s="76"/>
      <c r="AQ180" s="76"/>
      <c r="AR180" s="76"/>
      <c r="AS180" s="76"/>
      <c r="AT180" s="76"/>
      <c r="AU180" s="76"/>
      <c r="AV180" s="76"/>
      <c r="AW180" s="76"/>
      <c r="AX180" s="76" t="b">
        <v>0</v>
      </c>
      <c r="AY180" s="76"/>
      <c r="AZ180" s="76"/>
      <c r="BA180" s="76" t="b">
        <v>0</v>
      </c>
      <c r="BB180" s="76" t="b">
        <v>1</v>
      </c>
      <c r="BC180" s="76" t="b">
        <v>1</v>
      </c>
      <c r="BD180" s="76" t="b">
        <v>0</v>
      </c>
      <c r="BE180" s="76" t="b">
        <v>0</v>
      </c>
      <c r="BF180" s="76" t="b">
        <v>0</v>
      </c>
      <c r="BG180" s="76" t="b">
        <v>0</v>
      </c>
      <c r="BH180" s="76"/>
      <c r="BI180" s="76"/>
      <c r="BJ180" s="76" t="s">
        <v>18704</v>
      </c>
      <c r="BK180" s="76" t="b">
        <v>0</v>
      </c>
      <c r="BL180" s="76"/>
      <c r="BM180" s="76" t="s">
        <v>66</v>
      </c>
      <c r="BN180" s="76" t="s">
        <v>18706</v>
      </c>
      <c r="BO180" s="83" t="str">
        <f>HYPERLINK("https://twitter.com/henleinvest")</f>
        <v>https://twitter.com/henleinvest</v>
      </c>
      <c r="BP180" s="2"/>
    </row>
    <row r="181" spans="1:68" x14ac:dyDescent="0.25">
      <c r="A181" s="62" t="s">
        <v>364</v>
      </c>
      <c r="B181" s="63"/>
      <c r="C181" s="63"/>
      <c r="D181" s="64"/>
      <c r="E181" s="66"/>
      <c r="F181" s="102" t="str">
        <f>HYPERLINK("https://pbs.twimg.com/profile_images/1669793783867645969/-NOFVFmF_normal.jpg")</f>
        <v>https://pbs.twimg.com/profile_images/1669793783867645969/-NOFVFmF_normal.jpg</v>
      </c>
      <c r="G181" s="63"/>
      <c r="H181" s="67"/>
      <c r="I181" s="68"/>
      <c r="J181" s="68"/>
      <c r="K181" s="67" t="s">
        <v>18884</v>
      </c>
      <c r="L181" s="71"/>
      <c r="M181" s="72"/>
      <c r="N181" s="72"/>
      <c r="O181" s="73"/>
      <c r="P181" s="74"/>
      <c r="Q181" s="74"/>
      <c r="R181" s="86"/>
      <c r="S181" s="86"/>
      <c r="T181" s="86"/>
      <c r="U181" s="86"/>
      <c r="V181" s="48"/>
      <c r="W181" s="48"/>
      <c r="X181" s="48"/>
      <c r="Y181" s="48"/>
      <c r="Z181" s="47"/>
      <c r="AA181" s="69">
        <v>181</v>
      </c>
      <c r="AB181" s="69"/>
      <c r="AC181" s="70"/>
      <c r="AD181" s="76" t="s">
        <v>16611</v>
      </c>
      <c r="AE181" s="81" t="s">
        <v>17171</v>
      </c>
      <c r="AF181" s="76">
        <v>24996</v>
      </c>
      <c r="AG181" s="76">
        <v>235</v>
      </c>
      <c r="AH181" s="76">
        <v>32282</v>
      </c>
      <c r="AI181" s="76">
        <v>19</v>
      </c>
      <c r="AJ181" s="76">
        <v>4127</v>
      </c>
      <c r="AK181" s="76">
        <v>327</v>
      </c>
      <c r="AL181" s="76" t="b">
        <v>0</v>
      </c>
      <c r="AM181" s="78">
        <v>42043.178020833337</v>
      </c>
      <c r="AN181" s="76" t="s">
        <v>17462</v>
      </c>
      <c r="AO181" s="76"/>
      <c r="AP181" s="83" t="str">
        <f>HYPERLINK("https://t.co/dGbioNkl6R")</f>
        <v>https://t.co/dGbioNkl6R</v>
      </c>
      <c r="AQ181" s="83" t="str">
        <f>HYPERLINK("http://www.portaldeprefeitura.com.br")</f>
        <v>http://www.portaldeprefeitura.com.br</v>
      </c>
      <c r="AR181" s="76" t="s">
        <v>18344</v>
      </c>
      <c r="AS181" s="76"/>
      <c r="AT181" s="76"/>
      <c r="AU181" s="76"/>
      <c r="AV181" s="76"/>
      <c r="AW181" s="83" t="str">
        <f>HYPERLINK("https://t.co/dGbioNkl6R")</f>
        <v>https://t.co/dGbioNkl6R</v>
      </c>
      <c r="AX181" s="76" t="b">
        <v>0</v>
      </c>
      <c r="AY181" s="76"/>
      <c r="AZ181" s="76"/>
      <c r="BA181" s="76" t="b">
        <v>1</v>
      </c>
      <c r="BB181" s="76" t="b">
        <v>1</v>
      </c>
      <c r="BC181" s="76" t="b">
        <v>0</v>
      </c>
      <c r="BD181" s="76" t="b">
        <v>0</v>
      </c>
      <c r="BE181" s="76" t="b">
        <v>0</v>
      </c>
      <c r="BF181" s="76" t="b">
        <v>0</v>
      </c>
      <c r="BG181" s="76" t="b">
        <v>0</v>
      </c>
      <c r="BH181" s="83" t="str">
        <f>HYPERLINK("https://pbs.twimg.com/profile_banners/3024436931/1612471717")</f>
        <v>https://pbs.twimg.com/profile_banners/3024436931/1612471717</v>
      </c>
      <c r="BI181" s="76"/>
      <c r="BJ181" s="76" t="s">
        <v>18704</v>
      </c>
      <c r="BK181" s="76" t="b">
        <v>0</v>
      </c>
      <c r="BL181" s="76"/>
      <c r="BM181" s="76" t="s">
        <v>66</v>
      </c>
      <c r="BN181" s="76" t="s">
        <v>18706</v>
      </c>
      <c r="BO181" s="83" t="str">
        <f>HYPERLINK("https://twitter.com/p_prefeitura")</f>
        <v>https://twitter.com/p_prefeitura</v>
      </c>
      <c r="BP181" s="2"/>
    </row>
    <row r="182" spans="1:68" x14ac:dyDescent="0.25">
      <c r="A182" s="62" t="s">
        <v>365</v>
      </c>
      <c r="B182" s="63"/>
      <c r="C182" s="63"/>
      <c r="D182" s="64"/>
      <c r="E182" s="66"/>
      <c r="F182" s="102" t="str">
        <f>HYPERLINK("https://pbs.twimg.com/profile_images/1108213685779075072/jtUVACRX_normal.jpg")</f>
        <v>https://pbs.twimg.com/profile_images/1108213685779075072/jtUVACRX_normal.jpg</v>
      </c>
      <c r="G182" s="63"/>
      <c r="H182" s="67"/>
      <c r="I182" s="68"/>
      <c r="J182" s="68"/>
      <c r="K182" s="67" t="s">
        <v>18885</v>
      </c>
      <c r="L182" s="71"/>
      <c r="M182" s="72"/>
      <c r="N182" s="72"/>
      <c r="O182" s="73"/>
      <c r="P182" s="74"/>
      <c r="Q182" s="74"/>
      <c r="R182" s="86"/>
      <c r="S182" s="86"/>
      <c r="T182" s="86"/>
      <c r="U182" s="86"/>
      <c r="V182" s="48"/>
      <c r="W182" s="48"/>
      <c r="X182" s="48"/>
      <c r="Y182" s="48"/>
      <c r="Z182" s="47"/>
      <c r="AA182" s="69">
        <v>182</v>
      </c>
      <c r="AB182" s="69"/>
      <c r="AC182" s="70"/>
      <c r="AD182" s="76" t="s">
        <v>16612</v>
      </c>
      <c r="AE182" s="81" t="s">
        <v>16186</v>
      </c>
      <c r="AF182" s="76">
        <v>47</v>
      </c>
      <c r="AG182" s="76">
        <v>95</v>
      </c>
      <c r="AH182" s="76">
        <v>126</v>
      </c>
      <c r="AI182" s="76">
        <v>0</v>
      </c>
      <c r="AJ182" s="76">
        <v>39</v>
      </c>
      <c r="AK182" s="76">
        <v>2</v>
      </c>
      <c r="AL182" s="76" t="b">
        <v>0</v>
      </c>
      <c r="AM182" s="78">
        <v>43544.157361111109</v>
      </c>
      <c r="AN182" s="76" t="s">
        <v>17415</v>
      </c>
      <c r="AO182" s="76" t="s">
        <v>17807</v>
      </c>
      <c r="AP182" s="83" t="str">
        <f>HYPERLINK("https://t.co/RKpnQDb6Ji")</f>
        <v>https://t.co/RKpnQDb6Ji</v>
      </c>
      <c r="AQ182" s="83" t="str">
        <f>HYPERLINK("https://thinkonomics.com")</f>
        <v>https://thinkonomics.com</v>
      </c>
      <c r="AR182" s="76" t="s">
        <v>6500</v>
      </c>
      <c r="AS182" s="76"/>
      <c r="AT182" s="76"/>
      <c r="AU182" s="76"/>
      <c r="AV182" s="76"/>
      <c r="AW182" s="83" t="str">
        <f>HYPERLINK("https://t.co/RKpnQDb6Ji")</f>
        <v>https://t.co/RKpnQDb6Ji</v>
      </c>
      <c r="AX182" s="76" t="b">
        <v>0</v>
      </c>
      <c r="AY182" s="76"/>
      <c r="AZ182" s="76"/>
      <c r="BA182" s="76" t="b">
        <v>0</v>
      </c>
      <c r="BB182" s="76" t="b">
        <v>1</v>
      </c>
      <c r="BC182" s="76" t="b">
        <v>0</v>
      </c>
      <c r="BD182" s="76" t="b">
        <v>0</v>
      </c>
      <c r="BE182" s="76" t="b">
        <v>0</v>
      </c>
      <c r="BF182" s="76" t="b">
        <v>0</v>
      </c>
      <c r="BG182" s="76" t="b">
        <v>0</v>
      </c>
      <c r="BH182" s="83" t="str">
        <f>HYPERLINK("https://pbs.twimg.com/profile_banners/1108213223898185728/1590634792")</f>
        <v>https://pbs.twimg.com/profile_banners/1108213223898185728/1590634792</v>
      </c>
      <c r="BI182" s="76"/>
      <c r="BJ182" s="76" t="s">
        <v>18704</v>
      </c>
      <c r="BK182" s="76" t="b">
        <v>0</v>
      </c>
      <c r="BL182" s="76"/>
      <c r="BM182" s="76" t="s">
        <v>66</v>
      </c>
      <c r="BN182" s="76" t="s">
        <v>18706</v>
      </c>
      <c r="BO182" s="83" t="str">
        <f>HYPERLINK("https://twitter.com/thinkonomics")</f>
        <v>https://twitter.com/thinkonomics</v>
      </c>
      <c r="BP182" s="2"/>
    </row>
    <row r="183" spans="1:68" x14ac:dyDescent="0.25">
      <c r="A183" s="62" t="s">
        <v>769</v>
      </c>
      <c r="B183" s="63"/>
      <c r="C183" s="63"/>
      <c r="D183" s="64"/>
      <c r="E183" s="66"/>
      <c r="F183" s="102" t="str">
        <f>HYPERLINK("https://pbs.twimg.com/profile_images/1675870182856613889/u0O4wJZ3_normal.jpg")</f>
        <v>https://pbs.twimg.com/profile_images/1675870182856613889/u0O4wJZ3_normal.jpg</v>
      </c>
      <c r="G183" s="63"/>
      <c r="H183" s="67"/>
      <c r="I183" s="68"/>
      <c r="J183" s="68"/>
      <c r="K183" s="67" t="s">
        <v>18886</v>
      </c>
      <c r="L183" s="71"/>
      <c r="M183" s="72"/>
      <c r="N183" s="72"/>
      <c r="O183" s="73"/>
      <c r="P183" s="74"/>
      <c r="Q183" s="74"/>
      <c r="R183" s="86"/>
      <c r="S183" s="86"/>
      <c r="T183" s="86"/>
      <c r="U183" s="86"/>
      <c r="V183" s="48"/>
      <c r="W183" s="48"/>
      <c r="X183" s="48"/>
      <c r="Y183" s="48"/>
      <c r="Z183" s="47"/>
      <c r="AA183" s="69">
        <v>183</v>
      </c>
      <c r="AB183" s="69"/>
      <c r="AC183" s="70"/>
      <c r="AD183" s="76" t="s">
        <v>16613</v>
      </c>
      <c r="AE183" s="81" t="s">
        <v>17172</v>
      </c>
      <c r="AF183" s="76">
        <v>137381</v>
      </c>
      <c r="AG183" s="76">
        <v>3471</v>
      </c>
      <c r="AH183" s="76">
        <v>23239</v>
      </c>
      <c r="AI183" s="76">
        <v>1485</v>
      </c>
      <c r="AJ183" s="76">
        <v>124</v>
      </c>
      <c r="AK183" s="76">
        <v>11484</v>
      </c>
      <c r="AL183" s="76" t="b">
        <v>0</v>
      </c>
      <c r="AM183" s="78">
        <v>40019.401018518518</v>
      </c>
      <c r="AN183" s="76" t="s">
        <v>17463</v>
      </c>
      <c r="AO183" s="76" t="s">
        <v>17808</v>
      </c>
      <c r="AP183" s="83" t="str">
        <f>HYPERLINK("https://t.co/71PVgXeLbT")</f>
        <v>https://t.co/71PVgXeLbT</v>
      </c>
      <c r="AQ183" s="83" t="str">
        <f>HYPERLINK("http://www.fitchratings.com")</f>
        <v>http://www.fitchratings.com</v>
      </c>
      <c r="AR183" s="76" t="s">
        <v>18345</v>
      </c>
      <c r="AS183" s="76"/>
      <c r="AT183" s="76"/>
      <c r="AU183" s="76"/>
      <c r="AV183" s="76"/>
      <c r="AW183" s="83" t="str">
        <f>HYPERLINK("https://t.co/71PVgXeLbT")</f>
        <v>https://t.co/71PVgXeLbT</v>
      </c>
      <c r="AX183" s="76" t="b">
        <v>0</v>
      </c>
      <c r="AY183" s="76"/>
      <c r="AZ183" s="76"/>
      <c r="BA183" s="76" t="b">
        <v>0</v>
      </c>
      <c r="BB183" s="76" t="b">
        <v>0</v>
      </c>
      <c r="BC183" s="76" t="b">
        <v>0</v>
      </c>
      <c r="BD183" s="76" t="b">
        <v>0</v>
      </c>
      <c r="BE183" s="76" t="b">
        <v>1</v>
      </c>
      <c r="BF183" s="76" t="b">
        <v>0</v>
      </c>
      <c r="BG183" s="76" t="b">
        <v>0</v>
      </c>
      <c r="BH183" s="83" t="str">
        <f>HYPERLINK("https://pbs.twimg.com/profile_banners/60024268/1568924750")</f>
        <v>https://pbs.twimg.com/profile_banners/60024268/1568924750</v>
      </c>
      <c r="BI183" s="76"/>
      <c r="BJ183" s="76" t="s">
        <v>18705</v>
      </c>
      <c r="BK183" s="76" t="b">
        <v>0</v>
      </c>
      <c r="BL183" s="76"/>
      <c r="BM183" s="76" t="s">
        <v>65</v>
      </c>
      <c r="BN183" s="76" t="s">
        <v>18706</v>
      </c>
      <c r="BO183" s="83" t="str">
        <f>HYPERLINK("https://twitter.com/fitchratings")</f>
        <v>https://twitter.com/fitchratings</v>
      </c>
      <c r="BP183" s="2"/>
    </row>
    <row r="184" spans="1:68" x14ac:dyDescent="0.25">
      <c r="A184" s="62" t="s">
        <v>366</v>
      </c>
      <c r="B184" s="63"/>
      <c r="C184" s="63"/>
      <c r="D184" s="64"/>
      <c r="E184" s="66"/>
      <c r="F184" s="102" t="str">
        <f>HYPERLINK("https://pbs.twimg.com/profile_images/1293997332942532608/5U_C7vbO_normal.jpg")</f>
        <v>https://pbs.twimg.com/profile_images/1293997332942532608/5U_C7vbO_normal.jpg</v>
      </c>
      <c r="G184" s="63"/>
      <c r="H184" s="67"/>
      <c r="I184" s="68"/>
      <c r="J184" s="68"/>
      <c r="K184" s="67" t="s">
        <v>18887</v>
      </c>
      <c r="L184" s="71"/>
      <c r="M184" s="72"/>
      <c r="N184" s="72"/>
      <c r="O184" s="73"/>
      <c r="P184" s="74"/>
      <c r="Q184" s="74"/>
      <c r="R184" s="86"/>
      <c r="S184" s="86"/>
      <c r="T184" s="86"/>
      <c r="U184" s="86"/>
      <c r="V184" s="48"/>
      <c r="W184" s="48"/>
      <c r="X184" s="48"/>
      <c r="Y184" s="48"/>
      <c r="Z184" s="47"/>
      <c r="AA184" s="69">
        <v>184</v>
      </c>
      <c r="AB184" s="69"/>
      <c r="AC184" s="70"/>
      <c r="AD184" s="76" t="s">
        <v>16614</v>
      </c>
      <c r="AE184" s="81" t="s">
        <v>16187</v>
      </c>
      <c r="AF184" s="76">
        <v>2</v>
      </c>
      <c r="AG184" s="76">
        <v>1</v>
      </c>
      <c r="AH184" s="76">
        <v>22</v>
      </c>
      <c r="AI184" s="76">
        <v>0</v>
      </c>
      <c r="AJ184" s="76">
        <v>0</v>
      </c>
      <c r="AK184" s="76">
        <v>22</v>
      </c>
      <c r="AL184" s="76" t="b">
        <v>0</v>
      </c>
      <c r="AM184" s="78">
        <v>44047.673391203702</v>
      </c>
      <c r="AN184" s="76"/>
      <c r="AO184" s="76" t="s">
        <v>17809</v>
      </c>
      <c r="AP184" s="76"/>
      <c r="AQ184" s="76"/>
      <c r="AR184" s="76"/>
      <c r="AS184" s="76"/>
      <c r="AT184" s="76"/>
      <c r="AU184" s="76"/>
      <c r="AV184" s="76"/>
      <c r="AW184" s="76"/>
      <c r="AX184" s="76" t="b">
        <v>0</v>
      </c>
      <c r="AY184" s="76"/>
      <c r="AZ184" s="76"/>
      <c r="BA184" s="76" t="b">
        <v>0</v>
      </c>
      <c r="BB184" s="76" t="b">
        <v>1</v>
      </c>
      <c r="BC184" s="76" t="b">
        <v>1</v>
      </c>
      <c r="BD184" s="76" t="b">
        <v>0</v>
      </c>
      <c r="BE184" s="76" t="b">
        <v>0</v>
      </c>
      <c r="BF184" s="76" t="b">
        <v>0</v>
      </c>
      <c r="BG184" s="76" t="b">
        <v>0</v>
      </c>
      <c r="BH184" s="83" t="str">
        <f>HYPERLINK("https://pbs.twimg.com/profile_banners/1290681284201717763/1597348390")</f>
        <v>https://pbs.twimg.com/profile_banners/1290681284201717763/1597348390</v>
      </c>
      <c r="BI184" s="76"/>
      <c r="BJ184" s="76" t="s">
        <v>18704</v>
      </c>
      <c r="BK184" s="76" t="b">
        <v>0</v>
      </c>
      <c r="BL184" s="76"/>
      <c r="BM184" s="76" t="s">
        <v>66</v>
      </c>
      <c r="BN184" s="76" t="s">
        <v>18706</v>
      </c>
      <c r="BO184" s="83" t="str">
        <f>HYPERLINK("https://twitter.com/businessd4")</f>
        <v>https://twitter.com/businessd4</v>
      </c>
      <c r="BP184" s="2"/>
    </row>
    <row r="185" spans="1:68" x14ac:dyDescent="0.25">
      <c r="A185" s="62" t="s">
        <v>367</v>
      </c>
      <c r="B185" s="63"/>
      <c r="C185" s="63"/>
      <c r="D185" s="64"/>
      <c r="E185" s="66"/>
      <c r="F185" s="102" t="str">
        <f>HYPERLINK("https://pbs.twimg.com/profile_images/1703461645194756096/5gttMUFX_normal.jpg")</f>
        <v>https://pbs.twimg.com/profile_images/1703461645194756096/5gttMUFX_normal.jpg</v>
      </c>
      <c r="G185" s="63"/>
      <c r="H185" s="67"/>
      <c r="I185" s="68"/>
      <c r="J185" s="68"/>
      <c r="K185" s="67" t="s">
        <v>18888</v>
      </c>
      <c r="L185" s="71"/>
      <c r="M185" s="72"/>
      <c r="N185" s="72"/>
      <c r="O185" s="73"/>
      <c r="P185" s="74"/>
      <c r="Q185" s="74"/>
      <c r="R185" s="86"/>
      <c r="S185" s="86"/>
      <c r="T185" s="86"/>
      <c r="U185" s="86"/>
      <c r="V185" s="48"/>
      <c r="W185" s="48"/>
      <c r="X185" s="48"/>
      <c r="Y185" s="48"/>
      <c r="Z185" s="47"/>
      <c r="AA185" s="69">
        <v>185</v>
      </c>
      <c r="AB185" s="69"/>
      <c r="AC185" s="70"/>
      <c r="AD185" s="76" t="s">
        <v>16615</v>
      </c>
      <c r="AE185" s="81" t="s">
        <v>16188</v>
      </c>
      <c r="AF185" s="76">
        <v>754</v>
      </c>
      <c r="AG185" s="76">
        <v>644</v>
      </c>
      <c r="AH185" s="76">
        <v>6895</v>
      </c>
      <c r="AI185" s="76">
        <v>3</v>
      </c>
      <c r="AJ185" s="76">
        <v>9015</v>
      </c>
      <c r="AK185" s="76">
        <v>2314</v>
      </c>
      <c r="AL185" s="76" t="b">
        <v>0</v>
      </c>
      <c r="AM185" s="78">
        <v>45000.974050925928</v>
      </c>
      <c r="AN185" s="76" t="s">
        <v>17464</v>
      </c>
      <c r="AO185" s="76" t="s">
        <v>17810</v>
      </c>
      <c r="AP185" s="83" t="str">
        <f>HYPERLINK("https://t.co/TrM9eNirOB")</f>
        <v>https://t.co/TrM9eNirOB</v>
      </c>
      <c r="AQ185" s="83" t="str">
        <f>HYPERLINK("https://youtube.com/@ElenaDeLiberalMENTE?si=IIzOUS8Qdl-uVP57")</f>
        <v>https://youtube.com/@ElenaDeLiberalMENTE?si=IIzOUS8Qdl-uVP57</v>
      </c>
      <c r="AR185" s="76" t="s">
        <v>18346</v>
      </c>
      <c r="AS185" s="76"/>
      <c r="AT185" s="76"/>
      <c r="AU185" s="76"/>
      <c r="AV185" s="76">
        <v>1.65680856843837E+18</v>
      </c>
      <c r="AW185" s="83" t="str">
        <f>HYPERLINK("https://t.co/TrM9eNirOB")</f>
        <v>https://t.co/TrM9eNirOB</v>
      </c>
      <c r="AX185" s="76" t="b">
        <v>0</v>
      </c>
      <c r="AY185" s="76"/>
      <c r="AZ185" s="76"/>
      <c r="BA185" s="76" t="b">
        <v>0</v>
      </c>
      <c r="BB185" s="76" t="b">
        <v>1</v>
      </c>
      <c r="BC185" s="76" t="b">
        <v>1</v>
      </c>
      <c r="BD185" s="76" t="b">
        <v>0</v>
      </c>
      <c r="BE185" s="76" t="b">
        <v>1</v>
      </c>
      <c r="BF185" s="76" t="b">
        <v>0</v>
      </c>
      <c r="BG185" s="76" t="b">
        <v>0</v>
      </c>
      <c r="BH185" s="83" t="str">
        <f>HYPERLINK("https://pbs.twimg.com/profile_banners/1636145829453914120/1688745099")</f>
        <v>https://pbs.twimg.com/profile_banners/1636145829453914120/1688745099</v>
      </c>
      <c r="BI185" s="76"/>
      <c r="BJ185" s="76" t="s">
        <v>18704</v>
      </c>
      <c r="BK185" s="76" t="b">
        <v>0</v>
      </c>
      <c r="BL185" s="76"/>
      <c r="BM185" s="76" t="s">
        <v>66</v>
      </c>
      <c r="BN185" s="76" t="s">
        <v>18706</v>
      </c>
      <c r="BO185" s="83" t="str">
        <f>HYPERLINK("https://twitter.com/elenaliberal")</f>
        <v>https://twitter.com/elenaliberal</v>
      </c>
      <c r="BP185" s="2"/>
    </row>
    <row r="186" spans="1:68" x14ac:dyDescent="0.25">
      <c r="A186" s="62" t="s">
        <v>770</v>
      </c>
      <c r="B186" s="63"/>
      <c r="C186" s="63"/>
      <c r="D186" s="64"/>
      <c r="E186" s="66"/>
      <c r="F186" s="102" t="str">
        <f>HYPERLINK("https://pbs.twimg.com/profile_images/1543296608745422851/jMjq-ExP_normal.jpg")</f>
        <v>https://pbs.twimg.com/profile_images/1543296608745422851/jMjq-ExP_normal.jpg</v>
      </c>
      <c r="G186" s="63"/>
      <c r="H186" s="67"/>
      <c r="I186" s="68"/>
      <c r="J186" s="68"/>
      <c r="K186" s="67" t="s">
        <v>18889</v>
      </c>
      <c r="L186" s="71"/>
      <c r="M186" s="72"/>
      <c r="N186" s="72"/>
      <c r="O186" s="73"/>
      <c r="P186" s="74"/>
      <c r="Q186" s="74"/>
      <c r="R186" s="86"/>
      <c r="S186" s="86"/>
      <c r="T186" s="86"/>
      <c r="U186" s="86"/>
      <c r="V186" s="48"/>
      <c r="W186" s="48"/>
      <c r="X186" s="48"/>
      <c r="Y186" s="48"/>
      <c r="Z186" s="47"/>
      <c r="AA186" s="69">
        <v>186</v>
      </c>
      <c r="AB186" s="69"/>
      <c r="AC186" s="70"/>
      <c r="AD186" s="76" t="s">
        <v>16616</v>
      </c>
      <c r="AE186" s="81" t="s">
        <v>17173</v>
      </c>
      <c r="AF186" s="76">
        <v>9994</v>
      </c>
      <c r="AG186" s="76">
        <v>881</v>
      </c>
      <c r="AH186" s="76">
        <v>2977</v>
      </c>
      <c r="AI186" s="76">
        <v>10</v>
      </c>
      <c r="AJ186" s="76">
        <v>3247</v>
      </c>
      <c r="AK186" s="76">
        <v>648</v>
      </c>
      <c r="AL186" s="76" t="b">
        <v>0</v>
      </c>
      <c r="AM186" s="78">
        <v>40456.23946759259</v>
      </c>
      <c r="AN186" s="76" t="s">
        <v>17465</v>
      </c>
      <c r="AO186" s="76" t="s">
        <v>17811</v>
      </c>
      <c r="AP186" s="83" t="str">
        <f>HYPERLINK("https://t.co/4NypO097aV")</f>
        <v>https://t.co/4NypO097aV</v>
      </c>
      <c r="AQ186" s="83" t="str">
        <f>HYPERLINK("https://linktr.ee/darekmacpherson")</f>
        <v>https://linktr.ee/darekmacpherson</v>
      </c>
      <c r="AR186" s="76" t="s">
        <v>18347</v>
      </c>
      <c r="AS186" s="76"/>
      <c r="AT186" s="76"/>
      <c r="AU186" s="76"/>
      <c r="AV186" s="76">
        <v>1.6503519352231401E+18</v>
      </c>
      <c r="AW186" s="83" t="str">
        <f>HYPERLINK("https://t.co/4NypO097aV")</f>
        <v>https://t.co/4NypO097aV</v>
      </c>
      <c r="AX186" s="76" t="b">
        <v>0</v>
      </c>
      <c r="AY186" s="76"/>
      <c r="AZ186" s="76"/>
      <c r="BA186" s="76" t="b">
        <v>0</v>
      </c>
      <c r="BB186" s="76" t="b">
        <v>0</v>
      </c>
      <c r="BC186" s="76" t="b">
        <v>0</v>
      </c>
      <c r="BD186" s="76" t="b">
        <v>0</v>
      </c>
      <c r="BE186" s="76" t="b">
        <v>1</v>
      </c>
      <c r="BF186" s="76" t="b">
        <v>0</v>
      </c>
      <c r="BG186" s="76" t="b">
        <v>0</v>
      </c>
      <c r="BH186" s="83" t="str">
        <f>HYPERLINK("https://pbs.twimg.com/profile_banners/198770256/1626424265")</f>
        <v>https://pbs.twimg.com/profile_banners/198770256/1626424265</v>
      </c>
      <c r="BI186" s="76"/>
      <c r="BJ186" s="76" t="s">
        <v>18704</v>
      </c>
      <c r="BK186" s="76" t="b">
        <v>0</v>
      </c>
      <c r="BL186" s="76"/>
      <c r="BM186" s="76" t="s">
        <v>65</v>
      </c>
      <c r="BN186" s="76" t="s">
        <v>18706</v>
      </c>
      <c r="BO186" s="83" t="str">
        <f>HYPERLINK("https://twitter.com/darekmacpherson")</f>
        <v>https://twitter.com/darekmacpherson</v>
      </c>
      <c r="BP186" s="2"/>
    </row>
    <row r="187" spans="1:68" x14ac:dyDescent="0.25">
      <c r="A187" s="62" t="s">
        <v>771</v>
      </c>
      <c r="B187" s="63"/>
      <c r="C187" s="63"/>
      <c r="D187" s="64"/>
      <c r="E187" s="66"/>
      <c r="F187" s="102" t="str">
        <f>HYPERLINK("https://pbs.twimg.com/profile_images/1355008415198810114/_-5lrNUm_normal.jpg")</f>
        <v>https://pbs.twimg.com/profile_images/1355008415198810114/_-5lrNUm_normal.jpg</v>
      </c>
      <c r="G187" s="63"/>
      <c r="H187" s="67"/>
      <c r="I187" s="68"/>
      <c r="J187" s="68"/>
      <c r="K187" s="67" t="s">
        <v>18890</v>
      </c>
      <c r="L187" s="71"/>
      <c r="M187" s="72"/>
      <c r="N187" s="72"/>
      <c r="O187" s="73"/>
      <c r="P187" s="74"/>
      <c r="Q187" s="74"/>
      <c r="R187" s="86"/>
      <c r="S187" s="86"/>
      <c r="T187" s="86"/>
      <c r="U187" s="86"/>
      <c r="V187" s="48"/>
      <c r="W187" s="48"/>
      <c r="X187" s="48"/>
      <c r="Y187" s="48"/>
      <c r="Z187" s="47"/>
      <c r="AA187" s="69">
        <v>187</v>
      </c>
      <c r="AB187" s="69"/>
      <c r="AC187" s="70"/>
      <c r="AD187" s="76" t="s">
        <v>771</v>
      </c>
      <c r="AE187" s="81" t="s">
        <v>15926</v>
      </c>
      <c r="AF187" s="76">
        <v>3</v>
      </c>
      <c r="AG187" s="76">
        <v>34</v>
      </c>
      <c r="AH187" s="76">
        <v>12</v>
      </c>
      <c r="AI187" s="76">
        <v>0</v>
      </c>
      <c r="AJ187" s="76">
        <v>1</v>
      </c>
      <c r="AK187" s="76">
        <v>7</v>
      </c>
      <c r="AL187" s="76" t="b">
        <v>0</v>
      </c>
      <c r="AM187" s="78">
        <v>44225.178738425922</v>
      </c>
      <c r="AN187" s="76"/>
      <c r="AO187" s="76" t="s">
        <v>17812</v>
      </c>
      <c r="AP187" s="76"/>
      <c r="AQ187" s="76"/>
      <c r="AR187" s="76"/>
      <c r="AS187" s="76"/>
      <c r="AT187" s="76"/>
      <c r="AU187" s="76"/>
      <c r="AV187" s="76"/>
      <c r="AW187" s="76"/>
      <c r="AX187" s="76" t="b">
        <v>0</v>
      </c>
      <c r="AY187" s="76"/>
      <c r="AZ187" s="76"/>
      <c r="BA187" s="76" t="b">
        <v>0</v>
      </c>
      <c r="BB187" s="76" t="b">
        <v>1</v>
      </c>
      <c r="BC187" s="76" t="b">
        <v>1</v>
      </c>
      <c r="BD187" s="76" t="b">
        <v>0</v>
      </c>
      <c r="BE187" s="76" t="b">
        <v>0</v>
      </c>
      <c r="BF187" s="76" t="b">
        <v>0</v>
      </c>
      <c r="BG187" s="76" t="b">
        <v>0</v>
      </c>
      <c r="BH187" s="76"/>
      <c r="BI187" s="76"/>
      <c r="BJ187" s="76" t="s">
        <v>18704</v>
      </c>
      <c r="BK187" s="76" t="b">
        <v>0</v>
      </c>
      <c r="BL187" s="76"/>
      <c r="BM187" s="76" t="s">
        <v>65</v>
      </c>
      <c r="BN187" s="76" t="s">
        <v>18706</v>
      </c>
      <c r="BO187" s="83" t="str">
        <f>HYPERLINK("https://twitter.com/lagacetachile")</f>
        <v>https://twitter.com/lagacetachile</v>
      </c>
      <c r="BP187" s="2"/>
    </row>
    <row r="188" spans="1:68" x14ac:dyDescent="0.25">
      <c r="A188" s="62" t="s">
        <v>368</v>
      </c>
      <c r="B188" s="63"/>
      <c r="C188" s="63"/>
      <c r="D188" s="64"/>
      <c r="E188" s="66"/>
      <c r="F188" s="102" t="str">
        <f>HYPERLINK("https://pbs.twimg.com/profile_images/1550999438952464384/tFhqdbVs_normal.jpg")</f>
        <v>https://pbs.twimg.com/profile_images/1550999438952464384/tFhqdbVs_normal.jpg</v>
      </c>
      <c r="G188" s="63"/>
      <c r="H188" s="67"/>
      <c r="I188" s="68"/>
      <c r="J188" s="68"/>
      <c r="K188" s="67" t="s">
        <v>18891</v>
      </c>
      <c r="L188" s="71"/>
      <c r="M188" s="72"/>
      <c r="N188" s="72"/>
      <c r="O188" s="73"/>
      <c r="P188" s="74"/>
      <c r="Q188" s="74"/>
      <c r="R188" s="86"/>
      <c r="S188" s="86"/>
      <c r="T188" s="86"/>
      <c r="U188" s="86"/>
      <c r="V188" s="48"/>
      <c r="W188" s="48"/>
      <c r="X188" s="48"/>
      <c r="Y188" s="48"/>
      <c r="Z188" s="47"/>
      <c r="AA188" s="69">
        <v>188</v>
      </c>
      <c r="AB188" s="69"/>
      <c r="AC188" s="70"/>
      <c r="AD188" s="76" t="s">
        <v>16617</v>
      </c>
      <c r="AE188" s="81" t="s">
        <v>16189</v>
      </c>
      <c r="AF188" s="76">
        <v>23</v>
      </c>
      <c r="AG188" s="76">
        <v>350</v>
      </c>
      <c r="AH188" s="76">
        <v>205</v>
      </c>
      <c r="AI188" s="76">
        <v>0</v>
      </c>
      <c r="AJ188" s="76">
        <v>3133</v>
      </c>
      <c r="AK188" s="76">
        <v>6</v>
      </c>
      <c r="AL188" s="76" t="b">
        <v>0</v>
      </c>
      <c r="AM188" s="78">
        <v>44607.163541666669</v>
      </c>
      <c r="AN188" s="76" t="s">
        <v>10607</v>
      </c>
      <c r="AO188" s="76" t="s">
        <v>17813</v>
      </c>
      <c r="AP188" s="76"/>
      <c r="AQ188" s="76"/>
      <c r="AR188" s="76"/>
      <c r="AS188" s="76"/>
      <c r="AT188" s="76"/>
      <c r="AU188" s="76"/>
      <c r="AV188" s="76"/>
      <c r="AW188" s="76"/>
      <c r="AX188" s="76" t="b">
        <v>0</v>
      </c>
      <c r="AY188" s="76"/>
      <c r="AZ188" s="76"/>
      <c r="BA188" s="76" t="b">
        <v>1</v>
      </c>
      <c r="BB188" s="76" t="b">
        <v>1</v>
      </c>
      <c r="BC188" s="76" t="b">
        <v>1</v>
      </c>
      <c r="BD188" s="76" t="b">
        <v>0</v>
      </c>
      <c r="BE188" s="76" t="b">
        <v>1</v>
      </c>
      <c r="BF188" s="76" t="b">
        <v>0</v>
      </c>
      <c r="BG188" s="76" t="b">
        <v>0</v>
      </c>
      <c r="BH188" s="83" t="str">
        <f>HYPERLINK("https://pbs.twimg.com/profile_banners/1493433552196808704/1694741167")</f>
        <v>https://pbs.twimg.com/profile_banners/1493433552196808704/1694741167</v>
      </c>
      <c r="BI188" s="76"/>
      <c r="BJ188" s="76" t="s">
        <v>18704</v>
      </c>
      <c r="BK188" s="76" t="b">
        <v>0</v>
      </c>
      <c r="BL188" s="76"/>
      <c r="BM188" s="76" t="s">
        <v>66</v>
      </c>
      <c r="BN188" s="76" t="s">
        <v>18706</v>
      </c>
      <c r="BO188" s="83" t="str">
        <f>HYPERLINK("https://twitter.com/financialstream")</f>
        <v>https://twitter.com/financialstream</v>
      </c>
      <c r="BP188" s="2"/>
    </row>
    <row r="189" spans="1:68" x14ac:dyDescent="0.25">
      <c r="A189" s="62" t="s">
        <v>369</v>
      </c>
      <c r="B189" s="63"/>
      <c r="C189" s="63"/>
      <c r="D189" s="64"/>
      <c r="E189" s="66"/>
      <c r="F189" s="102" t="str">
        <f>HYPERLINK("https://pbs.twimg.com/profile_images/1581021166751424512/bs_MN8XB_normal.jpg")</f>
        <v>https://pbs.twimg.com/profile_images/1581021166751424512/bs_MN8XB_normal.jpg</v>
      </c>
      <c r="G189" s="63"/>
      <c r="H189" s="67"/>
      <c r="I189" s="68"/>
      <c r="J189" s="68"/>
      <c r="K189" s="67" t="s">
        <v>18892</v>
      </c>
      <c r="L189" s="71"/>
      <c r="M189" s="72"/>
      <c r="N189" s="72"/>
      <c r="O189" s="73"/>
      <c r="P189" s="74"/>
      <c r="Q189" s="74"/>
      <c r="R189" s="86"/>
      <c r="S189" s="86"/>
      <c r="T189" s="86"/>
      <c r="U189" s="86"/>
      <c r="V189" s="48"/>
      <c r="W189" s="48"/>
      <c r="X189" s="48"/>
      <c r="Y189" s="48"/>
      <c r="Z189" s="47"/>
      <c r="AA189" s="69">
        <v>189</v>
      </c>
      <c r="AB189" s="69"/>
      <c r="AC189" s="70"/>
      <c r="AD189" s="76" t="s">
        <v>16618</v>
      </c>
      <c r="AE189" s="81" t="s">
        <v>15927</v>
      </c>
      <c r="AF189" s="76">
        <v>167</v>
      </c>
      <c r="AG189" s="76">
        <v>1254</v>
      </c>
      <c r="AH189" s="76">
        <v>2330</v>
      </c>
      <c r="AI189" s="76">
        <v>5</v>
      </c>
      <c r="AJ189" s="76">
        <v>22849</v>
      </c>
      <c r="AK189" s="76">
        <v>56</v>
      </c>
      <c r="AL189" s="76" t="b">
        <v>0</v>
      </c>
      <c r="AM189" s="78">
        <v>40261.154108796298</v>
      </c>
      <c r="AN189" s="76" t="s">
        <v>17416</v>
      </c>
      <c r="AO189" s="76" t="s">
        <v>17814</v>
      </c>
      <c r="AP189" s="83" t="str">
        <f>HYPERLINK("https://t.co/5DFNVWRluR")</f>
        <v>https://t.co/5DFNVWRluR</v>
      </c>
      <c r="AQ189" s="83" t="str">
        <f>HYPERLINK("https://linktr.ee/antonioblvs")</f>
        <v>https://linktr.ee/antonioblvs</v>
      </c>
      <c r="AR189" s="76" t="s">
        <v>18348</v>
      </c>
      <c r="AS189" s="76"/>
      <c r="AT189" s="76"/>
      <c r="AU189" s="76"/>
      <c r="AV189" s="76">
        <v>1.2497757902517E+18</v>
      </c>
      <c r="AW189" s="83" t="str">
        <f>HYPERLINK("https://t.co/5DFNVWRluR")</f>
        <v>https://t.co/5DFNVWRluR</v>
      </c>
      <c r="AX189" s="76" t="b">
        <v>0</v>
      </c>
      <c r="AY189" s="76"/>
      <c r="AZ189" s="76"/>
      <c r="BA189" s="76" t="b">
        <v>1</v>
      </c>
      <c r="BB189" s="76" t="b">
        <v>0</v>
      </c>
      <c r="BC189" s="76" t="b">
        <v>1</v>
      </c>
      <c r="BD189" s="76" t="b">
        <v>0</v>
      </c>
      <c r="BE189" s="76" t="b">
        <v>1</v>
      </c>
      <c r="BF189" s="76" t="b">
        <v>0</v>
      </c>
      <c r="BG189" s="76" t="b">
        <v>0</v>
      </c>
      <c r="BH189" s="83" t="str">
        <f>HYPERLINK("https://pbs.twimg.com/profile_banners/125870611/1665789417")</f>
        <v>https://pbs.twimg.com/profile_banners/125870611/1665789417</v>
      </c>
      <c r="BI189" s="76"/>
      <c r="BJ189" s="76" t="s">
        <v>18704</v>
      </c>
      <c r="BK189" s="76" t="b">
        <v>0</v>
      </c>
      <c r="BL189" s="76"/>
      <c r="BM189" s="76" t="s">
        <v>66</v>
      </c>
      <c r="BN189" s="76" t="s">
        <v>18706</v>
      </c>
      <c r="BO189" s="83" t="str">
        <f>HYPERLINK("https://twitter.com/antonioblvs")</f>
        <v>https://twitter.com/antonioblvs</v>
      </c>
      <c r="BP189" s="2"/>
    </row>
    <row r="190" spans="1:68" x14ac:dyDescent="0.25">
      <c r="A190" s="62" t="s">
        <v>370</v>
      </c>
      <c r="B190" s="63"/>
      <c r="C190" s="63"/>
      <c r="D190" s="64"/>
      <c r="E190" s="66"/>
      <c r="F190" s="102" t="str">
        <f>HYPERLINK("https://pbs.twimg.com/profile_images/1491426913625198593/FdCpB7C7_normal.jpg")</f>
        <v>https://pbs.twimg.com/profile_images/1491426913625198593/FdCpB7C7_normal.jpg</v>
      </c>
      <c r="G190" s="63"/>
      <c r="H190" s="67"/>
      <c r="I190" s="68"/>
      <c r="J190" s="68"/>
      <c r="K190" s="67" t="s">
        <v>18893</v>
      </c>
      <c r="L190" s="71"/>
      <c r="M190" s="72"/>
      <c r="N190" s="72"/>
      <c r="O190" s="73"/>
      <c r="P190" s="74"/>
      <c r="Q190" s="74"/>
      <c r="R190" s="86"/>
      <c r="S190" s="86"/>
      <c r="T190" s="86"/>
      <c r="U190" s="86"/>
      <c r="V190" s="48"/>
      <c r="W190" s="48"/>
      <c r="X190" s="48"/>
      <c r="Y190" s="48"/>
      <c r="Z190" s="47"/>
      <c r="AA190" s="69">
        <v>190</v>
      </c>
      <c r="AB190" s="69"/>
      <c r="AC190" s="70"/>
      <c r="AD190" s="76" t="s">
        <v>16619</v>
      </c>
      <c r="AE190" s="81" t="s">
        <v>16190</v>
      </c>
      <c r="AF190" s="76">
        <v>470</v>
      </c>
      <c r="AG190" s="76">
        <v>358</v>
      </c>
      <c r="AH190" s="76">
        <v>573</v>
      </c>
      <c r="AI190" s="76">
        <v>11</v>
      </c>
      <c r="AJ190" s="76">
        <v>360</v>
      </c>
      <c r="AK190" s="76">
        <v>81</v>
      </c>
      <c r="AL190" s="76" t="b">
        <v>0</v>
      </c>
      <c r="AM190" s="78">
        <v>44170.637291666666</v>
      </c>
      <c r="AN190" s="76"/>
      <c r="AO190" s="76" t="s">
        <v>17815</v>
      </c>
      <c r="AP190" s="76"/>
      <c r="AQ190" s="76"/>
      <c r="AR190" s="76"/>
      <c r="AS190" s="83" t="str">
        <f>HYPERLINK("https://t.co/z5rl49ftg3")</f>
        <v>https://t.co/z5rl49ftg3</v>
      </c>
      <c r="AT190" s="83" t="str">
        <f>HYPERLINK("https://www.instagram.com/_gustavo.sung/")</f>
        <v>https://www.instagram.com/_gustavo.sung/</v>
      </c>
      <c r="AU190" s="76" t="s">
        <v>18662</v>
      </c>
      <c r="AV190" s="76">
        <v>1.4914350013969999E+18</v>
      </c>
      <c r="AW190" s="76"/>
      <c r="AX190" s="76" t="b">
        <v>0</v>
      </c>
      <c r="AY190" s="76"/>
      <c r="AZ190" s="76"/>
      <c r="BA190" s="76" t="b">
        <v>0</v>
      </c>
      <c r="BB190" s="76" t="b">
        <v>1</v>
      </c>
      <c r="BC190" s="76" t="b">
        <v>1</v>
      </c>
      <c r="BD190" s="76" t="b">
        <v>0</v>
      </c>
      <c r="BE190" s="76" t="b">
        <v>1</v>
      </c>
      <c r="BF190" s="76" t="b">
        <v>0</v>
      </c>
      <c r="BG190" s="76" t="b">
        <v>0</v>
      </c>
      <c r="BH190" s="83" t="str">
        <f>HYPERLINK("https://pbs.twimg.com/profile_banners/1335241908621291522/1612626336")</f>
        <v>https://pbs.twimg.com/profile_banners/1335241908621291522/1612626336</v>
      </c>
      <c r="BI190" s="76"/>
      <c r="BJ190" s="76" t="s">
        <v>18704</v>
      </c>
      <c r="BK190" s="76" t="b">
        <v>0</v>
      </c>
      <c r="BL190" s="76"/>
      <c r="BM190" s="76" t="s">
        <v>66</v>
      </c>
      <c r="BN190" s="76" t="s">
        <v>18706</v>
      </c>
      <c r="BO190" s="83" t="str">
        <f>HYPERLINK("https://twitter.com/sunggustavo")</f>
        <v>https://twitter.com/sunggustavo</v>
      </c>
      <c r="BP190" s="2"/>
    </row>
    <row r="191" spans="1:68" x14ac:dyDescent="0.25">
      <c r="A191" s="62" t="s">
        <v>371</v>
      </c>
      <c r="B191" s="63"/>
      <c r="C191" s="63"/>
      <c r="D191" s="64"/>
      <c r="E191" s="66"/>
      <c r="F191" s="102" t="str">
        <f>HYPERLINK("https://pbs.twimg.com/profile_images/1642491258043072514/Clxoy6WQ_normal.jpg")</f>
        <v>https://pbs.twimg.com/profile_images/1642491258043072514/Clxoy6WQ_normal.jpg</v>
      </c>
      <c r="G191" s="63"/>
      <c r="H191" s="67"/>
      <c r="I191" s="68"/>
      <c r="J191" s="68"/>
      <c r="K191" s="67" t="s">
        <v>18894</v>
      </c>
      <c r="L191" s="71"/>
      <c r="M191" s="72"/>
      <c r="N191" s="72"/>
      <c r="O191" s="73"/>
      <c r="P191" s="74"/>
      <c r="Q191" s="74"/>
      <c r="R191" s="86"/>
      <c r="S191" s="86"/>
      <c r="T191" s="86"/>
      <c r="U191" s="86"/>
      <c r="V191" s="48"/>
      <c r="W191" s="48"/>
      <c r="X191" s="48"/>
      <c r="Y191" s="48"/>
      <c r="Z191" s="47"/>
      <c r="AA191" s="69">
        <v>191</v>
      </c>
      <c r="AB191" s="69"/>
      <c r="AC191" s="70"/>
      <c r="AD191" s="76" t="s">
        <v>16620</v>
      </c>
      <c r="AE191" s="81" t="s">
        <v>16191</v>
      </c>
      <c r="AF191" s="76">
        <v>5</v>
      </c>
      <c r="AG191" s="76">
        <v>59</v>
      </c>
      <c r="AH191" s="76">
        <v>103</v>
      </c>
      <c r="AI191" s="76">
        <v>1</v>
      </c>
      <c r="AJ191" s="76">
        <v>5</v>
      </c>
      <c r="AK191" s="76">
        <v>25</v>
      </c>
      <c r="AL191" s="76" t="b">
        <v>0</v>
      </c>
      <c r="AM191" s="78">
        <v>44422.664467592593</v>
      </c>
      <c r="AN191" s="76" t="s">
        <v>10586</v>
      </c>
      <c r="AO191" s="76" t="s">
        <v>17816</v>
      </c>
      <c r="AP191" s="83" t="str">
        <f>HYPERLINK("https://t.co/tE7iU1wYSo")</f>
        <v>https://t.co/tE7iU1wYSo</v>
      </c>
      <c r="AQ191" s="83" t="str">
        <f>HYPERLINK("https://youtu.be/VUYPKy7pw2I")</f>
        <v>https://youtu.be/VUYPKy7pw2I</v>
      </c>
      <c r="AR191" s="76" t="s">
        <v>18349</v>
      </c>
      <c r="AS191" s="76"/>
      <c r="AT191" s="76"/>
      <c r="AU191" s="76"/>
      <c r="AV191" s="76"/>
      <c r="AW191" s="83" t="str">
        <f>HYPERLINK("https://t.co/tE7iU1wYSo")</f>
        <v>https://t.co/tE7iU1wYSo</v>
      </c>
      <c r="AX191" s="76" t="b">
        <v>0</v>
      </c>
      <c r="AY191" s="76"/>
      <c r="AZ191" s="76"/>
      <c r="BA191" s="76" t="b">
        <v>0</v>
      </c>
      <c r="BB191" s="76" t="b">
        <v>1</v>
      </c>
      <c r="BC191" s="76" t="b">
        <v>1</v>
      </c>
      <c r="BD191" s="76" t="b">
        <v>0</v>
      </c>
      <c r="BE191" s="76" t="b">
        <v>0</v>
      </c>
      <c r="BF191" s="76" t="b">
        <v>0</v>
      </c>
      <c r="BG191" s="76" t="b">
        <v>0</v>
      </c>
      <c r="BH191" s="83" t="str">
        <f>HYPERLINK("https://pbs.twimg.com/profile_banners/1426573407450238978/1642181123")</f>
        <v>https://pbs.twimg.com/profile_banners/1426573407450238978/1642181123</v>
      </c>
      <c r="BI191" s="76"/>
      <c r="BJ191" s="76" t="s">
        <v>18704</v>
      </c>
      <c r="BK191" s="76" t="b">
        <v>0</v>
      </c>
      <c r="BL191" s="76"/>
      <c r="BM191" s="76" t="s">
        <v>66</v>
      </c>
      <c r="BN191" s="76" t="s">
        <v>18706</v>
      </c>
      <c r="BO191" s="83" t="str">
        <f>HYPERLINK("https://twitter.com/mano_investidor")</f>
        <v>https://twitter.com/mano_investidor</v>
      </c>
      <c r="BP191" s="2"/>
    </row>
    <row r="192" spans="1:68" x14ac:dyDescent="0.25">
      <c r="A192" s="62" t="s">
        <v>372</v>
      </c>
      <c r="B192" s="63"/>
      <c r="C192" s="63"/>
      <c r="D192" s="64"/>
      <c r="E192" s="66"/>
      <c r="F192" s="102" t="str">
        <f>HYPERLINK("https://pbs.twimg.com/profile_images/1664002488968654851/YTuvGDIw_normal.jpg")</f>
        <v>https://pbs.twimg.com/profile_images/1664002488968654851/YTuvGDIw_normal.jpg</v>
      </c>
      <c r="G192" s="63"/>
      <c r="H192" s="67"/>
      <c r="I192" s="68"/>
      <c r="J192" s="68"/>
      <c r="K192" s="67" t="s">
        <v>18895</v>
      </c>
      <c r="L192" s="71"/>
      <c r="M192" s="72"/>
      <c r="N192" s="72"/>
      <c r="O192" s="73"/>
      <c r="P192" s="74"/>
      <c r="Q192" s="74"/>
      <c r="R192" s="86"/>
      <c r="S192" s="86"/>
      <c r="T192" s="86"/>
      <c r="U192" s="86"/>
      <c r="V192" s="48"/>
      <c r="W192" s="48"/>
      <c r="X192" s="48"/>
      <c r="Y192" s="48"/>
      <c r="Z192" s="47"/>
      <c r="AA192" s="69">
        <v>192</v>
      </c>
      <c r="AB192" s="69"/>
      <c r="AC192" s="70"/>
      <c r="AD192" s="76" t="s">
        <v>16621</v>
      </c>
      <c r="AE192" s="81" t="s">
        <v>17174</v>
      </c>
      <c r="AF192" s="76">
        <v>1722990</v>
      </c>
      <c r="AG192" s="76">
        <v>22387</v>
      </c>
      <c r="AH192" s="76">
        <v>320181</v>
      </c>
      <c r="AI192" s="76">
        <v>2981</v>
      </c>
      <c r="AJ192" s="76">
        <v>1883</v>
      </c>
      <c r="AK192" s="76">
        <v>217589</v>
      </c>
      <c r="AL192" s="76" t="b">
        <v>0</v>
      </c>
      <c r="AM192" s="78">
        <v>39926.641342592593</v>
      </c>
      <c r="AN192" s="76" t="s">
        <v>17466</v>
      </c>
      <c r="AO192" s="76" t="s">
        <v>17817</v>
      </c>
      <c r="AP192" s="83" t="str">
        <f>HYPERLINK("https://t.co/a2s9k7C1U2")</f>
        <v>https://t.co/a2s9k7C1U2</v>
      </c>
      <c r="AQ192" s="83" t="str">
        <f>HYPERLINK("https://www.diariolibre.com/")</f>
        <v>https://www.diariolibre.com/</v>
      </c>
      <c r="AR192" s="76" t="s">
        <v>18350</v>
      </c>
      <c r="AS192" s="76"/>
      <c r="AT192" s="76"/>
      <c r="AU192" s="76"/>
      <c r="AV192" s="76">
        <v>1.70715748398098E+18</v>
      </c>
      <c r="AW192" s="83" t="str">
        <f>HYPERLINK("https://t.co/a2s9k7C1U2")</f>
        <v>https://t.co/a2s9k7C1U2</v>
      </c>
      <c r="AX192" s="76" t="b">
        <v>1</v>
      </c>
      <c r="AY192" s="76"/>
      <c r="AZ192" s="76"/>
      <c r="BA192" s="76" t="b">
        <v>1</v>
      </c>
      <c r="BB192" s="76" t="b">
        <v>1</v>
      </c>
      <c r="BC192" s="76" t="b">
        <v>1</v>
      </c>
      <c r="BD192" s="76" t="b">
        <v>0</v>
      </c>
      <c r="BE192" s="76" t="b">
        <v>0</v>
      </c>
      <c r="BF192" s="76" t="b">
        <v>0</v>
      </c>
      <c r="BG192" s="76" t="b">
        <v>0</v>
      </c>
      <c r="BH192" s="83" t="str">
        <f>HYPERLINK("https://pbs.twimg.com/profile_banners/34639484/1674828354")</f>
        <v>https://pbs.twimg.com/profile_banners/34639484/1674828354</v>
      </c>
      <c r="BI192" s="76"/>
      <c r="BJ192" s="76" t="s">
        <v>18704</v>
      </c>
      <c r="BK192" s="76" t="b">
        <v>0</v>
      </c>
      <c r="BL192" s="76"/>
      <c r="BM192" s="76" t="s">
        <v>66</v>
      </c>
      <c r="BN192" s="76" t="s">
        <v>18706</v>
      </c>
      <c r="BO192" s="83" t="str">
        <f>HYPERLINK("https://twitter.com/diariolibre")</f>
        <v>https://twitter.com/diariolibre</v>
      </c>
      <c r="BP192" s="2"/>
    </row>
    <row r="193" spans="1:68" x14ac:dyDescent="0.25">
      <c r="A193" s="62" t="s">
        <v>373</v>
      </c>
      <c r="B193" s="63"/>
      <c r="C193" s="63"/>
      <c r="D193" s="64"/>
      <c r="E193" s="66"/>
      <c r="F193" s="102" t="str">
        <f>HYPERLINK("https://pbs.twimg.com/profile_images/1702205733947801601/cFArCRnb_normal.jpg")</f>
        <v>https://pbs.twimg.com/profile_images/1702205733947801601/cFArCRnb_normal.jpg</v>
      </c>
      <c r="G193" s="63"/>
      <c r="H193" s="67"/>
      <c r="I193" s="68"/>
      <c r="J193" s="68"/>
      <c r="K193" s="67" t="s">
        <v>18896</v>
      </c>
      <c r="L193" s="71"/>
      <c r="M193" s="72"/>
      <c r="N193" s="72"/>
      <c r="O193" s="73"/>
      <c r="P193" s="74"/>
      <c r="Q193" s="74"/>
      <c r="R193" s="86"/>
      <c r="S193" s="86"/>
      <c r="T193" s="86"/>
      <c r="U193" s="86"/>
      <c r="V193" s="48"/>
      <c r="W193" s="48"/>
      <c r="X193" s="48"/>
      <c r="Y193" s="48"/>
      <c r="Z193" s="47"/>
      <c r="AA193" s="69">
        <v>193</v>
      </c>
      <c r="AB193" s="69"/>
      <c r="AC193" s="70"/>
      <c r="AD193" s="76" t="s">
        <v>16622</v>
      </c>
      <c r="AE193" s="81" t="s">
        <v>16192</v>
      </c>
      <c r="AF193" s="76">
        <v>0</v>
      </c>
      <c r="AG193" s="76">
        <v>15</v>
      </c>
      <c r="AH193" s="76">
        <v>57</v>
      </c>
      <c r="AI193" s="76">
        <v>0</v>
      </c>
      <c r="AJ193" s="76">
        <v>20</v>
      </c>
      <c r="AK193" s="76">
        <v>27</v>
      </c>
      <c r="AL193" s="76" t="b">
        <v>0</v>
      </c>
      <c r="AM193" s="78">
        <v>44505.050856481481</v>
      </c>
      <c r="AN193" s="76" t="s">
        <v>10570</v>
      </c>
      <c r="AO193" s="76" t="s">
        <v>17818</v>
      </c>
      <c r="AP193" s="83" t="str">
        <f>HYPERLINK("https://t.co/qJ1a7Enbnd")</f>
        <v>https://t.co/qJ1a7Enbnd</v>
      </c>
      <c r="AQ193" s="83" t="str">
        <f>HYPERLINK("https://linkfly.to/ProfissaoMoney")</f>
        <v>https://linkfly.to/ProfissaoMoney</v>
      </c>
      <c r="AR193" s="76" t="s">
        <v>18351</v>
      </c>
      <c r="AS193" s="76"/>
      <c r="AT193" s="76"/>
      <c r="AU193" s="76"/>
      <c r="AV193" s="76"/>
      <c r="AW193" s="83" t="str">
        <f>HYPERLINK("https://t.co/qJ1a7Enbnd")</f>
        <v>https://t.co/qJ1a7Enbnd</v>
      </c>
      <c r="AX193" s="76" t="b">
        <v>0</v>
      </c>
      <c r="AY193" s="76"/>
      <c r="AZ193" s="76"/>
      <c r="BA193" s="76" t="b">
        <v>1</v>
      </c>
      <c r="BB193" s="76" t="b">
        <v>1</v>
      </c>
      <c r="BC193" s="76" t="b">
        <v>1</v>
      </c>
      <c r="BD193" s="76" t="b">
        <v>0</v>
      </c>
      <c r="BE193" s="76" t="b">
        <v>0</v>
      </c>
      <c r="BF193" s="76" t="b">
        <v>0</v>
      </c>
      <c r="BG193" s="76" t="b">
        <v>0</v>
      </c>
      <c r="BH193" s="83" t="str">
        <f>HYPERLINK("https://pbs.twimg.com/profile_banners/1456429251536859145/1679326368")</f>
        <v>https://pbs.twimg.com/profile_banners/1456429251536859145/1679326368</v>
      </c>
      <c r="BI193" s="76"/>
      <c r="BJ193" s="76" t="s">
        <v>18704</v>
      </c>
      <c r="BK193" s="76" t="b">
        <v>0</v>
      </c>
      <c r="BL193" s="76"/>
      <c r="BM193" s="76" t="s">
        <v>66</v>
      </c>
      <c r="BN193" s="76" t="s">
        <v>18706</v>
      </c>
      <c r="BO193" s="83" t="str">
        <f>HYPERLINK("https://twitter.com/infinitgo")</f>
        <v>https://twitter.com/infinitgo</v>
      </c>
      <c r="BP193" s="2"/>
    </row>
    <row r="194" spans="1:68" x14ac:dyDescent="0.25">
      <c r="A194" s="62" t="s">
        <v>374</v>
      </c>
      <c r="B194" s="63"/>
      <c r="C194" s="63"/>
      <c r="D194" s="64"/>
      <c r="E194" s="66"/>
      <c r="F194" s="102" t="str">
        <f>HYPERLINK("https://pbs.twimg.com/profile_images/1598423978082705410/jU-vUeHf_normal.jpg")</f>
        <v>https://pbs.twimg.com/profile_images/1598423978082705410/jU-vUeHf_normal.jpg</v>
      </c>
      <c r="G194" s="63"/>
      <c r="H194" s="67"/>
      <c r="I194" s="68"/>
      <c r="J194" s="68"/>
      <c r="K194" s="67" t="s">
        <v>18897</v>
      </c>
      <c r="L194" s="71"/>
      <c r="M194" s="72"/>
      <c r="N194" s="72"/>
      <c r="O194" s="73"/>
      <c r="P194" s="74"/>
      <c r="Q194" s="74"/>
      <c r="R194" s="86"/>
      <c r="S194" s="86"/>
      <c r="T194" s="86"/>
      <c r="U194" s="86"/>
      <c r="V194" s="48"/>
      <c r="W194" s="48"/>
      <c r="X194" s="48"/>
      <c r="Y194" s="48"/>
      <c r="Z194" s="47"/>
      <c r="AA194" s="69">
        <v>194</v>
      </c>
      <c r="AB194" s="69"/>
      <c r="AC194" s="70"/>
      <c r="AD194" s="76" t="s">
        <v>16623</v>
      </c>
      <c r="AE194" s="81" t="s">
        <v>15928</v>
      </c>
      <c r="AF194" s="76">
        <v>207</v>
      </c>
      <c r="AG194" s="76">
        <v>925</v>
      </c>
      <c r="AH194" s="76">
        <v>4627</v>
      </c>
      <c r="AI194" s="76">
        <v>0</v>
      </c>
      <c r="AJ194" s="76">
        <v>11126</v>
      </c>
      <c r="AK194" s="76">
        <v>494</v>
      </c>
      <c r="AL194" s="76" t="b">
        <v>0</v>
      </c>
      <c r="AM194" s="78">
        <v>43441.077384259261</v>
      </c>
      <c r="AN194" s="76"/>
      <c r="AO194" s="76" t="s">
        <v>17819</v>
      </c>
      <c r="AP194" s="76"/>
      <c r="AQ194" s="76"/>
      <c r="AR194" s="76"/>
      <c r="AS194" s="76"/>
      <c r="AT194" s="76"/>
      <c r="AU194" s="76"/>
      <c r="AV194" s="76">
        <v>1.36359864083775E+18</v>
      </c>
      <c r="AW194" s="76"/>
      <c r="AX194" s="76" t="b">
        <v>0</v>
      </c>
      <c r="AY194" s="76"/>
      <c r="AZ194" s="76"/>
      <c r="BA194" s="76" t="b">
        <v>0</v>
      </c>
      <c r="BB194" s="76" t="b">
        <v>1</v>
      </c>
      <c r="BC194" s="76" t="b">
        <v>0</v>
      </c>
      <c r="BD194" s="76" t="b">
        <v>0</v>
      </c>
      <c r="BE194" s="76" t="b">
        <v>1</v>
      </c>
      <c r="BF194" s="76" t="b">
        <v>0</v>
      </c>
      <c r="BG194" s="76" t="b">
        <v>0</v>
      </c>
      <c r="BH194" s="83" t="str">
        <f>HYPERLINK("https://pbs.twimg.com/profile_banners/1070858287447449601/1619274581")</f>
        <v>https://pbs.twimg.com/profile_banners/1070858287447449601/1619274581</v>
      </c>
      <c r="BI194" s="76"/>
      <c r="BJ194" s="76" t="s">
        <v>18704</v>
      </c>
      <c r="BK194" s="76" t="b">
        <v>0</v>
      </c>
      <c r="BL194" s="76"/>
      <c r="BM194" s="76" t="s">
        <v>66</v>
      </c>
      <c r="BN194" s="76" t="s">
        <v>18706</v>
      </c>
      <c r="BO194" s="83" t="str">
        <f>HYPERLINK("https://twitter.com/danielg_s6")</f>
        <v>https://twitter.com/danielg_s6</v>
      </c>
      <c r="BP194" s="2"/>
    </row>
    <row r="195" spans="1:68" x14ac:dyDescent="0.25">
      <c r="A195" s="62" t="s">
        <v>375</v>
      </c>
      <c r="B195" s="63"/>
      <c r="C195" s="63"/>
      <c r="D195" s="64"/>
      <c r="E195" s="66"/>
      <c r="F195" s="102" t="str">
        <f>HYPERLINK("https://pbs.twimg.com/profile_images/1579909347127066624/VVou0Hiw_normal.jpg")</f>
        <v>https://pbs.twimg.com/profile_images/1579909347127066624/VVou0Hiw_normal.jpg</v>
      </c>
      <c r="G195" s="63"/>
      <c r="H195" s="67"/>
      <c r="I195" s="68"/>
      <c r="J195" s="68"/>
      <c r="K195" s="67" t="s">
        <v>18898</v>
      </c>
      <c r="L195" s="71"/>
      <c r="M195" s="72"/>
      <c r="N195" s="72"/>
      <c r="O195" s="73"/>
      <c r="P195" s="74"/>
      <c r="Q195" s="74"/>
      <c r="R195" s="86"/>
      <c r="S195" s="86"/>
      <c r="T195" s="86"/>
      <c r="U195" s="86"/>
      <c r="V195" s="48"/>
      <c r="W195" s="48"/>
      <c r="X195" s="48"/>
      <c r="Y195" s="48"/>
      <c r="Z195" s="47"/>
      <c r="AA195" s="69">
        <v>195</v>
      </c>
      <c r="AB195" s="69"/>
      <c r="AC195" s="70"/>
      <c r="AD195" s="76" t="s">
        <v>16624</v>
      </c>
      <c r="AE195" s="81" t="s">
        <v>16193</v>
      </c>
      <c r="AF195" s="76">
        <v>173</v>
      </c>
      <c r="AG195" s="76">
        <v>1519</v>
      </c>
      <c r="AH195" s="76">
        <v>2298</v>
      </c>
      <c r="AI195" s="76">
        <v>0</v>
      </c>
      <c r="AJ195" s="76">
        <v>0</v>
      </c>
      <c r="AK195" s="76">
        <v>0</v>
      </c>
      <c r="AL195" s="76" t="b">
        <v>0</v>
      </c>
      <c r="AM195" s="78">
        <v>44845.790567129632</v>
      </c>
      <c r="AN195" s="76"/>
      <c r="AO195" s="76"/>
      <c r="AP195" s="76"/>
      <c r="AQ195" s="76"/>
      <c r="AR195" s="76"/>
      <c r="AS195" s="76"/>
      <c r="AT195" s="76"/>
      <c r="AU195" s="76"/>
      <c r="AV195" s="76"/>
      <c r="AW195" s="76"/>
      <c r="AX195" s="76" t="b">
        <v>0</v>
      </c>
      <c r="AY195" s="76"/>
      <c r="AZ195" s="76"/>
      <c r="BA195" s="76" t="b">
        <v>0</v>
      </c>
      <c r="BB195" s="76" t="b">
        <v>1</v>
      </c>
      <c r="BC195" s="76" t="b">
        <v>1</v>
      </c>
      <c r="BD195" s="76" t="b">
        <v>0</v>
      </c>
      <c r="BE195" s="76" t="b">
        <v>0</v>
      </c>
      <c r="BF195" s="76" t="b">
        <v>0</v>
      </c>
      <c r="BG195" s="76" t="b">
        <v>0</v>
      </c>
      <c r="BH195" s="76"/>
      <c r="BI195" s="76"/>
      <c r="BJ195" s="76" t="s">
        <v>18704</v>
      </c>
      <c r="BK195" s="76" t="b">
        <v>0</v>
      </c>
      <c r="BL195" s="76"/>
      <c r="BM195" s="76" t="s">
        <v>66</v>
      </c>
      <c r="BN195" s="76" t="s">
        <v>18706</v>
      </c>
      <c r="BO195" s="83" t="str">
        <f>HYPERLINK("https://twitter.com/elizave12948781")</f>
        <v>https://twitter.com/elizave12948781</v>
      </c>
      <c r="BP195" s="2"/>
    </row>
    <row r="196" spans="1:68" x14ac:dyDescent="0.25">
      <c r="A196" s="62" t="s">
        <v>376</v>
      </c>
      <c r="B196" s="63"/>
      <c r="C196" s="63"/>
      <c r="D196" s="64"/>
      <c r="E196" s="66"/>
      <c r="F196" s="102" t="str">
        <f>HYPERLINK("https://pbs.twimg.com/profile_images/1248749027878895621/SnSTkg5w_normal.jpg")</f>
        <v>https://pbs.twimg.com/profile_images/1248749027878895621/SnSTkg5w_normal.jpg</v>
      </c>
      <c r="G196" s="63"/>
      <c r="H196" s="67"/>
      <c r="I196" s="68"/>
      <c r="J196" s="68"/>
      <c r="K196" s="67" t="s">
        <v>18899</v>
      </c>
      <c r="L196" s="71"/>
      <c r="M196" s="72"/>
      <c r="N196" s="72"/>
      <c r="O196" s="73"/>
      <c r="P196" s="74"/>
      <c r="Q196" s="74"/>
      <c r="R196" s="86"/>
      <c r="S196" s="86"/>
      <c r="T196" s="86"/>
      <c r="U196" s="86"/>
      <c r="V196" s="48"/>
      <c r="W196" s="48"/>
      <c r="X196" s="48"/>
      <c r="Y196" s="48"/>
      <c r="Z196" s="47"/>
      <c r="AA196" s="69">
        <v>196</v>
      </c>
      <c r="AB196" s="69"/>
      <c r="AC196" s="70"/>
      <c r="AD196" s="76" t="s">
        <v>16625</v>
      </c>
      <c r="AE196" s="81" t="s">
        <v>16194</v>
      </c>
      <c r="AF196" s="76">
        <v>55</v>
      </c>
      <c r="AG196" s="76">
        <v>590</v>
      </c>
      <c r="AH196" s="76">
        <v>333</v>
      </c>
      <c r="AI196" s="76">
        <v>0</v>
      </c>
      <c r="AJ196" s="76">
        <v>7731</v>
      </c>
      <c r="AK196" s="76">
        <v>1</v>
      </c>
      <c r="AL196" s="76" t="b">
        <v>0</v>
      </c>
      <c r="AM196" s="78">
        <v>43929.821562500001</v>
      </c>
      <c r="AN196" s="76" t="s">
        <v>17467</v>
      </c>
      <c r="AO196" s="76" t="s">
        <v>17820</v>
      </c>
      <c r="AP196" s="83" t="str">
        <f>HYPERLINK("https://t.co/mNx4E8GkfI")</f>
        <v>https://t.co/mNx4E8GkfI</v>
      </c>
      <c r="AQ196" s="83" t="str">
        <f>HYPERLINK("https://rmdgarfias.substack.com/")</f>
        <v>https://rmdgarfias.substack.com/</v>
      </c>
      <c r="AR196" s="76" t="s">
        <v>18352</v>
      </c>
      <c r="AS196" s="76"/>
      <c r="AT196" s="76"/>
      <c r="AU196" s="76"/>
      <c r="AV196" s="76"/>
      <c r="AW196" s="83" t="str">
        <f>HYPERLINK("https://t.co/mNx4E8GkfI")</f>
        <v>https://t.co/mNx4E8GkfI</v>
      </c>
      <c r="AX196" s="76" t="b">
        <v>0</v>
      </c>
      <c r="AY196" s="76"/>
      <c r="AZ196" s="76"/>
      <c r="BA196" s="76" t="b">
        <v>0</v>
      </c>
      <c r="BB196" s="76" t="b">
        <v>1</v>
      </c>
      <c r="BC196" s="76" t="b">
        <v>1</v>
      </c>
      <c r="BD196" s="76" t="b">
        <v>0</v>
      </c>
      <c r="BE196" s="76" t="b">
        <v>1</v>
      </c>
      <c r="BF196" s="76" t="b">
        <v>0</v>
      </c>
      <c r="BG196" s="76" t="b">
        <v>0</v>
      </c>
      <c r="BH196" s="83" t="str">
        <f>HYPERLINK("https://pbs.twimg.com/profile_banners/1247973201260564482/1586560273")</f>
        <v>https://pbs.twimg.com/profile_banners/1247973201260564482/1586560273</v>
      </c>
      <c r="BI196" s="76"/>
      <c r="BJ196" s="76" t="s">
        <v>18704</v>
      </c>
      <c r="BK196" s="76" t="b">
        <v>0</v>
      </c>
      <c r="BL196" s="76"/>
      <c r="BM196" s="76" t="s">
        <v>66</v>
      </c>
      <c r="BN196" s="76" t="s">
        <v>18706</v>
      </c>
      <c r="BO196" s="83" t="str">
        <f>HYPERLINK("https://twitter.com/rmdgarfias")</f>
        <v>https://twitter.com/rmdgarfias</v>
      </c>
      <c r="BP196" s="2"/>
    </row>
    <row r="197" spans="1:68" x14ac:dyDescent="0.25">
      <c r="A197" s="62" t="s">
        <v>377</v>
      </c>
      <c r="B197" s="63"/>
      <c r="C197" s="63"/>
      <c r="D197" s="64"/>
      <c r="E197" s="66"/>
      <c r="F197" s="102" t="str">
        <f>HYPERLINK("https://pbs.twimg.com/profile_images/1698832046875918336/WWQGjory_normal.jpg")</f>
        <v>https://pbs.twimg.com/profile_images/1698832046875918336/WWQGjory_normal.jpg</v>
      </c>
      <c r="G197" s="63"/>
      <c r="H197" s="67"/>
      <c r="I197" s="68"/>
      <c r="J197" s="68"/>
      <c r="K197" s="67" t="s">
        <v>18900</v>
      </c>
      <c r="L197" s="71"/>
      <c r="M197" s="72"/>
      <c r="N197" s="72"/>
      <c r="O197" s="73"/>
      <c r="P197" s="74"/>
      <c r="Q197" s="74"/>
      <c r="R197" s="86"/>
      <c r="S197" s="86"/>
      <c r="T197" s="86"/>
      <c r="U197" s="86"/>
      <c r="V197" s="48"/>
      <c r="W197" s="48"/>
      <c r="X197" s="48"/>
      <c r="Y197" s="48"/>
      <c r="Z197" s="47"/>
      <c r="AA197" s="69">
        <v>197</v>
      </c>
      <c r="AB197" s="69"/>
      <c r="AC197" s="70"/>
      <c r="AD197" s="76" t="s">
        <v>16626</v>
      </c>
      <c r="AE197" s="81" t="s">
        <v>15929</v>
      </c>
      <c r="AF197" s="76">
        <v>47</v>
      </c>
      <c r="AG197" s="76">
        <v>208</v>
      </c>
      <c r="AH197" s="76">
        <v>754</v>
      </c>
      <c r="AI197" s="76">
        <v>0</v>
      </c>
      <c r="AJ197" s="76">
        <v>3476</v>
      </c>
      <c r="AK197" s="76">
        <v>18</v>
      </c>
      <c r="AL197" s="76" t="b">
        <v>0</v>
      </c>
      <c r="AM197" s="78">
        <v>42180.783831018518</v>
      </c>
      <c r="AN197" s="76" t="s">
        <v>17468</v>
      </c>
      <c r="AO197" s="76" t="s">
        <v>17821</v>
      </c>
      <c r="AP197" s="76"/>
      <c r="AQ197" s="76"/>
      <c r="AR197" s="76"/>
      <c r="AS197" s="76"/>
      <c r="AT197" s="76"/>
      <c r="AU197" s="76"/>
      <c r="AV197" s="76">
        <v>1.60999258353459E+18</v>
      </c>
      <c r="AW197" s="76"/>
      <c r="AX197" s="76" t="b">
        <v>0</v>
      </c>
      <c r="AY197" s="76"/>
      <c r="AZ197" s="76"/>
      <c r="BA197" s="76" t="b">
        <v>0</v>
      </c>
      <c r="BB197" s="76" t="b">
        <v>1</v>
      </c>
      <c r="BC197" s="76" t="b">
        <v>0</v>
      </c>
      <c r="BD197" s="76" t="b">
        <v>0</v>
      </c>
      <c r="BE197" s="76" t="b">
        <v>0</v>
      </c>
      <c r="BF197" s="76" t="b">
        <v>0</v>
      </c>
      <c r="BG197" s="76" t="b">
        <v>1</v>
      </c>
      <c r="BH197" s="83" t="str">
        <f>HYPERLINK("https://pbs.twimg.com/profile_banners/3345800861/1569605154")</f>
        <v>https://pbs.twimg.com/profile_banners/3345800861/1569605154</v>
      </c>
      <c r="BI197" s="76"/>
      <c r="BJ197" s="76" t="s">
        <v>18704</v>
      </c>
      <c r="BK197" s="76" t="b">
        <v>0</v>
      </c>
      <c r="BL197" s="76"/>
      <c r="BM197" s="76" t="s">
        <v>66</v>
      </c>
      <c r="BN197" s="76" t="s">
        <v>18706</v>
      </c>
      <c r="BO197" s="83" t="str">
        <f>HYPERLINK("https://twitter.com/barbruno8")</f>
        <v>https://twitter.com/barbruno8</v>
      </c>
      <c r="BP197" s="2"/>
    </row>
    <row r="198" spans="1:68" x14ac:dyDescent="0.25">
      <c r="A198" s="62" t="s">
        <v>378</v>
      </c>
      <c r="B198" s="63"/>
      <c r="C198" s="63"/>
      <c r="D198" s="64"/>
      <c r="E198" s="66"/>
      <c r="F198" s="102" t="str">
        <f>HYPERLINK("https://pbs.twimg.com/profile_images/1525227690701344769/3XT8NyCs_normal.jpg")</f>
        <v>https://pbs.twimg.com/profile_images/1525227690701344769/3XT8NyCs_normal.jpg</v>
      </c>
      <c r="G198" s="63"/>
      <c r="H198" s="67"/>
      <c r="I198" s="68"/>
      <c r="J198" s="68"/>
      <c r="K198" s="67" t="s">
        <v>18901</v>
      </c>
      <c r="L198" s="71"/>
      <c r="M198" s="72"/>
      <c r="N198" s="72"/>
      <c r="O198" s="73"/>
      <c r="P198" s="74"/>
      <c r="Q198" s="74"/>
      <c r="R198" s="86"/>
      <c r="S198" s="86"/>
      <c r="T198" s="86"/>
      <c r="U198" s="86"/>
      <c r="V198" s="48"/>
      <c r="W198" s="48"/>
      <c r="X198" s="48"/>
      <c r="Y198" s="48"/>
      <c r="Z198" s="47"/>
      <c r="AA198" s="69">
        <v>198</v>
      </c>
      <c r="AB198" s="69"/>
      <c r="AC198" s="70"/>
      <c r="AD198" s="76" t="s">
        <v>16627</v>
      </c>
      <c r="AE198" s="81" t="s">
        <v>16195</v>
      </c>
      <c r="AF198" s="76">
        <v>6528</v>
      </c>
      <c r="AG198" s="76">
        <v>1286</v>
      </c>
      <c r="AH198" s="76">
        <v>12228</v>
      </c>
      <c r="AI198" s="76">
        <v>33</v>
      </c>
      <c r="AJ198" s="76">
        <v>730</v>
      </c>
      <c r="AK198" s="76">
        <v>1216</v>
      </c>
      <c r="AL198" s="76" t="b">
        <v>0</v>
      </c>
      <c r="AM198" s="78">
        <v>42584.991469907407</v>
      </c>
      <c r="AN198" s="76" t="s">
        <v>17469</v>
      </c>
      <c r="AO198" s="76" t="s">
        <v>17822</v>
      </c>
      <c r="AP198" s="83" t="str">
        <f>HYPERLINK("https://t.co/BdUM3HHGna")</f>
        <v>https://t.co/BdUM3HHGna</v>
      </c>
      <c r="AQ198" s="83" t="str">
        <f>HYPERLINK("http://www.revistafoco.com.py")</f>
        <v>http://www.revistafoco.com.py</v>
      </c>
      <c r="AR198" s="76" t="s">
        <v>18353</v>
      </c>
      <c r="AS198" s="76"/>
      <c r="AT198" s="76"/>
      <c r="AU198" s="76"/>
      <c r="AV198" s="76"/>
      <c r="AW198" s="83" t="str">
        <f>HYPERLINK("https://t.co/BdUM3HHGna")</f>
        <v>https://t.co/BdUM3HHGna</v>
      </c>
      <c r="AX198" s="76" t="b">
        <v>0</v>
      </c>
      <c r="AY198" s="76"/>
      <c r="AZ198" s="76"/>
      <c r="BA198" s="76" t="b">
        <v>1</v>
      </c>
      <c r="BB198" s="76" t="b">
        <v>1</v>
      </c>
      <c r="BC198" s="76" t="b">
        <v>0</v>
      </c>
      <c r="BD198" s="76" t="b">
        <v>0</v>
      </c>
      <c r="BE198" s="76" t="b">
        <v>0</v>
      </c>
      <c r="BF198" s="76" t="b">
        <v>0</v>
      </c>
      <c r="BG198" s="76" t="b">
        <v>0</v>
      </c>
      <c r="BH198" s="83" t="str">
        <f>HYPERLINK("https://pbs.twimg.com/profile_banners/760623139504136192/1652478844")</f>
        <v>https://pbs.twimg.com/profile_banners/760623139504136192/1652478844</v>
      </c>
      <c r="BI198" s="76"/>
      <c r="BJ198" s="76" t="s">
        <v>18704</v>
      </c>
      <c r="BK198" s="76" t="b">
        <v>0</v>
      </c>
      <c r="BL198" s="76"/>
      <c r="BM198" s="76" t="s">
        <v>66</v>
      </c>
      <c r="BN198" s="76" t="s">
        <v>18706</v>
      </c>
      <c r="BO198" s="83" t="str">
        <f>HYPERLINK("https://twitter.com/revistafocopy")</f>
        <v>https://twitter.com/revistafocopy</v>
      </c>
      <c r="BP198" s="2"/>
    </row>
    <row r="199" spans="1:68" x14ac:dyDescent="0.25">
      <c r="A199" s="62" t="s">
        <v>772</v>
      </c>
      <c r="B199" s="63"/>
      <c r="C199" s="63"/>
      <c r="D199" s="64"/>
      <c r="E199" s="66"/>
      <c r="F199" s="102" t="str">
        <f>HYPERLINK("https://pbs.twimg.com/profile_images/1664286240819277826/Psh58k5C_normal.jpg")</f>
        <v>https://pbs.twimg.com/profile_images/1664286240819277826/Psh58k5C_normal.jpg</v>
      </c>
      <c r="G199" s="63"/>
      <c r="H199" s="67"/>
      <c r="I199" s="68"/>
      <c r="J199" s="68"/>
      <c r="K199" s="67" t="s">
        <v>18902</v>
      </c>
      <c r="L199" s="71"/>
      <c r="M199" s="72"/>
      <c r="N199" s="72"/>
      <c r="O199" s="73"/>
      <c r="P199" s="74"/>
      <c r="Q199" s="74"/>
      <c r="R199" s="86"/>
      <c r="S199" s="86"/>
      <c r="T199" s="86"/>
      <c r="U199" s="86"/>
      <c r="V199" s="48"/>
      <c r="W199" s="48"/>
      <c r="X199" s="48"/>
      <c r="Y199" s="48"/>
      <c r="Z199" s="47"/>
      <c r="AA199" s="69">
        <v>199</v>
      </c>
      <c r="AB199" s="69"/>
      <c r="AC199" s="70"/>
      <c r="AD199" s="76" t="s">
        <v>16628</v>
      </c>
      <c r="AE199" s="81" t="s">
        <v>17175</v>
      </c>
      <c r="AF199" s="76">
        <v>86414</v>
      </c>
      <c r="AG199" s="76">
        <v>3</v>
      </c>
      <c r="AH199" s="76">
        <v>4942</v>
      </c>
      <c r="AI199" s="76">
        <v>191</v>
      </c>
      <c r="AJ199" s="76">
        <v>73</v>
      </c>
      <c r="AK199" s="76">
        <v>3611</v>
      </c>
      <c r="AL199" s="76" t="b">
        <v>0</v>
      </c>
      <c r="AM199" s="78">
        <v>41551.527673611112</v>
      </c>
      <c r="AN199" s="76" t="s">
        <v>17470</v>
      </c>
      <c r="AO199" s="76" t="s">
        <v>17823</v>
      </c>
      <c r="AP199" s="83" t="str">
        <f>HYPERLINK("https://t.co/BpZdu57ETW")</f>
        <v>https://t.co/BpZdu57ETW</v>
      </c>
      <c r="AQ199" s="83" t="str">
        <f>HYPERLINK("http://www.bcp.gov.py")</f>
        <v>http://www.bcp.gov.py</v>
      </c>
      <c r="AR199" s="76" t="s">
        <v>18354</v>
      </c>
      <c r="AS199" s="76"/>
      <c r="AT199" s="76"/>
      <c r="AU199" s="76"/>
      <c r="AV199" s="76"/>
      <c r="AW199" s="83" t="str">
        <f>HYPERLINK("https://t.co/BpZdu57ETW")</f>
        <v>https://t.co/BpZdu57ETW</v>
      </c>
      <c r="AX199" s="76" t="b">
        <v>0</v>
      </c>
      <c r="AY199" s="76"/>
      <c r="AZ199" s="76"/>
      <c r="BA199" s="76" t="b">
        <v>0</v>
      </c>
      <c r="BB199" s="76" t="b">
        <v>1</v>
      </c>
      <c r="BC199" s="76" t="b">
        <v>0</v>
      </c>
      <c r="BD199" s="76" t="b">
        <v>0</v>
      </c>
      <c r="BE199" s="76" t="b">
        <v>0</v>
      </c>
      <c r="BF199" s="76" t="b">
        <v>0</v>
      </c>
      <c r="BG199" s="76" t="b">
        <v>0</v>
      </c>
      <c r="BH199" s="83" t="str">
        <f>HYPERLINK("https://pbs.twimg.com/profile_banners/1934121132/1643283055")</f>
        <v>https://pbs.twimg.com/profile_banners/1934121132/1643283055</v>
      </c>
      <c r="BI199" s="76"/>
      <c r="BJ199" s="76" t="s">
        <v>18704</v>
      </c>
      <c r="BK199" s="76" t="b">
        <v>0</v>
      </c>
      <c r="BL199" s="76"/>
      <c r="BM199" s="76" t="s">
        <v>65</v>
      </c>
      <c r="BN199" s="76" t="s">
        <v>18706</v>
      </c>
      <c r="BO199" s="83" t="str">
        <f>HYPERLINK("https://twitter.com/bcp_py")</f>
        <v>https://twitter.com/bcp_py</v>
      </c>
      <c r="BP199" s="2"/>
    </row>
    <row r="200" spans="1:68" x14ac:dyDescent="0.25">
      <c r="A200" s="62" t="s">
        <v>379</v>
      </c>
      <c r="B200" s="63"/>
      <c r="C200" s="63"/>
      <c r="D200" s="64"/>
      <c r="E200" s="66"/>
      <c r="F200" s="102" t="str">
        <f>HYPERLINK("https://pbs.twimg.com/profile_images/1707039684507901952/tkA7hzPE_normal.jpg")</f>
        <v>https://pbs.twimg.com/profile_images/1707039684507901952/tkA7hzPE_normal.jpg</v>
      </c>
      <c r="G200" s="63"/>
      <c r="H200" s="67"/>
      <c r="I200" s="68"/>
      <c r="J200" s="68"/>
      <c r="K200" s="67" t="s">
        <v>18903</v>
      </c>
      <c r="L200" s="71"/>
      <c r="M200" s="72"/>
      <c r="N200" s="72"/>
      <c r="O200" s="73"/>
      <c r="P200" s="74"/>
      <c r="Q200" s="74"/>
      <c r="R200" s="86"/>
      <c r="S200" s="86"/>
      <c r="T200" s="86"/>
      <c r="U200" s="86"/>
      <c r="V200" s="48"/>
      <c r="W200" s="48"/>
      <c r="X200" s="48"/>
      <c r="Y200" s="48"/>
      <c r="Z200" s="47"/>
      <c r="AA200" s="69">
        <v>200</v>
      </c>
      <c r="AB200" s="69"/>
      <c r="AC200" s="70"/>
      <c r="AD200" s="76" t="s">
        <v>16629</v>
      </c>
      <c r="AE200" s="81" t="s">
        <v>17176</v>
      </c>
      <c r="AF200" s="76">
        <v>7605</v>
      </c>
      <c r="AG200" s="76">
        <v>1738</v>
      </c>
      <c r="AH200" s="76">
        <v>16901</v>
      </c>
      <c r="AI200" s="76">
        <v>197</v>
      </c>
      <c r="AJ200" s="76">
        <v>8210</v>
      </c>
      <c r="AK200" s="76">
        <v>626</v>
      </c>
      <c r="AL200" s="76" t="b">
        <v>0</v>
      </c>
      <c r="AM200" s="78">
        <v>39759.55972222222</v>
      </c>
      <c r="AN200" s="76" t="s">
        <v>17471</v>
      </c>
      <c r="AO200" s="76" t="s">
        <v>17824</v>
      </c>
      <c r="AP200" s="83" t="str">
        <f>HYPERLINK("https://t.co/gDuu0mJEl7")</f>
        <v>https://t.co/gDuu0mJEl7</v>
      </c>
      <c r="AQ200" s="83" t="str">
        <f>HYPERLINK("http://fsaraceno.wordpress.com")</f>
        <v>http://fsaraceno.wordpress.com</v>
      </c>
      <c r="AR200" s="76" t="s">
        <v>18355</v>
      </c>
      <c r="AS200" s="76"/>
      <c r="AT200" s="76"/>
      <c r="AU200" s="76"/>
      <c r="AV200" s="76">
        <v>1.68704075995696E+18</v>
      </c>
      <c r="AW200" s="83" t="str">
        <f>HYPERLINK("https://t.co/gDuu0mJEl7")</f>
        <v>https://t.co/gDuu0mJEl7</v>
      </c>
      <c r="AX200" s="76" t="b">
        <v>0</v>
      </c>
      <c r="AY200" s="76"/>
      <c r="AZ200" s="76"/>
      <c r="BA200" s="76" t="b">
        <v>1</v>
      </c>
      <c r="BB200" s="76" t="b">
        <v>1</v>
      </c>
      <c r="BC200" s="76" t="b">
        <v>0</v>
      </c>
      <c r="BD200" s="76" t="b">
        <v>0</v>
      </c>
      <c r="BE200" s="76" t="b">
        <v>1</v>
      </c>
      <c r="BF200" s="76" t="b">
        <v>0</v>
      </c>
      <c r="BG200" s="76" t="b">
        <v>0</v>
      </c>
      <c r="BH200" s="83" t="str">
        <f>HYPERLINK("https://pbs.twimg.com/profile_banners/17230773/1695824453")</f>
        <v>https://pbs.twimg.com/profile_banners/17230773/1695824453</v>
      </c>
      <c r="BI200" s="76"/>
      <c r="BJ200" s="76" t="s">
        <v>18704</v>
      </c>
      <c r="BK200" s="76" t="b">
        <v>0</v>
      </c>
      <c r="BL200" s="76"/>
      <c r="BM200" s="76" t="s">
        <v>66</v>
      </c>
      <c r="BN200" s="76" t="s">
        <v>18706</v>
      </c>
      <c r="BO200" s="83" t="str">
        <f>HYPERLINK("https://twitter.com/fsaraceno")</f>
        <v>https://twitter.com/fsaraceno</v>
      </c>
      <c r="BP200" s="2"/>
    </row>
    <row r="201" spans="1:68" x14ac:dyDescent="0.25">
      <c r="A201" s="62" t="s">
        <v>380</v>
      </c>
      <c r="B201" s="63"/>
      <c r="C201" s="63"/>
      <c r="D201" s="64"/>
      <c r="E201" s="66"/>
      <c r="F201" s="102" t="str">
        <f>HYPERLINK("https://abs.twimg.com/sticky/default_profile_images/default_profile_normal.png")</f>
        <v>https://abs.twimg.com/sticky/default_profile_images/default_profile_normal.png</v>
      </c>
      <c r="G201" s="63"/>
      <c r="H201" s="67"/>
      <c r="I201" s="68"/>
      <c r="J201" s="68"/>
      <c r="K201" s="67" t="s">
        <v>18904</v>
      </c>
      <c r="L201" s="71"/>
      <c r="M201" s="72"/>
      <c r="N201" s="72"/>
      <c r="O201" s="73"/>
      <c r="P201" s="74"/>
      <c r="Q201" s="74"/>
      <c r="R201" s="86"/>
      <c r="S201" s="86"/>
      <c r="T201" s="86"/>
      <c r="U201" s="86"/>
      <c r="V201" s="48"/>
      <c r="W201" s="48"/>
      <c r="X201" s="48"/>
      <c r="Y201" s="48"/>
      <c r="Z201" s="47"/>
      <c r="AA201" s="69">
        <v>201</v>
      </c>
      <c r="AB201" s="69"/>
      <c r="AC201" s="70"/>
      <c r="AD201" s="76" t="s">
        <v>16630</v>
      </c>
      <c r="AE201" s="81" t="s">
        <v>16196</v>
      </c>
      <c r="AF201" s="76">
        <v>59</v>
      </c>
      <c r="AG201" s="76">
        <v>50</v>
      </c>
      <c r="AH201" s="76">
        <v>33366</v>
      </c>
      <c r="AI201" s="76">
        <v>0</v>
      </c>
      <c r="AJ201" s="76">
        <v>29574</v>
      </c>
      <c r="AK201" s="76">
        <v>0</v>
      </c>
      <c r="AL201" s="76" t="b">
        <v>0</v>
      </c>
      <c r="AM201" s="78">
        <v>42514.762013888889</v>
      </c>
      <c r="AN201" s="76"/>
      <c r="AO201" s="76"/>
      <c r="AP201" s="76"/>
      <c r="AQ201" s="76"/>
      <c r="AR201" s="76"/>
      <c r="AS201" s="76"/>
      <c r="AT201" s="76"/>
      <c r="AU201" s="76"/>
      <c r="AV201" s="76"/>
      <c r="AW201" s="76"/>
      <c r="AX201" s="76" t="b">
        <v>0</v>
      </c>
      <c r="AY201" s="76"/>
      <c r="AZ201" s="76"/>
      <c r="BA201" s="76" t="b">
        <v>0</v>
      </c>
      <c r="BB201" s="76" t="b">
        <v>1</v>
      </c>
      <c r="BC201" s="76" t="b">
        <v>1</v>
      </c>
      <c r="BD201" s="76" t="b">
        <v>1</v>
      </c>
      <c r="BE201" s="76" t="b">
        <v>0</v>
      </c>
      <c r="BF201" s="76" t="b">
        <v>0</v>
      </c>
      <c r="BG201" s="76" t="b">
        <v>0</v>
      </c>
      <c r="BH201" s="76"/>
      <c r="BI201" s="76"/>
      <c r="BJ201" s="76" t="s">
        <v>18704</v>
      </c>
      <c r="BK201" s="76" t="b">
        <v>0</v>
      </c>
      <c r="BL201" s="76"/>
      <c r="BM201" s="76" t="s">
        <v>66</v>
      </c>
      <c r="BN201" s="76" t="s">
        <v>18706</v>
      </c>
      <c r="BO201" s="83" t="str">
        <f>HYPERLINK("https://twitter.com/always4wards")</f>
        <v>https://twitter.com/always4wards</v>
      </c>
      <c r="BP201" s="2"/>
    </row>
    <row r="202" spans="1:68" x14ac:dyDescent="0.25">
      <c r="A202" s="62" t="s">
        <v>381</v>
      </c>
      <c r="B202" s="63"/>
      <c r="C202" s="63"/>
      <c r="D202" s="64"/>
      <c r="E202" s="66"/>
      <c r="F202" s="102" t="str">
        <f>HYPERLINK("https://pbs.twimg.com/profile_images/1519676322204856323/SNZvZ8lF_normal.jpg")</f>
        <v>https://pbs.twimg.com/profile_images/1519676322204856323/SNZvZ8lF_normal.jpg</v>
      </c>
      <c r="G202" s="63"/>
      <c r="H202" s="67"/>
      <c r="I202" s="68"/>
      <c r="J202" s="68"/>
      <c r="K202" s="67" t="s">
        <v>18905</v>
      </c>
      <c r="L202" s="71"/>
      <c r="M202" s="72"/>
      <c r="N202" s="72"/>
      <c r="O202" s="73"/>
      <c r="P202" s="74"/>
      <c r="Q202" s="74"/>
      <c r="R202" s="86"/>
      <c r="S202" s="86"/>
      <c r="T202" s="86"/>
      <c r="U202" s="86"/>
      <c r="V202" s="48"/>
      <c r="W202" s="48"/>
      <c r="X202" s="48"/>
      <c r="Y202" s="48"/>
      <c r="Z202" s="47"/>
      <c r="AA202" s="69">
        <v>202</v>
      </c>
      <c r="AB202" s="69"/>
      <c r="AC202" s="70"/>
      <c r="AD202" s="76" t="s">
        <v>16631</v>
      </c>
      <c r="AE202" s="81" t="s">
        <v>16197</v>
      </c>
      <c r="AF202" s="76">
        <v>32</v>
      </c>
      <c r="AG202" s="76">
        <v>68</v>
      </c>
      <c r="AH202" s="76">
        <v>321</v>
      </c>
      <c r="AI202" s="76">
        <v>0</v>
      </c>
      <c r="AJ202" s="76">
        <v>25</v>
      </c>
      <c r="AK202" s="76">
        <v>298</v>
      </c>
      <c r="AL202" s="76" t="b">
        <v>0</v>
      </c>
      <c r="AM202" s="78">
        <v>44257.702106481483</v>
      </c>
      <c r="AN202" s="76"/>
      <c r="AO202" s="76" t="s">
        <v>17825</v>
      </c>
      <c r="AP202" s="83" t="str">
        <f>HYPERLINK("https://t.co/oJD4xEbeV6")</f>
        <v>https://t.co/oJD4xEbeV6</v>
      </c>
      <c r="AQ202" s="83" t="str">
        <f>HYPERLINK("https://fido.com.vc/")</f>
        <v>https://fido.com.vc/</v>
      </c>
      <c r="AR202" s="76" t="s">
        <v>18356</v>
      </c>
      <c r="AS202" s="76"/>
      <c r="AT202" s="76"/>
      <c r="AU202" s="76"/>
      <c r="AV202" s="76"/>
      <c r="AW202" s="83" t="str">
        <f>HYPERLINK("https://t.co/oJD4xEbeV6")</f>
        <v>https://t.co/oJD4xEbeV6</v>
      </c>
      <c r="AX202" s="76" t="b">
        <v>0</v>
      </c>
      <c r="AY202" s="76"/>
      <c r="AZ202" s="76"/>
      <c r="BA202" s="76" t="b">
        <v>0</v>
      </c>
      <c r="BB202" s="76" t="b">
        <v>1</v>
      </c>
      <c r="BC202" s="76" t="b">
        <v>1</v>
      </c>
      <c r="BD202" s="76" t="b">
        <v>0</v>
      </c>
      <c r="BE202" s="76" t="b">
        <v>0</v>
      </c>
      <c r="BF202" s="76" t="b">
        <v>0</v>
      </c>
      <c r="BG202" s="76" t="b">
        <v>0</v>
      </c>
      <c r="BH202" s="83" t="str">
        <f>HYPERLINK("https://pbs.twimg.com/profile_banners/1366792883454562305/1639061620")</f>
        <v>https://pbs.twimg.com/profile_banners/1366792883454562305/1639061620</v>
      </c>
      <c r="BI202" s="76"/>
      <c r="BJ202" s="76" t="s">
        <v>18704</v>
      </c>
      <c r="BK202" s="76" t="b">
        <v>0</v>
      </c>
      <c r="BL202" s="76"/>
      <c r="BM202" s="76" t="s">
        <v>66</v>
      </c>
      <c r="BN202" s="76" t="s">
        <v>18706</v>
      </c>
      <c r="BO202" s="83" t="str">
        <f>HYPERLINK("https://twitter.com/fidocomvc")</f>
        <v>https://twitter.com/fidocomvc</v>
      </c>
      <c r="BP202" s="2"/>
    </row>
    <row r="203" spans="1:68" x14ac:dyDescent="0.25">
      <c r="A203" s="62" t="s">
        <v>382</v>
      </c>
      <c r="B203" s="63"/>
      <c r="C203" s="63"/>
      <c r="D203" s="64"/>
      <c r="E203" s="66"/>
      <c r="F203" s="102" t="str">
        <f>HYPERLINK("https://pbs.twimg.com/profile_images/1572888535589339136/JbLdZuf-_normal.jpg")</f>
        <v>https://pbs.twimg.com/profile_images/1572888535589339136/JbLdZuf-_normal.jpg</v>
      </c>
      <c r="G203" s="63"/>
      <c r="H203" s="67"/>
      <c r="I203" s="68"/>
      <c r="J203" s="68"/>
      <c r="K203" s="67" t="s">
        <v>18906</v>
      </c>
      <c r="L203" s="71"/>
      <c r="M203" s="72"/>
      <c r="N203" s="72"/>
      <c r="O203" s="73"/>
      <c r="P203" s="74"/>
      <c r="Q203" s="74"/>
      <c r="R203" s="86"/>
      <c r="S203" s="86"/>
      <c r="T203" s="86"/>
      <c r="U203" s="86"/>
      <c r="V203" s="48"/>
      <c r="W203" s="48"/>
      <c r="X203" s="48"/>
      <c r="Y203" s="48"/>
      <c r="Z203" s="47"/>
      <c r="AA203" s="69">
        <v>203</v>
      </c>
      <c r="AB203" s="69"/>
      <c r="AC203" s="70"/>
      <c r="AD203" s="76" t="s">
        <v>16632</v>
      </c>
      <c r="AE203" s="81" t="s">
        <v>17177</v>
      </c>
      <c r="AF203" s="76">
        <v>50</v>
      </c>
      <c r="AG203" s="76">
        <v>148</v>
      </c>
      <c r="AH203" s="76">
        <v>3003</v>
      </c>
      <c r="AI203" s="76">
        <v>0</v>
      </c>
      <c r="AJ203" s="76">
        <v>281</v>
      </c>
      <c r="AK203" s="76">
        <v>851</v>
      </c>
      <c r="AL203" s="76" t="b">
        <v>0</v>
      </c>
      <c r="AM203" s="78">
        <v>40357.069849537038</v>
      </c>
      <c r="AN203" s="76" t="s">
        <v>17472</v>
      </c>
      <c r="AO203" s="76" t="s">
        <v>17826</v>
      </c>
      <c r="AP203" s="83" t="str">
        <f>HYPERLINK("https://t.co/NcLjU8M3BG")</f>
        <v>https://t.co/NcLjU8M3BG</v>
      </c>
      <c r="AQ203" s="83" t="str">
        <f>HYPERLINK("https://mla.bs/38cea3ad")</f>
        <v>https://mla.bs/38cea3ad</v>
      </c>
      <c r="AR203" s="76" t="s">
        <v>18357</v>
      </c>
      <c r="AS203" s="76"/>
      <c r="AT203" s="76"/>
      <c r="AU203" s="76"/>
      <c r="AV203" s="76"/>
      <c r="AW203" s="83" t="str">
        <f>HYPERLINK("https://t.co/NcLjU8M3BG")</f>
        <v>https://t.co/NcLjU8M3BG</v>
      </c>
      <c r="AX203" s="76" t="b">
        <v>0</v>
      </c>
      <c r="AY203" s="76"/>
      <c r="AZ203" s="76"/>
      <c r="BA203" s="76" t="b">
        <v>1</v>
      </c>
      <c r="BB203" s="76" t="b">
        <v>0</v>
      </c>
      <c r="BC203" s="76" t="b">
        <v>0</v>
      </c>
      <c r="BD203" s="76" t="b">
        <v>0</v>
      </c>
      <c r="BE203" s="76" t="b">
        <v>0</v>
      </c>
      <c r="BF203" s="76" t="b">
        <v>0</v>
      </c>
      <c r="BG203" s="76" t="b">
        <v>0</v>
      </c>
      <c r="BH203" s="83" t="str">
        <f>HYPERLINK("https://pbs.twimg.com/profile_banners/160387669/1687800621")</f>
        <v>https://pbs.twimg.com/profile_banners/160387669/1687800621</v>
      </c>
      <c r="BI203" s="76"/>
      <c r="BJ203" s="76" t="s">
        <v>18704</v>
      </c>
      <c r="BK203" s="76" t="b">
        <v>0</v>
      </c>
      <c r="BL203" s="76"/>
      <c r="BM203" s="76" t="s">
        <v>66</v>
      </c>
      <c r="BN203" s="76" t="s">
        <v>18706</v>
      </c>
      <c r="BO203" s="83" t="str">
        <f>HYPERLINK("https://twitter.com/acerqueira_adv")</f>
        <v>https://twitter.com/acerqueira_adv</v>
      </c>
      <c r="BP203" s="2"/>
    </row>
    <row r="204" spans="1:68" x14ac:dyDescent="0.25">
      <c r="A204" s="62" t="s">
        <v>383</v>
      </c>
      <c r="B204" s="63"/>
      <c r="C204" s="63"/>
      <c r="D204" s="64"/>
      <c r="E204" s="66"/>
      <c r="F204" s="102" t="str">
        <f>HYPERLINK("https://pbs.twimg.com/profile_images/1680216342362718213/pobx3CLw_normal.jpg")</f>
        <v>https://pbs.twimg.com/profile_images/1680216342362718213/pobx3CLw_normal.jpg</v>
      </c>
      <c r="G204" s="63"/>
      <c r="H204" s="67"/>
      <c r="I204" s="68"/>
      <c r="J204" s="68"/>
      <c r="K204" s="67" t="s">
        <v>18907</v>
      </c>
      <c r="L204" s="71"/>
      <c r="M204" s="72"/>
      <c r="N204" s="72"/>
      <c r="O204" s="73"/>
      <c r="P204" s="74"/>
      <c r="Q204" s="74"/>
      <c r="R204" s="86"/>
      <c r="S204" s="86"/>
      <c r="T204" s="86"/>
      <c r="U204" s="86"/>
      <c r="V204" s="48"/>
      <c r="W204" s="48"/>
      <c r="X204" s="48"/>
      <c r="Y204" s="48"/>
      <c r="Z204" s="47"/>
      <c r="AA204" s="69">
        <v>204</v>
      </c>
      <c r="AB204" s="69"/>
      <c r="AC204" s="70"/>
      <c r="AD204" s="76" t="s">
        <v>16633</v>
      </c>
      <c r="AE204" s="81" t="s">
        <v>16198</v>
      </c>
      <c r="AF204" s="76">
        <v>3270</v>
      </c>
      <c r="AG204" s="76">
        <v>1</v>
      </c>
      <c r="AH204" s="76">
        <v>394</v>
      </c>
      <c r="AI204" s="76">
        <v>0</v>
      </c>
      <c r="AJ204" s="76">
        <v>440</v>
      </c>
      <c r="AK204" s="76">
        <v>276</v>
      </c>
      <c r="AL204" s="76" t="b">
        <v>0</v>
      </c>
      <c r="AM204" s="78">
        <v>44900.00677083333</v>
      </c>
      <c r="AN204" s="76" t="s">
        <v>17473</v>
      </c>
      <c r="AO204" s="76" t="s">
        <v>17827</v>
      </c>
      <c r="AP204" s="83" t="str">
        <f>HYPERLINK("https://t.co/zuQzASME7u")</f>
        <v>https://t.co/zuQzASME7u</v>
      </c>
      <c r="AQ204" s="83" t="str">
        <f>HYPERLINK("https://hodorinvestments.com/app/register?cod=995ac503")</f>
        <v>https://hodorinvestments.com/app/register?cod=995ac503</v>
      </c>
      <c r="AR204" s="76" t="s">
        <v>18358</v>
      </c>
      <c r="AS204" s="76"/>
      <c r="AT204" s="76"/>
      <c r="AU204" s="76"/>
      <c r="AV204" s="76">
        <v>1.64105090733586E+18</v>
      </c>
      <c r="AW204" s="83" t="str">
        <f>HYPERLINK("https://t.co/zuQzASME7u")</f>
        <v>https://t.co/zuQzASME7u</v>
      </c>
      <c r="AX204" s="76" t="b">
        <v>0</v>
      </c>
      <c r="AY204" s="76"/>
      <c r="AZ204" s="76"/>
      <c r="BA204" s="76" t="b">
        <v>0</v>
      </c>
      <c r="BB204" s="76" t="b">
        <v>1</v>
      </c>
      <c r="BC204" s="76" t="b">
        <v>1</v>
      </c>
      <c r="BD204" s="76" t="b">
        <v>0</v>
      </c>
      <c r="BE204" s="76" t="b">
        <v>0</v>
      </c>
      <c r="BF204" s="76" t="b">
        <v>0</v>
      </c>
      <c r="BG204" s="76" t="b">
        <v>0</v>
      </c>
      <c r="BH204" s="83" t="str">
        <f>HYPERLINK("https://pbs.twimg.com/profile_banners/1599556488829222912/1673698399")</f>
        <v>https://pbs.twimg.com/profile_banners/1599556488829222912/1673698399</v>
      </c>
      <c r="BI204" s="76"/>
      <c r="BJ204" s="76" t="s">
        <v>18704</v>
      </c>
      <c r="BK204" s="76" t="b">
        <v>0</v>
      </c>
      <c r="BL204" s="76"/>
      <c r="BM204" s="76" t="s">
        <v>66</v>
      </c>
      <c r="BN204" s="76" t="s">
        <v>18706</v>
      </c>
      <c r="BO204" s="83" t="str">
        <f>HYPERLINK("https://twitter.com/hodorfunds")</f>
        <v>https://twitter.com/hodorfunds</v>
      </c>
      <c r="BP204" s="2"/>
    </row>
    <row r="205" spans="1:68" x14ac:dyDescent="0.25">
      <c r="A205" s="62" t="s">
        <v>384</v>
      </c>
      <c r="B205" s="63"/>
      <c r="C205" s="63"/>
      <c r="D205" s="64"/>
      <c r="E205" s="66"/>
      <c r="F205" s="102" t="str">
        <f>HYPERLINK("https://pbs.twimg.com/profile_images/1283875343967846400/naJT29I5_normal.jpg")</f>
        <v>https://pbs.twimg.com/profile_images/1283875343967846400/naJT29I5_normal.jpg</v>
      </c>
      <c r="G205" s="63"/>
      <c r="H205" s="67"/>
      <c r="I205" s="68"/>
      <c r="J205" s="68"/>
      <c r="K205" s="67" t="s">
        <v>18908</v>
      </c>
      <c r="L205" s="71"/>
      <c r="M205" s="72"/>
      <c r="N205" s="72"/>
      <c r="O205" s="73"/>
      <c r="P205" s="74"/>
      <c r="Q205" s="74"/>
      <c r="R205" s="86"/>
      <c r="S205" s="86"/>
      <c r="T205" s="86"/>
      <c r="U205" s="86"/>
      <c r="V205" s="48"/>
      <c r="W205" s="48"/>
      <c r="X205" s="48"/>
      <c r="Y205" s="48"/>
      <c r="Z205" s="47"/>
      <c r="AA205" s="69">
        <v>205</v>
      </c>
      <c r="AB205" s="69"/>
      <c r="AC205" s="70"/>
      <c r="AD205" s="76" t="s">
        <v>16634</v>
      </c>
      <c r="AE205" s="81" t="s">
        <v>16199</v>
      </c>
      <c r="AF205" s="76">
        <v>11</v>
      </c>
      <c r="AG205" s="76">
        <v>10</v>
      </c>
      <c r="AH205" s="76">
        <v>2</v>
      </c>
      <c r="AI205" s="76">
        <v>1</v>
      </c>
      <c r="AJ205" s="76">
        <v>49</v>
      </c>
      <c r="AK205" s="76">
        <v>2</v>
      </c>
      <c r="AL205" s="76" t="b">
        <v>0</v>
      </c>
      <c r="AM205" s="78">
        <v>44028.891956018517</v>
      </c>
      <c r="AN205" s="76"/>
      <c r="AO205" s="76"/>
      <c r="AP205" s="76"/>
      <c r="AQ205" s="76"/>
      <c r="AR205" s="76"/>
      <c r="AS205" s="76"/>
      <c r="AT205" s="76"/>
      <c r="AU205" s="76"/>
      <c r="AV205" s="76"/>
      <c r="AW205" s="76"/>
      <c r="AX205" s="76" t="b">
        <v>0</v>
      </c>
      <c r="AY205" s="76"/>
      <c r="AZ205" s="76"/>
      <c r="BA205" s="76" t="b">
        <v>0</v>
      </c>
      <c r="BB205" s="76" t="b">
        <v>1</v>
      </c>
      <c r="BC205" s="76" t="b">
        <v>1</v>
      </c>
      <c r="BD205" s="76" t="b">
        <v>0</v>
      </c>
      <c r="BE205" s="76" t="b">
        <v>0</v>
      </c>
      <c r="BF205" s="76" t="b">
        <v>0</v>
      </c>
      <c r="BG205" s="76" t="b">
        <v>0</v>
      </c>
      <c r="BH205" s="76"/>
      <c r="BI205" s="76"/>
      <c r="BJ205" s="76" t="s">
        <v>18704</v>
      </c>
      <c r="BK205" s="76" t="b">
        <v>0</v>
      </c>
      <c r="BL205" s="76"/>
      <c r="BM205" s="76" t="s">
        <v>66</v>
      </c>
      <c r="BN205" s="76" t="s">
        <v>18706</v>
      </c>
      <c r="BO205" s="83" t="str">
        <f>HYPERLINK("https://twitter.com/pedrorenatogc")</f>
        <v>https://twitter.com/pedrorenatogc</v>
      </c>
      <c r="BP205" s="2"/>
    </row>
    <row r="206" spans="1:68" x14ac:dyDescent="0.25">
      <c r="A206" s="62" t="s">
        <v>385</v>
      </c>
      <c r="B206" s="63"/>
      <c r="C206" s="63"/>
      <c r="D206" s="64"/>
      <c r="E206" s="66"/>
      <c r="F206" s="102" t="str">
        <f>HYPERLINK("https://pbs.twimg.com/profile_images/1669023262209187841/MIDEJbx7_normal.jpg")</f>
        <v>https://pbs.twimg.com/profile_images/1669023262209187841/MIDEJbx7_normal.jpg</v>
      </c>
      <c r="G206" s="63"/>
      <c r="H206" s="67"/>
      <c r="I206" s="68"/>
      <c r="J206" s="68"/>
      <c r="K206" s="67" t="s">
        <v>18909</v>
      </c>
      <c r="L206" s="71"/>
      <c r="M206" s="72"/>
      <c r="N206" s="72"/>
      <c r="O206" s="73"/>
      <c r="P206" s="74"/>
      <c r="Q206" s="74"/>
      <c r="R206" s="86"/>
      <c r="S206" s="86"/>
      <c r="T206" s="86"/>
      <c r="U206" s="86"/>
      <c r="V206" s="48"/>
      <c r="W206" s="48"/>
      <c r="X206" s="48"/>
      <c r="Y206" s="48"/>
      <c r="Z206" s="47"/>
      <c r="AA206" s="69">
        <v>206</v>
      </c>
      <c r="AB206" s="69"/>
      <c r="AC206" s="70"/>
      <c r="AD206" s="76" t="s">
        <v>16635</v>
      </c>
      <c r="AE206" s="81" t="s">
        <v>16200</v>
      </c>
      <c r="AF206" s="76">
        <v>1</v>
      </c>
      <c r="AG206" s="76">
        <v>52</v>
      </c>
      <c r="AH206" s="76">
        <v>174</v>
      </c>
      <c r="AI206" s="76">
        <v>0</v>
      </c>
      <c r="AJ206" s="76">
        <v>1407</v>
      </c>
      <c r="AK206" s="76">
        <v>1</v>
      </c>
      <c r="AL206" s="76" t="b">
        <v>0</v>
      </c>
      <c r="AM206" s="78">
        <v>45091.697789351849</v>
      </c>
      <c r="AN206" s="76"/>
      <c r="AO206" s="76"/>
      <c r="AP206" s="76"/>
      <c r="AQ206" s="76"/>
      <c r="AR206" s="76"/>
      <c r="AS206" s="76"/>
      <c r="AT206" s="76"/>
      <c r="AU206" s="76"/>
      <c r="AV206" s="76"/>
      <c r="AW206" s="76"/>
      <c r="AX206" s="76" t="b">
        <v>0</v>
      </c>
      <c r="AY206" s="76"/>
      <c r="AZ206" s="76"/>
      <c r="BA206" s="76" t="b">
        <v>0</v>
      </c>
      <c r="BB206" s="76" t="b">
        <v>1</v>
      </c>
      <c r="BC206" s="76" t="b">
        <v>1</v>
      </c>
      <c r="BD206" s="76" t="b">
        <v>0</v>
      </c>
      <c r="BE206" s="76" t="b">
        <v>0</v>
      </c>
      <c r="BF206" s="76" t="b">
        <v>0</v>
      </c>
      <c r="BG206" s="76" t="b">
        <v>0</v>
      </c>
      <c r="BH206" s="76"/>
      <c r="BI206" s="76"/>
      <c r="BJ206" s="76" t="s">
        <v>18704</v>
      </c>
      <c r="BK206" s="76" t="b">
        <v>0</v>
      </c>
      <c r="BL206" s="76"/>
      <c r="BM206" s="76" t="s">
        <v>66</v>
      </c>
      <c r="BN206" s="76" t="s">
        <v>18706</v>
      </c>
      <c r="BO206" s="83" t="str">
        <f>HYPERLINK("https://twitter.com/rodaseca")</f>
        <v>https://twitter.com/rodaseca</v>
      </c>
      <c r="BP206" s="2"/>
    </row>
    <row r="207" spans="1:68" x14ac:dyDescent="0.25">
      <c r="A207" s="62" t="s">
        <v>386</v>
      </c>
      <c r="B207" s="63"/>
      <c r="C207" s="63"/>
      <c r="D207" s="64"/>
      <c r="E207" s="66"/>
      <c r="F207" s="102" t="str">
        <f>HYPERLINK("https://pbs.twimg.com/profile_images/1684688754299023360/qAc2FJ_A_normal.jpg")</f>
        <v>https://pbs.twimg.com/profile_images/1684688754299023360/qAc2FJ_A_normal.jpg</v>
      </c>
      <c r="G207" s="63"/>
      <c r="H207" s="67"/>
      <c r="I207" s="68"/>
      <c r="J207" s="68"/>
      <c r="K207" s="67" t="s">
        <v>18910</v>
      </c>
      <c r="L207" s="71"/>
      <c r="M207" s="72"/>
      <c r="N207" s="72"/>
      <c r="O207" s="73"/>
      <c r="P207" s="74"/>
      <c r="Q207" s="74"/>
      <c r="R207" s="86"/>
      <c r="S207" s="86"/>
      <c r="T207" s="86"/>
      <c r="U207" s="86"/>
      <c r="V207" s="48"/>
      <c r="W207" s="48"/>
      <c r="X207" s="48"/>
      <c r="Y207" s="48"/>
      <c r="Z207" s="47"/>
      <c r="AA207" s="69">
        <v>207</v>
      </c>
      <c r="AB207" s="69"/>
      <c r="AC207" s="70"/>
      <c r="AD207" s="76" t="s">
        <v>16636</v>
      </c>
      <c r="AE207" s="81" t="s">
        <v>17178</v>
      </c>
      <c r="AF207" s="76">
        <v>250</v>
      </c>
      <c r="AG207" s="76">
        <v>657</v>
      </c>
      <c r="AH207" s="76">
        <v>83926</v>
      </c>
      <c r="AI207" s="76">
        <v>15</v>
      </c>
      <c r="AJ207" s="76">
        <v>66</v>
      </c>
      <c r="AK207" s="76">
        <v>1033</v>
      </c>
      <c r="AL207" s="76" t="b">
        <v>0</v>
      </c>
      <c r="AM207" s="78">
        <v>40290.226342592592</v>
      </c>
      <c r="AN207" s="76" t="s">
        <v>17474</v>
      </c>
      <c r="AO207" s="76" t="s">
        <v>17828</v>
      </c>
      <c r="AP207" s="83" t="str">
        <f>HYPERLINK("https://t.co/pYqSAeu2sx")</f>
        <v>https://t.co/pYqSAeu2sx</v>
      </c>
      <c r="AQ207" s="83" t="str">
        <f>HYPERLINK("http://gruppekurheinzich.wordpress.com")</f>
        <v>http://gruppekurheinzich.wordpress.com</v>
      </c>
      <c r="AR207" s="76" t="s">
        <v>18359</v>
      </c>
      <c r="AS207" s="76"/>
      <c r="AT207" s="76"/>
      <c r="AU207" s="76"/>
      <c r="AV207" s="76"/>
      <c r="AW207" s="83" t="str">
        <f>HYPERLINK("https://t.co/pYqSAeu2sx")</f>
        <v>https://t.co/pYqSAeu2sx</v>
      </c>
      <c r="AX207" s="76" t="b">
        <v>0</v>
      </c>
      <c r="AY207" s="76"/>
      <c r="AZ207" s="76"/>
      <c r="BA207" s="76" t="b">
        <v>0</v>
      </c>
      <c r="BB207" s="76" t="b">
        <v>1</v>
      </c>
      <c r="BC207" s="76" t="b">
        <v>0</v>
      </c>
      <c r="BD207" s="76" t="b">
        <v>0</v>
      </c>
      <c r="BE207" s="76" t="b">
        <v>0</v>
      </c>
      <c r="BF207" s="76" t="b">
        <v>0</v>
      </c>
      <c r="BG207" s="76" t="b">
        <v>0</v>
      </c>
      <c r="BH207" s="83" t="str">
        <f>HYPERLINK("https://pbs.twimg.com/profile_banners/135761946/1669169042")</f>
        <v>https://pbs.twimg.com/profile_banners/135761946/1669169042</v>
      </c>
      <c r="BI207" s="76"/>
      <c r="BJ207" s="76" t="s">
        <v>18704</v>
      </c>
      <c r="BK207" s="76" t="b">
        <v>0</v>
      </c>
      <c r="BL207" s="76"/>
      <c r="BM207" s="76" t="s">
        <v>66</v>
      </c>
      <c r="BN207" s="76" t="s">
        <v>18706</v>
      </c>
      <c r="BO207" s="83" t="str">
        <f>HYPERLINK("https://twitter.com/herdersonfile")</f>
        <v>https://twitter.com/herdersonfile</v>
      </c>
      <c r="BP207" s="2"/>
    </row>
    <row r="208" spans="1:68" x14ac:dyDescent="0.25">
      <c r="A208" s="62" t="s">
        <v>773</v>
      </c>
      <c r="B208" s="63"/>
      <c r="C208" s="63"/>
      <c r="D208" s="64"/>
      <c r="E208" s="66"/>
      <c r="F208" s="102" t="str">
        <f>HYPERLINK("https://pbs.twimg.com/profile_images/1349868685092147203/YzdFwpdN_normal.jpg")</f>
        <v>https://pbs.twimg.com/profile_images/1349868685092147203/YzdFwpdN_normal.jpg</v>
      </c>
      <c r="G208" s="63"/>
      <c r="H208" s="67"/>
      <c r="I208" s="68"/>
      <c r="J208" s="68"/>
      <c r="K208" s="67" t="s">
        <v>18911</v>
      </c>
      <c r="L208" s="71"/>
      <c r="M208" s="72"/>
      <c r="N208" s="72"/>
      <c r="O208" s="73"/>
      <c r="P208" s="74"/>
      <c r="Q208" s="74"/>
      <c r="R208" s="86"/>
      <c r="S208" s="86"/>
      <c r="T208" s="86"/>
      <c r="U208" s="86"/>
      <c r="V208" s="48"/>
      <c r="W208" s="48"/>
      <c r="X208" s="48"/>
      <c r="Y208" s="48"/>
      <c r="Z208" s="47"/>
      <c r="AA208" s="69">
        <v>208</v>
      </c>
      <c r="AB208" s="69"/>
      <c r="AC208" s="70"/>
      <c r="AD208" s="76" t="s">
        <v>16637</v>
      </c>
      <c r="AE208" s="81" t="s">
        <v>17179</v>
      </c>
      <c r="AF208" s="76">
        <v>473</v>
      </c>
      <c r="AG208" s="76">
        <v>275</v>
      </c>
      <c r="AH208" s="76">
        <v>1843</v>
      </c>
      <c r="AI208" s="76">
        <v>5</v>
      </c>
      <c r="AJ208" s="76">
        <v>107</v>
      </c>
      <c r="AK208" s="76">
        <v>282</v>
      </c>
      <c r="AL208" s="76" t="b">
        <v>0</v>
      </c>
      <c r="AM208" s="78">
        <v>44210.993981481479</v>
      </c>
      <c r="AN208" s="76"/>
      <c r="AO208" s="76" t="s">
        <v>17829</v>
      </c>
      <c r="AP208" s="83" t="str">
        <f>HYPERLINK("https://t.co/aWeCY1IIy2")</f>
        <v>https://t.co/aWeCY1IIy2</v>
      </c>
      <c r="AQ208" s="83" t="str">
        <f>HYPERLINK("https://www.instagram.com/vmiziara/")</f>
        <v>https://www.instagram.com/vmiziara/</v>
      </c>
      <c r="AR208" s="76" t="s">
        <v>18360</v>
      </c>
      <c r="AS208" s="76"/>
      <c r="AT208" s="76"/>
      <c r="AU208" s="76"/>
      <c r="AV208" s="76"/>
      <c r="AW208" s="83" t="str">
        <f>HYPERLINK("https://t.co/aWeCY1IIy2")</f>
        <v>https://t.co/aWeCY1IIy2</v>
      </c>
      <c r="AX208" s="76" t="b">
        <v>0</v>
      </c>
      <c r="AY208" s="76"/>
      <c r="AZ208" s="76"/>
      <c r="BA208" s="76" t="b">
        <v>0</v>
      </c>
      <c r="BB208" s="76" t="b">
        <v>1</v>
      </c>
      <c r="BC208" s="76" t="b">
        <v>1</v>
      </c>
      <c r="BD208" s="76" t="b">
        <v>0</v>
      </c>
      <c r="BE208" s="76" t="b">
        <v>1</v>
      </c>
      <c r="BF208" s="76" t="b">
        <v>0</v>
      </c>
      <c r="BG208" s="76" t="b">
        <v>0</v>
      </c>
      <c r="BH208" s="83" t="str">
        <f>HYPERLINK("https://pbs.twimg.com/profile_banners/1349866681666056192/1610668860")</f>
        <v>https://pbs.twimg.com/profile_banners/1349866681666056192/1610668860</v>
      </c>
      <c r="BI208" s="76"/>
      <c r="BJ208" s="76" t="s">
        <v>18704</v>
      </c>
      <c r="BK208" s="76" t="b">
        <v>0</v>
      </c>
      <c r="BL208" s="76"/>
      <c r="BM208" s="76" t="s">
        <v>65</v>
      </c>
      <c r="BN208" s="76" t="s">
        <v>18706</v>
      </c>
      <c r="BO208" s="83" t="str">
        <f>HYPERLINK("https://twitter.com/vmiziara_")</f>
        <v>https://twitter.com/vmiziara_</v>
      </c>
      <c r="BP208" s="2"/>
    </row>
    <row r="209" spans="1:68" x14ac:dyDescent="0.25">
      <c r="A209" s="62" t="s">
        <v>774</v>
      </c>
      <c r="B209" s="63"/>
      <c r="C209" s="63"/>
      <c r="D209" s="64"/>
      <c r="E209" s="66"/>
      <c r="F209" s="102" t="str">
        <f>HYPERLINK("https://pbs.twimg.com/profile_images/378800000753995411/1c018c9ea81def2c6f27484802ffc878_normal.jpeg")</f>
        <v>https://pbs.twimg.com/profile_images/378800000753995411/1c018c9ea81def2c6f27484802ffc878_normal.jpeg</v>
      </c>
      <c r="G209" s="63"/>
      <c r="H209" s="67"/>
      <c r="I209" s="68"/>
      <c r="J209" s="68"/>
      <c r="K209" s="67" t="s">
        <v>18912</v>
      </c>
      <c r="L209" s="71"/>
      <c r="M209" s="72"/>
      <c r="N209" s="72"/>
      <c r="O209" s="73"/>
      <c r="P209" s="74"/>
      <c r="Q209" s="74"/>
      <c r="R209" s="86"/>
      <c r="S209" s="86"/>
      <c r="T209" s="86"/>
      <c r="U209" s="86"/>
      <c r="V209" s="48"/>
      <c r="W209" s="48"/>
      <c r="X209" s="48"/>
      <c r="Y209" s="48"/>
      <c r="Z209" s="47"/>
      <c r="AA209" s="69">
        <v>209</v>
      </c>
      <c r="AB209" s="69"/>
      <c r="AC209" s="70"/>
      <c r="AD209" s="76" t="s">
        <v>16638</v>
      </c>
      <c r="AE209" s="81" t="s">
        <v>17180</v>
      </c>
      <c r="AF209" s="76">
        <v>16</v>
      </c>
      <c r="AG209" s="76">
        <v>4</v>
      </c>
      <c r="AH209" s="76">
        <v>0</v>
      </c>
      <c r="AI209" s="76">
        <v>3</v>
      </c>
      <c r="AJ209" s="76">
        <v>1</v>
      </c>
      <c r="AK209" s="76">
        <v>0</v>
      </c>
      <c r="AL209" s="76" t="b">
        <v>0</v>
      </c>
      <c r="AM209" s="78">
        <v>40837.421099537038</v>
      </c>
      <c r="AN209" s="76" t="s">
        <v>10601</v>
      </c>
      <c r="AO209" s="76"/>
      <c r="AP209" s="76"/>
      <c r="AQ209" s="76"/>
      <c r="AR209" s="76"/>
      <c r="AS209" s="76"/>
      <c r="AT209" s="76"/>
      <c r="AU209" s="76"/>
      <c r="AV209" s="76"/>
      <c r="AW209" s="76"/>
      <c r="AX209" s="76" t="b">
        <v>0</v>
      </c>
      <c r="AY209" s="76"/>
      <c r="AZ209" s="76"/>
      <c r="BA209" s="76" t="b">
        <v>0</v>
      </c>
      <c r="BB209" s="76" t="b">
        <v>1</v>
      </c>
      <c r="BC209" s="76" t="b">
        <v>1</v>
      </c>
      <c r="BD209" s="76" t="b">
        <v>0</v>
      </c>
      <c r="BE209" s="76" t="b">
        <v>0</v>
      </c>
      <c r="BF209" s="76" t="b">
        <v>0</v>
      </c>
      <c r="BG209" s="76" t="b">
        <v>0</v>
      </c>
      <c r="BH209" s="83" t="str">
        <f>HYPERLINK("https://pbs.twimg.com/profile_banners/395220839/1384720725")</f>
        <v>https://pbs.twimg.com/profile_banners/395220839/1384720725</v>
      </c>
      <c r="BI209" s="76"/>
      <c r="BJ209" s="76" t="s">
        <v>18704</v>
      </c>
      <c r="BK209" s="76" t="b">
        <v>0</v>
      </c>
      <c r="BL209" s="76"/>
      <c r="BM209" s="76" t="s">
        <v>65</v>
      </c>
      <c r="BN209" s="76" t="s">
        <v>18706</v>
      </c>
      <c r="BO209" s="83" t="str">
        <f>HYPERLINK("https://twitter.com/luciana_seabra")</f>
        <v>https://twitter.com/luciana_seabra</v>
      </c>
      <c r="BP209" s="2"/>
    </row>
    <row r="210" spans="1:68" x14ac:dyDescent="0.25">
      <c r="A210" s="62" t="s">
        <v>775</v>
      </c>
      <c r="B210" s="63"/>
      <c r="C210" s="63"/>
      <c r="D210" s="64"/>
      <c r="E210" s="66"/>
      <c r="F210" s="102" t="str">
        <f>HYPERLINK("https://pbs.twimg.com/profile_images/811587764739260420/Z5K4_z5S_normal.jpg")</f>
        <v>https://pbs.twimg.com/profile_images/811587764739260420/Z5K4_z5S_normal.jpg</v>
      </c>
      <c r="G210" s="63"/>
      <c r="H210" s="67"/>
      <c r="I210" s="68"/>
      <c r="J210" s="68"/>
      <c r="K210" s="67" t="s">
        <v>18913</v>
      </c>
      <c r="L210" s="71"/>
      <c r="M210" s="72"/>
      <c r="N210" s="72"/>
      <c r="O210" s="73"/>
      <c r="P210" s="74"/>
      <c r="Q210" s="74"/>
      <c r="R210" s="86"/>
      <c r="S210" s="86"/>
      <c r="T210" s="86"/>
      <c r="U210" s="86"/>
      <c r="V210" s="48"/>
      <c r="W210" s="48"/>
      <c r="X210" s="48"/>
      <c r="Y210" s="48"/>
      <c r="Z210" s="47"/>
      <c r="AA210" s="69">
        <v>210</v>
      </c>
      <c r="AB210" s="69"/>
      <c r="AC210" s="70"/>
      <c r="AD210" s="76" t="s">
        <v>16639</v>
      </c>
      <c r="AE210" s="81" t="s">
        <v>17181</v>
      </c>
      <c r="AF210" s="76">
        <v>25703</v>
      </c>
      <c r="AG210" s="76">
        <v>954</v>
      </c>
      <c r="AH210" s="76">
        <v>13014</v>
      </c>
      <c r="AI210" s="76">
        <v>361</v>
      </c>
      <c r="AJ210" s="76">
        <v>8478</v>
      </c>
      <c r="AK210" s="76">
        <v>287</v>
      </c>
      <c r="AL210" s="76" t="b">
        <v>0</v>
      </c>
      <c r="AM210" s="78">
        <v>41541.634837962964</v>
      </c>
      <c r="AN210" s="76" t="s">
        <v>17475</v>
      </c>
      <c r="AO210" s="76" t="s">
        <v>17830</v>
      </c>
      <c r="AP210" s="83" t="str">
        <f>HYPERLINK("https://t.co/KWkviaZSmV")</f>
        <v>https://t.co/KWkviaZSmV</v>
      </c>
      <c r="AQ210" s="83" t="str">
        <f>HYPERLINK("https://linktr.ee/ThiagodeAragao")</f>
        <v>https://linktr.ee/ThiagodeAragao</v>
      </c>
      <c r="AR210" s="76" t="s">
        <v>18361</v>
      </c>
      <c r="AS210" s="83" t="str">
        <f>HYPERLINK("https://t.co/lJAZY1NFRa")</f>
        <v>https://t.co/lJAZY1NFRa</v>
      </c>
      <c r="AT210" s="83" t="str">
        <f>HYPERLINK("http://bit.ly/ThiagodeAragao")</f>
        <v>http://bit.ly/ThiagodeAragao</v>
      </c>
      <c r="AU210" s="76" t="s">
        <v>18663</v>
      </c>
      <c r="AV210" s="76">
        <v>1.3957748830497101E+18</v>
      </c>
      <c r="AW210" s="83" t="str">
        <f>HYPERLINK("https://t.co/KWkviaZSmV")</f>
        <v>https://t.co/KWkviaZSmV</v>
      </c>
      <c r="AX210" s="76" t="b">
        <v>0</v>
      </c>
      <c r="AY210" s="76"/>
      <c r="AZ210" s="76"/>
      <c r="BA210" s="76" t="b">
        <v>1</v>
      </c>
      <c r="BB210" s="76" t="b">
        <v>0</v>
      </c>
      <c r="BC210" s="76" t="b">
        <v>0</v>
      </c>
      <c r="BD210" s="76" t="b">
        <v>0</v>
      </c>
      <c r="BE210" s="76" t="b">
        <v>1</v>
      </c>
      <c r="BF210" s="76" t="b">
        <v>0</v>
      </c>
      <c r="BG210" s="76" t="b">
        <v>0</v>
      </c>
      <c r="BH210" s="83" t="str">
        <f>HYPERLINK("https://pbs.twimg.com/profile_banners/1900803692/1598478290")</f>
        <v>https://pbs.twimg.com/profile_banners/1900803692/1598478290</v>
      </c>
      <c r="BI210" s="76"/>
      <c r="BJ210" s="76" t="s">
        <v>18704</v>
      </c>
      <c r="BK210" s="76" t="b">
        <v>0</v>
      </c>
      <c r="BL210" s="76"/>
      <c r="BM210" s="76" t="s">
        <v>65</v>
      </c>
      <c r="BN210" s="76" t="s">
        <v>18706</v>
      </c>
      <c r="BO210" s="83" t="str">
        <f>HYPERLINK("https://twitter.com/thiagogdearagao")</f>
        <v>https://twitter.com/thiagogdearagao</v>
      </c>
      <c r="BP210" s="2"/>
    </row>
    <row r="211" spans="1:68" x14ac:dyDescent="0.25">
      <c r="A211" s="62" t="s">
        <v>776</v>
      </c>
      <c r="B211" s="63"/>
      <c r="C211" s="63"/>
      <c r="D211" s="64"/>
      <c r="E211" s="66"/>
      <c r="F211" s="102" t="str">
        <f>HYPERLINK("https://pbs.twimg.com/profile_images/1658834964702535682/cWQOcxjC_normal.jpg")</f>
        <v>https://pbs.twimg.com/profile_images/1658834964702535682/cWQOcxjC_normal.jpg</v>
      </c>
      <c r="G211" s="63"/>
      <c r="H211" s="67"/>
      <c r="I211" s="68"/>
      <c r="J211" s="68"/>
      <c r="K211" s="67" t="s">
        <v>18914</v>
      </c>
      <c r="L211" s="71"/>
      <c r="M211" s="72"/>
      <c r="N211" s="72"/>
      <c r="O211" s="73"/>
      <c r="P211" s="74"/>
      <c r="Q211" s="74"/>
      <c r="R211" s="86"/>
      <c r="S211" s="86"/>
      <c r="T211" s="86"/>
      <c r="U211" s="86"/>
      <c r="V211" s="48"/>
      <c r="W211" s="48"/>
      <c r="X211" s="48"/>
      <c r="Y211" s="48"/>
      <c r="Z211" s="47"/>
      <c r="AA211" s="69">
        <v>211</v>
      </c>
      <c r="AB211" s="69"/>
      <c r="AC211" s="70"/>
      <c r="AD211" s="76" t="s">
        <v>16640</v>
      </c>
      <c r="AE211" s="81" t="s">
        <v>17182</v>
      </c>
      <c r="AF211" s="76">
        <v>3</v>
      </c>
      <c r="AG211" s="76">
        <v>98</v>
      </c>
      <c r="AH211" s="76">
        <v>19</v>
      </c>
      <c r="AI211" s="76">
        <v>1</v>
      </c>
      <c r="AJ211" s="76">
        <v>38</v>
      </c>
      <c r="AK211" s="76">
        <v>11</v>
      </c>
      <c r="AL211" s="76" t="b">
        <v>0</v>
      </c>
      <c r="AM211" s="78">
        <v>44763.604548611111</v>
      </c>
      <c r="AN211" s="76"/>
      <c r="AO211" s="76" t="s">
        <v>17831</v>
      </c>
      <c r="AP211" s="76"/>
      <c r="AQ211" s="76"/>
      <c r="AR211" s="76"/>
      <c r="AS211" s="76"/>
      <c r="AT211" s="76"/>
      <c r="AU211" s="76"/>
      <c r="AV211" s="76"/>
      <c r="AW211" s="76"/>
      <c r="AX211" s="76" t="b">
        <v>0</v>
      </c>
      <c r="AY211" s="76"/>
      <c r="AZ211" s="76"/>
      <c r="BA211" s="76" t="b">
        <v>0</v>
      </c>
      <c r="BB211" s="76" t="b">
        <v>1</v>
      </c>
      <c r="BC211" s="76" t="b">
        <v>1</v>
      </c>
      <c r="BD211" s="76" t="b">
        <v>0</v>
      </c>
      <c r="BE211" s="76" t="b">
        <v>0</v>
      </c>
      <c r="BF211" s="76" t="b">
        <v>0</v>
      </c>
      <c r="BG211" s="76" t="b">
        <v>0</v>
      </c>
      <c r="BH211" s="76"/>
      <c r="BI211" s="76"/>
      <c r="BJ211" s="76" t="s">
        <v>18704</v>
      </c>
      <c r="BK211" s="76" t="b">
        <v>0</v>
      </c>
      <c r="BL211" s="76"/>
      <c r="BM211" s="76" t="s">
        <v>65</v>
      </c>
      <c r="BN211" s="76" t="s">
        <v>18706</v>
      </c>
      <c r="BO211" s="83" t="str">
        <f>HYPERLINK("https://twitter.com/brunomonsanto_")</f>
        <v>https://twitter.com/brunomonsanto_</v>
      </c>
      <c r="BP211" s="2"/>
    </row>
    <row r="212" spans="1:68" x14ac:dyDescent="0.25">
      <c r="A212" s="62" t="s">
        <v>777</v>
      </c>
      <c r="B212" s="63"/>
      <c r="C212" s="63"/>
      <c r="D212" s="64"/>
      <c r="E212" s="66"/>
      <c r="F212" s="102" t="str">
        <f>HYPERLINK("https://pbs.twimg.com/profile_images/1444071150691262466/J-1txJFs_normal.jpg")</f>
        <v>https://pbs.twimg.com/profile_images/1444071150691262466/J-1txJFs_normal.jpg</v>
      </c>
      <c r="G212" s="63"/>
      <c r="H212" s="67"/>
      <c r="I212" s="68"/>
      <c r="J212" s="68"/>
      <c r="K212" s="67" t="s">
        <v>18915</v>
      </c>
      <c r="L212" s="71"/>
      <c r="M212" s="72"/>
      <c r="N212" s="72"/>
      <c r="O212" s="73"/>
      <c r="P212" s="74"/>
      <c r="Q212" s="74"/>
      <c r="R212" s="86"/>
      <c r="S212" s="86"/>
      <c r="T212" s="86"/>
      <c r="U212" s="86"/>
      <c r="V212" s="48"/>
      <c r="W212" s="48"/>
      <c r="X212" s="48"/>
      <c r="Y212" s="48"/>
      <c r="Z212" s="47"/>
      <c r="AA212" s="69">
        <v>212</v>
      </c>
      <c r="AB212" s="69"/>
      <c r="AC212" s="70"/>
      <c r="AD212" s="76" t="s">
        <v>16641</v>
      </c>
      <c r="AE212" s="81" t="s">
        <v>17183</v>
      </c>
      <c r="AF212" s="76">
        <v>859</v>
      </c>
      <c r="AG212" s="76">
        <v>44</v>
      </c>
      <c r="AH212" s="76">
        <v>1155</v>
      </c>
      <c r="AI212" s="76">
        <v>10</v>
      </c>
      <c r="AJ212" s="76">
        <v>125</v>
      </c>
      <c r="AK212" s="76">
        <v>194</v>
      </c>
      <c r="AL212" s="76" t="b">
        <v>0</v>
      </c>
      <c r="AM212" s="78">
        <v>43507.693113425928</v>
      </c>
      <c r="AN212" s="76" t="s">
        <v>10586</v>
      </c>
      <c r="AO212" s="76" t="s">
        <v>17832</v>
      </c>
      <c r="AP212" s="83" t="str">
        <f>HYPERLINK("https://t.co/zAIWnDpaay")</f>
        <v>https://t.co/zAIWnDpaay</v>
      </c>
      <c r="AQ212" s="83" t="str">
        <f>HYPERLINK("https://1bilhao.com.br")</f>
        <v>https://1bilhao.com.br</v>
      </c>
      <c r="AR212" s="76" t="s">
        <v>18362</v>
      </c>
      <c r="AS212" s="76"/>
      <c r="AT212" s="76"/>
      <c r="AU212" s="76"/>
      <c r="AV212" s="76">
        <v>1.21287036907969E+18</v>
      </c>
      <c r="AW212" s="83" t="str">
        <f>HYPERLINK("https://t.co/zAIWnDpaay")</f>
        <v>https://t.co/zAIWnDpaay</v>
      </c>
      <c r="AX212" s="76" t="b">
        <v>0</v>
      </c>
      <c r="AY212" s="76"/>
      <c r="AZ212" s="76"/>
      <c r="BA212" s="76" t="b">
        <v>0</v>
      </c>
      <c r="BB212" s="76" t="b">
        <v>1</v>
      </c>
      <c r="BC212" s="76" t="b">
        <v>1</v>
      </c>
      <c r="BD212" s="76" t="b">
        <v>0</v>
      </c>
      <c r="BE212" s="76" t="b">
        <v>1</v>
      </c>
      <c r="BF212" s="76" t="b">
        <v>0</v>
      </c>
      <c r="BG212" s="76" t="b">
        <v>0</v>
      </c>
      <c r="BH212" s="83" t="str">
        <f>HYPERLINK("https://pbs.twimg.com/profile_banners/1094999019825360897/1628608636")</f>
        <v>https://pbs.twimg.com/profile_banners/1094999019825360897/1628608636</v>
      </c>
      <c r="BI212" s="76"/>
      <c r="BJ212" s="76" t="s">
        <v>18704</v>
      </c>
      <c r="BK212" s="76" t="b">
        <v>0</v>
      </c>
      <c r="BL212" s="76"/>
      <c r="BM212" s="76" t="s">
        <v>65</v>
      </c>
      <c r="BN212" s="76" t="s">
        <v>18706</v>
      </c>
      <c r="BO212" s="83" t="str">
        <f>HYPERLINK("https://twitter.com/1bilhao_")</f>
        <v>https://twitter.com/1bilhao_</v>
      </c>
      <c r="BP212" s="2"/>
    </row>
    <row r="213" spans="1:68" x14ac:dyDescent="0.25">
      <c r="A213" s="62" t="s">
        <v>778</v>
      </c>
      <c r="B213" s="63"/>
      <c r="C213" s="63"/>
      <c r="D213" s="64"/>
      <c r="E213" s="66"/>
      <c r="F213" s="102" t="str">
        <f>HYPERLINK("https://pbs.twimg.com/profile_images/1303269596326232064/Q70pS7TT_normal.jpg")</f>
        <v>https://pbs.twimg.com/profile_images/1303269596326232064/Q70pS7TT_normal.jpg</v>
      </c>
      <c r="G213" s="63"/>
      <c r="H213" s="67"/>
      <c r="I213" s="68"/>
      <c r="J213" s="68"/>
      <c r="K213" s="67" t="s">
        <v>18916</v>
      </c>
      <c r="L213" s="71"/>
      <c r="M213" s="72"/>
      <c r="N213" s="72"/>
      <c r="O213" s="73"/>
      <c r="P213" s="74"/>
      <c r="Q213" s="74"/>
      <c r="R213" s="86"/>
      <c r="S213" s="86"/>
      <c r="T213" s="86"/>
      <c r="U213" s="86"/>
      <c r="V213" s="48"/>
      <c r="W213" s="48"/>
      <c r="X213" s="48"/>
      <c r="Y213" s="48"/>
      <c r="Z213" s="47"/>
      <c r="AA213" s="69">
        <v>213</v>
      </c>
      <c r="AB213" s="69"/>
      <c r="AC213" s="70"/>
      <c r="AD213" s="76" t="s">
        <v>16642</v>
      </c>
      <c r="AE213" s="81" t="s">
        <v>17184</v>
      </c>
      <c r="AF213" s="76">
        <v>21970</v>
      </c>
      <c r="AG213" s="76">
        <v>486</v>
      </c>
      <c r="AH213" s="76">
        <v>10902</v>
      </c>
      <c r="AI213" s="76">
        <v>394</v>
      </c>
      <c r="AJ213" s="76">
        <v>25520</v>
      </c>
      <c r="AK213" s="76">
        <v>1854</v>
      </c>
      <c r="AL213" s="76" t="b">
        <v>0</v>
      </c>
      <c r="AM213" s="78">
        <v>40559.979745370372</v>
      </c>
      <c r="AN213" s="76" t="s">
        <v>10586</v>
      </c>
      <c r="AO213" s="76" t="s">
        <v>17833</v>
      </c>
      <c r="AP213" s="83" t="str">
        <f>HYPERLINK("https://t.co/5A8h2YUYmO")</f>
        <v>https://t.co/5A8h2YUYmO</v>
      </c>
      <c r="AQ213" s="83" t="str">
        <f>HYPERLINK("http://linktr.ee/marcosaravalle")</f>
        <v>http://linktr.ee/marcosaravalle</v>
      </c>
      <c r="AR213" s="76" t="s">
        <v>18363</v>
      </c>
      <c r="AS213" s="76"/>
      <c r="AT213" s="76"/>
      <c r="AU213" s="76"/>
      <c r="AV213" s="76"/>
      <c r="AW213" s="83" t="str">
        <f>HYPERLINK("https://t.co/5A8h2YUYmO")</f>
        <v>https://t.co/5A8h2YUYmO</v>
      </c>
      <c r="AX213" s="76" t="b">
        <v>0</v>
      </c>
      <c r="AY213" s="76"/>
      <c r="AZ213" s="76"/>
      <c r="BA213" s="76" t="b">
        <v>1</v>
      </c>
      <c r="BB213" s="76" t="b">
        <v>1</v>
      </c>
      <c r="BC213" s="76" t="b">
        <v>1</v>
      </c>
      <c r="BD213" s="76" t="b">
        <v>0</v>
      </c>
      <c r="BE213" s="76" t="b">
        <v>1</v>
      </c>
      <c r="BF213" s="76" t="b">
        <v>0</v>
      </c>
      <c r="BG213" s="76" t="b">
        <v>0</v>
      </c>
      <c r="BH213" s="83" t="str">
        <f>HYPERLINK("https://pbs.twimg.com/profile_banners/239153784/1571448083")</f>
        <v>https://pbs.twimg.com/profile_banners/239153784/1571448083</v>
      </c>
      <c r="BI213" s="76"/>
      <c r="BJ213" s="76" t="s">
        <v>18704</v>
      </c>
      <c r="BK213" s="76" t="b">
        <v>0</v>
      </c>
      <c r="BL213" s="76"/>
      <c r="BM213" s="76" t="s">
        <v>65</v>
      </c>
      <c r="BN213" s="76" t="s">
        <v>18706</v>
      </c>
      <c r="BO213" s="83" t="str">
        <f>HYPERLINK("https://twitter.com/marcosaravalle")</f>
        <v>https://twitter.com/marcosaravalle</v>
      </c>
      <c r="BP213" s="2"/>
    </row>
    <row r="214" spans="1:68" x14ac:dyDescent="0.25">
      <c r="A214" s="62" t="s">
        <v>388</v>
      </c>
      <c r="B214" s="63"/>
      <c r="C214" s="63"/>
      <c r="D214" s="64"/>
      <c r="E214" s="66"/>
      <c r="F214" s="102" t="str">
        <f>HYPERLINK("https://pbs.twimg.com/profile_images/1188109438189789184/Na1T-Ea0_normal.jpg")</f>
        <v>https://pbs.twimg.com/profile_images/1188109438189789184/Na1T-Ea0_normal.jpg</v>
      </c>
      <c r="G214" s="63"/>
      <c r="H214" s="67"/>
      <c r="I214" s="68"/>
      <c r="J214" s="68"/>
      <c r="K214" s="67" t="s">
        <v>18917</v>
      </c>
      <c r="L214" s="71"/>
      <c r="M214" s="72"/>
      <c r="N214" s="72"/>
      <c r="O214" s="73"/>
      <c r="P214" s="74"/>
      <c r="Q214" s="74"/>
      <c r="R214" s="86"/>
      <c r="S214" s="86"/>
      <c r="T214" s="86"/>
      <c r="U214" s="86"/>
      <c r="V214" s="48"/>
      <c r="W214" s="48"/>
      <c r="X214" s="48"/>
      <c r="Y214" s="48"/>
      <c r="Z214" s="47"/>
      <c r="AA214" s="69">
        <v>214</v>
      </c>
      <c r="AB214" s="69"/>
      <c r="AC214" s="70"/>
      <c r="AD214" s="76" t="s">
        <v>16643</v>
      </c>
      <c r="AE214" s="81" t="s">
        <v>16201</v>
      </c>
      <c r="AF214" s="76">
        <v>116</v>
      </c>
      <c r="AG214" s="76">
        <v>152</v>
      </c>
      <c r="AH214" s="76">
        <v>33966</v>
      </c>
      <c r="AI214" s="76">
        <v>3</v>
      </c>
      <c r="AJ214" s="76">
        <v>49467</v>
      </c>
      <c r="AK214" s="76">
        <v>12</v>
      </c>
      <c r="AL214" s="76" t="b">
        <v>0</v>
      </c>
      <c r="AM214" s="78">
        <v>42626.603900462964</v>
      </c>
      <c r="AN214" s="76" t="s">
        <v>17456</v>
      </c>
      <c r="AO214" s="76"/>
      <c r="AP214" s="76"/>
      <c r="AQ214" s="76"/>
      <c r="AR214" s="76"/>
      <c r="AS214" s="76"/>
      <c r="AT214" s="76"/>
      <c r="AU214" s="76"/>
      <c r="AV214" s="76"/>
      <c r="AW214" s="76"/>
      <c r="AX214" s="76" t="b">
        <v>0</v>
      </c>
      <c r="AY214" s="76"/>
      <c r="AZ214" s="76"/>
      <c r="BA214" s="76" t="b">
        <v>0</v>
      </c>
      <c r="BB214" s="76" t="b">
        <v>1</v>
      </c>
      <c r="BC214" s="76" t="b">
        <v>1</v>
      </c>
      <c r="BD214" s="76" t="b">
        <v>0</v>
      </c>
      <c r="BE214" s="76" t="b">
        <v>1</v>
      </c>
      <c r="BF214" s="76" t="b">
        <v>0</v>
      </c>
      <c r="BG214" s="76" t="b">
        <v>0</v>
      </c>
      <c r="BH214" s="76"/>
      <c r="BI214" s="76"/>
      <c r="BJ214" s="76" t="s">
        <v>18704</v>
      </c>
      <c r="BK214" s="76" t="b">
        <v>0</v>
      </c>
      <c r="BL214" s="76"/>
      <c r="BM214" s="76" t="s">
        <v>66</v>
      </c>
      <c r="BN214" s="76" t="s">
        <v>18706</v>
      </c>
      <c r="BO214" s="83" t="str">
        <f>HYPERLINK("https://twitter.com/imlondono")</f>
        <v>https://twitter.com/imlondono</v>
      </c>
      <c r="BP214" s="2"/>
    </row>
    <row r="215" spans="1:68" x14ac:dyDescent="0.25">
      <c r="A215" s="62" t="s">
        <v>389</v>
      </c>
      <c r="B215" s="63"/>
      <c r="C215" s="63"/>
      <c r="D215" s="64"/>
      <c r="E215" s="66"/>
      <c r="F215" s="102" t="str">
        <f>HYPERLINK("https://pbs.twimg.com/profile_images/1654237553636065282/s_FbzlFY_normal.jpg")</f>
        <v>https://pbs.twimg.com/profile_images/1654237553636065282/s_FbzlFY_normal.jpg</v>
      </c>
      <c r="G215" s="63"/>
      <c r="H215" s="67"/>
      <c r="I215" s="68"/>
      <c r="J215" s="68"/>
      <c r="K215" s="67" t="s">
        <v>18918</v>
      </c>
      <c r="L215" s="71"/>
      <c r="M215" s="72"/>
      <c r="N215" s="72"/>
      <c r="O215" s="73"/>
      <c r="P215" s="74"/>
      <c r="Q215" s="74"/>
      <c r="R215" s="86"/>
      <c r="S215" s="86"/>
      <c r="T215" s="86"/>
      <c r="U215" s="86"/>
      <c r="V215" s="48"/>
      <c r="W215" s="48"/>
      <c r="X215" s="48"/>
      <c r="Y215" s="48"/>
      <c r="Z215" s="47"/>
      <c r="AA215" s="69">
        <v>215</v>
      </c>
      <c r="AB215" s="69"/>
      <c r="AC215" s="70"/>
      <c r="AD215" s="76" t="s">
        <v>16644</v>
      </c>
      <c r="AE215" s="81" t="s">
        <v>16202</v>
      </c>
      <c r="AF215" s="76">
        <v>455</v>
      </c>
      <c r="AG215" s="76">
        <v>1370</v>
      </c>
      <c r="AH215" s="76">
        <v>7963</v>
      </c>
      <c r="AI215" s="76">
        <v>0</v>
      </c>
      <c r="AJ215" s="76">
        <v>728</v>
      </c>
      <c r="AK215" s="76">
        <v>4873</v>
      </c>
      <c r="AL215" s="76" t="b">
        <v>0</v>
      </c>
      <c r="AM215" s="78">
        <v>44267.587106481478</v>
      </c>
      <c r="AN215" s="76" t="s">
        <v>17476</v>
      </c>
      <c r="AO215" s="76" t="s">
        <v>17834</v>
      </c>
      <c r="AP215" s="83" t="str">
        <f>HYPERLINK("https://t.co/6VV1JNFIPN")</f>
        <v>https://t.co/6VV1JNFIPN</v>
      </c>
      <c r="AQ215" s="83" t="str">
        <f>HYPERLINK("https://onjornal.com/")</f>
        <v>https://onjornal.com/</v>
      </c>
      <c r="AR215" s="76" t="s">
        <v>18364</v>
      </c>
      <c r="AS215" s="76"/>
      <c r="AT215" s="76"/>
      <c r="AU215" s="76"/>
      <c r="AV215" s="76"/>
      <c r="AW215" s="83" t="str">
        <f>HYPERLINK("https://t.co/6VV1JNFIPN")</f>
        <v>https://t.co/6VV1JNFIPN</v>
      </c>
      <c r="AX215" s="76" t="b">
        <v>0</v>
      </c>
      <c r="AY215" s="76"/>
      <c r="AZ215" s="76"/>
      <c r="BA215" s="76" t="b">
        <v>0</v>
      </c>
      <c r="BB215" s="76" t="b">
        <v>1</v>
      </c>
      <c r="BC215" s="76" t="b">
        <v>1</v>
      </c>
      <c r="BD215" s="76" t="b">
        <v>0</v>
      </c>
      <c r="BE215" s="76" t="b">
        <v>0</v>
      </c>
      <c r="BF215" s="76" t="b">
        <v>0</v>
      </c>
      <c r="BG215" s="76" t="b">
        <v>0</v>
      </c>
      <c r="BH215" s="83" t="str">
        <f>HYPERLINK("https://pbs.twimg.com/profile_banners/1370375263356395524/1683235944")</f>
        <v>https://pbs.twimg.com/profile_banners/1370375263356395524/1683235944</v>
      </c>
      <c r="BI215" s="76"/>
      <c r="BJ215" s="76" t="s">
        <v>18704</v>
      </c>
      <c r="BK215" s="76" t="b">
        <v>0</v>
      </c>
      <c r="BL215" s="76"/>
      <c r="BM215" s="76" t="s">
        <v>66</v>
      </c>
      <c r="BN215" s="76" t="s">
        <v>18706</v>
      </c>
      <c r="BO215" s="83" t="str">
        <f>HYPERLINK("https://twitter.com/onjornal1")</f>
        <v>https://twitter.com/onjornal1</v>
      </c>
      <c r="BP215" s="2"/>
    </row>
    <row r="216" spans="1:68" x14ac:dyDescent="0.25">
      <c r="A216" s="62" t="s">
        <v>390</v>
      </c>
      <c r="B216" s="63"/>
      <c r="C216" s="63"/>
      <c r="D216" s="64"/>
      <c r="E216" s="66"/>
      <c r="F216" s="102" t="str">
        <f>HYPERLINK("https://pbs.twimg.com/profile_images/1561196862903812096/zw8nf7z8_normal.jpg")</f>
        <v>https://pbs.twimg.com/profile_images/1561196862903812096/zw8nf7z8_normal.jpg</v>
      </c>
      <c r="G216" s="63"/>
      <c r="H216" s="67"/>
      <c r="I216" s="68"/>
      <c r="J216" s="68"/>
      <c r="K216" s="67" t="s">
        <v>18919</v>
      </c>
      <c r="L216" s="71"/>
      <c r="M216" s="72"/>
      <c r="N216" s="72"/>
      <c r="O216" s="73"/>
      <c r="P216" s="74"/>
      <c r="Q216" s="74"/>
      <c r="R216" s="86"/>
      <c r="S216" s="86"/>
      <c r="T216" s="86"/>
      <c r="U216" s="86"/>
      <c r="V216" s="48"/>
      <c r="W216" s="48"/>
      <c r="X216" s="48"/>
      <c r="Y216" s="48"/>
      <c r="Z216" s="47"/>
      <c r="AA216" s="69">
        <v>216</v>
      </c>
      <c r="AB216" s="69"/>
      <c r="AC216" s="70"/>
      <c r="AD216" s="76" t="s">
        <v>16645</v>
      </c>
      <c r="AE216" s="81" t="s">
        <v>16203</v>
      </c>
      <c r="AF216" s="76">
        <v>20</v>
      </c>
      <c r="AG216" s="76">
        <v>42</v>
      </c>
      <c r="AH216" s="76">
        <v>117</v>
      </c>
      <c r="AI216" s="76">
        <v>1</v>
      </c>
      <c r="AJ216" s="76">
        <v>145</v>
      </c>
      <c r="AK216" s="76">
        <v>20</v>
      </c>
      <c r="AL216" s="76" t="b">
        <v>0</v>
      </c>
      <c r="AM216" s="78">
        <v>44794.014062499999</v>
      </c>
      <c r="AN216" s="76" t="s">
        <v>17477</v>
      </c>
      <c r="AO216" s="76" t="s">
        <v>17835</v>
      </c>
      <c r="AP216" s="76"/>
      <c r="AQ216" s="76"/>
      <c r="AR216" s="76"/>
      <c r="AS216" s="76"/>
      <c r="AT216" s="76"/>
      <c r="AU216" s="76"/>
      <c r="AV216" s="76"/>
      <c r="AW216" s="76"/>
      <c r="AX216" s="76" t="b">
        <v>0</v>
      </c>
      <c r="AY216" s="76"/>
      <c r="AZ216" s="76"/>
      <c r="BA216" s="76" t="b">
        <v>1</v>
      </c>
      <c r="BB216" s="76" t="b">
        <v>1</v>
      </c>
      <c r="BC216" s="76" t="b">
        <v>1</v>
      </c>
      <c r="BD216" s="76" t="b">
        <v>0</v>
      </c>
      <c r="BE216" s="76" t="b">
        <v>0</v>
      </c>
      <c r="BF216" s="76" t="b">
        <v>0</v>
      </c>
      <c r="BG216" s="76" t="b">
        <v>0</v>
      </c>
      <c r="BH216" s="83" t="str">
        <f>HYPERLINK("https://pbs.twimg.com/profile_banners/1561145503458418688/1661046814")</f>
        <v>https://pbs.twimg.com/profile_banners/1561145503458418688/1661046814</v>
      </c>
      <c r="BI216" s="76"/>
      <c r="BJ216" s="76" t="s">
        <v>18704</v>
      </c>
      <c r="BK216" s="76" t="b">
        <v>0</v>
      </c>
      <c r="BL216" s="76"/>
      <c r="BM216" s="76" t="s">
        <v>66</v>
      </c>
      <c r="BN216" s="76" t="s">
        <v>18706</v>
      </c>
      <c r="BO216" s="83" t="str">
        <f>HYPERLINK("https://twitter.com/luisyfinanzas")</f>
        <v>https://twitter.com/luisyfinanzas</v>
      </c>
      <c r="BP216" s="2"/>
    </row>
    <row r="217" spans="1:68" x14ac:dyDescent="0.25">
      <c r="A217" s="62" t="s">
        <v>391</v>
      </c>
      <c r="B217" s="63"/>
      <c r="C217" s="63"/>
      <c r="D217" s="64"/>
      <c r="E217" s="66"/>
      <c r="F217" s="102" t="str">
        <f>HYPERLINK("https://pbs.twimg.com/profile_images/1564389807702376458/1UGzDIk7_normal.jpg")</f>
        <v>https://pbs.twimg.com/profile_images/1564389807702376458/1UGzDIk7_normal.jpg</v>
      </c>
      <c r="G217" s="63"/>
      <c r="H217" s="67"/>
      <c r="I217" s="68"/>
      <c r="J217" s="68"/>
      <c r="K217" s="67" t="s">
        <v>18920</v>
      </c>
      <c r="L217" s="71"/>
      <c r="M217" s="72"/>
      <c r="N217" s="72"/>
      <c r="O217" s="73"/>
      <c r="P217" s="74"/>
      <c r="Q217" s="74"/>
      <c r="R217" s="86"/>
      <c r="S217" s="86"/>
      <c r="T217" s="86"/>
      <c r="U217" s="86"/>
      <c r="V217" s="48"/>
      <c r="W217" s="48"/>
      <c r="X217" s="48"/>
      <c r="Y217" s="48"/>
      <c r="Z217" s="47"/>
      <c r="AA217" s="69">
        <v>217</v>
      </c>
      <c r="AB217" s="69"/>
      <c r="AC217" s="70"/>
      <c r="AD217" s="76" t="s">
        <v>16646</v>
      </c>
      <c r="AE217" s="81" t="s">
        <v>17185</v>
      </c>
      <c r="AF217" s="76">
        <v>84</v>
      </c>
      <c r="AG217" s="76">
        <v>346</v>
      </c>
      <c r="AH217" s="76">
        <v>582</v>
      </c>
      <c r="AI217" s="76">
        <v>2</v>
      </c>
      <c r="AJ217" s="76">
        <v>1045</v>
      </c>
      <c r="AK217" s="76">
        <v>93</v>
      </c>
      <c r="AL217" s="76" t="b">
        <v>0</v>
      </c>
      <c r="AM217" s="78">
        <v>40012.721504629626</v>
      </c>
      <c r="AN217" s="76" t="s">
        <v>17478</v>
      </c>
      <c r="AO217" s="76" t="s">
        <v>17836</v>
      </c>
      <c r="AP217" s="83" t="str">
        <f>HYPERLINK("https://t.co/czl3C0J8lE")</f>
        <v>https://t.co/czl3C0J8lE</v>
      </c>
      <c r="AQ217" s="83" t="str">
        <f>HYPERLINK("http://www.nortusinvestimentos.com.br")</f>
        <v>http://www.nortusinvestimentos.com.br</v>
      </c>
      <c r="AR217" s="76" t="s">
        <v>18365</v>
      </c>
      <c r="AS217" s="76"/>
      <c r="AT217" s="76"/>
      <c r="AU217" s="76"/>
      <c r="AV217" s="76"/>
      <c r="AW217" s="83" t="str">
        <f>HYPERLINK("https://t.co/czl3C0J8lE")</f>
        <v>https://t.co/czl3C0J8lE</v>
      </c>
      <c r="AX217" s="76" t="b">
        <v>0</v>
      </c>
      <c r="AY217" s="76"/>
      <c r="AZ217" s="76"/>
      <c r="BA217" s="76" t="b">
        <v>0</v>
      </c>
      <c r="BB217" s="76" t="b">
        <v>0</v>
      </c>
      <c r="BC217" s="76" t="b">
        <v>0</v>
      </c>
      <c r="BD217" s="76" t="b">
        <v>0</v>
      </c>
      <c r="BE217" s="76" t="b">
        <v>1</v>
      </c>
      <c r="BF217" s="76" t="b">
        <v>0</v>
      </c>
      <c r="BG217" s="76" t="b">
        <v>0</v>
      </c>
      <c r="BH217" s="83" t="str">
        <f>HYPERLINK("https://pbs.twimg.com/profile_banners/57981116/1658760614")</f>
        <v>https://pbs.twimg.com/profile_banners/57981116/1658760614</v>
      </c>
      <c r="BI217" s="76"/>
      <c r="BJ217" s="76" t="s">
        <v>18704</v>
      </c>
      <c r="BK217" s="76" t="b">
        <v>0</v>
      </c>
      <c r="BL217" s="76"/>
      <c r="BM217" s="76" t="s">
        <v>66</v>
      </c>
      <c r="BN217" s="76" t="s">
        <v>18706</v>
      </c>
      <c r="BO217" s="83" t="str">
        <f>HYPERLINK("https://twitter.com/thiagobudni")</f>
        <v>https://twitter.com/thiagobudni</v>
      </c>
      <c r="BP217" s="2"/>
    </row>
    <row r="218" spans="1:68" x14ac:dyDescent="0.25">
      <c r="A218" s="62" t="s">
        <v>392</v>
      </c>
      <c r="B218" s="63"/>
      <c r="C218" s="63"/>
      <c r="D218" s="64"/>
      <c r="E218" s="66"/>
      <c r="F218" s="102" t="str">
        <f>HYPERLINK("https://pbs.twimg.com/profile_images/1652657341303607297/1JCFByj5_normal.jpg")</f>
        <v>https://pbs.twimg.com/profile_images/1652657341303607297/1JCFByj5_normal.jpg</v>
      </c>
      <c r="G218" s="63"/>
      <c r="H218" s="67"/>
      <c r="I218" s="68"/>
      <c r="J218" s="68"/>
      <c r="K218" s="67" t="s">
        <v>18921</v>
      </c>
      <c r="L218" s="71"/>
      <c r="M218" s="72"/>
      <c r="N218" s="72"/>
      <c r="O218" s="73"/>
      <c r="P218" s="74"/>
      <c r="Q218" s="74"/>
      <c r="R218" s="86"/>
      <c r="S218" s="86"/>
      <c r="T218" s="86"/>
      <c r="U218" s="86"/>
      <c r="V218" s="48"/>
      <c r="W218" s="48"/>
      <c r="X218" s="48"/>
      <c r="Y218" s="48"/>
      <c r="Z218" s="47"/>
      <c r="AA218" s="69">
        <v>218</v>
      </c>
      <c r="AB218" s="69"/>
      <c r="AC218" s="70"/>
      <c r="AD218" s="76" t="s">
        <v>16647</v>
      </c>
      <c r="AE218" s="81" t="s">
        <v>16204</v>
      </c>
      <c r="AF218" s="76">
        <v>19</v>
      </c>
      <c r="AG218" s="76">
        <v>181</v>
      </c>
      <c r="AH218" s="76">
        <v>246</v>
      </c>
      <c r="AI218" s="76">
        <v>0</v>
      </c>
      <c r="AJ218" s="76">
        <v>174</v>
      </c>
      <c r="AK218" s="76">
        <v>1</v>
      </c>
      <c r="AL218" s="76" t="b">
        <v>0</v>
      </c>
      <c r="AM218" s="78">
        <v>44549.418668981481</v>
      </c>
      <c r="AN218" s="76" t="s">
        <v>17479</v>
      </c>
      <c r="AO218" s="76" t="s">
        <v>17837</v>
      </c>
      <c r="AP218" s="76"/>
      <c r="AQ218" s="76"/>
      <c r="AR218" s="76"/>
      <c r="AS218" s="76"/>
      <c r="AT218" s="76"/>
      <c r="AU218" s="76"/>
      <c r="AV218" s="76"/>
      <c r="AW218" s="76"/>
      <c r="AX218" s="76" t="b">
        <v>0</v>
      </c>
      <c r="AY218" s="76"/>
      <c r="AZ218" s="76"/>
      <c r="BA218" s="76" t="b">
        <v>0</v>
      </c>
      <c r="BB218" s="76" t="b">
        <v>1</v>
      </c>
      <c r="BC218" s="76" t="b">
        <v>1</v>
      </c>
      <c r="BD218" s="76" t="b">
        <v>0</v>
      </c>
      <c r="BE218" s="76" t="b">
        <v>0</v>
      </c>
      <c r="BF218" s="76" t="b">
        <v>0</v>
      </c>
      <c r="BG218" s="76" t="b">
        <v>0</v>
      </c>
      <c r="BH218" s="83" t="str">
        <f>HYPERLINK("https://pbs.twimg.com/profile_banners/1472507650470461440/1682859191")</f>
        <v>https://pbs.twimg.com/profile_banners/1472507650470461440/1682859191</v>
      </c>
      <c r="BI218" s="76"/>
      <c r="BJ218" s="76" t="s">
        <v>18704</v>
      </c>
      <c r="BK218" s="76" t="b">
        <v>0</v>
      </c>
      <c r="BL218" s="76"/>
      <c r="BM218" s="76" t="s">
        <v>66</v>
      </c>
      <c r="BN218" s="76" t="s">
        <v>18706</v>
      </c>
      <c r="BO218" s="83" t="str">
        <f>HYPERLINK("https://twitter.com/granattif")</f>
        <v>https://twitter.com/granattif</v>
      </c>
      <c r="BP218" s="2"/>
    </row>
    <row r="219" spans="1:68" x14ac:dyDescent="0.25">
      <c r="A219" s="62" t="s">
        <v>779</v>
      </c>
      <c r="B219" s="63"/>
      <c r="C219" s="63"/>
      <c r="D219" s="64"/>
      <c r="E219" s="66"/>
      <c r="F219" s="102" t="str">
        <f>HYPERLINK("https://pbs.twimg.com/profile_images/1675923972024852481/FWcMFLjF_normal.jpg")</f>
        <v>https://pbs.twimg.com/profile_images/1675923972024852481/FWcMFLjF_normal.jpg</v>
      </c>
      <c r="G219" s="63"/>
      <c r="H219" s="67"/>
      <c r="I219" s="68"/>
      <c r="J219" s="68"/>
      <c r="K219" s="67" t="s">
        <v>18922</v>
      </c>
      <c r="L219" s="71"/>
      <c r="M219" s="72"/>
      <c r="N219" s="72"/>
      <c r="O219" s="73"/>
      <c r="P219" s="74"/>
      <c r="Q219" s="74"/>
      <c r="R219" s="86"/>
      <c r="S219" s="86"/>
      <c r="T219" s="86"/>
      <c r="U219" s="86"/>
      <c r="V219" s="48"/>
      <c r="W219" s="48"/>
      <c r="X219" s="48"/>
      <c r="Y219" s="48"/>
      <c r="Z219" s="47"/>
      <c r="AA219" s="69">
        <v>219</v>
      </c>
      <c r="AB219" s="69"/>
      <c r="AC219" s="70"/>
      <c r="AD219" s="76" t="s">
        <v>16648</v>
      </c>
      <c r="AE219" s="81" t="s">
        <v>15930</v>
      </c>
      <c r="AF219" s="76">
        <v>17036</v>
      </c>
      <c r="AG219" s="76">
        <v>260</v>
      </c>
      <c r="AH219" s="76">
        <v>501</v>
      </c>
      <c r="AI219" s="76">
        <v>23</v>
      </c>
      <c r="AJ219" s="76">
        <v>790</v>
      </c>
      <c r="AK219" s="76">
        <v>81</v>
      </c>
      <c r="AL219" s="76" t="b">
        <v>0</v>
      </c>
      <c r="AM219" s="78">
        <v>45063.790231481478</v>
      </c>
      <c r="AN219" s="76" t="s">
        <v>17480</v>
      </c>
      <c r="AO219" s="76" t="s">
        <v>17838</v>
      </c>
      <c r="AP219" s="83" t="str">
        <f>HYPERLINK("https://t.co/PFYTvBcEZ6")</f>
        <v>https://t.co/PFYTvBcEZ6</v>
      </c>
      <c r="AQ219" s="83" t="str">
        <f>HYPERLINK("http://t.me/sc_recap")</f>
        <v>http://t.me/sc_recap</v>
      </c>
      <c r="AR219" s="76" t="s">
        <v>18366</v>
      </c>
      <c r="AS219" s="76"/>
      <c r="AT219" s="76"/>
      <c r="AU219" s="76"/>
      <c r="AV219" s="76">
        <v>1.6873184231545999E+18</v>
      </c>
      <c r="AW219" s="83" t="str">
        <f>HYPERLINK("https://t.co/PFYTvBcEZ6")</f>
        <v>https://t.co/PFYTvBcEZ6</v>
      </c>
      <c r="AX219" s="76" t="b">
        <v>0</v>
      </c>
      <c r="AY219" s="76"/>
      <c r="AZ219" s="76"/>
      <c r="BA219" s="76" t="b">
        <v>1</v>
      </c>
      <c r="BB219" s="76" t="b">
        <v>1</v>
      </c>
      <c r="BC219" s="76" t="b">
        <v>1</v>
      </c>
      <c r="BD219" s="76" t="b">
        <v>0</v>
      </c>
      <c r="BE219" s="76" t="b">
        <v>0</v>
      </c>
      <c r="BF219" s="76" t="b">
        <v>0</v>
      </c>
      <c r="BG219" s="76" t="b">
        <v>0</v>
      </c>
      <c r="BH219" s="83" t="str">
        <f>HYPERLINK("https://pbs.twimg.com/profile_banners/1658909684856913922/1688700461")</f>
        <v>https://pbs.twimg.com/profile_banners/1658909684856913922/1688700461</v>
      </c>
      <c r="BI219" s="76"/>
      <c r="BJ219" s="76" t="s">
        <v>18704</v>
      </c>
      <c r="BK219" s="76" t="b">
        <v>0</v>
      </c>
      <c r="BL219" s="76"/>
      <c r="BM219" s="76" t="s">
        <v>65</v>
      </c>
      <c r="BN219" s="76" t="s">
        <v>18706</v>
      </c>
      <c r="BO219" s="83" t="str">
        <f>HYPERLINK("https://twitter.com/mantledaily_")</f>
        <v>https://twitter.com/mantledaily_</v>
      </c>
      <c r="BP219" s="2"/>
    </row>
    <row r="220" spans="1:68" x14ac:dyDescent="0.25">
      <c r="A220" s="62" t="s">
        <v>393</v>
      </c>
      <c r="B220" s="63"/>
      <c r="C220" s="63"/>
      <c r="D220" s="64"/>
      <c r="E220" s="66"/>
      <c r="F220" s="102" t="str">
        <f>HYPERLINK("https://pbs.twimg.com/profile_images/1671327682989096961/RFt9LPMw_normal.jpg")</f>
        <v>https://pbs.twimg.com/profile_images/1671327682989096961/RFt9LPMw_normal.jpg</v>
      </c>
      <c r="G220" s="63"/>
      <c r="H220" s="67"/>
      <c r="I220" s="68"/>
      <c r="J220" s="68"/>
      <c r="K220" s="67" t="s">
        <v>18923</v>
      </c>
      <c r="L220" s="71"/>
      <c r="M220" s="72"/>
      <c r="N220" s="72"/>
      <c r="O220" s="73"/>
      <c r="P220" s="74"/>
      <c r="Q220" s="74"/>
      <c r="R220" s="86"/>
      <c r="S220" s="86"/>
      <c r="T220" s="86"/>
      <c r="U220" s="86"/>
      <c r="V220" s="48"/>
      <c r="W220" s="48"/>
      <c r="X220" s="48"/>
      <c r="Y220" s="48"/>
      <c r="Z220" s="47"/>
      <c r="AA220" s="69">
        <v>220</v>
      </c>
      <c r="AB220" s="69"/>
      <c r="AC220" s="70"/>
      <c r="AD220" s="76" t="s">
        <v>16649</v>
      </c>
      <c r="AE220" s="81" t="s">
        <v>15931</v>
      </c>
      <c r="AF220" s="76">
        <v>113</v>
      </c>
      <c r="AG220" s="76">
        <v>1155</v>
      </c>
      <c r="AH220" s="76">
        <v>10760</v>
      </c>
      <c r="AI220" s="76">
        <v>3</v>
      </c>
      <c r="AJ220" s="76">
        <v>10601</v>
      </c>
      <c r="AK220" s="76">
        <v>3957</v>
      </c>
      <c r="AL220" s="76" t="b">
        <v>0</v>
      </c>
      <c r="AM220" s="78">
        <v>42713.520486111112</v>
      </c>
      <c r="AN220" s="76" t="s">
        <v>17481</v>
      </c>
      <c r="AO220" s="76" t="s">
        <v>17839</v>
      </c>
      <c r="AP220" s="83" t="str">
        <f>HYPERLINK("https://t.co/d7YkKl0ZPe")</f>
        <v>https://t.co/d7YkKl0ZPe</v>
      </c>
      <c r="AQ220" s="83" t="str">
        <f>HYPERLINK("http://github.com/BrunoGianetti")</f>
        <v>http://github.com/BrunoGianetti</v>
      </c>
      <c r="AR220" s="76" t="s">
        <v>18367</v>
      </c>
      <c r="AS220" s="76"/>
      <c r="AT220" s="76"/>
      <c r="AU220" s="76"/>
      <c r="AV220" s="76">
        <v>1.6904504070409101E+18</v>
      </c>
      <c r="AW220" s="83" t="str">
        <f>HYPERLINK("https://t.co/d7YkKl0ZPe")</f>
        <v>https://t.co/d7YkKl0ZPe</v>
      </c>
      <c r="AX220" s="76" t="b">
        <v>0</v>
      </c>
      <c r="AY220" s="76"/>
      <c r="AZ220" s="76"/>
      <c r="BA220" s="76" t="b">
        <v>1</v>
      </c>
      <c r="BB220" s="76" t="b">
        <v>1</v>
      </c>
      <c r="BC220" s="76" t="b">
        <v>1</v>
      </c>
      <c r="BD220" s="76" t="b">
        <v>0</v>
      </c>
      <c r="BE220" s="76" t="b">
        <v>1</v>
      </c>
      <c r="BF220" s="76" t="b">
        <v>0</v>
      </c>
      <c r="BG220" s="76" t="b">
        <v>0</v>
      </c>
      <c r="BH220" s="83" t="str">
        <f>HYPERLINK("https://pbs.twimg.com/profile_banners/807200496557637632/1671591550")</f>
        <v>https://pbs.twimg.com/profile_banners/807200496557637632/1671591550</v>
      </c>
      <c r="BI220" s="76"/>
      <c r="BJ220" s="76" t="s">
        <v>18704</v>
      </c>
      <c r="BK220" s="76" t="b">
        <v>0</v>
      </c>
      <c r="BL220" s="76"/>
      <c r="BM220" s="76" t="s">
        <v>66</v>
      </c>
      <c r="BN220" s="76" t="s">
        <v>18706</v>
      </c>
      <c r="BO220" s="83" t="str">
        <f>HYPERLINK("https://twitter.com/bruno_gianetti")</f>
        <v>https://twitter.com/bruno_gianetti</v>
      </c>
      <c r="BP220" s="2"/>
    </row>
    <row r="221" spans="1:68" x14ac:dyDescent="0.25">
      <c r="A221" s="62" t="s">
        <v>394</v>
      </c>
      <c r="B221" s="63"/>
      <c r="C221" s="63"/>
      <c r="D221" s="64"/>
      <c r="E221" s="66"/>
      <c r="F221" s="102" t="str">
        <f>HYPERLINK("https://pbs.twimg.com/profile_images/448881387550953472/P-1PdAmb_normal.png")</f>
        <v>https://pbs.twimg.com/profile_images/448881387550953472/P-1PdAmb_normal.png</v>
      </c>
      <c r="G221" s="63"/>
      <c r="H221" s="67"/>
      <c r="I221" s="68"/>
      <c r="J221" s="68"/>
      <c r="K221" s="67" t="s">
        <v>18924</v>
      </c>
      <c r="L221" s="71"/>
      <c r="M221" s="72"/>
      <c r="N221" s="72"/>
      <c r="O221" s="73"/>
      <c r="P221" s="74"/>
      <c r="Q221" s="74"/>
      <c r="R221" s="86"/>
      <c r="S221" s="86"/>
      <c r="T221" s="86"/>
      <c r="U221" s="86"/>
      <c r="V221" s="48"/>
      <c r="W221" s="48"/>
      <c r="X221" s="48"/>
      <c r="Y221" s="48"/>
      <c r="Z221" s="47"/>
      <c r="AA221" s="69">
        <v>221</v>
      </c>
      <c r="AB221" s="69"/>
      <c r="AC221" s="70"/>
      <c r="AD221" s="76" t="s">
        <v>16650</v>
      </c>
      <c r="AE221" s="81" t="s">
        <v>17186</v>
      </c>
      <c r="AF221" s="76">
        <v>15423</v>
      </c>
      <c r="AG221" s="76">
        <v>1124</v>
      </c>
      <c r="AH221" s="76">
        <v>13536</v>
      </c>
      <c r="AI221" s="76">
        <v>176</v>
      </c>
      <c r="AJ221" s="76">
        <v>1416</v>
      </c>
      <c r="AK221" s="76">
        <v>3636</v>
      </c>
      <c r="AL221" s="76" t="b">
        <v>0</v>
      </c>
      <c r="AM221" s="78">
        <v>39967.856527777774</v>
      </c>
      <c r="AN221" s="76" t="s">
        <v>10607</v>
      </c>
      <c r="AO221" s="76" t="s">
        <v>17840</v>
      </c>
      <c r="AP221" s="83" t="str">
        <f>HYPERLINK("https://t.co/3kV3Mk4SFM")</f>
        <v>https://t.co/3kV3Mk4SFM</v>
      </c>
      <c r="AQ221" s="83" t="str">
        <f>HYPERLINK("http://fgv.br/eaesp")</f>
        <v>http://fgv.br/eaesp</v>
      </c>
      <c r="AR221" s="76" t="s">
        <v>18368</v>
      </c>
      <c r="AS221" s="76"/>
      <c r="AT221" s="76"/>
      <c r="AU221" s="76"/>
      <c r="AV221" s="76"/>
      <c r="AW221" s="83" t="str">
        <f>HYPERLINK("https://t.co/3kV3Mk4SFM")</f>
        <v>https://t.co/3kV3Mk4SFM</v>
      </c>
      <c r="AX221" s="76" t="b">
        <v>0</v>
      </c>
      <c r="AY221" s="76"/>
      <c r="AZ221" s="76"/>
      <c r="BA221" s="76" t="b">
        <v>0</v>
      </c>
      <c r="BB221" s="76" t="b">
        <v>1</v>
      </c>
      <c r="BC221" s="76" t="b">
        <v>0</v>
      </c>
      <c r="BD221" s="76" t="b">
        <v>0</v>
      </c>
      <c r="BE221" s="76" t="b">
        <v>0</v>
      </c>
      <c r="BF221" s="76" t="b">
        <v>0</v>
      </c>
      <c r="BG221" s="76" t="b">
        <v>0</v>
      </c>
      <c r="BH221" s="83" t="str">
        <f>HYPERLINK("https://pbs.twimg.com/profile_banners/44449999/1672758917")</f>
        <v>https://pbs.twimg.com/profile_banners/44449999/1672758917</v>
      </c>
      <c r="BI221" s="76"/>
      <c r="BJ221" s="76" t="s">
        <v>18704</v>
      </c>
      <c r="BK221" s="76" t="b">
        <v>0</v>
      </c>
      <c r="BL221" s="76"/>
      <c r="BM221" s="76" t="s">
        <v>66</v>
      </c>
      <c r="BN221" s="76" t="s">
        <v>18706</v>
      </c>
      <c r="BO221" s="83" t="str">
        <f>HYPERLINK("https://twitter.com/fgv_eaesp")</f>
        <v>https://twitter.com/fgv_eaesp</v>
      </c>
      <c r="BP221" s="2"/>
    </row>
    <row r="222" spans="1:68" x14ac:dyDescent="0.25">
      <c r="A222" s="62" t="s">
        <v>395</v>
      </c>
      <c r="B222" s="63"/>
      <c r="C222" s="63"/>
      <c r="D222" s="64"/>
      <c r="E222" s="66"/>
      <c r="F222" s="102" t="str">
        <f>HYPERLINK("https://pbs.twimg.com/profile_images/1646666157322010624/j8NsEotx_normal.jpg")</f>
        <v>https://pbs.twimg.com/profile_images/1646666157322010624/j8NsEotx_normal.jpg</v>
      </c>
      <c r="G222" s="63"/>
      <c r="H222" s="67"/>
      <c r="I222" s="68"/>
      <c r="J222" s="68"/>
      <c r="K222" s="67" t="s">
        <v>18925</v>
      </c>
      <c r="L222" s="71"/>
      <c r="M222" s="72"/>
      <c r="N222" s="72"/>
      <c r="O222" s="73"/>
      <c r="P222" s="74"/>
      <c r="Q222" s="74"/>
      <c r="R222" s="86"/>
      <c r="S222" s="86"/>
      <c r="T222" s="86"/>
      <c r="U222" s="86"/>
      <c r="V222" s="48"/>
      <c r="W222" s="48"/>
      <c r="X222" s="48"/>
      <c r="Y222" s="48"/>
      <c r="Z222" s="47"/>
      <c r="AA222" s="69">
        <v>222</v>
      </c>
      <c r="AB222" s="69"/>
      <c r="AC222" s="70"/>
      <c r="AD222" s="76" t="s">
        <v>16651</v>
      </c>
      <c r="AE222" s="81" t="s">
        <v>16205</v>
      </c>
      <c r="AF222" s="76">
        <v>276</v>
      </c>
      <c r="AG222" s="76">
        <v>643</v>
      </c>
      <c r="AH222" s="76">
        <v>15665</v>
      </c>
      <c r="AI222" s="76">
        <v>0</v>
      </c>
      <c r="AJ222" s="76">
        <v>59683</v>
      </c>
      <c r="AK222" s="76">
        <v>160</v>
      </c>
      <c r="AL222" s="76" t="b">
        <v>0</v>
      </c>
      <c r="AM222" s="78">
        <v>44925.755347222221</v>
      </c>
      <c r="AN222" s="76" t="s">
        <v>17482</v>
      </c>
      <c r="AO222" s="76"/>
      <c r="AP222" s="83" t="str">
        <f>HYPERLINK("https://t.co/u15tif56l5")</f>
        <v>https://t.co/u15tif56l5</v>
      </c>
      <c r="AQ222" s="83" t="str">
        <f>HYPERLINK("http://mercadolivre.com.br/perfil/GOUVEIAFERNANDO")</f>
        <v>http://mercadolivre.com.br/perfil/GOUVEIAFERNANDO</v>
      </c>
      <c r="AR222" s="76" t="s">
        <v>18369</v>
      </c>
      <c r="AS222" s="76"/>
      <c r="AT222" s="76"/>
      <c r="AU222" s="76"/>
      <c r="AV222" s="76"/>
      <c r="AW222" s="83" t="str">
        <f>HYPERLINK("https://t.co/u15tif56l5")</f>
        <v>https://t.co/u15tif56l5</v>
      </c>
      <c r="AX222" s="76" t="b">
        <v>0</v>
      </c>
      <c r="AY222" s="76"/>
      <c r="AZ222" s="76"/>
      <c r="BA222" s="76" t="b">
        <v>0</v>
      </c>
      <c r="BB222" s="76" t="b">
        <v>1</v>
      </c>
      <c r="BC222" s="76" t="b">
        <v>1</v>
      </c>
      <c r="BD222" s="76" t="b">
        <v>0</v>
      </c>
      <c r="BE222" s="76" t="b">
        <v>1</v>
      </c>
      <c r="BF222" s="76" t="b">
        <v>0</v>
      </c>
      <c r="BG222" s="76" t="b">
        <v>0</v>
      </c>
      <c r="BH222" s="83" t="str">
        <f>HYPERLINK("https://pbs.twimg.com/profile_banners/1608887400863776768/1681430816")</f>
        <v>https://pbs.twimg.com/profile_banners/1608887400863776768/1681430816</v>
      </c>
      <c r="BI222" s="76"/>
      <c r="BJ222" s="76" t="s">
        <v>18704</v>
      </c>
      <c r="BK222" s="76" t="b">
        <v>0</v>
      </c>
      <c r="BL222" s="76"/>
      <c r="BM222" s="76" t="s">
        <v>66</v>
      </c>
      <c r="BN222" s="76" t="s">
        <v>18706</v>
      </c>
      <c r="BO222" s="83" t="str">
        <f>HYPERLINK("https://twitter.com/gouveia_fernand")</f>
        <v>https://twitter.com/gouveia_fernand</v>
      </c>
      <c r="BP222" s="2"/>
    </row>
    <row r="223" spans="1:68" x14ac:dyDescent="0.25">
      <c r="A223" s="62" t="s">
        <v>709</v>
      </c>
      <c r="B223" s="63"/>
      <c r="C223" s="63"/>
      <c r="D223" s="64"/>
      <c r="E223" s="66"/>
      <c r="F223" s="102" t="str">
        <f>HYPERLINK("https://pbs.twimg.com/profile_images/1025085521020825601/SwQvDnFa_normal.jpg")</f>
        <v>https://pbs.twimg.com/profile_images/1025085521020825601/SwQvDnFa_normal.jpg</v>
      </c>
      <c r="G223" s="63"/>
      <c r="H223" s="67"/>
      <c r="I223" s="68"/>
      <c r="J223" s="68"/>
      <c r="K223" s="67" t="s">
        <v>18926</v>
      </c>
      <c r="L223" s="71"/>
      <c r="M223" s="72"/>
      <c r="N223" s="72"/>
      <c r="O223" s="73"/>
      <c r="P223" s="74"/>
      <c r="Q223" s="74"/>
      <c r="R223" s="86"/>
      <c r="S223" s="86"/>
      <c r="T223" s="86"/>
      <c r="U223" s="86"/>
      <c r="V223" s="48"/>
      <c r="W223" s="48"/>
      <c r="X223" s="48"/>
      <c r="Y223" s="48"/>
      <c r="Z223" s="47"/>
      <c r="AA223" s="69">
        <v>223</v>
      </c>
      <c r="AB223" s="69"/>
      <c r="AC223" s="70"/>
      <c r="AD223" s="76" t="s">
        <v>16652</v>
      </c>
      <c r="AE223" s="81" t="s">
        <v>17187</v>
      </c>
      <c r="AF223" s="76">
        <v>14946</v>
      </c>
      <c r="AG223" s="76">
        <v>529</v>
      </c>
      <c r="AH223" s="76">
        <v>3218</v>
      </c>
      <c r="AI223" s="76">
        <v>154</v>
      </c>
      <c r="AJ223" s="76">
        <v>2413</v>
      </c>
      <c r="AK223" s="76">
        <v>855</v>
      </c>
      <c r="AL223" s="76" t="b">
        <v>0</v>
      </c>
      <c r="AM223" s="78">
        <v>39956.828541666669</v>
      </c>
      <c r="AN223" s="76"/>
      <c r="AO223" s="76" t="s">
        <v>17841</v>
      </c>
      <c r="AP223" s="76"/>
      <c r="AQ223" s="76"/>
      <c r="AR223" s="76"/>
      <c r="AS223" s="76"/>
      <c r="AT223" s="76"/>
      <c r="AU223" s="76"/>
      <c r="AV223" s="76"/>
      <c r="AW223" s="76"/>
      <c r="AX223" s="76" t="b">
        <v>1</v>
      </c>
      <c r="AY223" s="76"/>
      <c r="AZ223" s="76"/>
      <c r="BA223" s="76" t="b">
        <v>0</v>
      </c>
      <c r="BB223" s="76" t="b">
        <v>1</v>
      </c>
      <c r="BC223" s="76" t="b">
        <v>0</v>
      </c>
      <c r="BD223" s="76" t="b">
        <v>0</v>
      </c>
      <c r="BE223" s="76" t="b">
        <v>1</v>
      </c>
      <c r="BF223" s="76" t="b">
        <v>0</v>
      </c>
      <c r="BG223" s="76" t="b">
        <v>0</v>
      </c>
      <c r="BH223" s="83" t="str">
        <f>HYPERLINK("https://pbs.twimg.com/profile_banners/42086454/1667413839")</f>
        <v>https://pbs.twimg.com/profile_banners/42086454/1667413839</v>
      </c>
      <c r="BI223" s="76"/>
      <c r="BJ223" s="76" t="s">
        <v>18704</v>
      </c>
      <c r="BK223" s="76" t="b">
        <v>0</v>
      </c>
      <c r="BL223" s="76"/>
      <c r="BM223" s="76" t="s">
        <v>66</v>
      </c>
      <c r="BN223" s="76" t="s">
        <v>18706</v>
      </c>
      <c r="BO223" s="83" t="str">
        <f>HYPERLINK("https://twitter.com/perpheito")</f>
        <v>https://twitter.com/perpheito</v>
      </c>
      <c r="BP223" s="2"/>
    </row>
    <row r="224" spans="1:68" x14ac:dyDescent="0.25">
      <c r="A224" s="62" t="s">
        <v>396</v>
      </c>
      <c r="B224" s="63"/>
      <c r="C224" s="63"/>
      <c r="D224" s="64"/>
      <c r="E224" s="66"/>
      <c r="F224" s="102" t="str">
        <f>HYPERLINK("https://pbs.twimg.com/profile_images/1673699690531913729/T0B-hj8__normal.jpg")</f>
        <v>https://pbs.twimg.com/profile_images/1673699690531913729/T0B-hj8__normal.jpg</v>
      </c>
      <c r="G224" s="63"/>
      <c r="H224" s="67"/>
      <c r="I224" s="68"/>
      <c r="J224" s="68"/>
      <c r="K224" s="67" t="s">
        <v>18927</v>
      </c>
      <c r="L224" s="71"/>
      <c r="M224" s="72"/>
      <c r="N224" s="72"/>
      <c r="O224" s="73"/>
      <c r="P224" s="74"/>
      <c r="Q224" s="74"/>
      <c r="R224" s="86"/>
      <c r="S224" s="86"/>
      <c r="T224" s="86"/>
      <c r="U224" s="86"/>
      <c r="V224" s="48"/>
      <c r="W224" s="48"/>
      <c r="X224" s="48"/>
      <c r="Y224" s="48"/>
      <c r="Z224" s="47"/>
      <c r="AA224" s="69">
        <v>224</v>
      </c>
      <c r="AB224" s="69"/>
      <c r="AC224" s="70"/>
      <c r="AD224" s="76" t="s">
        <v>16653</v>
      </c>
      <c r="AE224" s="81" t="s">
        <v>17188</v>
      </c>
      <c r="AF224" s="76">
        <v>1038</v>
      </c>
      <c r="AG224" s="76">
        <v>1394</v>
      </c>
      <c r="AH224" s="76">
        <v>5994</v>
      </c>
      <c r="AI224" s="76">
        <v>32</v>
      </c>
      <c r="AJ224" s="76">
        <v>71</v>
      </c>
      <c r="AK224" s="76">
        <v>772</v>
      </c>
      <c r="AL224" s="76" t="b">
        <v>0</v>
      </c>
      <c r="AM224" s="78">
        <v>40302.63658564815</v>
      </c>
      <c r="AN224" s="76" t="s">
        <v>17483</v>
      </c>
      <c r="AO224" s="76" t="s">
        <v>17842</v>
      </c>
      <c r="AP224" s="83" t="str">
        <f>HYPERLINK("https://t.co/poT3lrnvKK")</f>
        <v>https://t.co/poT3lrnvKK</v>
      </c>
      <c r="AQ224" s="83" t="str">
        <f>HYPERLINK("http://www.noriegagroup.com")</f>
        <v>http://www.noriegagroup.com</v>
      </c>
      <c r="AR224" s="76" t="s">
        <v>18370</v>
      </c>
      <c r="AS224" s="76"/>
      <c r="AT224" s="76"/>
      <c r="AU224" s="76"/>
      <c r="AV224" s="76"/>
      <c r="AW224" s="83" t="str">
        <f>HYPERLINK("https://t.co/poT3lrnvKK")</f>
        <v>https://t.co/poT3lrnvKK</v>
      </c>
      <c r="AX224" s="76" t="b">
        <v>1</v>
      </c>
      <c r="AY224" s="76"/>
      <c r="AZ224" s="76"/>
      <c r="BA224" s="76" t="b">
        <v>1</v>
      </c>
      <c r="BB224" s="76" t="b">
        <v>1</v>
      </c>
      <c r="BC224" s="76" t="b">
        <v>0</v>
      </c>
      <c r="BD224" s="76" t="b">
        <v>0</v>
      </c>
      <c r="BE224" s="76" t="b">
        <v>0</v>
      </c>
      <c r="BF224" s="76" t="b">
        <v>0</v>
      </c>
      <c r="BG224" s="76" t="b">
        <v>0</v>
      </c>
      <c r="BH224" s="83" t="str">
        <f>HYPERLINK("https://pbs.twimg.com/profile_banners/140094070/1684280068")</f>
        <v>https://pbs.twimg.com/profile_banners/140094070/1684280068</v>
      </c>
      <c r="BI224" s="76"/>
      <c r="BJ224" s="76" t="s">
        <v>18704</v>
      </c>
      <c r="BK224" s="76" t="b">
        <v>0</v>
      </c>
      <c r="BL224" s="76"/>
      <c r="BM224" s="76" t="s">
        <v>66</v>
      </c>
      <c r="BN224" s="76" t="s">
        <v>18706</v>
      </c>
      <c r="BO224" s="83" t="str">
        <f>HYPERLINK("https://twitter.com/noriegagroup")</f>
        <v>https://twitter.com/noriegagroup</v>
      </c>
      <c r="BP224" s="2"/>
    </row>
    <row r="225" spans="1:68" x14ac:dyDescent="0.25">
      <c r="A225" s="62" t="s">
        <v>397</v>
      </c>
      <c r="B225" s="63"/>
      <c r="C225" s="63"/>
      <c r="D225" s="64"/>
      <c r="E225" s="66"/>
      <c r="F225" s="102" t="str">
        <f>HYPERLINK("https://pbs.twimg.com/profile_images/1697581430467895296/gpcNl6Gw_normal.jpg")</f>
        <v>https://pbs.twimg.com/profile_images/1697581430467895296/gpcNl6Gw_normal.jpg</v>
      </c>
      <c r="G225" s="63"/>
      <c r="H225" s="67"/>
      <c r="I225" s="68"/>
      <c r="J225" s="68"/>
      <c r="K225" s="67" t="s">
        <v>18928</v>
      </c>
      <c r="L225" s="71"/>
      <c r="M225" s="72"/>
      <c r="N225" s="72"/>
      <c r="O225" s="73"/>
      <c r="P225" s="74"/>
      <c r="Q225" s="74"/>
      <c r="R225" s="86"/>
      <c r="S225" s="86"/>
      <c r="T225" s="86"/>
      <c r="U225" s="86"/>
      <c r="V225" s="48"/>
      <c r="W225" s="48"/>
      <c r="X225" s="48"/>
      <c r="Y225" s="48"/>
      <c r="Z225" s="47"/>
      <c r="AA225" s="69">
        <v>225</v>
      </c>
      <c r="AB225" s="69"/>
      <c r="AC225" s="70"/>
      <c r="AD225" s="76" t="s">
        <v>16654</v>
      </c>
      <c r="AE225" s="81" t="s">
        <v>15932</v>
      </c>
      <c r="AF225" s="76">
        <v>153</v>
      </c>
      <c r="AG225" s="76">
        <v>132</v>
      </c>
      <c r="AH225" s="76">
        <v>1708</v>
      </c>
      <c r="AI225" s="76">
        <v>4</v>
      </c>
      <c r="AJ225" s="76">
        <v>52</v>
      </c>
      <c r="AK225" s="76">
        <v>618</v>
      </c>
      <c r="AL225" s="76" t="b">
        <v>0</v>
      </c>
      <c r="AM225" s="78">
        <v>43908.728067129632</v>
      </c>
      <c r="AN225" s="76" t="s">
        <v>17484</v>
      </c>
      <c r="AO225" s="76" t="s">
        <v>17843</v>
      </c>
      <c r="AP225" s="83" t="str">
        <f>HYPERLINK("https://t.co/abJqNktgDo")</f>
        <v>https://t.co/abJqNktgDo</v>
      </c>
      <c r="AQ225" s="83" t="str">
        <f>HYPERLINK("https://linktr.ee/ccib")</f>
        <v>https://linktr.ee/ccib</v>
      </c>
      <c r="AR225" s="76" t="s">
        <v>18371</v>
      </c>
      <c r="AS225" s="76"/>
      <c r="AT225" s="76"/>
      <c r="AU225" s="76"/>
      <c r="AV225" s="76"/>
      <c r="AW225" s="83" t="str">
        <f>HYPERLINK("https://t.co/abJqNktgDo")</f>
        <v>https://t.co/abJqNktgDo</v>
      </c>
      <c r="AX225" s="76" t="b">
        <v>0</v>
      </c>
      <c r="AY225" s="76"/>
      <c r="AZ225" s="76"/>
      <c r="BA225" s="76" t="b">
        <v>0</v>
      </c>
      <c r="BB225" s="76" t="b">
        <v>1</v>
      </c>
      <c r="BC225" s="76" t="b">
        <v>1</v>
      </c>
      <c r="BD225" s="76" t="b">
        <v>0</v>
      </c>
      <c r="BE225" s="76" t="b">
        <v>0</v>
      </c>
      <c r="BF225" s="76" t="b">
        <v>0</v>
      </c>
      <c r="BG225" s="76" t="b">
        <v>0</v>
      </c>
      <c r="BH225" s="83" t="str">
        <f>HYPERLINK("https://pbs.twimg.com/profile_banners/1240329065292279809/1685132730")</f>
        <v>https://pbs.twimg.com/profile_banners/1240329065292279809/1685132730</v>
      </c>
      <c r="BI225" s="76"/>
      <c r="BJ225" s="76" t="s">
        <v>18704</v>
      </c>
      <c r="BK225" s="76" t="b">
        <v>0</v>
      </c>
      <c r="BL225" s="76"/>
      <c r="BM225" s="76" t="s">
        <v>66</v>
      </c>
      <c r="BN225" s="76" t="s">
        <v>18706</v>
      </c>
      <c r="BO225" s="83" t="str">
        <f>HYPERLINK("https://twitter.com/indiabrazilcha1")</f>
        <v>https://twitter.com/indiabrazilcha1</v>
      </c>
      <c r="BP225" s="2"/>
    </row>
    <row r="226" spans="1:68" x14ac:dyDescent="0.25">
      <c r="A226" s="62" t="s">
        <v>398</v>
      </c>
      <c r="B226" s="63"/>
      <c r="C226" s="63"/>
      <c r="D226" s="64"/>
      <c r="E226" s="66"/>
      <c r="F226" s="102" t="str">
        <f>HYPERLINK("https://pbs.twimg.com/profile_images/1681333650816749570/KAr5Pq64_normal.jpg")</f>
        <v>https://pbs.twimg.com/profile_images/1681333650816749570/KAr5Pq64_normal.jpg</v>
      </c>
      <c r="G226" s="63"/>
      <c r="H226" s="67"/>
      <c r="I226" s="68"/>
      <c r="J226" s="68"/>
      <c r="K226" s="67" t="s">
        <v>18929</v>
      </c>
      <c r="L226" s="71"/>
      <c r="M226" s="72"/>
      <c r="N226" s="72"/>
      <c r="O226" s="73"/>
      <c r="P226" s="74"/>
      <c r="Q226" s="74"/>
      <c r="R226" s="86"/>
      <c r="S226" s="86"/>
      <c r="T226" s="86"/>
      <c r="U226" s="86"/>
      <c r="V226" s="48"/>
      <c r="W226" s="48"/>
      <c r="X226" s="48"/>
      <c r="Y226" s="48"/>
      <c r="Z226" s="47"/>
      <c r="AA226" s="69">
        <v>226</v>
      </c>
      <c r="AB226" s="69"/>
      <c r="AC226" s="70"/>
      <c r="AD226" s="76" t="s">
        <v>16655</v>
      </c>
      <c r="AE226" s="81" t="s">
        <v>16206</v>
      </c>
      <c r="AF226" s="76">
        <v>0</v>
      </c>
      <c r="AG226" s="76">
        <v>31</v>
      </c>
      <c r="AH226" s="76">
        <v>3</v>
      </c>
      <c r="AI226" s="76">
        <v>0</v>
      </c>
      <c r="AJ226" s="76">
        <v>24</v>
      </c>
      <c r="AK226" s="76">
        <v>3</v>
      </c>
      <c r="AL226" s="76" t="b">
        <v>0</v>
      </c>
      <c r="AM226" s="78">
        <v>45125.66814814815</v>
      </c>
      <c r="AN226" s="76"/>
      <c r="AO226" s="76"/>
      <c r="AP226" s="76"/>
      <c r="AQ226" s="76"/>
      <c r="AR226" s="76"/>
      <c r="AS226" s="76"/>
      <c r="AT226" s="76"/>
      <c r="AU226" s="76"/>
      <c r="AV226" s="76"/>
      <c r="AW226" s="76"/>
      <c r="AX226" s="76" t="b">
        <v>0</v>
      </c>
      <c r="AY226" s="76"/>
      <c r="AZ226" s="76"/>
      <c r="BA226" s="76" t="b">
        <v>0</v>
      </c>
      <c r="BB226" s="76" t="b">
        <v>1</v>
      </c>
      <c r="BC226" s="76" t="b">
        <v>1</v>
      </c>
      <c r="BD226" s="76" t="b">
        <v>0</v>
      </c>
      <c r="BE226" s="76" t="b">
        <v>0</v>
      </c>
      <c r="BF226" s="76" t="b">
        <v>0</v>
      </c>
      <c r="BG226" s="76" t="b">
        <v>0</v>
      </c>
      <c r="BH226" s="76"/>
      <c r="BI226" s="76"/>
      <c r="BJ226" s="76" t="s">
        <v>18704</v>
      </c>
      <c r="BK226" s="76" t="b">
        <v>0</v>
      </c>
      <c r="BL226" s="76"/>
      <c r="BM226" s="76" t="s">
        <v>66</v>
      </c>
      <c r="BN226" s="76" t="s">
        <v>18706</v>
      </c>
      <c r="BO226" s="83" t="str">
        <f>HYPERLINK("https://twitter.com/russelbransil")</f>
        <v>https://twitter.com/russelbransil</v>
      </c>
      <c r="BP226" s="2"/>
    </row>
    <row r="227" spans="1:68" x14ac:dyDescent="0.25">
      <c r="A227" s="62" t="s">
        <v>399</v>
      </c>
      <c r="B227" s="63"/>
      <c r="C227" s="63"/>
      <c r="D227" s="64"/>
      <c r="E227" s="66"/>
      <c r="F227" s="102" t="str">
        <f>HYPERLINK("https://pbs.twimg.com/profile_images/1677782959665950721/VsFQtAtk_normal.jpg")</f>
        <v>https://pbs.twimg.com/profile_images/1677782959665950721/VsFQtAtk_normal.jpg</v>
      </c>
      <c r="G227" s="63"/>
      <c r="H227" s="67"/>
      <c r="I227" s="68"/>
      <c r="J227" s="68"/>
      <c r="K227" s="67" t="s">
        <v>18930</v>
      </c>
      <c r="L227" s="71"/>
      <c r="M227" s="72"/>
      <c r="N227" s="72"/>
      <c r="O227" s="73"/>
      <c r="P227" s="74"/>
      <c r="Q227" s="74"/>
      <c r="R227" s="86"/>
      <c r="S227" s="86"/>
      <c r="T227" s="86"/>
      <c r="U227" s="86"/>
      <c r="V227" s="48"/>
      <c r="W227" s="48"/>
      <c r="X227" s="48"/>
      <c r="Y227" s="48"/>
      <c r="Z227" s="47"/>
      <c r="AA227" s="69">
        <v>227</v>
      </c>
      <c r="AB227" s="69"/>
      <c r="AC227" s="70"/>
      <c r="AD227" s="76" t="s">
        <v>16656</v>
      </c>
      <c r="AE227" s="81" t="s">
        <v>16207</v>
      </c>
      <c r="AF227" s="76">
        <v>1</v>
      </c>
      <c r="AG227" s="76">
        <v>20</v>
      </c>
      <c r="AH227" s="76">
        <v>9</v>
      </c>
      <c r="AI227" s="76">
        <v>1</v>
      </c>
      <c r="AJ227" s="76">
        <v>0</v>
      </c>
      <c r="AK227" s="76">
        <v>9</v>
      </c>
      <c r="AL227" s="76" t="b">
        <v>0</v>
      </c>
      <c r="AM227" s="78">
        <v>45115.870266203703</v>
      </c>
      <c r="AN227" s="76" t="s">
        <v>17485</v>
      </c>
      <c r="AO227" s="76" t="s">
        <v>17844</v>
      </c>
      <c r="AP227" s="83" t="str">
        <f>HYPERLINK("https://t.co/WPitZ7VM8r")</f>
        <v>https://t.co/WPitZ7VM8r</v>
      </c>
      <c r="AQ227" s="83" t="str">
        <f>HYPERLINK("https://www.yinyangcap.com/")</f>
        <v>https://www.yinyangcap.com/</v>
      </c>
      <c r="AR227" s="76" t="s">
        <v>18372</v>
      </c>
      <c r="AS227" s="76"/>
      <c r="AT227" s="76"/>
      <c r="AU227" s="76"/>
      <c r="AV227" s="76"/>
      <c r="AW227" s="83" t="str">
        <f>HYPERLINK("https://t.co/WPitZ7VM8r")</f>
        <v>https://t.co/WPitZ7VM8r</v>
      </c>
      <c r="AX227" s="76" t="b">
        <v>0</v>
      </c>
      <c r="AY227" s="76"/>
      <c r="AZ227" s="76"/>
      <c r="BA227" s="76" t="b">
        <v>0</v>
      </c>
      <c r="BB227" s="76" t="b">
        <v>1</v>
      </c>
      <c r="BC227" s="76" t="b">
        <v>1</v>
      </c>
      <c r="BD227" s="76" t="b">
        <v>0</v>
      </c>
      <c r="BE227" s="76" t="b">
        <v>0</v>
      </c>
      <c r="BF227" s="76" t="b">
        <v>0</v>
      </c>
      <c r="BG227" s="76" t="b">
        <v>0</v>
      </c>
      <c r="BH227" s="83" t="str">
        <f>HYPERLINK("https://pbs.twimg.com/profile_banners/1677782811070038017/1689627959")</f>
        <v>https://pbs.twimg.com/profile_banners/1677782811070038017/1689627959</v>
      </c>
      <c r="BI227" s="76"/>
      <c r="BJ227" s="76" t="s">
        <v>18704</v>
      </c>
      <c r="BK227" s="76" t="b">
        <v>0</v>
      </c>
      <c r="BL227" s="76"/>
      <c r="BM227" s="76" t="s">
        <v>66</v>
      </c>
      <c r="BN227" s="76" t="s">
        <v>18706</v>
      </c>
      <c r="BO227" s="83" t="str">
        <f>HYPERLINK("https://twitter.com/yinyangcapi")</f>
        <v>https://twitter.com/yinyangcapi</v>
      </c>
      <c r="BP227" s="2"/>
    </row>
    <row r="228" spans="1:68" x14ac:dyDescent="0.25">
      <c r="A228" s="62" t="s">
        <v>400</v>
      </c>
      <c r="B228" s="63"/>
      <c r="C228" s="63"/>
      <c r="D228" s="64"/>
      <c r="E228" s="66"/>
      <c r="F228" s="102" t="str">
        <f>HYPERLINK("https://pbs.twimg.com/profile_images/1688148282894163968/UUyRyhJM_normal.jpg")</f>
        <v>https://pbs.twimg.com/profile_images/1688148282894163968/UUyRyhJM_normal.jpg</v>
      </c>
      <c r="G228" s="63"/>
      <c r="H228" s="67"/>
      <c r="I228" s="68"/>
      <c r="J228" s="68"/>
      <c r="K228" s="67" t="s">
        <v>18931</v>
      </c>
      <c r="L228" s="71"/>
      <c r="M228" s="72"/>
      <c r="N228" s="72"/>
      <c r="O228" s="73"/>
      <c r="P228" s="74"/>
      <c r="Q228" s="74"/>
      <c r="R228" s="86"/>
      <c r="S228" s="86"/>
      <c r="T228" s="86"/>
      <c r="U228" s="86"/>
      <c r="V228" s="48"/>
      <c r="W228" s="48"/>
      <c r="X228" s="48"/>
      <c r="Y228" s="48"/>
      <c r="Z228" s="47"/>
      <c r="AA228" s="69">
        <v>228</v>
      </c>
      <c r="AB228" s="69"/>
      <c r="AC228" s="70"/>
      <c r="AD228" s="76" t="s">
        <v>16657</v>
      </c>
      <c r="AE228" s="81" t="s">
        <v>16208</v>
      </c>
      <c r="AF228" s="76">
        <v>0</v>
      </c>
      <c r="AG228" s="76">
        <v>13</v>
      </c>
      <c r="AH228" s="76">
        <v>28</v>
      </c>
      <c r="AI228" s="76">
        <v>0</v>
      </c>
      <c r="AJ228" s="76">
        <v>76</v>
      </c>
      <c r="AK228" s="76">
        <v>14</v>
      </c>
      <c r="AL228" s="76" t="b">
        <v>0</v>
      </c>
      <c r="AM228" s="78">
        <v>44402.138831018521</v>
      </c>
      <c r="AN228" s="76" t="s">
        <v>17486</v>
      </c>
      <c r="AO228" s="76" t="s">
        <v>17845</v>
      </c>
      <c r="AP228" s="83" t="str">
        <f>HYPERLINK("https://t.co/uNXoUHsn8G")</f>
        <v>https://t.co/uNXoUHsn8G</v>
      </c>
      <c r="AQ228" s="83" t="str">
        <f>HYPERLINK("https://www.linkedin.com/in/daniloramosdasilva")</f>
        <v>https://www.linkedin.com/in/daniloramosdasilva</v>
      </c>
      <c r="AR228" s="76" t="s">
        <v>18373</v>
      </c>
      <c r="AS228" s="76"/>
      <c r="AT228" s="76"/>
      <c r="AU228" s="76"/>
      <c r="AV228" s="76"/>
      <c r="AW228" s="83" t="str">
        <f>HYPERLINK("https://t.co/uNXoUHsn8G")</f>
        <v>https://t.co/uNXoUHsn8G</v>
      </c>
      <c r="AX228" s="76" t="b">
        <v>0</v>
      </c>
      <c r="AY228" s="76"/>
      <c r="AZ228" s="76"/>
      <c r="BA228" s="76" t="b">
        <v>0</v>
      </c>
      <c r="BB228" s="76" t="b">
        <v>1</v>
      </c>
      <c r="BC228" s="76" t="b">
        <v>1</v>
      </c>
      <c r="BD228" s="76" t="b">
        <v>0</v>
      </c>
      <c r="BE228" s="76" t="b">
        <v>0</v>
      </c>
      <c r="BF228" s="76" t="b">
        <v>0</v>
      </c>
      <c r="BG228" s="76" t="b">
        <v>0</v>
      </c>
      <c r="BH228" s="83" t="str">
        <f>HYPERLINK("https://pbs.twimg.com/profile_banners/1419135208754978817/1680401090")</f>
        <v>https://pbs.twimg.com/profile_banners/1419135208754978817/1680401090</v>
      </c>
      <c r="BI228" s="76"/>
      <c r="BJ228" s="76" t="s">
        <v>18704</v>
      </c>
      <c r="BK228" s="76" t="b">
        <v>0</v>
      </c>
      <c r="BL228" s="76"/>
      <c r="BM228" s="76" t="s">
        <v>66</v>
      </c>
      <c r="BN228" s="76" t="s">
        <v>18706</v>
      </c>
      <c r="BO228" s="83" t="str">
        <f>HYPERLINK("https://twitter.com/danniloramos_")</f>
        <v>https://twitter.com/danniloramos_</v>
      </c>
      <c r="BP228" s="2"/>
    </row>
    <row r="229" spans="1:68" x14ac:dyDescent="0.25">
      <c r="A229" s="62" t="s">
        <v>401</v>
      </c>
      <c r="B229" s="63"/>
      <c r="C229" s="63"/>
      <c r="D229" s="64"/>
      <c r="E229" s="66"/>
      <c r="F229" s="102" t="str">
        <f>HYPERLINK("https://pbs.twimg.com/profile_images/1271379597041549312/zKnUb_pS_normal.png")</f>
        <v>https://pbs.twimg.com/profile_images/1271379597041549312/zKnUb_pS_normal.png</v>
      </c>
      <c r="G229" s="63"/>
      <c r="H229" s="67"/>
      <c r="I229" s="68"/>
      <c r="J229" s="68"/>
      <c r="K229" s="67" t="s">
        <v>18932</v>
      </c>
      <c r="L229" s="71"/>
      <c r="M229" s="72"/>
      <c r="N229" s="72"/>
      <c r="O229" s="73"/>
      <c r="P229" s="74"/>
      <c r="Q229" s="74"/>
      <c r="R229" s="86"/>
      <c r="S229" s="86"/>
      <c r="T229" s="86"/>
      <c r="U229" s="86"/>
      <c r="V229" s="48"/>
      <c r="W229" s="48"/>
      <c r="X229" s="48"/>
      <c r="Y229" s="48"/>
      <c r="Z229" s="47"/>
      <c r="AA229" s="69">
        <v>229</v>
      </c>
      <c r="AB229" s="69"/>
      <c r="AC229" s="70"/>
      <c r="AD229" s="76" t="s">
        <v>16658</v>
      </c>
      <c r="AE229" s="81" t="s">
        <v>17189</v>
      </c>
      <c r="AF229" s="76">
        <v>4864</v>
      </c>
      <c r="AG229" s="76">
        <v>1613</v>
      </c>
      <c r="AH229" s="76">
        <v>51969</v>
      </c>
      <c r="AI229" s="76">
        <v>423</v>
      </c>
      <c r="AJ229" s="76">
        <v>9160</v>
      </c>
      <c r="AK229" s="76">
        <v>12963</v>
      </c>
      <c r="AL229" s="76" t="b">
        <v>0</v>
      </c>
      <c r="AM229" s="78">
        <v>40478.637974537036</v>
      </c>
      <c r="AN229" s="76" t="s">
        <v>17419</v>
      </c>
      <c r="AO229" s="76" t="s">
        <v>17846</v>
      </c>
      <c r="AP229" s="83" t="str">
        <f>HYPERLINK("https://t.co/AWHhCRJOGV")</f>
        <v>https://t.co/AWHhCRJOGV</v>
      </c>
      <c r="AQ229" s="83" t="str">
        <f>HYPERLINK("http://dirigentesdigital.com")</f>
        <v>http://dirigentesdigital.com</v>
      </c>
      <c r="AR229" s="76" t="s">
        <v>6507</v>
      </c>
      <c r="AS229" s="76"/>
      <c r="AT229" s="76"/>
      <c r="AU229" s="76"/>
      <c r="AV229" s="76"/>
      <c r="AW229" s="83" t="str">
        <f>HYPERLINK("https://t.co/AWHhCRJOGV")</f>
        <v>https://t.co/AWHhCRJOGV</v>
      </c>
      <c r="AX229" s="76" t="b">
        <v>1</v>
      </c>
      <c r="AY229" s="76"/>
      <c r="AZ229" s="76"/>
      <c r="BA229" s="76" t="b">
        <v>0</v>
      </c>
      <c r="BB229" s="76" t="b">
        <v>1</v>
      </c>
      <c r="BC229" s="76" t="b">
        <v>0</v>
      </c>
      <c r="BD229" s="76" t="b">
        <v>0</v>
      </c>
      <c r="BE229" s="76" t="b">
        <v>1</v>
      </c>
      <c r="BF229" s="76" t="b">
        <v>0</v>
      </c>
      <c r="BG229" s="76" t="b">
        <v>0</v>
      </c>
      <c r="BH229" s="83" t="str">
        <f>HYPERLINK("https://pbs.twimg.com/profile_banners/208594072/1670846148")</f>
        <v>https://pbs.twimg.com/profile_banners/208594072/1670846148</v>
      </c>
      <c r="BI229" s="76"/>
      <c r="BJ229" s="76" t="s">
        <v>18704</v>
      </c>
      <c r="BK229" s="76" t="b">
        <v>0</v>
      </c>
      <c r="BL229" s="76"/>
      <c r="BM229" s="76" t="s">
        <v>66</v>
      </c>
      <c r="BN229" s="76" t="s">
        <v>18706</v>
      </c>
      <c r="BO229" s="83" t="str">
        <f>HYPERLINK("https://twitter.com/dirigentesdg")</f>
        <v>https://twitter.com/dirigentesdg</v>
      </c>
      <c r="BP229" s="2"/>
    </row>
    <row r="230" spans="1:68" x14ac:dyDescent="0.25">
      <c r="A230" s="62" t="s">
        <v>780</v>
      </c>
      <c r="B230" s="63"/>
      <c r="C230" s="63"/>
      <c r="D230" s="64"/>
      <c r="E230" s="66"/>
      <c r="F230" s="102" t="str">
        <f>HYPERLINK("https://pbs.twimg.com/profile_images/3658542805/b718c617db10b113feb5d002ff642b6e_normal.png")</f>
        <v>https://pbs.twimg.com/profile_images/3658542805/b718c617db10b113feb5d002ff642b6e_normal.png</v>
      </c>
      <c r="G230" s="63"/>
      <c r="H230" s="67"/>
      <c r="I230" s="68"/>
      <c r="J230" s="68"/>
      <c r="K230" s="67" t="s">
        <v>18933</v>
      </c>
      <c r="L230" s="71"/>
      <c r="M230" s="72"/>
      <c r="N230" s="72"/>
      <c r="O230" s="73"/>
      <c r="P230" s="74"/>
      <c r="Q230" s="74"/>
      <c r="R230" s="86"/>
      <c r="S230" s="86"/>
      <c r="T230" s="86"/>
      <c r="U230" s="86"/>
      <c r="V230" s="48"/>
      <c r="W230" s="48"/>
      <c r="X230" s="48"/>
      <c r="Y230" s="48"/>
      <c r="Z230" s="47"/>
      <c r="AA230" s="69">
        <v>230</v>
      </c>
      <c r="AB230" s="69"/>
      <c r="AC230" s="70"/>
      <c r="AD230" s="76" t="s">
        <v>16659</v>
      </c>
      <c r="AE230" s="81" t="s">
        <v>17190</v>
      </c>
      <c r="AF230" s="76">
        <v>15727</v>
      </c>
      <c r="AG230" s="76">
        <v>5729</v>
      </c>
      <c r="AH230" s="76">
        <v>28532</v>
      </c>
      <c r="AI230" s="76">
        <v>283</v>
      </c>
      <c r="AJ230" s="76">
        <v>5774</v>
      </c>
      <c r="AK230" s="76">
        <v>5115</v>
      </c>
      <c r="AL230" s="76" t="b">
        <v>0</v>
      </c>
      <c r="AM230" s="78">
        <v>40252.689791666664</v>
      </c>
      <c r="AN230" s="76" t="s">
        <v>17419</v>
      </c>
      <c r="AO230" s="76" t="s">
        <v>17847</v>
      </c>
      <c r="AP230" s="83" t="str">
        <f>HYPERLINK("https://t.co/pWDmAXdi5k")</f>
        <v>https://t.co/pWDmAXdi5k</v>
      </c>
      <c r="AQ230" s="83" t="str">
        <f>HYPERLINK("https://www.xtb.com/es")</f>
        <v>https://www.xtb.com/es</v>
      </c>
      <c r="AR230" s="76" t="s">
        <v>18374</v>
      </c>
      <c r="AS230" s="76"/>
      <c r="AT230" s="76"/>
      <c r="AU230" s="76"/>
      <c r="AV230" s="76">
        <v>1.7037190447743099E+18</v>
      </c>
      <c r="AW230" s="83" t="str">
        <f>HYPERLINK("https://t.co/pWDmAXdi5k")</f>
        <v>https://t.co/pWDmAXdi5k</v>
      </c>
      <c r="AX230" s="76" t="b">
        <v>0</v>
      </c>
      <c r="AY230" s="76"/>
      <c r="AZ230" s="76"/>
      <c r="BA230" s="76" t="b">
        <v>1</v>
      </c>
      <c r="BB230" s="76" t="b">
        <v>1</v>
      </c>
      <c r="BC230" s="76" t="b">
        <v>0</v>
      </c>
      <c r="BD230" s="76" t="b">
        <v>0</v>
      </c>
      <c r="BE230" s="76" t="b">
        <v>1</v>
      </c>
      <c r="BF230" s="76" t="b">
        <v>0</v>
      </c>
      <c r="BG230" s="76" t="b">
        <v>0</v>
      </c>
      <c r="BH230" s="83" t="str">
        <f>HYPERLINK("https://pbs.twimg.com/profile_banners/123292247/1695032589")</f>
        <v>https://pbs.twimg.com/profile_banners/123292247/1695032589</v>
      </c>
      <c r="BI230" s="76"/>
      <c r="BJ230" s="76" t="s">
        <v>18704</v>
      </c>
      <c r="BK230" s="76" t="b">
        <v>0</v>
      </c>
      <c r="BL230" s="76"/>
      <c r="BM230" s="76" t="s">
        <v>65</v>
      </c>
      <c r="BN230" s="76" t="s">
        <v>18706</v>
      </c>
      <c r="BO230" s="83" t="str">
        <f>HYPERLINK("https://twitter.com/xtbes")</f>
        <v>https://twitter.com/xtbes</v>
      </c>
      <c r="BP230" s="2"/>
    </row>
    <row r="231" spans="1:68" x14ac:dyDescent="0.25">
      <c r="A231" s="62" t="s">
        <v>781</v>
      </c>
      <c r="B231" s="63"/>
      <c r="C231" s="63"/>
      <c r="D231" s="64"/>
      <c r="E231" s="66"/>
      <c r="F231" s="102" t="str">
        <f>HYPERLINK("https://pbs.twimg.com/profile_images/1543379143269785602/_Elihnbm_normal.jpg")</f>
        <v>https://pbs.twimg.com/profile_images/1543379143269785602/_Elihnbm_normal.jpg</v>
      </c>
      <c r="G231" s="63"/>
      <c r="H231" s="67"/>
      <c r="I231" s="68"/>
      <c r="J231" s="68"/>
      <c r="K231" s="67" t="s">
        <v>18934</v>
      </c>
      <c r="L231" s="71"/>
      <c r="M231" s="72"/>
      <c r="N231" s="72"/>
      <c r="O231" s="73"/>
      <c r="P231" s="74"/>
      <c r="Q231" s="74"/>
      <c r="R231" s="86"/>
      <c r="S231" s="86"/>
      <c r="T231" s="86"/>
      <c r="U231" s="86"/>
      <c r="V231" s="48"/>
      <c r="W231" s="48"/>
      <c r="X231" s="48"/>
      <c r="Y231" s="48"/>
      <c r="Z231" s="47"/>
      <c r="AA231" s="69">
        <v>231</v>
      </c>
      <c r="AB231" s="69"/>
      <c r="AC231" s="70"/>
      <c r="AD231" s="76" t="s">
        <v>16660</v>
      </c>
      <c r="AE231" s="81" t="s">
        <v>17191</v>
      </c>
      <c r="AF231" s="76">
        <v>94118</v>
      </c>
      <c r="AG231" s="76">
        <v>240</v>
      </c>
      <c r="AH231" s="76">
        <v>9163</v>
      </c>
      <c r="AI231" s="76">
        <v>940</v>
      </c>
      <c r="AJ231" s="76">
        <v>11750</v>
      </c>
      <c r="AK231" s="76">
        <v>1875</v>
      </c>
      <c r="AL231" s="76" t="b">
        <v>0</v>
      </c>
      <c r="AM231" s="78">
        <v>42762.845277777778</v>
      </c>
      <c r="AN231" s="76" t="s">
        <v>17419</v>
      </c>
      <c r="AO231" s="76" t="s">
        <v>17848</v>
      </c>
      <c r="AP231" s="83" t="str">
        <f>HYPERLINK("https://t.co/kzD5cGzUeM")</f>
        <v>https://t.co/kzD5cGzUeM</v>
      </c>
      <c r="AQ231" s="83" t="str">
        <f>HYPERLINK("https://pablogiltrader.com")</f>
        <v>https://pablogiltrader.com</v>
      </c>
      <c r="AR231" s="76" t="s">
        <v>18375</v>
      </c>
      <c r="AS231" s="76"/>
      <c r="AT231" s="76"/>
      <c r="AU231" s="76"/>
      <c r="AV231" s="76"/>
      <c r="AW231" s="83" t="str">
        <f>HYPERLINK("https://t.co/kzD5cGzUeM")</f>
        <v>https://t.co/kzD5cGzUeM</v>
      </c>
      <c r="AX231" s="76" t="b">
        <v>1</v>
      </c>
      <c r="AY231" s="76"/>
      <c r="AZ231" s="76"/>
      <c r="BA231" s="76" t="b">
        <v>0</v>
      </c>
      <c r="BB231" s="76" t="b">
        <v>1</v>
      </c>
      <c r="BC231" s="76" t="b">
        <v>1</v>
      </c>
      <c r="BD231" s="76" t="b">
        <v>0</v>
      </c>
      <c r="BE231" s="76" t="b">
        <v>1</v>
      </c>
      <c r="BF231" s="76" t="b">
        <v>0</v>
      </c>
      <c r="BG231" s="76" t="b">
        <v>0</v>
      </c>
      <c r="BH231" s="83" t="str">
        <f>HYPERLINK("https://pbs.twimg.com/profile_banners/825075204619649024/1683539151")</f>
        <v>https://pbs.twimg.com/profile_banners/825075204619649024/1683539151</v>
      </c>
      <c r="BI231" s="76"/>
      <c r="BJ231" s="76" t="s">
        <v>18704</v>
      </c>
      <c r="BK231" s="76" t="b">
        <v>0</v>
      </c>
      <c r="BL231" s="76"/>
      <c r="BM231" s="76" t="s">
        <v>65</v>
      </c>
      <c r="BN231" s="76" t="s">
        <v>18706</v>
      </c>
      <c r="BO231" s="83" t="str">
        <f>HYPERLINK("https://twitter.com/pablogiltrader")</f>
        <v>https://twitter.com/pablogiltrader</v>
      </c>
      <c r="BP231" s="2"/>
    </row>
    <row r="232" spans="1:68" x14ac:dyDescent="0.25">
      <c r="A232" s="62" t="s">
        <v>402</v>
      </c>
      <c r="B232" s="63"/>
      <c r="C232" s="63"/>
      <c r="D232" s="64"/>
      <c r="E232" s="66"/>
      <c r="F232" s="102" t="str">
        <f>HYPERLINK("https://pbs.twimg.com/profile_images/1562089790299856896/CnjH0LVG_normal.jpg")</f>
        <v>https://pbs.twimg.com/profile_images/1562089790299856896/CnjH0LVG_normal.jpg</v>
      </c>
      <c r="G232" s="63"/>
      <c r="H232" s="67"/>
      <c r="I232" s="68"/>
      <c r="J232" s="68"/>
      <c r="K232" s="67" t="s">
        <v>18935</v>
      </c>
      <c r="L232" s="71"/>
      <c r="M232" s="72"/>
      <c r="N232" s="72"/>
      <c r="O232" s="73"/>
      <c r="P232" s="74"/>
      <c r="Q232" s="74"/>
      <c r="R232" s="86"/>
      <c r="S232" s="86"/>
      <c r="T232" s="86"/>
      <c r="U232" s="86"/>
      <c r="V232" s="48"/>
      <c r="W232" s="48"/>
      <c r="X232" s="48"/>
      <c r="Y232" s="48"/>
      <c r="Z232" s="47"/>
      <c r="AA232" s="69">
        <v>232</v>
      </c>
      <c r="AB232" s="69"/>
      <c r="AC232" s="70"/>
      <c r="AD232" s="76" t="s">
        <v>16661</v>
      </c>
      <c r="AE232" s="81" t="s">
        <v>16209</v>
      </c>
      <c r="AF232" s="76">
        <v>453</v>
      </c>
      <c r="AG232" s="76">
        <v>91</v>
      </c>
      <c r="AH232" s="76">
        <v>490</v>
      </c>
      <c r="AI232" s="76">
        <v>3</v>
      </c>
      <c r="AJ232" s="76">
        <v>1853</v>
      </c>
      <c r="AK232" s="76">
        <v>104</v>
      </c>
      <c r="AL232" s="76" t="b">
        <v>0</v>
      </c>
      <c r="AM232" s="78">
        <v>44718.980995370373</v>
      </c>
      <c r="AN232" s="76" t="s">
        <v>17487</v>
      </c>
      <c r="AO232" s="76" t="s">
        <v>17849</v>
      </c>
      <c r="AP232" s="83" t="str">
        <f>HYPERLINK("https://t.co/7grFRKTjv2")</f>
        <v>https://t.co/7grFRKTjv2</v>
      </c>
      <c r="AQ232" s="83" t="str">
        <f>HYPERLINK("https://conectasolucoes.com")</f>
        <v>https://conectasolucoes.com</v>
      </c>
      <c r="AR232" s="76" t="s">
        <v>18376</v>
      </c>
      <c r="AS232" s="83" t="str">
        <f>HYPERLINK("https://t.co/iEfP8jaKKr")</f>
        <v>https://t.co/iEfP8jaKKr</v>
      </c>
      <c r="AT232" s="83" t="str">
        <f>HYPERLINK("https://instagram.com/guilhermehcunha")</f>
        <v>https://instagram.com/guilhermehcunha</v>
      </c>
      <c r="AU232" s="76" t="s">
        <v>18664</v>
      </c>
      <c r="AV232" s="76">
        <v>1.6201061686885801E+18</v>
      </c>
      <c r="AW232" s="83" t="str">
        <f>HYPERLINK("https://t.co/7grFRKTjv2")</f>
        <v>https://t.co/7grFRKTjv2</v>
      </c>
      <c r="AX232" s="76" t="b">
        <v>1</v>
      </c>
      <c r="AY232" s="76"/>
      <c r="AZ232" s="76"/>
      <c r="BA232" s="76" t="b">
        <v>0</v>
      </c>
      <c r="BB232" s="76" t="b">
        <v>1</v>
      </c>
      <c r="BC232" s="76" t="b">
        <v>1</v>
      </c>
      <c r="BD232" s="76" t="b">
        <v>0</v>
      </c>
      <c r="BE232" s="76" t="b">
        <v>1</v>
      </c>
      <c r="BF232" s="76" t="b">
        <v>0</v>
      </c>
      <c r="BG232" s="76" t="b">
        <v>0</v>
      </c>
      <c r="BH232" s="83" t="str">
        <f>HYPERLINK("https://pbs.twimg.com/profile_banners/1533954985448427520/1661252569")</f>
        <v>https://pbs.twimg.com/profile_banners/1533954985448427520/1661252569</v>
      </c>
      <c r="BI232" s="76"/>
      <c r="BJ232" s="76" t="s">
        <v>18704</v>
      </c>
      <c r="BK232" s="76" t="b">
        <v>0</v>
      </c>
      <c r="BL232" s="76"/>
      <c r="BM232" s="76" t="s">
        <v>66</v>
      </c>
      <c r="BN232" s="76" t="s">
        <v>18706</v>
      </c>
      <c r="BO232" s="83" t="str">
        <f>HYPERLINK("https://twitter.com/guicunhatc")</f>
        <v>https://twitter.com/guicunhatc</v>
      </c>
      <c r="BP232" s="2"/>
    </row>
    <row r="233" spans="1:68" x14ac:dyDescent="0.25">
      <c r="A233" s="62" t="s">
        <v>403</v>
      </c>
      <c r="B233" s="63"/>
      <c r="C233" s="63"/>
      <c r="D233" s="64"/>
      <c r="E233" s="66"/>
      <c r="F233" s="102" t="str">
        <f>HYPERLINK("https://pbs.twimg.com/profile_images/1681891735759142913/zi-CLzLc_normal.jpg")</f>
        <v>https://pbs.twimg.com/profile_images/1681891735759142913/zi-CLzLc_normal.jpg</v>
      </c>
      <c r="G233" s="63"/>
      <c r="H233" s="67"/>
      <c r="I233" s="68"/>
      <c r="J233" s="68"/>
      <c r="K233" s="67" t="s">
        <v>18936</v>
      </c>
      <c r="L233" s="71"/>
      <c r="M233" s="72"/>
      <c r="N233" s="72"/>
      <c r="O233" s="73"/>
      <c r="P233" s="74"/>
      <c r="Q233" s="74"/>
      <c r="R233" s="86"/>
      <c r="S233" s="86"/>
      <c r="T233" s="86"/>
      <c r="U233" s="86"/>
      <c r="V233" s="48"/>
      <c r="W233" s="48"/>
      <c r="X233" s="48"/>
      <c r="Y233" s="48"/>
      <c r="Z233" s="47"/>
      <c r="AA233" s="69">
        <v>233</v>
      </c>
      <c r="AB233" s="69"/>
      <c r="AC233" s="70"/>
      <c r="AD233" s="76" t="s">
        <v>16662</v>
      </c>
      <c r="AE233" s="81" t="s">
        <v>16210</v>
      </c>
      <c r="AF233" s="76">
        <v>0</v>
      </c>
      <c r="AG233" s="76">
        <v>1</v>
      </c>
      <c r="AH233" s="76">
        <v>6</v>
      </c>
      <c r="AI233" s="76">
        <v>0</v>
      </c>
      <c r="AJ233" s="76">
        <v>0</v>
      </c>
      <c r="AK233" s="76">
        <v>0</v>
      </c>
      <c r="AL233" s="76" t="b">
        <v>0</v>
      </c>
      <c r="AM233" s="78">
        <v>45127.204826388886</v>
      </c>
      <c r="AN233" s="76"/>
      <c r="AO233" s="76" t="s">
        <v>17850</v>
      </c>
      <c r="AP233" s="76"/>
      <c r="AQ233" s="76"/>
      <c r="AR233" s="76"/>
      <c r="AS233" s="76"/>
      <c r="AT233" s="76"/>
      <c r="AU233" s="76"/>
      <c r="AV233" s="76"/>
      <c r="AW233" s="76"/>
      <c r="AX233" s="76" t="b">
        <v>0</v>
      </c>
      <c r="AY233" s="76"/>
      <c r="AZ233" s="76"/>
      <c r="BA233" s="76" t="b">
        <v>0</v>
      </c>
      <c r="BB233" s="76" t="b">
        <v>1</v>
      </c>
      <c r="BC233" s="76" t="b">
        <v>1</v>
      </c>
      <c r="BD233" s="76" t="b">
        <v>0</v>
      </c>
      <c r="BE233" s="76" t="b">
        <v>0</v>
      </c>
      <c r="BF233" s="76" t="b">
        <v>0</v>
      </c>
      <c r="BG233" s="76" t="b">
        <v>0</v>
      </c>
      <c r="BH233" s="76"/>
      <c r="BI233" s="76"/>
      <c r="BJ233" s="76" t="s">
        <v>18704</v>
      </c>
      <c r="BK233" s="76" t="b">
        <v>0</v>
      </c>
      <c r="BL233" s="76"/>
      <c r="BM233" s="76" t="s">
        <v>66</v>
      </c>
      <c r="BN233" s="76" t="s">
        <v>18706</v>
      </c>
      <c r="BO233" s="83" t="str">
        <f>HYPERLINK("https://twitter.com/m_milionarios")</f>
        <v>https://twitter.com/m_milionarios</v>
      </c>
      <c r="BP233" s="2"/>
    </row>
    <row r="234" spans="1:68" x14ac:dyDescent="0.25">
      <c r="A234" s="62" t="s">
        <v>404</v>
      </c>
      <c r="B234" s="63"/>
      <c r="C234" s="63"/>
      <c r="D234" s="64"/>
      <c r="E234" s="66"/>
      <c r="F234" s="102" t="str">
        <f>HYPERLINK("https://pbs.twimg.com/profile_images/1648505090423291904/Xcf0h4C-_normal.jpg")</f>
        <v>https://pbs.twimg.com/profile_images/1648505090423291904/Xcf0h4C-_normal.jpg</v>
      </c>
      <c r="G234" s="63"/>
      <c r="H234" s="67"/>
      <c r="I234" s="68"/>
      <c r="J234" s="68"/>
      <c r="K234" s="67" t="s">
        <v>18937</v>
      </c>
      <c r="L234" s="71"/>
      <c r="M234" s="72"/>
      <c r="N234" s="72"/>
      <c r="O234" s="73"/>
      <c r="P234" s="74"/>
      <c r="Q234" s="74"/>
      <c r="R234" s="86"/>
      <c r="S234" s="86"/>
      <c r="T234" s="86"/>
      <c r="U234" s="86"/>
      <c r="V234" s="48"/>
      <c r="W234" s="48"/>
      <c r="X234" s="48"/>
      <c r="Y234" s="48"/>
      <c r="Z234" s="47"/>
      <c r="AA234" s="69">
        <v>234</v>
      </c>
      <c r="AB234" s="69"/>
      <c r="AC234" s="70"/>
      <c r="AD234" s="76" t="s">
        <v>16663</v>
      </c>
      <c r="AE234" s="81" t="s">
        <v>16211</v>
      </c>
      <c r="AF234" s="76">
        <v>65</v>
      </c>
      <c r="AG234" s="76">
        <v>428</v>
      </c>
      <c r="AH234" s="76">
        <v>645</v>
      </c>
      <c r="AI234" s="76">
        <v>0</v>
      </c>
      <c r="AJ234" s="76">
        <v>418</v>
      </c>
      <c r="AK234" s="76">
        <v>540</v>
      </c>
      <c r="AL234" s="76" t="b">
        <v>0</v>
      </c>
      <c r="AM234" s="78">
        <v>45034.950694444444</v>
      </c>
      <c r="AN234" s="76" t="s">
        <v>17488</v>
      </c>
      <c r="AO234" s="76" t="s">
        <v>17851</v>
      </c>
      <c r="AP234" s="83" t="str">
        <f>HYPERLINK("https://t.co/nRGAOxT3o3")</f>
        <v>https://t.co/nRGAOxT3o3</v>
      </c>
      <c r="AQ234" s="83" t="str">
        <f>HYPERLINK("http://www.norteinforma.com.ar")</f>
        <v>http://www.norteinforma.com.ar</v>
      </c>
      <c r="AR234" s="76" t="s">
        <v>18377</v>
      </c>
      <c r="AS234" s="76"/>
      <c r="AT234" s="76"/>
      <c r="AU234" s="76"/>
      <c r="AV234" s="76"/>
      <c r="AW234" s="83" t="str">
        <f>HYPERLINK("https://t.co/nRGAOxT3o3")</f>
        <v>https://t.co/nRGAOxT3o3</v>
      </c>
      <c r="AX234" s="76" t="b">
        <v>0</v>
      </c>
      <c r="AY234" s="76"/>
      <c r="AZ234" s="76"/>
      <c r="BA234" s="76" t="b">
        <v>0</v>
      </c>
      <c r="BB234" s="76" t="b">
        <v>1</v>
      </c>
      <c r="BC234" s="76" t="b">
        <v>1</v>
      </c>
      <c r="BD234" s="76" t="b">
        <v>0</v>
      </c>
      <c r="BE234" s="76" t="b">
        <v>0</v>
      </c>
      <c r="BF234" s="76" t="b">
        <v>0</v>
      </c>
      <c r="BG234" s="76" t="b">
        <v>0</v>
      </c>
      <c r="BH234" s="83" t="str">
        <f>HYPERLINK("https://pbs.twimg.com/profile_banners/1648458596802510849/1692029019")</f>
        <v>https://pbs.twimg.com/profile_banners/1648458596802510849/1692029019</v>
      </c>
      <c r="BI234" s="76"/>
      <c r="BJ234" s="76" t="s">
        <v>18704</v>
      </c>
      <c r="BK234" s="76" t="b">
        <v>0</v>
      </c>
      <c r="BL234" s="76"/>
      <c r="BM234" s="76" t="s">
        <v>66</v>
      </c>
      <c r="BN234" s="76" t="s">
        <v>18706</v>
      </c>
      <c r="BO234" s="83" t="str">
        <f>HYPERLINK("https://twitter.com/norte_informa")</f>
        <v>https://twitter.com/norte_informa</v>
      </c>
      <c r="BP234" s="2"/>
    </row>
    <row r="235" spans="1:68" x14ac:dyDescent="0.25">
      <c r="A235" s="62" t="s">
        <v>782</v>
      </c>
      <c r="B235" s="63"/>
      <c r="C235" s="63"/>
      <c r="D235" s="64"/>
      <c r="E235" s="66"/>
      <c r="F235" s="102" t="str">
        <f>HYPERLINK("https://pbs.twimg.com/profile_images/1566071249230565383/6NN86waP_normal.jpg")</f>
        <v>https://pbs.twimg.com/profile_images/1566071249230565383/6NN86waP_normal.jpg</v>
      </c>
      <c r="G235" s="63"/>
      <c r="H235" s="67"/>
      <c r="I235" s="68"/>
      <c r="J235" s="68"/>
      <c r="K235" s="67" t="s">
        <v>18938</v>
      </c>
      <c r="L235" s="71"/>
      <c r="M235" s="72"/>
      <c r="N235" s="72"/>
      <c r="O235" s="73"/>
      <c r="P235" s="74"/>
      <c r="Q235" s="74"/>
      <c r="R235" s="86"/>
      <c r="S235" s="86"/>
      <c r="T235" s="86"/>
      <c r="U235" s="86"/>
      <c r="V235" s="48"/>
      <c r="W235" s="48"/>
      <c r="X235" s="48"/>
      <c r="Y235" s="48"/>
      <c r="Z235" s="47"/>
      <c r="AA235" s="69">
        <v>235</v>
      </c>
      <c r="AB235" s="69"/>
      <c r="AC235" s="70"/>
      <c r="AD235" s="76" t="s">
        <v>16664</v>
      </c>
      <c r="AE235" s="81" t="s">
        <v>17192</v>
      </c>
      <c r="AF235" s="76">
        <v>43636</v>
      </c>
      <c r="AG235" s="76">
        <v>752</v>
      </c>
      <c r="AH235" s="76">
        <v>27896</v>
      </c>
      <c r="AI235" s="76">
        <v>263</v>
      </c>
      <c r="AJ235" s="76">
        <v>5078</v>
      </c>
      <c r="AK235" s="76">
        <v>5518</v>
      </c>
      <c r="AL235" s="76" t="b">
        <v>0</v>
      </c>
      <c r="AM235" s="78">
        <v>40678.871388888889</v>
      </c>
      <c r="AN235" s="76" t="s">
        <v>17489</v>
      </c>
      <c r="AO235" s="76" t="s">
        <v>17852</v>
      </c>
      <c r="AP235" s="83" t="str">
        <f>HYPERLINK("https://t.co/m7OsWrQHP6")</f>
        <v>https://t.co/m7OsWrQHP6</v>
      </c>
      <c r="AQ235" s="83" t="str">
        <f>HYPERLINK("https://www.argentina.gob.ar/produccion")</f>
        <v>https://www.argentina.gob.ar/produccion</v>
      </c>
      <c r="AR235" s="76" t="s">
        <v>18378</v>
      </c>
      <c r="AS235" s="76"/>
      <c r="AT235" s="76"/>
      <c r="AU235" s="76"/>
      <c r="AV235" s="76">
        <v>1.4696632982621199E+18</v>
      </c>
      <c r="AW235" s="83" t="str">
        <f>HYPERLINK("https://t.co/m7OsWrQHP6")</f>
        <v>https://t.co/m7OsWrQHP6</v>
      </c>
      <c r="AX235" s="76" t="b">
        <v>0</v>
      </c>
      <c r="AY235" s="76"/>
      <c r="AZ235" s="76"/>
      <c r="BA235" s="76" t="b">
        <v>0</v>
      </c>
      <c r="BB235" s="76" t="b">
        <v>1</v>
      </c>
      <c r="BC235" s="76" t="b">
        <v>0</v>
      </c>
      <c r="BD235" s="76" t="b">
        <v>0</v>
      </c>
      <c r="BE235" s="76" t="b">
        <v>1</v>
      </c>
      <c r="BF235" s="76" t="b">
        <v>0</v>
      </c>
      <c r="BG235" s="76" t="b">
        <v>0</v>
      </c>
      <c r="BH235" s="83" t="str">
        <f>HYPERLINK("https://pbs.twimg.com/profile_banners/299298402/1663116331")</f>
        <v>https://pbs.twimg.com/profile_banners/299298402/1663116331</v>
      </c>
      <c r="BI235" s="76"/>
      <c r="BJ235" s="76" t="s">
        <v>18704</v>
      </c>
      <c r="BK235" s="76" t="b">
        <v>0</v>
      </c>
      <c r="BL235" s="76"/>
      <c r="BM235" s="76" t="s">
        <v>65</v>
      </c>
      <c r="BN235" s="76" t="s">
        <v>18706</v>
      </c>
      <c r="BO235" s="83" t="str">
        <f>HYPERLINK("https://twitter.com/dmvasco")</f>
        <v>https://twitter.com/dmvasco</v>
      </c>
      <c r="BP235" s="2"/>
    </row>
    <row r="236" spans="1:68" x14ac:dyDescent="0.25">
      <c r="A236" s="62" t="s">
        <v>405</v>
      </c>
      <c r="B236" s="63"/>
      <c r="C236" s="63"/>
      <c r="D236" s="64"/>
      <c r="E236" s="66"/>
      <c r="F236" s="102" t="str">
        <f>HYPERLINK("https://pbs.twimg.com/profile_images/1696491014452625409/CuW1JcbJ_normal.jpg")</f>
        <v>https://pbs.twimg.com/profile_images/1696491014452625409/CuW1JcbJ_normal.jpg</v>
      </c>
      <c r="G236" s="63"/>
      <c r="H236" s="67"/>
      <c r="I236" s="68"/>
      <c r="J236" s="68"/>
      <c r="K236" s="67" t="s">
        <v>18939</v>
      </c>
      <c r="L236" s="71"/>
      <c r="M236" s="72"/>
      <c r="N236" s="72"/>
      <c r="O236" s="73"/>
      <c r="P236" s="74"/>
      <c r="Q236" s="74"/>
      <c r="R236" s="86"/>
      <c r="S236" s="86"/>
      <c r="T236" s="86"/>
      <c r="U236" s="86"/>
      <c r="V236" s="48"/>
      <c r="W236" s="48"/>
      <c r="X236" s="48"/>
      <c r="Y236" s="48"/>
      <c r="Z236" s="47"/>
      <c r="AA236" s="69">
        <v>236</v>
      </c>
      <c r="AB236" s="69"/>
      <c r="AC236" s="70"/>
      <c r="AD236" s="76" t="s">
        <v>16665</v>
      </c>
      <c r="AE236" s="81" t="s">
        <v>15934</v>
      </c>
      <c r="AF236" s="76">
        <v>411</v>
      </c>
      <c r="AG236" s="76">
        <v>95</v>
      </c>
      <c r="AH236" s="76">
        <v>449</v>
      </c>
      <c r="AI236" s="76">
        <v>1</v>
      </c>
      <c r="AJ236" s="76">
        <v>819</v>
      </c>
      <c r="AK236" s="76">
        <v>174</v>
      </c>
      <c r="AL236" s="76" t="b">
        <v>0</v>
      </c>
      <c r="AM236" s="78">
        <v>45033.391747685186</v>
      </c>
      <c r="AN236" s="76" t="s">
        <v>17490</v>
      </c>
      <c r="AO236" s="76" t="s">
        <v>17853</v>
      </c>
      <c r="AP236" s="83" t="str">
        <f>HYPERLINK("https://t.co/Ep3GB0eu5b")</f>
        <v>https://t.co/Ep3GB0eu5b</v>
      </c>
      <c r="AQ236" s="83" t="str">
        <f>HYPERLINK("https://linktr.ee/bingxitaly")</f>
        <v>https://linktr.ee/bingxitaly</v>
      </c>
      <c r="AR236" s="76" t="s">
        <v>18379</v>
      </c>
      <c r="AS236" s="76"/>
      <c r="AT236" s="76"/>
      <c r="AU236" s="76"/>
      <c r="AV236" s="76">
        <v>1.70368056852781E+18</v>
      </c>
      <c r="AW236" s="83" t="str">
        <f>HYPERLINK("https://t.co/Ep3GB0eu5b")</f>
        <v>https://t.co/Ep3GB0eu5b</v>
      </c>
      <c r="AX236" s="76" t="b">
        <v>1</v>
      </c>
      <c r="AY236" s="76"/>
      <c r="AZ236" s="76"/>
      <c r="BA236" s="76" t="b">
        <v>1</v>
      </c>
      <c r="BB236" s="76" t="b">
        <v>1</v>
      </c>
      <c r="BC236" s="76" t="b">
        <v>1</v>
      </c>
      <c r="BD236" s="76" t="b">
        <v>0</v>
      </c>
      <c r="BE236" s="76" t="b">
        <v>0</v>
      </c>
      <c r="BF236" s="76" t="b">
        <v>0</v>
      </c>
      <c r="BG236" s="76" t="b">
        <v>0</v>
      </c>
      <c r="BH236" s="83" t="str">
        <f>HYPERLINK("https://pbs.twimg.com/profile_banners/1647893519850426369/1692709100")</f>
        <v>https://pbs.twimg.com/profile_banners/1647893519850426369/1692709100</v>
      </c>
      <c r="BI236" s="76"/>
      <c r="BJ236" s="76" t="s">
        <v>18704</v>
      </c>
      <c r="BK236" s="76" t="b">
        <v>0</v>
      </c>
      <c r="BL236" s="76"/>
      <c r="BM236" s="76" t="s">
        <v>66</v>
      </c>
      <c r="BN236" s="76" t="s">
        <v>18706</v>
      </c>
      <c r="BO236" s="83" t="str">
        <f>HYPERLINK("https://twitter.com/bingx_italy")</f>
        <v>https://twitter.com/bingx_italy</v>
      </c>
      <c r="BP236" s="2"/>
    </row>
    <row r="237" spans="1:68" x14ac:dyDescent="0.25">
      <c r="A237" s="62" t="s">
        <v>406</v>
      </c>
      <c r="B237" s="63"/>
      <c r="C237" s="63"/>
      <c r="D237" s="64"/>
      <c r="E237" s="66"/>
      <c r="F237" s="102" t="str">
        <f>HYPERLINK("https://pbs.twimg.com/profile_images/1247511475691958272/nc4hhRpx_normal.jpg")</f>
        <v>https://pbs.twimg.com/profile_images/1247511475691958272/nc4hhRpx_normal.jpg</v>
      </c>
      <c r="G237" s="63"/>
      <c r="H237" s="67"/>
      <c r="I237" s="68"/>
      <c r="J237" s="68"/>
      <c r="K237" s="67" t="s">
        <v>18940</v>
      </c>
      <c r="L237" s="71"/>
      <c r="M237" s="72"/>
      <c r="N237" s="72"/>
      <c r="O237" s="73"/>
      <c r="P237" s="74"/>
      <c r="Q237" s="74"/>
      <c r="R237" s="86"/>
      <c r="S237" s="86"/>
      <c r="T237" s="86"/>
      <c r="U237" s="86"/>
      <c r="V237" s="48"/>
      <c r="W237" s="48"/>
      <c r="X237" s="48"/>
      <c r="Y237" s="48"/>
      <c r="Z237" s="47"/>
      <c r="AA237" s="69">
        <v>237</v>
      </c>
      <c r="AB237" s="69"/>
      <c r="AC237" s="70"/>
      <c r="AD237" s="76" t="s">
        <v>16666</v>
      </c>
      <c r="AE237" s="81" t="s">
        <v>16212</v>
      </c>
      <c r="AF237" s="76">
        <v>7</v>
      </c>
      <c r="AG237" s="76">
        <v>9</v>
      </c>
      <c r="AH237" s="76">
        <v>120</v>
      </c>
      <c r="AI237" s="76">
        <v>0</v>
      </c>
      <c r="AJ237" s="76">
        <v>38</v>
      </c>
      <c r="AK237" s="76">
        <v>108</v>
      </c>
      <c r="AL237" s="76" t="b">
        <v>0</v>
      </c>
      <c r="AM237" s="78">
        <v>43928.544502314813</v>
      </c>
      <c r="AN237" s="76" t="s">
        <v>10607</v>
      </c>
      <c r="AO237" s="76" t="s">
        <v>17854</v>
      </c>
      <c r="AP237" s="83" t="str">
        <f>HYPERLINK("https://t.co/ro24sQMBML")</f>
        <v>https://t.co/ro24sQMBML</v>
      </c>
      <c r="AQ237" s="83" t="str">
        <f>HYPERLINK("https://www.b18.com.br/")</f>
        <v>https://www.b18.com.br/</v>
      </c>
      <c r="AR237" s="76" t="s">
        <v>18380</v>
      </c>
      <c r="AS237" s="76"/>
      <c r="AT237" s="76"/>
      <c r="AU237" s="76"/>
      <c r="AV237" s="76"/>
      <c r="AW237" s="83" t="str">
        <f>HYPERLINK("https://t.co/ro24sQMBML")</f>
        <v>https://t.co/ro24sQMBML</v>
      </c>
      <c r="AX237" s="76" t="b">
        <v>0</v>
      </c>
      <c r="AY237" s="76"/>
      <c r="AZ237" s="76"/>
      <c r="BA237" s="76" t="b">
        <v>0</v>
      </c>
      <c r="BB237" s="76" t="b">
        <v>1</v>
      </c>
      <c r="BC237" s="76" t="b">
        <v>1</v>
      </c>
      <c r="BD237" s="76" t="b">
        <v>0</v>
      </c>
      <c r="BE237" s="76" t="b">
        <v>0</v>
      </c>
      <c r="BF237" s="76" t="b">
        <v>0</v>
      </c>
      <c r="BG237" s="76" t="b">
        <v>0</v>
      </c>
      <c r="BH237" s="76"/>
      <c r="BI237" s="76"/>
      <c r="BJ237" s="76" t="s">
        <v>18704</v>
      </c>
      <c r="BK237" s="76" t="b">
        <v>0</v>
      </c>
      <c r="BL237" s="76"/>
      <c r="BM237" s="76" t="s">
        <v>66</v>
      </c>
      <c r="BN237" s="76" t="s">
        <v>18706</v>
      </c>
      <c r="BO237" s="83" t="str">
        <f>HYPERLINK("https://twitter.com/b18editora")</f>
        <v>https://twitter.com/b18editora</v>
      </c>
      <c r="BP237" s="2"/>
    </row>
    <row r="238" spans="1:68" x14ac:dyDescent="0.25">
      <c r="A238" s="62" t="s">
        <v>407</v>
      </c>
      <c r="B238" s="63"/>
      <c r="C238" s="63"/>
      <c r="D238" s="64"/>
      <c r="E238" s="66"/>
      <c r="F238" s="102" t="str">
        <f>HYPERLINK("https://pbs.twimg.com/profile_images/1570701361905377282/RAMkVNel_normal.jpg")</f>
        <v>https://pbs.twimg.com/profile_images/1570701361905377282/RAMkVNel_normal.jpg</v>
      </c>
      <c r="G238" s="63"/>
      <c r="H238" s="67"/>
      <c r="I238" s="68"/>
      <c r="J238" s="68"/>
      <c r="K238" s="67" t="s">
        <v>18941</v>
      </c>
      <c r="L238" s="71"/>
      <c r="M238" s="72"/>
      <c r="N238" s="72"/>
      <c r="O238" s="73"/>
      <c r="P238" s="74"/>
      <c r="Q238" s="74"/>
      <c r="R238" s="86"/>
      <c r="S238" s="86"/>
      <c r="T238" s="86"/>
      <c r="U238" s="86"/>
      <c r="V238" s="48"/>
      <c r="W238" s="48"/>
      <c r="X238" s="48"/>
      <c r="Y238" s="48"/>
      <c r="Z238" s="47"/>
      <c r="AA238" s="69">
        <v>238</v>
      </c>
      <c r="AB238" s="69"/>
      <c r="AC238" s="70"/>
      <c r="AD238" s="76" t="s">
        <v>16667</v>
      </c>
      <c r="AE238" s="81" t="s">
        <v>17193</v>
      </c>
      <c r="AF238" s="76">
        <v>62663</v>
      </c>
      <c r="AG238" s="76">
        <v>742</v>
      </c>
      <c r="AH238" s="76">
        <v>51930</v>
      </c>
      <c r="AI238" s="76">
        <v>1565</v>
      </c>
      <c r="AJ238" s="76">
        <v>26070</v>
      </c>
      <c r="AK238" s="76">
        <v>13389</v>
      </c>
      <c r="AL238" s="76" t="b">
        <v>0</v>
      </c>
      <c r="AM238" s="78">
        <v>40682.381678240738</v>
      </c>
      <c r="AN238" s="76" t="s">
        <v>17434</v>
      </c>
      <c r="AO238" s="76" t="s">
        <v>17855</v>
      </c>
      <c r="AP238" s="83" t="str">
        <f>HYPERLINK("https://t.co/I7JG8PRcT9")</f>
        <v>https://t.co/I7JG8PRcT9</v>
      </c>
      <c r="AQ238" s="83" t="str">
        <f>HYPERLINK("http://www.realinstitutoelcano.org")</f>
        <v>http://www.realinstitutoelcano.org</v>
      </c>
      <c r="AR238" s="76" t="s">
        <v>6511</v>
      </c>
      <c r="AS238" s="76"/>
      <c r="AT238" s="76"/>
      <c r="AU238" s="76"/>
      <c r="AV238" s="76">
        <v>1.7044298476262799E+18</v>
      </c>
      <c r="AW238" s="83" t="str">
        <f>HYPERLINK("https://t.co/I7JG8PRcT9")</f>
        <v>https://t.co/I7JG8PRcT9</v>
      </c>
      <c r="AX238" s="76" t="b">
        <v>1</v>
      </c>
      <c r="AY238" s="76"/>
      <c r="AZ238" s="76"/>
      <c r="BA238" s="76" t="b">
        <v>1</v>
      </c>
      <c r="BB238" s="76" t="b">
        <v>1</v>
      </c>
      <c r="BC238" s="76" t="b">
        <v>0</v>
      </c>
      <c r="BD238" s="76" t="b">
        <v>0</v>
      </c>
      <c r="BE238" s="76" t="b">
        <v>1</v>
      </c>
      <c r="BF238" s="76" t="b">
        <v>0</v>
      </c>
      <c r="BG238" s="76" t="b">
        <v>0</v>
      </c>
      <c r="BH238" s="83" t="str">
        <f>HYPERLINK("https://pbs.twimg.com/profile_banners/301336546/1663319363")</f>
        <v>https://pbs.twimg.com/profile_banners/301336546/1663319363</v>
      </c>
      <c r="BI238" s="76"/>
      <c r="BJ238" s="76" t="s">
        <v>18705</v>
      </c>
      <c r="BK238" s="76" t="b">
        <v>0</v>
      </c>
      <c r="BL238" s="76"/>
      <c r="BM238" s="76" t="s">
        <v>66</v>
      </c>
      <c r="BN238" s="76" t="s">
        <v>18706</v>
      </c>
      <c r="BO238" s="83" t="str">
        <f>HYPERLINK("https://twitter.com/rielcano")</f>
        <v>https://twitter.com/rielcano</v>
      </c>
      <c r="BP238" s="2"/>
    </row>
    <row r="239" spans="1:68" x14ac:dyDescent="0.25">
      <c r="A239" s="62" t="s">
        <v>783</v>
      </c>
      <c r="B239" s="63"/>
      <c r="C239" s="63"/>
      <c r="D239" s="64"/>
      <c r="E239" s="66"/>
      <c r="F239" s="102" t="str">
        <f>HYPERLINK("https://pbs.twimg.com/profile_images/708312127828828160/ZOx1HV-G_normal.jpg")</f>
        <v>https://pbs.twimg.com/profile_images/708312127828828160/ZOx1HV-G_normal.jpg</v>
      </c>
      <c r="G239" s="63"/>
      <c r="H239" s="67"/>
      <c r="I239" s="68"/>
      <c r="J239" s="68"/>
      <c r="K239" s="67" t="s">
        <v>18942</v>
      </c>
      <c r="L239" s="71"/>
      <c r="M239" s="72"/>
      <c r="N239" s="72"/>
      <c r="O239" s="73"/>
      <c r="P239" s="74"/>
      <c r="Q239" s="74"/>
      <c r="R239" s="86"/>
      <c r="S239" s="86"/>
      <c r="T239" s="86"/>
      <c r="U239" s="86"/>
      <c r="V239" s="48"/>
      <c r="W239" s="48"/>
      <c r="X239" s="48"/>
      <c r="Y239" s="48"/>
      <c r="Z239" s="47"/>
      <c r="AA239" s="69">
        <v>239</v>
      </c>
      <c r="AB239" s="69"/>
      <c r="AC239" s="70"/>
      <c r="AD239" s="76" t="s">
        <v>16668</v>
      </c>
      <c r="AE239" s="81" t="s">
        <v>17194</v>
      </c>
      <c r="AF239" s="76">
        <v>539</v>
      </c>
      <c r="AG239" s="76">
        <v>241</v>
      </c>
      <c r="AH239" s="76">
        <v>178</v>
      </c>
      <c r="AI239" s="76">
        <v>6</v>
      </c>
      <c r="AJ239" s="76">
        <v>418</v>
      </c>
      <c r="AK239" s="76">
        <v>17</v>
      </c>
      <c r="AL239" s="76" t="b">
        <v>0</v>
      </c>
      <c r="AM239" s="78">
        <v>42440.638136574074</v>
      </c>
      <c r="AN239" s="76" t="s">
        <v>17491</v>
      </c>
      <c r="AO239" s="76" t="s">
        <v>17856</v>
      </c>
      <c r="AP239" s="76"/>
      <c r="AQ239" s="76"/>
      <c r="AR239" s="76"/>
      <c r="AS239" s="76"/>
      <c r="AT239" s="76"/>
      <c r="AU239" s="76"/>
      <c r="AV239" s="76"/>
      <c r="AW239" s="76"/>
      <c r="AX239" s="76" t="b">
        <v>0</v>
      </c>
      <c r="AY239" s="76"/>
      <c r="AZ239" s="76"/>
      <c r="BA239" s="76" t="b">
        <v>1</v>
      </c>
      <c r="BB239" s="76" t="b">
        <v>1</v>
      </c>
      <c r="BC239" s="76" t="b">
        <v>1</v>
      </c>
      <c r="BD239" s="76" t="b">
        <v>0</v>
      </c>
      <c r="BE239" s="76" t="b">
        <v>0</v>
      </c>
      <c r="BF239" s="76" t="b">
        <v>0</v>
      </c>
      <c r="BG239" s="76" t="b">
        <v>0</v>
      </c>
      <c r="BH239" s="76"/>
      <c r="BI239" s="76"/>
      <c r="BJ239" s="76" t="s">
        <v>18704</v>
      </c>
      <c r="BK239" s="76" t="b">
        <v>0</v>
      </c>
      <c r="BL239" s="76"/>
      <c r="BM239" s="76" t="s">
        <v>65</v>
      </c>
      <c r="BN239" s="76" t="s">
        <v>18706</v>
      </c>
      <c r="BO239" s="83" t="str">
        <f>HYPERLINK("https://twitter.com/michelemchang")</f>
        <v>https://twitter.com/michelemchang</v>
      </c>
      <c r="BP239" s="2"/>
    </row>
    <row r="240" spans="1:68" x14ac:dyDescent="0.25">
      <c r="A240" s="62" t="s">
        <v>408</v>
      </c>
      <c r="B240" s="63"/>
      <c r="C240" s="63"/>
      <c r="D240" s="64"/>
      <c r="E240" s="66"/>
      <c r="F240" s="102" t="str">
        <f>HYPERLINK("https://pbs.twimg.com/profile_images/1612423167682682880/PDI49old_normal.jpg")</f>
        <v>https://pbs.twimg.com/profile_images/1612423167682682880/PDI49old_normal.jpg</v>
      </c>
      <c r="G240" s="63"/>
      <c r="H240" s="67"/>
      <c r="I240" s="68"/>
      <c r="J240" s="68"/>
      <c r="K240" s="67" t="s">
        <v>18943</v>
      </c>
      <c r="L240" s="71"/>
      <c r="M240" s="72"/>
      <c r="N240" s="72"/>
      <c r="O240" s="73"/>
      <c r="P240" s="74"/>
      <c r="Q240" s="74"/>
      <c r="R240" s="86"/>
      <c r="S240" s="86"/>
      <c r="T240" s="86"/>
      <c r="U240" s="86"/>
      <c r="V240" s="48"/>
      <c r="W240" s="48"/>
      <c r="X240" s="48"/>
      <c r="Y240" s="48"/>
      <c r="Z240" s="47"/>
      <c r="AA240" s="69">
        <v>240</v>
      </c>
      <c r="AB240" s="69"/>
      <c r="AC240" s="70"/>
      <c r="AD240" s="76" t="s">
        <v>16669</v>
      </c>
      <c r="AE240" s="81" t="s">
        <v>17195</v>
      </c>
      <c r="AF240" s="76">
        <v>415360</v>
      </c>
      <c r="AG240" s="76">
        <v>3109</v>
      </c>
      <c r="AH240" s="76">
        <v>309439</v>
      </c>
      <c r="AI240" s="76">
        <v>843</v>
      </c>
      <c r="AJ240" s="76">
        <v>2884</v>
      </c>
      <c r="AK240" s="76">
        <v>166275</v>
      </c>
      <c r="AL240" s="76" t="b">
        <v>0</v>
      </c>
      <c r="AM240" s="78">
        <v>40310.832754629628</v>
      </c>
      <c r="AN240" s="76" t="s">
        <v>17492</v>
      </c>
      <c r="AO240" s="76" t="s">
        <v>17857</v>
      </c>
      <c r="AP240" s="83" t="str">
        <f>HYPERLINK("https://t.co/TZz1mXX83B")</f>
        <v>https://t.co/TZz1mXX83B</v>
      </c>
      <c r="AQ240" s="83" t="str">
        <f>HYPERLINK("http://www.eldia.com.do/")</f>
        <v>http://www.eldia.com.do/</v>
      </c>
      <c r="AR240" s="76" t="s">
        <v>18381</v>
      </c>
      <c r="AS240" s="76"/>
      <c r="AT240" s="76"/>
      <c r="AU240" s="76"/>
      <c r="AV240" s="76">
        <v>1.6937982009964401E+18</v>
      </c>
      <c r="AW240" s="83" t="str">
        <f>HYPERLINK("https://t.co/TZz1mXX83B")</f>
        <v>https://t.co/TZz1mXX83B</v>
      </c>
      <c r="AX240" s="76" t="b">
        <v>0</v>
      </c>
      <c r="AY240" s="76"/>
      <c r="AZ240" s="76"/>
      <c r="BA240" s="76" t="b">
        <v>0</v>
      </c>
      <c r="BB240" s="76" t="b">
        <v>0</v>
      </c>
      <c r="BC240" s="76" t="b">
        <v>0</v>
      </c>
      <c r="BD240" s="76" t="b">
        <v>0</v>
      </c>
      <c r="BE240" s="76" t="b">
        <v>1</v>
      </c>
      <c r="BF240" s="76" t="b">
        <v>0</v>
      </c>
      <c r="BG240" s="76" t="b">
        <v>0</v>
      </c>
      <c r="BH240" s="83" t="str">
        <f>HYPERLINK("https://pbs.twimg.com/profile_banners/143173757/1667308422")</f>
        <v>https://pbs.twimg.com/profile_banners/143173757/1667308422</v>
      </c>
      <c r="BI240" s="76"/>
      <c r="BJ240" s="76" t="s">
        <v>18704</v>
      </c>
      <c r="BK240" s="76" t="b">
        <v>0</v>
      </c>
      <c r="BL240" s="76"/>
      <c r="BM240" s="76" t="s">
        <v>66</v>
      </c>
      <c r="BN240" s="76" t="s">
        <v>18706</v>
      </c>
      <c r="BO240" s="83" t="str">
        <f>HYPERLINK("https://twitter.com/eldia_do")</f>
        <v>https://twitter.com/eldia_do</v>
      </c>
      <c r="BP240" s="2"/>
    </row>
    <row r="241" spans="1:68" x14ac:dyDescent="0.25">
      <c r="A241" s="62" t="s">
        <v>409</v>
      </c>
      <c r="B241" s="63"/>
      <c r="C241" s="63"/>
      <c r="D241" s="64"/>
      <c r="E241" s="66"/>
      <c r="F241" s="102" t="str">
        <f>HYPERLINK("https://pbs.twimg.com/profile_images/1460727419829116929/1hfB_OTD_normal.jpg")</f>
        <v>https://pbs.twimg.com/profile_images/1460727419829116929/1hfB_OTD_normal.jpg</v>
      </c>
      <c r="G241" s="63"/>
      <c r="H241" s="67"/>
      <c r="I241" s="68"/>
      <c r="J241" s="68"/>
      <c r="K241" s="67" t="s">
        <v>18944</v>
      </c>
      <c r="L241" s="71"/>
      <c r="M241" s="72"/>
      <c r="N241" s="72"/>
      <c r="O241" s="73"/>
      <c r="P241" s="74"/>
      <c r="Q241" s="74"/>
      <c r="R241" s="86"/>
      <c r="S241" s="86"/>
      <c r="T241" s="86"/>
      <c r="U241" s="86"/>
      <c r="V241" s="48"/>
      <c r="W241" s="48"/>
      <c r="X241" s="48"/>
      <c r="Y241" s="48"/>
      <c r="Z241" s="47"/>
      <c r="AA241" s="69">
        <v>241</v>
      </c>
      <c r="AB241" s="69"/>
      <c r="AC241" s="70"/>
      <c r="AD241" s="76" t="s">
        <v>16670</v>
      </c>
      <c r="AE241" s="81" t="s">
        <v>15935</v>
      </c>
      <c r="AF241" s="76">
        <v>126</v>
      </c>
      <c r="AG241" s="76">
        <v>77</v>
      </c>
      <c r="AH241" s="76">
        <v>3112</v>
      </c>
      <c r="AI241" s="76">
        <v>1</v>
      </c>
      <c r="AJ241" s="76">
        <v>835</v>
      </c>
      <c r="AK241" s="76">
        <v>1365</v>
      </c>
      <c r="AL241" s="76" t="b">
        <v>0</v>
      </c>
      <c r="AM241" s="78">
        <v>44337.031539351854</v>
      </c>
      <c r="AN241" s="76"/>
      <c r="AO241" s="76" t="s">
        <v>17858</v>
      </c>
      <c r="AP241" s="76"/>
      <c r="AQ241" s="76"/>
      <c r="AR241" s="76"/>
      <c r="AS241" s="76"/>
      <c r="AT241" s="76"/>
      <c r="AU241" s="76"/>
      <c r="AV241" s="76"/>
      <c r="AW241" s="76"/>
      <c r="AX241" s="76" t="b">
        <v>0</v>
      </c>
      <c r="AY241" s="76"/>
      <c r="AZ241" s="76"/>
      <c r="BA241" s="76" t="b">
        <v>0</v>
      </c>
      <c r="BB241" s="76" t="b">
        <v>1</v>
      </c>
      <c r="BC241" s="76" t="b">
        <v>1</v>
      </c>
      <c r="BD241" s="76" t="b">
        <v>0</v>
      </c>
      <c r="BE241" s="76" t="b">
        <v>1</v>
      </c>
      <c r="BF241" s="76" t="b">
        <v>0</v>
      </c>
      <c r="BG241" s="76" t="b">
        <v>0</v>
      </c>
      <c r="BH241" s="76"/>
      <c r="BI241" s="76"/>
      <c r="BJ241" s="76" t="s">
        <v>18704</v>
      </c>
      <c r="BK241" s="76" t="b">
        <v>0</v>
      </c>
      <c r="BL241" s="76"/>
      <c r="BM241" s="76" t="s">
        <v>66</v>
      </c>
      <c r="BN241" s="76" t="s">
        <v>18706</v>
      </c>
      <c r="BO241" s="83" t="str">
        <f>HYPERLINK("https://twitter.com/rafael__costa__")</f>
        <v>https://twitter.com/rafael__costa__</v>
      </c>
      <c r="BP241" s="2"/>
    </row>
    <row r="242" spans="1:68" x14ac:dyDescent="0.25">
      <c r="A242" s="62" t="s">
        <v>410</v>
      </c>
      <c r="B242" s="63"/>
      <c r="C242" s="63"/>
      <c r="D242" s="64"/>
      <c r="E242" s="66"/>
      <c r="F242" s="102" t="str">
        <f>HYPERLINK("https://pbs.twimg.com/profile_images/969817501021466624/paQOUtHS_normal.jpg")</f>
        <v>https://pbs.twimg.com/profile_images/969817501021466624/paQOUtHS_normal.jpg</v>
      </c>
      <c r="G242" s="63"/>
      <c r="H242" s="67"/>
      <c r="I242" s="68"/>
      <c r="J242" s="68"/>
      <c r="K242" s="67" t="s">
        <v>18945</v>
      </c>
      <c r="L242" s="71"/>
      <c r="M242" s="72"/>
      <c r="N242" s="72"/>
      <c r="O242" s="73"/>
      <c r="P242" s="74"/>
      <c r="Q242" s="74"/>
      <c r="R242" s="86"/>
      <c r="S242" s="86"/>
      <c r="T242" s="86"/>
      <c r="U242" s="86"/>
      <c r="V242" s="48"/>
      <c r="W242" s="48"/>
      <c r="X242" s="48"/>
      <c r="Y242" s="48"/>
      <c r="Z242" s="47"/>
      <c r="AA242" s="69">
        <v>242</v>
      </c>
      <c r="AB242" s="69"/>
      <c r="AC242" s="70"/>
      <c r="AD242" s="76" t="s">
        <v>16671</v>
      </c>
      <c r="AE242" s="81" t="s">
        <v>16213</v>
      </c>
      <c r="AF242" s="76">
        <v>387</v>
      </c>
      <c r="AG242" s="76">
        <v>148</v>
      </c>
      <c r="AH242" s="76">
        <v>1247</v>
      </c>
      <c r="AI242" s="76">
        <v>4</v>
      </c>
      <c r="AJ242" s="76">
        <v>550</v>
      </c>
      <c r="AK242" s="76">
        <v>899</v>
      </c>
      <c r="AL242" s="76" t="b">
        <v>0</v>
      </c>
      <c r="AM242" s="78">
        <v>43162.254594907405</v>
      </c>
      <c r="AN242" s="76" t="s">
        <v>17493</v>
      </c>
      <c r="AO242" s="76" t="s">
        <v>17859</v>
      </c>
      <c r="AP242" s="83" t="str">
        <f>HYPERLINK("https://t.co/axw0DU8tSi")</f>
        <v>https://t.co/axw0DU8tSi</v>
      </c>
      <c r="AQ242" s="83" t="str">
        <f>HYPERLINK("https://asomifecuador.com/")</f>
        <v>https://asomifecuador.com/</v>
      </c>
      <c r="AR242" s="76" t="s">
        <v>18382</v>
      </c>
      <c r="AS242" s="76"/>
      <c r="AT242" s="76"/>
      <c r="AU242" s="76"/>
      <c r="AV242" s="76"/>
      <c r="AW242" s="83" t="str">
        <f>HYPERLINK("https://t.co/axw0DU8tSi")</f>
        <v>https://t.co/axw0DU8tSi</v>
      </c>
      <c r="AX242" s="76" t="b">
        <v>0</v>
      </c>
      <c r="AY242" s="76"/>
      <c r="AZ242" s="76"/>
      <c r="BA242" s="76" t="b">
        <v>0</v>
      </c>
      <c r="BB242" s="76" t="b">
        <v>1</v>
      </c>
      <c r="BC242" s="76" t="b">
        <v>1</v>
      </c>
      <c r="BD242" s="76" t="b">
        <v>0</v>
      </c>
      <c r="BE242" s="76" t="b">
        <v>0</v>
      </c>
      <c r="BF242" s="76" t="b">
        <v>0</v>
      </c>
      <c r="BG242" s="76" t="b">
        <v>0</v>
      </c>
      <c r="BH242" s="83" t="str">
        <f>HYPERLINK("https://pbs.twimg.com/profile_banners/969816293225398272/1520429767")</f>
        <v>https://pbs.twimg.com/profile_banners/969816293225398272/1520429767</v>
      </c>
      <c r="BI242" s="76"/>
      <c r="BJ242" s="76" t="s">
        <v>18704</v>
      </c>
      <c r="BK242" s="76" t="b">
        <v>0</v>
      </c>
      <c r="BL242" s="76"/>
      <c r="BM242" s="76" t="s">
        <v>66</v>
      </c>
      <c r="BN242" s="76" t="s">
        <v>18706</v>
      </c>
      <c r="BO242" s="83" t="str">
        <f>HYPERLINK("https://twitter.com/asomifecuador")</f>
        <v>https://twitter.com/asomifecuador</v>
      </c>
      <c r="BP242" s="2"/>
    </row>
    <row r="243" spans="1:68" x14ac:dyDescent="0.25">
      <c r="A243" s="62" t="s">
        <v>784</v>
      </c>
      <c r="B243" s="63"/>
      <c r="C243" s="63"/>
      <c r="D243" s="64"/>
      <c r="E243" s="66"/>
      <c r="F243" s="102" t="str">
        <f>HYPERLINK("https://pbs.twimg.com/profile_images/1418268588159406082/_hIvOkRb_normal.jpg")</f>
        <v>https://pbs.twimg.com/profile_images/1418268588159406082/_hIvOkRb_normal.jpg</v>
      </c>
      <c r="G243" s="63"/>
      <c r="H243" s="67"/>
      <c r="I243" s="68"/>
      <c r="J243" s="68"/>
      <c r="K243" s="67" t="s">
        <v>18946</v>
      </c>
      <c r="L243" s="71"/>
      <c r="M243" s="72"/>
      <c r="N243" s="72"/>
      <c r="O243" s="73"/>
      <c r="P243" s="74"/>
      <c r="Q243" s="74"/>
      <c r="R243" s="86"/>
      <c r="S243" s="86"/>
      <c r="T243" s="86"/>
      <c r="U243" s="86"/>
      <c r="V243" s="48"/>
      <c r="W243" s="48"/>
      <c r="X243" s="48"/>
      <c r="Y243" s="48"/>
      <c r="Z243" s="47"/>
      <c r="AA243" s="69">
        <v>243</v>
      </c>
      <c r="AB243" s="69"/>
      <c r="AC243" s="70"/>
      <c r="AD243" s="76" t="s">
        <v>16672</v>
      </c>
      <c r="AE243" s="81" t="s">
        <v>17196</v>
      </c>
      <c r="AF243" s="76">
        <v>109744</v>
      </c>
      <c r="AG243" s="76">
        <v>538</v>
      </c>
      <c r="AH243" s="76">
        <v>41126</v>
      </c>
      <c r="AI243" s="76">
        <v>365</v>
      </c>
      <c r="AJ243" s="76">
        <v>10859</v>
      </c>
      <c r="AK243" s="76">
        <v>18971</v>
      </c>
      <c r="AL243" s="76" t="b">
        <v>0</v>
      </c>
      <c r="AM243" s="78">
        <v>40604.659270833334</v>
      </c>
      <c r="AN243" s="76" t="s">
        <v>17494</v>
      </c>
      <c r="AO243" s="76" t="s">
        <v>17860</v>
      </c>
      <c r="AP243" s="83" t="str">
        <f>HYPERLINK("https://t.co/ENJvCDPSQ5")</f>
        <v>https://t.co/ENJvCDPSQ5</v>
      </c>
      <c r="AQ243" s="83" t="str">
        <f>HYPERLINK("http://www.bce.ec")</f>
        <v>http://www.bce.ec</v>
      </c>
      <c r="AR243" s="76" t="s">
        <v>18383</v>
      </c>
      <c r="AS243" s="76"/>
      <c r="AT243" s="76"/>
      <c r="AU243" s="76"/>
      <c r="AV243" s="76">
        <v>1.69267042249438E+18</v>
      </c>
      <c r="AW243" s="83" t="str">
        <f>HYPERLINK("https://t.co/ENJvCDPSQ5")</f>
        <v>https://t.co/ENJvCDPSQ5</v>
      </c>
      <c r="AX243" s="76" t="b">
        <v>0</v>
      </c>
      <c r="AY243" s="76"/>
      <c r="AZ243" s="76"/>
      <c r="BA243" s="76" t="b">
        <v>1</v>
      </c>
      <c r="BB243" s="76" t="b">
        <v>0</v>
      </c>
      <c r="BC243" s="76" t="b">
        <v>0</v>
      </c>
      <c r="BD243" s="76" t="b">
        <v>0</v>
      </c>
      <c r="BE243" s="76" t="b">
        <v>1</v>
      </c>
      <c r="BF243" s="76" t="b">
        <v>0</v>
      </c>
      <c r="BG243" s="76" t="b">
        <v>0</v>
      </c>
      <c r="BH243" s="83" t="str">
        <f>HYPERLINK("https://pbs.twimg.com/profile_banners/259780884/1692131980")</f>
        <v>https://pbs.twimg.com/profile_banners/259780884/1692131980</v>
      </c>
      <c r="BI243" s="76"/>
      <c r="BJ243" s="76" t="s">
        <v>18705</v>
      </c>
      <c r="BK243" s="76" t="b">
        <v>0</v>
      </c>
      <c r="BL243" s="76"/>
      <c r="BM243" s="76" t="s">
        <v>65</v>
      </c>
      <c r="BN243" s="76" t="s">
        <v>18706</v>
      </c>
      <c r="BO243" s="83" t="str">
        <f>HYPERLINK("https://twitter.com/bancocentral_ec")</f>
        <v>https://twitter.com/bancocentral_ec</v>
      </c>
      <c r="BP243" s="2"/>
    </row>
    <row r="244" spans="1:68" x14ac:dyDescent="0.25">
      <c r="A244" s="62" t="s">
        <v>411</v>
      </c>
      <c r="B244" s="63"/>
      <c r="C244" s="63"/>
      <c r="D244" s="64"/>
      <c r="E244" s="66"/>
      <c r="F244" s="102" t="str">
        <f>HYPERLINK("https://pbs.twimg.com/profile_images/1686923153878966272/6FMLng-v_normal.jpg")</f>
        <v>https://pbs.twimg.com/profile_images/1686923153878966272/6FMLng-v_normal.jpg</v>
      </c>
      <c r="G244" s="63"/>
      <c r="H244" s="67"/>
      <c r="I244" s="68"/>
      <c r="J244" s="68"/>
      <c r="K244" s="67" t="s">
        <v>18947</v>
      </c>
      <c r="L244" s="71"/>
      <c r="M244" s="72"/>
      <c r="N244" s="72"/>
      <c r="O244" s="73"/>
      <c r="P244" s="74"/>
      <c r="Q244" s="74"/>
      <c r="R244" s="86"/>
      <c r="S244" s="86"/>
      <c r="T244" s="86"/>
      <c r="U244" s="86"/>
      <c r="V244" s="48"/>
      <c r="W244" s="48"/>
      <c r="X244" s="48"/>
      <c r="Y244" s="48"/>
      <c r="Z244" s="47"/>
      <c r="AA244" s="69">
        <v>244</v>
      </c>
      <c r="AB244" s="69"/>
      <c r="AC244" s="70"/>
      <c r="AD244" s="76" t="s">
        <v>16673</v>
      </c>
      <c r="AE244" s="81" t="s">
        <v>17197</v>
      </c>
      <c r="AF244" s="76">
        <v>13406</v>
      </c>
      <c r="AG244" s="76">
        <v>104</v>
      </c>
      <c r="AH244" s="76">
        <v>21015</v>
      </c>
      <c r="AI244" s="76">
        <v>39</v>
      </c>
      <c r="AJ244" s="76">
        <v>34873</v>
      </c>
      <c r="AK244" s="76">
        <v>3623</v>
      </c>
      <c r="AL244" s="76" t="b">
        <v>0</v>
      </c>
      <c r="AM244" s="78">
        <v>40062.72351851852</v>
      </c>
      <c r="AN244" s="76" t="s">
        <v>17495</v>
      </c>
      <c r="AO244" s="76" t="s">
        <v>17861</v>
      </c>
      <c r="AP244" s="83" t="str">
        <f>HYPERLINK("https://t.co/bJBGpxElfP")</f>
        <v>https://t.co/bJBGpxElfP</v>
      </c>
      <c r="AQ244" s="83" t="str">
        <f>HYPERLINK("https://www.facebook.com/danielsucharzomer/")</f>
        <v>https://www.facebook.com/danielsucharzomer/</v>
      </c>
      <c r="AR244" s="76" t="s">
        <v>18384</v>
      </c>
      <c r="AS244" s="76"/>
      <c r="AT244" s="76"/>
      <c r="AU244" s="76"/>
      <c r="AV244" s="76">
        <v>1.67727820733726E+18</v>
      </c>
      <c r="AW244" s="83" t="str">
        <f>HYPERLINK("https://t.co/bJBGpxElfP")</f>
        <v>https://t.co/bJBGpxElfP</v>
      </c>
      <c r="AX244" s="76" t="b">
        <v>0</v>
      </c>
      <c r="AY244" s="76"/>
      <c r="AZ244" s="76"/>
      <c r="BA244" s="76" t="b">
        <v>1</v>
      </c>
      <c r="BB244" s="76" t="b">
        <v>1</v>
      </c>
      <c r="BC244" s="76" t="b">
        <v>0</v>
      </c>
      <c r="BD244" s="76" t="b">
        <v>0</v>
      </c>
      <c r="BE244" s="76" t="b">
        <v>1</v>
      </c>
      <c r="BF244" s="76" t="b">
        <v>0</v>
      </c>
      <c r="BG244" s="76" t="b">
        <v>0</v>
      </c>
      <c r="BH244" s="83" t="str">
        <f>HYPERLINK("https://pbs.twimg.com/profile_banners/72079608/1604372848")</f>
        <v>https://pbs.twimg.com/profile_banners/72079608/1604372848</v>
      </c>
      <c r="BI244" s="76"/>
      <c r="BJ244" s="76" t="s">
        <v>18704</v>
      </c>
      <c r="BK244" s="76" t="b">
        <v>0</v>
      </c>
      <c r="BL244" s="76"/>
      <c r="BM244" s="76" t="s">
        <v>66</v>
      </c>
      <c r="BN244" s="76" t="s">
        <v>18706</v>
      </c>
      <c r="BO244" s="83" t="str">
        <f>HYPERLINK("https://twitter.com/danielsuchar")</f>
        <v>https://twitter.com/danielsuchar</v>
      </c>
      <c r="BP244" s="2"/>
    </row>
    <row r="245" spans="1:68" x14ac:dyDescent="0.25">
      <c r="A245" s="62" t="s">
        <v>412</v>
      </c>
      <c r="B245" s="63"/>
      <c r="C245" s="63"/>
      <c r="D245" s="64"/>
      <c r="E245" s="66"/>
      <c r="F245" s="102" t="str">
        <f>HYPERLINK("https://pbs.twimg.com/profile_images/429762181006364672/2WjNE8zA_normal.jpeg")</f>
        <v>https://pbs.twimg.com/profile_images/429762181006364672/2WjNE8zA_normal.jpeg</v>
      </c>
      <c r="G245" s="63"/>
      <c r="H245" s="67"/>
      <c r="I245" s="68"/>
      <c r="J245" s="68"/>
      <c r="K245" s="67" t="s">
        <v>18948</v>
      </c>
      <c r="L245" s="71"/>
      <c r="M245" s="72"/>
      <c r="N245" s="72"/>
      <c r="O245" s="73"/>
      <c r="P245" s="74"/>
      <c r="Q245" s="74"/>
      <c r="R245" s="86"/>
      <c r="S245" s="86"/>
      <c r="T245" s="86"/>
      <c r="U245" s="86"/>
      <c r="V245" s="48"/>
      <c r="W245" s="48"/>
      <c r="X245" s="48"/>
      <c r="Y245" s="48"/>
      <c r="Z245" s="47"/>
      <c r="AA245" s="69">
        <v>245</v>
      </c>
      <c r="AB245" s="69"/>
      <c r="AC245" s="70"/>
      <c r="AD245" s="76" t="s">
        <v>16674</v>
      </c>
      <c r="AE245" s="81" t="s">
        <v>17198</v>
      </c>
      <c r="AF245" s="76">
        <v>1733</v>
      </c>
      <c r="AG245" s="76">
        <v>4998</v>
      </c>
      <c r="AH245" s="76">
        <v>377159</v>
      </c>
      <c r="AI245" s="76">
        <v>13</v>
      </c>
      <c r="AJ245" s="76">
        <v>199473</v>
      </c>
      <c r="AK245" s="76">
        <v>382</v>
      </c>
      <c r="AL245" s="76" t="b">
        <v>0</v>
      </c>
      <c r="AM245" s="78">
        <v>41128.503564814811</v>
      </c>
      <c r="AN245" s="76"/>
      <c r="AO245" s="76" t="s">
        <v>17862</v>
      </c>
      <c r="AP245" s="76"/>
      <c r="AQ245" s="76"/>
      <c r="AR245" s="76"/>
      <c r="AS245" s="76"/>
      <c r="AT245" s="76"/>
      <c r="AU245" s="76"/>
      <c r="AV245" s="76"/>
      <c r="AW245" s="76"/>
      <c r="AX245" s="76" t="b">
        <v>0</v>
      </c>
      <c r="AY245" s="76"/>
      <c r="AZ245" s="76"/>
      <c r="BA245" s="76" t="b">
        <v>0</v>
      </c>
      <c r="BB245" s="76" t="b">
        <v>1</v>
      </c>
      <c r="BC245" s="76" t="b">
        <v>0</v>
      </c>
      <c r="BD245" s="76" t="b">
        <v>0</v>
      </c>
      <c r="BE245" s="76" t="b">
        <v>1</v>
      </c>
      <c r="BF245" s="76" t="b">
        <v>0</v>
      </c>
      <c r="BG245" s="76" t="b">
        <v>0</v>
      </c>
      <c r="BH245" s="76"/>
      <c r="BI245" s="76"/>
      <c r="BJ245" s="76" t="s">
        <v>18704</v>
      </c>
      <c r="BK245" s="76" t="b">
        <v>0</v>
      </c>
      <c r="BL245" s="76"/>
      <c r="BM245" s="76" t="s">
        <v>66</v>
      </c>
      <c r="BN245" s="76" t="s">
        <v>18706</v>
      </c>
      <c r="BO245" s="83" t="str">
        <f>HYPERLINK("https://twitter.com/gabrielpelaeza")</f>
        <v>https://twitter.com/gabrielpelaeza</v>
      </c>
      <c r="BP245" s="2"/>
    </row>
    <row r="246" spans="1:68" x14ac:dyDescent="0.25">
      <c r="A246" s="62" t="s">
        <v>413</v>
      </c>
      <c r="B246" s="63"/>
      <c r="C246" s="63"/>
      <c r="D246" s="64"/>
      <c r="E246" s="66"/>
      <c r="F246" s="102" t="str">
        <f>HYPERLINK("https://pbs.twimg.com/profile_images/1601221671033229317/vdk9I2tD_normal.jpg")</f>
        <v>https://pbs.twimg.com/profile_images/1601221671033229317/vdk9I2tD_normal.jpg</v>
      </c>
      <c r="G246" s="63"/>
      <c r="H246" s="67"/>
      <c r="I246" s="68"/>
      <c r="J246" s="68"/>
      <c r="K246" s="67" t="s">
        <v>18949</v>
      </c>
      <c r="L246" s="71"/>
      <c r="M246" s="72"/>
      <c r="N246" s="72"/>
      <c r="O246" s="73"/>
      <c r="P246" s="74"/>
      <c r="Q246" s="74"/>
      <c r="R246" s="86"/>
      <c r="S246" s="86"/>
      <c r="T246" s="86"/>
      <c r="U246" s="86"/>
      <c r="V246" s="48"/>
      <c r="W246" s="48"/>
      <c r="X246" s="48"/>
      <c r="Y246" s="48"/>
      <c r="Z246" s="47"/>
      <c r="AA246" s="69">
        <v>246</v>
      </c>
      <c r="AB246" s="69"/>
      <c r="AC246" s="70"/>
      <c r="AD246" s="76" t="s">
        <v>16675</v>
      </c>
      <c r="AE246" s="81" t="s">
        <v>17199</v>
      </c>
      <c r="AF246" s="76">
        <v>12</v>
      </c>
      <c r="AG246" s="76">
        <v>482</v>
      </c>
      <c r="AH246" s="76">
        <v>428</v>
      </c>
      <c r="AI246" s="76">
        <v>0</v>
      </c>
      <c r="AJ246" s="76">
        <v>222</v>
      </c>
      <c r="AK246" s="76">
        <v>183</v>
      </c>
      <c r="AL246" s="76" t="b">
        <v>0</v>
      </c>
      <c r="AM246" s="78">
        <v>40148.044374999998</v>
      </c>
      <c r="AN246" s="76" t="s">
        <v>10607</v>
      </c>
      <c r="AO246" s="76" t="s">
        <v>17863</v>
      </c>
      <c r="AP246" s="83" t="str">
        <f>HYPERLINK("https://t.co/a4RgVnOdt5")</f>
        <v>https://t.co/a4RgVnOdt5</v>
      </c>
      <c r="AQ246" s="83" t="str">
        <f>HYPERLINK("http://hermescapital.com.br")</f>
        <v>http://hermescapital.com.br</v>
      </c>
      <c r="AR246" s="76" t="s">
        <v>18385</v>
      </c>
      <c r="AS246" s="76" t="s">
        <v>18632</v>
      </c>
      <c r="AT246" s="76" t="s">
        <v>18643</v>
      </c>
      <c r="AU246" s="76" t="s">
        <v>18665</v>
      </c>
      <c r="AV246" s="76"/>
      <c r="AW246" s="83" t="str">
        <f>HYPERLINK("https://t.co/a4RgVnOdt5")</f>
        <v>https://t.co/a4RgVnOdt5</v>
      </c>
      <c r="AX246" s="76" t="b">
        <v>0</v>
      </c>
      <c r="AY246" s="76"/>
      <c r="AZ246" s="76"/>
      <c r="BA246" s="76" t="b">
        <v>0</v>
      </c>
      <c r="BB246" s="76" t="b">
        <v>1</v>
      </c>
      <c r="BC246" s="76" t="b">
        <v>1</v>
      </c>
      <c r="BD246" s="76" t="b">
        <v>0</v>
      </c>
      <c r="BE246" s="76" t="b">
        <v>0</v>
      </c>
      <c r="BF246" s="76" t="b">
        <v>0</v>
      </c>
      <c r="BG246" s="76" t="b">
        <v>0</v>
      </c>
      <c r="BH246" s="83" t="str">
        <f>HYPERLINK("https://pbs.twimg.com/profile_banners/93754487/1682609850")</f>
        <v>https://pbs.twimg.com/profile_banners/93754487/1682609850</v>
      </c>
      <c r="BI246" s="76"/>
      <c r="BJ246" s="76" t="s">
        <v>18704</v>
      </c>
      <c r="BK246" s="76" t="b">
        <v>0</v>
      </c>
      <c r="BL246" s="76"/>
      <c r="BM246" s="76" t="s">
        <v>66</v>
      </c>
      <c r="BN246" s="76" t="s">
        <v>18706</v>
      </c>
      <c r="BO246" s="83" t="str">
        <f>HYPERLINK("https://twitter.com/glaucojarzinski")</f>
        <v>https://twitter.com/glaucojarzinski</v>
      </c>
      <c r="BP246" s="2"/>
    </row>
    <row r="247" spans="1:68" x14ac:dyDescent="0.25">
      <c r="A247" s="62" t="s">
        <v>414</v>
      </c>
      <c r="B247" s="63"/>
      <c r="C247" s="63"/>
      <c r="D247" s="64"/>
      <c r="E247" s="66"/>
      <c r="F247" s="102" t="str">
        <f>HYPERLINK("https://pbs.twimg.com/profile_images/1649150439605039104/ws2NLiGq_normal.jpg")</f>
        <v>https://pbs.twimg.com/profile_images/1649150439605039104/ws2NLiGq_normal.jpg</v>
      </c>
      <c r="G247" s="63"/>
      <c r="H247" s="67"/>
      <c r="I247" s="68"/>
      <c r="J247" s="68"/>
      <c r="K247" s="67" t="s">
        <v>18950</v>
      </c>
      <c r="L247" s="71"/>
      <c r="M247" s="72"/>
      <c r="N247" s="72"/>
      <c r="O247" s="73"/>
      <c r="P247" s="74"/>
      <c r="Q247" s="74"/>
      <c r="R247" s="86"/>
      <c r="S247" s="86"/>
      <c r="T247" s="86"/>
      <c r="U247" s="86"/>
      <c r="V247" s="48"/>
      <c r="W247" s="48"/>
      <c r="X247" s="48"/>
      <c r="Y247" s="48"/>
      <c r="Z247" s="47"/>
      <c r="AA247" s="69">
        <v>247</v>
      </c>
      <c r="AB247" s="69"/>
      <c r="AC247" s="70"/>
      <c r="AD247" s="76" t="s">
        <v>16676</v>
      </c>
      <c r="AE247" s="81" t="s">
        <v>17200</v>
      </c>
      <c r="AF247" s="76">
        <v>897395</v>
      </c>
      <c r="AG247" s="76">
        <v>235</v>
      </c>
      <c r="AH247" s="76">
        <v>105189</v>
      </c>
      <c r="AI247" s="76">
        <v>3573</v>
      </c>
      <c r="AJ247" s="76">
        <v>2407</v>
      </c>
      <c r="AK247" s="76">
        <v>15216</v>
      </c>
      <c r="AL247" s="76" t="b">
        <v>0</v>
      </c>
      <c r="AM247" s="78">
        <v>39542.869571759256</v>
      </c>
      <c r="AN247" s="76" t="s">
        <v>10586</v>
      </c>
      <c r="AO247" s="76" t="s">
        <v>17864</v>
      </c>
      <c r="AP247" s="83" t="str">
        <f>HYPERLINK("https://t.co/eiC8weRIjl")</f>
        <v>https://t.co/eiC8weRIjl</v>
      </c>
      <c r="AQ247" s="83" t="str">
        <f>HYPERLINK("http://www.tvcultura.com.br")</f>
        <v>http://www.tvcultura.com.br</v>
      </c>
      <c r="AR247" s="76" t="s">
        <v>18386</v>
      </c>
      <c r="AS247" s="76"/>
      <c r="AT247" s="76"/>
      <c r="AU247" s="76"/>
      <c r="AV247" s="76">
        <v>1.7071241335725701E+18</v>
      </c>
      <c r="AW247" s="83" t="str">
        <f>HYPERLINK("https://t.co/eiC8weRIjl")</f>
        <v>https://t.co/eiC8weRIjl</v>
      </c>
      <c r="AX247" s="76" t="b">
        <v>1</v>
      </c>
      <c r="AY247" s="76"/>
      <c r="AZ247" s="76"/>
      <c r="BA247" s="76" t="b">
        <v>0</v>
      </c>
      <c r="BB247" s="76" t="b">
        <v>1</v>
      </c>
      <c r="BC247" s="76" t="b">
        <v>0</v>
      </c>
      <c r="BD247" s="76" t="b">
        <v>0</v>
      </c>
      <c r="BE247" s="76" t="b">
        <v>1</v>
      </c>
      <c r="BF247" s="76" t="b">
        <v>0</v>
      </c>
      <c r="BG247" s="76" t="b">
        <v>0</v>
      </c>
      <c r="BH247" s="83" t="str">
        <f>HYPERLINK("https://pbs.twimg.com/profile_banners/14306125/1682003310")</f>
        <v>https://pbs.twimg.com/profile_banners/14306125/1682003310</v>
      </c>
      <c r="BI247" s="76"/>
      <c r="BJ247" s="76" t="s">
        <v>18704</v>
      </c>
      <c r="BK247" s="76" t="b">
        <v>0</v>
      </c>
      <c r="BL247" s="76"/>
      <c r="BM247" s="76" t="s">
        <v>66</v>
      </c>
      <c r="BN247" s="76" t="s">
        <v>18706</v>
      </c>
      <c r="BO247" s="83" t="str">
        <f>HYPERLINK("https://twitter.com/tvcultura")</f>
        <v>https://twitter.com/tvcultura</v>
      </c>
      <c r="BP247" s="2"/>
    </row>
    <row r="248" spans="1:68" x14ac:dyDescent="0.25">
      <c r="A248" s="62" t="s">
        <v>415</v>
      </c>
      <c r="B248" s="63"/>
      <c r="C248" s="63"/>
      <c r="D248" s="64"/>
      <c r="E248" s="66"/>
      <c r="F248" s="102" t="str">
        <f>HYPERLINK("https://pbs.twimg.com/profile_images/692344881868574720/Z84J1SP7_normal.jpg")</f>
        <v>https://pbs.twimg.com/profile_images/692344881868574720/Z84J1SP7_normal.jpg</v>
      </c>
      <c r="G248" s="63"/>
      <c r="H248" s="67"/>
      <c r="I248" s="68"/>
      <c r="J248" s="68"/>
      <c r="K248" s="67" t="s">
        <v>18951</v>
      </c>
      <c r="L248" s="71"/>
      <c r="M248" s="72"/>
      <c r="N248" s="72"/>
      <c r="O248" s="73"/>
      <c r="P248" s="74"/>
      <c r="Q248" s="74"/>
      <c r="R248" s="86"/>
      <c r="S248" s="86"/>
      <c r="T248" s="86"/>
      <c r="U248" s="86"/>
      <c r="V248" s="48"/>
      <c r="W248" s="48"/>
      <c r="X248" s="48"/>
      <c r="Y248" s="48"/>
      <c r="Z248" s="47"/>
      <c r="AA248" s="69">
        <v>248</v>
      </c>
      <c r="AB248" s="69"/>
      <c r="AC248" s="70"/>
      <c r="AD248" s="76" t="s">
        <v>16677</v>
      </c>
      <c r="AE248" s="81" t="s">
        <v>17201</v>
      </c>
      <c r="AF248" s="76">
        <v>79</v>
      </c>
      <c r="AG248" s="76">
        <v>65</v>
      </c>
      <c r="AH248" s="76">
        <v>17521</v>
      </c>
      <c r="AI248" s="76">
        <v>0</v>
      </c>
      <c r="AJ248" s="76">
        <v>37976</v>
      </c>
      <c r="AK248" s="76">
        <v>10</v>
      </c>
      <c r="AL248" s="76" t="b">
        <v>0</v>
      </c>
      <c r="AM248" s="78">
        <v>41485.131909722222</v>
      </c>
      <c r="AN248" s="76"/>
      <c r="AO248" s="76"/>
      <c r="AP248" s="76"/>
      <c r="AQ248" s="76"/>
      <c r="AR248" s="76"/>
      <c r="AS248" s="76"/>
      <c r="AT248" s="76"/>
      <c r="AU248" s="76"/>
      <c r="AV248" s="76"/>
      <c r="AW248" s="76"/>
      <c r="AX248" s="76" t="b">
        <v>0</v>
      </c>
      <c r="AY248" s="76"/>
      <c r="AZ248" s="76"/>
      <c r="BA248" s="76" t="b">
        <v>0</v>
      </c>
      <c r="BB248" s="76" t="b">
        <v>0</v>
      </c>
      <c r="BC248" s="76" t="b">
        <v>1</v>
      </c>
      <c r="BD248" s="76" t="b">
        <v>0</v>
      </c>
      <c r="BE248" s="76" t="b">
        <v>0</v>
      </c>
      <c r="BF248" s="76" t="b">
        <v>0</v>
      </c>
      <c r="BG248" s="76" t="b">
        <v>0</v>
      </c>
      <c r="BH248" s="76"/>
      <c r="BI248" s="76"/>
      <c r="BJ248" s="76" t="s">
        <v>18704</v>
      </c>
      <c r="BK248" s="76" t="b">
        <v>0</v>
      </c>
      <c r="BL248" s="76"/>
      <c r="BM248" s="76" t="s">
        <v>66</v>
      </c>
      <c r="BN248" s="76" t="s">
        <v>18706</v>
      </c>
      <c r="BO248" s="83" t="str">
        <f>HYPERLINK("https://twitter.com/fabioasalamanca")</f>
        <v>https://twitter.com/fabioasalamanca</v>
      </c>
      <c r="BP248" s="2"/>
    </row>
    <row r="249" spans="1:68" x14ac:dyDescent="0.25">
      <c r="A249" s="62" t="s">
        <v>416</v>
      </c>
      <c r="B249" s="63"/>
      <c r="C249" s="63"/>
      <c r="D249" s="64"/>
      <c r="E249" s="66"/>
      <c r="F249" s="102" t="str">
        <f>HYPERLINK("https://pbs.twimg.com/profile_images/1671530633275817984/gJbeBeZ4_normal.jpg")</f>
        <v>https://pbs.twimg.com/profile_images/1671530633275817984/gJbeBeZ4_normal.jpg</v>
      </c>
      <c r="G249" s="63"/>
      <c r="H249" s="67"/>
      <c r="I249" s="68"/>
      <c r="J249" s="68"/>
      <c r="K249" s="67" t="s">
        <v>18952</v>
      </c>
      <c r="L249" s="71"/>
      <c r="M249" s="72"/>
      <c r="N249" s="72"/>
      <c r="O249" s="73"/>
      <c r="P249" s="74"/>
      <c r="Q249" s="74"/>
      <c r="R249" s="86"/>
      <c r="S249" s="86"/>
      <c r="T249" s="86"/>
      <c r="U249" s="86"/>
      <c r="V249" s="48"/>
      <c r="W249" s="48"/>
      <c r="X249" s="48"/>
      <c r="Y249" s="48"/>
      <c r="Z249" s="47"/>
      <c r="AA249" s="69">
        <v>249</v>
      </c>
      <c r="AB249" s="69"/>
      <c r="AC249" s="70"/>
      <c r="AD249" s="76" t="s">
        <v>16678</v>
      </c>
      <c r="AE249" s="81" t="s">
        <v>16214</v>
      </c>
      <c r="AF249" s="76">
        <v>10497</v>
      </c>
      <c r="AG249" s="76">
        <v>10101</v>
      </c>
      <c r="AH249" s="76">
        <v>12916</v>
      </c>
      <c r="AI249" s="76">
        <v>26</v>
      </c>
      <c r="AJ249" s="76">
        <v>8408</v>
      </c>
      <c r="AK249" s="76">
        <v>948</v>
      </c>
      <c r="AL249" s="76" t="b">
        <v>0</v>
      </c>
      <c r="AM249" s="78">
        <v>42865.621238425927</v>
      </c>
      <c r="AN249" s="76" t="s">
        <v>17496</v>
      </c>
      <c r="AO249" s="76" t="s">
        <v>17865</v>
      </c>
      <c r="AP249" s="83" t="str">
        <f>HYPERLINK("https://t.co/GQDGIdnKrz")</f>
        <v>https://t.co/GQDGIdnKrz</v>
      </c>
      <c r="AQ249" s="83" t="str">
        <f>HYPERLINK("https://www.linkedin.com/in/juan-pablo-zorrilla-salgador-7806784b/")</f>
        <v>https://www.linkedin.com/in/juan-pablo-zorrilla-salgador-7806784b/</v>
      </c>
      <c r="AR249" s="76" t="s">
        <v>18387</v>
      </c>
      <c r="AS249" s="76"/>
      <c r="AT249" s="76"/>
      <c r="AU249" s="76"/>
      <c r="AV249" s="76">
        <v>1.3856258556075699E+18</v>
      </c>
      <c r="AW249" s="83" t="str">
        <f>HYPERLINK("https://t.co/GQDGIdnKrz")</f>
        <v>https://t.co/GQDGIdnKrz</v>
      </c>
      <c r="AX249" s="76" t="b">
        <v>0</v>
      </c>
      <c r="AY249" s="76"/>
      <c r="AZ249" s="76"/>
      <c r="BA249" s="76" t="b">
        <v>0</v>
      </c>
      <c r="BB249" s="76" t="b">
        <v>0</v>
      </c>
      <c r="BC249" s="76" t="b">
        <v>0</v>
      </c>
      <c r="BD249" s="76" t="b">
        <v>0</v>
      </c>
      <c r="BE249" s="76" t="b">
        <v>1</v>
      </c>
      <c r="BF249" s="76" t="b">
        <v>0</v>
      </c>
      <c r="BG249" s="76" t="b">
        <v>0</v>
      </c>
      <c r="BH249" s="83" t="str">
        <f>HYPERLINK("https://pbs.twimg.com/profile_banners/862319963633332224/1686144212")</f>
        <v>https://pbs.twimg.com/profile_banners/862319963633332224/1686144212</v>
      </c>
      <c r="BI249" s="76"/>
      <c r="BJ249" s="76" t="s">
        <v>18704</v>
      </c>
      <c r="BK249" s="76" t="b">
        <v>0</v>
      </c>
      <c r="BL249" s="76"/>
      <c r="BM249" s="76" t="s">
        <v>66</v>
      </c>
      <c r="BN249" s="76" t="s">
        <v>18706</v>
      </c>
      <c r="BO249" s="83" t="str">
        <f>HYPERLINK("https://twitter.com/jp_economics")</f>
        <v>https://twitter.com/jp_economics</v>
      </c>
      <c r="BP249" s="2"/>
    </row>
    <row r="250" spans="1:68" x14ac:dyDescent="0.25">
      <c r="A250" s="62" t="s">
        <v>785</v>
      </c>
      <c r="B250" s="63"/>
      <c r="C250" s="63"/>
      <c r="D250" s="64"/>
      <c r="E250" s="66"/>
      <c r="F250" s="102" t="str">
        <f>HYPERLINK("https://pbs.twimg.com/profile_images/378800000570862923/3ac38b3992ad1709f36fb8351ae3905a_normal.jpeg")</f>
        <v>https://pbs.twimg.com/profile_images/378800000570862923/3ac38b3992ad1709f36fb8351ae3905a_normal.jpeg</v>
      </c>
      <c r="G250" s="63"/>
      <c r="H250" s="67"/>
      <c r="I250" s="68"/>
      <c r="J250" s="68"/>
      <c r="K250" s="67" t="s">
        <v>18953</v>
      </c>
      <c r="L250" s="71"/>
      <c r="M250" s="72"/>
      <c r="N250" s="72"/>
      <c r="O250" s="73"/>
      <c r="P250" s="74"/>
      <c r="Q250" s="74"/>
      <c r="R250" s="86"/>
      <c r="S250" s="86"/>
      <c r="T250" s="86"/>
      <c r="U250" s="86"/>
      <c r="V250" s="48"/>
      <c r="W250" s="48"/>
      <c r="X250" s="48"/>
      <c r="Y250" s="48"/>
      <c r="Z250" s="47"/>
      <c r="AA250" s="69">
        <v>250</v>
      </c>
      <c r="AB250" s="69"/>
      <c r="AC250" s="70"/>
      <c r="AD250" s="76" t="s">
        <v>16679</v>
      </c>
      <c r="AE250" s="81" t="s">
        <v>17202</v>
      </c>
      <c r="AF250" s="76">
        <v>7426</v>
      </c>
      <c r="AG250" s="76">
        <v>97</v>
      </c>
      <c r="AH250" s="76">
        <v>9374</v>
      </c>
      <c r="AI250" s="76">
        <v>257</v>
      </c>
      <c r="AJ250" s="76">
        <v>1788</v>
      </c>
      <c r="AK250" s="76">
        <v>2196</v>
      </c>
      <c r="AL250" s="76" t="b">
        <v>0</v>
      </c>
      <c r="AM250" s="78">
        <v>40673.198784722219</v>
      </c>
      <c r="AN250" s="76" t="s">
        <v>17497</v>
      </c>
      <c r="AO250" s="76" t="s">
        <v>17866</v>
      </c>
      <c r="AP250" s="83" t="str">
        <f>HYPERLINK("http://t.co/1XeWXB61c7")</f>
        <v>http://t.co/1XeWXB61c7</v>
      </c>
      <c r="AQ250" s="83" t="str">
        <f>HYPERLINK("http://www.funcas.es")</f>
        <v>http://www.funcas.es</v>
      </c>
      <c r="AR250" s="76" t="s">
        <v>6517</v>
      </c>
      <c r="AS250" s="76"/>
      <c r="AT250" s="76"/>
      <c r="AU250" s="76"/>
      <c r="AV250" s="76"/>
      <c r="AW250" s="83" t="str">
        <f>HYPERLINK("http://t.co/1XeWXB61c7")</f>
        <v>http://t.co/1XeWXB61c7</v>
      </c>
      <c r="AX250" s="76" t="b">
        <v>0</v>
      </c>
      <c r="AY250" s="76"/>
      <c r="AZ250" s="76"/>
      <c r="BA250" s="76" t="b">
        <v>0</v>
      </c>
      <c r="BB250" s="76" t="b">
        <v>1</v>
      </c>
      <c r="BC250" s="76" t="b">
        <v>0</v>
      </c>
      <c r="BD250" s="76" t="b">
        <v>0</v>
      </c>
      <c r="BE250" s="76" t="b">
        <v>1</v>
      </c>
      <c r="BF250" s="76" t="b">
        <v>0</v>
      </c>
      <c r="BG250" s="76" t="b">
        <v>0</v>
      </c>
      <c r="BH250" s="76"/>
      <c r="BI250" s="76"/>
      <c r="BJ250" s="76" t="s">
        <v>18704</v>
      </c>
      <c r="BK250" s="76" t="b">
        <v>0</v>
      </c>
      <c r="BL250" s="76"/>
      <c r="BM250" s="76" t="s">
        <v>65</v>
      </c>
      <c r="BN250" s="76" t="s">
        <v>18706</v>
      </c>
      <c r="BO250" s="83" t="str">
        <f>HYPERLINK("https://twitter.com/funcases")</f>
        <v>https://twitter.com/funcases</v>
      </c>
      <c r="BP250" s="2"/>
    </row>
    <row r="251" spans="1:68" x14ac:dyDescent="0.25">
      <c r="A251" s="62" t="s">
        <v>417</v>
      </c>
      <c r="B251" s="63"/>
      <c r="C251" s="63"/>
      <c r="D251" s="64"/>
      <c r="E251" s="66"/>
      <c r="F251" s="102" t="str">
        <f>HYPERLINK("https://pbs.twimg.com/profile_images/1588624432028913664/VBN19ZTP_normal.jpg")</f>
        <v>https://pbs.twimg.com/profile_images/1588624432028913664/VBN19ZTP_normal.jpg</v>
      </c>
      <c r="G251" s="63"/>
      <c r="H251" s="67"/>
      <c r="I251" s="68"/>
      <c r="J251" s="68"/>
      <c r="K251" s="67" t="s">
        <v>18954</v>
      </c>
      <c r="L251" s="71"/>
      <c r="M251" s="72"/>
      <c r="N251" s="72"/>
      <c r="O251" s="73"/>
      <c r="P251" s="74"/>
      <c r="Q251" s="74"/>
      <c r="R251" s="86"/>
      <c r="S251" s="86"/>
      <c r="T251" s="86"/>
      <c r="U251" s="86"/>
      <c r="V251" s="48"/>
      <c r="W251" s="48"/>
      <c r="X251" s="48"/>
      <c r="Y251" s="48"/>
      <c r="Z251" s="47"/>
      <c r="AA251" s="69">
        <v>251</v>
      </c>
      <c r="AB251" s="69"/>
      <c r="AC251" s="70"/>
      <c r="AD251" s="76" t="s">
        <v>16680</v>
      </c>
      <c r="AE251" s="81" t="s">
        <v>16215</v>
      </c>
      <c r="AF251" s="76">
        <v>186</v>
      </c>
      <c r="AG251" s="76">
        <v>195</v>
      </c>
      <c r="AH251" s="76">
        <v>24862</v>
      </c>
      <c r="AI251" s="76">
        <v>0</v>
      </c>
      <c r="AJ251" s="76">
        <v>41405</v>
      </c>
      <c r="AK251" s="76">
        <v>1500</v>
      </c>
      <c r="AL251" s="76" t="b">
        <v>0</v>
      </c>
      <c r="AM251" s="78">
        <v>44869.839745370373</v>
      </c>
      <c r="AN251" s="76" t="s">
        <v>17498</v>
      </c>
      <c r="AO251" s="76" t="s">
        <v>17867</v>
      </c>
      <c r="AP251" s="76"/>
      <c r="AQ251" s="76"/>
      <c r="AR251" s="76"/>
      <c r="AS251" s="76"/>
      <c r="AT251" s="76"/>
      <c r="AU251" s="76"/>
      <c r="AV251" s="76"/>
      <c r="AW251" s="76"/>
      <c r="AX251" s="76" t="b">
        <v>0</v>
      </c>
      <c r="AY251" s="76"/>
      <c r="AZ251" s="76"/>
      <c r="BA251" s="76" t="b">
        <v>0</v>
      </c>
      <c r="BB251" s="76" t="b">
        <v>1</v>
      </c>
      <c r="BC251" s="76" t="b">
        <v>1</v>
      </c>
      <c r="BD251" s="76" t="b">
        <v>0</v>
      </c>
      <c r="BE251" s="76" t="b">
        <v>1</v>
      </c>
      <c r="BF251" s="76" t="b">
        <v>0</v>
      </c>
      <c r="BG251" s="76" t="b">
        <v>0</v>
      </c>
      <c r="BH251" s="83" t="str">
        <f>HYPERLINK("https://pbs.twimg.com/profile_banners/1588623984526073856/1670269422")</f>
        <v>https://pbs.twimg.com/profile_banners/1588623984526073856/1670269422</v>
      </c>
      <c r="BI251" s="76"/>
      <c r="BJ251" s="76" t="s">
        <v>18704</v>
      </c>
      <c r="BK251" s="76" t="b">
        <v>0</v>
      </c>
      <c r="BL251" s="76"/>
      <c r="BM251" s="76" t="s">
        <v>66</v>
      </c>
      <c r="BN251" s="76" t="s">
        <v>18706</v>
      </c>
      <c r="BO251" s="83" t="str">
        <f>HYPERLINK("https://twitter.com/feanor_noldorin")</f>
        <v>https://twitter.com/feanor_noldorin</v>
      </c>
      <c r="BP251" s="2"/>
    </row>
    <row r="252" spans="1:68" x14ac:dyDescent="0.25">
      <c r="A252" s="62" t="s">
        <v>418</v>
      </c>
      <c r="B252" s="63"/>
      <c r="C252" s="63"/>
      <c r="D252" s="64"/>
      <c r="E252" s="66"/>
      <c r="F252" s="102" t="str">
        <f>HYPERLINK("https://pbs.twimg.com/profile_images/1524452992715530244/68mak4M__normal.jpg")</f>
        <v>https://pbs.twimg.com/profile_images/1524452992715530244/68mak4M__normal.jpg</v>
      </c>
      <c r="G252" s="63"/>
      <c r="H252" s="67"/>
      <c r="I252" s="68"/>
      <c r="J252" s="68"/>
      <c r="K252" s="67" t="s">
        <v>18955</v>
      </c>
      <c r="L252" s="71"/>
      <c r="M252" s="72"/>
      <c r="N252" s="72"/>
      <c r="O252" s="73"/>
      <c r="P252" s="74"/>
      <c r="Q252" s="74"/>
      <c r="R252" s="86"/>
      <c r="S252" s="86"/>
      <c r="T252" s="86"/>
      <c r="U252" s="86"/>
      <c r="V252" s="48"/>
      <c r="W252" s="48"/>
      <c r="X252" s="48"/>
      <c r="Y252" s="48"/>
      <c r="Z252" s="47"/>
      <c r="AA252" s="69">
        <v>252</v>
      </c>
      <c r="AB252" s="69"/>
      <c r="AC252" s="70"/>
      <c r="AD252" s="76" t="s">
        <v>16681</v>
      </c>
      <c r="AE252" s="81" t="s">
        <v>16216</v>
      </c>
      <c r="AF252" s="76">
        <v>607</v>
      </c>
      <c r="AG252" s="76">
        <v>9</v>
      </c>
      <c r="AH252" s="76">
        <v>5884</v>
      </c>
      <c r="AI252" s="76">
        <v>1</v>
      </c>
      <c r="AJ252" s="76">
        <v>1186</v>
      </c>
      <c r="AK252" s="76">
        <v>111</v>
      </c>
      <c r="AL252" s="76" t="b">
        <v>0</v>
      </c>
      <c r="AM252" s="78">
        <v>44692.757175925923</v>
      </c>
      <c r="AN252" s="76" t="s">
        <v>10571</v>
      </c>
      <c r="AO252" s="76" t="s">
        <v>17868</v>
      </c>
      <c r="AP252" s="76"/>
      <c r="AQ252" s="76"/>
      <c r="AR252" s="76"/>
      <c r="AS252" s="76"/>
      <c r="AT252" s="76"/>
      <c r="AU252" s="76"/>
      <c r="AV252" s="76"/>
      <c r="AW252" s="76"/>
      <c r="AX252" s="76" t="b">
        <v>0</v>
      </c>
      <c r="AY252" s="76"/>
      <c r="AZ252" s="76"/>
      <c r="BA252" s="76" t="b">
        <v>0</v>
      </c>
      <c r="BB252" s="76" t="b">
        <v>1</v>
      </c>
      <c r="BC252" s="76" t="b">
        <v>1</v>
      </c>
      <c r="BD252" s="76" t="b">
        <v>0</v>
      </c>
      <c r="BE252" s="76" t="b">
        <v>0</v>
      </c>
      <c r="BF252" s="76" t="b">
        <v>0</v>
      </c>
      <c r="BG252" s="76" t="b">
        <v>0</v>
      </c>
      <c r="BH252" s="76"/>
      <c r="BI252" s="76"/>
      <c r="BJ252" s="76" t="s">
        <v>18704</v>
      </c>
      <c r="BK252" s="76" t="b">
        <v>0</v>
      </c>
      <c r="BL252" s="76"/>
      <c r="BM252" s="76" t="s">
        <v>66</v>
      </c>
      <c r="BN252" s="76" t="s">
        <v>18706</v>
      </c>
      <c r="BO252" s="83" t="str">
        <f>HYPERLINK("https://twitter.com/kimyellestuart")</f>
        <v>https://twitter.com/kimyellestuart</v>
      </c>
      <c r="BP252" s="2"/>
    </row>
    <row r="253" spans="1:68" x14ac:dyDescent="0.25">
      <c r="A253" s="62" t="s">
        <v>419</v>
      </c>
      <c r="B253" s="63"/>
      <c r="C253" s="63"/>
      <c r="D253" s="64"/>
      <c r="E253" s="66"/>
      <c r="F253" s="102" t="str">
        <f>HYPERLINK("https://pbs.twimg.com/profile_images/1699368100712394752/AEUs7IO2_normal.jpg")</f>
        <v>https://pbs.twimg.com/profile_images/1699368100712394752/AEUs7IO2_normal.jpg</v>
      </c>
      <c r="G253" s="63"/>
      <c r="H253" s="67"/>
      <c r="I253" s="68"/>
      <c r="J253" s="68"/>
      <c r="K253" s="67" t="s">
        <v>18956</v>
      </c>
      <c r="L253" s="71"/>
      <c r="M253" s="72"/>
      <c r="N253" s="72"/>
      <c r="O253" s="73"/>
      <c r="P253" s="74"/>
      <c r="Q253" s="74"/>
      <c r="R253" s="86"/>
      <c r="S253" s="86"/>
      <c r="T253" s="86"/>
      <c r="U253" s="86"/>
      <c r="V253" s="48"/>
      <c r="W253" s="48"/>
      <c r="X253" s="48"/>
      <c r="Y253" s="48"/>
      <c r="Z253" s="47"/>
      <c r="AA253" s="69">
        <v>253</v>
      </c>
      <c r="AB253" s="69"/>
      <c r="AC253" s="70"/>
      <c r="AD253" s="76" t="s">
        <v>16682</v>
      </c>
      <c r="AE253" s="81" t="s">
        <v>16217</v>
      </c>
      <c r="AF253" s="76">
        <v>172</v>
      </c>
      <c r="AG253" s="76">
        <v>353</v>
      </c>
      <c r="AH253" s="76">
        <v>24</v>
      </c>
      <c r="AI253" s="76">
        <v>2</v>
      </c>
      <c r="AJ253" s="76">
        <v>3494</v>
      </c>
      <c r="AK253" s="76">
        <v>0</v>
      </c>
      <c r="AL253" s="76" t="b">
        <v>0</v>
      </c>
      <c r="AM253" s="78">
        <v>44989.914421296293</v>
      </c>
      <c r="AN253" s="76"/>
      <c r="AO253" s="76" t="s">
        <v>17869</v>
      </c>
      <c r="AP253" s="76"/>
      <c r="AQ253" s="76"/>
      <c r="AR253" s="76"/>
      <c r="AS253" s="76"/>
      <c r="AT253" s="76"/>
      <c r="AU253" s="76"/>
      <c r="AV253" s="76"/>
      <c r="AW253" s="76"/>
      <c r="AX253" s="76" t="b">
        <v>0</v>
      </c>
      <c r="AY253" s="76"/>
      <c r="AZ253" s="76"/>
      <c r="BA253" s="76" t="b">
        <v>1</v>
      </c>
      <c r="BB253" s="76" t="b">
        <v>1</v>
      </c>
      <c r="BC253" s="76" t="b">
        <v>1</v>
      </c>
      <c r="BD253" s="76" t="b">
        <v>0</v>
      </c>
      <c r="BE253" s="76" t="b">
        <v>0</v>
      </c>
      <c r="BF253" s="76" t="b">
        <v>0</v>
      </c>
      <c r="BG253" s="76" t="b">
        <v>0</v>
      </c>
      <c r="BH253" s="83" t="str">
        <f>HYPERLINK("https://pbs.twimg.com/profile_banners/1632137954461384705/1679050610")</f>
        <v>https://pbs.twimg.com/profile_banners/1632137954461384705/1679050610</v>
      </c>
      <c r="BI253" s="76"/>
      <c r="BJ253" s="76" t="s">
        <v>18704</v>
      </c>
      <c r="BK253" s="76" t="b">
        <v>0</v>
      </c>
      <c r="BL253" s="76"/>
      <c r="BM253" s="76" t="s">
        <v>66</v>
      </c>
      <c r="BN253" s="76" t="s">
        <v>18706</v>
      </c>
      <c r="BO253" s="83" t="str">
        <f>HYPERLINK("https://twitter.com/heromindfulx")</f>
        <v>https://twitter.com/heromindfulx</v>
      </c>
      <c r="BP253" s="2"/>
    </row>
    <row r="254" spans="1:68" x14ac:dyDescent="0.25">
      <c r="A254" s="62" t="s">
        <v>420</v>
      </c>
      <c r="B254" s="63"/>
      <c r="C254" s="63"/>
      <c r="D254" s="64"/>
      <c r="E254" s="66"/>
      <c r="F254" s="102" t="str">
        <f>HYPERLINK("https://pbs.twimg.com/profile_images/1699086207039201280/VxmFCAZm_normal.png")</f>
        <v>https://pbs.twimg.com/profile_images/1699086207039201280/VxmFCAZm_normal.png</v>
      </c>
      <c r="G254" s="63"/>
      <c r="H254" s="67"/>
      <c r="I254" s="68"/>
      <c r="J254" s="68"/>
      <c r="K254" s="67" t="s">
        <v>18957</v>
      </c>
      <c r="L254" s="71"/>
      <c r="M254" s="72"/>
      <c r="N254" s="72"/>
      <c r="O254" s="73"/>
      <c r="P254" s="74"/>
      <c r="Q254" s="74"/>
      <c r="R254" s="86"/>
      <c r="S254" s="86"/>
      <c r="T254" s="86"/>
      <c r="U254" s="86"/>
      <c r="V254" s="48"/>
      <c r="W254" s="48"/>
      <c r="X254" s="48"/>
      <c r="Y254" s="48"/>
      <c r="Z254" s="47"/>
      <c r="AA254" s="69">
        <v>254</v>
      </c>
      <c r="AB254" s="69"/>
      <c r="AC254" s="70"/>
      <c r="AD254" s="76" t="s">
        <v>16683</v>
      </c>
      <c r="AE254" s="81" t="s">
        <v>16218</v>
      </c>
      <c r="AF254" s="76">
        <v>5</v>
      </c>
      <c r="AG254" s="76">
        <v>141</v>
      </c>
      <c r="AH254" s="76">
        <v>76</v>
      </c>
      <c r="AI254" s="76">
        <v>0</v>
      </c>
      <c r="AJ254" s="76">
        <v>5</v>
      </c>
      <c r="AK254" s="76">
        <v>0</v>
      </c>
      <c r="AL254" s="76" t="b">
        <v>0</v>
      </c>
      <c r="AM254" s="78">
        <v>45174.656168981484</v>
      </c>
      <c r="AN254" s="76"/>
      <c r="AO254" s="76"/>
      <c r="AP254" s="76"/>
      <c r="AQ254" s="76"/>
      <c r="AR254" s="76"/>
      <c r="AS254" s="76"/>
      <c r="AT254" s="76"/>
      <c r="AU254" s="76"/>
      <c r="AV254" s="76"/>
      <c r="AW254" s="76"/>
      <c r="AX254" s="76" t="b">
        <v>0</v>
      </c>
      <c r="AY254" s="76"/>
      <c r="AZ254" s="76"/>
      <c r="BA254" s="76" t="b">
        <v>0</v>
      </c>
      <c r="BB254" s="76" t="b">
        <v>1</v>
      </c>
      <c r="BC254" s="76" t="b">
        <v>1</v>
      </c>
      <c r="BD254" s="76" t="b">
        <v>0</v>
      </c>
      <c r="BE254" s="76" t="b">
        <v>0</v>
      </c>
      <c r="BF254" s="76" t="b">
        <v>0</v>
      </c>
      <c r="BG254" s="76" t="b">
        <v>0</v>
      </c>
      <c r="BH254" s="76"/>
      <c r="BI254" s="76"/>
      <c r="BJ254" s="76" t="s">
        <v>18704</v>
      </c>
      <c r="BK254" s="76" t="b">
        <v>0</v>
      </c>
      <c r="BL254" s="76"/>
      <c r="BM254" s="76" t="s">
        <v>66</v>
      </c>
      <c r="BN254" s="76" t="s">
        <v>18706</v>
      </c>
      <c r="BO254" s="83" t="str">
        <f>HYPERLINK("https://twitter.com/chatico79168")</f>
        <v>https://twitter.com/chatico79168</v>
      </c>
      <c r="BP254" s="2"/>
    </row>
    <row r="255" spans="1:68" x14ac:dyDescent="0.25">
      <c r="A255" s="62" t="s">
        <v>421</v>
      </c>
      <c r="B255" s="63"/>
      <c r="C255" s="63"/>
      <c r="D255" s="64"/>
      <c r="E255" s="66"/>
      <c r="F255" s="102" t="str">
        <f>HYPERLINK("https://pbs.twimg.com/profile_images/1333751179814330368/Dez-jO7O_normal.jpg")</f>
        <v>https://pbs.twimg.com/profile_images/1333751179814330368/Dez-jO7O_normal.jpg</v>
      </c>
      <c r="G255" s="63"/>
      <c r="H255" s="67"/>
      <c r="I255" s="68"/>
      <c r="J255" s="68"/>
      <c r="K255" s="67" t="s">
        <v>18958</v>
      </c>
      <c r="L255" s="71"/>
      <c r="M255" s="72"/>
      <c r="N255" s="72"/>
      <c r="O255" s="73"/>
      <c r="P255" s="74"/>
      <c r="Q255" s="74"/>
      <c r="R255" s="86"/>
      <c r="S255" s="86"/>
      <c r="T255" s="86"/>
      <c r="U255" s="86"/>
      <c r="V255" s="48"/>
      <c r="W255" s="48"/>
      <c r="X255" s="48"/>
      <c r="Y255" s="48"/>
      <c r="Z255" s="47"/>
      <c r="AA255" s="69">
        <v>255</v>
      </c>
      <c r="AB255" s="69"/>
      <c r="AC255" s="70"/>
      <c r="AD255" s="76" t="s">
        <v>16684</v>
      </c>
      <c r="AE255" s="81" t="s">
        <v>16219</v>
      </c>
      <c r="AF255" s="76">
        <v>130</v>
      </c>
      <c r="AG255" s="76">
        <v>60</v>
      </c>
      <c r="AH255" s="76">
        <v>2634</v>
      </c>
      <c r="AI255" s="76">
        <v>1</v>
      </c>
      <c r="AJ255" s="76">
        <v>72</v>
      </c>
      <c r="AK255" s="76">
        <v>2575</v>
      </c>
      <c r="AL255" s="76" t="b">
        <v>0</v>
      </c>
      <c r="AM255" s="78">
        <v>43860.753148148149</v>
      </c>
      <c r="AN255" s="76"/>
      <c r="AO255" s="76" t="s">
        <v>17870</v>
      </c>
      <c r="AP255" s="83" t="str">
        <f>HYPERLINK("https://t.co/kcekXRs3Gd")</f>
        <v>https://t.co/kcekXRs3Gd</v>
      </c>
      <c r="AQ255" s="83" t="str">
        <f>HYPERLINK("http://www.forumservicopublicoceara.org.br")</f>
        <v>http://www.forumservicopublicoceara.org.br</v>
      </c>
      <c r="AR255" s="76" t="s">
        <v>18388</v>
      </c>
      <c r="AS255" s="76"/>
      <c r="AT255" s="76"/>
      <c r="AU255" s="76"/>
      <c r="AV255" s="76"/>
      <c r="AW255" s="83" t="str">
        <f>HYPERLINK("https://t.co/kcekXRs3Gd")</f>
        <v>https://t.co/kcekXRs3Gd</v>
      </c>
      <c r="AX255" s="76" t="b">
        <v>0</v>
      </c>
      <c r="AY255" s="76"/>
      <c r="AZ255" s="76"/>
      <c r="BA255" s="76" t="b">
        <v>0</v>
      </c>
      <c r="BB255" s="76" t="b">
        <v>1</v>
      </c>
      <c r="BC255" s="76" t="b">
        <v>1</v>
      </c>
      <c r="BD255" s="76" t="b">
        <v>0</v>
      </c>
      <c r="BE255" s="76" t="b">
        <v>0</v>
      </c>
      <c r="BF255" s="76" t="b">
        <v>0</v>
      </c>
      <c r="BG255" s="76" t="b">
        <v>0</v>
      </c>
      <c r="BH255" s="83" t="str">
        <f>HYPERLINK("https://pbs.twimg.com/profile_banners/1222943466423975936/1606826037")</f>
        <v>https://pbs.twimg.com/profile_banners/1222943466423975936/1606826037</v>
      </c>
      <c r="BI255" s="76"/>
      <c r="BJ255" s="76" t="s">
        <v>18704</v>
      </c>
      <c r="BK255" s="76" t="b">
        <v>0</v>
      </c>
      <c r="BL255" s="76"/>
      <c r="BM255" s="76" t="s">
        <v>66</v>
      </c>
      <c r="BN255" s="76" t="s">
        <v>18706</v>
      </c>
      <c r="BO255" s="83" t="str">
        <f>HYPERLINK("https://twitter.com/forumdefesa")</f>
        <v>https://twitter.com/forumdefesa</v>
      </c>
      <c r="BP255" s="2"/>
    </row>
    <row r="256" spans="1:68" x14ac:dyDescent="0.25">
      <c r="A256" s="62" t="s">
        <v>422</v>
      </c>
      <c r="B256" s="63"/>
      <c r="C256" s="63"/>
      <c r="D256" s="64"/>
      <c r="E256" s="66"/>
      <c r="F256" s="102" t="str">
        <f>HYPERLINK("https://pbs.twimg.com/profile_images/1672359807997603843/sHprdPrQ_normal.jpg")</f>
        <v>https://pbs.twimg.com/profile_images/1672359807997603843/sHprdPrQ_normal.jpg</v>
      </c>
      <c r="G256" s="63"/>
      <c r="H256" s="67"/>
      <c r="I256" s="68"/>
      <c r="J256" s="68"/>
      <c r="K256" s="67" t="s">
        <v>18959</v>
      </c>
      <c r="L256" s="71"/>
      <c r="M256" s="72"/>
      <c r="N256" s="72"/>
      <c r="O256" s="73"/>
      <c r="P256" s="74"/>
      <c r="Q256" s="74"/>
      <c r="R256" s="86"/>
      <c r="S256" s="86"/>
      <c r="T256" s="86"/>
      <c r="U256" s="86"/>
      <c r="V256" s="48"/>
      <c r="W256" s="48"/>
      <c r="X256" s="48"/>
      <c r="Y256" s="48"/>
      <c r="Z256" s="47"/>
      <c r="AA256" s="69">
        <v>256</v>
      </c>
      <c r="AB256" s="69"/>
      <c r="AC256" s="70"/>
      <c r="AD256" s="76" t="s">
        <v>16685</v>
      </c>
      <c r="AE256" s="81" t="s">
        <v>17203</v>
      </c>
      <c r="AF256" s="76">
        <v>125</v>
      </c>
      <c r="AG256" s="76">
        <v>190</v>
      </c>
      <c r="AH256" s="76">
        <v>1016</v>
      </c>
      <c r="AI256" s="76">
        <v>0</v>
      </c>
      <c r="AJ256" s="76">
        <v>2</v>
      </c>
      <c r="AK256" s="76">
        <v>501</v>
      </c>
      <c r="AL256" s="76" t="b">
        <v>0</v>
      </c>
      <c r="AM256" s="78">
        <v>40023.701365740744</v>
      </c>
      <c r="AN256" s="76" t="s">
        <v>10570</v>
      </c>
      <c r="AO256" s="76" t="s">
        <v>17871</v>
      </c>
      <c r="AP256" s="83" t="str">
        <f>HYPERLINK("https://t.co/m1d3rZYkfZ")</f>
        <v>https://t.co/m1d3rZYkfZ</v>
      </c>
      <c r="AQ256" s="83" t="str">
        <f>HYPERLINK("https://www.trescon.com.br/")</f>
        <v>https://www.trescon.com.br/</v>
      </c>
      <c r="AR256" s="76" t="s">
        <v>18389</v>
      </c>
      <c r="AS256" s="76"/>
      <c r="AT256" s="76"/>
      <c r="AU256" s="76"/>
      <c r="AV256" s="76"/>
      <c r="AW256" s="83" t="str">
        <f>HYPERLINK("https://t.co/m1d3rZYkfZ")</f>
        <v>https://t.co/m1d3rZYkfZ</v>
      </c>
      <c r="AX256" s="76" t="b">
        <v>0</v>
      </c>
      <c r="AY256" s="76"/>
      <c r="AZ256" s="76"/>
      <c r="BA256" s="76" t="b">
        <v>1</v>
      </c>
      <c r="BB256" s="76" t="b">
        <v>0</v>
      </c>
      <c r="BC256" s="76" t="b">
        <v>0</v>
      </c>
      <c r="BD256" s="76" t="b">
        <v>0</v>
      </c>
      <c r="BE256" s="76" t="b">
        <v>0</v>
      </c>
      <c r="BF256" s="76" t="b">
        <v>0</v>
      </c>
      <c r="BG256" s="76" t="b">
        <v>0</v>
      </c>
      <c r="BH256" s="83" t="str">
        <f>HYPERLINK("https://pbs.twimg.com/profile_banners/61239040/1687556625")</f>
        <v>https://pbs.twimg.com/profile_banners/61239040/1687556625</v>
      </c>
      <c r="BI256" s="76"/>
      <c r="BJ256" s="76" t="s">
        <v>18704</v>
      </c>
      <c r="BK256" s="76" t="b">
        <v>0</v>
      </c>
      <c r="BL256" s="76"/>
      <c r="BM256" s="76" t="s">
        <v>66</v>
      </c>
      <c r="BN256" s="76" t="s">
        <v>18706</v>
      </c>
      <c r="BO256" s="83" t="str">
        <f>HYPERLINK("https://twitter.com/trescon")</f>
        <v>https://twitter.com/trescon</v>
      </c>
      <c r="BP256" s="2"/>
    </row>
    <row r="257" spans="1:68" x14ac:dyDescent="0.25">
      <c r="A257" s="62" t="s">
        <v>423</v>
      </c>
      <c r="B257" s="63"/>
      <c r="C257" s="63"/>
      <c r="D257" s="64"/>
      <c r="E257" s="66"/>
      <c r="F257" s="102" t="str">
        <f>HYPERLINK("https://pbs.twimg.com/profile_images/1707067431682789378/osRggWBs_normal.jpg")</f>
        <v>https://pbs.twimg.com/profile_images/1707067431682789378/osRggWBs_normal.jpg</v>
      </c>
      <c r="G257" s="63"/>
      <c r="H257" s="67"/>
      <c r="I257" s="68"/>
      <c r="J257" s="68"/>
      <c r="K257" s="67" t="s">
        <v>18960</v>
      </c>
      <c r="L257" s="71"/>
      <c r="M257" s="72"/>
      <c r="N257" s="72"/>
      <c r="O257" s="73"/>
      <c r="P257" s="74"/>
      <c r="Q257" s="74"/>
      <c r="R257" s="86"/>
      <c r="S257" s="86"/>
      <c r="T257" s="86"/>
      <c r="U257" s="86"/>
      <c r="V257" s="48"/>
      <c r="W257" s="48"/>
      <c r="X257" s="48"/>
      <c r="Y257" s="48"/>
      <c r="Z257" s="47"/>
      <c r="AA257" s="69">
        <v>257</v>
      </c>
      <c r="AB257" s="69"/>
      <c r="AC257" s="70"/>
      <c r="AD257" s="76" t="s">
        <v>16686</v>
      </c>
      <c r="AE257" s="81" t="s">
        <v>16220</v>
      </c>
      <c r="AF257" s="76">
        <v>626</v>
      </c>
      <c r="AG257" s="76">
        <v>1927</v>
      </c>
      <c r="AH257" s="76">
        <v>79349</v>
      </c>
      <c r="AI257" s="76">
        <v>1</v>
      </c>
      <c r="AJ257" s="76">
        <v>49926</v>
      </c>
      <c r="AK257" s="76">
        <v>8466</v>
      </c>
      <c r="AL257" s="76" t="b">
        <v>0</v>
      </c>
      <c r="AM257" s="78">
        <v>44684.295752314814</v>
      </c>
      <c r="AN257" s="76"/>
      <c r="AO257" s="76" t="s">
        <v>17872</v>
      </c>
      <c r="AP257" s="76"/>
      <c r="AQ257" s="76"/>
      <c r="AR257" s="76"/>
      <c r="AS257" s="83" t="str">
        <f>HYPERLINK("https://t.co/JtaRmrkQc6")</f>
        <v>https://t.co/JtaRmrkQc6</v>
      </c>
      <c r="AT257" s="83" t="str">
        <f>HYPERLINK("http://bit.ly/3FZh7vQ")</f>
        <v>http://bit.ly/3FZh7vQ</v>
      </c>
      <c r="AU257" s="76" t="s">
        <v>18666</v>
      </c>
      <c r="AV257" s="76">
        <v>1.70734546229281E+18</v>
      </c>
      <c r="AW257" s="76"/>
      <c r="AX257" s="76" t="b">
        <v>0</v>
      </c>
      <c r="AY257" s="76"/>
      <c r="AZ257" s="76"/>
      <c r="BA257" s="76" t="b">
        <v>0</v>
      </c>
      <c r="BB257" s="76" t="b">
        <v>1</v>
      </c>
      <c r="BC257" s="76" t="b">
        <v>1</v>
      </c>
      <c r="BD257" s="76" t="b">
        <v>0</v>
      </c>
      <c r="BE257" s="76" t="b">
        <v>0</v>
      </c>
      <c r="BF257" s="76" t="b">
        <v>0</v>
      </c>
      <c r="BG257" s="76" t="b">
        <v>0</v>
      </c>
      <c r="BH257" s="83" t="str">
        <f>HYPERLINK("https://pbs.twimg.com/profile_banners/1521385500258578432/1695831568")</f>
        <v>https://pbs.twimg.com/profile_banners/1521385500258578432/1695831568</v>
      </c>
      <c r="BI257" s="76"/>
      <c r="BJ257" s="76" t="s">
        <v>18704</v>
      </c>
      <c r="BK257" s="76" t="b">
        <v>0</v>
      </c>
      <c r="BL257" s="76"/>
      <c r="BM257" s="76" t="s">
        <v>66</v>
      </c>
      <c r="BN257" s="76" t="s">
        <v>18706</v>
      </c>
      <c r="BO257" s="83" t="str">
        <f>HYPERLINK("https://twitter.com/curiosaintelig1")</f>
        <v>https://twitter.com/curiosaintelig1</v>
      </c>
      <c r="BP257" s="2"/>
    </row>
    <row r="258" spans="1:68" x14ac:dyDescent="0.25">
      <c r="A258" s="62" t="s">
        <v>424</v>
      </c>
      <c r="B258" s="63"/>
      <c r="C258" s="63"/>
      <c r="D258" s="64"/>
      <c r="E258" s="66"/>
      <c r="F258" s="102" t="str">
        <f>HYPERLINK("https://pbs.twimg.com/profile_images/1699367789826396160/f4IKVJYm_normal.jpg")</f>
        <v>https://pbs.twimg.com/profile_images/1699367789826396160/f4IKVJYm_normal.jpg</v>
      </c>
      <c r="G258" s="63"/>
      <c r="H258" s="67"/>
      <c r="I258" s="68"/>
      <c r="J258" s="68"/>
      <c r="K258" s="67" t="s">
        <v>18961</v>
      </c>
      <c r="L258" s="71"/>
      <c r="M258" s="72"/>
      <c r="N258" s="72"/>
      <c r="O258" s="73"/>
      <c r="P258" s="74"/>
      <c r="Q258" s="74"/>
      <c r="R258" s="86"/>
      <c r="S258" s="86"/>
      <c r="T258" s="86"/>
      <c r="U258" s="86"/>
      <c r="V258" s="48"/>
      <c r="W258" s="48"/>
      <c r="X258" s="48"/>
      <c r="Y258" s="48"/>
      <c r="Z258" s="47"/>
      <c r="AA258" s="69">
        <v>258</v>
      </c>
      <c r="AB258" s="69"/>
      <c r="AC258" s="70"/>
      <c r="AD258" s="76" t="s">
        <v>16687</v>
      </c>
      <c r="AE258" s="81" t="s">
        <v>16221</v>
      </c>
      <c r="AF258" s="76">
        <v>159</v>
      </c>
      <c r="AG258" s="76">
        <v>351</v>
      </c>
      <c r="AH258" s="76">
        <v>24</v>
      </c>
      <c r="AI258" s="76">
        <v>3</v>
      </c>
      <c r="AJ258" s="76">
        <v>3474</v>
      </c>
      <c r="AK258" s="76">
        <v>0</v>
      </c>
      <c r="AL258" s="76" t="b">
        <v>0</v>
      </c>
      <c r="AM258" s="78">
        <v>44989.91128472222</v>
      </c>
      <c r="AN258" s="76"/>
      <c r="AO258" s="76" t="s">
        <v>17873</v>
      </c>
      <c r="AP258" s="76"/>
      <c r="AQ258" s="76"/>
      <c r="AR258" s="76"/>
      <c r="AS258" s="76"/>
      <c r="AT258" s="76"/>
      <c r="AU258" s="76"/>
      <c r="AV258" s="76"/>
      <c r="AW258" s="76"/>
      <c r="AX258" s="76" t="b">
        <v>0</v>
      </c>
      <c r="AY258" s="76"/>
      <c r="AZ258" s="76"/>
      <c r="BA258" s="76" t="b">
        <v>1</v>
      </c>
      <c r="BB258" s="76" t="b">
        <v>1</v>
      </c>
      <c r="BC258" s="76" t="b">
        <v>1</v>
      </c>
      <c r="BD258" s="76" t="b">
        <v>0</v>
      </c>
      <c r="BE258" s="76" t="b">
        <v>0</v>
      </c>
      <c r="BF258" s="76" t="b">
        <v>0</v>
      </c>
      <c r="BG258" s="76" t="b">
        <v>0</v>
      </c>
      <c r="BH258" s="83" t="str">
        <f>HYPERLINK("https://pbs.twimg.com/profile_banners/1632136807478448128/1694108303")</f>
        <v>https://pbs.twimg.com/profile_banners/1632136807478448128/1694108303</v>
      </c>
      <c r="BI258" s="76"/>
      <c r="BJ258" s="76" t="s">
        <v>18704</v>
      </c>
      <c r="BK258" s="76" t="b">
        <v>0</v>
      </c>
      <c r="BL258" s="76"/>
      <c r="BM258" s="76" t="s">
        <v>66</v>
      </c>
      <c r="BN258" s="76" t="s">
        <v>18706</v>
      </c>
      <c r="BO258" s="83" t="str">
        <f>HYPERLINK("https://twitter.com/investwithheart")</f>
        <v>https://twitter.com/investwithheart</v>
      </c>
      <c r="BP258" s="2"/>
    </row>
    <row r="259" spans="1:68" x14ac:dyDescent="0.25">
      <c r="A259" s="62" t="s">
        <v>425</v>
      </c>
      <c r="B259" s="63"/>
      <c r="C259" s="63"/>
      <c r="D259" s="64"/>
      <c r="E259" s="66"/>
      <c r="F259" s="102" t="str">
        <f>HYPERLINK("https://pbs.twimg.com/profile_images/1696979146860122112/H2W5WjOD_normal.jpg")</f>
        <v>https://pbs.twimg.com/profile_images/1696979146860122112/H2W5WjOD_normal.jpg</v>
      </c>
      <c r="G259" s="63"/>
      <c r="H259" s="67"/>
      <c r="I259" s="68"/>
      <c r="J259" s="68"/>
      <c r="K259" s="67" t="s">
        <v>18962</v>
      </c>
      <c r="L259" s="71"/>
      <c r="M259" s="72"/>
      <c r="N259" s="72"/>
      <c r="O259" s="73"/>
      <c r="P259" s="74"/>
      <c r="Q259" s="74"/>
      <c r="R259" s="86"/>
      <c r="S259" s="86"/>
      <c r="T259" s="86"/>
      <c r="U259" s="86"/>
      <c r="V259" s="48"/>
      <c r="W259" s="48"/>
      <c r="X259" s="48"/>
      <c r="Y259" s="48"/>
      <c r="Z259" s="47"/>
      <c r="AA259" s="69">
        <v>259</v>
      </c>
      <c r="AB259" s="69"/>
      <c r="AC259" s="70"/>
      <c r="AD259" s="76" t="s">
        <v>16688</v>
      </c>
      <c r="AE259" s="81" t="s">
        <v>16222</v>
      </c>
      <c r="AF259" s="76">
        <v>5</v>
      </c>
      <c r="AG259" s="76">
        <v>57</v>
      </c>
      <c r="AH259" s="76">
        <v>18</v>
      </c>
      <c r="AI259" s="76">
        <v>0</v>
      </c>
      <c r="AJ259" s="76">
        <v>15</v>
      </c>
      <c r="AK259" s="76">
        <v>10</v>
      </c>
      <c r="AL259" s="76" t="b">
        <v>0</v>
      </c>
      <c r="AM259" s="78">
        <v>45168.832118055558</v>
      </c>
      <c r="AN259" s="76" t="s">
        <v>10601</v>
      </c>
      <c r="AO259" s="76" t="s">
        <v>17874</v>
      </c>
      <c r="AP259" s="76"/>
      <c r="AQ259" s="76"/>
      <c r="AR259" s="76"/>
      <c r="AS259" s="76"/>
      <c r="AT259" s="76"/>
      <c r="AU259" s="76"/>
      <c r="AV259" s="76">
        <v>1.6974330870413E+18</v>
      </c>
      <c r="AW259" s="76"/>
      <c r="AX259" s="76" t="b">
        <v>0</v>
      </c>
      <c r="AY259" s="76"/>
      <c r="AZ259" s="76"/>
      <c r="BA259" s="76" t="b">
        <v>0</v>
      </c>
      <c r="BB259" s="76" t="b">
        <v>1</v>
      </c>
      <c r="BC259" s="76" t="b">
        <v>1</v>
      </c>
      <c r="BD259" s="76" t="b">
        <v>0</v>
      </c>
      <c r="BE259" s="76" t="b">
        <v>0</v>
      </c>
      <c r="BF259" s="76" t="b">
        <v>0</v>
      </c>
      <c r="BG259" s="76" t="b">
        <v>0</v>
      </c>
      <c r="BH259" s="83" t="str">
        <f>HYPERLINK("https://pbs.twimg.com/profile_banners/1696975414185316352/1693435322")</f>
        <v>https://pbs.twimg.com/profile_banners/1696975414185316352/1693435322</v>
      </c>
      <c r="BI259" s="76"/>
      <c r="BJ259" s="76" t="s">
        <v>18704</v>
      </c>
      <c r="BK259" s="76" t="b">
        <v>0</v>
      </c>
      <c r="BL259" s="76"/>
      <c r="BM259" s="76" t="s">
        <v>66</v>
      </c>
      <c r="BN259" s="76" t="s">
        <v>18706</v>
      </c>
      <c r="BO259" s="83" t="str">
        <f>HYPERLINK("https://twitter.com/grupoayonel")</f>
        <v>https://twitter.com/grupoayonel</v>
      </c>
      <c r="BP259" s="2"/>
    </row>
    <row r="260" spans="1:68" x14ac:dyDescent="0.25">
      <c r="A260" s="62" t="s">
        <v>426</v>
      </c>
      <c r="B260" s="63"/>
      <c r="C260" s="63"/>
      <c r="D260" s="64"/>
      <c r="E260" s="66"/>
      <c r="F260" s="102" t="str">
        <f>HYPERLINK("https://pbs.twimg.com/profile_images/1262344028374421504/3oz7uYtk_normal.jpg")</f>
        <v>https://pbs.twimg.com/profile_images/1262344028374421504/3oz7uYtk_normal.jpg</v>
      </c>
      <c r="G260" s="63"/>
      <c r="H260" s="67"/>
      <c r="I260" s="68"/>
      <c r="J260" s="68"/>
      <c r="K260" s="67" t="s">
        <v>18963</v>
      </c>
      <c r="L260" s="71"/>
      <c r="M260" s="72"/>
      <c r="N260" s="72"/>
      <c r="O260" s="73"/>
      <c r="P260" s="74"/>
      <c r="Q260" s="74"/>
      <c r="R260" s="86"/>
      <c r="S260" s="86"/>
      <c r="T260" s="86"/>
      <c r="U260" s="86"/>
      <c r="V260" s="48"/>
      <c r="W260" s="48"/>
      <c r="X260" s="48"/>
      <c r="Y260" s="48"/>
      <c r="Z260" s="47"/>
      <c r="AA260" s="69">
        <v>260</v>
      </c>
      <c r="AB260" s="69"/>
      <c r="AC260" s="70"/>
      <c r="AD260" s="76" t="s">
        <v>16689</v>
      </c>
      <c r="AE260" s="81" t="s">
        <v>16223</v>
      </c>
      <c r="AF260" s="76">
        <v>52</v>
      </c>
      <c r="AG260" s="76">
        <v>706</v>
      </c>
      <c r="AH260" s="76">
        <v>11039</v>
      </c>
      <c r="AI260" s="76">
        <v>0</v>
      </c>
      <c r="AJ260" s="76">
        <v>4</v>
      </c>
      <c r="AK260" s="76">
        <v>21</v>
      </c>
      <c r="AL260" s="76" t="b">
        <v>0</v>
      </c>
      <c r="AM260" s="78">
        <v>42468.024108796293</v>
      </c>
      <c r="AN260" s="76"/>
      <c r="AO260" s="76"/>
      <c r="AP260" s="83" t="str">
        <f>HYPERLINK("https://t.co/w40vc56SwB")</f>
        <v>https://t.co/w40vc56SwB</v>
      </c>
      <c r="AQ260" s="83" t="str">
        <f>HYPERLINK("https://www.diariodia.es")</f>
        <v>https://www.diariodia.es</v>
      </c>
      <c r="AR260" s="76" t="s">
        <v>16689</v>
      </c>
      <c r="AS260" s="76"/>
      <c r="AT260" s="76"/>
      <c r="AU260" s="76"/>
      <c r="AV260" s="76"/>
      <c r="AW260" s="83" t="str">
        <f>HYPERLINK("https://t.co/w40vc56SwB")</f>
        <v>https://t.co/w40vc56SwB</v>
      </c>
      <c r="AX260" s="76" t="b">
        <v>0</v>
      </c>
      <c r="AY260" s="76"/>
      <c r="AZ260" s="76"/>
      <c r="BA260" s="76" t="b">
        <v>0</v>
      </c>
      <c r="BB260" s="76" t="b">
        <v>1</v>
      </c>
      <c r="BC260" s="76" t="b">
        <v>1</v>
      </c>
      <c r="BD260" s="76" t="b">
        <v>0</v>
      </c>
      <c r="BE260" s="76" t="b">
        <v>0</v>
      </c>
      <c r="BF260" s="76" t="b">
        <v>0</v>
      </c>
      <c r="BG260" s="76" t="b">
        <v>0</v>
      </c>
      <c r="BH260" s="83" t="str">
        <f>HYPERLINK("https://pbs.twimg.com/profile_banners/718235590752399360/1589801245")</f>
        <v>https://pbs.twimg.com/profile_banners/718235590752399360/1589801245</v>
      </c>
      <c r="BI260" s="76"/>
      <c r="BJ260" s="76" t="s">
        <v>18704</v>
      </c>
      <c r="BK260" s="76" t="b">
        <v>0</v>
      </c>
      <c r="BL260" s="76"/>
      <c r="BM260" s="76" t="s">
        <v>66</v>
      </c>
      <c r="BN260" s="76" t="s">
        <v>18706</v>
      </c>
      <c r="BO260" s="83" t="str">
        <f>HYPERLINK("https://twitter.com/diariodia_es")</f>
        <v>https://twitter.com/diariodia_es</v>
      </c>
      <c r="BP260" s="2"/>
    </row>
    <row r="261" spans="1:68" x14ac:dyDescent="0.25">
      <c r="A261" s="62" t="s">
        <v>427</v>
      </c>
      <c r="B261" s="63"/>
      <c r="C261" s="63"/>
      <c r="D261" s="64"/>
      <c r="E261" s="66"/>
      <c r="F261" s="102" t="str">
        <f>HYPERLINK("https://pbs.twimg.com/profile_images/1682018590713851906/yH_kvRW9_normal.jpg")</f>
        <v>https://pbs.twimg.com/profile_images/1682018590713851906/yH_kvRW9_normal.jpg</v>
      </c>
      <c r="G261" s="63"/>
      <c r="H261" s="67"/>
      <c r="I261" s="68"/>
      <c r="J261" s="68"/>
      <c r="K261" s="67" t="s">
        <v>18964</v>
      </c>
      <c r="L261" s="71"/>
      <c r="M261" s="72"/>
      <c r="N261" s="72"/>
      <c r="O261" s="73"/>
      <c r="P261" s="74"/>
      <c r="Q261" s="74"/>
      <c r="R261" s="86"/>
      <c r="S261" s="86"/>
      <c r="T261" s="86"/>
      <c r="U261" s="86"/>
      <c r="V261" s="48"/>
      <c r="W261" s="48"/>
      <c r="X261" s="48"/>
      <c r="Y261" s="48"/>
      <c r="Z261" s="47"/>
      <c r="AA261" s="69">
        <v>261</v>
      </c>
      <c r="AB261" s="69"/>
      <c r="AC261" s="70"/>
      <c r="AD261" s="76" t="s">
        <v>16690</v>
      </c>
      <c r="AE261" s="81" t="s">
        <v>15936</v>
      </c>
      <c r="AF261" s="76">
        <v>28</v>
      </c>
      <c r="AG261" s="76">
        <v>30</v>
      </c>
      <c r="AH261" s="76">
        <v>311</v>
      </c>
      <c r="AI261" s="76">
        <v>3</v>
      </c>
      <c r="AJ261" s="76">
        <v>9</v>
      </c>
      <c r="AK261" s="76">
        <v>30</v>
      </c>
      <c r="AL261" s="76" t="b">
        <v>0</v>
      </c>
      <c r="AM261" s="78">
        <v>44509.601898148147</v>
      </c>
      <c r="AN261" s="76" t="s">
        <v>10607</v>
      </c>
      <c r="AO261" s="76" t="s">
        <v>17875</v>
      </c>
      <c r="AP261" s="83" t="str">
        <f>HYPERLINK("https://t.co/gVi4JHBA8B")</f>
        <v>https://t.co/gVi4JHBA8B</v>
      </c>
      <c r="AQ261" s="83" t="str">
        <f>HYPERLINK("https://linktr.ee/blockbr")</f>
        <v>https://linktr.ee/blockbr</v>
      </c>
      <c r="AR261" s="76" t="s">
        <v>18390</v>
      </c>
      <c r="AS261" s="76"/>
      <c r="AT261" s="76"/>
      <c r="AU261" s="76"/>
      <c r="AV261" s="76"/>
      <c r="AW261" s="83" t="str">
        <f>HYPERLINK("https://t.co/gVi4JHBA8B")</f>
        <v>https://t.co/gVi4JHBA8B</v>
      </c>
      <c r="AX261" s="76" t="b">
        <v>0</v>
      </c>
      <c r="AY261" s="76"/>
      <c r="AZ261" s="76"/>
      <c r="BA261" s="76" t="b">
        <v>0</v>
      </c>
      <c r="BB261" s="76" t="b">
        <v>1</v>
      </c>
      <c r="BC261" s="76" t="b">
        <v>1</v>
      </c>
      <c r="BD261" s="76" t="b">
        <v>0</v>
      </c>
      <c r="BE261" s="76" t="b">
        <v>0</v>
      </c>
      <c r="BF261" s="76" t="b">
        <v>0</v>
      </c>
      <c r="BG261" s="76" t="b">
        <v>0</v>
      </c>
      <c r="BH261" s="83" t="str">
        <f>HYPERLINK("https://pbs.twimg.com/profile_banners/1458078346730954754/1664369605")</f>
        <v>https://pbs.twimg.com/profile_banners/1458078346730954754/1664369605</v>
      </c>
      <c r="BI261" s="76"/>
      <c r="BJ261" s="76" t="s">
        <v>18704</v>
      </c>
      <c r="BK261" s="76" t="b">
        <v>0</v>
      </c>
      <c r="BL261" s="76"/>
      <c r="BM261" s="76" t="s">
        <v>66</v>
      </c>
      <c r="BN261" s="76" t="s">
        <v>18706</v>
      </c>
      <c r="BO261" s="83" t="str">
        <f>HYPERLINK("https://twitter.com/blockbr_")</f>
        <v>https://twitter.com/blockbr_</v>
      </c>
      <c r="BP261" s="2"/>
    </row>
    <row r="262" spans="1:68" x14ac:dyDescent="0.25">
      <c r="A262" s="62" t="s">
        <v>428</v>
      </c>
      <c r="B262" s="63"/>
      <c r="C262" s="63"/>
      <c r="D262" s="64"/>
      <c r="E262" s="66"/>
      <c r="F262" s="102" t="str">
        <f>HYPERLINK("https://pbs.twimg.com/profile_images/1574801549204901890/QI-JjbSO_normal.jpg")</f>
        <v>https://pbs.twimg.com/profile_images/1574801549204901890/QI-JjbSO_normal.jpg</v>
      </c>
      <c r="G262" s="63"/>
      <c r="H262" s="67"/>
      <c r="I262" s="68"/>
      <c r="J262" s="68"/>
      <c r="K262" s="67" t="s">
        <v>18965</v>
      </c>
      <c r="L262" s="71"/>
      <c r="M262" s="72"/>
      <c r="N262" s="72"/>
      <c r="O262" s="73"/>
      <c r="P262" s="74"/>
      <c r="Q262" s="74"/>
      <c r="R262" s="86"/>
      <c r="S262" s="86"/>
      <c r="T262" s="86"/>
      <c r="U262" s="86"/>
      <c r="V262" s="48"/>
      <c r="W262" s="48"/>
      <c r="X262" s="48"/>
      <c r="Y262" s="48"/>
      <c r="Z262" s="47"/>
      <c r="AA262" s="69">
        <v>262</v>
      </c>
      <c r="AB262" s="69"/>
      <c r="AC262" s="70"/>
      <c r="AD262" s="76" t="s">
        <v>16691</v>
      </c>
      <c r="AE262" s="81" t="s">
        <v>16224</v>
      </c>
      <c r="AF262" s="76">
        <v>1013</v>
      </c>
      <c r="AG262" s="76">
        <v>58</v>
      </c>
      <c r="AH262" s="76">
        <v>1109</v>
      </c>
      <c r="AI262" s="76">
        <v>13</v>
      </c>
      <c r="AJ262" s="76">
        <v>479</v>
      </c>
      <c r="AK262" s="76">
        <v>184</v>
      </c>
      <c r="AL262" s="76" t="b">
        <v>0</v>
      </c>
      <c r="AM262" s="78">
        <v>43113.030312499999</v>
      </c>
      <c r="AN262" s="76" t="s">
        <v>17499</v>
      </c>
      <c r="AO262" s="76" t="s">
        <v>17876</v>
      </c>
      <c r="AP262" s="83" t="str">
        <f>HYPERLINK("https://t.co/x6LfPk7YeL")</f>
        <v>https://t.co/x6LfPk7YeL</v>
      </c>
      <c r="AQ262" s="83" t="str">
        <f>HYPERLINK("https://python.ec")</f>
        <v>https://python.ec</v>
      </c>
      <c r="AR262" s="76" t="s">
        <v>18391</v>
      </c>
      <c r="AS262" s="76"/>
      <c r="AT262" s="76"/>
      <c r="AU262" s="76"/>
      <c r="AV262" s="76"/>
      <c r="AW262" s="83" t="str">
        <f>HYPERLINK("https://t.co/x6LfPk7YeL")</f>
        <v>https://t.co/x6LfPk7YeL</v>
      </c>
      <c r="AX262" s="76" t="b">
        <v>0</v>
      </c>
      <c r="AY262" s="76"/>
      <c r="AZ262" s="76"/>
      <c r="BA262" s="76" t="b">
        <v>0</v>
      </c>
      <c r="BB262" s="76" t="b">
        <v>1</v>
      </c>
      <c r="BC262" s="76" t="b">
        <v>1</v>
      </c>
      <c r="BD262" s="76" t="b">
        <v>0</v>
      </c>
      <c r="BE262" s="76" t="b">
        <v>0</v>
      </c>
      <c r="BF262" s="76" t="b">
        <v>0</v>
      </c>
      <c r="BG262" s="76" t="b">
        <v>0</v>
      </c>
      <c r="BH262" s="83" t="str">
        <f>HYPERLINK("https://pbs.twimg.com/profile_banners/951978011955482624/1515808172")</f>
        <v>https://pbs.twimg.com/profile_banners/951978011955482624/1515808172</v>
      </c>
      <c r="BI262" s="76"/>
      <c r="BJ262" s="76" t="s">
        <v>18704</v>
      </c>
      <c r="BK262" s="76" t="b">
        <v>0</v>
      </c>
      <c r="BL262" s="76"/>
      <c r="BM262" s="76" t="s">
        <v>66</v>
      </c>
      <c r="BN262" s="76" t="s">
        <v>18706</v>
      </c>
      <c r="BO262" s="83" t="str">
        <f>HYPERLINK("https://twitter.com/pyecuador")</f>
        <v>https://twitter.com/pyecuador</v>
      </c>
      <c r="BP262" s="2"/>
    </row>
    <row r="263" spans="1:68" x14ac:dyDescent="0.25">
      <c r="A263" s="62" t="s">
        <v>429</v>
      </c>
      <c r="B263" s="63"/>
      <c r="C263" s="63"/>
      <c r="D263" s="64"/>
      <c r="E263" s="66"/>
      <c r="F263" s="102" t="str">
        <f>HYPERLINK("https://pbs.twimg.com/profile_images/1699367766006857728/fH-1gLVS_normal.jpg")</f>
        <v>https://pbs.twimg.com/profile_images/1699367766006857728/fH-1gLVS_normal.jpg</v>
      </c>
      <c r="G263" s="63"/>
      <c r="H263" s="67"/>
      <c r="I263" s="68"/>
      <c r="J263" s="68"/>
      <c r="K263" s="67" t="s">
        <v>18966</v>
      </c>
      <c r="L263" s="71"/>
      <c r="M263" s="72"/>
      <c r="N263" s="72"/>
      <c r="O263" s="73"/>
      <c r="P263" s="74"/>
      <c r="Q263" s="74"/>
      <c r="R263" s="86"/>
      <c r="S263" s="86"/>
      <c r="T263" s="86"/>
      <c r="U263" s="86"/>
      <c r="V263" s="48"/>
      <c r="W263" s="48"/>
      <c r="X263" s="48"/>
      <c r="Y263" s="48"/>
      <c r="Z263" s="47"/>
      <c r="AA263" s="69">
        <v>263</v>
      </c>
      <c r="AB263" s="69"/>
      <c r="AC263" s="70"/>
      <c r="AD263" s="76" t="s">
        <v>16692</v>
      </c>
      <c r="AE263" s="81" t="s">
        <v>16225</v>
      </c>
      <c r="AF263" s="76">
        <v>236</v>
      </c>
      <c r="AG263" s="76">
        <v>314</v>
      </c>
      <c r="AH263" s="76">
        <v>21</v>
      </c>
      <c r="AI263" s="76">
        <v>3</v>
      </c>
      <c r="AJ263" s="76">
        <v>4594</v>
      </c>
      <c r="AK263" s="76">
        <v>0</v>
      </c>
      <c r="AL263" s="76" t="b">
        <v>0</v>
      </c>
      <c r="AM263" s="78">
        <v>44989.896886574075</v>
      </c>
      <c r="AN263" s="76"/>
      <c r="AO263" s="76" t="s">
        <v>17877</v>
      </c>
      <c r="AP263" s="76"/>
      <c r="AQ263" s="76"/>
      <c r="AR263" s="76"/>
      <c r="AS263" s="76"/>
      <c r="AT263" s="76"/>
      <c r="AU263" s="76"/>
      <c r="AV263" s="76"/>
      <c r="AW263" s="76"/>
      <c r="AX263" s="76" t="b">
        <v>0</v>
      </c>
      <c r="AY263" s="76"/>
      <c r="AZ263" s="76"/>
      <c r="BA263" s="76" t="b">
        <v>1</v>
      </c>
      <c r="BB263" s="76" t="b">
        <v>1</v>
      </c>
      <c r="BC263" s="76" t="b">
        <v>1</v>
      </c>
      <c r="BD263" s="76" t="b">
        <v>0</v>
      </c>
      <c r="BE263" s="76" t="b">
        <v>0</v>
      </c>
      <c r="BF263" s="76" t="b">
        <v>0</v>
      </c>
      <c r="BG263" s="76" t="b">
        <v>1</v>
      </c>
      <c r="BH263" s="83" t="str">
        <f>HYPERLINK("https://pbs.twimg.com/profile_banners/1632131581862346753/1694106130")</f>
        <v>https://pbs.twimg.com/profile_banners/1632131581862346753/1694106130</v>
      </c>
      <c r="BI263" s="76"/>
      <c r="BJ263" s="76" t="s">
        <v>18704</v>
      </c>
      <c r="BK263" s="76" t="b">
        <v>0</v>
      </c>
      <c r="BL263" s="76"/>
      <c r="BM263" s="76" t="s">
        <v>66</v>
      </c>
      <c r="BN263" s="76" t="s">
        <v>18706</v>
      </c>
      <c r="BO263" s="83" t="str">
        <f>HYPERLINK("https://twitter.com/zentraderjourn1")</f>
        <v>https://twitter.com/zentraderjourn1</v>
      </c>
      <c r="BP263" s="2"/>
    </row>
    <row r="264" spans="1:68" x14ac:dyDescent="0.25">
      <c r="A264" s="62" t="s">
        <v>430</v>
      </c>
      <c r="B264" s="63"/>
      <c r="C264" s="63"/>
      <c r="D264" s="64"/>
      <c r="E264" s="66"/>
      <c r="F264" s="102" t="str">
        <f>HYPERLINK("https://pbs.twimg.com/profile_images/1609051830243188738/59dWRXFi_normal.jpg")</f>
        <v>https://pbs.twimg.com/profile_images/1609051830243188738/59dWRXFi_normal.jpg</v>
      </c>
      <c r="G264" s="63"/>
      <c r="H264" s="67"/>
      <c r="I264" s="68"/>
      <c r="J264" s="68"/>
      <c r="K264" s="67" t="s">
        <v>18967</v>
      </c>
      <c r="L264" s="71"/>
      <c r="M264" s="72"/>
      <c r="N264" s="72"/>
      <c r="O264" s="73"/>
      <c r="P264" s="74"/>
      <c r="Q264" s="74"/>
      <c r="R264" s="86"/>
      <c r="S264" s="86"/>
      <c r="T264" s="86"/>
      <c r="U264" s="86"/>
      <c r="V264" s="48"/>
      <c r="W264" s="48"/>
      <c r="X264" s="48"/>
      <c r="Y264" s="48"/>
      <c r="Z264" s="47"/>
      <c r="AA264" s="69">
        <v>264</v>
      </c>
      <c r="AB264" s="69"/>
      <c r="AC264" s="70"/>
      <c r="AD264" s="76" t="s">
        <v>16693</v>
      </c>
      <c r="AE264" s="81" t="s">
        <v>16226</v>
      </c>
      <c r="AF264" s="76">
        <v>71</v>
      </c>
      <c r="AG264" s="76">
        <v>400</v>
      </c>
      <c r="AH264" s="76">
        <v>2054</v>
      </c>
      <c r="AI264" s="76">
        <v>1</v>
      </c>
      <c r="AJ264" s="76">
        <v>345</v>
      </c>
      <c r="AK264" s="76">
        <v>876</v>
      </c>
      <c r="AL264" s="76" t="b">
        <v>0</v>
      </c>
      <c r="AM264" s="78">
        <v>43976.144143518519</v>
      </c>
      <c r="AN264" s="76"/>
      <c r="AO264" s="76" t="s">
        <v>17878</v>
      </c>
      <c r="AP264" s="83" t="str">
        <f>HYPERLINK("https://t.co/KYDCECKn9t")</f>
        <v>https://t.co/KYDCECKn9t</v>
      </c>
      <c r="AQ264" s="83" t="str">
        <f>HYPERLINK("https://filipebarros.substack.com/?r=1m3qda&amp;utm_campaign=pub-share-checklist")</f>
        <v>https://filipebarros.substack.com/?r=1m3qda&amp;utm_campaign=pub-share-checklist</v>
      </c>
      <c r="AR264" s="76" t="s">
        <v>18392</v>
      </c>
      <c r="AS264" s="76"/>
      <c r="AT264" s="76"/>
      <c r="AU264" s="76"/>
      <c r="AV264" s="76">
        <v>1.5631438228799201E+18</v>
      </c>
      <c r="AW264" s="83" t="str">
        <f>HYPERLINK("https://t.co/KYDCECKn9t")</f>
        <v>https://t.co/KYDCECKn9t</v>
      </c>
      <c r="AX264" s="76" t="b">
        <v>1</v>
      </c>
      <c r="AY264" s="76"/>
      <c r="AZ264" s="76"/>
      <c r="BA264" s="76" t="b">
        <v>1</v>
      </c>
      <c r="BB264" s="76" t="b">
        <v>0</v>
      </c>
      <c r="BC264" s="76" t="b">
        <v>1</v>
      </c>
      <c r="BD264" s="76" t="b">
        <v>0</v>
      </c>
      <c r="BE264" s="76" t="b">
        <v>1</v>
      </c>
      <c r="BF264" s="76" t="b">
        <v>0</v>
      </c>
      <c r="BG264" s="76" t="b">
        <v>0</v>
      </c>
      <c r="BH264" s="83" t="str">
        <f>HYPERLINK("https://pbs.twimg.com/profile_banners/1264759953174167553/1673195034")</f>
        <v>https://pbs.twimg.com/profile_banners/1264759953174167553/1673195034</v>
      </c>
      <c r="BI264" s="76"/>
      <c r="BJ264" s="76" t="s">
        <v>18704</v>
      </c>
      <c r="BK264" s="76" t="b">
        <v>0</v>
      </c>
      <c r="BL264" s="76"/>
      <c r="BM264" s="76" t="s">
        <v>66</v>
      </c>
      <c r="BN264" s="76" t="s">
        <v>18706</v>
      </c>
      <c r="BO264" s="83" t="str">
        <f>HYPERLINK("https://twitter.com/filipebarrosoo")</f>
        <v>https://twitter.com/filipebarrosoo</v>
      </c>
      <c r="BP264" s="2"/>
    </row>
    <row r="265" spans="1:68" x14ac:dyDescent="0.25">
      <c r="A265" s="62" t="s">
        <v>431</v>
      </c>
      <c r="B265" s="63"/>
      <c r="C265" s="63"/>
      <c r="D265" s="64"/>
      <c r="E265" s="66"/>
      <c r="F265" s="102" t="str">
        <f>HYPERLINK("https://pbs.twimg.com/profile_images/1087543830784688133/RFonejwn_normal.jpg")</f>
        <v>https://pbs.twimg.com/profile_images/1087543830784688133/RFonejwn_normal.jpg</v>
      </c>
      <c r="G265" s="63"/>
      <c r="H265" s="67"/>
      <c r="I265" s="68"/>
      <c r="J265" s="68"/>
      <c r="K265" s="67" t="s">
        <v>18968</v>
      </c>
      <c r="L265" s="71"/>
      <c r="M265" s="72"/>
      <c r="N265" s="72"/>
      <c r="O265" s="73"/>
      <c r="P265" s="74"/>
      <c r="Q265" s="74"/>
      <c r="R265" s="86"/>
      <c r="S265" s="86"/>
      <c r="T265" s="86"/>
      <c r="U265" s="86"/>
      <c r="V265" s="48"/>
      <c r="W265" s="48"/>
      <c r="X265" s="48"/>
      <c r="Y265" s="48"/>
      <c r="Z265" s="47"/>
      <c r="AA265" s="69">
        <v>265</v>
      </c>
      <c r="AB265" s="69"/>
      <c r="AC265" s="70"/>
      <c r="AD265" s="76" t="s">
        <v>16694</v>
      </c>
      <c r="AE265" s="81" t="s">
        <v>17204</v>
      </c>
      <c r="AF265" s="76">
        <v>264</v>
      </c>
      <c r="AG265" s="76">
        <v>46</v>
      </c>
      <c r="AH265" s="76">
        <v>1659</v>
      </c>
      <c r="AI265" s="76">
        <v>6</v>
      </c>
      <c r="AJ265" s="76">
        <v>215204</v>
      </c>
      <c r="AK265" s="76">
        <v>12</v>
      </c>
      <c r="AL265" s="76" t="b">
        <v>0</v>
      </c>
      <c r="AM265" s="78">
        <v>42237.882453703707</v>
      </c>
      <c r="AN265" s="76"/>
      <c r="AO265" s="76" t="s">
        <v>17879</v>
      </c>
      <c r="AP265" s="76"/>
      <c r="AQ265" s="76"/>
      <c r="AR265" s="76"/>
      <c r="AS265" s="76"/>
      <c r="AT265" s="76"/>
      <c r="AU265" s="76"/>
      <c r="AV265" s="76"/>
      <c r="AW265" s="76"/>
      <c r="AX265" s="76" t="b">
        <v>0</v>
      </c>
      <c r="AY265" s="76"/>
      <c r="AZ265" s="76"/>
      <c r="BA265" s="76" t="b">
        <v>0</v>
      </c>
      <c r="BB265" s="76" t="b">
        <v>1</v>
      </c>
      <c r="BC265" s="76" t="b">
        <v>0</v>
      </c>
      <c r="BD265" s="76" t="b">
        <v>0</v>
      </c>
      <c r="BE265" s="76" t="b">
        <v>1</v>
      </c>
      <c r="BF265" s="76" t="b">
        <v>0</v>
      </c>
      <c r="BG265" s="76" t="b">
        <v>0</v>
      </c>
      <c r="BH265" s="76"/>
      <c r="BI265" s="76"/>
      <c r="BJ265" s="76" t="s">
        <v>18704</v>
      </c>
      <c r="BK265" s="76" t="b">
        <v>0</v>
      </c>
      <c r="BL265" s="76"/>
      <c r="BM265" s="76" t="s">
        <v>66</v>
      </c>
      <c r="BN265" s="76" t="s">
        <v>18706</v>
      </c>
      <c r="BO265" s="83" t="str">
        <f>HYPERLINK("https://twitter.com/terraecolombia")</f>
        <v>https://twitter.com/terraecolombia</v>
      </c>
      <c r="BP265" s="2"/>
    </row>
    <row r="266" spans="1:68" x14ac:dyDescent="0.25">
      <c r="A266" s="62" t="s">
        <v>432</v>
      </c>
      <c r="B266" s="63"/>
      <c r="C266" s="63"/>
      <c r="D266" s="64"/>
      <c r="E266" s="66"/>
      <c r="F266" s="102" t="str">
        <f>HYPERLINK("https://pbs.twimg.com/profile_images/1484559776780587016/UBF0lFg4_normal.jpg")</f>
        <v>https://pbs.twimg.com/profile_images/1484559776780587016/UBF0lFg4_normal.jpg</v>
      </c>
      <c r="G266" s="63"/>
      <c r="H266" s="67"/>
      <c r="I266" s="68"/>
      <c r="J266" s="68"/>
      <c r="K266" s="67" t="s">
        <v>18969</v>
      </c>
      <c r="L266" s="71"/>
      <c r="M266" s="72"/>
      <c r="N266" s="72"/>
      <c r="O266" s="73"/>
      <c r="P266" s="74"/>
      <c r="Q266" s="74"/>
      <c r="R266" s="86"/>
      <c r="S266" s="86"/>
      <c r="T266" s="86"/>
      <c r="U266" s="86"/>
      <c r="V266" s="48"/>
      <c r="W266" s="48"/>
      <c r="X266" s="48"/>
      <c r="Y266" s="48"/>
      <c r="Z266" s="47"/>
      <c r="AA266" s="69">
        <v>266</v>
      </c>
      <c r="AB266" s="69"/>
      <c r="AC266" s="70"/>
      <c r="AD266" s="76" t="s">
        <v>16695</v>
      </c>
      <c r="AE266" s="81" t="s">
        <v>16227</v>
      </c>
      <c r="AF266" s="76">
        <v>1916</v>
      </c>
      <c r="AG266" s="76">
        <v>66</v>
      </c>
      <c r="AH266" s="76">
        <v>1373</v>
      </c>
      <c r="AI266" s="76">
        <v>8</v>
      </c>
      <c r="AJ266" s="76">
        <v>265</v>
      </c>
      <c r="AK266" s="76">
        <v>125</v>
      </c>
      <c r="AL266" s="76" t="b">
        <v>0</v>
      </c>
      <c r="AM266" s="78">
        <v>44126.827939814815</v>
      </c>
      <c r="AN266" s="76"/>
      <c r="AO266" s="76" t="s">
        <v>17880</v>
      </c>
      <c r="AP266" s="83" t="str">
        <f>HYPERLINK("https://t.co/JgscV7NymC")</f>
        <v>https://t.co/JgscV7NymC</v>
      </c>
      <c r="AQ266" s="83" t="str">
        <f>HYPERLINK("https://somas.io/")</f>
        <v>https://somas.io/</v>
      </c>
      <c r="AR266" s="76" t="s">
        <v>18393</v>
      </c>
      <c r="AS266" s="76"/>
      <c r="AT266" s="76"/>
      <c r="AU266" s="76"/>
      <c r="AV266" s="76">
        <v>1.5247175520852101E+18</v>
      </c>
      <c r="AW266" s="83" t="str">
        <f>HYPERLINK("https://t.co/JgscV7NymC")</f>
        <v>https://t.co/JgscV7NymC</v>
      </c>
      <c r="AX266" s="76" t="b">
        <v>1</v>
      </c>
      <c r="AY266" s="76"/>
      <c r="AZ266" s="76"/>
      <c r="BA266" s="76" t="b">
        <v>0</v>
      </c>
      <c r="BB266" s="76" t="b">
        <v>1</v>
      </c>
      <c r="BC266" s="76" t="b">
        <v>1</v>
      </c>
      <c r="BD266" s="76" t="b">
        <v>0</v>
      </c>
      <c r="BE266" s="76" t="b">
        <v>0</v>
      </c>
      <c r="BF266" s="76" t="b">
        <v>0</v>
      </c>
      <c r="BG266" s="76" t="b">
        <v>0</v>
      </c>
      <c r="BH266" s="83" t="str">
        <f>HYPERLINK("https://pbs.twimg.com/profile_banners/1319365933727682561/1643739986")</f>
        <v>https://pbs.twimg.com/profile_banners/1319365933727682561/1643739986</v>
      </c>
      <c r="BI266" s="76"/>
      <c r="BJ266" s="76" t="s">
        <v>18704</v>
      </c>
      <c r="BK266" s="76" t="b">
        <v>0</v>
      </c>
      <c r="BL266" s="76"/>
      <c r="BM266" s="76" t="s">
        <v>66</v>
      </c>
      <c r="BN266" s="76" t="s">
        <v>18706</v>
      </c>
      <c r="BO266" s="83" t="str">
        <f>HYPERLINK("https://twitter.com/somasinvest")</f>
        <v>https://twitter.com/somasinvest</v>
      </c>
      <c r="BP266" s="2"/>
    </row>
    <row r="267" spans="1:68" x14ac:dyDescent="0.25">
      <c r="A267" s="62" t="s">
        <v>433</v>
      </c>
      <c r="B267" s="63"/>
      <c r="C267" s="63"/>
      <c r="D267" s="64"/>
      <c r="E267" s="66"/>
      <c r="F267" s="102" t="str">
        <f>HYPERLINK("https://pbs.twimg.com/profile_images/1521650115001602048/jyvaSFfT_normal.jpg")</f>
        <v>https://pbs.twimg.com/profile_images/1521650115001602048/jyvaSFfT_normal.jpg</v>
      </c>
      <c r="G267" s="63"/>
      <c r="H267" s="67"/>
      <c r="I267" s="68"/>
      <c r="J267" s="68"/>
      <c r="K267" s="67" t="s">
        <v>18970</v>
      </c>
      <c r="L267" s="71"/>
      <c r="M267" s="72"/>
      <c r="N267" s="72"/>
      <c r="O267" s="73"/>
      <c r="P267" s="74"/>
      <c r="Q267" s="74"/>
      <c r="R267" s="86"/>
      <c r="S267" s="86"/>
      <c r="T267" s="86"/>
      <c r="U267" s="86"/>
      <c r="V267" s="48"/>
      <c r="W267" s="48"/>
      <c r="X267" s="48"/>
      <c r="Y267" s="48"/>
      <c r="Z267" s="47"/>
      <c r="AA267" s="69">
        <v>267</v>
      </c>
      <c r="AB267" s="69"/>
      <c r="AC267" s="70"/>
      <c r="AD267" s="76" t="s">
        <v>16696</v>
      </c>
      <c r="AE267" s="81" t="s">
        <v>16228</v>
      </c>
      <c r="AF267" s="76">
        <v>391</v>
      </c>
      <c r="AG267" s="76">
        <v>1044</v>
      </c>
      <c r="AH267" s="76">
        <v>1206</v>
      </c>
      <c r="AI267" s="76">
        <v>3</v>
      </c>
      <c r="AJ267" s="76">
        <v>1958</v>
      </c>
      <c r="AK267" s="76">
        <v>161</v>
      </c>
      <c r="AL267" s="76" t="b">
        <v>0</v>
      </c>
      <c r="AM267" s="78">
        <v>44348.159305555557</v>
      </c>
      <c r="AN267" s="76" t="s">
        <v>17500</v>
      </c>
      <c r="AO267" s="76" t="s">
        <v>17881</v>
      </c>
      <c r="AP267" s="83" t="str">
        <f>HYPERLINK("https://t.co/XnKEdQiJW9")</f>
        <v>https://t.co/XnKEdQiJW9</v>
      </c>
      <c r="AQ267" s="83" t="str">
        <f>HYPERLINK("https://www.youtube.com/channel/UCqliJEiBb3KvHqd7pM0nR-w")</f>
        <v>https://www.youtube.com/channel/UCqliJEiBb3KvHqd7pM0nR-w</v>
      </c>
      <c r="AR267" s="76" t="s">
        <v>18394</v>
      </c>
      <c r="AS267" s="76"/>
      <c r="AT267" s="76"/>
      <c r="AU267" s="76"/>
      <c r="AV267" s="76">
        <v>1.50550276461679E+18</v>
      </c>
      <c r="AW267" s="83" t="str">
        <f>HYPERLINK("https://t.co/XnKEdQiJW9")</f>
        <v>https://t.co/XnKEdQiJW9</v>
      </c>
      <c r="AX267" s="76" t="b">
        <v>1</v>
      </c>
      <c r="AY267" s="76"/>
      <c r="AZ267" s="76"/>
      <c r="BA267" s="76" t="b">
        <v>1</v>
      </c>
      <c r="BB267" s="76" t="b">
        <v>1</v>
      </c>
      <c r="BC267" s="76" t="b">
        <v>1</v>
      </c>
      <c r="BD267" s="76" t="b">
        <v>0</v>
      </c>
      <c r="BE267" s="76" t="b">
        <v>1</v>
      </c>
      <c r="BF267" s="76" t="b">
        <v>0</v>
      </c>
      <c r="BG267" s="76" t="b">
        <v>0</v>
      </c>
      <c r="BH267" s="83" t="str">
        <f>HYPERLINK("https://pbs.twimg.com/profile_banners/1399573314012549126/1629174602")</f>
        <v>https://pbs.twimg.com/profile_banners/1399573314012549126/1629174602</v>
      </c>
      <c r="BI267" s="76"/>
      <c r="BJ267" s="76" t="s">
        <v>18704</v>
      </c>
      <c r="BK267" s="76" t="b">
        <v>0</v>
      </c>
      <c r="BL267" s="76"/>
      <c r="BM267" s="76" t="s">
        <v>66</v>
      </c>
      <c r="BN267" s="76" t="s">
        <v>18706</v>
      </c>
      <c r="BO267" s="83" t="str">
        <f>HYPERLINK("https://twitter.com/cryptoclarity5")</f>
        <v>https://twitter.com/cryptoclarity5</v>
      </c>
      <c r="BP267" s="2"/>
    </row>
    <row r="268" spans="1:68" x14ac:dyDescent="0.25">
      <c r="A268" s="62" t="s">
        <v>434</v>
      </c>
      <c r="B268" s="63"/>
      <c r="C268" s="63"/>
      <c r="D268" s="64"/>
      <c r="E268" s="66"/>
      <c r="F268" s="102" t="str">
        <f>HYPERLINK("https://pbs.twimg.com/profile_images/1382696868996644878/h7LNaqoJ_normal.jpg")</f>
        <v>https://pbs.twimg.com/profile_images/1382696868996644878/h7LNaqoJ_normal.jpg</v>
      </c>
      <c r="G268" s="63"/>
      <c r="H268" s="67"/>
      <c r="I268" s="68"/>
      <c r="J268" s="68"/>
      <c r="K268" s="67" t="s">
        <v>18971</v>
      </c>
      <c r="L268" s="71"/>
      <c r="M268" s="72"/>
      <c r="N268" s="72"/>
      <c r="O268" s="73"/>
      <c r="P268" s="74"/>
      <c r="Q268" s="74"/>
      <c r="R268" s="86"/>
      <c r="S268" s="86"/>
      <c r="T268" s="86"/>
      <c r="U268" s="86"/>
      <c r="V268" s="48"/>
      <c r="W268" s="48"/>
      <c r="X268" s="48"/>
      <c r="Y268" s="48"/>
      <c r="Z268" s="47"/>
      <c r="AA268" s="69">
        <v>268</v>
      </c>
      <c r="AB268" s="69"/>
      <c r="AC268" s="70"/>
      <c r="AD268" s="76" t="s">
        <v>16697</v>
      </c>
      <c r="AE268" s="81" t="s">
        <v>16229</v>
      </c>
      <c r="AF268" s="76">
        <v>90</v>
      </c>
      <c r="AG268" s="76">
        <v>176</v>
      </c>
      <c r="AH268" s="76">
        <v>261</v>
      </c>
      <c r="AI268" s="76">
        <v>0</v>
      </c>
      <c r="AJ268" s="76">
        <v>6</v>
      </c>
      <c r="AK268" s="76">
        <v>164</v>
      </c>
      <c r="AL268" s="76" t="b">
        <v>0</v>
      </c>
      <c r="AM268" s="78">
        <v>43929.834074074075</v>
      </c>
      <c r="AN268" s="76" t="s">
        <v>10601</v>
      </c>
      <c r="AO268" s="76" t="s">
        <v>17882</v>
      </c>
      <c r="AP268" s="83" t="str">
        <f>HYPERLINK("https://t.co/sTSzJ3z84h")</f>
        <v>https://t.co/sTSzJ3z84h</v>
      </c>
      <c r="AQ268" s="83" t="str">
        <f>HYPERLINK("http://www.editorapublicar.com.br/")</f>
        <v>http://www.editorapublicar.com.br/</v>
      </c>
      <c r="AR268" s="76" t="s">
        <v>18395</v>
      </c>
      <c r="AS268" s="76"/>
      <c r="AT268" s="76"/>
      <c r="AU268" s="76"/>
      <c r="AV268" s="76">
        <v>1.5542314383038001E+18</v>
      </c>
      <c r="AW268" s="83" t="str">
        <f>HYPERLINK("https://t.co/sTSzJ3z84h")</f>
        <v>https://t.co/sTSzJ3z84h</v>
      </c>
      <c r="AX268" s="76" t="b">
        <v>0</v>
      </c>
      <c r="AY268" s="76"/>
      <c r="AZ268" s="76"/>
      <c r="BA268" s="76" t="b">
        <v>0</v>
      </c>
      <c r="BB268" s="76" t="b">
        <v>1</v>
      </c>
      <c r="BC268" s="76" t="b">
        <v>1</v>
      </c>
      <c r="BD268" s="76" t="b">
        <v>0</v>
      </c>
      <c r="BE268" s="76" t="b">
        <v>1</v>
      </c>
      <c r="BF268" s="76" t="b">
        <v>0</v>
      </c>
      <c r="BG268" s="76" t="b">
        <v>0</v>
      </c>
      <c r="BH268" s="83" t="str">
        <f>HYPERLINK("https://pbs.twimg.com/profile_banners/1247977522656133120/1618496589")</f>
        <v>https://pbs.twimg.com/profile_banners/1247977522656133120/1618496589</v>
      </c>
      <c r="BI268" s="76"/>
      <c r="BJ268" s="76" t="s">
        <v>18704</v>
      </c>
      <c r="BK268" s="76" t="b">
        <v>0</v>
      </c>
      <c r="BL268" s="76"/>
      <c r="BM268" s="76" t="s">
        <v>66</v>
      </c>
      <c r="BN268" s="76" t="s">
        <v>18706</v>
      </c>
      <c r="BO268" s="83" t="str">
        <f>HYPERLINK("https://twitter.com/e_publicar")</f>
        <v>https://twitter.com/e_publicar</v>
      </c>
      <c r="BP268" s="2"/>
    </row>
    <row r="269" spans="1:68" x14ac:dyDescent="0.25">
      <c r="A269" s="62" t="s">
        <v>435</v>
      </c>
      <c r="B269" s="63"/>
      <c r="C269" s="63"/>
      <c r="D269" s="64"/>
      <c r="E269" s="66"/>
      <c r="F269" s="102" t="str">
        <f>HYPERLINK("https://pbs.twimg.com/profile_images/1560090503491764227/y6Z4cSkY_normal.jpg")</f>
        <v>https://pbs.twimg.com/profile_images/1560090503491764227/y6Z4cSkY_normal.jpg</v>
      </c>
      <c r="G269" s="63"/>
      <c r="H269" s="67"/>
      <c r="I269" s="68"/>
      <c r="J269" s="68"/>
      <c r="K269" s="67" t="s">
        <v>18972</v>
      </c>
      <c r="L269" s="71"/>
      <c r="M269" s="72"/>
      <c r="N269" s="72"/>
      <c r="O269" s="73"/>
      <c r="P269" s="74"/>
      <c r="Q269" s="74"/>
      <c r="R269" s="86"/>
      <c r="S269" s="86"/>
      <c r="T269" s="86"/>
      <c r="U269" s="86"/>
      <c r="V269" s="48"/>
      <c r="W269" s="48"/>
      <c r="X269" s="48"/>
      <c r="Y269" s="48"/>
      <c r="Z269" s="47"/>
      <c r="AA269" s="69">
        <v>269</v>
      </c>
      <c r="AB269" s="69"/>
      <c r="AC269" s="70"/>
      <c r="AD269" s="76" t="s">
        <v>16698</v>
      </c>
      <c r="AE269" s="81" t="s">
        <v>16230</v>
      </c>
      <c r="AF269" s="76">
        <v>62</v>
      </c>
      <c r="AG269" s="76">
        <v>211</v>
      </c>
      <c r="AH269" s="76">
        <v>1173</v>
      </c>
      <c r="AI269" s="76">
        <v>0</v>
      </c>
      <c r="AJ269" s="76">
        <v>1832</v>
      </c>
      <c r="AK269" s="76">
        <v>137</v>
      </c>
      <c r="AL269" s="76" t="b">
        <v>0</v>
      </c>
      <c r="AM269" s="78">
        <v>44655.853356481479</v>
      </c>
      <c r="AN269" s="76" t="s">
        <v>10570</v>
      </c>
      <c r="AO269" s="76" t="s">
        <v>17883</v>
      </c>
      <c r="AP269" s="76"/>
      <c r="AQ269" s="76"/>
      <c r="AR269" s="76"/>
      <c r="AS269" s="76"/>
      <c r="AT269" s="76"/>
      <c r="AU269" s="76"/>
      <c r="AV269" s="76"/>
      <c r="AW269" s="76"/>
      <c r="AX269" s="76" t="b">
        <v>0</v>
      </c>
      <c r="AY269" s="76"/>
      <c r="AZ269" s="76"/>
      <c r="BA269" s="76" t="b">
        <v>0</v>
      </c>
      <c r="BB269" s="76" t="b">
        <v>0</v>
      </c>
      <c r="BC269" s="76" t="b">
        <v>1</v>
      </c>
      <c r="BD269" s="76" t="b">
        <v>0</v>
      </c>
      <c r="BE269" s="76" t="b">
        <v>0</v>
      </c>
      <c r="BF269" s="76" t="b">
        <v>0</v>
      </c>
      <c r="BG269" s="76" t="b">
        <v>1</v>
      </c>
      <c r="BH269" s="83" t="str">
        <f>HYPERLINK("https://pbs.twimg.com/profile_banners/1511078307353214976/1652833561")</f>
        <v>https://pbs.twimg.com/profile_banners/1511078307353214976/1652833561</v>
      </c>
      <c r="BI269" s="76"/>
      <c r="BJ269" s="76" t="s">
        <v>18704</v>
      </c>
      <c r="BK269" s="76" t="b">
        <v>0</v>
      </c>
      <c r="BL269" s="76"/>
      <c r="BM269" s="76" t="s">
        <v>66</v>
      </c>
      <c r="BN269" s="76" t="s">
        <v>18706</v>
      </c>
      <c r="BO269" s="83" t="str">
        <f>HYPERLINK("https://twitter.com/renandiel")</f>
        <v>https://twitter.com/renandiel</v>
      </c>
      <c r="BP269" s="2"/>
    </row>
    <row r="270" spans="1:68" x14ac:dyDescent="0.25">
      <c r="A270" s="62" t="s">
        <v>436</v>
      </c>
      <c r="B270" s="63"/>
      <c r="C270" s="63"/>
      <c r="D270" s="64"/>
      <c r="E270" s="66"/>
      <c r="F270" s="102" t="str">
        <f>HYPERLINK("https://pbs.twimg.com/profile_images/1675936323671060484/moUGenG2_normal.jpg")</f>
        <v>https://pbs.twimg.com/profile_images/1675936323671060484/moUGenG2_normal.jpg</v>
      </c>
      <c r="G270" s="63"/>
      <c r="H270" s="67"/>
      <c r="I270" s="68"/>
      <c r="J270" s="68"/>
      <c r="K270" s="67" t="s">
        <v>18973</v>
      </c>
      <c r="L270" s="71"/>
      <c r="M270" s="72"/>
      <c r="N270" s="72"/>
      <c r="O270" s="73"/>
      <c r="P270" s="74"/>
      <c r="Q270" s="74"/>
      <c r="R270" s="86"/>
      <c r="S270" s="86"/>
      <c r="T270" s="86"/>
      <c r="U270" s="86"/>
      <c r="V270" s="48"/>
      <c r="W270" s="48"/>
      <c r="X270" s="48"/>
      <c r="Y270" s="48"/>
      <c r="Z270" s="47"/>
      <c r="AA270" s="69">
        <v>270</v>
      </c>
      <c r="AB270" s="69"/>
      <c r="AC270" s="70"/>
      <c r="AD270" s="76" t="s">
        <v>16699</v>
      </c>
      <c r="AE270" s="81" t="s">
        <v>16231</v>
      </c>
      <c r="AF270" s="76">
        <v>54</v>
      </c>
      <c r="AG270" s="76">
        <v>31</v>
      </c>
      <c r="AH270" s="76">
        <v>416</v>
      </c>
      <c r="AI270" s="76">
        <v>11</v>
      </c>
      <c r="AJ270" s="76">
        <v>21</v>
      </c>
      <c r="AK270" s="76">
        <v>106</v>
      </c>
      <c r="AL270" s="76" t="b">
        <v>0</v>
      </c>
      <c r="AM270" s="78">
        <v>44363.784571759257</v>
      </c>
      <c r="AN270" s="76" t="s">
        <v>10607</v>
      </c>
      <c r="AO270" s="76" t="s">
        <v>17884</v>
      </c>
      <c r="AP270" s="83" t="str">
        <f>HYPERLINK("https://t.co/sgFTNZEspP")</f>
        <v>https://t.co/sgFTNZEspP</v>
      </c>
      <c r="AQ270" s="83" t="str">
        <f>HYPERLINK("http://titaniumasset.com.br")</f>
        <v>http://titaniumasset.com.br</v>
      </c>
      <c r="AR270" s="76" t="s">
        <v>18396</v>
      </c>
      <c r="AS270" s="76"/>
      <c r="AT270" s="76"/>
      <c r="AU270" s="76"/>
      <c r="AV270" s="76"/>
      <c r="AW270" s="83" t="str">
        <f>HYPERLINK("https://t.co/sgFTNZEspP")</f>
        <v>https://t.co/sgFTNZEspP</v>
      </c>
      <c r="AX270" s="76" t="b">
        <v>0</v>
      </c>
      <c r="AY270" s="76"/>
      <c r="AZ270" s="76"/>
      <c r="BA270" s="76" t="b">
        <v>0</v>
      </c>
      <c r="BB270" s="76" t="b">
        <v>1</v>
      </c>
      <c r="BC270" s="76" t="b">
        <v>1</v>
      </c>
      <c r="BD270" s="76" t="b">
        <v>0</v>
      </c>
      <c r="BE270" s="76" t="b">
        <v>1</v>
      </c>
      <c r="BF270" s="76" t="b">
        <v>0</v>
      </c>
      <c r="BG270" s="76" t="b">
        <v>0</v>
      </c>
      <c r="BH270" s="83" t="str">
        <f>HYPERLINK("https://pbs.twimg.com/profile_banners/1405235710907535369/1688409332")</f>
        <v>https://pbs.twimg.com/profile_banners/1405235710907535369/1688409332</v>
      </c>
      <c r="BI270" s="76"/>
      <c r="BJ270" s="76" t="s">
        <v>18704</v>
      </c>
      <c r="BK270" s="76" t="b">
        <v>0</v>
      </c>
      <c r="BL270" s="76"/>
      <c r="BM270" s="76" t="s">
        <v>66</v>
      </c>
      <c r="BN270" s="76" t="s">
        <v>18706</v>
      </c>
      <c r="BO270" s="83" t="str">
        <f>HYPERLINK("https://twitter.com/assettitanium")</f>
        <v>https://twitter.com/assettitanium</v>
      </c>
      <c r="BP270" s="2"/>
    </row>
    <row r="271" spans="1:68" x14ac:dyDescent="0.25">
      <c r="A271" s="62" t="s">
        <v>437</v>
      </c>
      <c r="B271" s="63"/>
      <c r="C271" s="63"/>
      <c r="D271" s="64"/>
      <c r="E271" s="66"/>
      <c r="F271" s="102" t="str">
        <f>HYPERLINK("https://pbs.twimg.com/profile_images/1539305443331301378/TOW32wK__normal.jpg")</f>
        <v>https://pbs.twimg.com/profile_images/1539305443331301378/TOW32wK__normal.jpg</v>
      </c>
      <c r="G271" s="63"/>
      <c r="H271" s="67"/>
      <c r="I271" s="68"/>
      <c r="J271" s="68"/>
      <c r="K271" s="67" t="s">
        <v>18974</v>
      </c>
      <c r="L271" s="71"/>
      <c r="M271" s="72"/>
      <c r="N271" s="72"/>
      <c r="O271" s="73"/>
      <c r="P271" s="74"/>
      <c r="Q271" s="74"/>
      <c r="R271" s="86"/>
      <c r="S271" s="86"/>
      <c r="T271" s="86"/>
      <c r="U271" s="86"/>
      <c r="V271" s="48"/>
      <c r="W271" s="48"/>
      <c r="X271" s="48"/>
      <c r="Y271" s="48"/>
      <c r="Z271" s="47"/>
      <c r="AA271" s="69">
        <v>271</v>
      </c>
      <c r="AB271" s="69"/>
      <c r="AC271" s="70"/>
      <c r="AD271" s="76" t="s">
        <v>16700</v>
      </c>
      <c r="AE271" s="81" t="s">
        <v>16232</v>
      </c>
      <c r="AF271" s="76">
        <v>7</v>
      </c>
      <c r="AG271" s="76">
        <v>5</v>
      </c>
      <c r="AH271" s="76">
        <v>63</v>
      </c>
      <c r="AI271" s="76">
        <v>0</v>
      </c>
      <c r="AJ271" s="76">
        <v>1</v>
      </c>
      <c r="AK271" s="76">
        <v>42</v>
      </c>
      <c r="AL271" s="76" t="b">
        <v>0</v>
      </c>
      <c r="AM271" s="78">
        <v>44733.734965277778</v>
      </c>
      <c r="AN271" s="76"/>
      <c r="AO271" s="76" t="s">
        <v>17885</v>
      </c>
      <c r="AP271" s="76"/>
      <c r="AQ271" s="76"/>
      <c r="AR271" s="76"/>
      <c r="AS271" s="76"/>
      <c r="AT271" s="76"/>
      <c r="AU271" s="76"/>
      <c r="AV271" s="76"/>
      <c r="AW271" s="76"/>
      <c r="AX271" s="76" t="b">
        <v>0</v>
      </c>
      <c r="AY271" s="76"/>
      <c r="AZ271" s="76"/>
      <c r="BA271" s="76" t="b">
        <v>0</v>
      </c>
      <c r="BB271" s="76" t="b">
        <v>1</v>
      </c>
      <c r="BC271" s="76" t="b">
        <v>1</v>
      </c>
      <c r="BD271" s="76" t="b">
        <v>0</v>
      </c>
      <c r="BE271" s="76" t="b">
        <v>0</v>
      </c>
      <c r="BF271" s="76" t="b">
        <v>0</v>
      </c>
      <c r="BG271" s="76" t="b">
        <v>0</v>
      </c>
      <c r="BH271" s="83" t="str">
        <f>HYPERLINK("https://pbs.twimg.com/profile_banners/1539301671116890114/1655834882")</f>
        <v>https://pbs.twimg.com/profile_banners/1539301671116890114/1655834882</v>
      </c>
      <c r="BI271" s="76"/>
      <c r="BJ271" s="76" t="s">
        <v>18704</v>
      </c>
      <c r="BK271" s="76" t="b">
        <v>0</v>
      </c>
      <c r="BL271" s="76"/>
      <c r="BM271" s="76" t="s">
        <v>66</v>
      </c>
      <c r="BN271" s="76" t="s">
        <v>18706</v>
      </c>
      <c r="BO271" s="83" t="str">
        <f>HYPERLINK("https://twitter.com/ras_brl")</f>
        <v>https://twitter.com/ras_brl</v>
      </c>
      <c r="BP271" s="2"/>
    </row>
    <row r="272" spans="1:68" x14ac:dyDescent="0.25">
      <c r="A272" s="62" t="s">
        <v>438</v>
      </c>
      <c r="B272" s="63"/>
      <c r="C272" s="63"/>
      <c r="D272" s="64"/>
      <c r="E272" s="66"/>
      <c r="F272" s="102" t="str">
        <f>HYPERLINK("https://pbs.twimg.com/profile_images/1674890323326128128/SJXVp4hL_normal.jpg")</f>
        <v>https://pbs.twimg.com/profile_images/1674890323326128128/SJXVp4hL_normal.jpg</v>
      </c>
      <c r="G272" s="63"/>
      <c r="H272" s="67"/>
      <c r="I272" s="68"/>
      <c r="J272" s="68"/>
      <c r="K272" s="67" t="s">
        <v>18975</v>
      </c>
      <c r="L272" s="71"/>
      <c r="M272" s="72"/>
      <c r="N272" s="72"/>
      <c r="O272" s="73"/>
      <c r="P272" s="74"/>
      <c r="Q272" s="74"/>
      <c r="R272" s="86"/>
      <c r="S272" s="86"/>
      <c r="T272" s="86"/>
      <c r="U272" s="86"/>
      <c r="V272" s="48"/>
      <c r="W272" s="48"/>
      <c r="X272" s="48"/>
      <c r="Y272" s="48"/>
      <c r="Z272" s="47"/>
      <c r="AA272" s="69">
        <v>272</v>
      </c>
      <c r="AB272" s="69"/>
      <c r="AC272" s="70"/>
      <c r="AD272" s="76" t="s">
        <v>16701</v>
      </c>
      <c r="AE272" s="81" t="s">
        <v>15937</v>
      </c>
      <c r="AF272" s="76">
        <v>3111</v>
      </c>
      <c r="AG272" s="76">
        <v>53</v>
      </c>
      <c r="AH272" s="76">
        <v>4694</v>
      </c>
      <c r="AI272" s="76">
        <v>42</v>
      </c>
      <c r="AJ272" s="76">
        <v>445</v>
      </c>
      <c r="AK272" s="76">
        <v>2150</v>
      </c>
      <c r="AL272" s="76" t="b">
        <v>0</v>
      </c>
      <c r="AM272" s="78">
        <v>42264.719884259262</v>
      </c>
      <c r="AN272" s="76" t="s">
        <v>10586</v>
      </c>
      <c r="AO272" s="76" t="s">
        <v>17886</v>
      </c>
      <c r="AP272" s="83" t="str">
        <f>HYPERLINK("https://t.co/N7sr51yefY")</f>
        <v>https://t.co/N7sr51yefY</v>
      </c>
      <c r="AQ272" s="83" t="str">
        <f>HYPERLINK("http://www.riobravo.com.br")</f>
        <v>http://www.riobravo.com.br</v>
      </c>
      <c r="AR272" s="76" t="s">
        <v>18397</v>
      </c>
      <c r="AS272" s="76"/>
      <c r="AT272" s="76"/>
      <c r="AU272" s="76"/>
      <c r="AV272" s="76"/>
      <c r="AW272" s="83" t="str">
        <f>HYPERLINK("https://t.co/N7sr51yefY")</f>
        <v>https://t.co/N7sr51yefY</v>
      </c>
      <c r="AX272" s="76" t="b">
        <v>0</v>
      </c>
      <c r="AY272" s="76"/>
      <c r="AZ272" s="76"/>
      <c r="BA272" s="76" t="b">
        <v>1</v>
      </c>
      <c r="BB272" s="76" t="b">
        <v>1</v>
      </c>
      <c r="BC272" s="76" t="b">
        <v>0</v>
      </c>
      <c r="BD272" s="76" t="b">
        <v>0</v>
      </c>
      <c r="BE272" s="76" t="b">
        <v>0</v>
      </c>
      <c r="BF272" s="76" t="b">
        <v>0</v>
      </c>
      <c r="BG272" s="76" t="b">
        <v>0</v>
      </c>
      <c r="BH272" s="83" t="str">
        <f>HYPERLINK("https://pbs.twimg.com/profile_banners/3687841756/1654030569")</f>
        <v>https://pbs.twimg.com/profile_banners/3687841756/1654030569</v>
      </c>
      <c r="BI272" s="76"/>
      <c r="BJ272" s="76" t="s">
        <v>18704</v>
      </c>
      <c r="BK272" s="76" t="b">
        <v>0</v>
      </c>
      <c r="BL272" s="76"/>
      <c r="BM272" s="76" t="s">
        <v>66</v>
      </c>
      <c r="BN272" s="76" t="s">
        <v>18706</v>
      </c>
      <c r="BO272" s="83" t="str">
        <f>HYPERLINK("https://twitter.com/rio_bravo")</f>
        <v>https://twitter.com/rio_bravo</v>
      </c>
      <c r="BP272" s="2"/>
    </row>
    <row r="273" spans="1:68" x14ac:dyDescent="0.25">
      <c r="A273" s="62" t="s">
        <v>439</v>
      </c>
      <c r="B273" s="63"/>
      <c r="C273" s="63"/>
      <c r="D273" s="64"/>
      <c r="E273" s="66"/>
      <c r="F273" s="102" t="str">
        <f>HYPERLINK("https://pbs.twimg.com/profile_images/1554605392138620928/dwApWXvH_normal.jpg")</f>
        <v>https://pbs.twimg.com/profile_images/1554605392138620928/dwApWXvH_normal.jpg</v>
      </c>
      <c r="G273" s="63"/>
      <c r="H273" s="67"/>
      <c r="I273" s="68"/>
      <c r="J273" s="68"/>
      <c r="K273" s="67" t="s">
        <v>18976</v>
      </c>
      <c r="L273" s="71"/>
      <c r="M273" s="72"/>
      <c r="N273" s="72"/>
      <c r="O273" s="73"/>
      <c r="P273" s="74"/>
      <c r="Q273" s="74"/>
      <c r="R273" s="86"/>
      <c r="S273" s="86"/>
      <c r="T273" s="86"/>
      <c r="U273" s="86"/>
      <c r="V273" s="48"/>
      <c r="W273" s="48"/>
      <c r="X273" s="48"/>
      <c r="Y273" s="48"/>
      <c r="Z273" s="47"/>
      <c r="AA273" s="69">
        <v>273</v>
      </c>
      <c r="AB273" s="69"/>
      <c r="AC273" s="70"/>
      <c r="AD273" s="76" t="s">
        <v>16702</v>
      </c>
      <c r="AE273" s="81" t="s">
        <v>16233</v>
      </c>
      <c r="AF273" s="76">
        <v>1157</v>
      </c>
      <c r="AG273" s="76">
        <v>1144</v>
      </c>
      <c r="AH273" s="76">
        <v>7248</v>
      </c>
      <c r="AI273" s="76">
        <v>0</v>
      </c>
      <c r="AJ273" s="76">
        <v>2404</v>
      </c>
      <c r="AK273" s="76">
        <v>593</v>
      </c>
      <c r="AL273" s="76" t="b">
        <v>0</v>
      </c>
      <c r="AM273" s="78">
        <v>44775.960069444445</v>
      </c>
      <c r="AN273" s="76"/>
      <c r="AO273" s="76"/>
      <c r="AP273" s="76"/>
      <c r="AQ273" s="76"/>
      <c r="AR273" s="76"/>
      <c r="AS273" s="76"/>
      <c r="AT273" s="76"/>
      <c r="AU273" s="76"/>
      <c r="AV273" s="76">
        <v>1.7046981264589199E+18</v>
      </c>
      <c r="AW273" s="76"/>
      <c r="AX273" s="76" t="b">
        <v>0</v>
      </c>
      <c r="AY273" s="76"/>
      <c r="AZ273" s="76"/>
      <c r="BA273" s="76" t="b">
        <v>0</v>
      </c>
      <c r="BB273" s="76" t="b">
        <v>1</v>
      </c>
      <c r="BC273" s="76" t="b">
        <v>1</v>
      </c>
      <c r="BD273" s="76" t="b">
        <v>0</v>
      </c>
      <c r="BE273" s="76" t="b">
        <v>1</v>
      </c>
      <c r="BF273" s="76" t="b">
        <v>0</v>
      </c>
      <c r="BG273" s="76" t="b">
        <v>0</v>
      </c>
      <c r="BH273" s="83" t="str">
        <f>HYPERLINK("https://pbs.twimg.com/profile_banners/1554603394782089216/1659481881")</f>
        <v>https://pbs.twimg.com/profile_banners/1554603394782089216/1659481881</v>
      </c>
      <c r="BI273" s="76"/>
      <c r="BJ273" s="76" t="s">
        <v>18704</v>
      </c>
      <c r="BK273" s="76" t="b">
        <v>0</v>
      </c>
      <c r="BL273" s="76"/>
      <c r="BM273" s="76" t="s">
        <v>66</v>
      </c>
      <c r="BN273" s="76" t="s">
        <v>18706</v>
      </c>
      <c r="BO273" s="83" t="str">
        <f>HYPERLINK("https://twitter.com/zro_zone")</f>
        <v>https://twitter.com/zro_zone</v>
      </c>
      <c r="BP273" s="2"/>
    </row>
    <row r="274" spans="1:68" x14ac:dyDescent="0.25">
      <c r="A274" s="62" t="s">
        <v>447</v>
      </c>
      <c r="B274" s="63"/>
      <c r="C274" s="63"/>
      <c r="D274" s="64"/>
      <c r="E274" s="66"/>
      <c r="F274" s="102" t="str">
        <f>HYPERLINK("https://pbs.twimg.com/profile_images/1664746535224242177/XXT-uF-K_normal.jpg")</f>
        <v>https://pbs.twimg.com/profile_images/1664746535224242177/XXT-uF-K_normal.jpg</v>
      </c>
      <c r="G274" s="63"/>
      <c r="H274" s="67"/>
      <c r="I274" s="68"/>
      <c r="J274" s="68"/>
      <c r="K274" s="67" t="s">
        <v>18977</v>
      </c>
      <c r="L274" s="71"/>
      <c r="M274" s="72"/>
      <c r="N274" s="72"/>
      <c r="O274" s="73"/>
      <c r="P274" s="74"/>
      <c r="Q274" s="74"/>
      <c r="R274" s="86"/>
      <c r="S274" s="86"/>
      <c r="T274" s="86"/>
      <c r="U274" s="86"/>
      <c r="V274" s="48"/>
      <c r="W274" s="48"/>
      <c r="X274" s="48"/>
      <c r="Y274" s="48"/>
      <c r="Z274" s="47"/>
      <c r="AA274" s="69">
        <v>274</v>
      </c>
      <c r="AB274" s="69"/>
      <c r="AC274" s="70"/>
      <c r="AD274" s="76" t="s">
        <v>16703</v>
      </c>
      <c r="AE274" s="81" t="s">
        <v>16237</v>
      </c>
      <c r="AF274" s="76">
        <v>675</v>
      </c>
      <c r="AG274" s="76">
        <v>227</v>
      </c>
      <c r="AH274" s="76">
        <v>768</v>
      </c>
      <c r="AI274" s="76">
        <v>3</v>
      </c>
      <c r="AJ274" s="76">
        <v>1807</v>
      </c>
      <c r="AK274" s="76">
        <v>414</v>
      </c>
      <c r="AL274" s="76" t="b">
        <v>0</v>
      </c>
      <c r="AM274" s="78">
        <v>44950.244606481479</v>
      </c>
      <c r="AN274" s="76" t="s">
        <v>17501</v>
      </c>
      <c r="AO274" s="76" t="s">
        <v>17887</v>
      </c>
      <c r="AP274" s="83" t="str">
        <f>HYPERLINK("https://t.co/IWCqiJQerK")</f>
        <v>https://t.co/IWCqiJQerK</v>
      </c>
      <c r="AQ274" s="83" t="str">
        <f>HYPERLINK("https://linktr.ee/lourdespaz")</f>
        <v>https://linktr.ee/lourdespaz</v>
      </c>
      <c r="AR274" s="76" t="s">
        <v>18398</v>
      </c>
      <c r="AS274" s="76"/>
      <c r="AT274" s="76"/>
      <c r="AU274" s="76"/>
      <c r="AV274" s="76"/>
      <c r="AW274" s="83" t="str">
        <f>HYPERLINK("https://t.co/IWCqiJQerK")</f>
        <v>https://t.co/IWCqiJQerK</v>
      </c>
      <c r="AX274" s="76" t="b">
        <v>1</v>
      </c>
      <c r="AY274" s="76"/>
      <c r="AZ274" s="76"/>
      <c r="BA274" s="76" t="b">
        <v>0</v>
      </c>
      <c r="BB274" s="76" t="b">
        <v>1</v>
      </c>
      <c r="BC274" s="76" t="b">
        <v>1</v>
      </c>
      <c r="BD274" s="76" t="b">
        <v>0</v>
      </c>
      <c r="BE274" s="76" t="b">
        <v>0</v>
      </c>
      <c r="BF274" s="76" t="b">
        <v>0</v>
      </c>
      <c r="BG274" s="76" t="b">
        <v>0</v>
      </c>
      <c r="BH274" s="83" t="str">
        <f>HYPERLINK("https://pbs.twimg.com/profile_banners/1617761523195076610/1684373081")</f>
        <v>https://pbs.twimg.com/profile_banners/1617761523195076610/1684373081</v>
      </c>
      <c r="BI274" s="76"/>
      <c r="BJ274" s="76" t="s">
        <v>18704</v>
      </c>
      <c r="BK274" s="76" t="b">
        <v>0</v>
      </c>
      <c r="BL274" s="76"/>
      <c r="BM274" s="76" t="s">
        <v>66</v>
      </c>
      <c r="BN274" s="76" t="s">
        <v>18706</v>
      </c>
      <c r="BO274" s="83" t="str">
        <f>HYPERLINK("https://twitter.com/lourdespaz24")</f>
        <v>https://twitter.com/lourdespaz24</v>
      </c>
      <c r="BP274" s="2"/>
    </row>
    <row r="275" spans="1:68" x14ac:dyDescent="0.25">
      <c r="A275" s="62" t="s">
        <v>440</v>
      </c>
      <c r="B275" s="63"/>
      <c r="C275" s="63"/>
      <c r="D275" s="64"/>
      <c r="E275" s="66"/>
      <c r="F275" s="102" t="str">
        <f>HYPERLINK("https://pbs.twimg.com/profile_images/1646283062597099520/0qKoMtic_normal.jpg")</f>
        <v>https://pbs.twimg.com/profile_images/1646283062597099520/0qKoMtic_normal.jpg</v>
      </c>
      <c r="G275" s="63"/>
      <c r="H275" s="67"/>
      <c r="I275" s="68"/>
      <c r="J275" s="68"/>
      <c r="K275" s="67" t="s">
        <v>18978</v>
      </c>
      <c r="L275" s="71"/>
      <c r="M275" s="72"/>
      <c r="N275" s="72"/>
      <c r="O275" s="73"/>
      <c r="P275" s="74"/>
      <c r="Q275" s="74"/>
      <c r="R275" s="86"/>
      <c r="S275" s="86"/>
      <c r="T275" s="86"/>
      <c r="U275" s="86"/>
      <c r="V275" s="48"/>
      <c r="W275" s="48"/>
      <c r="X275" s="48"/>
      <c r="Y275" s="48"/>
      <c r="Z275" s="47"/>
      <c r="AA275" s="69">
        <v>275</v>
      </c>
      <c r="AB275" s="69"/>
      <c r="AC275" s="70"/>
      <c r="AD275" s="76" t="s">
        <v>16704</v>
      </c>
      <c r="AE275" s="81" t="s">
        <v>16234</v>
      </c>
      <c r="AF275" s="76">
        <v>9</v>
      </c>
      <c r="AG275" s="76">
        <v>41</v>
      </c>
      <c r="AH275" s="76">
        <v>99</v>
      </c>
      <c r="AI275" s="76">
        <v>0</v>
      </c>
      <c r="AJ275" s="76">
        <v>8</v>
      </c>
      <c r="AK275" s="76">
        <v>11</v>
      </c>
      <c r="AL275" s="76" t="b">
        <v>0</v>
      </c>
      <c r="AM275" s="78">
        <v>45028.945173611108</v>
      </c>
      <c r="AN275" s="76" t="s">
        <v>17502</v>
      </c>
      <c r="AO275" s="76" t="s">
        <v>17888</v>
      </c>
      <c r="AP275" s="83" t="str">
        <f>HYPERLINK("https://t.co/DotVcKWKgb")</f>
        <v>https://t.co/DotVcKWKgb</v>
      </c>
      <c r="AQ275" s="83" t="str">
        <f>HYPERLINK("https://www.klalaw.com.br/")</f>
        <v>https://www.klalaw.com.br/</v>
      </c>
      <c r="AR275" s="76" t="s">
        <v>18399</v>
      </c>
      <c r="AS275" s="76"/>
      <c r="AT275" s="76"/>
      <c r="AU275" s="76"/>
      <c r="AV275" s="76"/>
      <c r="AW275" s="83" t="str">
        <f>HYPERLINK("https://t.co/DotVcKWKgb")</f>
        <v>https://t.co/DotVcKWKgb</v>
      </c>
      <c r="AX275" s="76" t="b">
        <v>0</v>
      </c>
      <c r="AY275" s="76"/>
      <c r="AZ275" s="76"/>
      <c r="BA275" s="76" t="b">
        <v>0</v>
      </c>
      <c r="BB275" s="76" t="b">
        <v>1</v>
      </c>
      <c r="BC275" s="76" t="b">
        <v>1</v>
      </c>
      <c r="BD275" s="76" t="b">
        <v>0</v>
      </c>
      <c r="BE275" s="76" t="b">
        <v>0</v>
      </c>
      <c r="BF275" s="76" t="b">
        <v>0</v>
      </c>
      <c r="BG275" s="76" t="b">
        <v>0</v>
      </c>
      <c r="BH275" s="83" t="str">
        <f>HYPERLINK("https://pbs.twimg.com/profile_banners/1646282240031072256/1681340398")</f>
        <v>https://pbs.twimg.com/profile_banners/1646282240031072256/1681340398</v>
      </c>
      <c r="BI275" s="76"/>
      <c r="BJ275" s="76" t="s">
        <v>18704</v>
      </c>
      <c r="BK275" s="76" t="b">
        <v>0</v>
      </c>
      <c r="BL275" s="76"/>
      <c r="BM275" s="76" t="s">
        <v>66</v>
      </c>
      <c r="BN275" s="76" t="s">
        <v>18706</v>
      </c>
      <c r="BO275" s="83" t="str">
        <f>HYPERLINK("https://twitter.com/klaadvogados")</f>
        <v>https://twitter.com/klaadvogados</v>
      </c>
      <c r="BP275" s="2"/>
    </row>
    <row r="276" spans="1:68" x14ac:dyDescent="0.25">
      <c r="A276" s="62" t="s">
        <v>786</v>
      </c>
      <c r="B276" s="63"/>
      <c r="C276" s="63"/>
      <c r="D276" s="64"/>
      <c r="E276" s="66"/>
      <c r="F276" s="102" t="str">
        <f>HYPERLINK("https://pbs.twimg.com/profile_images/1674371511996628993/reGcyxoU_normal.jpg")</f>
        <v>https://pbs.twimg.com/profile_images/1674371511996628993/reGcyxoU_normal.jpg</v>
      </c>
      <c r="G276" s="63"/>
      <c r="H276" s="67"/>
      <c r="I276" s="68"/>
      <c r="J276" s="68"/>
      <c r="K276" s="67" t="s">
        <v>18979</v>
      </c>
      <c r="L276" s="71"/>
      <c r="M276" s="72"/>
      <c r="N276" s="72"/>
      <c r="O276" s="73"/>
      <c r="P276" s="74"/>
      <c r="Q276" s="74"/>
      <c r="R276" s="86"/>
      <c r="S276" s="86"/>
      <c r="T276" s="86"/>
      <c r="U276" s="86"/>
      <c r="V276" s="48"/>
      <c r="W276" s="48"/>
      <c r="X276" s="48"/>
      <c r="Y276" s="48"/>
      <c r="Z276" s="47"/>
      <c r="AA276" s="69">
        <v>276</v>
      </c>
      <c r="AB276" s="69"/>
      <c r="AC276" s="70"/>
      <c r="AD276" s="76" t="s">
        <v>16705</v>
      </c>
      <c r="AE276" s="81" t="s">
        <v>17205</v>
      </c>
      <c r="AF276" s="76">
        <v>461194</v>
      </c>
      <c r="AG276" s="76">
        <v>98</v>
      </c>
      <c r="AH276" s="76">
        <v>11067</v>
      </c>
      <c r="AI276" s="76">
        <v>1926</v>
      </c>
      <c r="AJ276" s="76">
        <v>427</v>
      </c>
      <c r="AK276" s="76">
        <v>4908</v>
      </c>
      <c r="AL276" s="76" t="b">
        <v>0</v>
      </c>
      <c r="AM276" s="78">
        <v>40514.689143518517</v>
      </c>
      <c r="AN276" s="76" t="s">
        <v>17503</v>
      </c>
      <c r="AO276" s="76" t="s">
        <v>17889</v>
      </c>
      <c r="AP276" s="83" t="str">
        <f>HYPERLINK("https://t.co/IX5QvxVQ16")</f>
        <v>https://t.co/IX5QvxVQ16</v>
      </c>
      <c r="AQ276" s="83" t="str">
        <f>HYPERLINK("http://www.bcb.gov.br")</f>
        <v>http://www.bcb.gov.br</v>
      </c>
      <c r="AR276" s="76" t="s">
        <v>18400</v>
      </c>
      <c r="AS276" s="83" t="str">
        <f>HYPERLINK("https://t.co/VrFnR3Etep")</f>
        <v>https://t.co/VrFnR3Etep</v>
      </c>
      <c r="AT276" s="83" t="str">
        <f>HYPERLINK("http://linktr.ee/bancocentraldo")</f>
        <v>http://linktr.ee/bancocentraldo</v>
      </c>
      <c r="AU276" s="76" t="s">
        <v>18667</v>
      </c>
      <c r="AV276" s="76">
        <v>1.64576261704513E+18</v>
      </c>
      <c r="AW276" s="83" t="str">
        <f>HYPERLINK("https://t.co/IX5QvxVQ16")</f>
        <v>https://t.co/IX5QvxVQ16</v>
      </c>
      <c r="AX276" s="76" t="b">
        <v>0</v>
      </c>
      <c r="AY276" s="76"/>
      <c r="AZ276" s="76"/>
      <c r="BA276" s="76" t="b">
        <v>1</v>
      </c>
      <c r="BB276" s="76" t="b">
        <v>0</v>
      </c>
      <c r="BC276" s="76" t="b">
        <v>0</v>
      </c>
      <c r="BD276" s="76" t="b">
        <v>0</v>
      </c>
      <c r="BE276" s="76" t="b">
        <v>1</v>
      </c>
      <c r="BF276" s="76" t="b">
        <v>0</v>
      </c>
      <c r="BG276" s="76" t="b">
        <v>0</v>
      </c>
      <c r="BH276" s="83" t="str">
        <f>HYPERLINK("https://pbs.twimg.com/profile_banners/222157159/1671448684")</f>
        <v>https://pbs.twimg.com/profile_banners/222157159/1671448684</v>
      </c>
      <c r="BI276" s="76"/>
      <c r="BJ276" s="76" t="s">
        <v>18704</v>
      </c>
      <c r="BK276" s="76" t="b">
        <v>0</v>
      </c>
      <c r="BL276" s="76"/>
      <c r="BM276" s="76" t="s">
        <v>65</v>
      </c>
      <c r="BN276" s="76" t="s">
        <v>18706</v>
      </c>
      <c r="BO276" s="83" t="str">
        <f>HYPERLINK("https://twitter.com/bancocentralbr")</f>
        <v>https://twitter.com/bancocentralbr</v>
      </c>
      <c r="BP276" s="2"/>
    </row>
    <row r="277" spans="1:68" x14ac:dyDescent="0.25">
      <c r="A277" s="62" t="s">
        <v>787</v>
      </c>
      <c r="B277" s="63"/>
      <c r="C277" s="63"/>
      <c r="D277" s="64"/>
      <c r="E277" s="66"/>
      <c r="F277" s="102" t="str">
        <f>HYPERLINK("https://pbs.twimg.com/profile_images/902568202911178755/dUD9Vuas_normal.jpg")</f>
        <v>https://pbs.twimg.com/profile_images/902568202911178755/dUD9Vuas_normal.jpg</v>
      </c>
      <c r="G277" s="63"/>
      <c r="H277" s="67"/>
      <c r="I277" s="68"/>
      <c r="J277" s="68"/>
      <c r="K277" s="67" t="s">
        <v>18980</v>
      </c>
      <c r="L277" s="71"/>
      <c r="M277" s="72"/>
      <c r="N277" s="72"/>
      <c r="O277" s="73"/>
      <c r="P277" s="74"/>
      <c r="Q277" s="74"/>
      <c r="R277" s="86"/>
      <c r="S277" s="86"/>
      <c r="T277" s="86"/>
      <c r="U277" s="86"/>
      <c r="V277" s="48"/>
      <c r="W277" s="48"/>
      <c r="X277" s="48"/>
      <c r="Y277" s="48"/>
      <c r="Z277" s="47"/>
      <c r="AA277" s="69">
        <v>277</v>
      </c>
      <c r="AB277" s="69"/>
      <c r="AC277" s="70"/>
      <c r="AD277" s="76" t="s">
        <v>16706</v>
      </c>
      <c r="AE277" s="81" t="s">
        <v>17206</v>
      </c>
      <c r="AF277" s="76">
        <v>826821</v>
      </c>
      <c r="AG277" s="76">
        <v>37</v>
      </c>
      <c r="AH277" s="76">
        <v>55021</v>
      </c>
      <c r="AI277" s="76">
        <v>2722</v>
      </c>
      <c r="AJ277" s="76">
        <v>50</v>
      </c>
      <c r="AK277" s="76">
        <v>10851</v>
      </c>
      <c r="AL277" s="76" t="b">
        <v>0</v>
      </c>
      <c r="AM277" s="78">
        <v>39882.870335648149</v>
      </c>
      <c r="AN277" s="76"/>
      <c r="AO277" s="76" t="s">
        <v>17890</v>
      </c>
      <c r="AP277" s="83" t="str">
        <f>HYPERLINK("http://t.co/y00gzdzpNI")</f>
        <v>http://t.co/y00gzdzpNI</v>
      </c>
      <c r="AQ277" s="83" t="str">
        <f>HYPERLINK("http://revistapegn.globo.com")</f>
        <v>http://revistapegn.globo.com</v>
      </c>
      <c r="AR277" s="76" t="s">
        <v>18401</v>
      </c>
      <c r="AS277" s="83" t="str">
        <f>HYPERLINK("https://t.co/gRWQgZIOtX")</f>
        <v>https://t.co/gRWQgZIOtX</v>
      </c>
      <c r="AT277" s="83" t="str">
        <f>HYPERLINK("http://bit.ly/pegn_assine")</f>
        <v>http://bit.ly/pegn_assine</v>
      </c>
      <c r="AU277" s="76" t="s">
        <v>18668</v>
      </c>
      <c r="AV277" s="76">
        <v>1.7012454307916301E+18</v>
      </c>
      <c r="AW277" s="83" t="str">
        <f>HYPERLINK("http://t.co/y00gzdzpNI")</f>
        <v>http://t.co/y00gzdzpNI</v>
      </c>
      <c r="AX277" s="76" t="b">
        <v>0</v>
      </c>
      <c r="AY277" s="76"/>
      <c r="AZ277" s="76"/>
      <c r="BA277" s="76" t="b">
        <v>0</v>
      </c>
      <c r="BB277" s="76" t="b">
        <v>1</v>
      </c>
      <c r="BC277" s="76" t="b">
        <v>0</v>
      </c>
      <c r="BD277" s="76" t="b">
        <v>0</v>
      </c>
      <c r="BE277" s="76" t="b">
        <v>0</v>
      </c>
      <c r="BF277" s="76" t="b">
        <v>0</v>
      </c>
      <c r="BG277" s="76" t="b">
        <v>0</v>
      </c>
      <c r="BH277" s="83" t="str">
        <f>HYPERLINK("https://pbs.twimg.com/profile_banners/23654729/1504025291")</f>
        <v>https://pbs.twimg.com/profile_banners/23654729/1504025291</v>
      </c>
      <c r="BI277" s="76"/>
      <c r="BJ277" s="76" t="s">
        <v>18704</v>
      </c>
      <c r="BK277" s="76" t="b">
        <v>0</v>
      </c>
      <c r="BL277" s="76"/>
      <c r="BM277" s="76" t="s">
        <v>65</v>
      </c>
      <c r="BN277" s="76" t="s">
        <v>18706</v>
      </c>
      <c r="BO277" s="83" t="str">
        <f>HYPERLINK("https://twitter.com/peqempresas")</f>
        <v>https://twitter.com/peqempresas</v>
      </c>
      <c r="BP277" s="2"/>
    </row>
    <row r="278" spans="1:68" x14ac:dyDescent="0.25">
      <c r="A278" s="62" t="s">
        <v>441</v>
      </c>
      <c r="B278" s="63"/>
      <c r="C278" s="63"/>
      <c r="D278" s="64"/>
      <c r="E278" s="66"/>
      <c r="F278" s="102" t="str">
        <f>HYPERLINK("https://pbs.twimg.com/profile_images/1571831398645768197/5rnW9JoS_normal.jpg")</f>
        <v>https://pbs.twimg.com/profile_images/1571831398645768197/5rnW9JoS_normal.jpg</v>
      </c>
      <c r="G278" s="63"/>
      <c r="H278" s="67"/>
      <c r="I278" s="68"/>
      <c r="J278" s="68"/>
      <c r="K278" s="67" t="s">
        <v>18981</v>
      </c>
      <c r="L278" s="71"/>
      <c r="M278" s="72"/>
      <c r="N278" s="72"/>
      <c r="O278" s="73"/>
      <c r="P278" s="74"/>
      <c r="Q278" s="74"/>
      <c r="R278" s="86"/>
      <c r="S278" s="86"/>
      <c r="T278" s="86"/>
      <c r="U278" s="86"/>
      <c r="V278" s="48"/>
      <c r="W278" s="48"/>
      <c r="X278" s="48"/>
      <c r="Y278" s="48"/>
      <c r="Z278" s="47"/>
      <c r="AA278" s="69">
        <v>278</v>
      </c>
      <c r="AB278" s="69"/>
      <c r="AC278" s="70"/>
      <c r="AD278" s="76" t="s">
        <v>16707</v>
      </c>
      <c r="AE278" s="81" t="s">
        <v>16235</v>
      </c>
      <c r="AF278" s="76">
        <v>590</v>
      </c>
      <c r="AG278" s="76">
        <v>39</v>
      </c>
      <c r="AH278" s="76">
        <v>5365</v>
      </c>
      <c r="AI278" s="76">
        <v>0</v>
      </c>
      <c r="AJ278" s="76">
        <v>4856</v>
      </c>
      <c r="AK278" s="76">
        <v>241</v>
      </c>
      <c r="AL278" s="76" t="b">
        <v>0</v>
      </c>
      <c r="AM278" s="78">
        <v>44823.494386574072</v>
      </c>
      <c r="AN278" s="76" t="s">
        <v>17445</v>
      </c>
      <c r="AO278" s="76" t="s">
        <v>17891</v>
      </c>
      <c r="AP278" s="76"/>
      <c r="AQ278" s="76"/>
      <c r="AR278" s="76"/>
      <c r="AS278" s="76"/>
      <c r="AT278" s="76"/>
      <c r="AU278" s="76"/>
      <c r="AV278" s="76"/>
      <c r="AW278" s="76"/>
      <c r="AX278" s="76" t="b">
        <v>0</v>
      </c>
      <c r="AY278" s="76"/>
      <c r="AZ278" s="76"/>
      <c r="BA278" s="76" t="b">
        <v>0</v>
      </c>
      <c r="BB278" s="76" t="b">
        <v>1</v>
      </c>
      <c r="BC278" s="76" t="b">
        <v>1</v>
      </c>
      <c r="BD278" s="76" t="b">
        <v>0</v>
      </c>
      <c r="BE278" s="76" t="b">
        <v>0</v>
      </c>
      <c r="BF278" s="76" t="b">
        <v>0</v>
      </c>
      <c r="BG278" s="76" t="b">
        <v>0</v>
      </c>
      <c r="BH278" s="76"/>
      <c r="BI278" s="76"/>
      <c r="BJ278" s="76" t="s">
        <v>18704</v>
      </c>
      <c r="BK278" s="76" t="b">
        <v>0</v>
      </c>
      <c r="BL278" s="76"/>
      <c r="BM278" s="76" t="s">
        <v>66</v>
      </c>
      <c r="BN278" s="76" t="s">
        <v>18706</v>
      </c>
      <c r="BO278" s="83" t="str">
        <f>HYPERLINK("https://twitter.com/jaym_willy")</f>
        <v>https://twitter.com/jaym_willy</v>
      </c>
      <c r="BP278" s="2"/>
    </row>
    <row r="279" spans="1:68" x14ac:dyDescent="0.25">
      <c r="A279" s="62" t="s">
        <v>442</v>
      </c>
      <c r="B279" s="63"/>
      <c r="C279" s="63"/>
      <c r="D279" s="64"/>
      <c r="E279" s="66"/>
      <c r="F279" s="102" t="str">
        <f>HYPERLINK("https://pbs.twimg.com/profile_images/1645435045803376641/gLm3LDyK_normal.jpg")</f>
        <v>https://pbs.twimg.com/profile_images/1645435045803376641/gLm3LDyK_normal.jpg</v>
      </c>
      <c r="G279" s="63"/>
      <c r="H279" s="67"/>
      <c r="I279" s="68"/>
      <c r="J279" s="68"/>
      <c r="K279" s="67" t="s">
        <v>18982</v>
      </c>
      <c r="L279" s="71"/>
      <c r="M279" s="72"/>
      <c r="N279" s="72"/>
      <c r="O279" s="73"/>
      <c r="P279" s="74"/>
      <c r="Q279" s="74"/>
      <c r="R279" s="86"/>
      <c r="S279" s="86"/>
      <c r="T279" s="86"/>
      <c r="U279" s="86"/>
      <c r="V279" s="48"/>
      <c r="W279" s="48"/>
      <c r="X279" s="48"/>
      <c r="Y279" s="48"/>
      <c r="Z279" s="47"/>
      <c r="AA279" s="69">
        <v>279</v>
      </c>
      <c r="AB279" s="69"/>
      <c r="AC279" s="70"/>
      <c r="AD279" s="76" t="s">
        <v>16708</v>
      </c>
      <c r="AE279" s="81" t="s">
        <v>15955</v>
      </c>
      <c r="AF279" s="76">
        <v>582</v>
      </c>
      <c r="AG279" s="76">
        <v>177</v>
      </c>
      <c r="AH279" s="76">
        <v>7081</v>
      </c>
      <c r="AI279" s="76">
        <v>2</v>
      </c>
      <c r="AJ279" s="76">
        <v>4578</v>
      </c>
      <c r="AK279" s="76">
        <v>273</v>
      </c>
      <c r="AL279" s="76" t="b">
        <v>0</v>
      </c>
      <c r="AM279" s="78">
        <v>45026.605868055558</v>
      </c>
      <c r="AN279" s="76" t="s">
        <v>17504</v>
      </c>
      <c r="AO279" s="76" t="s">
        <v>17892</v>
      </c>
      <c r="AP279" s="76"/>
      <c r="AQ279" s="76"/>
      <c r="AR279" s="76"/>
      <c r="AS279" s="76"/>
      <c r="AT279" s="76"/>
      <c r="AU279" s="76"/>
      <c r="AV279" s="76"/>
      <c r="AW279" s="76"/>
      <c r="AX279" s="76" t="b">
        <v>0</v>
      </c>
      <c r="AY279" s="76"/>
      <c r="AZ279" s="76"/>
      <c r="BA279" s="76" t="b">
        <v>0</v>
      </c>
      <c r="BB279" s="76" t="b">
        <v>1</v>
      </c>
      <c r="BC279" s="76" t="b">
        <v>1</v>
      </c>
      <c r="BD279" s="76" t="b">
        <v>0</v>
      </c>
      <c r="BE279" s="76" t="b">
        <v>0</v>
      </c>
      <c r="BF279" s="76" t="b">
        <v>0</v>
      </c>
      <c r="BG279" s="76" t="b">
        <v>0</v>
      </c>
      <c r="BH279" s="83" t="str">
        <f>HYPERLINK("https://pbs.twimg.com/profile_banners/1645434313104662528/1681137665")</f>
        <v>https://pbs.twimg.com/profile_banners/1645434313104662528/1681137665</v>
      </c>
      <c r="BI279" s="76"/>
      <c r="BJ279" s="76" t="s">
        <v>18704</v>
      </c>
      <c r="BK279" s="76" t="b">
        <v>0</v>
      </c>
      <c r="BL279" s="76"/>
      <c r="BM279" s="76" t="s">
        <v>66</v>
      </c>
      <c r="BN279" s="76" t="s">
        <v>18706</v>
      </c>
      <c r="BO279" s="83" t="str">
        <f>HYPERLINK("https://twitter.com/dawanhutt")</f>
        <v>https://twitter.com/dawanhutt</v>
      </c>
      <c r="BP279" s="2"/>
    </row>
    <row r="280" spans="1:68" x14ac:dyDescent="0.25">
      <c r="A280" s="62" t="s">
        <v>788</v>
      </c>
      <c r="B280" s="63"/>
      <c r="C280" s="63"/>
      <c r="D280" s="64"/>
      <c r="E280" s="66"/>
      <c r="F280" s="102" t="str">
        <f>HYPERLINK("https://pbs.twimg.com/profile_images/1628090854635102209/kKS79iP6_normal.jpg")</f>
        <v>https://pbs.twimg.com/profile_images/1628090854635102209/kKS79iP6_normal.jpg</v>
      </c>
      <c r="G280" s="63"/>
      <c r="H280" s="67"/>
      <c r="I280" s="68"/>
      <c r="J280" s="68"/>
      <c r="K280" s="67" t="s">
        <v>18983</v>
      </c>
      <c r="L280" s="71"/>
      <c r="M280" s="72"/>
      <c r="N280" s="72"/>
      <c r="O280" s="73"/>
      <c r="P280" s="74"/>
      <c r="Q280" s="74"/>
      <c r="R280" s="86"/>
      <c r="S280" s="86"/>
      <c r="T280" s="86"/>
      <c r="U280" s="86"/>
      <c r="V280" s="48"/>
      <c r="W280" s="48"/>
      <c r="X280" s="48"/>
      <c r="Y280" s="48"/>
      <c r="Z280" s="47"/>
      <c r="AA280" s="69">
        <v>280</v>
      </c>
      <c r="AB280" s="69"/>
      <c r="AC280" s="70"/>
      <c r="AD280" s="76" t="s">
        <v>16709</v>
      </c>
      <c r="AE280" s="81" t="s">
        <v>15939</v>
      </c>
      <c r="AF280" s="76">
        <v>55</v>
      </c>
      <c r="AG280" s="76">
        <v>106</v>
      </c>
      <c r="AH280" s="76">
        <v>2884</v>
      </c>
      <c r="AI280" s="76">
        <v>0</v>
      </c>
      <c r="AJ280" s="76">
        <v>2398</v>
      </c>
      <c r="AK280" s="76">
        <v>14</v>
      </c>
      <c r="AL280" s="76" t="b">
        <v>0</v>
      </c>
      <c r="AM280" s="78">
        <v>44978.745659722219</v>
      </c>
      <c r="AN280" s="76" t="s">
        <v>17505</v>
      </c>
      <c r="AO280" s="76" t="s">
        <v>17893</v>
      </c>
      <c r="AP280" s="76"/>
      <c r="AQ280" s="76"/>
      <c r="AR280" s="76"/>
      <c r="AS280" s="76"/>
      <c r="AT280" s="76"/>
      <c r="AU280" s="76"/>
      <c r="AV280" s="76"/>
      <c r="AW280" s="76"/>
      <c r="AX280" s="76" t="b">
        <v>0</v>
      </c>
      <c r="AY280" s="76"/>
      <c r="AZ280" s="76"/>
      <c r="BA280" s="76" t="b">
        <v>0</v>
      </c>
      <c r="BB280" s="76" t="b">
        <v>1</v>
      </c>
      <c r="BC280" s="76" t="b">
        <v>1</v>
      </c>
      <c r="BD280" s="76" t="b">
        <v>0</v>
      </c>
      <c r="BE280" s="76" t="b">
        <v>0</v>
      </c>
      <c r="BF280" s="76" t="b">
        <v>0</v>
      </c>
      <c r="BG280" s="76" t="b">
        <v>0</v>
      </c>
      <c r="BH280" s="83" t="str">
        <f>HYPERLINK("https://pbs.twimg.com/profile_banners/1628090547440058380/1677002746")</f>
        <v>https://pbs.twimg.com/profile_banners/1628090547440058380/1677002746</v>
      </c>
      <c r="BI280" s="76"/>
      <c r="BJ280" s="76" t="s">
        <v>18704</v>
      </c>
      <c r="BK280" s="76" t="b">
        <v>0</v>
      </c>
      <c r="BL280" s="76"/>
      <c r="BM280" s="76" t="s">
        <v>65</v>
      </c>
      <c r="BN280" s="76" t="s">
        <v>18706</v>
      </c>
      <c r="BO280" s="83" t="str">
        <f>HYPERLINK("https://twitter.com/rwalker1_r")</f>
        <v>https://twitter.com/rwalker1_r</v>
      </c>
      <c r="BP280" s="2"/>
    </row>
    <row r="281" spans="1:68" x14ac:dyDescent="0.25">
      <c r="A281" s="62" t="s">
        <v>789</v>
      </c>
      <c r="B281" s="63"/>
      <c r="C281" s="63"/>
      <c r="D281" s="64"/>
      <c r="E281" s="66"/>
      <c r="F281" s="102" t="str">
        <f>HYPERLINK("https://pbs.twimg.com/profile_images/1126748103/II-pearl_normal.jpg")</f>
        <v>https://pbs.twimg.com/profile_images/1126748103/II-pearl_normal.jpg</v>
      </c>
      <c r="G281" s="63"/>
      <c r="H281" s="67"/>
      <c r="I281" s="68"/>
      <c r="J281" s="68"/>
      <c r="K281" s="67" t="s">
        <v>18984</v>
      </c>
      <c r="L281" s="71"/>
      <c r="M281" s="72"/>
      <c r="N281" s="72"/>
      <c r="O281" s="73"/>
      <c r="P281" s="74"/>
      <c r="Q281" s="74"/>
      <c r="R281" s="86"/>
      <c r="S281" s="86"/>
      <c r="T281" s="86"/>
      <c r="U281" s="86"/>
      <c r="V281" s="48"/>
      <c r="W281" s="48"/>
      <c r="X281" s="48"/>
      <c r="Y281" s="48"/>
      <c r="Z281" s="47"/>
      <c r="AA281" s="69">
        <v>281</v>
      </c>
      <c r="AB281" s="69"/>
      <c r="AC281" s="70"/>
      <c r="AD281" s="76" t="s">
        <v>16710</v>
      </c>
      <c r="AE281" s="81" t="s">
        <v>15940</v>
      </c>
      <c r="AF281" s="76">
        <v>16</v>
      </c>
      <c r="AG281" s="76">
        <v>78</v>
      </c>
      <c r="AH281" s="76">
        <v>835</v>
      </c>
      <c r="AI281" s="76">
        <v>0</v>
      </c>
      <c r="AJ281" s="76">
        <v>710</v>
      </c>
      <c r="AK281" s="76">
        <v>1</v>
      </c>
      <c r="AL281" s="76" t="b">
        <v>0</v>
      </c>
      <c r="AM281" s="78">
        <v>40328.377222222225</v>
      </c>
      <c r="AN281" s="76" t="s">
        <v>17506</v>
      </c>
      <c r="AO281" s="76" t="s">
        <v>17894</v>
      </c>
      <c r="AP281" s="76"/>
      <c r="AQ281" s="76"/>
      <c r="AR281" s="76"/>
      <c r="AS281" s="76"/>
      <c r="AT281" s="76"/>
      <c r="AU281" s="76"/>
      <c r="AV281" s="76"/>
      <c r="AW281" s="76"/>
      <c r="AX281" s="76" t="b">
        <v>0</v>
      </c>
      <c r="AY281" s="76"/>
      <c r="AZ281" s="76"/>
      <c r="BA281" s="76" t="b">
        <v>0</v>
      </c>
      <c r="BB281" s="76" t="b">
        <v>1</v>
      </c>
      <c r="BC281" s="76" t="b">
        <v>0</v>
      </c>
      <c r="BD281" s="76" t="b">
        <v>0</v>
      </c>
      <c r="BE281" s="76" t="b">
        <v>0</v>
      </c>
      <c r="BF281" s="76" t="b">
        <v>0</v>
      </c>
      <c r="BG281" s="76" t="b">
        <v>0</v>
      </c>
      <c r="BH281" s="83" t="str">
        <f>HYPERLINK("https://pbs.twimg.com/profile_banners/149818036/1688478715")</f>
        <v>https://pbs.twimg.com/profile_banners/149818036/1688478715</v>
      </c>
      <c r="BI281" s="76"/>
      <c r="BJ281" s="76" t="s">
        <v>18704</v>
      </c>
      <c r="BK281" s="76" t="b">
        <v>0</v>
      </c>
      <c r="BL281" s="76"/>
      <c r="BM281" s="76" t="s">
        <v>65</v>
      </c>
      <c r="BN281" s="76" t="s">
        <v>18706</v>
      </c>
      <c r="BO281" s="83" t="str">
        <f>HYPERLINK("https://twitter.com/hermesmoon")</f>
        <v>https://twitter.com/hermesmoon</v>
      </c>
      <c r="BP281" s="2"/>
    </row>
    <row r="282" spans="1:68" x14ac:dyDescent="0.25">
      <c r="A282" s="62" t="s">
        <v>790</v>
      </c>
      <c r="B282" s="63"/>
      <c r="C282" s="63"/>
      <c r="D282" s="64"/>
      <c r="E282" s="66"/>
      <c r="F282" s="102" t="str">
        <f>HYPERLINK("https://pbs.twimg.com/profile_images/1653324630050914305/YKYIotGo_normal.jpg")</f>
        <v>https://pbs.twimg.com/profile_images/1653324630050914305/YKYIotGo_normal.jpg</v>
      </c>
      <c r="G282" s="63"/>
      <c r="H282" s="67"/>
      <c r="I282" s="68"/>
      <c r="J282" s="68"/>
      <c r="K282" s="67" t="s">
        <v>18985</v>
      </c>
      <c r="L282" s="71"/>
      <c r="M282" s="72"/>
      <c r="N282" s="72"/>
      <c r="O282" s="73"/>
      <c r="P282" s="74"/>
      <c r="Q282" s="74"/>
      <c r="R282" s="86"/>
      <c r="S282" s="86"/>
      <c r="T282" s="86"/>
      <c r="U282" s="86"/>
      <c r="V282" s="48"/>
      <c r="W282" s="48"/>
      <c r="X282" s="48"/>
      <c r="Y282" s="48"/>
      <c r="Z282" s="47"/>
      <c r="AA282" s="69">
        <v>282</v>
      </c>
      <c r="AB282" s="69"/>
      <c r="AC282" s="70"/>
      <c r="AD282" s="76" t="s">
        <v>16711</v>
      </c>
      <c r="AE282" s="81" t="s">
        <v>17207</v>
      </c>
      <c r="AF282" s="76">
        <v>595</v>
      </c>
      <c r="AG282" s="76">
        <v>208</v>
      </c>
      <c r="AH282" s="76">
        <v>5966</v>
      </c>
      <c r="AI282" s="76">
        <v>0</v>
      </c>
      <c r="AJ282" s="76">
        <v>2372</v>
      </c>
      <c r="AK282" s="76">
        <v>88</v>
      </c>
      <c r="AL282" s="76" t="b">
        <v>0</v>
      </c>
      <c r="AM282" s="78">
        <v>45048.372118055559</v>
      </c>
      <c r="AN282" s="76" t="s">
        <v>17507</v>
      </c>
      <c r="AO282" s="76" t="s">
        <v>17895</v>
      </c>
      <c r="AP282" s="76"/>
      <c r="AQ282" s="76"/>
      <c r="AR282" s="76"/>
      <c r="AS282" s="76"/>
      <c r="AT282" s="76"/>
      <c r="AU282" s="76"/>
      <c r="AV282" s="76"/>
      <c r="AW282" s="76"/>
      <c r="AX282" s="76" t="b">
        <v>0</v>
      </c>
      <c r="AY282" s="76"/>
      <c r="AZ282" s="76"/>
      <c r="BA282" s="76" t="b">
        <v>0</v>
      </c>
      <c r="BB282" s="76" t="b">
        <v>1</v>
      </c>
      <c r="BC282" s="76" t="b">
        <v>1</v>
      </c>
      <c r="BD282" s="76" t="b">
        <v>0</v>
      </c>
      <c r="BE282" s="76" t="b">
        <v>0</v>
      </c>
      <c r="BF282" s="76" t="b">
        <v>0</v>
      </c>
      <c r="BG282" s="76" t="b">
        <v>0</v>
      </c>
      <c r="BH282" s="76"/>
      <c r="BI282" s="76"/>
      <c r="BJ282" s="76" t="s">
        <v>18704</v>
      </c>
      <c r="BK282" s="76" t="b">
        <v>0</v>
      </c>
      <c r="BL282" s="76"/>
      <c r="BM282" s="76" t="s">
        <v>65</v>
      </c>
      <c r="BN282" s="76" t="s">
        <v>18706</v>
      </c>
      <c r="BO282" s="83" t="str">
        <f>HYPERLINK("https://twitter.com/harpersimps")</f>
        <v>https://twitter.com/harpersimps</v>
      </c>
      <c r="BP282" s="2"/>
    </row>
    <row r="283" spans="1:68" x14ac:dyDescent="0.25">
      <c r="A283" s="62" t="s">
        <v>443</v>
      </c>
      <c r="B283" s="63"/>
      <c r="C283" s="63"/>
      <c r="D283" s="64"/>
      <c r="E283" s="66"/>
      <c r="F283" s="102" t="str">
        <f>HYPERLINK("https://pbs.twimg.com/profile_images/653619793799458816/YAcS7npX_normal.jpg")</f>
        <v>https://pbs.twimg.com/profile_images/653619793799458816/YAcS7npX_normal.jpg</v>
      </c>
      <c r="G283" s="63"/>
      <c r="H283" s="67"/>
      <c r="I283" s="68"/>
      <c r="J283" s="68"/>
      <c r="K283" s="67" t="s">
        <v>18986</v>
      </c>
      <c r="L283" s="71"/>
      <c r="M283" s="72"/>
      <c r="N283" s="72"/>
      <c r="O283" s="73"/>
      <c r="P283" s="74"/>
      <c r="Q283" s="74"/>
      <c r="R283" s="86"/>
      <c r="S283" s="86"/>
      <c r="T283" s="86"/>
      <c r="U283" s="86"/>
      <c r="V283" s="48"/>
      <c r="W283" s="48"/>
      <c r="X283" s="48"/>
      <c r="Y283" s="48"/>
      <c r="Z283" s="47"/>
      <c r="AA283" s="69">
        <v>283</v>
      </c>
      <c r="AB283" s="69"/>
      <c r="AC283" s="70"/>
      <c r="AD283" s="76" t="s">
        <v>16712</v>
      </c>
      <c r="AE283" s="81" t="s">
        <v>17208</v>
      </c>
      <c r="AF283" s="76">
        <v>2503</v>
      </c>
      <c r="AG283" s="76">
        <v>1250</v>
      </c>
      <c r="AH283" s="76">
        <v>38175</v>
      </c>
      <c r="AI283" s="76">
        <v>109</v>
      </c>
      <c r="AJ283" s="76">
        <v>33</v>
      </c>
      <c r="AK283" s="76">
        <v>7789</v>
      </c>
      <c r="AL283" s="76" t="b">
        <v>0</v>
      </c>
      <c r="AM283" s="78">
        <v>39945.65519675926</v>
      </c>
      <c r="AN283" s="76" t="s">
        <v>10570</v>
      </c>
      <c r="AO283" s="76" t="s">
        <v>17896</v>
      </c>
      <c r="AP283" s="83" t="str">
        <f>HYPERLINK("https://t.co/JHeWbA4XyF")</f>
        <v>https://t.co/JHeWbA4XyF</v>
      </c>
      <c r="AQ283" s="83" t="str">
        <f>HYPERLINK("http://ucho.info")</f>
        <v>http://ucho.info</v>
      </c>
      <c r="AR283" s="76" t="s">
        <v>18402</v>
      </c>
      <c r="AS283" s="83" t="str">
        <f>HYPERLINK("https://t.co/deiM7RbLuS")</f>
        <v>https://t.co/deiM7RbLuS</v>
      </c>
      <c r="AT283" s="83" t="str">
        <f>HYPERLINK("http://UCHO.INFO")</f>
        <v>http://UCHO.INFO</v>
      </c>
      <c r="AU283" s="76" t="s">
        <v>18669</v>
      </c>
      <c r="AV283" s="76"/>
      <c r="AW283" s="83" t="str">
        <f>HYPERLINK("https://t.co/JHeWbA4XyF")</f>
        <v>https://t.co/JHeWbA4XyF</v>
      </c>
      <c r="AX283" s="76" t="b">
        <v>0</v>
      </c>
      <c r="AY283" s="76"/>
      <c r="AZ283" s="76"/>
      <c r="BA283" s="76" t="b">
        <v>0</v>
      </c>
      <c r="BB283" s="76" t="b">
        <v>1</v>
      </c>
      <c r="BC283" s="76" t="b">
        <v>0</v>
      </c>
      <c r="BD283" s="76" t="b">
        <v>0</v>
      </c>
      <c r="BE283" s="76" t="b">
        <v>0</v>
      </c>
      <c r="BF283" s="76" t="b">
        <v>0</v>
      </c>
      <c r="BG283" s="76" t="b">
        <v>0</v>
      </c>
      <c r="BH283" s="83" t="str">
        <f>HYPERLINK("https://pbs.twimg.com/profile_banners/39525281/1444670116")</f>
        <v>https://pbs.twimg.com/profile_banners/39525281/1444670116</v>
      </c>
      <c r="BI283" s="76"/>
      <c r="BJ283" s="76" t="s">
        <v>18704</v>
      </c>
      <c r="BK283" s="76" t="b">
        <v>0</v>
      </c>
      <c r="BL283" s="76"/>
      <c r="BM283" s="76" t="s">
        <v>66</v>
      </c>
      <c r="BN283" s="76" t="s">
        <v>18706</v>
      </c>
      <c r="BO283" s="83" t="str">
        <f>HYPERLINK("https://twitter.com/uchoinfo")</f>
        <v>https://twitter.com/uchoinfo</v>
      </c>
      <c r="BP283" s="2"/>
    </row>
    <row r="284" spans="1:68" x14ac:dyDescent="0.25">
      <c r="A284" s="62" t="s">
        <v>444</v>
      </c>
      <c r="B284" s="63"/>
      <c r="C284" s="63"/>
      <c r="D284" s="64"/>
      <c r="E284" s="66"/>
      <c r="F284" s="102" t="str">
        <f>HYPERLINK("https://pbs.twimg.com/profile_images/1519762195910909952/JodQvSPB_normal.jpg")</f>
        <v>https://pbs.twimg.com/profile_images/1519762195910909952/JodQvSPB_normal.jpg</v>
      </c>
      <c r="G284" s="63"/>
      <c r="H284" s="67"/>
      <c r="I284" s="68"/>
      <c r="J284" s="68"/>
      <c r="K284" s="67" t="s">
        <v>18987</v>
      </c>
      <c r="L284" s="71"/>
      <c r="M284" s="72"/>
      <c r="N284" s="72"/>
      <c r="O284" s="73"/>
      <c r="P284" s="74"/>
      <c r="Q284" s="74"/>
      <c r="R284" s="86"/>
      <c r="S284" s="86"/>
      <c r="T284" s="86"/>
      <c r="U284" s="86"/>
      <c r="V284" s="48"/>
      <c r="W284" s="48"/>
      <c r="X284" s="48"/>
      <c r="Y284" s="48"/>
      <c r="Z284" s="47"/>
      <c r="AA284" s="69">
        <v>284</v>
      </c>
      <c r="AB284" s="69"/>
      <c r="AC284" s="70"/>
      <c r="AD284" s="76" t="s">
        <v>16713</v>
      </c>
      <c r="AE284" s="81" t="s">
        <v>17209</v>
      </c>
      <c r="AF284" s="76">
        <v>66</v>
      </c>
      <c r="AG284" s="76">
        <v>611</v>
      </c>
      <c r="AH284" s="76">
        <v>240</v>
      </c>
      <c r="AI284" s="76">
        <v>7</v>
      </c>
      <c r="AJ284" s="76">
        <v>2816</v>
      </c>
      <c r="AK284" s="76">
        <v>40</v>
      </c>
      <c r="AL284" s="76" t="b">
        <v>0</v>
      </c>
      <c r="AM284" s="78">
        <v>40064.947824074072</v>
      </c>
      <c r="AN284" s="76"/>
      <c r="AO284" s="76"/>
      <c r="AP284" s="76"/>
      <c r="AQ284" s="76"/>
      <c r="AR284" s="76"/>
      <c r="AS284" s="76"/>
      <c r="AT284" s="76"/>
      <c r="AU284" s="76"/>
      <c r="AV284" s="76"/>
      <c r="AW284" s="76"/>
      <c r="AX284" s="76" t="b">
        <v>0</v>
      </c>
      <c r="AY284" s="76"/>
      <c r="AZ284" s="76"/>
      <c r="BA284" s="76" t="b">
        <v>0</v>
      </c>
      <c r="BB284" s="76" t="b">
        <v>1</v>
      </c>
      <c r="BC284" s="76" t="b">
        <v>0</v>
      </c>
      <c r="BD284" s="76" t="b">
        <v>0</v>
      </c>
      <c r="BE284" s="76" t="b">
        <v>1</v>
      </c>
      <c r="BF284" s="76" t="b">
        <v>0</v>
      </c>
      <c r="BG284" s="76" t="b">
        <v>0</v>
      </c>
      <c r="BH284" s="76"/>
      <c r="BI284" s="76"/>
      <c r="BJ284" s="76" t="s">
        <v>18704</v>
      </c>
      <c r="BK284" s="76" t="b">
        <v>0</v>
      </c>
      <c r="BL284" s="76"/>
      <c r="BM284" s="76" t="s">
        <v>66</v>
      </c>
      <c r="BN284" s="76" t="s">
        <v>18706</v>
      </c>
      <c r="BO284" s="83" t="str">
        <f>HYPERLINK("https://twitter.com/elielnaves")</f>
        <v>https://twitter.com/elielnaves</v>
      </c>
      <c r="BP284" s="2"/>
    </row>
    <row r="285" spans="1:68" x14ac:dyDescent="0.25">
      <c r="A285" s="62" t="s">
        <v>445</v>
      </c>
      <c r="B285" s="63"/>
      <c r="C285" s="63"/>
      <c r="D285" s="64"/>
      <c r="E285" s="66"/>
      <c r="F285" s="102" t="str">
        <f>HYPERLINK("https://pbs.twimg.com/profile_images/1561223677521252352/SgC_Dtag_normal.jpg")</f>
        <v>https://pbs.twimg.com/profile_images/1561223677521252352/SgC_Dtag_normal.jpg</v>
      </c>
      <c r="G285" s="63"/>
      <c r="H285" s="67"/>
      <c r="I285" s="68"/>
      <c r="J285" s="68"/>
      <c r="K285" s="67" t="s">
        <v>18988</v>
      </c>
      <c r="L285" s="71"/>
      <c r="M285" s="72"/>
      <c r="N285" s="72"/>
      <c r="O285" s="73"/>
      <c r="P285" s="74"/>
      <c r="Q285" s="74"/>
      <c r="R285" s="86"/>
      <c r="S285" s="86"/>
      <c r="T285" s="86"/>
      <c r="U285" s="86"/>
      <c r="V285" s="48"/>
      <c r="W285" s="48"/>
      <c r="X285" s="48"/>
      <c r="Y285" s="48"/>
      <c r="Z285" s="47"/>
      <c r="AA285" s="69">
        <v>285</v>
      </c>
      <c r="AB285" s="69"/>
      <c r="AC285" s="70"/>
      <c r="AD285" s="76" t="s">
        <v>16714</v>
      </c>
      <c r="AE285" s="81" t="s">
        <v>15942</v>
      </c>
      <c r="AF285" s="76">
        <v>16</v>
      </c>
      <c r="AG285" s="76">
        <v>8</v>
      </c>
      <c r="AH285" s="76">
        <v>1325</v>
      </c>
      <c r="AI285" s="76">
        <v>0</v>
      </c>
      <c r="AJ285" s="76">
        <v>1326</v>
      </c>
      <c r="AK285" s="76">
        <v>432</v>
      </c>
      <c r="AL285" s="76" t="b">
        <v>0</v>
      </c>
      <c r="AM285" s="78">
        <v>43774.876458333332</v>
      </c>
      <c r="AN285" s="76"/>
      <c r="AO285" s="76" t="s">
        <v>17897</v>
      </c>
      <c r="AP285" s="83" t="str">
        <f>HYPERLINK("https://t.co/RT6wcXTbh9")</f>
        <v>https://t.co/RT6wcXTbh9</v>
      </c>
      <c r="AQ285" s="83" t="str">
        <f>HYPERLINK("https://youtube.com/channel/UC_jVzupzlcgJi4fvS72kVyQ")</f>
        <v>https://youtube.com/channel/UC_jVzupzlcgJi4fvS72kVyQ</v>
      </c>
      <c r="AR285" s="76" t="s">
        <v>18403</v>
      </c>
      <c r="AS285" s="76"/>
      <c r="AT285" s="76"/>
      <c r="AU285" s="76"/>
      <c r="AV285" s="76">
        <v>1.1918530970074701E+18</v>
      </c>
      <c r="AW285" s="83" t="str">
        <f>HYPERLINK("https://t.co/RT6wcXTbh9")</f>
        <v>https://t.co/RT6wcXTbh9</v>
      </c>
      <c r="AX285" s="76" t="b">
        <v>0</v>
      </c>
      <c r="AY285" s="76"/>
      <c r="AZ285" s="76"/>
      <c r="BA285" s="76" t="b">
        <v>0</v>
      </c>
      <c r="BB285" s="76" t="b">
        <v>1</v>
      </c>
      <c r="BC285" s="76" t="b">
        <v>1</v>
      </c>
      <c r="BD285" s="76" t="b">
        <v>0</v>
      </c>
      <c r="BE285" s="76" t="b">
        <v>0</v>
      </c>
      <c r="BF285" s="76" t="b">
        <v>0</v>
      </c>
      <c r="BG285" s="76" t="b">
        <v>0</v>
      </c>
      <c r="BH285" s="83" t="str">
        <f>HYPERLINK("https://pbs.twimg.com/profile_banners/1191819222550294528/1673236828")</f>
        <v>https://pbs.twimg.com/profile_banners/1191819222550294528/1673236828</v>
      </c>
      <c r="BI285" s="76"/>
      <c r="BJ285" s="76" t="s">
        <v>18704</v>
      </c>
      <c r="BK285" s="76" t="b">
        <v>0</v>
      </c>
      <c r="BL285" s="76"/>
      <c r="BM285" s="76" t="s">
        <v>66</v>
      </c>
      <c r="BN285" s="76" t="s">
        <v>18706</v>
      </c>
      <c r="BO285" s="83" t="str">
        <f>HYPERLINK("https://twitter.com/mundo_asmr")</f>
        <v>https://twitter.com/mundo_asmr</v>
      </c>
      <c r="BP285" s="2"/>
    </row>
    <row r="286" spans="1:68" x14ac:dyDescent="0.25">
      <c r="A286" s="62" t="s">
        <v>446</v>
      </c>
      <c r="B286" s="63"/>
      <c r="C286" s="63"/>
      <c r="D286" s="64"/>
      <c r="E286" s="66"/>
      <c r="F286" s="102" t="str">
        <f>HYPERLINK("https://pbs.twimg.com/profile_images/1702691101981741056/2MD3G9Pw_normal.jpg")</f>
        <v>https://pbs.twimg.com/profile_images/1702691101981741056/2MD3G9Pw_normal.jpg</v>
      </c>
      <c r="G286" s="63"/>
      <c r="H286" s="67"/>
      <c r="I286" s="68"/>
      <c r="J286" s="68"/>
      <c r="K286" s="67" t="s">
        <v>18989</v>
      </c>
      <c r="L286" s="71"/>
      <c r="M286" s="72"/>
      <c r="N286" s="72"/>
      <c r="O286" s="73"/>
      <c r="P286" s="74"/>
      <c r="Q286" s="74"/>
      <c r="R286" s="86"/>
      <c r="S286" s="86"/>
      <c r="T286" s="86"/>
      <c r="U286" s="86"/>
      <c r="V286" s="48"/>
      <c r="W286" s="48"/>
      <c r="X286" s="48"/>
      <c r="Y286" s="48"/>
      <c r="Z286" s="47"/>
      <c r="AA286" s="69">
        <v>286</v>
      </c>
      <c r="AB286" s="69"/>
      <c r="AC286" s="70"/>
      <c r="AD286" s="76" t="s">
        <v>16715</v>
      </c>
      <c r="AE286" s="81" t="s">
        <v>16236</v>
      </c>
      <c r="AF286" s="76">
        <v>3</v>
      </c>
      <c r="AG286" s="76">
        <v>34</v>
      </c>
      <c r="AH286" s="76">
        <v>20</v>
      </c>
      <c r="AI286" s="76">
        <v>0</v>
      </c>
      <c r="AJ286" s="76">
        <v>27</v>
      </c>
      <c r="AK286" s="76">
        <v>12</v>
      </c>
      <c r="AL286" s="76" t="b">
        <v>0</v>
      </c>
      <c r="AM286" s="78">
        <v>45184.598124999997</v>
      </c>
      <c r="AN286" s="76" t="s">
        <v>17508</v>
      </c>
      <c r="AO286" s="76" t="s">
        <v>17898</v>
      </c>
      <c r="AP286" s="83" t="str">
        <f>HYPERLINK("https://t.co/HhkLSXuBXZ")</f>
        <v>https://t.co/HhkLSXuBXZ</v>
      </c>
      <c r="AQ286" s="83" t="str">
        <f>HYPERLINK("http://Forestaugreen.com")</f>
        <v>http://Forestaugreen.com</v>
      </c>
      <c r="AR286" s="76" t="s">
        <v>18404</v>
      </c>
      <c r="AS286" s="76"/>
      <c r="AT286" s="76"/>
      <c r="AU286" s="76"/>
      <c r="AV286" s="76"/>
      <c r="AW286" s="83" t="str">
        <f>HYPERLINK("https://t.co/HhkLSXuBXZ")</f>
        <v>https://t.co/HhkLSXuBXZ</v>
      </c>
      <c r="AX286" s="76" t="b">
        <v>0</v>
      </c>
      <c r="AY286" s="76"/>
      <c r="AZ286" s="76"/>
      <c r="BA286" s="76" t="b">
        <v>0</v>
      </c>
      <c r="BB286" s="76" t="b">
        <v>1</v>
      </c>
      <c r="BC286" s="76" t="b">
        <v>1</v>
      </c>
      <c r="BD286" s="76" t="b">
        <v>0</v>
      </c>
      <c r="BE286" s="76" t="b">
        <v>0</v>
      </c>
      <c r="BF286" s="76" t="b">
        <v>0</v>
      </c>
      <c r="BG286" s="76" t="b">
        <v>0</v>
      </c>
      <c r="BH286" s="83" t="str">
        <f>HYPERLINK("https://pbs.twimg.com/profile_banners/1702688997745537024/1694788256")</f>
        <v>https://pbs.twimg.com/profile_banners/1702688997745537024/1694788256</v>
      </c>
      <c r="BI286" s="76"/>
      <c r="BJ286" s="76" t="s">
        <v>18704</v>
      </c>
      <c r="BK286" s="76" t="b">
        <v>0</v>
      </c>
      <c r="BL286" s="76"/>
      <c r="BM286" s="76" t="s">
        <v>66</v>
      </c>
      <c r="BN286" s="76" t="s">
        <v>18706</v>
      </c>
      <c r="BO286" s="83" t="str">
        <f>HYPERLINK("https://twitter.com/forestausale")</f>
        <v>https://twitter.com/forestausale</v>
      </c>
      <c r="BP286" s="2"/>
    </row>
    <row r="287" spans="1:68" x14ac:dyDescent="0.25">
      <c r="A287" s="62" t="s">
        <v>448</v>
      </c>
      <c r="B287" s="63"/>
      <c r="C287" s="63"/>
      <c r="D287" s="64"/>
      <c r="E287" s="66"/>
      <c r="F287" s="102" t="str">
        <f>HYPERLINK("https://pbs.twimg.com/profile_images/1678503827635425283/1xfVBbdn_normal.jpg")</f>
        <v>https://pbs.twimg.com/profile_images/1678503827635425283/1xfVBbdn_normal.jpg</v>
      </c>
      <c r="G287" s="63"/>
      <c r="H287" s="67"/>
      <c r="I287" s="68"/>
      <c r="J287" s="68"/>
      <c r="K287" s="67" t="s">
        <v>18990</v>
      </c>
      <c r="L287" s="71"/>
      <c r="M287" s="72"/>
      <c r="N287" s="72"/>
      <c r="O287" s="73"/>
      <c r="P287" s="74"/>
      <c r="Q287" s="74"/>
      <c r="R287" s="86"/>
      <c r="S287" s="86"/>
      <c r="T287" s="86"/>
      <c r="U287" s="86"/>
      <c r="V287" s="48"/>
      <c r="W287" s="48"/>
      <c r="X287" s="48"/>
      <c r="Y287" s="48"/>
      <c r="Z287" s="47"/>
      <c r="AA287" s="69">
        <v>287</v>
      </c>
      <c r="AB287" s="69"/>
      <c r="AC287" s="70"/>
      <c r="AD287" s="76" t="s">
        <v>16716</v>
      </c>
      <c r="AE287" s="81" t="s">
        <v>17210</v>
      </c>
      <c r="AF287" s="76">
        <v>391</v>
      </c>
      <c r="AG287" s="76">
        <v>214</v>
      </c>
      <c r="AH287" s="76">
        <v>200</v>
      </c>
      <c r="AI287" s="76">
        <v>6</v>
      </c>
      <c r="AJ287" s="76">
        <v>44</v>
      </c>
      <c r="AK287" s="76">
        <v>44</v>
      </c>
      <c r="AL287" s="76" t="b">
        <v>0</v>
      </c>
      <c r="AM287" s="78">
        <v>42101.834548611114</v>
      </c>
      <c r="AN287" s="76" t="s">
        <v>17509</v>
      </c>
      <c r="AO287" s="76" t="s">
        <v>17899</v>
      </c>
      <c r="AP287" s="83" t="str">
        <f>HYPERLINK("https://t.co/NmjvRqMP39")</f>
        <v>https://t.co/NmjvRqMP39</v>
      </c>
      <c r="AQ287" s="83" t="str">
        <f>HYPERLINK("http://www.eduardoconesa.com.ar")</f>
        <v>http://www.eduardoconesa.com.ar</v>
      </c>
      <c r="AR287" s="76" t="s">
        <v>18405</v>
      </c>
      <c r="AS287" s="76"/>
      <c r="AT287" s="76"/>
      <c r="AU287" s="76"/>
      <c r="AV287" s="76">
        <v>1.5428461212397801E+18</v>
      </c>
      <c r="AW287" s="83" t="str">
        <f>HYPERLINK("https://t.co/NmjvRqMP39")</f>
        <v>https://t.co/NmjvRqMP39</v>
      </c>
      <c r="AX287" s="76" t="b">
        <v>0</v>
      </c>
      <c r="AY287" s="76"/>
      <c r="AZ287" s="76"/>
      <c r="BA287" s="76" t="b">
        <v>0</v>
      </c>
      <c r="BB287" s="76" t="b">
        <v>1</v>
      </c>
      <c r="BC287" s="76" t="b">
        <v>1</v>
      </c>
      <c r="BD287" s="76" t="b">
        <v>0</v>
      </c>
      <c r="BE287" s="76" t="b">
        <v>0</v>
      </c>
      <c r="BF287" s="76" t="b">
        <v>0</v>
      </c>
      <c r="BG287" s="76" t="b">
        <v>0</v>
      </c>
      <c r="BH287" s="83" t="str">
        <f>HYPERLINK("https://pbs.twimg.com/profile_banners/3145323581/1663599714")</f>
        <v>https://pbs.twimg.com/profile_banners/3145323581/1663599714</v>
      </c>
      <c r="BI287" s="76"/>
      <c r="BJ287" s="76" t="s">
        <v>18704</v>
      </c>
      <c r="BK287" s="76" t="b">
        <v>0</v>
      </c>
      <c r="BL287" s="76"/>
      <c r="BM287" s="76" t="s">
        <v>66</v>
      </c>
      <c r="BN287" s="76" t="s">
        <v>18706</v>
      </c>
      <c r="BO287" s="83" t="str">
        <f>HYPERLINK("https://twitter.com/edconesa")</f>
        <v>https://twitter.com/edconesa</v>
      </c>
      <c r="BP287" s="2"/>
    </row>
    <row r="288" spans="1:68" x14ac:dyDescent="0.25">
      <c r="A288" s="62" t="s">
        <v>449</v>
      </c>
      <c r="B288" s="63"/>
      <c r="C288" s="63"/>
      <c r="D288" s="64"/>
      <c r="E288" s="66"/>
      <c r="F288" s="102" t="str">
        <f>HYPERLINK("https://pbs.twimg.com/profile_images/1181220544785584128/YUICrsyV_normal.jpg")</f>
        <v>https://pbs.twimg.com/profile_images/1181220544785584128/YUICrsyV_normal.jpg</v>
      </c>
      <c r="G288" s="63"/>
      <c r="H288" s="67"/>
      <c r="I288" s="68"/>
      <c r="J288" s="68"/>
      <c r="K288" s="67" t="s">
        <v>18991</v>
      </c>
      <c r="L288" s="71"/>
      <c r="M288" s="72"/>
      <c r="N288" s="72"/>
      <c r="O288" s="73"/>
      <c r="P288" s="74"/>
      <c r="Q288" s="74"/>
      <c r="R288" s="86"/>
      <c r="S288" s="86"/>
      <c r="T288" s="86"/>
      <c r="U288" s="86"/>
      <c r="V288" s="48"/>
      <c r="W288" s="48"/>
      <c r="X288" s="48"/>
      <c r="Y288" s="48"/>
      <c r="Z288" s="47"/>
      <c r="AA288" s="69">
        <v>288</v>
      </c>
      <c r="AB288" s="69"/>
      <c r="AC288" s="70"/>
      <c r="AD288" s="76" t="s">
        <v>16717</v>
      </c>
      <c r="AE288" s="81" t="s">
        <v>17211</v>
      </c>
      <c r="AF288" s="76">
        <v>31823</v>
      </c>
      <c r="AG288" s="76">
        <v>9</v>
      </c>
      <c r="AH288" s="76">
        <v>21169</v>
      </c>
      <c r="AI288" s="76">
        <v>618</v>
      </c>
      <c r="AJ288" s="76">
        <v>117</v>
      </c>
      <c r="AK288" s="76">
        <v>612</v>
      </c>
      <c r="AL288" s="76" t="b">
        <v>0</v>
      </c>
      <c r="AM288" s="78">
        <v>39875.475370370368</v>
      </c>
      <c r="AN288" s="76" t="s">
        <v>10570</v>
      </c>
      <c r="AO288" s="76" t="s">
        <v>17900</v>
      </c>
      <c r="AP288" s="83" t="str">
        <f>HYPERLINK("https://t.co/LFeUI3dgIe")</f>
        <v>https://t.co/LFeUI3dgIe</v>
      </c>
      <c r="AQ288" s="83" t="str">
        <f>HYPERLINK("https://linktr.ee/agorainvestimentos")</f>
        <v>https://linktr.ee/agorainvestimentos</v>
      </c>
      <c r="AR288" s="76" t="s">
        <v>18406</v>
      </c>
      <c r="AS288" s="76"/>
      <c r="AT288" s="76"/>
      <c r="AU288" s="76"/>
      <c r="AV288" s="76">
        <v>1.6890188366016699E+18</v>
      </c>
      <c r="AW288" s="83" t="str">
        <f>HYPERLINK("https://t.co/LFeUI3dgIe")</f>
        <v>https://t.co/LFeUI3dgIe</v>
      </c>
      <c r="AX288" s="76" t="b">
        <v>0</v>
      </c>
      <c r="AY288" s="76"/>
      <c r="AZ288" s="76"/>
      <c r="BA288" s="76" t="b">
        <v>1</v>
      </c>
      <c r="BB288" s="76" t="b">
        <v>1</v>
      </c>
      <c r="BC288" s="76" t="b">
        <v>0</v>
      </c>
      <c r="BD288" s="76" t="b">
        <v>0</v>
      </c>
      <c r="BE288" s="76" t="b">
        <v>1</v>
      </c>
      <c r="BF288" s="76" t="b">
        <v>0</v>
      </c>
      <c r="BG288" s="76" t="b">
        <v>0</v>
      </c>
      <c r="BH288" s="83" t="str">
        <f>HYPERLINK("https://pbs.twimg.com/profile_banners/22611794/1691527154")</f>
        <v>https://pbs.twimg.com/profile_banners/22611794/1691527154</v>
      </c>
      <c r="BI288" s="76"/>
      <c r="BJ288" s="76" t="s">
        <v>18704</v>
      </c>
      <c r="BK288" s="76" t="b">
        <v>0</v>
      </c>
      <c r="BL288" s="76"/>
      <c r="BM288" s="76" t="s">
        <v>66</v>
      </c>
      <c r="BN288" s="76" t="s">
        <v>18706</v>
      </c>
      <c r="BO288" s="83" t="str">
        <f>HYPERLINK("https://twitter.com/agoracorretora")</f>
        <v>https://twitter.com/agoracorretora</v>
      </c>
      <c r="BP288" s="2"/>
    </row>
    <row r="289" spans="1:68" x14ac:dyDescent="0.25">
      <c r="A289" s="62" t="s">
        <v>450</v>
      </c>
      <c r="B289" s="63"/>
      <c r="C289" s="63"/>
      <c r="D289" s="64"/>
      <c r="E289" s="66"/>
      <c r="F289" s="102" t="str">
        <f>HYPERLINK("https://abs.twimg.com/sticky/default_profile_images/default_profile_normal.png")</f>
        <v>https://abs.twimg.com/sticky/default_profile_images/default_profile_normal.png</v>
      </c>
      <c r="G289" s="63"/>
      <c r="H289" s="67"/>
      <c r="I289" s="68"/>
      <c r="J289" s="68"/>
      <c r="K289" s="67" t="s">
        <v>18992</v>
      </c>
      <c r="L289" s="71"/>
      <c r="M289" s="72"/>
      <c r="N289" s="72"/>
      <c r="O289" s="73"/>
      <c r="P289" s="74"/>
      <c r="Q289" s="74"/>
      <c r="R289" s="86"/>
      <c r="S289" s="86"/>
      <c r="T289" s="86"/>
      <c r="U289" s="86"/>
      <c r="V289" s="48"/>
      <c r="W289" s="48"/>
      <c r="X289" s="48"/>
      <c r="Y289" s="48"/>
      <c r="Z289" s="47"/>
      <c r="AA289" s="69">
        <v>289</v>
      </c>
      <c r="AB289" s="69"/>
      <c r="AC289" s="70"/>
      <c r="AD289" s="76" t="s">
        <v>16718</v>
      </c>
      <c r="AE289" s="81" t="s">
        <v>16238</v>
      </c>
      <c r="AF289" s="76">
        <v>315</v>
      </c>
      <c r="AG289" s="76">
        <v>5002</v>
      </c>
      <c r="AH289" s="76">
        <v>17485</v>
      </c>
      <c r="AI289" s="76">
        <v>1</v>
      </c>
      <c r="AJ289" s="76">
        <v>35449</v>
      </c>
      <c r="AK289" s="76">
        <v>201</v>
      </c>
      <c r="AL289" s="76" t="b">
        <v>0</v>
      </c>
      <c r="AM289" s="78">
        <v>42577.702650462961</v>
      </c>
      <c r="AN289" s="76"/>
      <c r="AO289" s="76"/>
      <c r="AP289" s="76"/>
      <c r="AQ289" s="76"/>
      <c r="AR289" s="76"/>
      <c r="AS289" s="76"/>
      <c r="AT289" s="76"/>
      <c r="AU289" s="76"/>
      <c r="AV289" s="76"/>
      <c r="AW289" s="76"/>
      <c r="AX289" s="76" t="b">
        <v>0</v>
      </c>
      <c r="AY289" s="76"/>
      <c r="AZ289" s="76"/>
      <c r="BA289" s="76" t="b">
        <v>0</v>
      </c>
      <c r="BB289" s="76" t="b">
        <v>1</v>
      </c>
      <c r="BC289" s="76" t="b">
        <v>0</v>
      </c>
      <c r="BD289" s="76" t="b">
        <v>1</v>
      </c>
      <c r="BE289" s="76" t="b">
        <v>1</v>
      </c>
      <c r="BF289" s="76" t="b">
        <v>0</v>
      </c>
      <c r="BG289" s="76" t="b">
        <v>0</v>
      </c>
      <c r="BH289" s="83" t="str">
        <f>HYPERLINK("https://pbs.twimg.com/profile_banners/757981760659591168/1534673151")</f>
        <v>https://pbs.twimg.com/profile_banners/757981760659591168/1534673151</v>
      </c>
      <c r="BI289" s="76"/>
      <c r="BJ289" s="76" t="s">
        <v>18704</v>
      </c>
      <c r="BK289" s="76" t="b">
        <v>0</v>
      </c>
      <c r="BL289" s="76"/>
      <c r="BM289" s="76" t="s">
        <v>66</v>
      </c>
      <c r="BN289" s="76" t="s">
        <v>18706</v>
      </c>
      <c r="BO289" s="83" t="str">
        <f>HYPERLINK("https://twitter.com/nicolslpezm2")</f>
        <v>https://twitter.com/nicolslpezm2</v>
      </c>
      <c r="BP289" s="2"/>
    </row>
    <row r="290" spans="1:68" x14ac:dyDescent="0.25">
      <c r="A290" s="62" t="s">
        <v>451</v>
      </c>
      <c r="B290" s="63"/>
      <c r="C290" s="63"/>
      <c r="D290" s="64"/>
      <c r="E290" s="66"/>
      <c r="F290" s="102" t="str">
        <f>HYPERLINK("https://pbs.twimg.com/profile_images/1577416916137783296/cSzvAevD_normal.jpg")</f>
        <v>https://pbs.twimg.com/profile_images/1577416916137783296/cSzvAevD_normal.jpg</v>
      </c>
      <c r="G290" s="63"/>
      <c r="H290" s="67"/>
      <c r="I290" s="68"/>
      <c r="J290" s="68"/>
      <c r="K290" s="67" t="s">
        <v>18993</v>
      </c>
      <c r="L290" s="71"/>
      <c r="M290" s="72"/>
      <c r="N290" s="72"/>
      <c r="O290" s="73"/>
      <c r="P290" s="74"/>
      <c r="Q290" s="74"/>
      <c r="R290" s="86"/>
      <c r="S290" s="86"/>
      <c r="T290" s="86"/>
      <c r="U290" s="86"/>
      <c r="V290" s="48"/>
      <c r="W290" s="48"/>
      <c r="X290" s="48"/>
      <c r="Y290" s="48"/>
      <c r="Z290" s="47"/>
      <c r="AA290" s="69">
        <v>290</v>
      </c>
      <c r="AB290" s="69"/>
      <c r="AC290" s="70"/>
      <c r="AD290" s="76" t="s">
        <v>16719</v>
      </c>
      <c r="AE290" s="81" t="s">
        <v>17212</v>
      </c>
      <c r="AF290" s="76">
        <v>24870</v>
      </c>
      <c r="AG290" s="76">
        <v>7989</v>
      </c>
      <c r="AH290" s="76">
        <v>207698</v>
      </c>
      <c r="AI290" s="76">
        <v>350</v>
      </c>
      <c r="AJ290" s="76">
        <v>232115</v>
      </c>
      <c r="AK290" s="76">
        <v>5337</v>
      </c>
      <c r="AL290" s="76" t="b">
        <v>0</v>
      </c>
      <c r="AM290" s="78">
        <v>39483.899444444447</v>
      </c>
      <c r="AN290" s="76" t="s">
        <v>17510</v>
      </c>
      <c r="AO290" s="76" t="s">
        <v>17901</v>
      </c>
      <c r="AP290" s="83" t="str">
        <f>HYPERLINK("https://t.co/l21XHQxu9P")</f>
        <v>https://t.co/l21XHQxu9P</v>
      </c>
      <c r="AQ290" s="83" t="str">
        <f>HYPERLINK("https://linktr.ee/lilianeferrari")</f>
        <v>https://linktr.ee/lilianeferrari</v>
      </c>
      <c r="AR290" s="76" t="s">
        <v>18407</v>
      </c>
      <c r="AS290" s="76"/>
      <c r="AT290" s="76"/>
      <c r="AU290" s="76"/>
      <c r="AV290" s="76">
        <v>1.7049915715552799E+18</v>
      </c>
      <c r="AW290" s="83" t="str">
        <f>HYPERLINK("https://t.co/l21XHQxu9P")</f>
        <v>https://t.co/l21XHQxu9P</v>
      </c>
      <c r="AX290" s="76" t="b">
        <v>0</v>
      </c>
      <c r="AY290" s="76"/>
      <c r="AZ290" s="76"/>
      <c r="BA290" s="76" t="b">
        <v>0</v>
      </c>
      <c r="BB290" s="76" t="b">
        <v>0</v>
      </c>
      <c r="BC290" s="76" t="b">
        <v>0</v>
      </c>
      <c r="BD290" s="76" t="b">
        <v>0</v>
      </c>
      <c r="BE290" s="76" t="b">
        <v>1</v>
      </c>
      <c r="BF290" s="76" t="b">
        <v>0</v>
      </c>
      <c r="BG290" s="76" t="b">
        <v>0</v>
      </c>
      <c r="BH290" s="83" t="str">
        <f>HYPERLINK("https://pbs.twimg.com/profile_banners/13113932/1687537779")</f>
        <v>https://pbs.twimg.com/profile_banners/13113932/1687537779</v>
      </c>
      <c r="BI290" s="76"/>
      <c r="BJ290" s="76" t="s">
        <v>18704</v>
      </c>
      <c r="BK290" s="76" t="b">
        <v>0</v>
      </c>
      <c r="BL290" s="76"/>
      <c r="BM290" s="76" t="s">
        <v>66</v>
      </c>
      <c r="BN290" s="76" t="s">
        <v>18706</v>
      </c>
      <c r="BO290" s="83" t="str">
        <f>HYPERLINK("https://twitter.com/lilianeferrari")</f>
        <v>https://twitter.com/lilianeferrari</v>
      </c>
      <c r="BP290" s="2"/>
    </row>
    <row r="291" spans="1:68" x14ac:dyDescent="0.25">
      <c r="A291" s="62" t="s">
        <v>452</v>
      </c>
      <c r="B291" s="63"/>
      <c r="C291" s="63"/>
      <c r="D291" s="64"/>
      <c r="E291" s="66"/>
      <c r="F291" s="102" t="str">
        <f>HYPERLINK("https://pbs.twimg.com/profile_images/1683664075098669057/erdBkVoh_normal.jpg")</f>
        <v>https://pbs.twimg.com/profile_images/1683664075098669057/erdBkVoh_normal.jpg</v>
      </c>
      <c r="G291" s="63"/>
      <c r="H291" s="67"/>
      <c r="I291" s="68"/>
      <c r="J291" s="68"/>
      <c r="K291" s="67" t="s">
        <v>18994</v>
      </c>
      <c r="L291" s="71"/>
      <c r="M291" s="72"/>
      <c r="N291" s="72"/>
      <c r="O291" s="73"/>
      <c r="P291" s="74"/>
      <c r="Q291" s="74"/>
      <c r="R291" s="86"/>
      <c r="S291" s="86"/>
      <c r="T291" s="86"/>
      <c r="U291" s="86"/>
      <c r="V291" s="48"/>
      <c r="W291" s="48"/>
      <c r="X291" s="48"/>
      <c r="Y291" s="48"/>
      <c r="Z291" s="47"/>
      <c r="AA291" s="69">
        <v>291</v>
      </c>
      <c r="AB291" s="69"/>
      <c r="AC291" s="70"/>
      <c r="AD291" s="76" t="s">
        <v>16720</v>
      </c>
      <c r="AE291" s="81" t="s">
        <v>15943</v>
      </c>
      <c r="AF291" s="76">
        <v>86</v>
      </c>
      <c r="AG291" s="76">
        <v>358</v>
      </c>
      <c r="AH291" s="76">
        <v>10162</v>
      </c>
      <c r="AI291" s="76">
        <v>0</v>
      </c>
      <c r="AJ291" s="76">
        <v>33747</v>
      </c>
      <c r="AK291" s="76">
        <v>1512</v>
      </c>
      <c r="AL291" s="76" t="b">
        <v>0</v>
      </c>
      <c r="AM291" s="78">
        <v>40637.564131944448</v>
      </c>
      <c r="AN291" s="76"/>
      <c r="AO291" s="76" t="s">
        <v>17902</v>
      </c>
      <c r="AP291" s="83" t="str">
        <f>HYPERLINK("https://t.co/VIJis1ojcA")</f>
        <v>https://t.co/VIJis1ojcA</v>
      </c>
      <c r="AQ291" s="83" t="str">
        <f>HYPERLINK("https://leadr.com.br/share/profile/index.html?pro")</f>
        <v>https://leadr.com.br/share/profile/index.html?pro</v>
      </c>
      <c r="AR291" s="76" t="s">
        <v>18408</v>
      </c>
      <c r="AS291" s="76"/>
      <c r="AT291" s="76"/>
      <c r="AU291" s="76"/>
      <c r="AV291" s="76">
        <v>1.09721683154536E+18</v>
      </c>
      <c r="AW291" s="83" t="str">
        <f>HYPERLINK("https://t.co/VIJis1ojcA")</f>
        <v>https://t.co/VIJis1ojcA</v>
      </c>
      <c r="AX291" s="76" t="b">
        <v>0</v>
      </c>
      <c r="AY291" s="76"/>
      <c r="AZ291" s="76"/>
      <c r="BA291" s="76" t="b">
        <v>0</v>
      </c>
      <c r="BB291" s="76" t="b">
        <v>1</v>
      </c>
      <c r="BC291" s="76" t="b">
        <v>0</v>
      </c>
      <c r="BD291" s="76" t="b">
        <v>0</v>
      </c>
      <c r="BE291" s="76" t="b">
        <v>1</v>
      </c>
      <c r="BF291" s="76" t="b">
        <v>0</v>
      </c>
      <c r="BG291" s="76" t="b">
        <v>0</v>
      </c>
      <c r="BH291" s="83" t="str">
        <f>HYPERLINK("https://pbs.twimg.com/profile_banners/276983166/1678754985")</f>
        <v>https://pbs.twimg.com/profile_banners/276983166/1678754985</v>
      </c>
      <c r="BI291" s="76"/>
      <c r="BJ291" s="76" t="s">
        <v>18704</v>
      </c>
      <c r="BK291" s="76" t="b">
        <v>0</v>
      </c>
      <c r="BL291" s="76"/>
      <c r="BM291" s="76" t="s">
        <v>66</v>
      </c>
      <c r="BN291" s="76" t="s">
        <v>18706</v>
      </c>
      <c r="BO291" s="83" t="str">
        <f>HYPERLINK("https://twitter.com/careca4p")</f>
        <v>https://twitter.com/careca4p</v>
      </c>
      <c r="BP291" s="2"/>
    </row>
    <row r="292" spans="1:68" x14ac:dyDescent="0.25">
      <c r="A292" s="62" t="s">
        <v>453</v>
      </c>
      <c r="B292" s="63"/>
      <c r="C292" s="63"/>
      <c r="D292" s="64"/>
      <c r="E292" s="66"/>
      <c r="F292" s="102" t="str">
        <f>HYPERLINK("https://pbs.twimg.com/profile_images/1630048707226763265/beny6FI2_normal.jpg")</f>
        <v>https://pbs.twimg.com/profile_images/1630048707226763265/beny6FI2_normal.jpg</v>
      </c>
      <c r="G292" s="63"/>
      <c r="H292" s="67"/>
      <c r="I292" s="68"/>
      <c r="J292" s="68"/>
      <c r="K292" s="67" t="s">
        <v>18995</v>
      </c>
      <c r="L292" s="71"/>
      <c r="M292" s="72"/>
      <c r="N292" s="72"/>
      <c r="O292" s="73"/>
      <c r="P292" s="74"/>
      <c r="Q292" s="74"/>
      <c r="R292" s="86"/>
      <c r="S292" s="86"/>
      <c r="T292" s="86"/>
      <c r="U292" s="86"/>
      <c r="V292" s="48"/>
      <c r="W292" s="48"/>
      <c r="X292" s="48"/>
      <c r="Y292" s="48"/>
      <c r="Z292" s="47"/>
      <c r="AA292" s="69">
        <v>292</v>
      </c>
      <c r="AB292" s="69"/>
      <c r="AC292" s="70"/>
      <c r="AD292" s="76" t="s">
        <v>16721</v>
      </c>
      <c r="AE292" s="81" t="s">
        <v>15944</v>
      </c>
      <c r="AF292" s="76">
        <v>120</v>
      </c>
      <c r="AG292" s="76">
        <v>786</v>
      </c>
      <c r="AH292" s="76">
        <v>249</v>
      </c>
      <c r="AI292" s="76">
        <v>4</v>
      </c>
      <c r="AJ292" s="76">
        <v>5445</v>
      </c>
      <c r="AK292" s="76">
        <v>9</v>
      </c>
      <c r="AL292" s="76" t="b">
        <v>0</v>
      </c>
      <c r="AM292" s="78">
        <v>40018.650937500002</v>
      </c>
      <c r="AN292" s="76" t="s">
        <v>10607</v>
      </c>
      <c r="AO292" s="76"/>
      <c r="AP292" s="76"/>
      <c r="AQ292" s="76"/>
      <c r="AR292" s="76"/>
      <c r="AS292" s="76"/>
      <c r="AT292" s="76"/>
      <c r="AU292" s="76"/>
      <c r="AV292" s="76"/>
      <c r="AW292" s="76"/>
      <c r="AX292" s="76" t="b">
        <v>0</v>
      </c>
      <c r="AY292" s="76"/>
      <c r="AZ292" s="76"/>
      <c r="BA292" s="76" t="b">
        <v>0</v>
      </c>
      <c r="BB292" s="76" t="b">
        <v>1</v>
      </c>
      <c r="BC292" s="76" t="b">
        <v>1</v>
      </c>
      <c r="BD292" s="76" t="b">
        <v>0</v>
      </c>
      <c r="BE292" s="76" t="b">
        <v>1</v>
      </c>
      <c r="BF292" s="76" t="b">
        <v>0</v>
      </c>
      <c r="BG292" s="76" t="b">
        <v>0</v>
      </c>
      <c r="BH292" s="76"/>
      <c r="BI292" s="76"/>
      <c r="BJ292" s="76" t="s">
        <v>18704</v>
      </c>
      <c r="BK292" s="76" t="b">
        <v>0</v>
      </c>
      <c r="BL292" s="76"/>
      <c r="BM292" s="76" t="s">
        <v>66</v>
      </c>
      <c r="BN292" s="76" t="s">
        <v>18706</v>
      </c>
      <c r="BO292" s="83" t="str">
        <f>HYPERLINK("https://twitter.com/sousadavi")</f>
        <v>https://twitter.com/sousadavi</v>
      </c>
      <c r="BP292" s="2"/>
    </row>
    <row r="293" spans="1:68" x14ac:dyDescent="0.25">
      <c r="A293" s="62" t="s">
        <v>454</v>
      </c>
      <c r="B293" s="63"/>
      <c r="C293" s="63"/>
      <c r="D293" s="64"/>
      <c r="E293" s="66"/>
      <c r="F293" s="102" t="str">
        <f>HYPERLINK("https://pbs.twimg.com/profile_images/1526992534542622723/Z9JpYTbd_normal.jpg")</f>
        <v>https://pbs.twimg.com/profile_images/1526992534542622723/Z9JpYTbd_normal.jpg</v>
      </c>
      <c r="G293" s="63"/>
      <c r="H293" s="67"/>
      <c r="I293" s="68"/>
      <c r="J293" s="68"/>
      <c r="K293" s="67" t="s">
        <v>18996</v>
      </c>
      <c r="L293" s="71"/>
      <c r="M293" s="72"/>
      <c r="N293" s="72"/>
      <c r="O293" s="73"/>
      <c r="P293" s="74"/>
      <c r="Q293" s="74"/>
      <c r="R293" s="86"/>
      <c r="S293" s="86"/>
      <c r="T293" s="86"/>
      <c r="U293" s="86"/>
      <c r="V293" s="48"/>
      <c r="W293" s="48"/>
      <c r="X293" s="48"/>
      <c r="Y293" s="48"/>
      <c r="Z293" s="47"/>
      <c r="AA293" s="69">
        <v>293</v>
      </c>
      <c r="AB293" s="69"/>
      <c r="AC293" s="70"/>
      <c r="AD293" s="76" t="s">
        <v>16722</v>
      </c>
      <c r="AE293" s="81" t="s">
        <v>17213</v>
      </c>
      <c r="AF293" s="76">
        <v>1042</v>
      </c>
      <c r="AG293" s="76">
        <v>2256</v>
      </c>
      <c r="AH293" s="76">
        <v>18631</v>
      </c>
      <c r="AI293" s="76">
        <v>31</v>
      </c>
      <c r="AJ293" s="76">
        <v>40014</v>
      </c>
      <c r="AK293" s="76">
        <v>367</v>
      </c>
      <c r="AL293" s="76" t="b">
        <v>0</v>
      </c>
      <c r="AM293" s="78">
        <v>41118.452905092592</v>
      </c>
      <c r="AN293" s="76" t="s">
        <v>17511</v>
      </c>
      <c r="AO293" s="76" t="s">
        <v>17903</v>
      </c>
      <c r="AP293" s="76"/>
      <c r="AQ293" s="76"/>
      <c r="AR293" s="76"/>
      <c r="AS293" s="76"/>
      <c r="AT293" s="76"/>
      <c r="AU293" s="76"/>
      <c r="AV293" s="76">
        <v>1.25993353269422E+18</v>
      </c>
      <c r="AW293" s="76"/>
      <c r="AX293" s="76" t="b">
        <v>0</v>
      </c>
      <c r="AY293" s="76"/>
      <c r="AZ293" s="76"/>
      <c r="BA293" s="76" t="b">
        <v>0</v>
      </c>
      <c r="BB293" s="76" t="b">
        <v>0</v>
      </c>
      <c r="BC293" s="76" t="b">
        <v>0</v>
      </c>
      <c r="BD293" s="76" t="b">
        <v>0</v>
      </c>
      <c r="BE293" s="76" t="b">
        <v>1</v>
      </c>
      <c r="BF293" s="76" t="b">
        <v>0</v>
      </c>
      <c r="BG293" s="76" t="b">
        <v>0</v>
      </c>
      <c r="BH293" s="83" t="str">
        <f>HYPERLINK("https://pbs.twimg.com/profile_banners/721959078/1532848648")</f>
        <v>https://pbs.twimg.com/profile_banners/721959078/1532848648</v>
      </c>
      <c r="BI293" s="76"/>
      <c r="BJ293" s="76" t="s">
        <v>18704</v>
      </c>
      <c r="BK293" s="76" t="b">
        <v>0</v>
      </c>
      <c r="BL293" s="76"/>
      <c r="BM293" s="76" t="s">
        <v>66</v>
      </c>
      <c r="BN293" s="76" t="s">
        <v>18706</v>
      </c>
      <c r="BO293" s="83" t="str">
        <f>HYPERLINK("https://twitter.com/egonzalez314")</f>
        <v>https://twitter.com/egonzalez314</v>
      </c>
      <c r="BP293" s="2"/>
    </row>
    <row r="294" spans="1:68" x14ac:dyDescent="0.25">
      <c r="A294" s="62" t="s">
        <v>791</v>
      </c>
      <c r="B294" s="63"/>
      <c r="C294" s="63"/>
      <c r="D294" s="64"/>
      <c r="E294" s="66"/>
      <c r="F294" s="102" t="str">
        <f>HYPERLINK("https://pbs.twimg.com/profile_images/1584457397799616512/s2gbSTZr_normal.jpg")</f>
        <v>https://pbs.twimg.com/profile_images/1584457397799616512/s2gbSTZr_normal.jpg</v>
      </c>
      <c r="G294" s="63"/>
      <c r="H294" s="67"/>
      <c r="I294" s="68"/>
      <c r="J294" s="68"/>
      <c r="K294" s="67" t="s">
        <v>18997</v>
      </c>
      <c r="L294" s="71"/>
      <c r="M294" s="72"/>
      <c r="N294" s="72"/>
      <c r="O294" s="73"/>
      <c r="P294" s="74"/>
      <c r="Q294" s="74"/>
      <c r="R294" s="86"/>
      <c r="S294" s="86"/>
      <c r="T294" s="86"/>
      <c r="U294" s="86"/>
      <c r="V294" s="48"/>
      <c r="W294" s="48"/>
      <c r="X294" s="48"/>
      <c r="Y294" s="48"/>
      <c r="Z294" s="47"/>
      <c r="AA294" s="69">
        <v>294</v>
      </c>
      <c r="AB294" s="69"/>
      <c r="AC294" s="70"/>
      <c r="AD294" s="76" t="s">
        <v>16723</v>
      </c>
      <c r="AE294" s="81" t="s">
        <v>17214</v>
      </c>
      <c r="AF294" s="76">
        <v>4995</v>
      </c>
      <c r="AG294" s="76">
        <v>698</v>
      </c>
      <c r="AH294" s="76">
        <v>23956</v>
      </c>
      <c r="AI294" s="76">
        <v>163</v>
      </c>
      <c r="AJ294" s="76">
        <v>3673</v>
      </c>
      <c r="AK294" s="76">
        <v>1728</v>
      </c>
      <c r="AL294" s="76" t="b">
        <v>0</v>
      </c>
      <c r="AM294" s="78">
        <v>40801.711446759262</v>
      </c>
      <c r="AN294" s="76"/>
      <c r="AO294" s="76" t="s">
        <v>17904</v>
      </c>
      <c r="AP294" s="83" t="str">
        <f>HYPERLINK("https://t.co/Pknh8oOfwn")</f>
        <v>https://t.co/Pknh8oOfwn</v>
      </c>
      <c r="AQ294" s="83" t="str">
        <f>HYPERLINK("http://www.linkedin.com/in/laragrana")</f>
        <v>http://www.linkedin.com/in/laragrana</v>
      </c>
      <c r="AR294" s="76" t="s">
        <v>18409</v>
      </c>
      <c r="AS294" s="76"/>
      <c r="AT294" s="76"/>
      <c r="AU294" s="76"/>
      <c r="AV294" s="76"/>
      <c r="AW294" s="83" t="str">
        <f>HYPERLINK("https://t.co/Pknh8oOfwn")</f>
        <v>https://t.co/Pknh8oOfwn</v>
      </c>
      <c r="AX294" s="76" t="b">
        <v>0</v>
      </c>
      <c r="AY294" s="76"/>
      <c r="AZ294" s="76"/>
      <c r="BA294" s="76" t="b">
        <v>1</v>
      </c>
      <c r="BB294" s="76" t="b">
        <v>0</v>
      </c>
      <c r="BC294" s="76" t="b">
        <v>0</v>
      </c>
      <c r="BD294" s="76" t="b">
        <v>0</v>
      </c>
      <c r="BE294" s="76" t="b">
        <v>1</v>
      </c>
      <c r="BF294" s="76" t="b">
        <v>0</v>
      </c>
      <c r="BG294" s="76" t="b">
        <v>0</v>
      </c>
      <c r="BH294" s="83" t="str">
        <f>HYPERLINK("https://pbs.twimg.com/profile_banners/374065715/1666599067")</f>
        <v>https://pbs.twimg.com/profile_banners/374065715/1666599067</v>
      </c>
      <c r="BI294" s="76"/>
      <c r="BJ294" s="76" t="s">
        <v>18704</v>
      </c>
      <c r="BK294" s="76" t="b">
        <v>0</v>
      </c>
      <c r="BL294" s="76"/>
      <c r="BM294" s="76" t="s">
        <v>65</v>
      </c>
      <c r="BN294" s="76" t="s">
        <v>18706</v>
      </c>
      <c r="BO294" s="83" t="str">
        <f>HYPERLINK("https://twitter.com/lara_grana")</f>
        <v>https://twitter.com/lara_grana</v>
      </c>
      <c r="BP294" s="2"/>
    </row>
    <row r="295" spans="1:68" x14ac:dyDescent="0.25">
      <c r="A295" s="62" t="s">
        <v>792</v>
      </c>
      <c r="B295" s="63"/>
      <c r="C295" s="63"/>
      <c r="D295" s="64"/>
      <c r="E295" s="66"/>
      <c r="F295" s="102" t="str">
        <f>HYPERLINK("https://pbs.twimg.com/profile_images/1633952018128592899/2osElwng_normal.jpg")</f>
        <v>https://pbs.twimg.com/profile_images/1633952018128592899/2osElwng_normal.jpg</v>
      </c>
      <c r="G295" s="63"/>
      <c r="H295" s="67"/>
      <c r="I295" s="68"/>
      <c r="J295" s="68"/>
      <c r="K295" s="67" t="s">
        <v>18998</v>
      </c>
      <c r="L295" s="71"/>
      <c r="M295" s="72"/>
      <c r="N295" s="72"/>
      <c r="O295" s="73"/>
      <c r="P295" s="74"/>
      <c r="Q295" s="74"/>
      <c r="R295" s="86"/>
      <c r="S295" s="86"/>
      <c r="T295" s="86"/>
      <c r="U295" s="86"/>
      <c r="V295" s="48"/>
      <c r="W295" s="48"/>
      <c r="X295" s="48"/>
      <c r="Y295" s="48"/>
      <c r="Z295" s="47"/>
      <c r="AA295" s="69">
        <v>295</v>
      </c>
      <c r="AB295" s="69"/>
      <c r="AC295" s="70"/>
      <c r="AD295" s="76" t="s">
        <v>16724</v>
      </c>
      <c r="AE295" s="81" t="s">
        <v>17215</v>
      </c>
      <c r="AF295" s="76">
        <v>186790</v>
      </c>
      <c r="AG295" s="76">
        <v>944</v>
      </c>
      <c r="AH295" s="76">
        <v>276335</v>
      </c>
      <c r="AI295" s="76">
        <v>1567</v>
      </c>
      <c r="AJ295" s="76">
        <v>2871</v>
      </c>
      <c r="AK295" s="76">
        <v>50191</v>
      </c>
      <c r="AL295" s="76" t="b">
        <v>0</v>
      </c>
      <c r="AM295" s="78">
        <v>40316.586747685185</v>
      </c>
      <c r="AN295" s="76" t="s">
        <v>17512</v>
      </c>
      <c r="AO295" s="76" t="s">
        <v>17905</v>
      </c>
      <c r="AP295" s="83" t="str">
        <f>HYPERLINK("https://t.co/p4vVvxAzKv")</f>
        <v>https://t.co/p4vVvxAzKv</v>
      </c>
      <c r="AQ295" s="83" t="str">
        <f>HYPERLINK("https://www.farodevigo.es/")</f>
        <v>https://www.farodevigo.es/</v>
      </c>
      <c r="AR295" s="76" t="s">
        <v>18410</v>
      </c>
      <c r="AS295" s="83" t="str">
        <f>HYPERLINK("https://t.co/AdiTKqKMB1")</f>
        <v>https://t.co/AdiTKqKMB1</v>
      </c>
      <c r="AT295" s="83" t="str">
        <f>HYPERLINK("https://bit.ly/unete-a-faro")</f>
        <v>https://bit.ly/unete-a-faro</v>
      </c>
      <c r="AU295" s="76" t="s">
        <v>18670</v>
      </c>
      <c r="AV295" s="76"/>
      <c r="AW295" s="83" t="str">
        <f>HYPERLINK("https://t.co/p4vVvxAzKv")</f>
        <v>https://t.co/p4vVvxAzKv</v>
      </c>
      <c r="AX295" s="76" t="b">
        <v>0</v>
      </c>
      <c r="AY295" s="76"/>
      <c r="AZ295" s="76"/>
      <c r="BA295" s="76" t="b">
        <v>1</v>
      </c>
      <c r="BB295" s="76" t="b">
        <v>0</v>
      </c>
      <c r="BC295" s="76" t="b">
        <v>0</v>
      </c>
      <c r="BD295" s="76" t="b">
        <v>0</v>
      </c>
      <c r="BE295" s="76" t="b">
        <v>1</v>
      </c>
      <c r="BF295" s="76" t="b">
        <v>0</v>
      </c>
      <c r="BG295" s="76" t="b">
        <v>0</v>
      </c>
      <c r="BH295" s="83" t="str">
        <f>HYPERLINK("https://pbs.twimg.com/profile_banners/145254292/1673876804")</f>
        <v>https://pbs.twimg.com/profile_banners/145254292/1673876804</v>
      </c>
      <c r="BI295" s="76"/>
      <c r="BJ295" s="76" t="s">
        <v>18704</v>
      </c>
      <c r="BK295" s="76" t="b">
        <v>0</v>
      </c>
      <c r="BL295" s="76"/>
      <c r="BM295" s="76" t="s">
        <v>65</v>
      </c>
      <c r="BN295" s="76" t="s">
        <v>18706</v>
      </c>
      <c r="BO295" s="83" t="str">
        <f>HYPERLINK("https://twitter.com/farodevigo")</f>
        <v>https://twitter.com/farodevigo</v>
      </c>
      <c r="BP295" s="2"/>
    </row>
    <row r="296" spans="1:68" x14ac:dyDescent="0.25">
      <c r="A296" s="62" t="s">
        <v>455</v>
      </c>
      <c r="B296" s="63"/>
      <c r="C296" s="63"/>
      <c r="D296" s="64"/>
      <c r="E296" s="66"/>
      <c r="F296" s="102" t="str">
        <f>HYPERLINK("https://pbs.twimg.com/profile_images/1671211286175133696/eC5_p3Bq_normal.jpg")</f>
        <v>https://pbs.twimg.com/profile_images/1671211286175133696/eC5_p3Bq_normal.jpg</v>
      </c>
      <c r="G296" s="63"/>
      <c r="H296" s="67"/>
      <c r="I296" s="68"/>
      <c r="J296" s="68"/>
      <c r="K296" s="67" t="s">
        <v>18999</v>
      </c>
      <c r="L296" s="71"/>
      <c r="M296" s="72"/>
      <c r="N296" s="72"/>
      <c r="O296" s="73"/>
      <c r="P296" s="74"/>
      <c r="Q296" s="74"/>
      <c r="R296" s="86"/>
      <c r="S296" s="86"/>
      <c r="T296" s="86"/>
      <c r="U296" s="86"/>
      <c r="V296" s="48"/>
      <c r="W296" s="48"/>
      <c r="X296" s="48"/>
      <c r="Y296" s="48"/>
      <c r="Z296" s="47"/>
      <c r="AA296" s="69">
        <v>296</v>
      </c>
      <c r="AB296" s="69"/>
      <c r="AC296" s="70"/>
      <c r="AD296" s="76" t="s">
        <v>16725</v>
      </c>
      <c r="AE296" s="81" t="s">
        <v>16239</v>
      </c>
      <c r="AF296" s="76">
        <v>57</v>
      </c>
      <c r="AG296" s="76">
        <v>136</v>
      </c>
      <c r="AH296" s="76">
        <v>291</v>
      </c>
      <c r="AI296" s="76">
        <v>1</v>
      </c>
      <c r="AJ296" s="76">
        <v>327</v>
      </c>
      <c r="AK296" s="76">
        <v>10</v>
      </c>
      <c r="AL296" s="76" t="b">
        <v>0</v>
      </c>
      <c r="AM296" s="78">
        <v>44776.751574074071</v>
      </c>
      <c r="AN296" s="76"/>
      <c r="AO296" s="76" t="s">
        <v>17906</v>
      </c>
      <c r="AP296" s="83" t="str">
        <f>HYPERLINK("https://t.co/C6lpJf4jvn")</f>
        <v>https://t.co/C6lpJf4jvn</v>
      </c>
      <c r="AQ296" s="83" t="str">
        <f>HYPERLINK("https://tradeinflow.com.br/")</f>
        <v>https://tradeinflow.com.br/</v>
      </c>
      <c r="AR296" s="76" t="s">
        <v>18411</v>
      </c>
      <c r="AS296" s="83" t="str">
        <f>HYPERLINK("https://t.co/PA7EaibRnx")</f>
        <v>https://t.co/PA7EaibRnx</v>
      </c>
      <c r="AT296" s="83" t="str">
        <f>HYPERLINK("http://bit.ly/3ebkhm6")</f>
        <v>http://bit.ly/3ebkhm6</v>
      </c>
      <c r="AU296" s="76" t="s">
        <v>18671</v>
      </c>
      <c r="AV296" s="76">
        <v>1.6032202031558899E+18</v>
      </c>
      <c r="AW296" s="83" t="str">
        <f>HYPERLINK("https://t.co/C6lpJf4jvn")</f>
        <v>https://t.co/C6lpJf4jvn</v>
      </c>
      <c r="AX296" s="76" t="b">
        <v>0</v>
      </c>
      <c r="AY296" s="76"/>
      <c r="AZ296" s="76"/>
      <c r="BA296" s="76" t="b">
        <v>0</v>
      </c>
      <c r="BB296" s="76" t="b">
        <v>1</v>
      </c>
      <c r="BC296" s="76" t="b">
        <v>1</v>
      </c>
      <c r="BD296" s="76" t="b">
        <v>0</v>
      </c>
      <c r="BE296" s="76" t="b">
        <v>0</v>
      </c>
      <c r="BF296" s="76" t="b">
        <v>0</v>
      </c>
      <c r="BG296" s="76" t="b">
        <v>0</v>
      </c>
      <c r="BH296" s="83" t="str">
        <f>HYPERLINK("https://pbs.twimg.com/profile_banners/1554890368008732675/1688667904")</f>
        <v>https://pbs.twimg.com/profile_banners/1554890368008732675/1688667904</v>
      </c>
      <c r="BI296" s="76"/>
      <c r="BJ296" s="76" t="s">
        <v>18704</v>
      </c>
      <c r="BK296" s="76" t="b">
        <v>0</v>
      </c>
      <c r="BL296" s="76"/>
      <c r="BM296" s="76" t="s">
        <v>66</v>
      </c>
      <c r="BN296" s="76" t="s">
        <v>18706</v>
      </c>
      <c r="BO296" s="83" t="str">
        <f>HYPERLINK("https://twitter.com/tradeinflow")</f>
        <v>https://twitter.com/tradeinflow</v>
      </c>
      <c r="BP296" s="2"/>
    </row>
    <row r="297" spans="1:68" x14ac:dyDescent="0.25">
      <c r="A297" s="62" t="s">
        <v>456</v>
      </c>
      <c r="B297" s="63"/>
      <c r="C297" s="63"/>
      <c r="D297" s="64"/>
      <c r="E297" s="66"/>
      <c r="F297" s="102" t="str">
        <f>HYPERLINK("https://pbs.twimg.com/profile_images/1685061041120489472/o5S_nrxe_normal.jpg")</f>
        <v>https://pbs.twimg.com/profile_images/1685061041120489472/o5S_nrxe_normal.jpg</v>
      </c>
      <c r="G297" s="63"/>
      <c r="H297" s="67"/>
      <c r="I297" s="68"/>
      <c r="J297" s="68"/>
      <c r="K297" s="67" t="s">
        <v>19000</v>
      </c>
      <c r="L297" s="71"/>
      <c r="M297" s="72"/>
      <c r="N297" s="72"/>
      <c r="O297" s="73"/>
      <c r="P297" s="74"/>
      <c r="Q297" s="74"/>
      <c r="R297" s="86"/>
      <c r="S297" s="86"/>
      <c r="T297" s="86"/>
      <c r="U297" s="86"/>
      <c r="V297" s="48"/>
      <c r="W297" s="48"/>
      <c r="X297" s="48"/>
      <c r="Y297" s="48"/>
      <c r="Z297" s="47"/>
      <c r="AA297" s="69">
        <v>297</v>
      </c>
      <c r="AB297" s="69"/>
      <c r="AC297" s="70"/>
      <c r="AD297" s="76" t="s">
        <v>16726</v>
      </c>
      <c r="AE297" s="81" t="s">
        <v>16240</v>
      </c>
      <c r="AF297" s="76">
        <v>29</v>
      </c>
      <c r="AG297" s="76">
        <v>137</v>
      </c>
      <c r="AH297" s="76">
        <v>56</v>
      </c>
      <c r="AI297" s="76">
        <v>0</v>
      </c>
      <c r="AJ297" s="76">
        <v>9</v>
      </c>
      <c r="AK297" s="76">
        <v>32</v>
      </c>
      <c r="AL297" s="76" t="b">
        <v>0</v>
      </c>
      <c r="AM297" s="78">
        <v>45055.742974537039</v>
      </c>
      <c r="AN297" s="76" t="s">
        <v>17513</v>
      </c>
      <c r="AO297" s="76" t="s">
        <v>17907</v>
      </c>
      <c r="AP297" s="76"/>
      <c r="AQ297" s="76"/>
      <c r="AR297" s="76"/>
      <c r="AS297" s="76"/>
      <c r="AT297" s="76"/>
      <c r="AU297" s="76"/>
      <c r="AV297" s="76"/>
      <c r="AW297" s="76"/>
      <c r="AX297" s="76" t="b">
        <v>0</v>
      </c>
      <c r="AY297" s="76"/>
      <c r="AZ297" s="76"/>
      <c r="BA297" s="76" t="b">
        <v>0</v>
      </c>
      <c r="BB297" s="76" t="b">
        <v>1</v>
      </c>
      <c r="BC297" s="76" t="b">
        <v>1</v>
      </c>
      <c r="BD297" s="76" t="b">
        <v>0</v>
      </c>
      <c r="BE297" s="76" t="b">
        <v>0</v>
      </c>
      <c r="BF297" s="76" t="b">
        <v>0</v>
      </c>
      <c r="BG297" s="76" t="b">
        <v>0</v>
      </c>
      <c r="BH297" s="83" t="str">
        <f>HYPERLINK("https://pbs.twimg.com/profile_banners/1655993374497701895/1690584833")</f>
        <v>https://pbs.twimg.com/profile_banners/1655993374497701895/1690584833</v>
      </c>
      <c r="BI297" s="76"/>
      <c r="BJ297" s="76" t="s">
        <v>18704</v>
      </c>
      <c r="BK297" s="76" t="b">
        <v>0</v>
      </c>
      <c r="BL297" s="76"/>
      <c r="BM297" s="76" t="s">
        <v>66</v>
      </c>
      <c r="BN297" s="76" t="s">
        <v>18706</v>
      </c>
      <c r="BO297" s="83" t="str">
        <f>HYPERLINK("https://twitter.com/palmezanip74904")</f>
        <v>https://twitter.com/palmezanip74904</v>
      </c>
      <c r="BP297" s="2"/>
    </row>
    <row r="298" spans="1:68" x14ac:dyDescent="0.25">
      <c r="A298" s="62" t="s">
        <v>457</v>
      </c>
      <c r="B298" s="63"/>
      <c r="C298" s="63"/>
      <c r="D298" s="64"/>
      <c r="E298" s="66"/>
      <c r="F298" s="102" t="str">
        <f>HYPERLINK("https://pbs.twimg.com/profile_images/1662255358281232384/VCpgqGrM_normal.jpg")</f>
        <v>https://pbs.twimg.com/profile_images/1662255358281232384/VCpgqGrM_normal.jpg</v>
      </c>
      <c r="G298" s="63"/>
      <c r="H298" s="67"/>
      <c r="I298" s="68"/>
      <c r="J298" s="68"/>
      <c r="K298" s="67" t="s">
        <v>19001</v>
      </c>
      <c r="L298" s="71"/>
      <c r="M298" s="72"/>
      <c r="N298" s="72"/>
      <c r="O298" s="73"/>
      <c r="P298" s="74"/>
      <c r="Q298" s="74"/>
      <c r="R298" s="86"/>
      <c r="S298" s="86"/>
      <c r="T298" s="86"/>
      <c r="U298" s="86"/>
      <c r="V298" s="48"/>
      <c r="W298" s="48"/>
      <c r="X298" s="48"/>
      <c r="Y298" s="48"/>
      <c r="Z298" s="47"/>
      <c r="AA298" s="69">
        <v>298</v>
      </c>
      <c r="AB298" s="69"/>
      <c r="AC298" s="70"/>
      <c r="AD298" s="76" t="s">
        <v>16727</v>
      </c>
      <c r="AE298" s="81" t="s">
        <v>16241</v>
      </c>
      <c r="AF298" s="76">
        <v>2</v>
      </c>
      <c r="AG298" s="76">
        <v>0</v>
      </c>
      <c r="AH298" s="76">
        <v>192</v>
      </c>
      <c r="AI298" s="76">
        <v>0</v>
      </c>
      <c r="AJ298" s="76">
        <v>0</v>
      </c>
      <c r="AK298" s="76">
        <v>0</v>
      </c>
      <c r="AL298" s="76" t="b">
        <v>0</v>
      </c>
      <c r="AM298" s="78">
        <v>45073.022210648145</v>
      </c>
      <c r="AN298" s="76"/>
      <c r="AO298" s="76" t="s">
        <v>17908</v>
      </c>
      <c r="AP298" s="83" t="str">
        <f>HYPERLINK("https://t.co/lH4DuljcOx")</f>
        <v>https://t.co/lH4DuljcOx</v>
      </c>
      <c r="AQ298" s="83" t="str">
        <f>HYPERLINK("https://invistafinancas.com.br/")</f>
        <v>https://invistafinancas.com.br/</v>
      </c>
      <c r="AR298" s="76" t="s">
        <v>18412</v>
      </c>
      <c r="AS298" s="76" t="s">
        <v>18633</v>
      </c>
      <c r="AT298" s="76" t="s">
        <v>18644</v>
      </c>
      <c r="AU298" s="76" t="s">
        <v>18672</v>
      </c>
      <c r="AV298" s="76"/>
      <c r="AW298" s="83" t="str">
        <f>HYPERLINK("https://t.co/lH4DuljcOx")</f>
        <v>https://t.co/lH4DuljcOx</v>
      </c>
      <c r="AX298" s="76" t="b">
        <v>0</v>
      </c>
      <c r="AY298" s="76"/>
      <c r="AZ298" s="76"/>
      <c r="BA298" s="76" t="b">
        <v>0</v>
      </c>
      <c r="BB298" s="76" t="b">
        <v>1</v>
      </c>
      <c r="BC298" s="76" t="b">
        <v>1</v>
      </c>
      <c r="BD298" s="76" t="b">
        <v>0</v>
      </c>
      <c r="BE298" s="76" t="b">
        <v>0</v>
      </c>
      <c r="BF298" s="76" t="b">
        <v>0</v>
      </c>
      <c r="BG298" s="76" t="b">
        <v>0</v>
      </c>
      <c r="BH298" s="83" t="str">
        <f>HYPERLINK("https://pbs.twimg.com/profile_banners/1662255263951343617/1685147688")</f>
        <v>https://pbs.twimg.com/profile_banners/1662255263951343617/1685147688</v>
      </c>
      <c r="BI298" s="76"/>
      <c r="BJ298" s="76" t="s">
        <v>18704</v>
      </c>
      <c r="BK298" s="76" t="b">
        <v>0</v>
      </c>
      <c r="BL298" s="76"/>
      <c r="BM298" s="76" t="s">
        <v>66</v>
      </c>
      <c r="BN298" s="76" t="s">
        <v>18706</v>
      </c>
      <c r="BO298" s="83" t="str">
        <f>HYPERLINK("https://twitter.com/invistafinancas")</f>
        <v>https://twitter.com/invistafinancas</v>
      </c>
      <c r="BP298" s="2"/>
    </row>
    <row r="299" spans="1:68" x14ac:dyDescent="0.25">
      <c r="A299" s="62" t="s">
        <v>458</v>
      </c>
      <c r="B299" s="63"/>
      <c r="C299" s="63"/>
      <c r="D299" s="64"/>
      <c r="E299" s="66"/>
      <c r="F299" s="102" t="str">
        <f>HYPERLINK("https://pbs.twimg.com/profile_images/1704972101441011712/xz3QwAVB_normal.jpg")</f>
        <v>https://pbs.twimg.com/profile_images/1704972101441011712/xz3QwAVB_normal.jpg</v>
      </c>
      <c r="G299" s="63"/>
      <c r="H299" s="67"/>
      <c r="I299" s="68"/>
      <c r="J299" s="68"/>
      <c r="K299" s="67" t="s">
        <v>19002</v>
      </c>
      <c r="L299" s="71"/>
      <c r="M299" s="72"/>
      <c r="N299" s="72"/>
      <c r="O299" s="73"/>
      <c r="P299" s="74"/>
      <c r="Q299" s="74"/>
      <c r="R299" s="86"/>
      <c r="S299" s="86"/>
      <c r="T299" s="86"/>
      <c r="U299" s="86"/>
      <c r="V299" s="48"/>
      <c r="W299" s="48"/>
      <c r="X299" s="48"/>
      <c r="Y299" s="48"/>
      <c r="Z299" s="47"/>
      <c r="AA299" s="69">
        <v>299</v>
      </c>
      <c r="AB299" s="69"/>
      <c r="AC299" s="70"/>
      <c r="AD299" s="76" t="s">
        <v>16728</v>
      </c>
      <c r="AE299" s="81" t="s">
        <v>16242</v>
      </c>
      <c r="AF299" s="76">
        <v>84</v>
      </c>
      <c r="AG299" s="76">
        <v>312</v>
      </c>
      <c r="AH299" s="76">
        <v>176</v>
      </c>
      <c r="AI299" s="76">
        <v>0</v>
      </c>
      <c r="AJ299" s="76">
        <v>43</v>
      </c>
      <c r="AK299" s="76">
        <v>116</v>
      </c>
      <c r="AL299" s="76" t="b">
        <v>0</v>
      </c>
      <c r="AM299" s="78">
        <v>45086.68136574074</v>
      </c>
      <c r="AN299" s="76"/>
      <c r="AO299" s="76" t="s">
        <v>17909</v>
      </c>
      <c r="AP299" s="83" t="str">
        <f>HYPERLINK("https://t.co/pFzgCuFcLi")</f>
        <v>https://t.co/pFzgCuFcLi</v>
      </c>
      <c r="AQ299" s="83" t="str">
        <f>HYPERLINK("https://partner.bitget.com/bg/7LKGF3")</f>
        <v>https://partner.bitget.com/bg/7LKGF3</v>
      </c>
      <c r="AR299" s="76" t="s">
        <v>18413</v>
      </c>
      <c r="AS299" s="76"/>
      <c r="AT299" s="76"/>
      <c r="AU299" s="76"/>
      <c r="AV299" s="76"/>
      <c r="AW299" s="83" t="str">
        <f>HYPERLINK("https://t.co/pFzgCuFcLi")</f>
        <v>https://t.co/pFzgCuFcLi</v>
      </c>
      <c r="AX299" s="76" t="b">
        <v>0</v>
      </c>
      <c r="AY299" s="76"/>
      <c r="AZ299" s="76"/>
      <c r="BA299" s="76" t="b">
        <v>0</v>
      </c>
      <c r="BB299" s="76" t="b">
        <v>1</v>
      </c>
      <c r="BC299" s="76" t="b">
        <v>1</v>
      </c>
      <c r="BD299" s="76" t="b">
        <v>0</v>
      </c>
      <c r="BE299" s="76" t="b">
        <v>0</v>
      </c>
      <c r="BF299" s="76" t="b">
        <v>0</v>
      </c>
      <c r="BG299" s="76" t="b">
        <v>0</v>
      </c>
      <c r="BH299" s="83" t="str">
        <f>HYPERLINK("https://pbs.twimg.com/profile_banners/1667205049007710208/1687783521")</f>
        <v>https://pbs.twimg.com/profile_banners/1667205049007710208/1687783521</v>
      </c>
      <c r="BI299" s="76"/>
      <c r="BJ299" s="76" t="s">
        <v>18704</v>
      </c>
      <c r="BK299" s="76" t="b">
        <v>0</v>
      </c>
      <c r="BL299" s="76"/>
      <c r="BM299" s="76" t="s">
        <v>66</v>
      </c>
      <c r="BN299" s="76" t="s">
        <v>18706</v>
      </c>
      <c r="BO299" s="83" t="str">
        <f>HYPERLINK("https://twitter.com/nachosb77")</f>
        <v>https://twitter.com/nachosb77</v>
      </c>
      <c r="BP299" s="2"/>
    </row>
    <row r="300" spans="1:68" x14ac:dyDescent="0.25">
      <c r="A300" s="62" t="s">
        <v>459</v>
      </c>
      <c r="B300" s="63"/>
      <c r="C300" s="63"/>
      <c r="D300" s="64"/>
      <c r="E300" s="66"/>
      <c r="F300" s="102" t="str">
        <f>HYPERLINK("https://pbs.twimg.com/profile_images/1700550483264376832/tt7VNQJW_normal.jpg")</f>
        <v>https://pbs.twimg.com/profile_images/1700550483264376832/tt7VNQJW_normal.jpg</v>
      </c>
      <c r="G300" s="63"/>
      <c r="H300" s="67"/>
      <c r="I300" s="68"/>
      <c r="J300" s="68"/>
      <c r="K300" s="67" t="s">
        <v>19003</v>
      </c>
      <c r="L300" s="71"/>
      <c r="M300" s="72"/>
      <c r="N300" s="72"/>
      <c r="O300" s="73"/>
      <c r="P300" s="74"/>
      <c r="Q300" s="74"/>
      <c r="R300" s="86"/>
      <c r="S300" s="86"/>
      <c r="T300" s="86"/>
      <c r="U300" s="86"/>
      <c r="V300" s="48"/>
      <c r="W300" s="48"/>
      <c r="X300" s="48"/>
      <c r="Y300" s="48"/>
      <c r="Z300" s="47"/>
      <c r="AA300" s="69">
        <v>300</v>
      </c>
      <c r="AB300" s="69"/>
      <c r="AC300" s="70"/>
      <c r="AD300" s="76" t="s">
        <v>16729</v>
      </c>
      <c r="AE300" s="81" t="s">
        <v>16243</v>
      </c>
      <c r="AF300" s="76">
        <v>2</v>
      </c>
      <c r="AG300" s="76">
        <v>37</v>
      </c>
      <c r="AH300" s="76">
        <v>5</v>
      </c>
      <c r="AI300" s="76">
        <v>0</v>
      </c>
      <c r="AJ300" s="76">
        <v>48</v>
      </c>
      <c r="AK300" s="76">
        <v>1</v>
      </c>
      <c r="AL300" s="76" t="b">
        <v>0</v>
      </c>
      <c r="AM300" s="78">
        <v>45178.696805555555</v>
      </c>
      <c r="AN300" s="76"/>
      <c r="AO300" s="76" t="s">
        <v>17910</v>
      </c>
      <c r="AP300" s="76"/>
      <c r="AQ300" s="76"/>
      <c r="AR300" s="76"/>
      <c r="AS300" s="76"/>
      <c r="AT300" s="76"/>
      <c r="AU300" s="76"/>
      <c r="AV300" s="76"/>
      <c r="AW300" s="76"/>
      <c r="AX300" s="76" t="b">
        <v>0</v>
      </c>
      <c r="AY300" s="76"/>
      <c r="AZ300" s="76"/>
      <c r="BA300" s="76" t="b">
        <v>0</v>
      </c>
      <c r="BB300" s="76" t="b">
        <v>1</v>
      </c>
      <c r="BC300" s="76" t="b">
        <v>1</v>
      </c>
      <c r="BD300" s="76" t="b">
        <v>0</v>
      </c>
      <c r="BE300" s="76" t="b">
        <v>0</v>
      </c>
      <c r="BF300" s="76" t="b">
        <v>0</v>
      </c>
      <c r="BG300" s="76" t="b">
        <v>0</v>
      </c>
      <c r="BH300" s="83" t="str">
        <f>HYPERLINK("https://pbs.twimg.com/profile_banners/1700550332437200896/1694278378")</f>
        <v>https://pbs.twimg.com/profile_banners/1700550332437200896/1694278378</v>
      </c>
      <c r="BI300" s="76"/>
      <c r="BJ300" s="76" t="s">
        <v>18704</v>
      </c>
      <c r="BK300" s="76" t="b">
        <v>0</v>
      </c>
      <c r="BL300" s="76"/>
      <c r="BM300" s="76" t="s">
        <v>66</v>
      </c>
      <c r="BN300" s="76" t="s">
        <v>18706</v>
      </c>
      <c r="BO300" s="83" t="str">
        <f>HYPERLINK("https://twitter.com/andrezaczilusny")</f>
        <v>https://twitter.com/andrezaczilusny</v>
      </c>
      <c r="BP300" s="2"/>
    </row>
    <row r="301" spans="1:68" x14ac:dyDescent="0.25">
      <c r="A301" s="62" t="s">
        <v>460</v>
      </c>
      <c r="B301" s="63"/>
      <c r="C301" s="63"/>
      <c r="D301" s="64"/>
      <c r="E301" s="66"/>
      <c r="F301" s="102" t="str">
        <f>HYPERLINK("https://pbs.twimg.com/profile_images/1298975014939774977/iMbZTqwR_normal.jpg")</f>
        <v>https://pbs.twimg.com/profile_images/1298975014939774977/iMbZTqwR_normal.jpg</v>
      </c>
      <c r="G301" s="63"/>
      <c r="H301" s="67"/>
      <c r="I301" s="68"/>
      <c r="J301" s="68"/>
      <c r="K301" s="67" t="s">
        <v>19004</v>
      </c>
      <c r="L301" s="71"/>
      <c r="M301" s="72"/>
      <c r="N301" s="72"/>
      <c r="O301" s="73"/>
      <c r="P301" s="74"/>
      <c r="Q301" s="74"/>
      <c r="R301" s="86"/>
      <c r="S301" s="86"/>
      <c r="T301" s="86"/>
      <c r="U301" s="86"/>
      <c r="V301" s="48"/>
      <c r="W301" s="48"/>
      <c r="X301" s="48"/>
      <c r="Y301" s="48"/>
      <c r="Z301" s="47"/>
      <c r="AA301" s="69">
        <v>301</v>
      </c>
      <c r="AB301" s="69"/>
      <c r="AC301" s="70"/>
      <c r="AD301" s="76" t="s">
        <v>16730</v>
      </c>
      <c r="AE301" s="81" t="s">
        <v>15945</v>
      </c>
      <c r="AF301" s="76">
        <v>62</v>
      </c>
      <c r="AG301" s="76">
        <v>17</v>
      </c>
      <c r="AH301" s="76">
        <v>1609</v>
      </c>
      <c r="AI301" s="76">
        <v>0</v>
      </c>
      <c r="AJ301" s="76">
        <v>2</v>
      </c>
      <c r="AK301" s="76">
        <v>268</v>
      </c>
      <c r="AL301" s="76" t="b">
        <v>0</v>
      </c>
      <c r="AM301" s="78">
        <v>40480.557488425926</v>
      </c>
      <c r="AN301" s="76" t="s">
        <v>10607</v>
      </c>
      <c r="AO301" s="76" t="s">
        <v>17911</v>
      </c>
      <c r="AP301" s="83" t="str">
        <f>HYPERLINK("https://t.co/mNmsIWnYa2")</f>
        <v>https://t.co/mNmsIWnYa2</v>
      </c>
      <c r="AQ301" s="83" t="str">
        <f>HYPERLINK("http://www.bravacapital.com")</f>
        <v>http://www.bravacapital.com</v>
      </c>
      <c r="AR301" s="76" t="s">
        <v>6523</v>
      </c>
      <c r="AS301" s="76"/>
      <c r="AT301" s="76"/>
      <c r="AU301" s="76"/>
      <c r="AV301" s="76"/>
      <c r="AW301" s="83" t="str">
        <f>HYPERLINK("https://t.co/mNmsIWnYa2")</f>
        <v>https://t.co/mNmsIWnYa2</v>
      </c>
      <c r="AX301" s="76" t="b">
        <v>0</v>
      </c>
      <c r="AY301" s="76"/>
      <c r="AZ301" s="76"/>
      <c r="BA301" s="76" t="b">
        <v>0</v>
      </c>
      <c r="BB301" s="76" t="b">
        <v>1</v>
      </c>
      <c r="BC301" s="76" t="b">
        <v>1</v>
      </c>
      <c r="BD301" s="76" t="b">
        <v>0</v>
      </c>
      <c r="BE301" s="76" t="b">
        <v>0</v>
      </c>
      <c r="BF301" s="76" t="b">
        <v>0</v>
      </c>
      <c r="BG301" s="76" t="b">
        <v>0</v>
      </c>
      <c r="BH301" s="83" t="str">
        <f>HYPERLINK("https://pbs.twimg.com/profile_banners/209578308/1598534641")</f>
        <v>https://pbs.twimg.com/profile_banners/209578308/1598534641</v>
      </c>
      <c r="BI301" s="76"/>
      <c r="BJ301" s="76" t="s">
        <v>18704</v>
      </c>
      <c r="BK301" s="76" t="b">
        <v>0</v>
      </c>
      <c r="BL301" s="76"/>
      <c r="BM301" s="76" t="s">
        <v>66</v>
      </c>
      <c r="BN301" s="76" t="s">
        <v>18706</v>
      </c>
      <c r="BO301" s="83" t="str">
        <f>HYPERLINK("https://twitter.com/bravacapital")</f>
        <v>https://twitter.com/bravacapital</v>
      </c>
      <c r="BP301" s="2"/>
    </row>
    <row r="302" spans="1:68" x14ac:dyDescent="0.25">
      <c r="A302" s="62" t="s">
        <v>461</v>
      </c>
      <c r="B302" s="63"/>
      <c r="C302" s="63"/>
      <c r="D302" s="64"/>
      <c r="E302" s="66"/>
      <c r="F302" s="102" t="str">
        <f>HYPERLINK("https://pbs.twimg.com/profile_images/943130125503205377/8GVAmsR1_normal.jpg")</f>
        <v>https://pbs.twimg.com/profile_images/943130125503205377/8GVAmsR1_normal.jpg</v>
      </c>
      <c r="G302" s="63"/>
      <c r="H302" s="67"/>
      <c r="I302" s="68"/>
      <c r="J302" s="68"/>
      <c r="K302" s="67" t="s">
        <v>19005</v>
      </c>
      <c r="L302" s="71"/>
      <c r="M302" s="72"/>
      <c r="N302" s="72"/>
      <c r="O302" s="73"/>
      <c r="P302" s="74"/>
      <c r="Q302" s="74"/>
      <c r="R302" s="86"/>
      <c r="S302" s="86"/>
      <c r="T302" s="86"/>
      <c r="U302" s="86"/>
      <c r="V302" s="48"/>
      <c r="W302" s="48"/>
      <c r="X302" s="48"/>
      <c r="Y302" s="48"/>
      <c r="Z302" s="47"/>
      <c r="AA302" s="69">
        <v>302</v>
      </c>
      <c r="AB302" s="69"/>
      <c r="AC302" s="70"/>
      <c r="AD302" s="76" t="s">
        <v>16731</v>
      </c>
      <c r="AE302" s="81" t="s">
        <v>17216</v>
      </c>
      <c r="AF302" s="76">
        <v>11653</v>
      </c>
      <c r="AG302" s="76">
        <v>990</v>
      </c>
      <c r="AH302" s="76">
        <v>12896</v>
      </c>
      <c r="AI302" s="76">
        <v>70</v>
      </c>
      <c r="AJ302" s="76">
        <v>5812</v>
      </c>
      <c r="AK302" s="76">
        <v>4036</v>
      </c>
      <c r="AL302" s="76" t="b">
        <v>0</v>
      </c>
      <c r="AM302" s="78">
        <v>41751.827638888892</v>
      </c>
      <c r="AN302" s="76" t="s">
        <v>17514</v>
      </c>
      <c r="AO302" s="76" t="s">
        <v>17912</v>
      </c>
      <c r="AP302" s="83" t="str">
        <f>HYPERLINK("https://t.co/jn9TRYSe8f")</f>
        <v>https://t.co/jn9TRYSe8f</v>
      </c>
      <c r="AQ302" s="83" t="str">
        <f>HYPERLINK("http://www.clapesuc.cl")</f>
        <v>http://www.clapesuc.cl</v>
      </c>
      <c r="AR302" s="76" t="s">
        <v>18414</v>
      </c>
      <c r="AS302" s="76"/>
      <c r="AT302" s="76"/>
      <c r="AU302" s="76"/>
      <c r="AV302" s="76"/>
      <c r="AW302" s="83" t="str">
        <f>HYPERLINK("https://t.co/jn9TRYSe8f")</f>
        <v>https://t.co/jn9TRYSe8f</v>
      </c>
      <c r="AX302" s="76" t="b">
        <v>0</v>
      </c>
      <c r="AY302" s="76"/>
      <c r="AZ302" s="76"/>
      <c r="BA302" s="76" t="b">
        <v>0</v>
      </c>
      <c r="BB302" s="76" t="b">
        <v>1</v>
      </c>
      <c r="BC302" s="76" t="b">
        <v>0</v>
      </c>
      <c r="BD302" s="76" t="b">
        <v>0</v>
      </c>
      <c r="BE302" s="76" t="b">
        <v>1</v>
      </c>
      <c r="BF302" s="76" t="b">
        <v>0</v>
      </c>
      <c r="BG302" s="76" t="b">
        <v>0</v>
      </c>
      <c r="BH302" s="83" t="str">
        <f>HYPERLINK("https://pbs.twimg.com/profile_banners/2458561638/1424196960")</f>
        <v>https://pbs.twimg.com/profile_banners/2458561638/1424196960</v>
      </c>
      <c r="BI302" s="76"/>
      <c r="BJ302" s="76" t="s">
        <v>18704</v>
      </c>
      <c r="BK302" s="76" t="b">
        <v>0</v>
      </c>
      <c r="BL302" s="76"/>
      <c r="BM302" s="76" t="s">
        <v>66</v>
      </c>
      <c r="BN302" s="76" t="s">
        <v>18706</v>
      </c>
      <c r="BO302" s="83" t="str">
        <f>HYPERLINK("https://twitter.com/clapesuc")</f>
        <v>https://twitter.com/clapesuc</v>
      </c>
      <c r="BP302" s="2"/>
    </row>
    <row r="303" spans="1:68" x14ac:dyDescent="0.25">
      <c r="A303" s="62" t="s">
        <v>793</v>
      </c>
      <c r="B303" s="63"/>
      <c r="C303" s="63"/>
      <c r="D303" s="64"/>
      <c r="E303" s="66"/>
      <c r="F303" s="102" t="str">
        <f>HYPERLINK("https://pbs.twimg.com/profile_images/1690191328137695233/ptnSUjaA_normal.jpg")</f>
        <v>https://pbs.twimg.com/profile_images/1690191328137695233/ptnSUjaA_normal.jpg</v>
      </c>
      <c r="G303" s="63"/>
      <c r="H303" s="67"/>
      <c r="I303" s="68"/>
      <c r="J303" s="68"/>
      <c r="K303" s="67" t="s">
        <v>19006</v>
      </c>
      <c r="L303" s="71"/>
      <c r="M303" s="72"/>
      <c r="N303" s="72"/>
      <c r="O303" s="73"/>
      <c r="P303" s="74"/>
      <c r="Q303" s="74"/>
      <c r="R303" s="86"/>
      <c r="S303" s="86"/>
      <c r="T303" s="86"/>
      <c r="U303" s="86"/>
      <c r="V303" s="48"/>
      <c r="W303" s="48"/>
      <c r="X303" s="48"/>
      <c r="Y303" s="48"/>
      <c r="Z303" s="47"/>
      <c r="AA303" s="69">
        <v>303</v>
      </c>
      <c r="AB303" s="69"/>
      <c r="AC303" s="70"/>
      <c r="AD303" s="76" t="s">
        <v>16732</v>
      </c>
      <c r="AE303" s="81" t="s">
        <v>17217</v>
      </c>
      <c r="AF303" s="76">
        <v>2726</v>
      </c>
      <c r="AG303" s="76">
        <v>1554</v>
      </c>
      <c r="AH303" s="76">
        <v>7934</v>
      </c>
      <c r="AI303" s="76">
        <v>22</v>
      </c>
      <c r="AJ303" s="76">
        <v>3594</v>
      </c>
      <c r="AK303" s="76">
        <v>74</v>
      </c>
      <c r="AL303" s="76" t="b">
        <v>0</v>
      </c>
      <c r="AM303" s="78">
        <v>40019.066180555557</v>
      </c>
      <c r="AN303" s="76" t="s">
        <v>17515</v>
      </c>
      <c r="AO303" s="76" t="s">
        <v>17913</v>
      </c>
      <c r="AP303" s="76"/>
      <c r="AQ303" s="76"/>
      <c r="AR303" s="76"/>
      <c r="AS303" s="76"/>
      <c r="AT303" s="76"/>
      <c r="AU303" s="76"/>
      <c r="AV303" s="76"/>
      <c r="AW303" s="76"/>
      <c r="AX303" s="76" t="b">
        <v>0</v>
      </c>
      <c r="AY303" s="76"/>
      <c r="AZ303" s="76"/>
      <c r="BA303" s="76" t="b">
        <v>0</v>
      </c>
      <c r="BB303" s="76" t="b">
        <v>1</v>
      </c>
      <c r="BC303" s="76" t="b">
        <v>1</v>
      </c>
      <c r="BD303" s="76" t="b">
        <v>0</v>
      </c>
      <c r="BE303" s="76" t="b">
        <v>0</v>
      </c>
      <c r="BF303" s="76" t="b">
        <v>0</v>
      </c>
      <c r="BG303" s="76" t="b">
        <v>0</v>
      </c>
      <c r="BH303" s="76"/>
      <c r="BI303" s="76"/>
      <c r="BJ303" s="76" t="s">
        <v>18704</v>
      </c>
      <c r="BK303" s="76" t="b">
        <v>0</v>
      </c>
      <c r="BL303" s="76"/>
      <c r="BM303" s="76" t="s">
        <v>65</v>
      </c>
      <c r="BN303" s="76" t="s">
        <v>18706</v>
      </c>
      <c r="BO303" s="83" t="str">
        <f>HYPERLINK("https://twitter.com/pato_eskenazi")</f>
        <v>https://twitter.com/pato_eskenazi</v>
      </c>
      <c r="BP303" s="2"/>
    </row>
    <row r="304" spans="1:68" x14ac:dyDescent="0.25">
      <c r="A304" s="62" t="s">
        <v>794</v>
      </c>
      <c r="B304" s="63"/>
      <c r="C304" s="63"/>
      <c r="D304" s="64"/>
      <c r="E304" s="66"/>
      <c r="F304" s="102" t="str">
        <f>HYPERLINK("https://pbs.twimg.com/profile_images/1050839455479808000/Ozs74pX__normal.jpg")</f>
        <v>https://pbs.twimg.com/profile_images/1050839455479808000/Ozs74pX__normal.jpg</v>
      </c>
      <c r="G304" s="63"/>
      <c r="H304" s="67"/>
      <c r="I304" s="68"/>
      <c r="J304" s="68"/>
      <c r="K304" s="67" t="s">
        <v>19007</v>
      </c>
      <c r="L304" s="71"/>
      <c r="M304" s="72"/>
      <c r="N304" s="72"/>
      <c r="O304" s="73"/>
      <c r="P304" s="74"/>
      <c r="Q304" s="74"/>
      <c r="R304" s="86"/>
      <c r="S304" s="86"/>
      <c r="T304" s="86"/>
      <c r="U304" s="86"/>
      <c r="V304" s="48"/>
      <c r="W304" s="48"/>
      <c r="X304" s="48"/>
      <c r="Y304" s="48"/>
      <c r="Z304" s="47"/>
      <c r="AA304" s="69">
        <v>304</v>
      </c>
      <c r="AB304" s="69"/>
      <c r="AC304" s="70"/>
      <c r="AD304" s="76" t="s">
        <v>16733</v>
      </c>
      <c r="AE304" s="81" t="s">
        <v>17218</v>
      </c>
      <c r="AF304" s="76">
        <v>362756</v>
      </c>
      <c r="AG304" s="76">
        <v>1890</v>
      </c>
      <c r="AH304" s="76">
        <v>11597</v>
      </c>
      <c r="AI304" s="76">
        <v>1280</v>
      </c>
      <c r="AJ304" s="76">
        <v>4877</v>
      </c>
      <c r="AK304" s="76">
        <v>318</v>
      </c>
      <c r="AL304" s="76" t="b">
        <v>0</v>
      </c>
      <c r="AM304" s="78">
        <v>39990.927222222221</v>
      </c>
      <c r="AN304" s="76" t="s">
        <v>17515</v>
      </c>
      <c r="AO304" s="76" t="s">
        <v>17914</v>
      </c>
      <c r="AP304" s="83" t="str">
        <f>HYPERLINK("https://t.co/Dmy1Ye7IFT")</f>
        <v>https://t.co/Dmy1Ye7IFT</v>
      </c>
      <c r="AQ304" s="83" t="str">
        <f>HYPERLINK("http://www.catalinaed.cl")</f>
        <v>http://www.catalinaed.cl</v>
      </c>
      <c r="AR304" s="76" t="s">
        <v>18415</v>
      </c>
      <c r="AS304" s="76"/>
      <c r="AT304" s="76"/>
      <c r="AU304" s="76"/>
      <c r="AV304" s="76"/>
      <c r="AW304" s="83" t="str">
        <f>HYPERLINK("https://t.co/Dmy1Ye7IFT")</f>
        <v>https://t.co/Dmy1Ye7IFT</v>
      </c>
      <c r="AX304" s="76" t="b">
        <v>0</v>
      </c>
      <c r="AY304" s="76"/>
      <c r="AZ304" s="76"/>
      <c r="BA304" s="76" t="b">
        <v>0</v>
      </c>
      <c r="BB304" s="76" t="b">
        <v>1</v>
      </c>
      <c r="BC304" s="76" t="b">
        <v>0</v>
      </c>
      <c r="BD304" s="76" t="b">
        <v>0</v>
      </c>
      <c r="BE304" s="76" t="b">
        <v>1</v>
      </c>
      <c r="BF304" s="76" t="b">
        <v>0</v>
      </c>
      <c r="BG304" s="76" t="b">
        <v>0</v>
      </c>
      <c r="BH304" s="76"/>
      <c r="BI304" s="76"/>
      <c r="BJ304" s="76" t="s">
        <v>18704</v>
      </c>
      <c r="BK304" s="76" t="b">
        <v>0</v>
      </c>
      <c r="BL304" s="76"/>
      <c r="BM304" s="76" t="s">
        <v>65</v>
      </c>
      <c r="BN304" s="76" t="s">
        <v>18706</v>
      </c>
      <c r="BO304" s="83" t="str">
        <f>HYPERLINK("https://twitter.com/cata_edwards")</f>
        <v>https://twitter.com/cata_edwards</v>
      </c>
      <c r="BP304" s="2"/>
    </row>
    <row r="305" spans="1:68" x14ac:dyDescent="0.25">
      <c r="A305" s="62" t="s">
        <v>795</v>
      </c>
      <c r="B305" s="63"/>
      <c r="C305" s="63"/>
      <c r="D305" s="64"/>
      <c r="E305" s="66"/>
      <c r="F305" s="102" t="str">
        <f>HYPERLINK("https://pbs.twimg.com/profile_images/1436690318674604036/J5bdGsTg_normal.jpg")</f>
        <v>https://pbs.twimg.com/profile_images/1436690318674604036/J5bdGsTg_normal.jpg</v>
      </c>
      <c r="G305" s="63"/>
      <c r="H305" s="67"/>
      <c r="I305" s="68"/>
      <c r="J305" s="68"/>
      <c r="K305" s="67" t="s">
        <v>19008</v>
      </c>
      <c r="L305" s="71"/>
      <c r="M305" s="72"/>
      <c r="N305" s="72"/>
      <c r="O305" s="73"/>
      <c r="P305" s="74"/>
      <c r="Q305" s="74"/>
      <c r="R305" s="86"/>
      <c r="S305" s="86"/>
      <c r="T305" s="86"/>
      <c r="U305" s="86"/>
      <c r="V305" s="48"/>
      <c r="W305" s="48"/>
      <c r="X305" s="48"/>
      <c r="Y305" s="48"/>
      <c r="Z305" s="47"/>
      <c r="AA305" s="69">
        <v>305</v>
      </c>
      <c r="AB305" s="69"/>
      <c r="AC305" s="70"/>
      <c r="AD305" s="76" t="s">
        <v>16734</v>
      </c>
      <c r="AE305" s="81" t="s">
        <v>17219</v>
      </c>
      <c r="AF305" s="76">
        <v>2107</v>
      </c>
      <c r="AG305" s="76">
        <v>1524</v>
      </c>
      <c r="AH305" s="76">
        <v>1821</v>
      </c>
      <c r="AI305" s="76">
        <v>25</v>
      </c>
      <c r="AJ305" s="76">
        <v>4697</v>
      </c>
      <c r="AK305" s="76">
        <v>139</v>
      </c>
      <c r="AL305" s="76" t="b">
        <v>0</v>
      </c>
      <c r="AM305" s="78">
        <v>41706.948182870372</v>
      </c>
      <c r="AN305" s="76" t="s">
        <v>17515</v>
      </c>
      <c r="AO305" s="76" t="s">
        <v>17915</v>
      </c>
      <c r="AP305" s="76"/>
      <c r="AQ305" s="76"/>
      <c r="AR305" s="76"/>
      <c r="AS305" s="76"/>
      <c r="AT305" s="76"/>
      <c r="AU305" s="76"/>
      <c r="AV305" s="76"/>
      <c r="AW305" s="76"/>
      <c r="AX305" s="76" t="b">
        <v>0</v>
      </c>
      <c r="AY305" s="76"/>
      <c r="AZ305" s="76"/>
      <c r="BA305" s="76" t="b">
        <v>0</v>
      </c>
      <c r="BB305" s="76" t="b">
        <v>1</v>
      </c>
      <c r="BC305" s="76" t="b">
        <v>0</v>
      </c>
      <c r="BD305" s="76" t="b">
        <v>0</v>
      </c>
      <c r="BE305" s="76" t="b">
        <v>1</v>
      </c>
      <c r="BF305" s="76" t="b">
        <v>0</v>
      </c>
      <c r="BG305" s="76" t="b">
        <v>0</v>
      </c>
      <c r="BH305" s="83" t="str">
        <f>HYPERLINK("https://pbs.twimg.com/profile_banners/2379411043/1579390995")</f>
        <v>https://pbs.twimg.com/profile_banners/2379411043/1579390995</v>
      </c>
      <c r="BI305" s="76"/>
      <c r="BJ305" s="76" t="s">
        <v>18704</v>
      </c>
      <c r="BK305" s="76" t="b">
        <v>0</v>
      </c>
      <c r="BL305" s="76"/>
      <c r="BM305" s="76" t="s">
        <v>65</v>
      </c>
      <c r="BN305" s="76" t="s">
        <v>18706</v>
      </c>
      <c r="BO305" s="83" t="str">
        <f>HYPERLINK("https://twitter.com/hegonzalb")</f>
        <v>https://twitter.com/hegonzalb</v>
      </c>
      <c r="BP305" s="2"/>
    </row>
    <row r="306" spans="1:68" x14ac:dyDescent="0.25">
      <c r="A306" s="62" t="s">
        <v>796</v>
      </c>
      <c r="B306" s="63"/>
      <c r="C306" s="63"/>
      <c r="D306" s="64"/>
      <c r="E306" s="66"/>
      <c r="F306" s="102" t="str">
        <f>HYPERLINK("https://pbs.twimg.com/profile_images/1699767556213510144/GBD8lmHL_normal.jpg")</f>
        <v>https://pbs.twimg.com/profile_images/1699767556213510144/GBD8lmHL_normal.jpg</v>
      </c>
      <c r="G306" s="63"/>
      <c r="H306" s="67"/>
      <c r="I306" s="68"/>
      <c r="J306" s="68"/>
      <c r="K306" s="67" t="s">
        <v>19009</v>
      </c>
      <c r="L306" s="71"/>
      <c r="M306" s="72"/>
      <c r="N306" s="72"/>
      <c r="O306" s="73"/>
      <c r="P306" s="74"/>
      <c r="Q306" s="74"/>
      <c r="R306" s="86"/>
      <c r="S306" s="86"/>
      <c r="T306" s="86"/>
      <c r="U306" s="86"/>
      <c r="V306" s="48"/>
      <c r="W306" s="48"/>
      <c r="X306" s="48"/>
      <c r="Y306" s="48"/>
      <c r="Z306" s="47"/>
      <c r="AA306" s="69">
        <v>306</v>
      </c>
      <c r="AB306" s="69"/>
      <c r="AC306" s="70"/>
      <c r="AD306" s="76" t="s">
        <v>16735</v>
      </c>
      <c r="AE306" s="81" t="s">
        <v>17220</v>
      </c>
      <c r="AF306" s="76">
        <v>83091</v>
      </c>
      <c r="AG306" s="76">
        <v>602</v>
      </c>
      <c r="AH306" s="76">
        <v>73494</v>
      </c>
      <c r="AI306" s="76">
        <v>806</v>
      </c>
      <c r="AJ306" s="76">
        <v>1822</v>
      </c>
      <c r="AK306" s="76">
        <v>56673</v>
      </c>
      <c r="AL306" s="76" t="b">
        <v>0</v>
      </c>
      <c r="AM306" s="78">
        <v>40032.891342592593</v>
      </c>
      <c r="AN306" s="76" t="s">
        <v>17516</v>
      </c>
      <c r="AO306" s="76" t="s">
        <v>17916</v>
      </c>
      <c r="AP306" s="83" t="str">
        <f>HYPERLINK("https://t.co/VbTY2Gl3EI")</f>
        <v>https://t.co/VbTY2Gl3EI</v>
      </c>
      <c r="AQ306" s="83" t="str">
        <f>HYPERLINK("http://www.infinita.cl")</f>
        <v>http://www.infinita.cl</v>
      </c>
      <c r="AR306" s="76" t="s">
        <v>6524</v>
      </c>
      <c r="AS306" s="76" t="s">
        <v>18634</v>
      </c>
      <c r="AT306" s="76" t="s">
        <v>18645</v>
      </c>
      <c r="AU306" s="76" t="s">
        <v>18673</v>
      </c>
      <c r="AV306" s="76">
        <v>1.7073953611935401E+18</v>
      </c>
      <c r="AW306" s="83" t="str">
        <f>HYPERLINK("https://t.co/VbTY2Gl3EI")</f>
        <v>https://t.co/VbTY2Gl3EI</v>
      </c>
      <c r="AX306" s="76" t="b">
        <v>0</v>
      </c>
      <c r="AY306" s="76"/>
      <c r="AZ306" s="76"/>
      <c r="BA306" s="76" t="b">
        <v>0</v>
      </c>
      <c r="BB306" s="76" t="b">
        <v>0</v>
      </c>
      <c r="BC306" s="76" t="b">
        <v>0</v>
      </c>
      <c r="BD306" s="76" t="b">
        <v>0</v>
      </c>
      <c r="BE306" s="76" t="b">
        <v>1</v>
      </c>
      <c r="BF306" s="76" t="b">
        <v>0</v>
      </c>
      <c r="BG306" s="76" t="b">
        <v>0</v>
      </c>
      <c r="BH306" s="83" t="str">
        <f>HYPERLINK("https://pbs.twimg.com/profile_banners/63829941/1694104384")</f>
        <v>https://pbs.twimg.com/profile_banners/63829941/1694104384</v>
      </c>
      <c r="BI306" s="76"/>
      <c r="BJ306" s="76" t="s">
        <v>18704</v>
      </c>
      <c r="BK306" s="76" t="b">
        <v>0</v>
      </c>
      <c r="BL306" s="76"/>
      <c r="BM306" s="76" t="s">
        <v>65</v>
      </c>
      <c r="BN306" s="76" t="s">
        <v>18706</v>
      </c>
      <c r="BO306" s="83" t="str">
        <f>HYPERLINK("https://twitter.com/infinitafm")</f>
        <v>https://twitter.com/infinitafm</v>
      </c>
      <c r="BP306" s="2"/>
    </row>
    <row r="307" spans="1:68" x14ac:dyDescent="0.25">
      <c r="A307" s="62" t="s">
        <v>462</v>
      </c>
      <c r="B307" s="63"/>
      <c r="C307" s="63"/>
      <c r="D307" s="64"/>
      <c r="E307" s="66"/>
      <c r="F307" s="102" t="str">
        <f>HYPERLINK("https://pbs.twimg.com/profile_images/1704237957282938881/nNELexCv_normal.jpg")</f>
        <v>https://pbs.twimg.com/profile_images/1704237957282938881/nNELexCv_normal.jpg</v>
      </c>
      <c r="G307" s="63"/>
      <c r="H307" s="67"/>
      <c r="I307" s="68"/>
      <c r="J307" s="68"/>
      <c r="K307" s="67" t="s">
        <v>19010</v>
      </c>
      <c r="L307" s="71"/>
      <c r="M307" s="72"/>
      <c r="N307" s="72"/>
      <c r="O307" s="73"/>
      <c r="P307" s="74"/>
      <c r="Q307" s="74"/>
      <c r="R307" s="86"/>
      <c r="S307" s="86"/>
      <c r="T307" s="86"/>
      <c r="U307" s="86"/>
      <c r="V307" s="48"/>
      <c r="W307" s="48"/>
      <c r="X307" s="48"/>
      <c r="Y307" s="48"/>
      <c r="Z307" s="47"/>
      <c r="AA307" s="69">
        <v>307</v>
      </c>
      <c r="AB307" s="69"/>
      <c r="AC307" s="70"/>
      <c r="AD307" s="76" t="s">
        <v>16736</v>
      </c>
      <c r="AE307" s="81" t="s">
        <v>16244</v>
      </c>
      <c r="AF307" s="76">
        <v>18</v>
      </c>
      <c r="AG307" s="76">
        <v>1142</v>
      </c>
      <c r="AH307" s="76">
        <v>3589</v>
      </c>
      <c r="AI307" s="76">
        <v>2</v>
      </c>
      <c r="AJ307" s="76">
        <v>1926</v>
      </c>
      <c r="AK307" s="76">
        <v>116</v>
      </c>
      <c r="AL307" s="76" t="b">
        <v>0</v>
      </c>
      <c r="AM307" s="78">
        <v>44340.907453703701</v>
      </c>
      <c r="AN307" s="76" t="s">
        <v>17517</v>
      </c>
      <c r="AO307" s="76" t="s">
        <v>17917</v>
      </c>
      <c r="AP307" s="76"/>
      <c r="AQ307" s="76"/>
      <c r="AR307" s="76"/>
      <c r="AS307" s="76"/>
      <c r="AT307" s="76"/>
      <c r="AU307" s="76"/>
      <c r="AV307" s="76">
        <v>1.6712085193563599E+18</v>
      </c>
      <c r="AW307" s="76"/>
      <c r="AX307" s="76" t="b">
        <v>0</v>
      </c>
      <c r="AY307" s="76"/>
      <c r="AZ307" s="76"/>
      <c r="BA307" s="76" t="b">
        <v>1</v>
      </c>
      <c r="BB307" s="76" t="b">
        <v>0</v>
      </c>
      <c r="BC307" s="76" t="b">
        <v>1</v>
      </c>
      <c r="BD307" s="76" t="b">
        <v>0</v>
      </c>
      <c r="BE307" s="76" t="b">
        <v>1</v>
      </c>
      <c r="BF307" s="76" t="b">
        <v>0</v>
      </c>
      <c r="BG307" s="76" t="b">
        <v>0</v>
      </c>
      <c r="BH307" s="83" t="str">
        <f>HYPERLINK("https://pbs.twimg.com/profile_banners/1396945719056023554/1690209045")</f>
        <v>https://pbs.twimg.com/profile_banners/1396945719056023554/1690209045</v>
      </c>
      <c r="BI307" s="76"/>
      <c r="BJ307" s="76" t="s">
        <v>18704</v>
      </c>
      <c r="BK307" s="76" t="b">
        <v>0</v>
      </c>
      <c r="BL307" s="76"/>
      <c r="BM307" s="76" t="s">
        <v>66</v>
      </c>
      <c r="BN307" s="76" t="s">
        <v>18706</v>
      </c>
      <c r="BO307" s="83" t="str">
        <f>HYPERLINK("https://twitter.com/allanwalkerrio")</f>
        <v>https://twitter.com/allanwalkerrio</v>
      </c>
      <c r="BP307" s="2"/>
    </row>
    <row r="308" spans="1:68" x14ac:dyDescent="0.25">
      <c r="A308" s="62" t="s">
        <v>463</v>
      </c>
      <c r="B308" s="63"/>
      <c r="C308" s="63"/>
      <c r="D308" s="64"/>
      <c r="E308" s="66"/>
      <c r="F308" s="102" t="str">
        <f>HYPERLINK("https://pbs.twimg.com/profile_images/1479113791044341760/667uE5Gg_normal.jpg")</f>
        <v>https://pbs.twimg.com/profile_images/1479113791044341760/667uE5Gg_normal.jpg</v>
      </c>
      <c r="G308" s="63"/>
      <c r="H308" s="67"/>
      <c r="I308" s="68"/>
      <c r="J308" s="68"/>
      <c r="K308" s="67" t="s">
        <v>19011</v>
      </c>
      <c r="L308" s="71"/>
      <c r="M308" s="72"/>
      <c r="N308" s="72"/>
      <c r="O308" s="73"/>
      <c r="P308" s="74"/>
      <c r="Q308" s="74"/>
      <c r="R308" s="86"/>
      <c r="S308" s="86"/>
      <c r="T308" s="86"/>
      <c r="U308" s="86"/>
      <c r="V308" s="48"/>
      <c r="W308" s="48"/>
      <c r="X308" s="48"/>
      <c r="Y308" s="48"/>
      <c r="Z308" s="47"/>
      <c r="AA308" s="69">
        <v>308</v>
      </c>
      <c r="AB308" s="69"/>
      <c r="AC308" s="70"/>
      <c r="AD308" s="76" t="s">
        <v>16737</v>
      </c>
      <c r="AE308" s="81" t="s">
        <v>15946</v>
      </c>
      <c r="AF308" s="76">
        <v>1593</v>
      </c>
      <c r="AG308" s="76">
        <v>238</v>
      </c>
      <c r="AH308" s="76">
        <v>34028</v>
      </c>
      <c r="AI308" s="76">
        <v>29</v>
      </c>
      <c r="AJ308" s="76">
        <v>353</v>
      </c>
      <c r="AK308" s="76">
        <v>24924</v>
      </c>
      <c r="AL308" s="76" t="b">
        <v>0</v>
      </c>
      <c r="AM308" s="78">
        <v>43260.715462962966</v>
      </c>
      <c r="AN308" s="76" t="s">
        <v>17518</v>
      </c>
      <c r="AO308" s="76" t="s">
        <v>17918</v>
      </c>
      <c r="AP308" s="83" t="str">
        <f>HYPERLINK("https://t.co/d13pxgD2BW")</f>
        <v>https://t.co/d13pxgD2BW</v>
      </c>
      <c r="AQ308" s="83" t="str">
        <f>HYPERLINK("http://edntvhn.com")</f>
        <v>http://edntvhn.com</v>
      </c>
      <c r="AR308" s="76" t="s">
        <v>18416</v>
      </c>
      <c r="AS308" s="76"/>
      <c r="AT308" s="76"/>
      <c r="AU308" s="76"/>
      <c r="AV308" s="76"/>
      <c r="AW308" s="83" t="str">
        <f>HYPERLINK("https://t.co/d13pxgD2BW")</f>
        <v>https://t.co/d13pxgD2BW</v>
      </c>
      <c r="AX308" s="76" t="b">
        <v>0</v>
      </c>
      <c r="AY308" s="76"/>
      <c r="AZ308" s="76"/>
      <c r="BA308" s="76" t="b">
        <v>1</v>
      </c>
      <c r="BB308" s="76" t="b">
        <v>1</v>
      </c>
      <c r="BC308" s="76" t="b">
        <v>0</v>
      </c>
      <c r="BD308" s="76" t="b">
        <v>0</v>
      </c>
      <c r="BE308" s="76" t="b">
        <v>1</v>
      </c>
      <c r="BF308" s="76" t="b">
        <v>0</v>
      </c>
      <c r="BG308" s="76" t="b">
        <v>0</v>
      </c>
      <c r="BH308" s="83" t="str">
        <f>HYPERLINK("https://pbs.twimg.com/profile_banners/1005497319561859073/1693576495")</f>
        <v>https://pbs.twimg.com/profile_banners/1005497319561859073/1693576495</v>
      </c>
      <c r="BI308" s="76"/>
      <c r="BJ308" s="76" t="s">
        <v>18704</v>
      </c>
      <c r="BK308" s="76" t="b">
        <v>0</v>
      </c>
      <c r="BL308" s="76"/>
      <c r="BM308" s="76" t="s">
        <v>66</v>
      </c>
      <c r="BN308" s="76" t="s">
        <v>18706</v>
      </c>
      <c r="BO308" s="83" t="str">
        <f>HYPERLINK("https://twitter.com/edntvhn")</f>
        <v>https://twitter.com/edntvhn</v>
      </c>
      <c r="BP308" s="2"/>
    </row>
    <row r="309" spans="1:68" x14ac:dyDescent="0.25">
      <c r="A309" s="62" t="s">
        <v>464</v>
      </c>
      <c r="B309" s="63"/>
      <c r="C309" s="63"/>
      <c r="D309" s="64"/>
      <c r="E309" s="66"/>
      <c r="F309" s="102" t="str">
        <f>HYPERLINK("https://pbs.twimg.com/profile_images/1699594327024967680/A2LldMBH_normal.jpg")</f>
        <v>https://pbs.twimg.com/profile_images/1699594327024967680/A2LldMBH_normal.jpg</v>
      </c>
      <c r="G309" s="63"/>
      <c r="H309" s="67"/>
      <c r="I309" s="68"/>
      <c r="J309" s="68"/>
      <c r="K309" s="67" t="s">
        <v>19012</v>
      </c>
      <c r="L309" s="71"/>
      <c r="M309" s="72"/>
      <c r="N309" s="72"/>
      <c r="O309" s="73"/>
      <c r="P309" s="74"/>
      <c r="Q309" s="74"/>
      <c r="R309" s="86"/>
      <c r="S309" s="86"/>
      <c r="T309" s="86"/>
      <c r="U309" s="86"/>
      <c r="V309" s="48"/>
      <c r="W309" s="48"/>
      <c r="X309" s="48"/>
      <c r="Y309" s="48"/>
      <c r="Z309" s="47"/>
      <c r="AA309" s="69">
        <v>309</v>
      </c>
      <c r="AB309" s="69"/>
      <c r="AC309" s="70"/>
      <c r="AD309" s="76" t="s">
        <v>16738</v>
      </c>
      <c r="AE309" s="81" t="s">
        <v>17221</v>
      </c>
      <c r="AF309" s="76">
        <v>311</v>
      </c>
      <c r="AG309" s="76">
        <v>2063</v>
      </c>
      <c r="AH309" s="76">
        <v>5140</v>
      </c>
      <c r="AI309" s="76">
        <v>1</v>
      </c>
      <c r="AJ309" s="76">
        <v>1990</v>
      </c>
      <c r="AK309" s="76">
        <v>1283</v>
      </c>
      <c r="AL309" s="76" t="b">
        <v>0</v>
      </c>
      <c r="AM309" s="78">
        <v>40327.633912037039</v>
      </c>
      <c r="AN309" s="76" t="s">
        <v>10585</v>
      </c>
      <c r="AO309" s="76" t="s">
        <v>17919</v>
      </c>
      <c r="AP309" s="83" t="str">
        <f>HYPERLINK("https://t.co/YXmb7G7YJt")</f>
        <v>https://t.co/YXmb7G7YJt</v>
      </c>
      <c r="AQ309" s="83" t="str">
        <f>HYPERLINK("http://instagran.com/anderson_alves")</f>
        <v>http://instagran.com/anderson_alves</v>
      </c>
      <c r="AR309" s="76" t="s">
        <v>18417</v>
      </c>
      <c r="AS309" s="76"/>
      <c r="AT309" s="76"/>
      <c r="AU309" s="76"/>
      <c r="AV309" s="76"/>
      <c r="AW309" s="83" t="str">
        <f>HYPERLINK("https://t.co/YXmb7G7YJt")</f>
        <v>https://t.co/YXmb7G7YJt</v>
      </c>
      <c r="AX309" s="76" t="b">
        <v>0</v>
      </c>
      <c r="AY309" s="76"/>
      <c r="AZ309" s="76"/>
      <c r="BA309" s="76" t="b">
        <v>1</v>
      </c>
      <c r="BB309" s="76" t="b">
        <v>1</v>
      </c>
      <c r="BC309" s="76" t="b">
        <v>0</v>
      </c>
      <c r="BD309" s="76" t="b">
        <v>0</v>
      </c>
      <c r="BE309" s="76" t="b">
        <v>1</v>
      </c>
      <c r="BF309" s="76" t="b">
        <v>0</v>
      </c>
      <c r="BG309" s="76" t="b">
        <v>0</v>
      </c>
      <c r="BH309" s="83" t="str">
        <f>HYPERLINK("https://pbs.twimg.com/profile_banners/149541051/1594202540")</f>
        <v>https://pbs.twimg.com/profile_banners/149541051/1594202540</v>
      </c>
      <c r="BI309" s="76"/>
      <c r="BJ309" s="76" t="s">
        <v>18704</v>
      </c>
      <c r="BK309" s="76" t="b">
        <v>0</v>
      </c>
      <c r="BL309" s="76"/>
      <c r="BM309" s="76" t="s">
        <v>66</v>
      </c>
      <c r="BN309" s="76" t="s">
        <v>18706</v>
      </c>
      <c r="BO309" s="83" t="str">
        <f>HYPERLINK("https://twitter.com/andersonbroker")</f>
        <v>https://twitter.com/andersonbroker</v>
      </c>
      <c r="BP309" s="2"/>
    </row>
    <row r="310" spans="1:68" x14ac:dyDescent="0.25">
      <c r="A310" s="62" t="s">
        <v>465</v>
      </c>
      <c r="B310" s="63"/>
      <c r="C310" s="63"/>
      <c r="D310" s="64"/>
      <c r="E310" s="66"/>
      <c r="F310" s="102" t="str">
        <f>HYPERLINK("https://pbs.twimg.com/profile_images/1390474628028674050/mhYme_Bf_normal.jpg")</f>
        <v>https://pbs.twimg.com/profile_images/1390474628028674050/mhYme_Bf_normal.jpg</v>
      </c>
      <c r="G310" s="63"/>
      <c r="H310" s="67"/>
      <c r="I310" s="68"/>
      <c r="J310" s="68"/>
      <c r="K310" s="67" t="s">
        <v>19013</v>
      </c>
      <c r="L310" s="71"/>
      <c r="M310" s="72"/>
      <c r="N310" s="72"/>
      <c r="O310" s="73"/>
      <c r="P310" s="74"/>
      <c r="Q310" s="74"/>
      <c r="R310" s="86"/>
      <c r="S310" s="86"/>
      <c r="T310" s="86"/>
      <c r="U310" s="86"/>
      <c r="V310" s="48"/>
      <c r="W310" s="48"/>
      <c r="X310" s="48"/>
      <c r="Y310" s="48"/>
      <c r="Z310" s="47"/>
      <c r="AA310" s="69">
        <v>310</v>
      </c>
      <c r="AB310" s="69"/>
      <c r="AC310" s="70"/>
      <c r="AD310" s="76" t="s">
        <v>16739</v>
      </c>
      <c r="AE310" s="81" t="s">
        <v>16245</v>
      </c>
      <c r="AF310" s="76">
        <v>753</v>
      </c>
      <c r="AG310" s="76">
        <v>35</v>
      </c>
      <c r="AH310" s="76">
        <v>8934</v>
      </c>
      <c r="AI310" s="76">
        <v>14</v>
      </c>
      <c r="AJ310" s="76">
        <v>19</v>
      </c>
      <c r="AK310" s="76">
        <v>5552</v>
      </c>
      <c r="AL310" s="76" t="b">
        <v>0</v>
      </c>
      <c r="AM310" s="78">
        <v>44322.966354166667</v>
      </c>
      <c r="AN310" s="76" t="s">
        <v>10570</v>
      </c>
      <c r="AO310" s="76" t="s">
        <v>17920</v>
      </c>
      <c r="AP310" s="83" t="str">
        <f>HYPERLINK("https://t.co/YTSDPtK7SC")</f>
        <v>https://t.co/YTSDPtK7SC</v>
      </c>
      <c r="AQ310" s="83" t="str">
        <f>HYPERLINK("https://www.instagram.com/mktstats/")</f>
        <v>https://www.instagram.com/mktstats/</v>
      </c>
      <c r="AR310" s="76" t="s">
        <v>18418</v>
      </c>
      <c r="AS310" s="76"/>
      <c r="AT310" s="76"/>
      <c r="AU310" s="76"/>
      <c r="AV310" s="76"/>
      <c r="AW310" s="83" t="str">
        <f>HYPERLINK("https://t.co/YTSDPtK7SC")</f>
        <v>https://t.co/YTSDPtK7SC</v>
      </c>
      <c r="AX310" s="76" t="b">
        <v>0</v>
      </c>
      <c r="AY310" s="76"/>
      <c r="AZ310" s="76"/>
      <c r="BA310" s="76" t="b">
        <v>1</v>
      </c>
      <c r="BB310" s="76" t="b">
        <v>1</v>
      </c>
      <c r="BC310" s="76" t="b">
        <v>1</v>
      </c>
      <c r="BD310" s="76" t="b">
        <v>0</v>
      </c>
      <c r="BE310" s="76" t="b">
        <v>0</v>
      </c>
      <c r="BF310" s="76" t="b">
        <v>0</v>
      </c>
      <c r="BG310" s="76" t="b">
        <v>0</v>
      </c>
      <c r="BH310" s="83" t="str">
        <f>HYPERLINK("https://pbs.twimg.com/profile_banners/1390444095118708738/1620360592")</f>
        <v>https://pbs.twimg.com/profile_banners/1390444095118708738/1620360592</v>
      </c>
      <c r="BI310" s="76"/>
      <c r="BJ310" s="76" t="s">
        <v>18704</v>
      </c>
      <c r="BK310" s="76" t="b">
        <v>0</v>
      </c>
      <c r="BL310" s="76"/>
      <c r="BM310" s="76" t="s">
        <v>66</v>
      </c>
      <c r="BN310" s="76" t="s">
        <v>18706</v>
      </c>
      <c r="BO310" s="83" t="str">
        <f>HYPERLINK("https://twitter.com/mercadosbrasil")</f>
        <v>https://twitter.com/mercadosbrasil</v>
      </c>
      <c r="BP310" s="2"/>
    </row>
    <row r="311" spans="1:68" x14ac:dyDescent="0.25">
      <c r="A311" s="62" t="s">
        <v>466</v>
      </c>
      <c r="B311" s="63"/>
      <c r="C311" s="63"/>
      <c r="D311" s="64"/>
      <c r="E311" s="66"/>
      <c r="F311" s="102" t="str">
        <f>HYPERLINK("https://pbs.twimg.com/profile_images/1693280437966163969/sxcXO0_x_normal.jpg")</f>
        <v>https://pbs.twimg.com/profile_images/1693280437966163969/sxcXO0_x_normal.jpg</v>
      </c>
      <c r="G311" s="63"/>
      <c r="H311" s="67"/>
      <c r="I311" s="68"/>
      <c r="J311" s="68"/>
      <c r="K311" s="67" t="s">
        <v>19014</v>
      </c>
      <c r="L311" s="71"/>
      <c r="M311" s="72"/>
      <c r="N311" s="72"/>
      <c r="O311" s="73"/>
      <c r="P311" s="74"/>
      <c r="Q311" s="74"/>
      <c r="R311" s="86"/>
      <c r="S311" s="86"/>
      <c r="T311" s="86"/>
      <c r="U311" s="86"/>
      <c r="V311" s="48"/>
      <c r="W311" s="48"/>
      <c r="X311" s="48"/>
      <c r="Y311" s="48"/>
      <c r="Z311" s="47"/>
      <c r="AA311" s="69">
        <v>311</v>
      </c>
      <c r="AB311" s="69"/>
      <c r="AC311" s="70"/>
      <c r="AD311" s="76" t="s">
        <v>16740</v>
      </c>
      <c r="AE311" s="81" t="s">
        <v>16246</v>
      </c>
      <c r="AF311" s="76">
        <v>0</v>
      </c>
      <c r="AG311" s="76">
        <v>9</v>
      </c>
      <c r="AH311" s="76">
        <v>6</v>
      </c>
      <c r="AI311" s="76">
        <v>0</v>
      </c>
      <c r="AJ311" s="76">
        <v>19</v>
      </c>
      <c r="AK311" s="76">
        <v>5</v>
      </c>
      <c r="AL311" s="76" t="b">
        <v>0</v>
      </c>
      <c r="AM311" s="78">
        <v>45128.090312499997</v>
      </c>
      <c r="AN311" s="76"/>
      <c r="AO311" s="76" t="s">
        <v>17921</v>
      </c>
      <c r="AP311" s="83" t="str">
        <f>HYPERLINK("https://t.co/ZykSe99WyL")</f>
        <v>https://t.co/ZykSe99WyL</v>
      </c>
      <c r="AQ311" s="83" t="str">
        <f>HYPERLINK("https://www.youtube.com/@fernandopaivabr")</f>
        <v>https://www.youtube.com/@fernandopaivabr</v>
      </c>
      <c r="AR311" s="76" t="s">
        <v>18419</v>
      </c>
      <c r="AS311" s="76"/>
      <c r="AT311" s="76"/>
      <c r="AU311" s="76"/>
      <c r="AV311" s="76">
        <v>1.69545753930177E+18</v>
      </c>
      <c r="AW311" s="83" t="str">
        <f>HYPERLINK("https://t.co/ZykSe99WyL")</f>
        <v>https://t.co/ZykSe99WyL</v>
      </c>
      <c r="AX311" s="76" t="b">
        <v>0</v>
      </c>
      <c r="AY311" s="76"/>
      <c r="AZ311" s="76"/>
      <c r="BA311" s="76" t="b">
        <v>0</v>
      </c>
      <c r="BB311" s="76" t="b">
        <v>1</v>
      </c>
      <c r="BC311" s="76" t="b">
        <v>1</v>
      </c>
      <c r="BD311" s="76" t="b">
        <v>0</v>
      </c>
      <c r="BE311" s="76" t="b">
        <v>0</v>
      </c>
      <c r="BF311" s="76" t="b">
        <v>0</v>
      </c>
      <c r="BG311" s="76" t="b">
        <v>0</v>
      </c>
      <c r="BH311" s="76"/>
      <c r="BI311" s="76"/>
      <c r="BJ311" s="76" t="s">
        <v>18704</v>
      </c>
      <c r="BK311" s="76" t="b">
        <v>0</v>
      </c>
      <c r="BL311" s="76"/>
      <c r="BM311" s="76" t="s">
        <v>66</v>
      </c>
      <c r="BN311" s="76" t="s">
        <v>18706</v>
      </c>
      <c r="BO311" s="83" t="str">
        <f>HYPERLINK("https://twitter.com/ferpatrader")</f>
        <v>https://twitter.com/ferpatrader</v>
      </c>
      <c r="BP311" s="2"/>
    </row>
    <row r="312" spans="1:68" x14ac:dyDescent="0.25">
      <c r="A312" s="62" t="s">
        <v>467</v>
      </c>
      <c r="B312" s="63"/>
      <c r="C312" s="63"/>
      <c r="D312" s="64"/>
      <c r="E312" s="66"/>
      <c r="F312" s="102" t="str">
        <f>HYPERLINK("https://pbs.twimg.com/profile_images/1615454997554110464/1EML6amF_normal.jpg")</f>
        <v>https://pbs.twimg.com/profile_images/1615454997554110464/1EML6amF_normal.jpg</v>
      </c>
      <c r="G312" s="63"/>
      <c r="H312" s="67"/>
      <c r="I312" s="68"/>
      <c r="J312" s="68"/>
      <c r="K312" s="67" t="s">
        <v>19015</v>
      </c>
      <c r="L312" s="71"/>
      <c r="M312" s="72"/>
      <c r="N312" s="72"/>
      <c r="O312" s="73"/>
      <c r="P312" s="74"/>
      <c r="Q312" s="74"/>
      <c r="R312" s="86"/>
      <c r="S312" s="86"/>
      <c r="T312" s="86"/>
      <c r="U312" s="86"/>
      <c r="V312" s="48"/>
      <c r="W312" s="48"/>
      <c r="X312" s="48"/>
      <c r="Y312" s="48"/>
      <c r="Z312" s="47"/>
      <c r="AA312" s="69">
        <v>312</v>
      </c>
      <c r="AB312" s="69"/>
      <c r="AC312" s="70"/>
      <c r="AD312" s="76" t="s">
        <v>16741</v>
      </c>
      <c r="AE312" s="81" t="s">
        <v>16247</v>
      </c>
      <c r="AF312" s="76">
        <v>24166</v>
      </c>
      <c r="AG312" s="76">
        <v>25577</v>
      </c>
      <c r="AH312" s="76">
        <v>77765</v>
      </c>
      <c r="AI312" s="76">
        <v>10</v>
      </c>
      <c r="AJ312" s="76">
        <v>191813</v>
      </c>
      <c r="AK312" s="76">
        <v>3023</v>
      </c>
      <c r="AL312" s="76" t="b">
        <v>0</v>
      </c>
      <c r="AM312" s="78">
        <v>44089.707662037035</v>
      </c>
      <c r="AN312" s="76" t="s">
        <v>17519</v>
      </c>
      <c r="AO312" s="76" t="s">
        <v>17922</v>
      </c>
      <c r="AP312" s="83" t="str">
        <f>HYPERLINK("https://t.co/N7HHEMavmh")</f>
        <v>https://t.co/N7HHEMavmh</v>
      </c>
      <c r="AQ312" s="83" t="str">
        <f>HYPERLINK("http://www.apolo.delaware.us")</f>
        <v>http://www.apolo.delaware.us</v>
      </c>
      <c r="AR312" s="76" t="s">
        <v>18420</v>
      </c>
      <c r="AS312" s="76"/>
      <c r="AT312" s="76"/>
      <c r="AU312" s="76"/>
      <c r="AV312" s="76"/>
      <c r="AW312" s="83" t="str">
        <f>HYPERLINK("https://t.co/N7HHEMavmh")</f>
        <v>https://t.co/N7HHEMavmh</v>
      </c>
      <c r="AX312" s="76" t="b">
        <v>0</v>
      </c>
      <c r="AY312" s="76"/>
      <c r="AZ312" s="76"/>
      <c r="BA312" s="76" t="b">
        <v>0</v>
      </c>
      <c r="BB312" s="76" t="b">
        <v>1</v>
      </c>
      <c r="BC312" s="76" t="b">
        <v>1</v>
      </c>
      <c r="BD312" s="76" t="b">
        <v>0</v>
      </c>
      <c r="BE312" s="76" t="b">
        <v>1</v>
      </c>
      <c r="BF312" s="76" t="b">
        <v>0</v>
      </c>
      <c r="BG312" s="76" t="b">
        <v>0</v>
      </c>
      <c r="BH312" s="83" t="str">
        <f>HYPERLINK("https://pbs.twimg.com/profile_banners/1305913935758069760/1619845016")</f>
        <v>https://pbs.twimg.com/profile_banners/1305913935758069760/1619845016</v>
      </c>
      <c r="BI312" s="76"/>
      <c r="BJ312" s="76" t="s">
        <v>18704</v>
      </c>
      <c r="BK312" s="76" t="b">
        <v>0</v>
      </c>
      <c r="BL312" s="76"/>
      <c r="BM312" s="76" t="s">
        <v>66</v>
      </c>
      <c r="BN312" s="76" t="s">
        <v>18706</v>
      </c>
      <c r="BO312" s="83" t="str">
        <f>HYPERLINK("https://twitter.com/apoloc8")</f>
        <v>https://twitter.com/apoloc8</v>
      </c>
      <c r="BP312" s="2"/>
    </row>
    <row r="313" spans="1:68" x14ac:dyDescent="0.25">
      <c r="A313" s="62" t="s">
        <v>797</v>
      </c>
      <c r="B313" s="63"/>
      <c r="C313" s="63"/>
      <c r="D313" s="64"/>
      <c r="E313" s="66"/>
      <c r="F313" s="102" t="str">
        <f>HYPERLINK("https://pbs.twimg.com/profile_images/1609903249103912961/b24RdpLM_normal.jpg")</f>
        <v>https://pbs.twimg.com/profile_images/1609903249103912961/b24RdpLM_normal.jpg</v>
      </c>
      <c r="G313" s="63"/>
      <c r="H313" s="67"/>
      <c r="I313" s="68"/>
      <c r="J313" s="68"/>
      <c r="K313" s="67" t="s">
        <v>19016</v>
      </c>
      <c r="L313" s="71"/>
      <c r="M313" s="72"/>
      <c r="N313" s="72"/>
      <c r="O313" s="73"/>
      <c r="P313" s="74"/>
      <c r="Q313" s="74"/>
      <c r="R313" s="86"/>
      <c r="S313" s="86"/>
      <c r="T313" s="86"/>
      <c r="U313" s="86"/>
      <c r="V313" s="48"/>
      <c r="W313" s="48"/>
      <c r="X313" s="48"/>
      <c r="Y313" s="48"/>
      <c r="Z313" s="47"/>
      <c r="AA313" s="69">
        <v>313</v>
      </c>
      <c r="AB313" s="69"/>
      <c r="AC313" s="70"/>
      <c r="AD313" s="76" t="s">
        <v>16742</v>
      </c>
      <c r="AE313" s="81" t="s">
        <v>17222</v>
      </c>
      <c r="AF313" s="76">
        <v>429911</v>
      </c>
      <c r="AG313" s="76">
        <v>740</v>
      </c>
      <c r="AH313" s="76">
        <v>19401</v>
      </c>
      <c r="AI313" s="76">
        <v>1309</v>
      </c>
      <c r="AJ313" s="76">
        <v>1693</v>
      </c>
      <c r="AK313" s="76">
        <v>8682</v>
      </c>
      <c r="AL313" s="76" t="b">
        <v>0</v>
      </c>
      <c r="AM313" s="78">
        <v>40388.625543981485</v>
      </c>
      <c r="AN313" s="76" t="s">
        <v>17440</v>
      </c>
      <c r="AO313" s="76" t="s">
        <v>17923</v>
      </c>
      <c r="AP313" s="83" t="str">
        <f>HYPERLINK("https://t.co/ngeo5JO73T")</f>
        <v>https://t.co/ngeo5JO73T</v>
      </c>
      <c r="AQ313" s="83" t="str">
        <f>HYPERLINK("http://www.banrep.gov.co")</f>
        <v>http://www.banrep.gov.co</v>
      </c>
      <c r="AR313" s="76" t="s">
        <v>18421</v>
      </c>
      <c r="AS313" s="76"/>
      <c r="AT313" s="76"/>
      <c r="AU313" s="76"/>
      <c r="AV313" s="76">
        <v>1.7026758737557299E+18</v>
      </c>
      <c r="AW313" s="83" t="str">
        <f>HYPERLINK("https://t.co/ngeo5JO73T")</f>
        <v>https://t.co/ngeo5JO73T</v>
      </c>
      <c r="AX313" s="76" t="b">
        <v>0</v>
      </c>
      <c r="AY313" s="76"/>
      <c r="AZ313" s="76"/>
      <c r="BA313" s="76" t="b">
        <v>1</v>
      </c>
      <c r="BB313" s="76" t="b">
        <v>0</v>
      </c>
      <c r="BC313" s="76" t="b">
        <v>0</v>
      </c>
      <c r="BD313" s="76" t="b">
        <v>0</v>
      </c>
      <c r="BE313" s="76" t="b">
        <v>1</v>
      </c>
      <c r="BF313" s="76" t="b">
        <v>0</v>
      </c>
      <c r="BG313" s="76" t="b">
        <v>0</v>
      </c>
      <c r="BH313" s="83" t="str">
        <f>HYPERLINK("https://pbs.twimg.com/profile_banners/172368909/1672756099")</f>
        <v>https://pbs.twimg.com/profile_banners/172368909/1672756099</v>
      </c>
      <c r="BI313" s="76"/>
      <c r="BJ313" s="76" t="s">
        <v>18704</v>
      </c>
      <c r="BK313" s="76" t="b">
        <v>0</v>
      </c>
      <c r="BL313" s="76"/>
      <c r="BM313" s="76" t="s">
        <v>65</v>
      </c>
      <c r="BN313" s="76" t="s">
        <v>18706</v>
      </c>
      <c r="BO313" s="83" t="str">
        <f>HYPERLINK("https://twitter.com/bancorepublica")</f>
        <v>https://twitter.com/bancorepublica</v>
      </c>
      <c r="BP313" s="2"/>
    </row>
    <row r="314" spans="1:68" x14ac:dyDescent="0.25">
      <c r="A314" s="62" t="s">
        <v>468</v>
      </c>
      <c r="B314" s="63"/>
      <c r="C314" s="63"/>
      <c r="D314" s="64"/>
      <c r="E314" s="66"/>
      <c r="F314" s="102" t="str">
        <f>HYPERLINK("https://pbs.twimg.com/profile_images/1642322903889858560/Loqe8pMz_normal.jpg")</f>
        <v>https://pbs.twimg.com/profile_images/1642322903889858560/Loqe8pMz_normal.jpg</v>
      </c>
      <c r="G314" s="63"/>
      <c r="H314" s="67"/>
      <c r="I314" s="68"/>
      <c r="J314" s="68"/>
      <c r="K314" s="67" t="s">
        <v>19017</v>
      </c>
      <c r="L314" s="71"/>
      <c r="M314" s="72"/>
      <c r="N314" s="72"/>
      <c r="O314" s="73"/>
      <c r="P314" s="74"/>
      <c r="Q314" s="74"/>
      <c r="R314" s="86"/>
      <c r="S314" s="86"/>
      <c r="T314" s="86"/>
      <c r="U314" s="86"/>
      <c r="V314" s="48"/>
      <c r="W314" s="48"/>
      <c r="X314" s="48"/>
      <c r="Y314" s="48"/>
      <c r="Z314" s="47"/>
      <c r="AA314" s="69">
        <v>314</v>
      </c>
      <c r="AB314" s="69"/>
      <c r="AC314" s="70"/>
      <c r="AD314" s="76" t="s">
        <v>16743</v>
      </c>
      <c r="AE314" s="81" t="s">
        <v>15947</v>
      </c>
      <c r="AF314" s="76">
        <v>81</v>
      </c>
      <c r="AG314" s="76">
        <v>416</v>
      </c>
      <c r="AH314" s="76">
        <v>1054</v>
      </c>
      <c r="AI314" s="76">
        <v>9</v>
      </c>
      <c r="AJ314" s="76">
        <v>1198</v>
      </c>
      <c r="AK314" s="76">
        <v>236</v>
      </c>
      <c r="AL314" s="76" t="b">
        <v>0</v>
      </c>
      <c r="AM314" s="78">
        <v>44554.953553240739</v>
      </c>
      <c r="AN314" s="76" t="s">
        <v>10570</v>
      </c>
      <c r="AO314" s="76" t="s">
        <v>17924</v>
      </c>
      <c r="AP314" s="83" t="str">
        <f>HYPERLINK("https://t.co/qXdHgFeZfx")</f>
        <v>https://t.co/qXdHgFeZfx</v>
      </c>
      <c r="AQ314" s="83" t="str">
        <f>HYPERLINK("https://linktr.ee/invexcripto")</f>
        <v>https://linktr.ee/invexcripto</v>
      </c>
      <c r="AR314" s="76" t="s">
        <v>18422</v>
      </c>
      <c r="AS314" s="76"/>
      <c r="AT314" s="76"/>
      <c r="AU314" s="76"/>
      <c r="AV314" s="76">
        <v>1.67206842947231E+18</v>
      </c>
      <c r="AW314" s="83" t="str">
        <f>HYPERLINK("https://t.co/qXdHgFeZfx")</f>
        <v>https://t.co/qXdHgFeZfx</v>
      </c>
      <c r="AX314" s="76" t="b">
        <v>0</v>
      </c>
      <c r="AY314" s="76"/>
      <c r="AZ314" s="76"/>
      <c r="BA314" s="76" t="b">
        <v>0</v>
      </c>
      <c r="BB314" s="76" t="b">
        <v>1</v>
      </c>
      <c r="BC314" s="76" t="b">
        <v>1</v>
      </c>
      <c r="BD314" s="76" t="b">
        <v>0</v>
      </c>
      <c r="BE314" s="76" t="b">
        <v>1</v>
      </c>
      <c r="BF314" s="76" t="b">
        <v>0</v>
      </c>
      <c r="BG314" s="76" t="b">
        <v>0</v>
      </c>
      <c r="BH314" s="83" t="str">
        <f>HYPERLINK("https://pbs.twimg.com/profile_banners/1474513441444532226/1679767105")</f>
        <v>https://pbs.twimg.com/profile_banners/1474513441444532226/1679767105</v>
      </c>
      <c r="BI314" s="76"/>
      <c r="BJ314" s="76" t="s">
        <v>18704</v>
      </c>
      <c r="BK314" s="76" t="b">
        <v>0</v>
      </c>
      <c r="BL314" s="76"/>
      <c r="BM314" s="76" t="s">
        <v>66</v>
      </c>
      <c r="BN314" s="76" t="s">
        <v>18706</v>
      </c>
      <c r="BO314" s="83" t="str">
        <f>HYPERLINK("https://twitter.com/invexcripto")</f>
        <v>https://twitter.com/invexcripto</v>
      </c>
      <c r="BP314" s="2"/>
    </row>
    <row r="315" spans="1:68" x14ac:dyDescent="0.25">
      <c r="A315" s="62" t="s">
        <v>469</v>
      </c>
      <c r="B315" s="63"/>
      <c r="C315" s="63"/>
      <c r="D315" s="64"/>
      <c r="E315" s="66"/>
      <c r="F315" s="102" t="str">
        <f>HYPERLINK("https://pbs.twimg.com/profile_images/1635660318985658375/Li9qBLbs_normal.png")</f>
        <v>https://pbs.twimg.com/profile_images/1635660318985658375/Li9qBLbs_normal.png</v>
      </c>
      <c r="G315" s="63"/>
      <c r="H315" s="67"/>
      <c r="I315" s="68"/>
      <c r="J315" s="68"/>
      <c r="K315" s="67" t="s">
        <v>19018</v>
      </c>
      <c r="L315" s="71"/>
      <c r="M315" s="72"/>
      <c r="N315" s="72"/>
      <c r="O315" s="73"/>
      <c r="P315" s="74"/>
      <c r="Q315" s="74"/>
      <c r="R315" s="86"/>
      <c r="S315" s="86"/>
      <c r="T315" s="86"/>
      <c r="U315" s="86"/>
      <c r="V315" s="48"/>
      <c r="W315" s="48"/>
      <c r="X315" s="48"/>
      <c r="Y315" s="48"/>
      <c r="Z315" s="47"/>
      <c r="AA315" s="69">
        <v>315</v>
      </c>
      <c r="AB315" s="69"/>
      <c r="AC315" s="70"/>
      <c r="AD315" s="76" t="s">
        <v>16744</v>
      </c>
      <c r="AE315" s="81" t="s">
        <v>16248</v>
      </c>
      <c r="AF315" s="76">
        <v>1444</v>
      </c>
      <c r="AG315" s="76">
        <v>4024</v>
      </c>
      <c r="AH315" s="76">
        <v>1172</v>
      </c>
      <c r="AI315" s="76">
        <v>0</v>
      </c>
      <c r="AJ315" s="76">
        <v>290</v>
      </c>
      <c r="AK315" s="76">
        <v>49</v>
      </c>
      <c r="AL315" s="76" t="b">
        <v>0</v>
      </c>
      <c r="AM315" s="78">
        <v>44999.633784722224</v>
      </c>
      <c r="AN315" s="76"/>
      <c r="AO315" s="76" t="s">
        <v>17925</v>
      </c>
      <c r="AP315" s="76"/>
      <c r="AQ315" s="76"/>
      <c r="AR315" s="76"/>
      <c r="AS315" s="83" t="str">
        <f>HYPERLINK("https://t.co/0bLgVXJzNu")</f>
        <v>https://t.co/0bLgVXJzNu</v>
      </c>
      <c r="AT315" s="83" t="str">
        <f>HYPERLINK("http://dinamicarg.com")</f>
        <v>http://dinamicarg.com</v>
      </c>
      <c r="AU315" s="76" t="s">
        <v>6525</v>
      </c>
      <c r="AV315" s="76">
        <v>1.7070255963776399E+18</v>
      </c>
      <c r="AW315" s="76"/>
      <c r="AX315" s="76" t="b">
        <v>0</v>
      </c>
      <c r="AY315" s="76"/>
      <c r="AZ315" s="76"/>
      <c r="BA315" s="76" t="b">
        <v>0</v>
      </c>
      <c r="BB315" s="76" t="b">
        <v>1</v>
      </c>
      <c r="BC315" s="76" t="b">
        <v>1</v>
      </c>
      <c r="BD315" s="76" t="b">
        <v>0</v>
      </c>
      <c r="BE315" s="76" t="b">
        <v>0</v>
      </c>
      <c r="BF315" s="76" t="b">
        <v>0</v>
      </c>
      <c r="BG315" s="76" t="b">
        <v>0</v>
      </c>
      <c r="BH315" s="83" t="str">
        <f>HYPERLINK("https://pbs.twimg.com/profile_banners/1635660146603958272/1678808025")</f>
        <v>https://pbs.twimg.com/profile_banners/1635660146603958272/1678808025</v>
      </c>
      <c r="BI315" s="76"/>
      <c r="BJ315" s="76" t="s">
        <v>18704</v>
      </c>
      <c r="BK315" s="76" t="b">
        <v>0</v>
      </c>
      <c r="BL315" s="76"/>
      <c r="BM315" s="76" t="s">
        <v>66</v>
      </c>
      <c r="BN315" s="76" t="s">
        <v>18706</v>
      </c>
      <c r="BO315" s="83" t="str">
        <f>HYPERLINK("https://twitter.com/dinamicargweb")</f>
        <v>https://twitter.com/dinamicargweb</v>
      </c>
      <c r="BP315" s="2"/>
    </row>
    <row r="316" spans="1:68" x14ac:dyDescent="0.25">
      <c r="A316" s="62" t="s">
        <v>798</v>
      </c>
      <c r="B316" s="63"/>
      <c r="C316" s="63"/>
      <c r="D316" s="64"/>
      <c r="E316" s="66"/>
      <c r="F316" s="102" t="str">
        <f>HYPERLINK("https://pbs.twimg.com/profile_images/1639607611036188675/ER1KQEWf_normal.jpg")</f>
        <v>https://pbs.twimg.com/profile_images/1639607611036188675/ER1KQEWf_normal.jpg</v>
      </c>
      <c r="G316" s="63"/>
      <c r="H316" s="67"/>
      <c r="I316" s="68"/>
      <c r="J316" s="68"/>
      <c r="K316" s="67" t="s">
        <v>19019</v>
      </c>
      <c r="L316" s="71"/>
      <c r="M316" s="72"/>
      <c r="N316" s="72"/>
      <c r="O316" s="73"/>
      <c r="P316" s="74"/>
      <c r="Q316" s="74"/>
      <c r="R316" s="86"/>
      <c r="S316" s="86"/>
      <c r="T316" s="86"/>
      <c r="U316" s="86"/>
      <c r="V316" s="48"/>
      <c r="W316" s="48"/>
      <c r="X316" s="48"/>
      <c r="Y316" s="48"/>
      <c r="Z316" s="47"/>
      <c r="AA316" s="69">
        <v>316</v>
      </c>
      <c r="AB316" s="69"/>
      <c r="AC316" s="70"/>
      <c r="AD316" s="76" t="s">
        <v>16745</v>
      </c>
      <c r="AE316" s="81" t="s">
        <v>17223</v>
      </c>
      <c r="AF316" s="76">
        <v>1272066</v>
      </c>
      <c r="AG316" s="76">
        <v>2366</v>
      </c>
      <c r="AH316" s="76">
        <v>11432</v>
      </c>
      <c r="AI316" s="76">
        <v>2732</v>
      </c>
      <c r="AJ316" s="76">
        <v>12194</v>
      </c>
      <c r="AK316" s="76">
        <v>4988</v>
      </c>
      <c r="AL316" s="76" t="b">
        <v>0</v>
      </c>
      <c r="AM316" s="78">
        <v>40233.850185185183</v>
      </c>
      <c r="AN316" s="76" t="s">
        <v>17520</v>
      </c>
      <c r="AO316" s="76" t="s">
        <v>17926</v>
      </c>
      <c r="AP316" s="76"/>
      <c r="AQ316" s="76"/>
      <c r="AR316" s="76"/>
      <c r="AS316" s="76"/>
      <c r="AT316" s="76"/>
      <c r="AU316" s="76"/>
      <c r="AV316" s="76"/>
      <c r="AW316" s="76"/>
      <c r="AX316" s="76" t="b">
        <v>1</v>
      </c>
      <c r="AY316" s="76"/>
      <c r="AZ316" s="76"/>
      <c r="BA316" s="76" t="b">
        <v>0</v>
      </c>
      <c r="BB316" s="76" t="b">
        <v>1</v>
      </c>
      <c r="BC316" s="76" t="b">
        <v>0</v>
      </c>
      <c r="BD316" s="76" t="b">
        <v>0</v>
      </c>
      <c r="BE316" s="76" t="b">
        <v>1</v>
      </c>
      <c r="BF316" s="76" t="b">
        <v>0</v>
      </c>
      <c r="BG316" s="76" t="b">
        <v>0</v>
      </c>
      <c r="BH316" s="83" t="str">
        <f>HYPERLINK("https://pbs.twimg.com/profile_banners/117185027/1575490491")</f>
        <v>https://pbs.twimg.com/profile_banners/117185027/1575490491</v>
      </c>
      <c r="BI316" s="76"/>
      <c r="BJ316" s="76" t="s">
        <v>18704</v>
      </c>
      <c r="BK316" s="76" t="b">
        <v>0</v>
      </c>
      <c r="BL316" s="76"/>
      <c r="BM316" s="76" t="s">
        <v>65</v>
      </c>
      <c r="BN316" s="76" t="s">
        <v>18706</v>
      </c>
      <c r="BO316" s="83" t="str">
        <f>HYPERLINK("https://twitter.com/sergiomassa")</f>
        <v>https://twitter.com/sergiomassa</v>
      </c>
      <c r="BP316" s="2"/>
    </row>
    <row r="317" spans="1:68" x14ac:dyDescent="0.25">
      <c r="A317" s="62" t="s">
        <v>470</v>
      </c>
      <c r="B317" s="63"/>
      <c r="C317" s="63"/>
      <c r="D317" s="64"/>
      <c r="E317" s="66"/>
      <c r="F317" s="102" t="str">
        <f>HYPERLINK("https://pbs.twimg.com/profile_images/1320802018836074500/SdDDk3nD_normal.jpg")</f>
        <v>https://pbs.twimg.com/profile_images/1320802018836074500/SdDDk3nD_normal.jpg</v>
      </c>
      <c r="G317" s="63"/>
      <c r="H317" s="67"/>
      <c r="I317" s="68"/>
      <c r="J317" s="68"/>
      <c r="K317" s="67" t="s">
        <v>19020</v>
      </c>
      <c r="L317" s="71"/>
      <c r="M317" s="72"/>
      <c r="N317" s="72"/>
      <c r="O317" s="73"/>
      <c r="P317" s="74"/>
      <c r="Q317" s="74"/>
      <c r="R317" s="86"/>
      <c r="S317" s="86"/>
      <c r="T317" s="86"/>
      <c r="U317" s="86"/>
      <c r="V317" s="48"/>
      <c r="W317" s="48"/>
      <c r="X317" s="48"/>
      <c r="Y317" s="48"/>
      <c r="Z317" s="47"/>
      <c r="AA317" s="69">
        <v>317</v>
      </c>
      <c r="AB317" s="69"/>
      <c r="AC317" s="70"/>
      <c r="AD317" s="76" t="s">
        <v>16746</v>
      </c>
      <c r="AE317" s="81" t="s">
        <v>16249</v>
      </c>
      <c r="AF317" s="76">
        <v>329</v>
      </c>
      <c r="AG317" s="76">
        <v>17</v>
      </c>
      <c r="AH317" s="76">
        <v>262</v>
      </c>
      <c r="AI317" s="76">
        <v>9</v>
      </c>
      <c r="AJ317" s="76">
        <v>20</v>
      </c>
      <c r="AK317" s="76">
        <v>38</v>
      </c>
      <c r="AL317" s="76" t="b">
        <v>0</v>
      </c>
      <c r="AM317" s="78">
        <v>44034.724918981483</v>
      </c>
      <c r="AN317" s="76" t="s">
        <v>17521</v>
      </c>
      <c r="AO317" s="76" t="s">
        <v>17927</v>
      </c>
      <c r="AP317" s="83" t="str">
        <f>HYPERLINK("https://t.co/b8qktvMGIu")</f>
        <v>https://t.co/b8qktvMGIu</v>
      </c>
      <c r="AQ317" s="83" t="str">
        <f>HYPERLINK("http://linktr.ee/investoetf")</f>
        <v>http://linktr.ee/investoetf</v>
      </c>
      <c r="AR317" s="76" t="s">
        <v>18423</v>
      </c>
      <c r="AS317" s="76"/>
      <c r="AT317" s="76"/>
      <c r="AU317" s="76"/>
      <c r="AV317" s="76"/>
      <c r="AW317" s="83" t="str">
        <f>HYPERLINK("https://t.co/b8qktvMGIu")</f>
        <v>https://t.co/b8qktvMGIu</v>
      </c>
      <c r="AX317" s="76" t="b">
        <v>0</v>
      </c>
      <c r="AY317" s="76"/>
      <c r="AZ317" s="76"/>
      <c r="BA317" s="76" t="b">
        <v>0</v>
      </c>
      <c r="BB317" s="76" t="b">
        <v>1</v>
      </c>
      <c r="BC317" s="76" t="b">
        <v>1</v>
      </c>
      <c r="BD317" s="76" t="b">
        <v>0</v>
      </c>
      <c r="BE317" s="76" t="b">
        <v>0</v>
      </c>
      <c r="BF317" s="76" t="b">
        <v>0</v>
      </c>
      <c r="BG317" s="76" t="b">
        <v>0</v>
      </c>
      <c r="BH317" s="83" t="str">
        <f>HYPERLINK("https://pbs.twimg.com/profile_banners/1285988910145953794/1603738716")</f>
        <v>https://pbs.twimg.com/profile_banners/1285988910145953794/1603738716</v>
      </c>
      <c r="BI317" s="76"/>
      <c r="BJ317" s="76" t="s">
        <v>18704</v>
      </c>
      <c r="BK317" s="76" t="b">
        <v>0</v>
      </c>
      <c r="BL317" s="76"/>
      <c r="BM317" s="76" t="s">
        <v>66</v>
      </c>
      <c r="BN317" s="76" t="s">
        <v>18706</v>
      </c>
      <c r="BO317" s="83" t="str">
        <f>HYPERLINK("https://twitter.com/investoetf")</f>
        <v>https://twitter.com/investoetf</v>
      </c>
      <c r="BP317" s="2"/>
    </row>
    <row r="318" spans="1:68" x14ac:dyDescent="0.25">
      <c r="A318" s="62" t="s">
        <v>471</v>
      </c>
      <c r="B318" s="63"/>
      <c r="C318" s="63"/>
      <c r="D318" s="64"/>
      <c r="E318" s="66"/>
      <c r="F318" s="102" t="str">
        <f>HYPERLINK("https://pbs.twimg.com/profile_images/1624086653743640585/7OHzazaS_normal.jpg")</f>
        <v>https://pbs.twimg.com/profile_images/1624086653743640585/7OHzazaS_normal.jpg</v>
      </c>
      <c r="G318" s="63"/>
      <c r="H318" s="67"/>
      <c r="I318" s="68"/>
      <c r="J318" s="68"/>
      <c r="K318" s="67" t="s">
        <v>19021</v>
      </c>
      <c r="L318" s="71"/>
      <c r="M318" s="72"/>
      <c r="N318" s="72"/>
      <c r="O318" s="73"/>
      <c r="P318" s="74"/>
      <c r="Q318" s="74"/>
      <c r="R318" s="86"/>
      <c r="S318" s="86"/>
      <c r="T318" s="86"/>
      <c r="U318" s="86"/>
      <c r="V318" s="48"/>
      <c r="W318" s="48"/>
      <c r="X318" s="48"/>
      <c r="Y318" s="48"/>
      <c r="Z318" s="47"/>
      <c r="AA318" s="69">
        <v>318</v>
      </c>
      <c r="AB318" s="69"/>
      <c r="AC318" s="70"/>
      <c r="AD318" s="76" t="s">
        <v>16747</v>
      </c>
      <c r="AE318" s="81" t="s">
        <v>16250</v>
      </c>
      <c r="AF318" s="76">
        <v>78</v>
      </c>
      <c r="AG318" s="76">
        <v>1161</v>
      </c>
      <c r="AH318" s="76">
        <v>461</v>
      </c>
      <c r="AI318" s="76">
        <v>2</v>
      </c>
      <c r="AJ318" s="76">
        <v>100</v>
      </c>
      <c r="AK318" s="76">
        <v>440</v>
      </c>
      <c r="AL318" s="76" t="b">
        <v>0</v>
      </c>
      <c r="AM318" s="78">
        <v>44928.780150462961</v>
      </c>
      <c r="AN318" s="76" t="s">
        <v>10607</v>
      </c>
      <c r="AO318" s="76" t="s">
        <v>17928</v>
      </c>
      <c r="AP318" s="76"/>
      <c r="AQ318" s="76"/>
      <c r="AR318" s="76"/>
      <c r="AS318" s="83" t="str">
        <f>HYPERLINK("https://t.co/gKlc734q4L")</f>
        <v>https://t.co/gKlc734q4L</v>
      </c>
      <c r="AT318" s="83" t="str">
        <f>HYPERLINK("http://instagram.com/projeto4ciclos")</f>
        <v>http://instagram.com/projeto4ciclos</v>
      </c>
      <c r="AU318" s="76" t="s">
        <v>18674</v>
      </c>
      <c r="AV318" s="76">
        <v>1.6168306052197499E+18</v>
      </c>
      <c r="AW318" s="76"/>
      <c r="AX318" s="76" t="b">
        <v>0</v>
      </c>
      <c r="AY318" s="76"/>
      <c r="AZ318" s="76"/>
      <c r="BA318" s="76" t="b">
        <v>0</v>
      </c>
      <c r="BB318" s="76" t="b">
        <v>1</v>
      </c>
      <c r="BC318" s="76" t="b">
        <v>1</v>
      </c>
      <c r="BD318" s="76" t="b">
        <v>0</v>
      </c>
      <c r="BE318" s="76" t="b">
        <v>0</v>
      </c>
      <c r="BF318" s="76" t="b">
        <v>0</v>
      </c>
      <c r="BG318" s="76" t="b">
        <v>0</v>
      </c>
      <c r="BH318" s="83" t="str">
        <f>HYPERLINK("https://pbs.twimg.com/profile_banners/1609983543765090309/1676059926")</f>
        <v>https://pbs.twimg.com/profile_banners/1609983543765090309/1676059926</v>
      </c>
      <c r="BI318" s="76"/>
      <c r="BJ318" s="76" t="s">
        <v>18704</v>
      </c>
      <c r="BK318" s="76" t="b">
        <v>0</v>
      </c>
      <c r="BL318" s="76"/>
      <c r="BM318" s="76" t="s">
        <v>66</v>
      </c>
      <c r="BN318" s="76" t="s">
        <v>18706</v>
      </c>
      <c r="BO318" s="83" t="str">
        <f>HYPERLINK("https://twitter.com/projeto4ciclos")</f>
        <v>https://twitter.com/projeto4ciclos</v>
      </c>
      <c r="BP318" s="2"/>
    </row>
    <row r="319" spans="1:68" x14ac:dyDescent="0.25">
      <c r="A319" s="62" t="s">
        <v>472</v>
      </c>
      <c r="B319" s="63"/>
      <c r="C319" s="63"/>
      <c r="D319" s="64"/>
      <c r="E319" s="66"/>
      <c r="F319" s="102" t="str">
        <f>HYPERLINK("https://pbs.twimg.com/profile_images/1699838613029011456/kGjHQPJr_normal.jpg")</f>
        <v>https://pbs.twimg.com/profile_images/1699838613029011456/kGjHQPJr_normal.jpg</v>
      </c>
      <c r="G319" s="63"/>
      <c r="H319" s="67"/>
      <c r="I319" s="68"/>
      <c r="J319" s="68"/>
      <c r="K319" s="67" t="s">
        <v>19022</v>
      </c>
      <c r="L319" s="71"/>
      <c r="M319" s="72"/>
      <c r="N319" s="72"/>
      <c r="O319" s="73"/>
      <c r="P319" s="74"/>
      <c r="Q319" s="74"/>
      <c r="R319" s="86"/>
      <c r="S319" s="86"/>
      <c r="T319" s="86"/>
      <c r="U319" s="86"/>
      <c r="V319" s="48"/>
      <c r="W319" s="48"/>
      <c r="X319" s="48"/>
      <c r="Y319" s="48"/>
      <c r="Z319" s="47"/>
      <c r="AA319" s="69">
        <v>319</v>
      </c>
      <c r="AB319" s="69"/>
      <c r="AC319" s="70"/>
      <c r="AD319" s="76" t="s">
        <v>16748</v>
      </c>
      <c r="AE319" s="81" t="s">
        <v>16251</v>
      </c>
      <c r="AF319" s="76">
        <v>194</v>
      </c>
      <c r="AG319" s="76">
        <v>259</v>
      </c>
      <c r="AH319" s="76">
        <v>26</v>
      </c>
      <c r="AI319" s="76">
        <v>5</v>
      </c>
      <c r="AJ319" s="76">
        <v>7336</v>
      </c>
      <c r="AK319" s="76">
        <v>0</v>
      </c>
      <c r="AL319" s="76" t="b">
        <v>0</v>
      </c>
      <c r="AM319" s="78">
        <v>44989.911666666667</v>
      </c>
      <c r="AN319" s="76"/>
      <c r="AO319" s="76" t="s">
        <v>17929</v>
      </c>
      <c r="AP319" s="76"/>
      <c r="AQ319" s="76"/>
      <c r="AR319" s="76"/>
      <c r="AS319" s="76"/>
      <c r="AT319" s="76"/>
      <c r="AU319" s="76"/>
      <c r="AV319" s="76"/>
      <c r="AW319" s="76"/>
      <c r="AX319" s="76" t="b">
        <v>0</v>
      </c>
      <c r="AY319" s="76"/>
      <c r="AZ319" s="76"/>
      <c r="BA319" s="76" t="b">
        <v>1</v>
      </c>
      <c r="BB319" s="76" t="b">
        <v>1</v>
      </c>
      <c r="BC319" s="76" t="b">
        <v>1</v>
      </c>
      <c r="BD319" s="76" t="b">
        <v>0</v>
      </c>
      <c r="BE319" s="76" t="b">
        <v>0</v>
      </c>
      <c r="BF319" s="76" t="b">
        <v>0</v>
      </c>
      <c r="BG319" s="76" t="b">
        <v>0</v>
      </c>
      <c r="BH319" s="83" t="str">
        <f>HYPERLINK("https://pbs.twimg.com/profile_banners/1632136949560401920/1694108082")</f>
        <v>https://pbs.twimg.com/profile_banners/1632136949560401920/1694108082</v>
      </c>
      <c r="BI319" s="76"/>
      <c r="BJ319" s="76" t="s">
        <v>18704</v>
      </c>
      <c r="BK319" s="76" t="b">
        <v>0</v>
      </c>
      <c r="BL319" s="76"/>
      <c r="BM319" s="76" t="s">
        <v>66</v>
      </c>
      <c r="BN319" s="76" t="s">
        <v>18706</v>
      </c>
      <c r="BO319" s="83" t="str">
        <f>HYPERLINK("https://twitter.com/positivetrades1")</f>
        <v>https://twitter.com/positivetrades1</v>
      </c>
      <c r="BP319" s="2"/>
    </row>
    <row r="320" spans="1:68" x14ac:dyDescent="0.25">
      <c r="A320" s="62" t="s">
        <v>473</v>
      </c>
      <c r="B320" s="63"/>
      <c r="C320" s="63"/>
      <c r="D320" s="64"/>
      <c r="E320" s="66"/>
      <c r="F320" s="102" t="str">
        <f>HYPERLINK("https://pbs.twimg.com/profile_images/1551226529014849536/EgUd9JcM_normal.jpg")</f>
        <v>https://pbs.twimg.com/profile_images/1551226529014849536/EgUd9JcM_normal.jpg</v>
      </c>
      <c r="G320" s="63"/>
      <c r="H320" s="67"/>
      <c r="I320" s="68"/>
      <c r="J320" s="68"/>
      <c r="K320" s="67" t="s">
        <v>19023</v>
      </c>
      <c r="L320" s="71"/>
      <c r="M320" s="72"/>
      <c r="N320" s="72"/>
      <c r="O320" s="73"/>
      <c r="P320" s="74"/>
      <c r="Q320" s="74"/>
      <c r="R320" s="86"/>
      <c r="S320" s="86"/>
      <c r="T320" s="86"/>
      <c r="U320" s="86"/>
      <c r="V320" s="48"/>
      <c r="W320" s="48"/>
      <c r="X320" s="48"/>
      <c r="Y320" s="48"/>
      <c r="Z320" s="47"/>
      <c r="AA320" s="69">
        <v>320</v>
      </c>
      <c r="AB320" s="69"/>
      <c r="AC320" s="70"/>
      <c r="AD320" s="76" t="s">
        <v>16749</v>
      </c>
      <c r="AE320" s="81" t="s">
        <v>17224</v>
      </c>
      <c r="AF320" s="76">
        <v>100363</v>
      </c>
      <c r="AG320" s="76">
        <v>857</v>
      </c>
      <c r="AH320" s="76">
        <v>11670</v>
      </c>
      <c r="AI320" s="76">
        <v>1014</v>
      </c>
      <c r="AJ320" s="76">
        <v>3445</v>
      </c>
      <c r="AK320" s="76">
        <v>4382</v>
      </c>
      <c r="AL320" s="76" t="b">
        <v>0</v>
      </c>
      <c r="AM320" s="78">
        <v>40917.35565972222</v>
      </c>
      <c r="AN320" s="76" t="s">
        <v>17522</v>
      </c>
      <c r="AO320" s="76" t="s">
        <v>17930</v>
      </c>
      <c r="AP320" s="83" t="str">
        <f>HYPERLINK("https://t.co/XYm94d1BAP")</f>
        <v>https://t.co/XYm94d1BAP</v>
      </c>
      <c r="AQ320" s="83" t="str">
        <f>HYPERLINK("https://bundesfinanzministerium.de/Web/DE/Service/Instagram/links.html")</f>
        <v>https://bundesfinanzministerium.de/Web/DE/Service/Instagram/links.html</v>
      </c>
      <c r="AR320" s="76" t="s">
        <v>18424</v>
      </c>
      <c r="AS320" s="76"/>
      <c r="AT320" s="76"/>
      <c r="AU320" s="76"/>
      <c r="AV320" s="76"/>
      <c r="AW320" s="83" t="str">
        <f>HYPERLINK("https://t.co/XYm94d1BAP")</f>
        <v>https://t.co/XYm94d1BAP</v>
      </c>
      <c r="AX320" s="76" t="b">
        <v>1</v>
      </c>
      <c r="AY320" s="76"/>
      <c r="AZ320" s="76"/>
      <c r="BA320" s="76" t="b">
        <v>1</v>
      </c>
      <c r="BB320" s="76" t="b">
        <v>1</v>
      </c>
      <c r="BC320" s="76" t="b">
        <v>0</v>
      </c>
      <c r="BD320" s="76" t="b">
        <v>0</v>
      </c>
      <c r="BE320" s="76" t="b">
        <v>0</v>
      </c>
      <c r="BF320" s="76" t="b">
        <v>0</v>
      </c>
      <c r="BG320" s="76" t="b">
        <v>0</v>
      </c>
      <c r="BH320" s="83" t="str">
        <f>HYPERLINK("https://pbs.twimg.com/profile_banners/459092531/1693983828")</f>
        <v>https://pbs.twimg.com/profile_banners/459092531/1693983828</v>
      </c>
      <c r="BI320" s="76"/>
      <c r="BJ320" s="76" t="s">
        <v>18704</v>
      </c>
      <c r="BK320" s="76" t="b">
        <v>0</v>
      </c>
      <c r="BL320" s="76"/>
      <c r="BM320" s="76" t="s">
        <v>66</v>
      </c>
      <c r="BN320" s="76" t="s">
        <v>18706</v>
      </c>
      <c r="BO320" s="83" t="str">
        <f>HYPERLINK("https://twitter.com/bmf_bund")</f>
        <v>https://twitter.com/bmf_bund</v>
      </c>
      <c r="BP320" s="2"/>
    </row>
    <row r="321" spans="1:68" x14ac:dyDescent="0.25">
      <c r="A321" s="62" t="s">
        <v>799</v>
      </c>
      <c r="B321" s="63"/>
      <c r="C321" s="63"/>
      <c r="D321" s="64"/>
      <c r="E321" s="66"/>
      <c r="F321" s="102" t="str">
        <f>HYPERLINK("https://pbs.twimg.com/profile_images/1517173677531582469/QhtUwMS2_normal.jpg")</f>
        <v>https://pbs.twimg.com/profile_images/1517173677531582469/QhtUwMS2_normal.jpg</v>
      </c>
      <c r="G321" s="63"/>
      <c r="H321" s="67"/>
      <c r="I321" s="68"/>
      <c r="J321" s="68"/>
      <c r="K321" s="67" t="s">
        <v>19024</v>
      </c>
      <c r="L321" s="71"/>
      <c r="M321" s="72"/>
      <c r="N321" s="72"/>
      <c r="O321" s="73"/>
      <c r="P321" s="74"/>
      <c r="Q321" s="74"/>
      <c r="R321" s="86"/>
      <c r="S321" s="86"/>
      <c r="T321" s="86"/>
      <c r="U321" s="86"/>
      <c r="V321" s="48"/>
      <c r="W321" s="48"/>
      <c r="X321" s="48"/>
      <c r="Y321" s="48"/>
      <c r="Z321" s="47"/>
      <c r="AA321" s="69">
        <v>321</v>
      </c>
      <c r="AB321" s="69"/>
      <c r="AC321" s="70"/>
      <c r="AD321" s="76" t="s">
        <v>16750</v>
      </c>
      <c r="AE321" s="81" t="s">
        <v>17225</v>
      </c>
      <c r="AF321" s="76">
        <v>1261</v>
      </c>
      <c r="AG321" s="76">
        <v>272</v>
      </c>
      <c r="AH321" s="76">
        <v>312</v>
      </c>
      <c r="AI321" s="76">
        <v>28</v>
      </c>
      <c r="AJ321" s="76">
        <v>646</v>
      </c>
      <c r="AK321" s="76">
        <v>157</v>
      </c>
      <c r="AL321" s="76" t="b">
        <v>0</v>
      </c>
      <c r="AM321" s="78">
        <v>43269.285034722219</v>
      </c>
      <c r="AN321" s="76" t="s">
        <v>17523</v>
      </c>
      <c r="AO321" s="76" t="s">
        <v>17931</v>
      </c>
      <c r="AP321" s="76"/>
      <c r="AQ321" s="76"/>
      <c r="AR321" s="76"/>
      <c r="AS321" s="83" t="str">
        <f>HYPERLINK("https://t.co/OnQFLBUHq0")</f>
        <v>https://t.co/OnQFLBUHq0</v>
      </c>
      <c r="AT321" s="83" t="str">
        <f>HYPERLINK("http://mof.gov.ua")</f>
        <v>http://mof.gov.ua</v>
      </c>
      <c r="AU321" s="76" t="s">
        <v>18675</v>
      </c>
      <c r="AV321" s="76"/>
      <c r="AW321" s="76"/>
      <c r="AX321" s="76" t="b">
        <v>1</v>
      </c>
      <c r="AY321" s="76"/>
      <c r="AZ321" s="76"/>
      <c r="BA321" s="76" t="b">
        <v>0</v>
      </c>
      <c r="BB321" s="76" t="b">
        <v>1</v>
      </c>
      <c r="BC321" s="76" t="b">
        <v>1</v>
      </c>
      <c r="BD321" s="76" t="b">
        <v>0</v>
      </c>
      <c r="BE321" s="76" t="b">
        <v>0</v>
      </c>
      <c r="BF321" s="76" t="b">
        <v>0</v>
      </c>
      <c r="BG321" s="76" t="b">
        <v>0</v>
      </c>
      <c r="BH321" s="83" t="str">
        <f>HYPERLINK("https://pbs.twimg.com/profile_banners/1008602824278671360/1650579464")</f>
        <v>https://pbs.twimg.com/profile_banners/1008602824278671360/1650579464</v>
      </c>
      <c r="BI321" s="76"/>
      <c r="BJ321" s="76" t="s">
        <v>18704</v>
      </c>
      <c r="BK321" s="76" t="b">
        <v>0</v>
      </c>
      <c r="BL321" s="76"/>
      <c r="BM321" s="76" t="s">
        <v>65</v>
      </c>
      <c r="BN321" s="76" t="s">
        <v>18706</v>
      </c>
      <c r="BO321" s="83" t="str">
        <f>HYPERLINK("https://twitter.com/sergiimarchenk3")</f>
        <v>https://twitter.com/sergiimarchenk3</v>
      </c>
      <c r="BP321" s="2"/>
    </row>
    <row r="322" spans="1:68" x14ac:dyDescent="0.25">
      <c r="A322" s="62" t="s">
        <v>474</v>
      </c>
      <c r="B322" s="63"/>
      <c r="C322" s="63"/>
      <c r="D322" s="64"/>
      <c r="E322" s="66"/>
      <c r="F322" s="102" t="str">
        <f>HYPERLINK("https://pbs.twimg.com/profile_images/1564613979309330433/511hzevA_normal.jpg")</f>
        <v>https://pbs.twimg.com/profile_images/1564613979309330433/511hzevA_normal.jpg</v>
      </c>
      <c r="G322" s="63"/>
      <c r="H322" s="67"/>
      <c r="I322" s="68"/>
      <c r="J322" s="68"/>
      <c r="K322" s="67" t="s">
        <v>19025</v>
      </c>
      <c r="L322" s="71"/>
      <c r="M322" s="72"/>
      <c r="N322" s="72"/>
      <c r="O322" s="73"/>
      <c r="P322" s="74"/>
      <c r="Q322" s="74"/>
      <c r="R322" s="86"/>
      <c r="S322" s="86"/>
      <c r="T322" s="86"/>
      <c r="U322" s="86"/>
      <c r="V322" s="48"/>
      <c r="W322" s="48"/>
      <c r="X322" s="48"/>
      <c r="Y322" s="48"/>
      <c r="Z322" s="47"/>
      <c r="AA322" s="69">
        <v>322</v>
      </c>
      <c r="AB322" s="69"/>
      <c r="AC322" s="70"/>
      <c r="AD322" s="76" t="s">
        <v>16751</v>
      </c>
      <c r="AE322" s="81" t="s">
        <v>16252</v>
      </c>
      <c r="AF322" s="76">
        <v>6321</v>
      </c>
      <c r="AG322" s="76">
        <v>1663</v>
      </c>
      <c r="AH322" s="76">
        <v>4348</v>
      </c>
      <c r="AI322" s="76">
        <v>39</v>
      </c>
      <c r="AJ322" s="76">
        <v>1231</v>
      </c>
      <c r="AK322" s="76">
        <v>2341</v>
      </c>
      <c r="AL322" s="76" t="b">
        <v>0</v>
      </c>
      <c r="AM322" s="78">
        <v>43566.3675</v>
      </c>
      <c r="AN322" s="76" t="s">
        <v>17419</v>
      </c>
      <c r="AO322" s="76" t="s">
        <v>17932</v>
      </c>
      <c r="AP322" s="83" t="str">
        <f>HYPERLINK("https://t.co/8kssYcEWF9")</f>
        <v>https://t.co/8kssYcEWF9</v>
      </c>
      <c r="AQ322" s="83" t="str">
        <f>HYPERLINK("https://linktr.ee/alemaniaenespana")</f>
        <v>https://linktr.ee/alemaniaenespana</v>
      </c>
      <c r="AR322" s="76" t="s">
        <v>18425</v>
      </c>
      <c r="AS322" s="83" t="str">
        <f>HYPERLINK("https://t.co/Dlfd2rq3Cj")</f>
        <v>https://t.co/Dlfd2rq3Cj</v>
      </c>
      <c r="AT322" s="83" t="str">
        <f>HYPERLINK("http://spanien.diplo.de/es-es/impressum")</f>
        <v>http://spanien.diplo.de/es-es/impressum</v>
      </c>
      <c r="AU322" s="76" t="s">
        <v>18676</v>
      </c>
      <c r="AV322" s="76">
        <v>1.6689979052842299E+18</v>
      </c>
      <c r="AW322" s="83" t="str">
        <f>HYPERLINK("https://t.co/8kssYcEWF9")</f>
        <v>https://t.co/8kssYcEWF9</v>
      </c>
      <c r="AX322" s="76" t="b">
        <v>0</v>
      </c>
      <c r="AY322" s="76"/>
      <c r="AZ322" s="76"/>
      <c r="BA322" s="76" t="b">
        <v>1</v>
      </c>
      <c r="BB322" s="76" t="b">
        <v>0</v>
      </c>
      <c r="BC322" s="76" t="b">
        <v>1</v>
      </c>
      <c r="BD322" s="76" t="b">
        <v>0</v>
      </c>
      <c r="BE322" s="76" t="b">
        <v>1</v>
      </c>
      <c r="BF322" s="76" t="b">
        <v>0</v>
      </c>
      <c r="BG322" s="76" t="b">
        <v>0</v>
      </c>
      <c r="BH322" s="83" t="str">
        <f>HYPERLINK("https://pbs.twimg.com/profile_banners/1116261908460519424/1612431758")</f>
        <v>https://pbs.twimg.com/profile_banners/1116261908460519424/1612431758</v>
      </c>
      <c r="BI322" s="76"/>
      <c r="BJ322" s="76" t="s">
        <v>18704</v>
      </c>
      <c r="BK322" s="76" t="b">
        <v>0</v>
      </c>
      <c r="BL322" s="76"/>
      <c r="BM322" s="76" t="s">
        <v>66</v>
      </c>
      <c r="BN322" s="76" t="s">
        <v>18706</v>
      </c>
      <c r="BO322" s="83" t="str">
        <f>HYPERLINK("https://twitter.com/alemaniadiplo")</f>
        <v>https://twitter.com/alemaniadiplo</v>
      </c>
      <c r="BP322" s="2"/>
    </row>
    <row r="323" spans="1:68" x14ac:dyDescent="0.25">
      <c r="A323" s="62" t="s">
        <v>800</v>
      </c>
      <c r="B323" s="63"/>
      <c r="C323" s="63"/>
      <c r="D323" s="64"/>
      <c r="E323" s="66"/>
      <c r="F323" s="102" t="str">
        <f>HYPERLINK("https://pbs.twimg.com/profile_images/1284030077219602432/hq24Ijui_normal.jpg")</f>
        <v>https://pbs.twimg.com/profile_images/1284030077219602432/hq24Ijui_normal.jpg</v>
      </c>
      <c r="G323" s="63"/>
      <c r="H323" s="67"/>
      <c r="I323" s="68"/>
      <c r="J323" s="68"/>
      <c r="K323" s="67" t="s">
        <v>19026</v>
      </c>
      <c r="L323" s="71"/>
      <c r="M323" s="72"/>
      <c r="N323" s="72"/>
      <c r="O323" s="73"/>
      <c r="P323" s="74"/>
      <c r="Q323" s="74"/>
      <c r="R323" s="86"/>
      <c r="S323" s="86"/>
      <c r="T323" s="86"/>
      <c r="U323" s="86"/>
      <c r="V323" s="48"/>
      <c r="W323" s="48"/>
      <c r="X323" s="48"/>
      <c r="Y323" s="48"/>
      <c r="Z323" s="47"/>
      <c r="AA323" s="69">
        <v>323</v>
      </c>
      <c r="AB323" s="69"/>
      <c r="AC323" s="70"/>
      <c r="AD323" s="76" t="s">
        <v>16752</v>
      </c>
      <c r="AE323" s="81" t="s">
        <v>17226</v>
      </c>
      <c r="AF323" s="76">
        <v>695422</v>
      </c>
      <c r="AG323" s="76">
        <v>1510</v>
      </c>
      <c r="AH323" s="76">
        <v>20525</v>
      </c>
      <c r="AI323" s="76">
        <v>2787</v>
      </c>
      <c r="AJ323" s="76">
        <v>8894</v>
      </c>
      <c r="AK323" s="76">
        <v>977</v>
      </c>
      <c r="AL323" s="76" t="b">
        <v>0</v>
      </c>
      <c r="AM323" s="78">
        <v>40248.674895833334</v>
      </c>
      <c r="AN323" s="76" t="s">
        <v>17524</v>
      </c>
      <c r="AO323" s="76" t="s">
        <v>17933</v>
      </c>
      <c r="AP323" s="83" t="str">
        <f>HYPERLINK("https://t.co/mJgVJTabCr")</f>
        <v>https://t.co/mJgVJTabCr</v>
      </c>
      <c r="AQ323" s="83" t="str">
        <f>HYPERLINK("https://www.christian-lindner.de/content/impressum-datenschutzerklarung")</f>
        <v>https://www.christian-lindner.de/content/impressum-datenschutzerklarung</v>
      </c>
      <c r="AR323" s="76" t="s">
        <v>18426</v>
      </c>
      <c r="AS323" s="76"/>
      <c r="AT323" s="76"/>
      <c r="AU323" s="76"/>
      <c r="AV323" s="76"/>
      <c r="AW323" s="83" t="str">
        <f>HYPERLINK("https://t.co/mJgVJTabCr")</f>
        <v>https://t.co/mJgVJTabCr</v>
      </c>
      <c r="AX323" s="76" t="b">
        <v>1</v>
      </c>
      <c r="AY323" s="76"/>
      <c r="AZ323" s="76"/>
      <c r="BA323" s="76" t="b">
        <v>0</v>
      </c>
      <c r="BB323" s="76" t="b">
        <v>1</v>
      </c>
      <c r="BC323" s="76" t="b">
        <v>0</v>
      </c>
      <c r="BD323" s="76" t="b">
        <v>0</v>
      </c>
      <c r="BE323" s="76" t="b">
        <v>1</v>
      </c>
      <c r="BF323" s="76" t="b">
        <v>0</v>
      </c>
      <c r="BG323" s="76" t="b">
        <v>0</v>
      </c>
      <c r="BH323" s="83" t="str">
        <f>HYPERLINK("https://pbs.twimg.com/profile_banners/122104353/1630937793")</f>
        <v>https://pbs.twimg.com/profile_banners/122104353/1630937793</v>
      </c>
      <c r="BI323" s="76"/>
      <c r="BJ323" s="76" t="s">
        <v>18704</v>
      </c>
      <c r="BK323" s="76" t="b">
        <v>0</v>
      </c>
      <c r="BL323" s="76"/>
      <c r="BM323" s="76" t="s">
        <v>65</v>
      </c>
      <c r="BN323" s="76" t="s">
        <v>18706</v>
      </c>
      <c r="BO323" s="83" t="str">
        <f>HYPERLINK("https://twitter.com/c_lindner")</f>
        <v>https://twitter.com/c_lindner</v>
      </c>
      <c r="BP323" s="2"/>
    </row>
    <row r="324" spans="1:68" x14ac:dyDescent="0.25">
      <c r="A324" s="62" t="s">
        <v>475</v>
      </c>
      <c r="B324" s="63"/>
      <c r="C324" s="63"/>
      <c r="D324" s="64"/>
      <c r="E324" s="66"/>
      <c r="F324" s="102" t="str">
        <f>HYPERLINK("https://pbs.twimg.com/profile_images/1699367788282867712/rMTau9Mn_normal.jpg")</f>
        <v>https://pbs.twimg.com/profile_images/1699367788282867712/rMTau9Mn_normal.jpg</v>
      </c>
      <c r="G324" s="63"/>
      <c r="H324" s="67"/>
      <c r="I324" s="68"/>
      <c r="J324" s="68"/>
      <c r="K324" s="67" t="s">
        <v>19027</v>
      </c>
      <c r="L324" s="71"/>
      <c r="M324" s="72"/>
      <c r="N324" s="72"/>
      <c r="O324" s="73"/>
      <c r="P324" s="74"/>
      <c r="Q324" s="74"/>
      <c r="R324" s="86"/>
      <c r="S324" s="86"/>
      <c r="T324" s="86"/>
      <c r="U324" s="86"/>
      <c r="V324" s="48"/>
      <c r="W324" s="48"/>
      <c r="X324" s="48"/>
      <c r="Y324" s="48"/>
      <c r="Z324" s="47"/>
      <c r="AA324" s="69">
        <v>324</v>
      </c>
      <c r="AB324" s="69"/>
      <c r="AC324" s="70"/>
      <c r="AD324" s="76" t="s">
        <v>16753</v>
      </c>
      <c r="AE324" s="81" t="s">
        <v>16253</v>
      </c>
      <c r="AF324" s="76">
        <v>170</v>
      </c>
      <c r="AG324" s="76">
        <v>306</v>
      </c>
      <c r="AH324" s="76">
        <v>22</v>
      </c>
      <c r="AI324" s="76">
        <v>4</v>
      </c>
      <c r="AJ324" s="76">
        <v>3592</v>
      </c>
      <c r="AK324" s="76">
        <v>0</v>
      </c>
      <c r="AL324" s="76" t="b">
        <v>0</v>
      </c>
      <c r="AM324" s="78">
        <v>44989.921134259261</v>
      </c>
      <c r="AN324" s="76"/>
      <c r="AO324" s="76" t="s">
        <v>17934</v>
      </c>
      <c r="AP324" s="76"/>
      <c r="AQ324" s="76"/>
      <c r="AR324" s="76"/>
      <c r="AS324" s="76"/>
      <c r="AT324" s="76"/>
      <c r="AU324" s="76"/>
      <c r="AV324" s="76"/>
      <c r="AW324" s="76"/>
      <c r="AX324" s="76" t="b">
        <v>0</v>
      </c>
      <c r="AY324" s="76"/>
      <c r="AZ324" s="76"/>
      <c r="BA324" s="76" t="b">
        <v>1</v>
      </c>
      <c r="BB324" s="76" t="b">
        <v>1</v>
      </c>
      <c r="BC324" s="76" t="b">
        <v>1</v>
      </c>
      <c r="BD324" s="76" t="b">
        <v>0</v>
      </c>
      <c r="BE324" s="76" t="b">
        <v>0</v>
      </c>
      <c r="BF324" s="76" t="b">
        <v>0</v>
      </c>
      <c r="BG324" s="76" t="b">
        <v>1</v>
      </c>
      <c r="BH324" s="83" t="str">
        <f>HYPERLINK("https://pbs.twimg.com/profile_banners/1632140376231354369/1694108810")</f>
        <v>https://pbs.twimg.com/profile_banners/1632140376231354369/1694108810</v>
      </c>
      <c r="BI324" s="76"/>
      <c r="BJ324" s="76" t="s">
        <v>18704</v>
      </c>
      <c r="BK324" s="76" t="b">
        <v>0</v>
      </c>
      <c r="BL324" s="76"/>
      <c r="BM324" s="76" t="s">
        <v>66</v>
      </c>
      <c r="BN324" s="76" t="s">
        <v>18706</v>
      </c>
      <c r="BO324" s="83" t="str">
        <f>HYPERLINK("https://twitter.com/strongmindinv")</f>
        <v>https://twitter.com/strongmindinv</v>
      </c>
      <c r="BP324" s="2"/>
    </row>
    <row r="325" spans="1:68" x14ac:dyDescent="0.25">
      <c r="A325" s="62" t="s">
        <v>476</v>
      </c>
      <c r="B325" s="63"/>
      <c r="C325" s="63"/>
      <c r="D325" s="64"/>
      <c r="E325" s="66"/>
      <c r="F325" s="102" t="str">
        <f>HYPERLINK("https://pbs.twimg.com/profile_images/1451698454737178627/75TjUx8G_normal.jpg")</f>
        <v>https://pbs.twimg.com/profile_images/1451698454737178627/75TjUx8G_normal.jpg</v>
      </c>
      <c r="G325" s="63"/>
      <c r="H325" s="67"/>
      <c r="I325" s="68"/>
      <c r="J325" s="68"/>
      <c r="K325" s="67" t="s">
        <v>19028</v>
      </c>
      <c r="L325" s="71"/>
      <c r="M325" s="72"/>
      <c r="N325" s="72"/>
      <c r="O325" s="73"/>
      <c r="P325" s="74"/>
      <c r="Q325" s="74"/>
      <c r="R325" s="86"/>
      <c r="S325" s="86"/>
      <c r="T325" s="86"/>
      <c r="U325" s="86"/>
      <c r="V325" s="48"/>
      <c r="W325" s="48"/>
      <c r="X325" s="48"/>
      <c r="Y325" s="48"/>
      <c r="Z325" s="47"/>
      <c r="AA325" s="69">
        <v>325</v>
      </c>
      <c r="AB325" s="69"/>
      <c r="AC325" s="70"/>
      <c r="AD325" s="76" t="s">
        <v>16754</v>
      </c>
      <c r="AE325" s="81" t="s">
        <v>17227</v>
      </c>
      <c r="AF325" s="76">
        <v>383476</v>
      </c>
      <c r="AG325" s="76">
        <v>446</v>
      </c>
      <c r="AH325" s="76">
        <v>82027</v>
      </c>
      <c r="AI325" s="76">
        <v>1522</v>
      </c>
      <c r="AJ325" s="76">
        <v>831</v>
      </c>
      <c r="AK325" s="76">
        <v>36348</v>
      </c>
      <c r="AL325" s="76" t="b">
        <v>0</v>
      </c>
      <c r="AM325" s="78">
        <v>39898.721562500003</v>
      </c>
      <c r="AN325" s="76" t="s">
        <v>17525</v>
      </c>
      <c r="AO325" s="76" t="s">
        <v>17935</v>
      </c>
      <c r="AP325" s="83" t="str">
        <f>HYPERLINK("https://t.co/DKk5Oeyrew")</f>
        <v>https://t.co/DKk5Oeyrew</v>
      </c>
      <c r="AQ325" s="83" t="str">
        <f>HYPERLINK("https://www.semanaeconomica.com")</f>
        <v>https://www.semanaeconomica.com</v>
      </c>
      <c r="AR325" s="76" t="s">
        <v>6527</v>
      </c>
      <c r="AS325" s="76"/>
      <c r="AT325" s="76"/>
      <c r="AU325" s="76"/>
      <c r="AV325" s="76"/>
      <c r="AW325" s="83" t="str">
        <f>HYPERLINK("https://t.co/DKk5Oeyrew")</f>
        <v>https://t.co/DKk5Oeyrew</v>
      </c>
      <c r="AX325" s="76" t="b">
        <v>0</v>
      </c>
      <c r="AY325" s="76"/>
      <c r="AZ325" s="76"/>
      <c r="BA325" s="76" t="b">
        <v>0</v>
      </c>
      <c r="BB325" s="76" t="b">
        <v>0</v>
      </c>
      <c r="BC325" s="76" t="b">
        <v>0</v>
      </c>
      <c r="BD325" s="76" t="b">
        <v>0</v>
      </c>
      <c r="BE325" s="76" t="b">
        <v>1</v>
      </c>
      <c r="BF325" s="76" t="b">
        <v>0</v>
      </c>
      <c r="BG325" s="76" t="b">
        <v>0</v>
      </c>
      <c r="BH325" s="83" t="str">
        <f>HYPERLINK("https://pbs.twimg.com/profile_banners/26797063/1695655479")</f>
        <v>https://pbs.twimg.com/profile_banners/26797063/1695655479</v>
      </c>
      <c r="BI325" s="76"/>
      <c r="BJ325" s="76" t="s">
        <v>18704</v>
      </c>
      <c r="BK325" s="76" t="b">
        <v>0</v>
      </c>
      <c r="BL325" s="76"/>
      <c r="BM325" s="76" t="s">
        <v>66</v>
      </c>
      <c r="BN325" s="76" t="s">
        <v>18706</v>
      </c>
      <c r="BO325" s="83" t="str">
        <f>HYPERLINK("https://twitter.com/semanaeconomica")</f>
        <v>https://twitter.com/semanaeconomica</v>
      </c>
      <c r="BP325" s="2"/>
    </row>
    <row r="326" spans="1:68" x14ac:dyDescent="0.25">
      <c r="A326" s="62" t="s">
        <v>801</v>
      </c>
      <c r="B326" s="63"/>
      <c r="C326" s="63"/>
      <c r="D326" s="64"/>
      <c r="E326" s="66"/>
      <c r="F326" s="102" t="str">
        <f>HYPERLINK("https://pbs.twimg.com/profile_images/1707273141360173056/eYXaxJQ__normal.jpg")</f>
        <v>https://pbs.twimg.com/profile_images/1707273141360173056/eYXaxJQ__normal.jpg</v>
      </c>
      <c r="G326" s="63"/>
      <c r="H326" s="67"/>
      <c r="I326" s="68"/>
      <c r="J326" s="68"/>
      <c r="K326" s="67" t="s">
        <v>19029</v>
      </c>
      <c r="L326" s="71"/>
      <c r="M326" s="72"/>
      <c r="N326" s="72"/>
      <c r="O326" s="73"/>
      <c r="P326" s="74"/>
      <c r="Q326" s="74"/>
      <c r="R326" s="86"/>
      <c r="S326" s="86"/>
      <c r="T326" s="86"/>
      <c r="U326" s="86"/>
      <c r="V326" s="48"/>
      <c r="W326" s="48"/>
      <c r="X326" s="48"/>
      <c r="Y326" s="48"/>
      <c r="Z326" s="47"/>
      <c r="AA326" s="69">
        <v>326</v>
      </c>
      <c r="AB326" s="69"/>
      <c r="AC326" s="70"/>
      <c r="AD326" s="76" t="s">
        <v>16755</v>
      </c>
      <c r="AE326" s="81" t="s">
        <v>17228</v>
      </c>
      <c r="AF326" s="76">
        <v>40</v>
      </c>
      <c r="AG326" s="76">
        <v>374</v>
      </c>
      <c r="AH326" s="76">
        <v>186</v>
      </c>
      <c r="AI326" s="76">
        <v>2</v>
      </c>
      <c r="AJ326" s="76">
        <v>110</v>
      </c>
      <c r="AK326" s="76">
        <v>9</v>
      </c>
      <c r="AL326" s="76" t="b">
        <v>0</v>
      </c>
      <c r="AM326" s="78">
        <v>43838.651041666664</v>
      </c>
      <c r="AN326" s="76" t="s">
        <v>17526</v>
      </c>
      <c r="AO326" s="76" t="s">
        <v>17936</v>
      </c>
      <c r="AP326" s="76"/>
      <c r="AQ326" s="76"/>
      <c r="AR326" s="76"/>
      <c r="AS326" s="76"/>
      <c r="AT326" s="76"/>
      <c r="AU326" s="76"/>
      <c r="AV326" s="76"/>
      <c r="AW326" s="76"/>
      <c r="AX326" s="76" t="b">
        <v>0</v>
      </c>
      <c r="AY326" s="76"/>
      <c r="AZ326" s="76"/>
      <c r="BA326" s="76" t="b">
        <v>0</v>
      </c>
      <c r="BB326" s="76" t="b">
        <v>1</v>
      </c>
      <c r="BC326" s="76" t="b">
        <v>1</v>
      </c>
      <c r="BD326" s="76" t="b">
        <v>0</v>
      </c>
      <c r="BE326" s="76" t="b">
        <v>1</v>
      </c>
      <c r="BF326" s="76" t="b">
        <v>0</v>
      </c>
      <c r="BG326" s="76" t="b">
        <v>0</v>
      </c>
      <c r="BH326" s="83" t="str">
        <f>HYPERLINK("https://pbs.twimg.com/profile_banners/1214934124433223680/1663539848")</f>
        <v>https://pbs.twimg.com/profile_banners/1214934124433223680/1663539848</v>
      </c>
      <c r="BI326" s="76"/>
      <c r="BJ326" s="76" t="s">
        <v>18704</v>
      </c>
      <c r="BK326" s="76" t="b">
        <v>0</v>
      </c>
      <c r="BL326" s="76"/>
      <c r="BM326" s="76" t="s">
        <v>65</v>
      </c>
      <c r="BN326" s="76" t="s">
        <v>18706</v>
      </c>
      <c r="BO326" s="83" t="str">
        <f>HYPERLINK("https://twitter.com/cabecitaterri")</f>
        <v>https://twitter.com/cabecitaterri</v>
      </c>
      <c r="BP326" s="2"/>
    </row>
    <row r="327" spans="1:68" x14ac:dyDescent="0.25">
      <c r="A327" s="62" t="s">
        <v>802</v>
      </c>
      <c r="B327" s="63"/>
      <c r="C327" s="63"/>
      <c r="D327" s="64"/>
      <c r="E327" s="66"/>
      <c r="F327" s="102" t="str">
        <f>HYPERLINK("https://pbs.twimg.com/profile_images/1296868993043701768/gVFJEtga_normal.jpg")</f>
        <v>https://pbs.twimg.com/profile_images/1296868993043701768/gVFJEtga_normal.jpg</v>
      </c>
      <c r="G327" s="63"/>
      <c r="H327" s="67"/>
      <c r="I327" s="68"/>
      <c r="J327" s="68"/>
      <c r="K327" s="67" t="s">
        <v>19030</v>
      </c>
      <c r="L327" s="71"/>
      <c r="M327" s="72"/>
      <c r="N327" s="72"/>
      <c r="O327" s="73"/>
      <c r="P327" s="74"/>
      <c r="Q327" s="74"/>
      <c r="R327" s="86"/>
      <c r="S327" s="86"/>
      <c r="T327" s="86"/>
      <c r="U327" s="86"/>
      <c r="V327" s="48"/>
      <c r="W327" s="48"/>
      <c r="X327" s="48"/>
      <c r="Y327" s="48"/>
      <c r="Z327" s="47"/>
      <c r="AA327" s="69">
        <v>327</v>
      </c>
      <c r="AB327" s="69"/>
      <c r="AC327" s="70"/>
      <c r="AD327" s="76" t="s">
        <v>16756</v>
      </c>
      <c r="AE327" s="81" t="s">
        <v>17229</v>
      </c>
      <c r="AF327" s="76">
        <v>19985</v>
      </c>
      <c r="AG327" s="76">
        <v>432</v>
      </c>
      <c r="AH327" s="76">
        <v>15345</v>
      </c>
      <c r="AI327" s="76">
        <v>193</v>
      </c>
      <c r="AJ327" s="76">
        <v>942</v>
      </c>
      <c r="AK327" s="76">
        <v>2227</v>
      </c>
      <c r="AL327" s="76" t="b">
        <v>0</v>
      </c>
      <c r="AM327" s="78">
        <v>39919.574004629627</v>
      </c>
      <c r="AN327" s="76" t="s">
        <v>17527</v>
      </c>
      <c r="AO327" s="76" t="s">
        <v>17937</v>
      </c>
      <c r="AP327" s="83" t="str">
        <f>HYPERLINK("https://t.co/zXETwfSW5z")</f>
        <v>https://t.co/zXETwfSW5z</v>
      </c>
      <c r="AQ327" s="83" t="str">
        <f>HYPERLINK("https://www.ipe.org.pe/portal/")</f>
        <v>https://www.ipe.org.pe/portal/</v>
      </c>
      <c r="AR327" s="76" t="s">
        <v>18427</v>
      </c>
      <c r="AS327" s="76"/>
      <c r="AT327" s="76"/>
      <c r="AU327" s="76"/>
      <c r="AV327" s="76">
        <v>1.67597220312737E+18</v>
      </c>
      <c r="AW327" s="83" t="str">
        <f>HYPERLINK("https://t.co/zXETwfSW5z")</f>
        <v>https://t.co/zXETwfSW5z</v>
      </c>
      <c r="AX327" s="76" t="b">
        <v>0</v>
      </c>
      <c r="AY327" s="76"/>
      <c r="AZ327" s="76"/>
      <c r="BA327" s="76" t="b">
        <v>1</v>
      </c>
      <c r="BB327" s="76" t="b">
        <v>1</v>
      </c>
      <c r="BC327" s="76" t="b">
        <v>0</v>
      </c>
      <c r="BD327" s="76" t="b">
        <v>0</v>
      </c>
      <c r="BE327" s="76" t="b">
        <v>1</v>
      </c>
      <c r="BF327" s="76" t="b">
        <v>0</v>
      </c>
      <c r="BG327" s="76" t="b">
        <v>0</v>
      </c>
      <c r="BH327" s="83" t="str">
        <f>HYPERLINK("https://pbs.twimg.com/profile_banners/31797966/1690846676")</f>
        <v>https://pbs.twimg.com/profile_banners/31797966/1690846676</v>
      </c>
      <c r="BI327" s="76"/>
      <c r="BJ327" s="76" t="s">
        <v>18704</v>
      </c>
      <c r="BK327" s="76" t="b">
        <v>0</v>
      </c>
      <c r="BL327" s="76"/>
      <c r="BM327" s="76" t="s">
        <v>65</v>
      </c>
      <c r="BN327" s="76" t="s">
        <v>18706</v>
      </c>
      <c r="BO327" s="83" t="str">
        <f>HYPERLINK("https://twitter.com/ipeopinion")</f>
        <v>https://twitter.com/ipeopinion</v>
      </c>
      <c r="BP327" s="2"/>
    </row>
    <row r="328" spans="1:68" x14ac:dyDescent="0.25">
      <c r="A328" s="62" t="s">
        <v>477</v>
      </c>
      <c r="B328" s="63"/>
      <c r="C328" s="63"/>
      <c r="D328" s="64"/>
      <c r="E328" s="66"/>
      <c r="F328" s="102" t="str">
        <f>HYPERLINK("https://pbs.twimg.com/profile_images/1635367126222401552/tFAFJbdA_normal.jpg")</f>
        <v>https://pbs.twimg.com/profile_images/1635367126222401552/tFAFJbdA_normal.jpg</v>
      </c>
      <c r="G328" s="63"/>
      <c r="H328" s="67"/>
      <c r="I328" s="68"/>
      <c r="J328" s="68"/>
      <c r="K328" s="67" t="s">
        <v>19031</v>
      </c>
      <c r="L328" s="71"/>
      <c r="M328" s="72"/>
      <c r="N328" s="72"/>
      <c r="O328" s="73"/>
      <c r="P328" s="74"/>
      <c r="Q328" s="74"/>
      <c r="R328" s="86"/>
      <c r="S328" s="86"/>
      <c r="T328" s="86"/>
      <c r="U328" s="86"/>
      <c r="V328" s="48"/>
      <c r="W328" s="48"/>
      <c r="X328" s="48"/>
      <c r="Y328" s="48"/>
      <c r="Z328" s="47"/>
      <c r="AA328" s="69">
        <v>328</v>
      </c>
      <c r="AB328" s="69"/>
      <c r="AC328" s="70"/>
      <c r="AD328" s="76" t="s">
        <v>16757</v>
      </c>
      <c r="AE328" s="81" t="s">
        <v>15948</v>
      </c>
      <c r="AF328" s="76">
        <v>160</v>
      </c>
      <c r="AG328" s="76">
        <v>14</v>
      </c>
      <c r="AH328" s="76">
        <v>639</v>
      </c>
      <c r="AI328" s="76">
        <v>3</v>
      </c>
      <c r="AJ328" s="76">
        <v>117</v>
      </c>
      <c r="AK328" s="76">
        <v>415</v>
      </c>
      <c r="AL328" s="76" t="b">
        <v>0</v>
      </c>
      <c r="AM328" s="78">
        <v>44734.742361111108</v>
      </c>
      <c r="AN328" s="76"/>
      <c r="AO328" s="76" t="s">
        <v>17938</v>
      </c>
      <c r="AP328" s="83" t="str">
        <f>HYPERLINK("https://t.co/GxkhklP6Uu")</f>
        <v>https://t.co/GxkhklP6Uu</v>
      </c>
      <c r="AQ328" s="83" t="str">
        <f>HYPERLINK("https://ig.rdstation.com/liqibr")</f>
        <v>https://ig.rdstation.com/liqibr</v>
      </c>
      <c r="AR328" s="76" t="s">
        <v>18428</v>
      </c>
      <c r="AS328" s="76"/>
      <c r="AT328" s="76"/>
      <c r="AU328" s="76"/>
      <c r="AV328" s="76"/>
      <c r="AW328" s="83" t="str">
        <f>HYPERLINK("https://t.co/GxkhklP6Uu")</f>
        <v>https://t.co/GxkhklP6Uu</v>
      </c>
      <c r="AX328" s="76" t="b">
        <v>0</v>
      </c>
      <c r="AY328" s="76"/>
      <c r="AZ328" s="76"/>
      <c r="BA328" s="76" t="b">
        <v>0</v>
      </c>
      <c r="BB328" s="76" t="b">
        <v>1</v>
      </c>
      <c r="BC328" s="76" t="b">
        <v>1</v>
      </c>
      <c r="BD328" s="76" t="b">
        <v>0</v>
      </c>
      <c r="BE328" s="76" t="b">
        <v>0</v>
      </c>
      <c r="BF328" s="76" t="b">
        <v>0</v>
      </c>
      <c r="BG328" s="76" t="b">
        <v>0</v>
      </c>
      <c r="BH328" s="83" t="str">
        <f>HYPERLINK("https://pbs.twimg.com/profile_banners/1539666480794685441/1678736883")</f>
        <v>https://pbs.twimg.com/profile_banners/1539666480794685441/1678736883</v>
      </c>
      <c r="BI328" s="76"/>
      <c r="BJ328" s="76" t="s">
        <v>18704</v>
      </c>
      <c r="BK328" s="76" t="b">
        <v>0</v>
      </c>
      <c r="BL328" s="76"/>
      <c r="BM328" s="76" t="s">
        <v>66</v>
      </c>
      <c r="BN328" s="76" t="s">
        <v>18706</v>
      </c>
      <c r="BO328" s="83" t="str">
        <f>HYPERLINK("https://twitter.com/liqibr")</f>
        <v>https://twitter.com/liqibr</v>
      </c>
      <c r="BP328" s="2"/>
    </row>
    <row r="329" spans="1:68" x14ac:dyDescent="0.25">
      <c r="A329" s="62" t="s">
        <v>478</v>
      </c>
      <c r="B329" s="63"/>
      <c r="C329" s="63"/>
      <c r="D329" s="64"/>
      <c r="E329" s="66"/>
      <c r="F329" s="102" t="str">
        <f>HYPERLINK("https://pbs.twimg.com/profile_images/1098034835359182848/iuIt8klO_normal.png")</f>
        <v>https://pbs.twimg.com/profile_images/1098034835359182848/iuIt8klO_normal.png</v>
      </c>
      <c r="G329" s="63"/>
      <c r="H329" s="67"/>
      <c r="I329" s="68"/>
      <c r="J329" s="68"/>
      <c r="K329" s="67" t="s">
        <v>19032</v>
      </c>
      <c r="L329" s="71"/>
      <c r="M329" s="72"/>
      <c r="N329" s="72"/>
      <c r="O329" s="73"/>
      <c r="P329" s="74"/>
      <c r="Q329" s="74"/>
      <c r="R329" s="86"/>
      <c r="S329" s="86"/>
      <c r="T329" s="86"/>
      <c r="U329" s="86"/>
      <c r="V329" s="48"/>
      <c r="W329" s="48"/>
      <c r="X329" s="48"/>
      <c r="Y329" s="48"/>
      <c r="Z329" s="47"/>
      <c r="AA329" s="69">
        <v>329</v>
      </c>
      <c r="AB329" s="69"/>
      <c r="AC329" s="70"/>
      <c r="AD329" s="76" t="s">
        <v>16758</v>
      </c>
      <c r="AE329" s="81" t="s">
        <v>17230</v>
      </c>
      <c r="AF329" s="76">
        <v>318</v>
      </c>
      <c r="AG329" s="76">
        <v>1776</v>
      </c>
      <c r="AH329" s="76">
        <v>1636</v>
      </c>
      <c r="AI329" s="76">
        <v>1</v>
      </c>
      <c r="AJ329" s="76">
        <v>255</v>
      </c>
      <c r="AK329" s="76">
        <v>1094</v>
      </c>
      <c r="AL329" s="76" t="b">
        <v>0</v>
      </c>
      <c r="AM329" s="78">
        <v>40928.137800925928</v>
      </c>
      <c r="AN329" s="76" t="s">
        <v>17528</v>
      </c>
      <c r="AO329" s="76" t="s">
        <v>17939</v>
      </c>
      <c r="AP329" s="76"/>
      <c r="AQ329" s="76"/>
      <c r="AR329" s="76"/>
      <c r="AS329" s="76"/>
      <c r="AT329" s="76"/>
      <c r="AU329" s="76"/>
      <c r="AV329" s="76"/>
      <c r="AW329" s="76"/>
      <c r="AX329" s="76" t="b">
        <v>0</v>
      </c>
      <c r="AY329" s="76"/>
      <c r="AZ329" s="76"/>
      <c r="BA329" s="76" t="b">
        <v>1</v>
      </c>
      <c r="BB329" s="76" t="b">
        <v>0</v>
      </c>
      <c r="BC329" s="76" t="b">
        <v>0</v>
      </c>
      <c r="BD329" s="76" t="b">
        <v>0</v>
      </c>
      <c r="BE329" s="76" t="b">
        <v>1</v>
      </c>
      <c r="BF329" s="76" t="b">
        <v>0</v>
      </c>
      <c r="BG329" s="76" t="b">
        <v>1</v>
      </c>
      <c r="BH329" s="83" t="str">
        <f>HYPERLINK("https://pbs.twimg.com/profile_banners/468977570/1511479879")</f>
        <v>https://pbs.twimg.com/profile_banners/468977570/1511479879</v>
      </c>
      <c r="BI329" s="76"/>
      <c r="BJ329" s="76" t="s">
        <v>18704</v>
      </c>
      <c r="BK329" s="76" t="b">
        <v>0</v>
      </c>
      <c r="BL329" s="76"/>
      <c r="BM329" s="76" t="s">
        <v>66</v>
      </c>
      <c r="BN329" s="76" t="s">
        <v>18706</v>
      </c>
      <c r="BO329" s="83" t="str">
        <f>HYPERLINK("https://twitter.com/sol_ku")</f>
        <v>https://twitter.com/sol_ku</v>
      </c>
      <c r="BP329" s="2"/>
    </row>
    <row r="330" spans="1:68" x14ac:dyDescent="0.25">
      <c r="A330" s="62" t="s">
        <v>803</v>
      </c>
      <c r="B330" s="63"/>
      <c r="C330" s="63"/>
      <c r="D330" s="64"/>
      <c r="E330" s="66"/>
      <c r="F330" s="102" t="str">
        <f>HYPERLINK("https://pbs.twimg.com/profile_images/1349330834797580289/5ixvWcaj_normal.jpg")</f>
        <v>https://pbs.twimg.com/profile_images/1349330834797580289/5ixvWcaj_normal.jpg</v>
      </c>
      <c r="G330" s="63"/>
      <c r="H330" s="67"/>
      <c r="I330" s="68"/>
      <c r="J330" s="68"/>
      <c r="K330" s="67" t="s">
        <v>19033</v>
      </c>
      <c r="L330" s="71"/>
      <c r="M330" s="72"/>
      <c r="N330" s="72"/>
      <c r="O330" s="73"/>
      <c r="P330" s="74"/>
      <c r="Q330" s="74"/>
      <c r="R330" s="86"/>
      <c r="S330" s="86"/>
      <c r="T330" s="86"/>
      <c r="U330" s="86"/>
      <c r="V330" s="48"/>
      <c r="W330" s="48"/>
      <c r="X330" s="48"/>
      <c r="Y330" s="48"/>
      <c r="Z330" s="47"/>
      <c r="AA330" s="69">
        <v>330</v>
      </c>
      <c r="AB330" s="69"/>
      <c r="AC330" s="70"/>
      <c r="AD330" s="76" t="s">
        <v>16759</v>
      </c>
      <c r="AE330" s="81" t="s">
        <v>17231</v>
      </c>
      <c r="AF330" s="76">
        <v>11826</v>
      </c>
      <c r="AG330" s="76">
        <v>669</v>
      </c>
      <c r="AH330" s="76">
        <v>6446</v>
      </c>
      <c r="AI330" s="76">
        <v>32</v>
      </c>
      <c r="AJ330" s="76">
        <v>1883</v>
      </c>
      <c r="AK330" s="76">
        <v>1621</v>
      </c>
      <c r="AL330" s="76" t="b">
        <v>0</v>
      </c>
      <c r="AM330" s="78">
        <v>40419.817280092589</v>
      </c>
      <c r="AN330" s="76" t="s">
        <v>17529</v>
      </c>
      <c r="AO330" s="76" t="s">
        <v>17940</v>
      </c>
      <c r="AP330" s="83" t="str">
        <f>HYPERLINK("https://t.co/GxNXUQsYuo")</f>
        <v>https://t.co/GxNXUQsYuo</v>
      </c>
      <c r="AQ330" s="83" t="str">
        <f>HYPERLINK("http://hacienda.gob.ar")</f>
        <v>http://hacienda.gob.ar</v>
      </c>
      <c r="AR330" s="76" t="s">
        <v>18429</v>
      </c>
      <c r="AS330" s="76"/>
      <c r="AT330" s="76"/>
      <c r="AU330" s="76"/>
      <c r="AV330" s="76"/>
      <c r="AW330" s="83" t="str">
        <f>HYPERLINK("https://t.co/GxNXUQsYuo")</f>
        <v>https://t.co/GxNXUQsYuo</v>
      </c>
      <c r="AX330" s="76" t="b">
        <v>0</v>
      </c>
      <c r="AY330" s="76"/>
      <c r="AZ330" s="76"/>
      <c r="BA330" s="76" t="b">
        <v>0</v>
      </c>
      <c r="BB330" s="76" t="b">
        <v>1</v>
      </c>
      <c r="BC330" s="76" t="b">
        <v>0</v>
      </c>
      <c r="BD330" s="76" t="b">
        <v>0</v>
      </c>
      <c r="BE330" s="76" t="b">
        <v>1</v>
      </c>
      <c r="BF330" s="76" t="b">
        <v>0</v>
      </c>
      <c r="BG330" s="76" t="b">
        <v>0</v>
      </c>
      <c r="BH330" s="83" t="str">
        <f>HYPERLINK("https://pbs.twimg.com/profile_banners/184517209/1555901336")</f>
        <v>https://pbs.twimg.com/profile_banners/184517209/1555901336</v>
      </c>
      <c r="BI330" s="76"/>
      <c r="BJ330" s="76" t="s">
        <v>18704</v>
      </c>
      <c r="BK330" s="76" t="b">
        <v>0</v>
      </c>
      <c r="BL330" s="76"/>
      <c r="BM330" s="76" t="s">
        <v>65</v>
      </c>
      <c r="BN330" s="76" t="s">
        <v>18706</v>
      </c>
      <c r="BO330" s="83" t="str">
        <f>HYPERLINK("https://twitter.com/adolfosafran")</f>
        <v>https://twitter.com/adolfosafran</v>
      </c>
      <c r="BP330" s="2"/>
    </row>
    <row r="331" spans="1:68" x14ac:dyDescent="0.25">
      <c r="A331" s="62" t="s">
        <v>804</v>
      </c>
      <c r="B331" s="63"/>
      <c r="C331" s="63"/>
      <c r="D331" s="64"/>
      <c r="E331" s="66"/>
      <c r="F331" s="102" t="str">
        <f>HYPERLINK("https://pbs.twimg.com/profile_images/1453181148918468611/txBef4L3_normal.jpg")</f>
        <v>https://pbs.twimg.com/profile_images/1453181148918468611/txBef4L3_normal.jpg</v>
      </c>
      <c r="G331" s="63"/>
      <c r="H331" s="67"/>
      <c r="I331" s="68"/>
      <c r="J331" s="68"/>
      <c r="K331" s="67" t="s">
        <v>19034</v>
      </c>
      <c r="L331" s="71"/>
      <c r="M331" s="72"/>
      <c r="N331" s="72"/>
      <c r="O331" s="73"/>
      <c r="P331" s="74"/>
      <c r="Q331" s="74"/>
      <c r="R331" s="86"/>
      <c r="S331" s="86"/>
      <c r="T331" s="86"/>
      <c r="U331" s="86"/>
      <c r="V331" s="48"/>
      <c r="W331" s="48"/>
      <c r="X331" s="48"/>
      <c r="Y331" s="48"/>
      <c r="Z331" s="47"/>
      <c r="AA331" s="69">
        <v>331</v>
      </c>
      <c r="AB331" s="69"/>
      <c r="AC331" s="70"/>
      <c r="AD331" s="76" t="s">
        <v>16760</v>
      </c>
      <c r="AE331" s="81" t="s">
        <v>17232</v>
      </c>
      <c r="AF331" s="76">
        <v>4137</v>
      </c>
      <c r="AG331" s="76">
        <v>2297</v>
      </c>
      <c r="AH331" s="76">
        <v>5461</v>
      </c>
      <c r="AI331" s="76">
        <v>18</v>
      </c>
      <c r="AJ331" s="76">
        <v>1670</v>
      </c>
      <c r="AK331" s="76">
        <v>494</v>
      </c>
      <c r="AL331" s="76" t="b">
        <v>0</v>
      </c>
      <c r="AM331" s="78">
        <v>40730.495717592596</v>
      </c>
      <c r="AN331" s="76" t="s">
        <v>17530</v>
      </c>
      <c r="AO331" s="76" t="s">
        <v>17941</v>
      </c>
      <c r="AP331" s="83" t="str">
        <f>HYPERLINK("https://t.co/3zcUsrryVE")</f>
        <v>https://t.co/3zcUsrryVE</v>
      </c>
      <c r="AQ331" s="83" t="str">
        <f>HYPERLINK("http://www.radionewsmisiones.ar")</f>
        <v>http://www.radionewsmisiones.ar</v>
      </c>
      <c r="AR331" s="76" t="s">
        <v>18430</v>
      </c>
      <c r="AS331" s="76"/>
      <c r="AT331" s="76"/>
      <c r="AU331" s="76"/>
      <c r="AV331" s="76"/>
      <c r="AW331" s="83" t="str">
        <f>HYPERLINK("https://t.co/3zcUsrryVE")</f>
        <v>https://t.co/3zcUsrryVE</v>
      </c>
      <c r="AX331" s="76" t="b">
        <v>0</v>
      </c>
      <c r="AY331" s="76"/>
      <c r="AZ331" s="76"/>
      <c r="BA331" s="76" t="b">
        <v>0</v>
      </c>
      <c r="BB331" s="76" t="b">
        <v>1</v>
      </c>
      <c r="BC331" s="76" t="b">
        <v>0</v>
      </c>
      <c r="BD331" s="76" t="b">
        <v>0</v>
      </c>
      <c r="BE331" s="76" t="b">
        <v>0</v>
      </c>
      <c r="BF331" s="76" t="b">
        <v>0</v>
      </c>
      <c r="BG331" s="76" t="b">
        <v>0</v>
      </c>
      <c r="BH331" s="83" t="str">
        <f>HYPERLINK("https://pbs.twimg.com/profile_banners/330286468/1614274853")</f>
        <v>https://pbs.twimg.com/profile_banners/330286468/1614274853</v>
      </c>
      <c r="BI331" s="76"/>
      <c r="BJ331" s="76" t="s">
        <v>18704</v>
      </c>
      <c r="BK331" s="76" t="b">
        <v>0</v>
      </c>
      <c r="BL331" s="76"/>
      <c r="BM331" s="76" t="s">
        <v>65</v>
      </c>
      <c r="BN331" s="76" t="s">
        <v>18706</v>
      </c>
      <c r="BO331" s="83" t="str">
        <f>HYPERLINK("https://twitter.com/arielsayas")</f>
        <v>https://twitter.com/arielsayas</v>
      </c>
      <c r="BP331" s="2"/>
    </row>
    <row r="332" spans="1:68" x14ac:dyDescent="0.25">
      <c r="A332" s="62" t="s">
        <v>479</v>
      </c>
      <c r="B332" s="63"/>
      <c r="C332" s="63"/>
      <c r="D332" s="64"/>
      <c r="E332" s="66"/>
      <c r="F332" s="102" t="str">
        <f>HYPERLINK("https://pbs.twimg.com/profile_images/1684671122409668608/Kl17zdi5_normal.jpg")</f>
        <v>https://pbs.twimg.com/profile_images/1684671122409668608/Kl17zdi5_normal.jpg</v>
      </c>
      <c r="G332" s="63"/>
      <c r="H332" s="67"/>
      <c r="I332" s="68"/>
      <c r="J332" s="68"/>
      <c r="K332" s="67" t="s">
        <v>19035</v>
      </c>
      <c r="L332" s="71"/>
      <c r="M332" s="72"/>
      <c r="N332" s="72"/>
      <c r="O332" s="73"/>
      <c r="P332" s="74"/>
      <c r="Q332" s="74"/>
      <c r="R332" s="86"/>
      <c r="S332" s="86"/>
      <c r="T332" s="86"/>
      <c r="U332" s="86"/>
      <c r="V332" s="48"/>
      <c r="W332" s="48"/>
      <c r="X332" s="48"/>
      <c r="Y332" s="48"/>
      <c r="Z332" s="47"/>
      <c r="AA332" s="69">
        <v>332</v>
      </c>
      <c r="AB332" s="69"/>
      <c r="AC332" s="70"/>
      <c r="AD332" s="76" t="s">
        <v>16761</v>
      </c>
      <c r="AE332" s="81" t="s">
        <v>17233</v>
      </c>
      <c r="AF332" s="76">
        <v>5236</v>
      </c>
      <c r="AG332" s="76">
        <v>52</v>
      </c>
      <c r="AH332" s="76">
        <v>18</v>
      </c>
      <c r="AI332" s="76">
        <v>5</v>
      </c>
      <c r="AJ332" s="76">
        <v>29</v>
      </c>
      <c r="AK332" s="76">
        <v>17</v>
      </c>
      <c r="AL332" s="76" t="b">
        <v>0</v>
      </c>
      <c r="AM332" s="78">
        <v>40717.632708333331</v>
      </c>
      <c r="AN332" s="76" t="s">
        <v>10586</v>
      </c>
      <c r="AO332" s="76" t="s">
        <v>17942</v>
      </c>
      <c r="AP332" s="83" t="str">
        <f>HYPERLINK("https://t.co/NUDMJjP3Qz")</f>
        <v>https://t.co/NUDMJjP3Qz</v>
      </c>
      <c r="AQ332" s="83" t="str">
        <f>HYPERLINK("https://www.claudinhotrader.com.br")</f>
        <v>https://www.claudinhotrader.com.br</v>
      </c>
      <c r="AR332" s="76" t="s">
        <v>18431</v>
      </c>
      <c r="AS332" s="76"/>
      <c r="AT332" s="76"/>
      <c r="AU332" s="76"/>
      <c r="AV332" s="76"/>
      <c r="AW332" s="83" t="str">
        <f>HYPERLINK("https://t.co/NUDMJjP3Qz")</f>
        <v>https://t.co/NUDMJjP3Qz</v>
      </c>
      <c r="AX332" s="76" t="b">
        <v>0</v>
      </c>
      <c r="AY332" s="76"/>
      <c r="AZ332" s="76"/>
      <c r="BA332" s="76" t="b">
        <v>1</v>
      </c>
      <c r="BB332" s="76" t="b">
        <v>0</v>
      </c>
      <c r="BC332" s="76" t="b">
        <v>0</v>
      </c>
      <c r="BD332" s="76" t="b">
        <v>0</v>
      </c>
      <c r="BE332" s="76" t="b">
        <v>0</v>
      </c>
      <c r="BF332" s="76" t="b">
        <v>0</v>
      </c>
      <c r="BG332" s="76" t="b">
        <v>0</v>
      </c>
      <c r="BH332" s="83" t="str">
        <f>HYPERLINK("https://pbs.twimg.com/profile_banners/322667669/1687018615")</f>
        <v>https://pbs.twimg.com/profile_banners/322667669/1687018615</v>
      </c>
      <c r="BI332" s="76"/>
      <c r="BJ332" s="76" t="s">
        <v>18704</v>
      </c>
      <c r="BK332" s="76" t="b">
        <v>0</v>
      </c>
      <c r="BL332" s="76"/>
      <c r="BM332" s="76" t="s">
        <v>66</v>
      </c>
      <c r="BN332" s="76" t="s">
        <v>18706</v>
      </c>
      <c r="BO332" s="83" t="str">
        <f>HYPERLINK("https://twitter.com/claudinhotrader")</f>
        <v>https://twitter.com/claudinhotrader</v>
      </c>
      <c r="BP332" s="2"/>
    </row>
    <row r="333" spans="1:68" x14ac:dyDescent="0.25">
      <c r="A333" s="62" t="s">
        <v>480</v>
      </c>
      <c r="B333" s="63"/>
      <c r="C333" s="63"/>
      <c r="D333" s="64"/>
      <c r="E333" s="66"/>
      <c r="F333" s="102" t="str">
        <f>HYPERLINK("https://pbs.twimg.com/profile_images/1270094783332126723/pX0Zt-qB_normal.jpg")</f>
        <v>https://pbs.twimg.com/profile_images/1270094783332126723/pX0Zt-qB_normal.jpg</v>
      </c>
      <c r="G333" s="63"/>
      <c r="H333" s="67"/>
      <c r="I333" s="68"/>
      <c r="J333" s="68"/>
      <c r="K333" s="67" t="s">
        <v>19036</v>
      </c>
      <c r="L333" s="71"/>
      <c r="M333" s="72"/>
      <c r="N333" s="72"/>
      <c r="O333" s="73"/>
      <c r="P333" s="74"/>
      <c r="Q333" s="74"/>
      <c r="R333" s="86"/>
      <c r="S333" s="86"/>
      <c r="T333" s="86"/>
      <c r="U333" s="86"/>
      <c r="V333" s="48"/>
      <c r="W333" s="48"/>
      <c r="X333" s="48"/>
      <c r="Y333" s="48"/>
      <c r="Z333" s="47"/>
      <c r="AA333" s="69">
        <v>333</v>
      </c>
      <c r="AB333" s="69"/>
      <c r="AC333" s="70"/>
      <c r="AD333" s="76" t="s">
        <v>16762</v>
      </c>
      <c r="AE333" s="81" t="s">
        <v>17234</v>
      </c>
      <c r="AF333" s="76">
        <v>3327</v>
      </c>
      <c r="AG333" s="76">
        <v>4164</v>
      </c>
      <c r="AH333" s="76">
        <v>186832</v>
      </c>
      <c r="AI333" s="76">
        <v>5</v>
      </c>
      <c r="AJ333" s="76">
        <v>123954</v>
      </c>
      <c r="AK333" s="76">
        <v>455</v>
      </c>
      <c r="AL333" s="76" t="b">
        <v>0</v>
      </c>
      <c r="AM333" s="78">
        <v>41480.119490740741</v>
      </c>
      <c r="AN333" s="76" t="s">
        <v>17531</v>
      </c>
      <c r="AO333" s="76" t="s">
        <v>17943</v>
      </c>
      <c r="AP333" s="76"/>
      <c r="AQ333" s="76"/>
      <c r="AR333" s="76"/>
      <c r="AS333" s="76"/>
      <c r="AT333" s="76"/>
      <c r="AU333" s="76"/>
      <c r="AV333" s="76"/>
      <c r="AW333" s="76"/>
      <c r="AX333" s="76" t="b">
        <v>0</v>
      </c>
      <c r="AY333" s="76"/>
      <c r="AZ333" s="76"/>
      <c r="BA333" s="76" t="b">
        <v>1</v>
      </c>
      <c r="BB333" s="76" t="b">
        <v>1</v>
      </c>
      <c r="BC333" s="76" t="b">
        <v>1</v>
      </c>
      <c r="BD333" s="76" t="b">
        <v>0</v>
      </c>
      <c r="BE333" s="76" t="b">
        <v>1</v>
      </c>
      <c r="BF333" s="76" t="b">
        <v>0</v>
      </c>
      <c r="BG333" s="76" t="b">
        <v>0</v>
      </c>
      <c r="BH333" s="83" t="str">
        <f>HYPERLINK("https://pbs.twimg.com/profile_banners/1619173878/1591564746")</f>
        <v>https://pbs.twimg.com/profile_banners/1619173878/1591564746</v>
      </c>
      <c r="BI333" s="76"/>
      <c r="BJ333" s="76" t="s">
        <v>18704</v>
      </c>
      <c r="BK333" s="76" t="b">
        <v>0</v>
      </c>
      <c r="BL333" s="76"/>
      <c r="BM333" s="76" t="s">
        <v>66</v>
      </c>
      <c r="BN333" s="76" t="s">
        <v>18706</v>
      </c>
      <c r="BO333" s="83" t="str">
        <f>HYPERLINK("https://twitter.com/eliafaher")</f>
        <v>https://twitter.com/eliafaher</v>
      </c>
      <c r="BP333" s="2"/>
    </row>
    <row r="334" spans="1:68" x14ac:dyDescent="0.25">
      <c r="A334" s="62" t="s">
        <v>481</v>
      </c>
      <c r="B334" s="63"/>
      <c r="C334" s="63"/>
      <c r="D334" s="64"/>
      <c r="E334" s="66"/>
      <c r="F334" s="102" t="str">
        <f>HYPERLINK("https://pbs.twimg.com/profile_images/1385278581434032128/W5gRgECq_normal.jpg")</f>
        <v>https://pbs.twimg.com/profile_images/1385278581434032128/W5gRgECq_normal.jpg</v>
      </c>
      <c r="G334" s="63"/>
      <c r="H334" s="67"/>
      <c r="I334" s="68"/>
      <c r="J334" s="68"/>
      <c r="K334" s="67" t="s">
        <v>19037</v>
      </c>
      <c r="L334" s="71"/>
      <c r="M334" s="72"/>
      <c r="N334" s="72"/>
      <c r="O334" s="73"/>
      <c r="P334" s="74"/>
      <c r="Q334" s="74"/>
      <c r="R334" s="86"/>
      <c r="S334" s="86"/>
      <c r="T334" s="86"/>
      <c r="U334" s="86"/>
      <c r="V334" s="48"/>
      <c r="W334" s="48"/>
      <c r="X334" s="48"/>
      <c r="Y334" s="48"/>
      <c r="Z334" s="47"/>
      <c r="AA334" s="69">
        <v>334</v>
      </c>
      <c r="AB334" s="69"/>
      <c r="AC334" s="70"/>
      <c r="AD334" s="76" t="s">
        <v>16763</v>
      </c>
      <c r="AE334" s="81" t="s">
        <v>16254</v>
      </c>
      <c r="AF334" s="76">
        <v>322</v>
      </c>
      <c r="AG334" s="76">
        <v>142</v>
      </c>
      <c r="AH334" s="76">
        <v>542</v>
      </c>
      <c r="AI334" s="76">
        <v>4</v>
      </c>
      <c r="AJ334" s="76">
        <v>784</v>
      </c>
      <c r="AK334" s="76">
        <v>106</v>
      </c>
      <c r="AL334" s="76" t="b">
        <v>0</v>
      </c>
      <c r="AM334" s="78">
        <v>44298.813634259262</v>
      </c>
      <c r="AN334" s="76" t="s">
        <v>17477</v>
      </c>
      <c r="AO334" s="76" t="s">
        <v>17944</v>
      </c>
      <c r="AP334" s="83" t="str">
        <f>HYPERLINK("https://t.co/dMkErCixWH")</f>
        <v>https://t.co/dMkErCixWH</v>
      </c>
      <c r="AQ334" s="83" t="str">
        <f>HYPERLINK("https://www.sustainablefinance4future.org/")</f>
        <v>https://www.sustainablefinance4future.org/</v>
      </c>
      <c r="AR334" s="76" t="s">
        <v>18432</v>
      </c>
      <c r="AS334" s="76"/>
      <c r="AT334" s="76"/>
      <c r="AU334" s="76"/>
      <c r="AV334" s="76"/>
      <c r="AW334" s="83" t="str">
        <f>HYPERLINK("https://t.co/dMkErCixWH")</f>
        <v>https://t.co/dMkErCixWH</v>
      </c>
      <c r="AX334" s="76" t="b">
        <v>0</v>
      </c>
      <c r="AY334" s="76"/>
      <c r="AZ334" s="76"/>
      <c r="BA334" s="76" t="b">
        <v>0</v>
      </c>
      <c r="BB334" s="76" t="b">
        <v>1</v>
      </c>
      <c r="BC334" s="76" t="b">
        <v>1</v>
      </c>
      <c r="BD334" s="76" t="b">
        <v>0</v>
      </c>
      <c r="BE334" s="76" t="b">
        <v>1</v>
      </c>
      <c r="BF334" s="76" t="b">
        <v>0</v>
      </c>
      <c r="BG334" s="76" t="b">
        <v>0</v>
      </c>
      <c r="BH334" s="83" t="str">
        <f>HYPERLINK("https://pbs.twimg.com/profile_banners/1381691391173128200/1695833512")</f>
        <v>https://pbs.twimg.com/profile_banners/1381691391173128200/1695833512</v>
      </c>
      <c r="BI334" s="76"/>
      <c r="BJ334" s="76" t="s">
        <v>18704</v>
      </c>
      <c r="BK334" s="76" t="b">
        <v>0</v>
      </c>
      <c r="BL334" s="76"/>
      <c r="BM334" s="76" t="s">
        <v>66</v>
      </c>
      <c r="BN334" s="76" t="s">
        <v>18706</v>
      </c>
      <c r="BO334" s="83" t="str">
        <f>HYPERLINK("https://twitter.com/hubfinanzassmx")</f>
        <v>https://twitter.com/hubfinanzassmx</v>
      </c>
      <c r="BP334" s="2"/>
    </row>
    <row r="335" spans="1:68" x14ac:dyDescent="0.25">
      <c r="A335" s="62" t="s">
        <v>487</v>
      </c>
      <c r="B335" s="63"/>
      <c r="C335" s="63"/>
      <c r="D335" s="64"/>
      <c r="E335" s="66"/>
      <c r="F335" s="102" t="str">
        <f>HYPERLINK("https://pbs.twimg.com/profile_images/1676611574839103494/QL7xBnFz_normal.jpg")</f>
        <v>https://pbs.twimg.com/profile_images/1676611574839103494/QL7xBnFz_normal.jpg</v>
      </c>
      <c r="G335" s="63"/>
      <c r="H335" s="67"/>
      <c r="I335" s="68"/>
      <c r="J335" s="68"/>
      <c r="K335" s="67" t="s">
        <v>19038</v>
      </c>
      <c r="L335" s="71"/>
      <c r="M335" s="72"/>
      <c r="N335" s="72"/>
      <c r="O335" s="73"/>
      <c r="P335" s="74"/>
      <c r="Q335" s="74"/>
      <c r="R335" s="86"/>
      <c r="S335" s="86"/>
      <c r="T335" s="86"/>
      <c r="U335" s="86"/>
      <c r="V335" s="48"/>
      <c r="W335" s="48"/>
      <c r="X335" s="48"/>
      <c r="Y335" s="48"/>
      <c r="Z335" s="47"/>
      <c r="AA335" s="69">
        <v>335</v>
      </c>
      <c r="AB335" s="69"/>
      <c r="AC335" s="70"/>
      <c r="AD335" s="76" t="s">
        <v>16764</v>
      </c>
      <c r="AE335" s="81" t="s">
        <v>17235</v>
      </c>
      <c r="AF335" s="76">
        <v>6377</v>
      </c>
      <c r="AG335" s="76">
        <v>1483</v>
      </c>
      <c r="AH335" s="76">
        <v>11795</v>
      </c>
      <c r="AI335" s="76">
        <v>96</v>
      </c>
      <c r="AJ335" s="76">
        <v>5136</v>
      </c>
      <c r="AK335" s="76">
        <v>3534</v>
      </c>
      <c r="AL335" s="76" t="b">
        <v>0</v>
      </c>
      <c r="AM335" s="78">
        <v>41711.69635416667</v>
      </c>
      <c r="AN335" s="76" t="s">
        <v>17532</v>
      </c>
      <c r="AO335" s="76" t="s">
        <v>17945</v>
      </c>
      <c r="AP335" s="83" t="str">
        <f>HYPERLINK("https://t.co/WzAYTjobqZ")</f>
        <v>https://t.co/WzAYTjobqZ</v>
      </c>
      <c r="AQ335" s="83" t="str">
        <f>HYPERLINK("http://www.gflac.org")</f>
        <v>http://www.gflac.org</v>
      </c>
      <c r="AR335" s="76" t="s">
        <v>18433</v>
      </c>
      <c r="AS335" s="76"/>
      <c r="AT335" s="76"/>
      <c r="AU335" s="76"/>
      <c r="AV335" s="76"/>
      <c r="AW335" s="83" t="str">
        <f>HYPERLINK("https://t.co/WzAYTjobqZ")</f>
        <v>https://t.co/WzAYTjobqZ</v>
      </c>
      <c r="AX335" s="76" t="b">
        <v>0</v>
      </c>
      <c r="AY335" s="76"/>
      <c r="AZ335" s="76"/>
      <c r="BA335" s="76" t="b">
        <v>0</v>
      </c>
      <c r="BB335" s="76" t="b">
        <v>1</v>
      </c>
      <c r="BC335" s="76" t="b">
        <v>1</v>
      </c>
      <c r="BD335" s="76" t="b">
        <v>0</v>
      </c>
      <c r="BE335" s="76" t="b">
        <v>1</v>
      </c>
      <c r="BF335" s="76" t="b">
        <v>0</v>
      </c>
      <c r="BG335" s="76" t="b">
        <v>0</v>
      </c>
      <c r="BH335" s="83" t="str">
        <f>HYPERLINK("https://pbs.twimg.com/profile_banners/2387411994/1695913893")</f>
        <v>https://pbs.twimg.com/profile_banners/2387411994/1695913893</v>
      </c>
      <c r="BI335" s="76"/>
      <c r="BJ335" s="76" t="s">
        <v>18704</v>
      </c>
      <c r="BK335" s="76" t="b">
        <v>0</v>
      </c>
      <c r="BL335" s="76"/>
      <c r="BM335" s="76" t="s">
        <v>66</v>
      </c>
      <c r="BN335" s="76" t="s">
        <v>18706</v>
      </c>
      <c r="BO335" s="83" t="str">
        <f>HYPERLINK("https://twitter.com/grupogflac")</f>
        <v>https://twitter.com/grupogflac</v>
      </c>
      <c r="BP335" s="2"/>
    </row>
    <row r="336" spans="1:68" x14ac:dyDescent="0.25">
      <c r="A336" s="62" t="s">
        <v>482</v>
      </c>
      <c r="B336" s="63"/>
      <c r="C336" s="63"/>
      <c r="D336" s="64"/>
      <c r="E336" s="66"/>
      <c r="F336" s="102" t="str">
        <f>HYPERLINK("https://pbs.twimg.com/profile_images/1679990703852605440/7JFwWsOi_normal.jpg")</f>
        <v>https://pbs.twimg.com/profile_images/1679990703852605440/7JFwWsOi_normal.jpg</v>
      </c>
      <c r="G336" s="63"/>
      <c r="H336" s="67"/>
      <c r="I336" s="68"/>
      <c r="J336" s="68"/>
      <c r="K336" s="67" t="s">
        <v>19039</v>
      </c>
      <c r="L336" s="71"/>
      <c r="M336" s="72"/>
      <c r="N336" s="72"/>
      <c r="O336" s="73"/>
      <c r="P336" s="74"/>
      <c r="Q336" s="74"/>
      <c r="R336" s="86"/>
      <c r="S336" s="86"/>
      <c r="T336" s="86"/>
      <c r="U336" s="86"/>
      <c r="V336" s="48"/>
      <c r="W336" s="48"/>
      <c r="X336" s="48"/>
      <c r="Y336" s="48"/>
      <c r="Z336" s="47"/>
      <c r="AA336" s="69">
        <v>336</v>
      </c>
      <c r="AB336" s="69"/>
      <c r="AC336" s="70"/>
      <c r="AD336" s="76" t="s">
        <v>16765</v>
      </c>
      <c r="AE336" s="81" t="s">
        <v>17236</v>
      </c>
      <c r="AF336" s="76">
        <v>95</v>
      </c>
      <c r="AG336" s="76">
        <v>198</v>
      </c>
      <c r="AH336" s="76">
        <v>2495</v>
      </c>
      <c r="AI336" s="76">
        <v>1</v>
      </c>
      <c r="AJ336" s="76">
        <v>93</v>
      </c>
      <c r="AK336" s="76">
        <v>763</v>
      </c>
      <c r="AL336" s="76" t="b">
        <v>0</v>
      </c>
      <c r="AM336" s="78">
        <v>40178.671365740738</v>
      </c>
      <c r="AN336" s="76" t="s">
        <v>17533</v>
      </c>
      <c r="AO336" s="76" t="s">
        <v>17946</v>
      </c>
      <c r="AP336" s="83" t="str">
        <f>HYPERLINK("https://t.co/IHCAttixq3")</f>
        <v>https://t.co/IHCAttixq3</v>
      </c>
      <c r="AQ336" s="83" t="str">
        <f>HYPERLINK("https://vistatradecapital.com/?ref=robinunes")</f>
        <v>https://vistatradecapital.com/?ref=robinunes</v>
      </c>
      <c r="AR336" s="76" t="s">
        <v>18434</v>
      </c>
      <c r="AS336" s="76"/>
      <c r="AT336" s="76"/>
      <c r="AU336" s="76"/>
      <c r="AV336" s="76"/>
      <c r="AW336" s="83" t="str">
        <f>HYPERLINK("https://t.co/IHCAttixq3")</f>
        <v>https://t.co/IHCAttixq3</v>
      </c>
      <c r="AX336" s="76" t="b">
        <v>0</v>
      </c>
      <c r="AY336" s="76"/>
      <c r="AZ336" s="76"/>
      <c r="BA336" s="76" t="b">
        <v>0</v>
      </c>
      <c r="BB336" s="76" t="b">
        <v>1</v>
      </c>
      <c r="BC336" s="76" t="b">
        <v>0</v>
      </c>
      <c r="BD336" s="76" t="b">
        <v>0</v>
      </c>
      <c r="BE336" s="76" t="b">
        <v>1</v>
      </c>
      <c r="BF336" s="76" t="b">
        <v>0</v>
      </c>
      <c r="BG336" s="76" t="b">
        <v>0</v>
      </c>
      <c r="BH336" s="83" t="str">
        <f>HYPERLINK("https://pbs.twimg.com/profile_banners/100794463/1555889260")</f>
        <v>https://pbs.twimg.com/profile_banners/100794463/1555889260</v>
      </c>
      <c r="BI336" s="76"/>
      <c r="BJ336" s="76" t="s">
        <v>18704</v>
      </c>
      <c r="BK336" s="76" t="b">
        <v>0</v>
      </c>
      <c r="BL336" s="76"/>
      <c r="BM336" s="76" t="s">
        <v>66</v>
      </c>
      <c r="BN336" s="76" t="s">
        <v>18706</v>
      </c>
      <c r="BO336" s="83" t="str">
        <f>HYPERLINK("https://twitter.com/robervalpnunes")</f>
        <v>https://twitter.com/robervalpnunes</v>
      </c>
      <c r="BP336" s="2"/>
    </row>
    <row r="337" spans="1:68" x14ac:dyDescent="0.25">
      <c r="A337" s="62" t="s">
        <v>483</v>
      </c>
      <c r="B337" s="63"/>
      <c r="C337" s="63"/>
      <c r="D337" s="64"/>
      <c r="E337" s="66"/>
      <c r="F337" s="102" t="str">
        <f>HYPERLINK("https://pbs.twimg.com/profile_images/1598414629453045764/CwldwMp2_normal.jpg")</f>
        <v>https://pbs.twimg.com/profile_images/1598414629453045764/CwldwMp2_normal.jpg</v>
      </c>
      <c r="G337" s="63"/>
      <c r="H337" s="67"/>
      <c r="I337" s="68"/>
      <c r="J337" s="68"/>
      <c r="K337" s="67" t="s">
        <v>19040</v>
      </c>
      <c r="L337" s="71"/>
      <c r="M337" s="72"/>
      <c r="N337" s="72"/>
      <c r="O337" s="73"/>
      <c r="P337" s="74"/>
      <c r="Q337" s="74"/>
      <c r="R337" s="86"/>
      <c r="S337" s="86"/>
      <c r="T337" s="86"/>
      <c r="U337" s="86"/>
      <c r="V337" s="48"/>
      <c r="W337" s="48"/>
      <c r="X337" s="48"/>
      <c r="Y337" s="48"/>
      <c r="Z337" s="47"/>
      <c r="AA337" s="69">
        <v>337</v>
      </c>
      <c r="AB337" s="69"/>
      <c r="AC337" s="70"/>
      <c r="AD337" s="76" t="s">
        <v>16766</v>
      </c>
      <c r="AE337" s="81" t="s">
        <v>16255</v>
      </c>
      <c r="AF337" s="76">
        <v>26</v>
      </c>
      <c r="AG337" s="76">
        <v>53</v>
      </c>
      <c r="AH337" s="76">
        <v>183</v>
      </c>
      <c r="AI337" s="76">
        <v>1</v>
      </c>
      <c r="AJ337" s="76">
        <v>11</v>
      </c>
      <c r="AK337" s="76">
        <v>146</v>
      </c>
      <c r="AL337" s="76" t="b">
        <v>0</v>
      </c>
      <c r="AM337" s="78">
        <v>44550.884467592594</v>
      </c>
      <c r="AN337" s="76"/>
      <c r="AO337" s="76" t="s">
        <v>17947</v>
      </c>
      <c r="AP337" s="83" t="str">
        <f>HYPERLINK("https://t.co/7voairwnnG")</f>
        <v>https://t.co/7voairwnnG</v>
      </c>
      <c r="AQ337" s="83" t="str">
        <f>HYPERLINK("https://bit.ly/CanalMonex")</f>
        <v>https://bit.ly/CanalMonex</v>
      </c>
      <c r="AR337" s="76" t="s">
        <v>18435</v>
      </c>
      <c r="AS337" s="76"/>
      <c r="AT337" s="76"/>
      <c r="AU337" s="76"/>
      <c r="AV337" s="76"/>
      <c r="AW337" s="83" t="str">
        <f>HYPERLINK("https://t.co/7voairwnnG")</f>
        <v>https://t.co/7voairwnnG</v>
      </c>
      <c r="AX337" s="76" t="b">
        <v>0</v>
      </c>
      <c r="AY337" s="76"/>
      <c r="AZ337" s="76"/>
      <c r="BA337" s="76" t="b">
        <v>0</v>
      </c>
      <c r="BB337" s="76" t="b">
        <v>1</v>
      </c>
      <c r="BC337" s="76" t="b">
        <v>1</v>
      </c>
      <c r="BD337" s="76" t="b">
        <v>0</v>
      </c>
      <c r="BE337" s="76" t="b">
        <v>0</v>
      </c>
      <c r="BF337" s="76" t="b">
        <v>0</v>
      </c>
      <c r="BG337" s="76" t="b">
        <v>0</v>
      </c>
      <c r="BH337" s="83" t="str">
        <f>HYPERLINK("https://pbs.twimg.com/profile_banners/1473038877153705987/1694613077")</f>
        <v>https://pbs.twimg.com/profile_banners/1473038877153705987/1694613077</v>
      </c>
      <c r="BI337" s="76"/>
      <c r="BJ337" s="76" t="s">
        <v>18704</v>
      </c>
      <c r="BK337" s="76" t="b">
        <v>0</v>
      </c>
      <c r="BL337" s="76"/>
      <c r="BM337" s="76" t="s">
        <v>66</v>
      </c>
      <c r="BN337" s="76" t="s">
        <v>18706</v>
      </c>
      <c r="BO337" s="83" t="str">
        <f>HYPERLINK("https://twitter.com/arthurodriguex")</f>
        <v>https://twitter.com/arthurodriguex</v>
      </c>
      <c r="BP337" s="2"/>
    </row>
    <row r="338" spans="1:68" x14ac:dyDescent="0.25">
      <c r="A338" s="62" t="s">
        <v>484</v>
      </c>
      <c r="B338" s="63"/>
      <c r="C338" s="63"/>
      <c r="D338" s="64"/>
      <c r="E338" s="66"/>
      <c r="F338" s="102" t="str">
        <f>HYPERLINK("https://pbs.twimg.com/profile_images/1588668531910082561/XEi-lXiu_normal.jpg")</f>
        <v>https://pbs.twimg.com/profile_images/1588668531910082561/XEi-lXiu_normal.jpg</v>
      </c>
      <c r="G338" s="63"/>
      <c r="H338" s="67"/>
      <c r="I338" s="68"/>
      <c r="J338" s="68"/>
      <c r="K338" s="67" t="s">
        <v>19041</v>
      </c>
      <c r="L338" s="71"/>
      <c r="M338" s="72"/>
      <c r="N338" s="72"/>
      <c r="O338" s="73"/>
      <c r="P338" s="74"/>
      <c r="Q338" s="74"/>
      <c r="R338" s="86"/>
      <c r="S338" s="86"/>
      <c r="T338" s="86"/>
      <c r="U338" s="86"/>
      <c r="V338" s="48"/>
      <c r="W338" s="48"/>
      <c r="X338" s="48"/>
      <c r="Y338" s="48"/>
      <c r="Z338" s="47"/>
      <c r="AA338" s="69">
        <v>338</v>
      </c>
      <c r="AB338" s="69"/>
      <c r="AC338" s="70"/>
      <c r="AD338" s="76" t="s">
        <v>16767</v>
      </c>
      <c r="AE338" s="81" t="s">
        <v>16256</v>
      </c>
      <c r="AF338" s="76">
        <v>891</v>
      </c>
      <c r="AG338" s="76">
        <v>32</v>
      </c>
      <c r="AH338" s="76">
        <v>19338</v>
      </c>
      <c r="AI338" s="76">
        <v>11</v>
      </c>
      <c r="AJ338" s="76">
        <v>106</v>
      </c>
      <c r="AK338" s="76">
        <v>3</v>
      </c>
      <c r="AL338" s="76" t="b">
        <v>0</v>
      </c>
      <c r="AM338" s="78">
        <v>44420.633240740739</v>
      </c>
      <c r="AN338" s="76" t="s">
        <v>10570</v>
      </c>
      <c r="AO338" s="76" t="s">
        <v>17948</v>
      </c>
      <c r="AP338" s="83" t="str">
        <f>HYPERLINK("https://t.co/5K7X7YWU7Q")</f>
        <v>https://t.co/5K7X7YWU7Q</v>
      </c>
      <c r="AQ338" s="83" t="str">
        <f>HYPERLINK("https://economiaempauta.com")</f>
        <v>https://economiaempauta.com</v>
      </c>
      <c r="AR338" s="76" t="s">
        <v>6528</v>
      </c>
      <c r="AS338" s="76"/>
      <c r="AT338" s="76"/>
      <c r="AU338" s="76"/>
      <c r="AV338" s="76">
        <v>1.48854412414381E+18</v>
      </c>
      <c r="AW338" s="83" t="str">
        <f>HYPERLINK("https://t.co/5K7X7YWU7Q")</f>
        <v>https://t.co/5K7X7YWU7Q</v>
      </c>
      <c r="AX338" s="76" t="b">
        <v>0</v>
      </c>
      <c r="AY338" s="76"/>
      <c r="AZ338" s="76"/>
      <c r="BA338" s="76" t="b">
        <v>0</v>
      </c>
      <c r="BB338" s="76" t="b">
        <v>1</v>
      </c>
      <c r="BC338" s="76" t="b">
        <v>1</v>
      </c>
      <c r="BD338" s="76" t="b">
        <v>0</v>
      </c>
      <c r="BE338" s="76" t="b">
        <v>0</v>
      </c>
      <c r="BF338" s="76" t="b">
        <v>0</v>
      </c>
      <c r="BG338" s="76" t="b">
        <v>0</v>
      </c>
      <c r="BH338" s="83" t="str">
        <f>HYPERLINK("https://pbs.twimg.com/profile_banners/1425837326693924874/1669927568")</f>
        <v>https://pbs.twimg.com/profile_banners/1425837326693924874/1669927568</v>
      </c>
      <c r="BI338" s="76"/>
      <c r="BJ338" s="76" t="s">
        <v>18704</v>
      </c>
      <c r="BK338" s="76" t="b">
        <v>0</v>
      </c>
      <c r="BL338" s="76"/>
      <c r="BM338" s="76" t="s">
        <v>66</v>
      </c>
      <c r="BN338" s="76" t="s">
        <v>18706</v>
      </c>
      <c r="BO338" s="83" t="str">
        <f>HYPERLINK("https://twitter.com/pauta_economica")</f>
        <v>https://twitter.com/pauta_economica</v>
      </c>
      <c r="BP338" s="2"/>
    </row>
    <row r="339" spans="1:68" x14ac:dyDescent="0.25">
      <c r="A339" s="62" t="s">
        <v>485</v>
      </c>
      <c r="B339" s="63"/>
      <c r="C339" s="63"/>
      <c r="D339" s="64"/>
      <c r="E339" s="66"/>
      <c r="F339" s="102" t="str">
        <f>HYPERLINK("https://pbs.twimg.com/profile_images/1674445920971177987/bhKLhImR_normal.png")</f>
        <v>https://pbs.twimg.com/profile_images/1674445920971177987/bhKLhImR_normal.png</v>
      </c>
      <c r="G339" s="63"/>
      <c r="H339" s="67"/>
      <c r="I339" s="68"/>
      <c r="J339" s="68"/>
      <c r="K339" s="67" t="s">
        <v>19042</v>
      </c>
      <c r="L339" s="71"/>
      <c r="M339" s="72"/>
      <c r="N339" s="72"/>
      <c r="O339" s="73"/>
      <c r="P339" s="74"/>
      <c r="Q339" s="74"/>
      <c r="R339" s="86"/>
      <c r="S339" s="86"/>
      <c r="T339" s="86"/>
      <c r="U339" s="86"/>
      <c r="V339" s="48"/>
      <c r="W339" s="48"/>
      <c r="X339" s="48"/>
      <c r="Y339" s="48"/>
      <c r="Z339" s="47"/>
      <c r="AA339" s="69">
        <v>339</v>
      </c>
      <c r="AB339" s="69"/>
      <c r="AC339" s="70"/>
      <c r="AD339" s="76" t="s">
        <v>16768</v>
      </c>
      <c r="AE339" s="81" t="s">
        <v>16257</v>
      </c>
      <c r="AF339" s="76">
        <v>26</v>
      </c>
      <c r="AG339" s="76">
        <v>1</v>
      </c>
      <c r="AH339" s="76">
        <v>758</v>
      </c>
      <c r="AI339" s="76">
        <v>0</v>
      </c>
      <c r="AJ339" s="76">
        <v>3</v>
      </c>
      <c r="AK339" s="76">
        <v>528</v>
      </c>
      <c r="AL339" s="76" t="b">
        <v>0</v>
      </c>
      <c r="AM339" s="78">
        <v>45106.661736111113</v>
      </c>
      <c r="AN339" s="76" t="s">
        <v>17534</v>
      </c>
      <c r="AO339" s="76" t="s">
        <v>17949</v>
      </c>
      <c r="AP339" s="83" t="str">
        <f>HYPERLINK("https://t.co/PzPTEa8V1K")</f>
        <v>https://t.co/PzPTEa8V1K</v>
      </c>
      <c r="AQ339" s="83" t="str">
        <f>HYPERLINK("https://linktr.ee/fpmarketslatam")</f>
        <v>https://linktr.ee/fpmarketslatam</v>
      </c>
      <c r="AR339" s="76" t="s">
        <v>18436</v>
      </c>
      <c r="AS339" s="76"/>
      <c r="AT339" s="76"/>
      <c r="AU339" s="76"/>
      <c r="AV339" s="76"/>
      <c r="AW339" s="83" t="str">
        <f>HYPERLINK("https://t.co/PzPTEa8V1K")</f>
        <v>https://t.co/PzPTEa8V1K</v>
      </c>
      <c r="AX339" s="76" t="b">
        <v>0</v>
      </c>
      <c r="AY339" s="76"/>
      <c r="AZ339" s="76"/>
      <c r="BA339" s="76" t="b">
        <v>0</v>
      </c>
      <c r="BB339" s="76" t="b">
        <v>1</v>
      </c>
      <c r="BC339" s="76" t="b">
        <v>1</v>
      </c>
      <c r="BD339" s="76" t="b">
        <v>0</v>
      </c>
      <c r="BE339" s="76" t="b">
        <v>0</v>
      </c>
      <c r="BF339" s="76" t="b">
        <v>0</v>
      </c>
      <c r="BG339" s="76" t="b">
        <v>0</v>
      </c>
      <c r="BH339" s="83" t="str">
        <f>HYPERLINK("https://pbs.twimg.com/profile_banners/1674445693207945219/1688385933")</f>
        <v>https://pbs.twimg.com/profile_banners/1674445693207945219/1688385933</v>
      </c>
      <c r="BI339" s="76"/>
      <c r="BJ339" s="76" t="s">
        <v>18704</v>
      </c>
      <c r="BK339" s="76" t="b">
        <v>0</v>
      </c>
      <c r="BL339" s="76"/>
      <c r="BM339" s="76" t="s">
        <v>66</v>
      </c>
      <c r="BN339" s="76" t="s">
        <v>18706</v>
      </c>
      <c r="BO339" s="83" t="str">
        <f>HYPERLINK("https://twitter.com/fpmarkets_latam")</f>
        <v>https://twitter.com/fpmarkets_latam</v>
      </c>
      <c r="BP339" s="2"/>
    </row>
    <row r="340" spans="1:68" x14ac:dyDescent="0.25">
      <c r="A340" s="62" t="s">
        <v>486</v>
      </c>
      <c r="B340" s="63"/>
      <c r="C340" s="63"/>
      <c r="D340" s="64"/>
      <c r="E340" s="66"/>
      <c r="F340" s="102" t="str">
        <f>HYPERLINK("https://pbs.twimg.com/profile_images/1041725334431952896/uaPtkYSp_normal.jpg")</f>
        <v>https://pbs.twimg.com/profile_images/1041725334431952896/uaPtkYSp_normal.jpg</v>
      </c>
      <c r="G340" s="63"/>
      <c r="H340" s="67"/>
      <c r="I340" s="68"/>
      <c r="J340" s="68"/>
      <c r="K340" s="67" t="s">
        <v>19043</v>
      </c>
      <c r="L340" s="71"/>
      <c r="M340" s="72"/>
      <c r="N340" s="72"/>
      <c r="O340" s="73"/>
      <c r="P340" s="74"/>
      <c r="Q340" s="74"/>
      <c r="R340" s="86"/>
      <c r="S340" s="86"/>
      <c r="T340" s="86"/>
      <c r="U340" s="86"/>
      <c r="V340" s="48"/>
      <c r="W340" s="48"/>
      <c r="X340" s="48"/>
      <c r="Y340" s="48"/>
      <c r="Z340" s="47"/>
      <c r="AA340" s="69">
        <v>340</v>
      </c>
      <c r="AB340" s="69"/>
      <c r="AC340" s="70"/>
      <c r="AD340" s="76" t="s">
        <v>16769</v>
      </c>
      <c r="AE340" s="81" t="s">
        <v>16258</v>
      </c>
      <c r="AF340" s="76">
        <v>13871</v>
      </c>
      <c r="AG340" s="76">
        <v>34</v>
      </c>
      <c r="AH340" s="76">
        <v>24407</v>
      </c>
      <c r="AI340" s="76">
        <v>251</v>
      </c>
      <c r="AJ340" s="76">
        <v>409</v>
      </c>
      <c r="AK340" s="76">
        <v>5791</v>
      </c>
      <c r="AL340" s="76" t="b">
        <v>0</v>
      </c>
      <c r="AM340" s="78">
        <v>43360.684699074074</v>
      </c>
      <c r="AN340" s="76" t="s">
        <v>10586</v>
      </c>
      <c r="AO340" s="76" t="s">
        <v>17950</v>
      </c>
      <c r="AP340" s="83" t="str">
        <f>HYPERLINK("https://t.co/nXFGfCwP7j")</f>
        <v>https://t.co/nXFGfCwP7j</v>
      </c>
      <c r="AQ340" s="83" t="str">
        <f>HYPERLINK("https://www.seudinheiro.com/")</f>
        <v>https://www.seudinheiro.com/</v>
      </c>
      <c r="AR340" s="76" t="s">
        <v>6529</v>
      </c>
      <c r="AS340" s="76"/>
      <c r="AT340" s="76"/>
      <c r="AU340" s="76"/>
      <c r="AV340" s="76"/>
      <c r="AW340" s="83" t="str">
        <f>HYPERLINK("https://t.co/nXFGfCwP7j")</f>
        <v>https://t.co/nXFGfCwP7j</v>
      </c>
      <c r="AX340" s="76" t="b">
        <v>0</v>
      </c>
      <c r="AY340" s="76"/>
      <c r="AZ340" s="76"/>
      <c r="BA340" s="76" t="b">
        <v>0</v>
      </c>
      <c r="BB340" s="76" t="b">
        <v>1</v>
      </c>
      <c r="BC340" s="76" t="b">
        <v>1</v>
      </c>
      <c r="BD340" s="76" t="b">
        <v>0</v>
      </c>
      <c r="BE340" s="76" t="b">
        <v>1</v>
      </c>
      <c r="BF340" s="76" t="b">
        <v>0</v>
      </c>
      <c r="BG340" s="76" t="b">
        <v>0</v>
      </c>
      <c r="BH340" s="83" t="str">
        <f>HYPERLINK("https://pbs.twimg.com/profile_banners/1041724956839698433/1600351810")</f>
        <v>https://pbs.twimg.com/profile_banners/1041724956839698433/1600351810</v>
      </c>
      <c r="BI340" s="76"/>
      <c r="BJ340" s="76" t="s">
        <v>18704</v>
      </c>
      <c r="BK340" s="76" t="b">
        <v>0</v>
      </c>
      <c r="BL340" s="76"/>
      <c r="BM340" s="76" t="s">
        <v>66</v>
      </c>
      <c r="BN340" s="76" t="s">
        <v>18706</v>
      </c>
      <c r="BO340" s="83" t="str">
        <f>HYPERLINK("https://twitter.com/seu_dinheiro_br")</f>
        <v>https://twitter.com/seu_dinheiro_br</v>
      </c>
      <c r="BP340" s="2"/>
    </row>
    <row r="341" spans="1:68" x14ac:dyDescent="0.25">
      <c r="A341" s="62" t="s">
        <v>488</v>
      </c>
      <c r="B341" s="63"/>
      <c r="C341" s="63"/>
      <c r="D341" s="64"/>
      <c r="E341" s="66"/>
      <c r="F341" s="102" t="str">
        <f>HYPERLINK("https://pbs.twimg.com/profile_images/1172787448302198784/ResIKgO__normal.jpg")</f>
        <v>https://pbs.twimg.com/profile_images/1172787448302198784/ResIKgO__normal.jpg</v>
      </c>
      <c r="G341" s="63"/>
      <c r="H341" s="67"/>
      <c r="I341" s="68"/>
      <c r="J341" s="68"/>
      <c r="K341" s="67" t="s">
        <v>19044</v>
      </c>
      <c r="L341" s="71"/>
      <c r="M341" s="72"/>
      <c r="N341" s="72"/>
      <c r="O341" s="73"/>
      <c r="P341" s="74"/>
      <c r="Q341" s="74"/>
      <c r="R341" s="86"/>
      <c r="S341" s="86"/>
      <c r="T341" s="86"/>
      <c r="U341" s="86"/>
      <c r="V341" s="48"/>
      <c r="W341" s="48"/>
      <c r="X341" s="48"/>
      <c r="Y341" s="48"/>
      <c r="Z341" s="47"/>
      <c r="AA341" s="69">
        <v>341</v>
      </c>
      <c r="AB341" s="69"/>
      <c r="AC341" s="70"/>
      <c r="AD341" s="76" t="s">
        <v>16770</v>
      </c>
      <c r="AE341" s="81" t="s">
        <v>17237</v>
      </c>
      <c r="AF341" s="76">
        <v>395</v>
      </c>
      <c r="AG341" s="76">
        <v>725</v>
      </c>
      <c r="AH341" s="76">
        <v>8791</v>
      </c>
      <c r="AI341" s="76">
        <v>46</v>
      </c>
      <c r="AJ341" s="76">
        <v>8156</v>
      </c>
      <c r="AK341" s="76">
        <v>44</v>
      </c>
      <c r="AL341" s="76" t="b">
        <v>0</v>
      </c>
      <c r="AM341" s="78">
        <v>41263.707060185188</v>
      </c>
      <c r="AN341" s="76" t="s">
        <v>17535</v>
      </c>
      <c r="AO341" s="76" t="s">
        <v>17951</v>
      </c>
      <c r="AP341" s="83" t="str">
        <f>HYPERLINK("http://t.co/sIdiUxMVqY")</f>
        <v>http://t.co/sIdiUxMVqY</v>
      </c>
      <c r="AQ341" s="83" t="str">
        <f>HYPERLINK("http://joaquinbarquero.wordpress.com/")</f>
        <v>http://joaquinbarquero.wordpress.com/</v>
      </c>
      <c r="AR341" s="76" t="s">
        <v>18437</v>
      </c>
      <c r="AS341" s="83" t="str">
        <f>HYPERLINK("https://t.co/JtvtdWqX85")</f>
        <v>https://t.co/JtvtdWqX85</v>
      </c>
      <c r="AT341" s="83" t="str">
        <f>HYPERLINK("http://linkedin.com/in/joaquín-barquero-estevan-5bb8b75")</f>
        <v>http://linkedin.com/in/joaquín-barquero-estevan-5bb8b75</v>
      </c>
      <c r="AU341" s="76" t="s">
        <v>18677</v>
      </c>
      <c r="AV341" s="76"/>
      <c r="AW341" s="83" t="str">
        <f>HYPERLINK("http://t.co/sIdiUxMVqY")</f>
        <v>http://t.co/sIdiUxMVqY</v>
      </c>
      <c r="AX341" s="76" t="b">
        <v>0</v>
      </c>
      <c r="AY341" s="76"/>
      <c r="AZ341" s="76"/>
      <c r="BA341" s="76" t="b">
        <v>0</v>
      </c>
      <c r="BB341" s="76" t="b">
        <v>0</v>
      </c>
      <c r="BC341" s="76" t="b">
        <v>1</v>
      </c>
      <c r="BD341" s="76" t="b">
        <v>0</v>
      </c>
      <c r="BE341" s="76" t="b">
        <v>0</v>
      </c>
      <c r="BF341" s="76" t="b">
        <v>0</v>
      </c>
      <c r="BG341" s="76" t="b">
        <v>0</v>
      </c>
      <c r="BH341" s="76"/>
      <c r="BI341" s="76"/>
      <c r="BJ341" s="76" t="s">
        <v>18704</v>
      </c>
      <c r="BK341" s="76" t="b">
        <v>0</v>
      </c>
      <c r="BL341" s="76"/>
      <c r="BM341" s="76" t="s">
        <v>66</v>
      </c>
      <c r="BN341" s="76" t="s">
        <v>18706</v>
      </c>
      <c r="BO341" s="83" t="str">
        <f>HYPERLINK("https://twitter.com/amilcar22000")</f>
        <v>https://twitter.com/amilcar22000</v>
      </c>
      <c r="BP341" s="2"/>
    </row>
    <row r="342" spans="1:68" x14ac:dyDescent="0.25">
      <c r="A342" s="62" t="s">
        <v>489</v>
      </c>
      <c r="B342" s="63"/>
      <c r="C342" s="63"/>
      <c r="D342" s="64"/>
      <c r="E342" s="66"/>
      <c r="F342" s="102" t="str">
        <f>HYPERLINK("https://pbs.twimg.com/profile_images/1681764852933459969/Qahp8Y4X_normal.jpg")</f>
        <v>https://pbs.twimg.com/profile_images/1681764852933459969/Qahp8Y4X_normal.jpg</v>
      </c>
      <c r="G342" s="63"/>
      <c r="H342" s="67"/>
      <c r="I342" s="68"/>
      <c r="J342" s="68"/>
      <c r="K342" s="67" t="s">
        <v>19045</v>
      </c>
      <c r="L342" s="71"/>
      <c r="M342" s="72"/>
      <c r="N342" s="72"/>
      <c r="O342" s="73"/>
      <c r="P342" s="74"/>
      <c r="Q342" s="74"/>
      <c r="R342" s="86"/>
      <c r="S342" s="86"/>
      <c r="T342" s="86"/>
      <c r="U342" s="86"/>
      <c r="V342" s="48"/>
      <c r="W342" s="48"/>
      <c r="X342" s="48"/>
      <c r="Y342" s="48"/>
      <c r="Z342" s="47"/>
      <c r="AA342" s="69">
        <v>342</v>
      </c>
      <c r="AB342" s="69"/>
      <c r="AC342" s="70"/>
      <c r="AD342" s="76" t="s">
        <v>16771</v>
      </c>
      <c r="AE342" s="81" t="s">
        <v>17238</v>
      </c>
      <c r="AF342" s="76">
        <v>1608</v>
      </c>
      <c r="AG342" s="76">
        <v>1509</v>
      </c>
      <c r="AH342" s="76">
        <v>4324</v>
      </c>
      <c r="AI342" s="76">
        <v>13</v>
      </c>
      <c r="AJ342" s="76">
        <v>1405</v>
      </c>
      <c r="AK342" s="76">
        <v>784</v>
      </c>
      <c r="AL342" s="76" t="b">
        <v>0</v>
      </c>
      <c r="AM342" s="78">
        <v>40488.505798611113</v>
      </c>
      <c r="AN342" s="76" t="s">
        <v>17460</v>
      </c>
      <c r="AO342" s="76" t="s">
        <v>17952</v>
      </c>
      <c r="AP342" s="83" t="str">
        <f>HYPERLINK("https://t.co/ccNm7kotZt")</f>
        <v>https://t.co/ccNm7kotZt</v>
      </c>
      <c r="AQ342" s="83" t="str">
        <f>HYPERLINK("http://armandopoliticaspublicas.blogspot.com.co")</f>
        <v>http://armandopoliticaspublicas.blogspot.com.co</v>
      </c>
      <c r="AR342" s="76" t="s">
        <v>18438</v>
      </c>
      <c r="AS342" s="76"/>
      <c r="AT342" s="76"/>
      <c r="AU342" s="76"/>
      <c r="AV342" s="76"/>
      <c r="AW342" s="83" t="str">
        <f>HYPERLINK("https://t.co/ccNm7kotZt")</f>
        <v>https://t.co/ccNm7kotZt</v>
      </c>
      <c r="AX342" s="76" t="b">
        <v>0</v>
      </c>
      <c r="AY342" s="76"/>
      <c r="AZ342" s="76"/>
      <c r="BA342" s="76" t="b">
        <v>0</v>
      </c>
      <c r="BB342" s="76" t="b">
        <v>0</v>
      </c>
      <c r="BC342" s="76" t="b">
        <v>0</v>
      </c>
      <c r="BD342" s="76" t="b">
        <v>0</v>
      </c>
      <c r="BE342" s="76" t="b">
        <v>1</v>
      </c>
      <c r="BF342" s="76" t="b">
        <v>0</v>
      </c>
      <c r="BG342" s="76" t="b">
        <v>0</v>
      </c>
      <c r="BH342" s="83" t="str">
        <f>HYPERLINK("https://pbs.twimg.com/profile_banners/212554498/1689798239")</f>
        <v>https://pbs.twimg.com/profile_banners/212554498/1689798239</v>
      </c>
      <c r="BI342" s="76"/>
      <c r="BJ342" s="76" t="s">
        <v>18704</v>
      </c>
      <c r="BK342" s="76" t="b">
        <v>0</v>
      </c>
      <c r="BL342" s="76"/>
      <c r="BM342" s="76" t="s">
        <v>66</v>
      </c>
      <c r="BN342" s="76" t="s">
        <v>18706</v>
      </c>
      <c r="BO342" s="83" t="str">
        <f>HYPERLINK("https://twitter.com/armandoardilad")</f>
        <v>https://twitter.com/armandoardilad</v>
      </c>
      <c r="BP342" s="2"/>
    </row>
    <row r="343" spans="1:68" x14ac:dyDescent="0.25">
      <c r="A343" s="62" t="s">
        <v>490</v>
      </c>
      <c r="B343" s="63"/>
      <c r="C343" s="63"/>
      <c r="D343" s="64"/>
      <c r="E343" s="66"/>
      <c r="F343" s="102" t="str">
        <f>HYPERLINK("https://pbs.twimg.com/profile_images/1414652647987089411/5QcaUzP8_normal.jpg")</f>
        <v>https://pbs.twimg.com/profile_images/1414652647987089411/5QcaUzP8_normal.jpg</v>
      </c>
      <c r="G343" s="63"/>
      <c r="H343" s="67"/>
      <c r="I343" s="68"/>
      <c r="J343" s="68"/>
      <c r="K343" s="67" t="s">
        <v>19046</v>
      </c>
      <c r="L343" s="71"/>
      <c r="M343" s="72"/>
      <c r="N343" s="72"/>
      <c r="O343" s="73"/>
      <c r="P343" s="74"/>
      <c r="Q343" s="74"/>
      <c r="R343" s="86"/>
      <c r="S343" s="86"/>
      <c r="T343" s="86"/>
      <c r="U343" s="86"/>
      <c r="V343" s="48"/>
      <c r="W343" s="48"/>
      <c r="X343" s="48"/>
      <c r="Y343" s="48"/>
      <c r="Z343" s="47"/>
      <c r="AA343" s="69">
        <v>343</v>
      </c>
      <c r="AB343" s="69"/>
      <c r="AC343" s="70"/>
      <c r="AD343" s="76" t="s">
        <v>16772</v>
      </c>
      <c r="AE343" s="81" t="s">
        <v>16259</v>
      </c>
      <c r="AF343" s="76">
        <v>67</v>
      </c>
      <c r="AG343" s="76">
        <v>46</v>
      </c>
      <c r="AH343" s="76">
        <v>450</v>
      </c>
      <c r="AI343" s="76">
        <v>1</v>
      </c>
      <c r="AJ343" s="76">
        <v>184</v>
      </c>
      <c r="AK343" s="76">
        <v>23</v>
      </c>
      <c r="AL343" s="76" t="b">
        <v>0</v>
      </c>
      <c r="AM343" s="78">
        <v>43872.026226851849</v>
      </c>
      <c r="AN343" s="76" t="s">
        <v>17536</v>
      </c>
      <c r="AO343" s="76" t="s">
        <v>17953</v>
      </c>
      <c r="AP343" s="83" t="str">
        <f>HYPERLINK("https://t.co/YolZZqTePX")</f>
        <v>https://t.co/YolZZqTePX</v>
      </c>
      <c r="AQ343" s="83" t="str">
        <f>HYPERLINK("https://instagram.com/vitinhopreto?utm_medium=copy_link")</f>
        <v>https://instagram.com/vitinhopreto?utm_medium=copy_link</v>
      </c>
      <c r="AR343" s="76" t="s">
        <v>18439</v>
      </c>
      <c r="AS343" s="76"/>
      <c r="AT343" s="76"/>
      <c r="AU343" s="76"/>
      <c r="AV343" s="76"/>
      <c r="AW343" s="83" t="str">
        <f>HYPERLINK("https://t.co/YolZZqTePX")</f>
        <v>https://t.co/YolZZqTePX</v>
      </c>
      <c r="AX343" s="76" t="b">
        <v>1</v>
      </c>
      <c r="AY343" s="76"/>
      <c r="AZ343" s="76"/>
      <c r="BA343" s="76" t="b">
        <v>0</v>
      </c>
      <c r="BB343" s="76" t="b">
        <v>1</v>
      </c>
      <c r="BC343" s="76" t="b">
        <v>1</v>
      </c>
      <c r="BD343" s="76" t="b">
        <v>0</v>
      </c>
      <c r="BE343" s="76" t="b">
        <v>0</v>
      </c>
      <c r="BF343" s="76" t="b">
        <v>0</v>
      </c>
      <c r="BG343" s="76" t="b">
        <v>0</v>
      </c>
      <c r="BH343" s="76"/>
      <c r="BI343" s="76"/>
      <c r="BJ343" s="76" t="s">
        <v>18704</v>
      </c>
      <c r="BK343" s="76" t="b">
        <v>0</v>
      </c>
      <c r="BL343" s="76"/>
      <c r="BM343" s="76" t="s">
        <v>66</v>
      </c>
      <c r="BN343" s="76" t="s">
        <v>18706</v>
      </c>
      <c r="BO343" s="83" t="str">
        <f>HYPERLINK("https://twitter.com/vitinhopretouk")</f>
        <v>https://twitter.com/vitinhopretouk</v>
      </c>
      <c r="BP343" s="2"/>
    </row>
    <row r="344" spans="1:68" x14ac:dyDescent="0.25">
      <c r="A344" s="62" t="s">
        <v>491</v>
      </c>
      <c r="B344" s="63"/>
      <c r="C344" s="63"/>
      <c r="D344" s="64"/>
      <c r="E344" s="66"/>
      <c r="F344" s="102" t="str">
        <f>HYPERLINK("https://pbs.twimg.com/profile_images/1706293108801929216/5FXK0PKJ_normal.jpg")</f>
        <v>https://pbs.twimg.com/profile_images/1706293108801929216/5FXK0PKJ_normal.jpg</v>
      </c>
      <c r="G344" s="63"/>
      <c r="H344" s="67"/>
      <c r="I344" s="68"/>
      <c r="J344" s="68"/>
      <c r="K344" s="67" t="s">
        <v>19047</v>
      </c>
      <c r="L344" s="71"/>
      <c r="M344" s="72"/>
      <c r="N344" s="72"/>
      <c r="O344" s="73"/>
      <c r="P344" s="74"/>
      <c r="Q344" s="74"/>
      <c r="R344" s="86"/>
      <c r="S344" s="86"/>
      <c r="T344" s="86"/>
      <c r="U344" s="86"/>
      <c r="V344" s="48"/>
      <c r="W344" s="48"/>
      <c r="X344" s="48"/>
      <c r="Y344" s="48"/>
      <c r="Z344" s="47"/>
      <c r="AA344" s="69">
        <v>344</v>
      </c>
      <c r="AB344" s="69"/>
      <c r="AC344" s="70"/>
      <c r="AD344" s="76" t="s">
        <v>16773</v>
      </c>
      <c r="AE344" s="81" t="s">
        <v>16260</v>
      </c>
      <c r="AF344" s="76">
        <v>42</v>
      </c>
      <c r="AG344" s="76">
        <v>172</v>
      </c>
      <c r="AH344" s="76">
        <v>197</v>
      </c>
      <c r="AI344" s="76">
        <v>0</v>
      </c>
      <c r="AJ344" s="76">
        <v>176</v>
      </c>
      <c r="AK344" s="76">
        <v>1</v>
      </c>
      <c r="AL344" s="76" t="b">
        <v>0</v>
      </c>
      <c r="AM344" s="78">
        <v>45132.182210648149</v>
      </c>
      <c r="AN344" s="76"/>
      <c r="AO344" s="76"/>
      <c r="AP344" s="76"/>
      <c r="AQ344" s="76"/>
      <c r="AR344" s="76"/>
      <c r="AS344" s="76"/>
      <c r="AT344" s="76"/>
      <c r="AU344" s="76"/>
      <c r="AV344" s="76"/>
      <c r="AW344" s="76"/>
      <c r="AX344" s="76" t="b">
        <v>0</v>
      </c>
      <c r="AY344" s="76"/>
      <c r="AZ344" s="76"/>
      <c r="BA344" s="76" t="b">
        <v>0</v>
      </c>
      <c r="BB344" s="76" t="b">
        <v>1</v>
      </c>
      <c r="BC344" s="76" t="b">
        <v>1</v>
      </c>
      <c r="BD344" s="76" t="b">
        <v>0</v>
      </c>
      <c r="BE344" s="76" t="b">
        <v>0</v>
      </c>
      <c r="BF344" s="76" t="b">
        <v>0</v>
      </c>
      <c r="BG344" s="76" t="b">
        <v>0</v>
      </c>
      <c r="BH344" s="83" t="str">
        <f>HYPERLINK("https://pbs.twimg.com/profile_banners/1683694113613291520/1695647205")</f>
        <v>https://pbs.twimg.com/profile_banners/1683694113613291520/1695647205</v>
      </c>
      <c r="BI344" s="76"/>
      <c r="BJ344" s="76" t="s">
        <v>18704</v>
      </c>
      <c r="BK344" s="76" t="b">
        <v>0</v>
      </c>
      <c r="BL344" s="76"/>
      <c r="BM344" s="76" t="s">
        <v>66</v>
      </c>
      <c r="BN344" s="76" t="s">
        <v>18706</v>
      </c>
      <c r="BO344" s="83" t="str">
        <f>HYPERLINK("https://twitter.com/kasun8564245679")</f>
        <v>https://twitter.com/kasun8564245679</v>
      </c>
      <c r="BP344" s="2"/>
    </row>
    <row r="345" spans="1:68" x14ac:dyDescent="0.25">
      <c r="A345" s="62" t="s">
        <v>492</v>
      </c>
      <c r="B345" s="63"/>
      <c r="C345" s="63"/>
      <c r="D345" s="64"/>
      <c r="E345" s="66"/>
      <c r="F345" s="102" t="str">
        <f>HYPERLINK("https://pbs.twimg.com/profile_images/1707371642135957504/WWiIJNyA_normal.jpg")</f>
        <v>https://pbs.twimg.com/profile_images/1707371642135957504/WWiIJNyA_normal.jpg</v>
      </c>
      <c r="G345" s="63"/>
      <c r="H345" s="67"/>
      <c r="I345" s="68"/>
      <c r="J345" s="68"/>
      <c r="K345" s="67" t="s">
        <v>19048</v>
      </c>
      <c r="L345" s="71"/>
      <c r="M345" s="72"/>
      <c r="N345" s="72"/>
      <c r="O345" s="73"/>
      <c r="P345" s="74"/>
      <c r="Q345" s="74"/>
      <c r="R345" s="86"/>
      <c r="S345" s="86"/>
      <c r="T345" s="86"/>
      <c r="U345" s="86"/>
      <c r="V345" s="48"/>
      <c r="W345" s="48"/>
      <c r="X345" s="48"/>
      <c r="Y345" s="48"/>
      <c r="Z345" s="47"/>
      <c r="AA345" s="69">
        <v>345</v>
      </c>
      <c r="AB345" s="69"/>
      <c r="AC345" s="70"/>
      <c r="AD345" s="76" t="s">
        <v>16774</v>
      </c>
      <c r="AE345" s="81" t="s">
        <v>16261</v>
      </c>
      <c r="AF345" s="76">
        <v>6</v>
      </c>
      <c r="AG345" s="76">
        <v>3</v>
      </c>
      <c r="AH345" s="76">
        <v>27</v>
      </c>
      <c r="AI345" s="76">
        <v>0</v>
      </c>
      <c r="AJ345" s="76">
        <v>34</v>
      </c>
      <c r="AK345" s="76">
        <v>24</v>
      </c>
      <c r="AL345" s="76" t="b">
        <v>0</v>
      </c>
      <c r="AM345" s="78">
        <v>44763.511562500003</v>
      </c>
      <c r="AN345" s="76" t="s">
        <v>10570</v>
      </c>
      <c r="AO345" s="76" t="s">
        <v>17954</v>
      </c>
      <c r="AP345" s="76"/>
      <c r="AQ345" s="76"/>
      <c r="AR345" s="76"/>
      <c r="AS345" s="76"/>
      <c r="AT345" s="76"/>
      <c r="AU345" s="76"/>
      <c r="AV345" s="76"/>
      <c r="AW345" s="76"/>
      <c r="AX345" s="76" t="b">
        <v>0</v>
      </c>
      <c r="AY345" s="76"/>
      <c r="AZ345" s="76"/>
      <c r="BA345" s="76" t="b">
        <v>0</v>
      </c>
      <c r="BB345" s="76" t="b">
        <v>1</v>
      </c>
      <c r="BC345" s="76" t="b">
        <v>1</v>
      </c>
      <c r="BD345" s="76" t="b">
        <v>0</v>
      </c>
      <c r="BE345" s="76" t="b">
        <v>0</v>
      </c>
      <c r="BF345" s="76" t="b">
        <v>0</v>
      </c>
      <c r="BG345" s="76" t="b">
        <v>0</v>
      </c>
      <c r="BH345" s="83" t="str">
        <f>HYPERLINK("https://pbs.twimg.com/profile_banners/1550092327284252672/1693529939")</f>
        <v>https://pbs.twimg.com/profile_banners/1550092327284252672/1693529939</v>
      </c>
      <c r="BI345" s="76"/>
      <c r="BJ345" s="76" t="s">
        <v>18704</v>
      </c>
      <c r="BK345" s="76" t="b">
        <v>0</v>
      </c>
      <c r="BL345" s="76"/>
      <c r="BM345" s="76" t="s">
        <v>66</v>
      </c>
      <c r="BN345" s="76" t="s">
        <v>18706</v>
      </c>
      <c r="BO345" s="83" t="str">
        <f>HYPERLINK("https://twitter.com/raphael_tesla")</f>
        <v>https://twitter.com/raphael_tesla</v>
      </c>
      <c r="BP345" s="2"/>
    </row>
    <row r="346" spans="1:68" x14ac:dyDescent="0.25">
      <c r="A346" s="62" t="s">
        <v>493</v>
      </c>
      <c r="B346" s="63"/>
      <c r="C346" s="63"/>
      <c r="D346" s="64"/>
      <c r="E346" s="66"/>
      <c r="F346" s="102" t="str">
        <f>HYPERLINK("https://pbs.twimg.com/profile_images/1601700871254974464/VZF7ah_o_normal.jpg")</f>
        <v>https://pbs.twimg.com/profile_images/1601700871254974464/VZF7ah_o_normal.jpg</v>
      </c>
      <c r="G346" s="63"/>
      <c r="H346" s="67"/>
      <c r="I346" s="68"/>
      <c r="J346" s="68"/>
      <c r="K346" s="67" t="s">
        <v>19049</v>
      </c>
      <c r="L346" s="71"/>
      <c r="M346" s="72"/>
      <c r="N346" s="72"/>
      <c r="O346" s="73"/>
      <c r="P346" s="74"/>
      <c r="Q346" s="74"/>
      <c r="R346" s="86"/>
      <c r="S346" s="86"/>
      <c r="T346" s="86"/>
      <c r="U346" s="86"/>
      <c r="V346" s="48"/>
      <c r="W346" s="48"/>
      <c r="X346" s="48"/>
      <c r="Y346" s="48"/>
      <c r="Z346" s="47"/>
      <c r="AA346" s="69">
        <v>346</v>
      </c>
      <c r="AB346" s="69"/>
      <c r="AC346" s="70"/>
      <c r="AD346" s="76" t="s">
        <v>16775</v>
      </c>
      <c r="AE346" s="81" t="s">
        <v>17239</v>
      </c>
      <c r="AF346" s="76">
        <v>857</v>
      </c>
      <c r="AG346" s="76">
        <v>817</v>
      </c>
      <c r="AH346" s="76">
        <v>23729</v>
      </c>
      <c r="AI346" s="76">
        <v>5</v>
      </c>
      <c r="AJ346" s="76">
        <v>42325</v>
      </c>
      <c r="AK346" s="76">
        <v>3071</v>
      </c>
      <c r="AL346" s="76" t="b">
        <v>0</v>
      </c>
      <c r="AM346" s="78">
        <v>40342.153032407405</v>
      </c>
      <c r="AN346" s="76" t="s">
        <v>17537</v>
      </c>
      <c r="AO346" s="76" t="s">
        <v>17955</v>
      </c>
      <c r="AP346" s="83" t="str">
        <f>HYPERLINK("https://t.co/oFuvMWlr7J")</f>
        <v>https://t.co/oFuvMWlr7J</v>
      </c>
      <c r="AQ346" s="83" t="str">
        <f>HYPERLINK("https://scholar.google.es/citations?hl=es&amp;user=jN1MxboAAAAJ")</f>
        <v>https://scholar.google.es/citations?hl=es&amp;user=jN1MxboAAAAJ</v>
      </c>
      <c r="AR346" s="76" t="s">
        <v>18440</v>
      </c>
      <c r="AS346" s="76"/>
      <c r="AT346" s="76"/>
      <c r="AU346" s="76"/>
      <c r="AV346" s="76">
        <v>1.6623055198375099E+18</v>
      </c>
      <c r="AW346" s="83" t="str">
        <f>HYPERLINK("https://t.co/oFuvMWlr7J")</f>
        <v>https://t.co/oFuvMWlr7J</v>
      </c>
      <c r="AX346" s="76" t="b">
        <v>0</v>
      </c>
      <c r="AY346" s="76"/>
      <c r="AZ346" s="76"/>
      <c r="BA346" s="76" t="b">
        <v>1</v>
      </c>
      <c r="BB346" s="76" t="b">
        <v>0</v>
      </c>
      <c r="BC346" s="76" t="b">
        <v>0</v>
      </c>
      <c r="BD346" s="76" t="b">
        <v>0</v>
      </c>
      <c r="BE346" s="76" t="b">
        <v>1</v>
      </c>
      <c r="BF346" s="76" t="b">
        <v>0</v>
      </c>
      <c r="BG346" s="76" t="b">
        <v>0</v>
      </c>
      <c r="BH346" s="83" t="str">
        <f>HYPERLINK("https://pbs.twimg.com/profile_banners/155100813/1685160825")</f>
        <v>https://pbs.twimg.com/profile_banners/155100813/1685160825</v>
      </c>
      <c r="BI346" s="76"/>
      <c r="BJ346" s="76" t="s">
        <v>18704</v>
      </c>
      <c r="BK346" s="76" t="b">
        <v>0</v>
      </c>
      <c r="BL346" s="76"/>
      <c r="BM346" s="76" t="s">
        <v>66</v>
      </c>
      <c r="BN346" s="76" t="s">
        <v>18706</v>
      </c>
      <c r="BO346" s="83" t="str">
        <f>HYPERLINK("https://twitter.com/tomasrodri")</f>
        <v>https://twitter.com/tomasrodri</v>
      </c>
      <c r="BP346" s="2"/>
    </row>
    <row r="347" spans="1:68" x14ac:dyDescent="0.25">
      <c r="A347" s="62" t="s">
        <v>805</v>
      </c>
      <c r="B347" s="63"/>
      <c r="C347" s="63"/>
      <c r="D347" s="64"/>
      <c r="E347" s="66"/>
      <c r="F347" s="102" t="str">
        <f>HYPERLINK("https://pbs.twimg.com/profile_images/1544036483023118337/DfvV1YP-_normal.jpg")</f>
        <v>https://pbs.twimg.com/profile_images/1544036483023118337/DfvV1YP-_normal.jpg</v>
      </c>
      <c r="G347" s="63"/>
      <c r="H347" s="67"/>
      <c r="I347" s="68"/>
      <c r="J347" s="68"/>
      <c r="K347" s="67" t="s">
        <v>19050</v>
      </c>
      <c r="L347" s="71"/>
      <c r="M347" s="72"/>
      <c r="N347" s="72"/>
      <c r="O347" s="73"/>
      <c r="P347" s="74"/>
      <c r="Q347" s="74"/>
      <c r="R347" s="86"/>
      <c r="S347" s="86"/>
      <c r="T347" s="86"/>
      <c r="U347" s="86"/>
      <c r="V347" s="48"/>
      <c r="W347" s="48"/>
      <c r="X347" s="48"/>
      <c r="Y347" s="48"/>
      <c r="Z347" s="47"/>
      <c r="AA347" s="69">
        <v>347</v>
      </c>
      <c r="AB347" s="69"/>
      <c r="AC347" s="70"/>
      <c r="AD347" s="76" t="s">
        <v>16776</v>
      </c>
      <c r="AE347" s="81" t="s">
        <v>15949</v>
      </c>
      <c r="AF347" s="76">
        <v>3922849</v>
      </c>
      <c r="AG347" s="76">
        <v>23</v>
      </c>
      <c r="AH347" s="76">
        <v>108684</v>
      </c>
      <c r="AI347" s="76">
        <v>7822</v>
      </c>
      <c r="AJ347" s="76">
        <v>953</v>
      </c>
      <c r="AK347" s="76">
        <v>8804</v>
      </c>
      <c r="AL347" s="76" t="b">
        <v>0</v>
      </c>
      <c r="AM347" s="78">
        <v>40480.941354166665</v>
      </c>
      <c r="AN347" s="76" t="s">
        <v>17499</v>
      </c>
      <c r="AO347" s="76" t="s">
        <v>17956</v>
      </c>
      <c r="AP347" s="83" t="str">
        <f>HYPERLINK("https://t.co/mBQPUVReq8")</f>
        <v>https://t.co/mBQPUVReq8</v>
      </c>
      <c r="AQ347" s="83" t="str">
        <f>HYPERLINK("https://economiaenbicicleta.com/")</f>
        <v>https://economiaenbicicleta.com/</v>
      </c>
      <c r="AR347" s="76" t="s">
        <v>18441</v>
      </c>
      <c r="AS347" s="76"/>
      <c r="AT347" s="76"/>
      <c r="AU347" s="76"/>
      <c r="AV347" s="76">
        <v>1.5438650034381199E+18</v>
      </c>
      <c r="AW347" s="83" t="str">
        <f>HYPERLINK("https://t.co/mBQPUVReq8")</f>
        <v>https://t.co/mBQPUVReq8</v>
      </c>
      <c r="AX347" s="76" t="b">
        <v>1</v>
      </c>
      <c r="AY347" s="76"/>
      <c r="AZ347" s="76"/>
      <c r="BA347" s="76" t="b">
        <v>0</v>
      </c>
      <c r="BB347" s="76" t="b">
        <v>0</v>
      </c>
      <c r="BC347" s="76" t="b">
        <v>0</v>
      </c>
      <c r="BD347" s="76" t="b">
        <v>0</v>
      </c>
      <c r="BE347" s="76" t="b">
        <v>1</v>
      </c>
      <c r="BF347" s="76" t="b">
        <v>0</v>
      </c>
      <c r="BG347" s="76" t="b">
        <v>0</v>
      </c>
      <c r="BH347" s="83" t="str">
        <f>HYPERLINK("https://pbs.twimg.com/profile_banners/209780362/1618793548")</f>
        <v>https://pbs.twimg.com/profile_banners/209780362/1618793548</v>
      </c>
      <c r="BI347" s="76"/>
      <c r="BJ347" s="76" t="s">
        <v>18704</v>
      </c>
      <c r="BK347" s="76" t="b">
        <v>0</v>
      </c>
      <c r="BL347" s="76"/>
      <c r="BM347" s="76" t="s">
        <v>65</v>
      </c>
      <c r="BN347" s="76" t="s">
        <v>18706</v>
      </c>
      <c r="BO347" s="83" t="str">
        <f>HYPERLINK("https://twitter.com/mashirafael")</f>
        <v>https://twitter.com/mashirafael</v>
      </c>
      <c r="BP347" s="2"/>
    </row>
    <row r="348" spans="1:68" x14ac:dyDescent="0.25">
      <c r="A348" s="62" t="s">
        <v>494</v>
      </c>
      <c r="B348" s="63"/>
      <c r="C348" s="63"/>
      <c r="D348" s="64"/>
      <c r="E348" s="66"/>
      <c r="F348" s="102" t="str">
        <f>HYPERLINK("https://pbs.twimg.com/profile_images/1064206430490775552/IL6fF021_normal.jpg")</f>
        <v>https://pbs.twimg.com/profile_images/1064206430490775552/IL6fF021_normal.jpg</v>
      </c>
      <c r="G348" s="63"/>
      <c r="H348" s="67"/>
      <c r="I348" s="68"/>
      <c r="J348" s="68"/>
      <c r="K348" s="67" t="s">
        <v>19051</v>
      </c>
      <c r="L348" s="71"/>
      <c r="M348" s="72"/>
      <c r="N348" s="72"/>
      <c r="O348" s="73"/>
      <c r="P348" s="74"/>
      <c r="Q348" s="74"/>
      <c r="R348" s="86"/>
      <c r="S348" s="86"/>
      <c r="T348" s="86"/>
      <c r="U348" s="86"/>
      <c r="V348" s="48"/>
      <c r="W348" s="48"/>
      <c r="X348" s="48"/>
      <c r="Y348" s="48"/>
      <c r="Z348" s="47"/>
      <c r="AA348" s="69">
        <v>348</v>
      </c>
      <c r="AB348" s="69"/>
      <c r="AC348" s="70"/>
      <c r="AD348" s="76" t="s">
        <v>16777</v>
      </c>
      <c r="AE348" s="81" t="s">
        <v>16262</v>
      </c>
      <c r="AF348" s="76">
        <v>2944</v>
      </c>
      <c r="AG348" s="76">
        <v>2514</v>
      </c>
      <c r="AH348" s="76">
        <v>443472</v>
      </c>
      <c r="AI348" s="76">
        <v>2</v>
      </c>
      <c r="AJ348" s="76">
        <v>497412</v>
      </c>
      <c r="AK348" s="76">
        <v>27</v>
      </c>
      <c r="AL348" s="76" t="b">
        <v>0</v>
      </c>
      <c r="AM348" s="78">
        <v>43422.709930555553</v>
      </c>
      <c r="AN348" s="76" t="s">
        <v>17538</v>
      </c>
      <c r="AO348" s="76" t="s">
        <v>17957</v>
      </c>
      <c r="AP348" s="76"/>
      <c r="AQ348" s="76"/>
      <c r="AR348" s="76"/>
      <c r="AS348" s="76"/>
      <c r="AT348" s="76"/>
      <c r="AU348" s="76"/>
      <c r="AV348" s="76"/>
      <c r="AW348" s="76"/>
      <c r="AX348" s="76" t="b">
        <v>0</v>
      </c>
      <c r="AY348" s="76"/>
      <c r="AZ348" s="76"/>
      <c r="BA348" s="76" t="b">
        <v>0</v>
      </c>
      <c r="BB348" s="76" t="b">
        <v>1</v>
      </c>
      <c r="BC348" s="76" t="b">
        <v>1</v>
      </c>
      <c r="BD348" s="76" t="b">
        <v>0</v>
      </c>
      <c r="BE348" s="76" t="b">
        <v>1</v>
      </c>
      <c r="BF348" s="76" t="b">
        <v>0</v>
      </c>
      <c r="BG348" s="76" t="b">
        <v>0</v>
      </c>
      <c r="BH348" s="76"/>
      <c r="BI348" s="76"/>
      <c r="BJ348" s="76" t="s">
        <v>18704</v>
      </c>
      <c r="BK348" s="76" t="b">
        <v>0</v>
      </c>
      <c r="BL348" s="76"/>
      <c r="BM348" s="76" t="s">
        <v>66</v>
      </c>
      <c r="BN348" s="76" t="s">
        <v>18706</v>
      </c>
      <c r="BO348" s="83" t="str">
        <f>HYPERLINK("https://twitter.com/barreirodr")</f>
        <v>https://twitter.com/barreirodr</v>
      </c>
      <c r="BP348" s="2"/>
    </row>
    <row r="349" spans="1:68" x14ac:dyDescent="0.25">
      <c r="A349" s="62" t="s">
        <v>495</v>
      </c>
      <c r="B349" s="63"/>
      <c r="C349" s="63"/>
      <c r="D349" s="64"/>
      <c r="E349" s="66"/>
      <c r="F349" s="102" t="str">
        <f>HYPERLINK("https://pbs.twimg.com/profile_images/1699372362133594112/k83HWIg8_normal.jpg")</f>
        <v>https://pbs.twimg.com/profile_images/1699372362133594112/k83HWIg8_normal.jpg</v>
      </c>
      <c r="G349" s="63"/>
      <c r="H349" s="67"/>
      <c r="I349" s="68"/>
      <c r="J349" s="68"/>
      <c r="K349" s="67" t="s">
        <v>19052</v>
      </c>
      <c r="L349" s="71"/>
      <c r="M349" s="72"/>
      <c r="N349" s="72"/>
      <c r="O349" s="73"/>
      <c r="P349" s="74"/>
      <c r="Q349" s="74"/>
      <c r="R349" s="86"/>
      <c r="S349" s="86"/>
      <c r="T349" s="86"/>
      <c r="U349" s="86"/>
      <c r="V349" s="48"/>
      <c r="W349" s="48"/>
      <c r="X349" s="48"/>
      <c r="Y349" s="48"/>
      <c r="Z349" s="47"/>
      <c r="AA349" s="69">
        <v>349</v>
      </c>
      <c r="AB349" s="69"/>
      <c r="AC349" s="70"/>
      <c r="AD349" s="76" t="s">
        <v>16778</v>
      </c>
      <c r="AE349" s="81" t="s">
        <v>16263</v>
      </c>
      <c r="AF349" s="76">
        <v>215</v>
      </c>
      <c r="AG349" s="76">
        <v>266</v>
      </c>
      <c r="AH349" s="76">
        <v>25</v>
      </c>
      <c r="AI349" s="76">
        <v>5</v>
      </c>
      <c r="AJ349" s="76">
        <v>5059</v>
      </c>
      <c r="AK349" s="76">
        <v>0</v>
      </c>
      <c r="AL349" s="76" t="b">
        <v>0</v>
      </c>
      <c r="AM349" s="78">
        <v>44989.822222222225</v>
      </c>
      <c r="AN349" s="76"/>
      <c r="AO349" s="76" t="s">
        <v>17958</v>
      </c>
      <c r="AP349" s="76"/>
      <c r="AQ349" s="76"/>
      <c r="AR349" s="76"/>
      <c r="AS349" s="76"/>
      <c r="AT349" s="76"/>
      <c r="AU349" s="76"/>
      <c r="AV349" s="76"/>
      <c r="AW349" s="76"/>
      <c r="AX349" s="76" t="b">
        <v>0</v>
      </c>
      <c r="AY349" s="76"/>
      <c r="AZ349" s="76"/>
      <c r="BA349" s="76" t="b">
        <v>1</v>
      </c>
      <c r="BB349" s="76" t="b">
        <v>1</v>
      </c>
      <c r="BC349" s="76" t="b">
        <v>1</v>
      </c>
      <c r="BD349" s="76" t="b">
        <v>0</v>
      </c>
      <c r="BE349" s="76" t="b">
        <v>0</v>
      </c>
      <c r="BF349" s="76" t="b">
        <v>0</v>
      </c>
      <c r="BG349" s="76" t="b">
        <v>1</v>
      </c>
      <c r="BH349" s="83" t="str">
        <f>HYPERLINK("https://pbs.twimg.com/profile_banners/1632104516484055041/1694089723")</f>
        <v>https://pbs.twimg.com/profile_banners/1632104516484055041/1694089723</v>
      </c>
      <c r="BI349" s="76" t="s">
        <v>18703</v>
      </c>
      <c r="BJ349" s="76" t="s">
        <v>18704</v>
      </c>
      <c r="BK349" s="76" t="b">
        <v>0</v>
      </c>
      <c r="BL349" s="76"/>
      <c r="BM349" s="76" t="s">
        <v>66</v>
      </c>
      <c r="BN349" s="76" t="s">
        <v>18706</v>
      </c>
      <c r="BO349" s="83" t="str">
        <f>HYPERLINK("https://twitter.com/wallst_optimist")</f>
        <v>https://twitter.com/wallst_optimist</v>
      </c>
      <c r="BP349" s="2"/>
    </row>
    <row r="350" spans="1:68" x14ac:dyDescent="0.25">
      <c r="A350" s="62" t="s">
        <v>496</v>
      </c>
      <c r="B350" s="63"/>
      <c r="C350" s="63"/>
      <c r="D350" s="64"/>
      <c r="E350" s="66"/>
      <c r="F350" s="102" t="str">
        <f>HYPERLINK("https://pbs.twimg.com/profile_images/1701311218097541120/rDP8vMkB_normal.jpg")</f>
        <v>https://pbs.twimg.com/profile_images/1701311218097541120/rDP8vMkB_normal.jpg</v>
      </c>
      <c r="G350" s="63"/>
      <c r="H350" s="67"/>
      <c r="I350" s="68"/>
      <c r="J350" s="68"/>
      <c r="K350" s="67" t="s">
        <v>19053</v>
      </c>
      <c r="L350" s="71"/>
      <c r="M350" s="72"/>
      <c r="N350" s="72"/>
      <c r="O350" s="73"/>
      <c r="P350" s="74"/>
      <c r="Q350" s="74"/>
      <c r="R350" s="86"/>
      <c r="S350" s="86"/>
      <c r="T350" s="86"/>
      <c r="U350" s="86"/>
      <c r="V350" s="48"/>
      <c r="W350" s="48"/>
      <c r="X350" s="48"/>
      <c r="Y350" s="48"/>
      <c r="Z350" s="47"/>
      <c r="AA350" s="69">
        <v>350</v>
      </c>
      <c r="AB350" s="69"/>
      <c r="AC350" s="70"/>
      <c r="AD350" s="76" t="s">
        <v>16779</v>
      </c>
      <c r="AE350" s="81" t="s">
        <v>16264</v>
      </c>
      <c r="AF350" s="76">
        <v>17</v>
      </c>
      <c r="AG350" s="76">
        <v>366</v>
      </c>
      <c r="AH350" s="76">
        <v>321</v>
      </c>
      <c r="AI350" s="76">
        <v>0</v>
      </c>
      <c r="AJ350" s="76">
        <v>115</v>
      </c>
      <c r="AK350" s="76">
        <v>0</v>
      </c>
      <c r="AL350" s="76" t="b">
        <v>0</v>
      </c>
      <c r="AM350" s="78">
        <v>44433.956203703703</v>
      </c>
      <c r="AN350" s="76"/>
      <c r="AO350" s="76"/>
      <c r="AP350" s="76"/>
      <c r="AQ350" s="76"/>
      <c r="AR350" s="76"/>
      <c r="AS350" s="76"/>
      <c r="AT350" s="76"/>
      <c r="AU350" s="76"/>
      <c r="AV350" s="76"/>
      <c r="AW350" s="76"/>
      <c r="AX350" s="76" t="b">
        <v>0</v>
      </c>
      <c r="AY350" s="76"/>
      <c r="AZ350" s="76"/>
      <c r="BA350" s="76" t="b">
        <v>0</v>
      </c>
      <c r="BB350" s="76" t="b">
        <v>1</v>
      </c>
      <c r="BC350" s="76" t="b">
        <v>1</v>
      </c>
      <c r="BD350" s="76" t="b">
        <v>0</v>
      </c>
      <c r="BE350" s="76" t="b">
        <v>0</v>
      </c>
      <c r="BF350" s="76" t="b">
        <v>0</v>
      </c>
      <c r="BG350" s="76" t="b">
        <v>0</v>
      </c>
      <c r="BH350" s="83" t="str">
        <f>HYPERLINK("https://pbs.twimg.com/profile_banners/1430665453488254979/1694459439")</f>
        <v>https://pbs.twimg.com/profile_banners/1430665453488254979/1694459439</v>
      </c>
      <c r="BI350" s="76"/>
      <c r="BJ350" s="76" t="s">
        <v>18704</v>
      </c>
      <c r="BK350" s="76" t="b">
        <v>0</v>
      </c>
      <c r="BL350" s="76"/>
      <c r="BM350" s="76" t="s">
        <v>66</v>
      </c>
      <c r="BN350" s="76" t="s">
        <v>18706</v>
      </c>
      <c r="BO350" s="83" t="str">
        <f>HYPERLINK("https://twitter.com/o_turco_")</f>
        <v>https://twitter.com/o_turco_</v>
      </c>
      <c r="BP350" s="2"/>
    </row>
    <row r="351" spans="1:68" x14ac:dyDescent="0.25">
      <c r="A351" s="62" t="s">
        <v>497</v>
      </c>
      <c r="B351" s="63"/>
      <c r="C351" s="63"/>
      <c r="D351" s="64"/>
      <c r="E351" s="66"/>
      <c r="F351" s="102" t="str">
        <f>HYPERLINK("https://pbs.twimg.com/profile_images/1628900743615840259/yPS6Rthl_normal.jpg")</f>
        <v>https://pbs.twimg.com/profile_images/1628900743615840259/yPS6Rthl_normal.jpg</v>
      </c>
      <c r="G351" s="63"/>
      <c r="H351" s="67"/>
      <c r="I351" s="68"/>
      <c r="J351" s="68"/>
      <c r="K351" s="67" t="s">
        <v>19054</v>
      </c>
      <c r="L351" s="71"/>
      <c r="M351" s="72"/>
      <c r="N351" s="72"/>
      <c r="O351" s="73"/>
      <c r="P351" s="74"/>
      <c r="Q351" s="74"/>
      <c r="R351" s="86"/>
      <c r="S351" s="86"/>
      <c r="T351" s="86"/>
      <c r="U351" s="86"/>
      <c r="V351" s="48"/>
      <c r="W351" s="48"/>
      <c r="X351" s="48"/>
      <c r="Y351" s="48"/>
      <c r="Z351" s="47"/>
      <c r="AA351" s="69">
        <v>351</v>
      </c>
      <c r="AB351" s="69"/>
      <c r="AC351" s="70"/>
      <c r="AD351" s="76" t="s">
        <v>16780</v>
      </c>
      <c r="AE351" s="81" t="s">
        <v>15950</v>
      </c>
      <c r="AF351" s="76">
        <v>16</v>
      </c>
      <c r="AG351" s="76">
        <v>125</v>
      </c>
      <c r="AH351" s="76">
        <v>487</v>
      </c>
      <c r="AI351" s="76">
        <v>0</v>
      </c>
      <c r="AJ351" s="76">
        <v>971</v>
      </c>
      <c r="AK351" s="76">
        <v>5</v>
      </c>
      <c r="AL351" s="76" t="b">
        <v>0</v>
      </c>
      <c r="AM351" s="78">
        <v>43845.722685185188</v>
      </c>
      <c r="AN351" s="76" t="s">
        <v>17446</v>
      </c>
      <c r="AO351" s="76" t="s">
        <v>17959</v>
      </c>
      <c r="AP351" s="76"/>
      <c r="AQ351" s="76"/>
      <c r="AR351" s="76"/>
      <c r="AS351" s="76"/>
      <c r="AT351" s="76"/>
      <c r="AU351" s="76"/>
      <c r="AV351" s="76"/>
      <c r="AW351" s="76"/>
      <c r="AX351" s="76" t="b">
        <v>0</v>
      </c>
      <c r="AY351" s="76"/>
      <c r="AZ351" s="76"/>
      <c r="BA351" s="76" t="b">
        <v>0</v>
      </c>
      <c r="BB351" s="76" t="b">
        <v>1</v>
      </c>
      <c r="BC351" s="76" t="b">
        <v>1</v>
      </c>
      <c r="BD351" s="76" t="b">
        <v>0</v>
      </c>
      <c r="BE351" s="76" t="b">
        <v>1</v>
      </c>
      <c r="BF351" s="76" t="b">
        <v>0</v>
      </c>
      <c r="BG351" s="76" t="b">
        <v>0</v>
      </c>
      <c r="BH351" s="76"/>
      <c r="BI351" s="76"/>
      <c r="BJ351" s="76" t="s">
        <v>18704</v>
      </c>
      <c r="BK351" s="76" t="b">
        <v>0</v>
      </c>
      <c r="BL351" s="76"/>
      <c r="BM351" s="76" t="s">
        <v>66</v>
      </c>
      <c r="BN351" s="76" t="s">
        <v>18706</v>
      </c>
      <c r="BO351" s="83" t="str">
        <f>HYPERLINK("https://twitter.com/caiorlvilar")</f>
        <v>https://twitter.com/caiorlvilar</v>
      </c>
      <c r="BP351" s="2"/>
    </row>
    <row r="352" spans="1:68" x14ac:dyDescent="0.25">
      <c r="A352" s="62" t="s">
        <v>806</v>
      </c>
      <c r="B352" s="63"/>
      <c r="C352" s="63"/>
      <c r="D352" s="64"/>
      <c r="E352" s="66"/>
      <c r="F352" s="102" t="str">
        <f>HYPERLINK("https://pbs.twimg.com/profile_images/1564597686053003264/a4rw-9uB_normal.jpg")</f>
        <v>https://pbs.twimg.com/profile_images/1564597686053003264/a4rw-9uB_normal.jpg</v>
      </c>
      <c r="G352" s="63"/>
      <c r="H352" s="67"/>
      <c r="I352" s="68"/>
      <c r="J352" s="68"/>
      <c r="K352" s="67" t="s">
        <v>19055</v>
      </c>
      <c r="L352" s="71"/>
      <c r="M352" s="72"/>
      <c r="N352" s="72"/>
      <c r="O352" s="73"/>
      <c r="P352" s="74"/>
      <c r="Q352" s="74"/>
      <c r="R352" s="86"/>
      <c r="S352" s="86"/>
      <c r="T352" s="86"/>
      <c r="U352" s="86"/>
      <c r="V352" s="48"/>
      <c r="W352" s="48"/>
      <c r="X352" s="48"/>
      <c r="Y352" s="48"/>
      <c r="Z352" s="47"/>
      <c r="AA352" s="69">
        <v>352</v>
      </c>
      <c r="AB352" s="69"/>
      <c r="AC352" s="70"/>
      <c r="AD352" s="76" t="s">
        <v>16781</v>
      </c>
      <c r="AE352" s="81" t="s">
        <v>17240</v>
      </c>
      <c r="AF352" s="76">
        <v>13023</v>
      </c>
      <c r="AG352" s="76">
        <v>845</v>
      </c>
      <c r="AH352" s="76">
        <v>14336</v>
      </c>
      <c r="AI352" s="76">
        <v>231</v>
      </c>
      <c r="AJ352" s="76">
        <v>45846</v>
      </c>
      <c r="AK352" s="76">
        <v>2302</v>
      </c>
      <c r="AL352" s="76" t="b">
        <v>0</v>
      </c>
      <c r="AM352" s="78">
        <v>40475.992037037038</v>
      </c>
      <c r="AN352" s="76"/>
      <c r="AO352" s="76" t="s">
        <v>17960</v>
      </c>
      <c r="AP352" s="83" t="str">
        <f>HYPERLINK("https://t.co/MYpV4SaRSL")</f>
        <v>https://t.co/MYpV4SaRSL</v>
      </c>
      <c r="AQ352" s="83" t="str">
        <f>HYPERLINK("https://macroconvexity.substack.com/")</f>
        <v>https://macroconvexity.substack.com/</v>
      </c>
      <c r="AR352" s="76" t="s">
        <v>18442</v>
      </c>
      <c r="AS352" s="76"/>
      <c r="AT352" s="76"/>
      <c r="AU352" s="76"/>
      <c r="AV352" s="76">
        <v>1.2911441173894899E+18</v>
      </c>
      <c r="AW352" s="83" t="str">
        <f>HYPERLINK("https://t.co/MYpV4SaRSL")</f>
        <v>https://t.co/MYpV4SaRSL</v>
      </c>
      <c r="AX352" s="76" t="b">
        <v>1</v>
      </c>
      <c r="AY352" s="76"/>
      <c r="AZ352" s="76"/>
      <c r="BA352" s="76" t="b">
        <v>0</v>
      </c>
      <c r="BB352" s="76" t="b">
        <v>0</v>
      </c>
      <c r="BC352" s="76" t="b">
        <v>0</v>
      </c>
      <c r="BD352" s="76" t="b">
        <v>0</v>
      </c>
      <c r="BE352" s="76" t="b">
        <v>1</v>
      </c>
      <c r="BF352" s="76" t="b">
        <v>0</v>
      </c>
      <c r="BG352" s="76" t="b">
        <v>0</v>
      </c>
      <c r="BH352" s="83" t="str">
        <f>HYPERLINK("https://pbs.twimg.com/profile_banners/207283244/1694094231")</f>
        <v>https://pbs.twimg.com/profile_banners/207283244/1694094231</v>
      </c>
      <c r="BI352" s="76"/>
      <c r="BJ352" s="76" t="s">
        <v>18704</v>
      </c>
      <c r="BK352" s="76" t="b">
        <v>0</v>
      </c>
      <c r="BL352" s="76"/>
      <c r="BM352" s="76" t="s">
        <v>65</v>
      </c>
      <c r="BN352" s="76" t="s">
        <v>18706</v>
      </c>
      <c r="BO352" s="83" t="str">
        <f>HYPERLINK("https://twitter.com/arthurlulam")</f>
        <v>https://twitter.com/arthurlulam</v>
      </c>
      <c r="BP352" s="2"/>
    </row>
    <row r="353" spans="1:68" x14ac:dyDescent="0.25">
      <c r="A353" s="62" t="s">
        <v>807</v>
      </c>
      <c r="B353" s="63"/>
      <c r="C353" s="63"/>
      <c r="D353" s="64"/>
      <c r="E353" s="66"/>
      <c r="F353" s="102" t="str">
        <f>HYPERLINK("https://pbs.twimg.com/profile_images/1152256848743018496/QTMx_NI4_normal.jpg")</f>
        <v>https://pbs.twimg.com/profile_images/1152256848743018496/QTMx_NI4_normal.jpg</v>
      </c>
      <c r="G353" s="63"/>
      <c r="H353" s="67"/>
      <c r="I353" s="68"/>
      <c r="J353" s="68"/>
      <c r="K353" s="67" t="s">
        <v>19056</v>
      </c>
      <c r="L353" s="71"/>
      <c r="M353" s="72"/>
      <c r="N353" s="72"/>
      <c r="O353" s="73"/>
      <c r="P353" s="74"/>
      <c r="Q353" s="74"/>
      <c r="R353" s="86"/>
      <c r="S353" s="86"/>
      <c r="T353" s="86"/>
      <c r="U353" s="86"/>
      <c r="V353" s="48"/>
      <c r="W353" s="48"/>
      <c r="X353" s="48"/>
      <c r="Y353" s="48"/>
      <c r="Z353" s="47"/>
      <c r="AA353" s="69">
        <v>353</v>
      </c>
      <c r="AB353" s="69"/>
      <c r="AC353" s="70"/>
      <c r="AD353" s="76" t="s">
        <v>16782</v>
      </c>
      <c r="AE353" s="81" t="s">
        <v>17241</v>
      </c>
      <c r="AF353" s="76">
        <v>2888</v>
      </c>
      <c r="AG353" s="76">
        <v>356</v>
      </c>
      <c r="AH353" s="76">
        <v>1219</v>
      </c>
      <c r="AI353" s="76">
        <v>42</v>
      </c>
      <c r="AJ353" s="76">
        <v>964</v>
      </c>
      <c r="AK353" s="76">
        <v>50</v>
      </c>
      <c r="AL353" s="76" t="b">
        <v>0</v>
      </c>
      <c r="AM353" s="78">
        <v>41169.632951388892</v>
      </c>
      <c r="AN353" s="76" t="s">
        <v>10586</v>
      </c>
      <c r="AO353" s="76" t="s">
        <v>17961</v>
      </c>
      <c r="AP353" s="83" t="str">
        <f>HYPERLINK("https://t.co/7tdwRQYGNx")</f>
        <v>https://t.co/7tdwRQYGNx</v>
      </c>
      <c r="AQ353" s="83" t="str">
        <f>HYPERLINK("https://linktr.ee/alvarofrasson")</f>
        <v>https://linktr.ee/alvarofrasson</v>
      </c>
      <c r="AR353" s="76" t="s">
        <v>18443</v>
      </c>
      <c r="AS353" s="76"/>
      <c r="AT353" s="76"/>
      <c r="AU353" s="76"/>
      <c r="AV353" s="76"/>
      <c r="AW353" s="83" t="str">
        <f>HYPERLINK("https://t.co/7tdwRQYGNx")</f>
        <v>https://t.co/7tdwRQYGNx</v>
      </c>
      <c r="AX353" s="76" t="b">
        <v>0</v>
      </c>
      <c r="AY353" s="76"/>
      <c r="AZ353" s="76"/>
      <c r="BA353" s="76" t="b">
        <v>0</v>
      </c>
      <c r="BB353" s="76" t="b">
        <v>1</v>
      </c>
      <c r="BC353" s="76" t="b">
        <v>1</v>
      </c>
      <c r="BD353" s="76" t="b">
        <v>0</v>
      </c>
      <c r="BE353" s="76" t="b">
        <v>0</v>
      </c>
      <c r="BF353" s="76" t="b">
        <v>0</v>
      </c>
      <c r="BG353" s="76" t="b">
        <v>0</v>
      </c>
      <c r="BH353" s="83" t="str">
        <f>HYPERLINK("https://pbs.twimg.com/profile_banners/829237464/1578483081")</f>
        <v>https://pbs.twimg.com/profile_banners/829237464/1578483081</v>
      </c>
      <c r="BI353" s="76"/>
      <c r="BJ353" s="76" t="s">
        <v>18704</v>
      </c>
      <c r="BK353" s="76" t="b">
        <v>0</v>
      </c>
      <c r="BL353" s="76"/>
      <c r="BM353" s="76" t="s">
        <v>65</v>
      </c>
      <c r="BN353" s="76" t="s">
        <v>18706</v>
      </c>
      <c r="BO353" s="83" t="str">
        <f>HYPERLINK("https://twitter.com/alvarosfrasson")</f>
        <v>https://twitter.com/alvarosfrasson</v>
      </c>
      <c r="BP353" s="2"/>
    </row>
    <row r="354" spans="1:68" x14ac:dyDescent="0.25">
      <c r="A354" s="62" t="s">
        <v>498</v>
      </c>
      <c r="B354" s="63"/>
      <c r="C354" s="63"/>
      <c r="D354" s="64"/>
      <c r="E354" s="66"/>
      <c r="F354" s="102" t="str">
        <f>HYPERLINK("https://pbs.twimg.com/profile_images/2508186473/0ksiurr0ifg8n9rbwsgn_normal.jpeg")</f>
        <v>https://pbs.twimg.com/profile_images/2508186473/0ksiurr0ifg8n9rbwsgn_normal.jpeg</v>
      </c>
      <c r="G354" s="63"/>
      <c r="H354" s="67"/>
      <c r="I354" s="68"/>
      <c r="J354" s="68"/>
      <c r="K354" s="67" t="s">
        <v>19057</v>
      </c>
      <c r="L354" s="71"/>
      <c r="M354" s="72"/>
      <c r="N354" s="72"/>
      <c r="O354" s="73"/>
      <c r="P354" s="74"/>
      <c r="Q354" s="74"/>
      <c r="R354" s="86"/>
      <c r="S354" s="86"/>
      <c r="T354" s="86"/>
      <c r="U354" s="86"/>
      <c r="V354" s="48"/>
      <c r="W354" s="48"/>
      <c r="X354" s="48"/>
      <c r="Y354" s="48"/>
      <c r="Z354" s="47"/>
      <c r="AA354" s="69">
        <v>354</v>
      </c>
      <c r="AB354" s="69"/>
      <c r="AC354" s="70"/>
      <c r="AD354" s="76" t="s">
        <v>16783</v>
      </c>
      <c r="AE354" s="81" t="s">
        <v>17242</v>
      </c>
      <c r="AF354" s="76">
        <v>95</v>
      </c>
      <c r="AG354" s="76">
        <v>934</v>
      </c>
      <c r="AH354" s="76">
        <v>5333</v>
      </c>
      <c r="AI354" s="76">
        <v>8</v>
      </c>
      <c r="AJ354" s="76">
        <v>34551</v>
      </c>
      <c r="AK354" s="76">
        <v>19</v>
      </c>
      <c r="AL354" s="76" t="b">
        <v>0</v>
      </c>
      <c r="AM354" s="78">
        <v>41136.418217592596</v>
      </c>
      <c r="AN354" s="76" t="s">
        <v>17539</v>
      </c>
      <c r="AO354" s="76" t="s">
        <v>17962</v>
      </c>
      <c r="AP354" s="76"/>
      <c r="AQ354" s="76"/>
      <c r="AR354" s="76"/>
      <c r="AS354" s="76"/>
      <c r="AT354" s="76"/>
      <c r="AU354" s="76"/>
      <c r="AV354" s="76"/>
      <c r="AW354" s="76"/>
      <c r="AX354" s="76" t="b">
        <v>0</v>
      </c>
      <c r="AY354" s="76"/>
      <c r="AZ354" s="76"/>
      <c r="BA354" s="76" t="b">
        <v>0</v>
      </c>
      <c r="BB354" s="76" t="b">
        <v>1</v>
      </c>
      <c r="BC354" s="76" t="b">
        <v>1</v>
      </c>
      <c r="BD354" s="76" t="b">
        <v>0</v>
      </c>
      <c r="BE354" s="76" t="b">
        <v>1</v>
      </c>
      <c r="BF354" s="76" t="b">
        <v>0</v>
      </c>
      <c r="BG354" s="76" t="b">
        <v>0</v>
      </c>
      <c r="BH354" s="76"/>
      <c r="BI354" s="76"/>
      <c r="BJ354" s="76" t="s">
        <v>18704</v>
      </c>
      <c r="BK354" s="76" t="b">
        <v>0</v>
      </c>
      <c r="BL354" s="76"/>
      <c r="BM354" s="76" t="s">
        <v>66</v>
      </c>
      <c r="BN354" s="76" t="s">
        <v>18706</v>
      </c>
      <c r="BO354" s="83" t="str">
        <f>HYPERLINK("https://twitter.com/rubenswilde")</f>
        <v>https://twitter.com/rubenswilde</v>
      </c>
      <c r="BP354" s="2"/>
    </row>
    <row r="355" spans="1:68" x14ac:dyDescent="0.25">
      <c r="A355" s="62" t="s">
        <v>499</v>
      </c>
      <c r="B355" s="63"/>
      <c r="C355" s="63"/>
      <c r="D355" s="64"/>
      <c r="E355" s="66"/>
      <c r="F355" s="102" t="str">
        <f>HYPERLINK("https://pbs.twimg.com/profile_images/1703091109541421057/2IpYVHoK_normal.jpg")</f>
        <v>https://pbs.twimg.com/profile_images/1703091109541421057/2IpYVHoK_normal.jpg</v>
      </c>
      <c r="G355" s="63"/>
      <c r="H355" s="67"/>
      <c r="I355" s="68"/>
      <c r="J355" s="68"/>
      <c r="K355" s="67" t="s">
        <v>19058</v>
      </c>
      <c r="L355" s="71"/>
      <c r="M355" s="72"/>
      <c r="N355" s="72"/>
      <c r="O355" s="73"/>
      <c r="P355" s="74"/>
      <c r="Q355" s="74"/>
      <c r="R355" s="86"/>
      <c r="S355" s="86"/>
      <c r="T355" s="86"/>
      <c r="U355" s="86"/>
      <c r="V355" s="48"/>
      <c r="W355" s="48"/>
      <c r="X355" s="48"/>
      <c r="Y355" s="48"/>
      <c r="Z355" s="47"/>
      <c r="AA355" s="69">
        <v>355</v>
      </c>
      <c r="AB355" s="69"/>
      <c r="AC355" s="70"/>
      <c r="AD355" s="76" t="s">
        <v>16784</v>
      </c>
      <c r="AE355" s="81" t="s">
        <v>16265</v>
      </c>
      <c r="AF355" s="76">
        <v>2477</v>
      </c>
      <c r="AG355" s="76">
        <v>111</v>
      </c>
      <c r="AH355" s="76">
        <v>2466</v>
      </c>
      <c r="AI355" s="76">
        <v>1</v>
      </c>
      <c r="AJ355" s="76">
        <v>2846</v>
      </c>
      <c r="AK355" s="76">
        <v>679</v>
      </c>
      <c r="AL355" s="76" t="b">
        <v>0</v>
      </c>
      <c r="AM355" s="78">
        <v>42768.525324074071</v>
      </c>
      <c r="AN355" s="76" t="s">
        <v>17540</v>
      </c>
      <c r="AO355" s="76" t="s">
        <v>17963</v>
      </c>
      <c r="AP355" s="83" t="str">
        <f>HYPERLINK("https://t.co/5CcbtfvHAs")</f>
        <v>https://t.co/5CcbtfvHAs</v>
      </c>
      <c r="AQ355" s="83" t="str">
        <f>HYPERLINK("https://linkr.bio/omarcos")</f>
        <v>https://linkr.bio/omarcos</v>
      </c>
      <c r="AR355" s="76" t="s">
        <v>18444</v>
      </c>
      <c r="AS355" s="76"/>
      <c r="AT355" s="76"/>
      <c r="AU355" s="76"/>
      <c r="AV355" s="76"/>
      <c r="AW355" s="83" t="str">
        <f>HYPERLINK("https://t.co/5CcbtfvHAs")</f>
        <v>https://t.co/5CcbtfvHAs</v>
      </c>
      <c r="AX355" s="76" t="b">
        <v>1</v>
      </c>
      <c r="AY355" s="76"/>
      <c r="AZ355" s="76"/>
      <c r="BA355" s="76" t="b">
        <v>1</v>
      </c>
      <c r="BB355" s="76" t="b">
        <v>1</v>
      </c>
      <c r="BC355" s="76" t="b">
        <v>1</v>
      </c>
      <c r="BD355" s="76" t="b">
        <v>0</v>
      </c>
      <c r="BE355" s="76" t="b">
        <v>1</v>
      </c>
      <c r="BF355" s="76" t="b">
        <v>0</v>
      </c>
      <c r="BG355" s="76" t="b">
        <v>0</v>
      </c>
      <c r="BH355" s="83" t="str">
        <f>HYPERLINK("https://pbs.twimg.com/profile_banners/827133582607020032/1679490625")</f>
        <v>https://pbs.twimg.com/profile_banners/827133582607020032/1679490625</v>
      </c>
      <c r="BI355" s="76"/>
      <c r="BJ355" s="76" t="s">
        <v>18704</v>
      </c>
      <c r="BK355" s="76" t="b">
        <v>0</v>
      </c>
      <c r="BL355" s="76"/>
      <c r="BM355" s="76" t="s">
        <v>66</v>
      </c>
      <c r="BN355" s="76" t="s">
        <v>18706</v>
      </c>
      <c r="BO355" s="83" t="str">
        <f>HYPERLINK("https://twitter.com/omarcosviniciuz")</f>
        <v>https://twitter.com/omarcosviniciuz</v>
      </c>
      <c r="BP355" s="2"/>
    </row>
    <row r="356" spans="1:68" x14ac:dyDescent="0.25">
      <c r="A356" s="62" t="s">
        <v>500</v>
      </c>
      <c r="B356" s="63"/>
      <c r="C356" s="63"/>
      <c r="D356" s="64"/>
      <c r="E356" s="66"/>
      <c r="F356" s="102" t="str">
        <f>HYPERLINK("https://pbs.twimg.com/profile_images/1480545415552540677/ApxUKv5q_normal.png")</f>
        <v>https://pbs.twimg.com/profile_images/1480545415552540677/ApxUKv5q_normal.png</v>
      </c>
      <c r="G356" s="63"/>
      <c r="H356" s="67"/>
      <c r="I356" s="68"/>
      <c r="J356" s="68"/>
      <c r="K356" s="67" t="s">
        <v>19059</v>
      </c>
      <c r="L356" s="71"/>
      <c r="M356" s="72"/>
      <c r="N356" s="72"/>
      <c r="O356" s="73"/>
      <c r="P356" s="74"/>
      <c r="Q356" s="74"/>
      <c r="R356" s="86"/>
      <c r="S356" s="86"/>
      <c r="T356" s="86"/>
      <c r="U356" s="86"/>
      <c r="V356" s="48"/>
      <c r="W356" s="48"/>
      <c r="X356" s="48"/>
      <c r="Y356" s="48"/>
      <c r="Z356" s="47"/>
      <c r="AA356" s="69">
        <v>356</v>
      </c>
      <c r="AB356" s="69"/>
      <c r="AC356" s="70"/>
      <c r="AD356" s="76" t="s">
        <v>16785</v>
      </c>
      <c r="AE356" s="81" t="s">
        <v>16266</v>
      </c>
      <c r="AF356" s="76">
        <v>19</v>
      </c>
      <c r="AG356" s="76">
        <v>2</v>
      </c>
      <c r="AH356" s="76">
        <v>163</v>
      </c>
      <c r="AI356" s="76">
        <v>0</v>
      </c>
      <c r="AJ356" s="76">
        <v>0</v>
      </c>
      <c r="AK356" s="76">
        <v>163</v>
      </c>
      <c r="AL356" s="76" t="b">
        <v>0</v>
      </c>
      <c r="AM356" s="78">
        <v>44202.565324074072</v>
      </c>
      <c r="AN356" s="76"/>
      <c r="AO356" s="76" t="s">
        <v>17964</v>
      </c>
      <c r="AP356" s="83" t="str">
        <f>HYPERLINK("https://t.co/OD8cMAcqSc")</f>
        <v>https://t.co/OD8cMAcqSc</v>
      </c>
      <c r="AQ356" s="83" t="str">
        <f>HYPERLINK("https://www.cgd.com.br/")</f>
        <v>https://www.cgd.com.br/</v>
      </c>
      <c r="AR356" s="76" t="s">
        <v>18445</v>
      </c>
      <c r="AS356" s="76"/>
      <c r="AT356" s="76"/>
      <c r="AU356" s="76"/>
      <c r="AV356" s="76"/>
      <c r="AW356" s="83" t="str">
        <f>HYPERLINK("https://t.co/OD8cMAcqSc")</f>
        <v>https://t.co/OD8cMAcqSc</v>
      </c>
      <c r="AX356" s="76" t="b">
        <v>0</v>
      </c>
      <c r="AY356" s="76"/>
      <c r="AZ356" s="76"/>
      <c r="BA356" s="76" t="b">
        <v>0</v>
      </c>
      <c r="BB356" s="76" t="b">
        <v>1</v>
      </c>
      <c r="BC356" s="76" t="b">
        <v>1</v>
      </c>
      <c r="BD356" s="76" t="b">
        <v>0</v>
      </c>
      <c r="BE356" s="76" t="b">
        <v>0</v>
      </c>
      <c r="BF356" s="76" t="b">
        <v>0</v>
      </c>
      <c r="BG356" s="76" t="b">
        <v>0</v>
      </c>
      <c r="BH356" s="83" t="str">
        <f>HYPERLINK("https://pbs.twimg.com/profile_banners/1346812127772889091/1677597147")</f>
        <v>https://pbs.twimg.com/profile_banners/1346812127772889091/1677597147</v>
      </c>
      <c r="BI356" s="76"/>
      <c r="BJ356" s="76" t="s">
        <v>18704</v>
      </c>
      <c r="BK356" s="76" t="b">
        <v>0</v>
      </c>
      <c r="BL356" s="76"/>
      <c r="BM356" s="76" t="s">
        <v>66</v>
      </c>
      <c r="BN356" s="76" t="s">
        <v>18706</v>
      </c>
      <c r="BO356" s="83" t="str">
        <f>HYPERLINK("https://twitter.com/cgdcursos")</f>
        <v>https://twitter.com/cgdcursos</v>
      </c>
      <c r="BP356" s="2"/>
    </row>
    <row r="357" spans="1:68" x14ac:dyDescent="0.25">
      <c r="A357" s="62" t="s">
        <v>501</v>
      </c>
      <c r="B357" s="63"/>
      <c r="C357" s="63"/>
      <c r="D357" s="64"/>
      <c r="E357" s="66"/>
      <c r="F357" s="102" t="str">
        <f>HYPERLINK("https://pbs.twimg.com/profile_images/1518936529674117121/MCMYTicP_normal.jpg")</f>
        <v>https://pbs.twimg.com/profile_images/1518936529674117121/MCMYTicP_normal.jpg</v>
      </c>
      <c r="G357" s="63"/>
      <c r="H357" s="67"/>
      <c r="I357" s="68"/>
      <c r="J357" s="68"/>
      <c r="K357" s="67" t="s">
        <v>19060</v>
      </c>
      <c r="L357" s="71"/>
      <c r="M357" s="72"/>
      <c r="N357" s="72"/>
      <c r="O357" s="73"/>
      <c r="P357" s="74"/>
      <c r="Q357" s="74"/>
      <c r="R357" s="86"/>
      <c r="S357" s="86"/>
      <c r="T357" s="86"/>
      <c r="U357" s="86"/>
      <c r="V357" s="48"/>
      <c r="W357" s="48"/>
      <c r="X357" s="48"/>
      <c r="Y357" s="48"/>
      <c r="Z357" s="47"/>
      <c r="AA357" s="69">
        <v>357</v>
      </c>
      <c r="AB357" s="69"/>
      <c r="AC357" s="70"/>
      <c r="AD357" s="76" t="s">
        <v>16786</v>
      </c>
      <c r="AE357" s="81" t="s">
        <v>15951</v>
      </c>
      <c r="AF357" s="76">
        <v>9961</v>
      </c>
      <c r="AG357" s="76">
        <v>197</v>
      </c>
      <c r="AH357" s="76">
        <v>25768</v>
      </c>
      <c r="AI357" s="76">
        <v>25</v>
      </c>
      <c r="AJ357" s="76">
        <v>327</v>
      </c>
      <c r="AK357" s="76">
        <v>3337</v>
      </c>
      <c r="AL357" s="76" t="b">
        <v>0</v>
      </c>
      <c r="AM357" s="78">
        <v>43873.574583333335</v>
      </c>
      <c r="AN357" s="76"/>
      <c r="AO357" s="76" t="s">
        <v>17965</v>
      </c>
      <c r="AP357" s="83" t="str">
        <f>HYPERLINK("https://t.co/jUwDG1cTKo")</f>
        <v>https://t.co/jUwDG1cTKo</v>
      </c>
      <c r="AQ357" s="83" t="str">
        <f>HYPERLINK("http://bpmoney.com.br")</f>
        <v>http://bpmoney.com.br</v>
      </c>
      <c r="AR357" s="76" t="s">
        <v>18446</v>
      </c>
      <c r="AS357" s="76"/>
      <c r="AT357" s="76"/>
      <c r="AU357" s="76"/>
      <c r="AV357" s="76"/>
      <c r="AW357" s="83" t="str">
        <f>HYPERLINK("https://t.co/jUwDG1cTKo")</f>
        <v>https://t.co/jUwDG1cTKo</v>
      </c>
      <c r="AX357" s="76" t="b">
        <v>1</v>
      </c>
      <c r="AY357" s="76"/>
      <c r="AZ357" s="76"/>
      <c r="BA357" s="76" t="b">
        <v>1</v>
      </c>
      <c r="BB357" s="76" t="b">
        <v>1</v>
      </c>
      <c r="BC357" s="76" t="b">
        <v>1</v>
      </c>
      <c r="BD357" s="76" t="b">
        <v>0</v>
      </c>
      <c r="BE357" s="76" t="b">
        <v>1</v>
      </c>
      <c r="BF357" s="76" t="b">
        <v>0</v>
      </c>
      <c r="BG357" s="76" t="b">
        <v>0</v>
      </c>
      <c r="BH357" s="83" t="str">
        <f>HYPERLINK("https://pbs.twimg.com/profile_banners/1227589995411771392/1649096183")</f>
        <v>https://pbs.twimg.com/profile_banners/1227589995411771392/1649096183</v>
      </c>
      <c r="BI357" s="76"/>
      <c r="BJ357" s="76" t="s">
        <v>18704</v>
      </c>
      <c r="BK357" s="76" t="b">
        <v>0</v>
      </c>
      <c r="BL357" s="76"/>
      <c r="BM357" s="76" t="s">
        <v>66</v>
      </c>
      <c r="BN357" s="76" t="s">
        <v>18706</v>
      </c>
      <c r="BO357" s="83" t="str">
        <f>HYPERLINK("https://twitter.com/bpmoney_")</f>
        <v>https://twitter.com/bpmoney_</v>
      </c>
      <c r="BP357" s="2"/>
    </row>
    <row r="358" spans="1:68" x14ac:dyDescent="0.25">
      <c r="A358" s="62" t="s">
        <v>808</v>
      </c>
      <c r="B358" s="63"/>
      <c r="C358" s="63"/>
      <c r="D358" s="64"/>
      <c r="E358" s="66"/>
      <c r="F358" s="102" t="str">
        <f>HYPERLINK("https://pbs.twimg.com/profile_images/615965393878974466/Sm5r2Yyz_normal.jpg")</f>
        <v>https://pbs.twimg.com/profile_images/615965393878974466/Sm5r2Yyz_normal.jpg</v>
      </c>
      <c r="G358" s="63"/>
      <c r="H358" s="67"/>
      <c r="I358" s="68"/>
      <c r="J358" s="68"/>
      <c r="K358" s="67" t="s">
        <v>19061</v>
      </c>
      <c r="L358" s="71"/>
      <c r="M358" s="72"/>
      <c r="N358" s="72"/>
      <c r="O358" s="73"/>
      <c r="P358" s="74"/>
      <c r="Q358" s="74"/>
      <c r="R358" s="86"/>
      <c r="S358" s="86"/>
      <c r="T358" s="86"/>
      <c r="U358" s="86"/>
      <c r="V358" s="48"/>
      <c r="W358" s="48"/>
      <c r="X358" s="48"/>
      <c r="Y358" s="48"/>
      <c r="Z358" s="47"/>
      <c r="AA358" s="69">
        <v>358</v>
      </c>
      <c r="AB358" s="69"/>
      <c r="AC358" s="70"/>
      <c r="AD358" s="76" t="s">
        <v>16787</v>
      </c>
      <c r="AE358" s="81" t="s">
        <v>17243</v>
      </c>
      <c r="AF358" s="76">
        <v>1047</v>
      </c>
      <c r="AG358" s="76">
        <v>283</v>
      </c>
      <c r="AH358" s="76">
        <v>614</v>
      </c>
      <c r="AI358" s="76">
        <v>25</v>
      </c>
      <c r="AJ358" s="76">
        <v>2500</v>
      </c>
      <c r="AK358" s="76">
        <v>14</v>
      </c>
      <c r="AL358" s="76" t="b">
        <v>0</v>
      </c>
      <c r="AM358" s="78">
        <v>41195.41165509259</v>
      </c>
      <c r="AN358" s="76"/>
      <c r="AO358" s="76" t="s">
        <v>17966</v>
      </c>
      <c r="AP358" s="76"/>
      <c r="AQ358" s="76"/>
      <c r="AR358" s="76"/>
      <c r="AS358" s="76"/>
      <c r="AT358" s="76"/>
      <c r="AU358" s="76"/>
      <c r="AV358" s="76"/>
      <c r="AW358" s="76"/>
      <c r="AX358" s="76" t="b">
        <v>0</v>
      </c>
      <c r="AY358" s="76"/>
      <c r="AZ358" s="76"/>
      <c r="BA358" s="76" t="b">
        <v>0</v>
      </c>
      <c r="BB358" s="76" t="b">
        <v>1</v>
      </c>
      <c r="BC358" s="76" t="b">
        <v>1</v>
      </c>
      <c r="BD358" s="76" t="b">
        <v>0</v>
      </c>
      <c r="BE358" s="76" t="b">
        <v>0</v>
      </c>
      <c r="BF358" s="76" t="b">
        <v>0</v>
      </c>
      <c r="BG358" s="76" t="b">
        <v>0</v>
      </c>
      <c r="BH358" s="76"/>
      <c r="BI358" s="76"/>
      <c r="BJ358" s="76" t="s">
        <v>18704</v>
      </c>
      <c r="BK358" s="76" t="b">
        <v>0</v>
      </c>
      <c r="BL358" s="76"/>
      <c r="BM358" s="76" t="s">
        <v>65</v>
      </c>
      <c r="BN358" s="76" t="s">
        <v>18706</v>
      </c>
      <c r="BO358" s="83" t="str">
        <f>HYPERLINK("https://twitter.com/jtugoresques")</f>
        <v>https://twitter.com/jtugoresques</v>
      </c>
      <c r="BP358" s="2"/>
    </row>
    <row r="359" spans="1:68" x14ac:dyDescent="0.25">
      <c r="A359" s="62" t="s">
        <v>809</v>
      </c>
      <c r="B359" s="63"/>
      <c r="C359" s="63"/>
      <c r="D359" s="64"/>
      <c r="E359" s="66"/>
      <c r="F359" s="102" t="str">
        <f>HYPERLINK("https://pbs.twimg.com/profile_images/1653633421053239301/4a7Wd2Qk_normal.png")</f>
        <v>https://pbs.twimg.com/profile_images/1653633421053239301/4a7Wd2Qk_normal.png</v>
      </c>
      <c r="G359" s="63"/>
      <c r="H359" s="67"/>
      <c r="I359" s="68"/>
      <c r="J359" s="68"/>
      <c r="K359" s="67" t="s">
        <v>19062</v>
      </c>
      <c r="L359" s="71"/>
      <c r="M359" s="72"/>
      <c r="N359" s="72"/>
      <c r="O359" s="73"/>
      <c r="P359" s="74"/>
      <c r="Q359" s="74"/>
      <c r="R359" s="86"/>
      <c r="S359" s="86"/>
      <c r="T359" s="86"/>
      <c r="U359" s="86"/>
      <c r="V359" s="48"/>
      <c r="W359" s="48"/>
      <c r="X359" s="48"/>
      <c r="Y359" s="48"/>
      <c r="Z359" s="47"/>
      <c r="AA359" s="69">
        <v>359</v>
      </c>
      <c r="AB359" s="69"/>
      <c r="AC359" s="70"/>
      <c r="AD359" s="76" t="s">
        <v>16788</v>
      </c>
      <c r="AE359" s="81" t="s">
        <v>17244</v>
      </c>
      <c r="AF359" s="76">
        <v>453</v>
      </c>
      <c r="AG359" s="76">
        <v>231</v>
      </c>
      <c r="AH359" s="76">
        <v>2173</v>
      </c>
      <c r="AI359" s="76">
        <v>7</v>
      </c>
      <c r="AJ359" s="76">
        <v>28</v>
      </c>
      <c r="AK359" s="76">
        <v>378</v>
      </c>
      <c r="AL359" s="76" t="b">
        <v>0</v>
      </c>
      <c r="AM359" s="78">
        <v>40814.525011574071</v>
      </c>
      <c r="AN359" s="76"/>
      <c r="AO359" s="76" t="s">
        <v>17967</v>
      </c>
      <c r="AP359" s="83" t="str">
        <f>HYPERLINK("https://t.co/7phPBQwxZa")</f>
        <v>https://t.co/7phPBQwxZa</v>
      </c>
      <c r="AQ359" s="83" t="str">
        <f>HYPERLINK("http://www.managerfinanciero.com")</f>
        <v>http://www.managerfinanciero.com</v>
      </c>
      <c r="AR359" s="76" t="s">
        <v>18447</v>
      </c>
      <c r="AS359" s="76" t="s">
        <v>18635</v>
      </c>
      <c r="AT359" s="76" t="s">
        <v>18646</v>
      </c>
      <c r="AU359" s="76" t="s">
        <v>18678</v>
      </c>
      <c r="AV359" s="76"/>
      <c r="AW359" s="83" t="str">
        <f>HYPERLINK("https://t.co/7phPBQwxZa")</f>
        <v>https://t.co/7phPBQwxZa</v>
      </c>
      <c r="AX359" s="76" t="b">
        <v>0</v>
      </c>
      <c r="AY359" s="76"/>
      <c r="AZ359" s="76"/>
      <c r="BA359" s="76" t="b">
        <v>0</v>
      </c>
      <c r="BB359" s="76" t="b">
        <v>1</v>
      </c>
      <c r="BC359" s="76" t="b">
        <v>0</v>
      </c>
      <c r="BD359" s="76" t="b">
        <v>0</v>
      </c>
      <c r="BE359" s="76" t="b">
        <v>0</v>
      </c>
      <c r="BF359" s="76" t="b">
        <v>0</v>
      </c>
      <c r="BG359" s="76" t="b">
        <v>0</v>
      </c>
      <c r="BH359" s="83" t="str">
        <f>HYPERLINK("https://pbs.twimg.com/profile_banners/381490450/1683091908")</f>
        <v>https://pbs.twimg.com/profile_banners/381490450/1683091908</v>
      </c>
      <c r="BI359" s="76"/>
      <c r="BJ359" s="76" t="s">
        <v>18704</v>
      </c>
      <c r="BK359" s="76" t="b">
        <v>0</v>
      </c>
      <c r="BL359" s="76"/>
      <c r="BM359" s="76" t="s">
        <v>65</v>
      </c>
      <c r="BN359" s="76" t="s">
        <v>18706</v>
      </c>
      <c r="BO359" s="83" t="str">
        <f>HYPERLINK("https://twitter.com/jmlermafinanzas")</f>
        <v>https://twitter.com/jmlermafinanzas</v>
      </c>
      <c r="BP359" s="2"/>
    </row>
    <row r="360" spans="1:68" x14ac:dyDescent="0.25">
      <c r="A360" s="62" t="s">
        <v>810</v>
      </c>
      <c r="B360" s="63"/>
      <c r="C360" s="63"/>
      <c r="D360" s="64"/>
      <c r="E360" s="66"/>
      <c r="F360" s="102" t="str">
        <f>HYPERLINK("https://pbs.twimg.com/profile_images/1518886951079796737/1OL2YATE_normal.jpg")</f>
        <v>https://pbs.twimg.com/profile_images/1518886951079796737/1OL2YATE_normal.jpg</v>
      </c>
      <c r="G360" s="63"/>
      <c r="H360" s="67"/>
      <c r="I360" s="68"/>
      <c r="J360" s="68"/>
      <c r="K360" s="67" t="s">
        <v>19063</v>
      </c>
      <c r="L360" s="71"/>
      <c r="M360" s="72"/>
      <c r="N360" s="72"/>
      <c r="O360" s="73"/>
      <c r="P360" s="74"/>
      <c r="Q360" s="74"/>
      <c r="R360" s="86"/>
      <c r="S360" s="86"/>
      <c r="T360" s="86"/>
      <c r="U360" s="86"/>
      <c r="V360" s="48"/>
      <c r="W360" s="48"/>
      <c r="X360" s="48"/>
      <c r="Y360" s="48"/>
      <c r="Z360" s="47"/>
      <c r="AA360" s="69">
        <v>360</v>
      </c>
      <c r="AB360" s="69"/>
      <c r="AC360" s="70"/>
      <c r="AD360" s="76" t="s">
        <v>16789</v>
      </c>
      <c r="AE360" s="81" t="s">
        <v>17245</v>
      </c>
      <c r="AF360" s="76">
        <v>161</v>
      </c>
      <c r="AG360" s="76">
        <v>905</v>
      </c>
      <c r="AH360" s="76">
        <v>388</v>
      </c>
      <c r="AI360" s="76">
        <v>2</v>
      </c>
      <c r="AJ360" s="76">
        <v>660</v>
      </c>
      <c r="AK360" s="76">
        <v>321</v>
      </c>
      <c r="AL360" s="76" t="b">
        <v>0</v>
      </c>
      <c r="AM360" s="78">
        <v>44235.654282407406</v>
      </c>
      <c r="AN360" s="76" t="s">
        <v>17541</v>
      </c>
      <c r="AO360" s="76" t="s">
        <v>17968</v>
      </c>
      <c r="AP360" s="83" t="str">
        <f>HYPERLINK("https://t.co/fd5YWwWFSj")</f>
        <v>https://t.co/fd5YWwWFSj</v>
      </c>
      <c r="AQ360" s="83" t="str">
        <f>HYPERLINK("https://bit.ly/3gK445v")</f>
        <v>https://bit.ly/3gK445v</v>
      </c>
      <c r="AR360" s="76" t="s">
        <v>18448</v>
      </c>
      <c r="AS360" s="76"/>
      <c r="AT360" s="76"/>
      <c r="AU360" s="76"/>
      <c r="AV360" s="76"/>
      <c r="AW360" s="83" t="str">
        <f>HYPERLINK("https://t.co/fd5YWwWFSj")</f>
        <v>https://t.co/fd5YWwWFSj</v>
      </c>
      <c r="AX360" s="76" t="b">
        <v>0</v>
      </c>
      <c r="AY360" s="76"/>
      <c r="AZ360" s="76"/>
      <c r="BA360" s="76" t="b">
        <v>0</v>
      </c>
      <c r="BB360" s="76" t="b">
        <v>1</v>
      </c>
      <c r="BC360" s="76" t="b">
        <v>1</v>
      </c>
      <c r="BD360" s="76" t="b">
        <v>0</v>
      </c>
      <c r="BE360" s="76" t="b">
        <v>0</v>
      </c>
      <c r="BF360" s="76" t="b">
        <v>0</v>
      </c>
      <c r="BG360" s="76" t="b">
        <v>0</v>
      </c>
      <c r="BH360" s="83" t="str">
        <f>HYPERLINK("https://pbs.twimg.com/profile_banners/1358803124983648256/1690975698")</f>
        <v>https://pbs.twimg.com/profile_banners/1358803124983648256/1690975698</v>
      </c>
      <c r="BI360" s="76"/>
      <c r="BJ360" s="76" t="s">
        <v>18704</v>
      </c>
      <c r="BK360" s="76" t="b">
        <v>0</v>
      </c>
      <c r="BL360" s="76"/>
      <c r="BM360" s="76" t="s">
        <v>65</v>
      </c>
      <c r="BN360" s="76" t="s">
        <v>18706</v>
      </c>
      <c r="BO360" s="83" t="str">
        <f>HYPERLINK("https://twitter.com/espanoljfd")</f>
        <v>https://twitter.com/espanoljfd</v>
      </c>
      <c r="BP360" s="2"/>
    </row>
    <row r="361" spans="1:68" x14ac:dyDescent="0.25">
      <c r="A361" s="62" t="s">
        <v>503</v>
      </c>
      <c r="B361" s="63"/>
      <c r="C361" s="63"/>
      <c r="D361" s="64"/>
      <c r="E361" s="66"/>
      <c r="F361" s="102" t="str">
        <f>HYPERLINK("https://abs.twimg.com/sticky/default_profile_images/default_profile_normal.png")</f>
        <v>https://abs.twimg.com/sticky/default_profile_images/default_profile_normal.png</v>
      </c>
      <c r="G361" s="63"/>
      <c r="H361" s="67"/>
      <c r="I361" s="68"/>
      <c r="J361" s="68"/>
      <c r="K361" s="67" t="s">
        <v>19064</v>
      </c>
      <c r="L361" s="71"/>
      <c r="M361" s="72"/>
      <c r="N361" s="72"/>
      <c r="O361" s="73"/>
      <c r="P361" s="74"/>
      <c r="Q361" s="74"/>
      <c r="R361" s="86"/>
      <c r="S361" s="86"/>
      <c r="T361" s="86"/>
      <c r="U361" s="86"/>
      <c r="V361" s="48"/>
      <c r="W361" s="48"/>
      <c r="X361" s="48"/>
      <c r="Y361" s="48"/>
      <c r="Z361" s="47"/>
      <c r="AA361" s="69">
        <v>361</v>
      </c>
      <c r="AB361" s="69"/>
      <c r="AC361" s="70"/>
      <c r="AD361" s="76" t="s">
        <v>16790</v>
      </c>
      <c r="AE361" s="81" t="s">
        <v>17246</v>
      </c>
      <c r="AF361" s="76">
        <v>144</v>
      </c>
      <c r="AG361" s="76">
        <v>61</v>
      </c>
      <c r="AH361" s="76">
        <v>12035</v>
      </c>
      <c r="AI361" s="76">
        <v>0</v>
      </c>
      <c r="AJ361" s="76">
        <v>34657</v>
      </c>
      <c r="AK361" s="76">
        <v>333</v>
      </c>
      <c r="AL361" s="76" t="b">
        <v>0</v>
      </c>
      <c r="AM361" s="78">
        <v>40344.794189814813</v>
      </c>
      <c r="AN361" s="76"/>
      <c r="AO361" s="76"/>
      <c r="AP361" s="76"/>
      <c r="AQ361" s="76"/>
      <c r="AR361" s="76"/>
      <c r="AS361" s="76"/>
      <c r="AT361" s="76"/>
      <c r="AU361" s="76"/>
      <c r="AV361" s="76"/>
      <c r="AW361" s="76"/>
      <c r="AX361" s="76" t="b">
        <v>0</v>
      </c>
      <c r="AY361" s="76"/>
      <c r="AZ361" s="76"/>
      <c r="BA361" s="76" t="b">
        <v>0</v>
      </c>
      <c r="BB361" s="76" t="b">
        <v>0</v>
      </c>
      <c r="BC361" s="76" t="b">
        <v>1</v>
      </c>
      <c r="BD361" s="76" t="b">
        <v>1</v>
      </c>
      <c r="BE361" s="76" t="b">
        <v>1</v>
      </c>
      <c r="BF361" s="76" t="b">
        <v>0</v>
      </c>
      <c r="BG361" s="76" t="b">
        <v>1</v>
      </c>
      <c r="BH361" s="76"/>
      <c r="BI361" s="76"/>
      <c r="BJ361" s="76" t="s">
        <v>18704</v>
      </c>
      <c r="BK361" s="76" t="b">
        <v>0</v>
      </c>
      <c r="BL361" s="76"/>
      <c r="BM361" s="76" t="s">
        <v>66</v>
      </c>
      <c r="BN361" s="76" t="s">
        <v>18706</v>
      </c>
      <c r="BO361" s="83" t="str">
        <f>HYPERLINK("https://twitter.com/juliaview")</f>
        <v>https://twitter.com/juliaview</v>
      </c>
      <c r="BP361" s="2"/>
    </row>
    <row r="362" spans="1:68" x14ac:dyDescent="0.25">
      <c r="A362" s="62" t="s">
        <v>720</v>
      </c>
      <c r="B362" s="63"/>
      <c r="C362" s="63"/>
      <c r="D362" s="64"/>
      <c r="E362" s="66"/>
      <c r="F362" s="102" t="str">
        <f>HYPERLINK("https://pbs.twimg.com/profile_images/1587151048497659907/OVEWHA5T_normal.jpg")</f>
        <v>https://pbs.twimg.com/profile_images/1587151048497659907/OVEWHA5T_normal.jpg</v>
      </c>
      <c r="G362" s="63"/>
      <c r="H362" s="67"/>
      <c r="I362" s="68"/>
      <c r="J362" s="68"/>
      <c r="K362" s="67" t="s">
        <v>19065</v>
      </c>
      <c r="L362" s="71"/>
      <c r="M362" s="72"/>
      <c r="N362" s="72"/>
      <c r="O362" s="73"/>
      <c r="P362" s="74"/>
      <c r="Q362" s="74"/>
      <c r="R362" s="86"/>
      <c r="S362" s="86"/>
      <c r="T362" s="86"/>
      <c r="U362" s="86"/>
      <c r="V362" s="48"/>
      <c r="W362" s="48"/>
      <c r="X362" s="48"/>
      <c r="Y362" s="48"/>
      <c r="Z362" s="47"/>
      <c r="AA362" s="69">
        <v>362</v>
      </c>
      <c r="AB362" s="69"/>
      <c r="AC362" s="70"/>
      <c r="AD362" s="76" t="s">
        <v>16791</v>
      </c>
      <c r="AE362" s="81" t="s">
        <v>16389</v>
      </c>
      <c r="AF362" s="76">
        <v>3323</v>
      </c>
      <c r="AG362" s="76">
        <v>4962</v>
      </c>
      <c r="AH362" s="76">
        <v>7190</v>
      </c>
      <c r="AI362" s="76">
        <v>14</v>
      </c>
      <c r="AJ362" s="76">
        <v>33067</v>
      </c>
      <c r="AK362" s="76">
        <v>315</v>
      </c>
      <c r="AL362" s="76" t="b">
        <v>0</v>
      </c>
      <c r="AM362" s="78">
        <v>43431.681122685186</v>
      </c>
      <c r="AN362" s="76" t="s">
        <v>10580</v>
      </c>
      <c r="AO362" s="76" t="s">
        <v>17969</v>
      </c>
      <c r="AP362" s="83" t="str">
        <f>HYPERLINK("https://t.co/wonBZrPYmT")</f>
        <v>https://t.co/wonBZrPYmT</v>
      </c>
      <c r="AQ362" s="83" t="str">
        <f>HYPERLINK("http://sintomazul.blogspot.com.br")</f>
        <v>http://sintomazul.blogspot.com.br</v>
      </c>
      <c r="AR362" s="76" t="s">
        <v>18449</v>
      </c>
      <c r="AS362" s="76"/>
      <c r="AT362" s="76"/>
      <c r="AU362" s="76"/>
      <c r="AV362" s="76"/>
      <c r="AW362" s="83" t="str">
        <f>HYPERLINK("https://t.co/wonBZrPYmT")</f>
        <v>https://t.co/wonBZrPYmT</v>
      </c>
      <c r="AX362" s="76" t="b">
        <v>0</v>
      </c>
      <c r="AY362" s="76"/>
      <c r="AZ362" s="76"/>
      <c r="BA362" s="76" t="b">
        <v>0</v>
      </c>
      <c r="BB362" s="76" t="b">
        <v>1</v>
      </c>
      <c r="BC362" s="76" t="b">
        <v>1</v>
      </c>
      <c r="BD362" s="76" t="b">
        <v>0</v>
      </c>
      <c r="BE362" s="76" t="b">
        <v>0</v>
      </c>
      <c r="BF362" s="76" t="b">
        <v>0</v>
      </c>
      <c r="BG362" s="76" t="b">
        <v>0</v>
      </c>
      <c r="BH362" s="83" t="str">
        <f>HYPERLINK("https://pbs.twimg.com/profile_banners/1067453198653431808/1590980117")</f>
        <v>https://pbs.twimg.com/profile_banners/1067453198653431808/1590980117</v>
      </c>
      <c r="BI362" s="76"/>
      <c r="BJ362" s="76" t="s">
        <v>18704</v>
      </c>
      <c r="BK362" s="76" t="b">
        <v>0</v>
      </c>
      <c r="BL362" s="76"/>
      <c r="BM362" s="76" t="s">
        <v>66</v>
      </c>
      <c r="BN362" s="76" t="s">
        <v>18706</v>
      </c>
      <c r="BO362" s="83" t="str">
        <f>HYPERLINK("https://twitter.com/reginaldoprofe")</f>
        <v>https://twitter.com/reginaldoprofe</v>
      </c>
      <c r="BP362" s="2"/>
    </row>
    <row r="363" spans="1:68" x14ac:dyDescent="0.25">
      <c r="A363" s="62" t="s">
        <v>504</v>
      </c>
      <c r="B363" s="63"/>
      <c r="C363" s="63"/>
      <c r="D363" s="64"/>
      <c r="E363" s="66"/>
      <c r="F363" s="102" t="str">
        <f>HYPERLINK("https://pbs.twimg.com/profile_images/1661401813/MY_VIDEOS_E_FOTOS_LONDRES_058_normal.JPG")</f>
        <v>https://pbs.twimg.com/profile_images/1661401813/MY_VIDEOS_E_FOTOS_LONDRES_058_normal.JPG</v>
      </c>
      <c r="G363" s="63"/>
      <c r="H363" s="67"/>
      <c r="I363" s="68"/>
      <c r="J363" s="68"/>
      <c r="K363" s="67" t="s">
        <v>19066</v>
      </c>
      <c r="L363" s="71"/>
      <c r="M363" s="72"/>
      <c r="N363" s="72"/>
      <c r="O363" s="73"/>
      <c r="P363" s="74"/>
      <c r="Q363" s="74"/>
      <c r="R363" s="86"/>
      <c r="S363" s="86"/>
      <c r="T363" s="86"/>
      <c r="U363" s="86"/>
      <c r="V363" s="48"/>
      <c r="W363" s="48"/>
      <c r="X363" s="48"/>
      <c r="Y363" s="48"/>
      <c r="Z363" s="47"/>
      <c r="AA363" s="69">
        <v>363</v>
      </c>
      <c r="AB363" s="69"/>
      <c r="AC363" s="70"/>
      <c r="AD363" s="76" t="s">
        <v>16792</v>
      </c>
      <c r="AE363" s="81" t="s">
        <v>17247</v>
      </c>
      <c r="AF363" s="76">
        <v>661</v>
      </c>
      <c r="AG363" s="76">
        <v>1046</v>
      </c>
      <c r="AH363" s="76">
        <v>151</v>
      </c>
      <c r="AI363" s="76">
        <v>8</v>
      </c>
      <c r="AJ363" s="76">
        <v>63</v>
      </c>
      <c r="AK363" s="76">
        <v>101</v>
      </c>
      <c r="AL363" s="76" t="b">
        <v>0</v>
      </c>
      <c r="AM363" s="78">
        <v>40157.634166666663</v>
      </c>
      <c r="AN363" s="76" t="s">
        <v>17542</v>
      </c>
      <c r="AO363" s="76" t="s">
        <v>17970</v>
      </c>
      <c r="AP363" s="83" t="str">
        <f>HYPERLINK("https://t.co/MOYqqTibuh")</f>
        <v>https://t.co/MOYqqTibuh</v>
      </c>
      <c r="AQ363" s="83" t="str">
        <f>HYPERLINK("https://shre.ink/QHJb")</f>
        <v>https://shre.ink/QHJb</v>
      </c>
      <c r="AR363" s="76" t="s">
        <v>18450</v>
      </c>
      <c r="AS363" s="76"/>
      <c r="AT363" s="76"/>
      <c r="AU363" s="76"/>
      <c r="AV363" s="76">
        <v>1.6219108498152801E+18</v>
      </c>
      <c r="AW363" s="83" t="str">
        <f>HYPERLINK("https://t.co/MOYqqTibuh")</f>
        <v>https://t.co/MOYqqTibuh</v>
      </c>
      <c r="AX363" s="76" t="b">
        <v>0</v>
      </c>
      <c r="AY363" s="76"/>
      <c r="AZ363" s="76"/>
      <c r="BA363" s="76" t="b">
        <v>0</v>
      </c>
      <c r="BB363" s="76" t="b">
        <v>1</v>
      </c>
      <c r="BC363" s="76" t="b">
        <v>0</v>
      </c>
      <c r="BD363" s="76" t="b">
        <v>0</v>
      </c>
      <c r="BE363" s="76" t="b">
        <v>0</v>
      </c>
      <c r="BF363" s="76" t="b">
        <v>0</v>
      </c>
      <c r="BG363" s="76" t="b">
        <v>0</v>
      </c>
      <c r="BH363" s="83" t="str">
        <f>HYPERLINK("https://pbs.twimg.com/profile_banners/95919876/1689969167")</f>
        <v>https://pbs.twimg.com/profile_banners/95919876/1689969167</v>
      </c>
      <c r="BI363" s="76"/>
      <c r="BJ363" s="76" t="s">
        <v>18704</v>
      </c>
      <c r="BK363" s="76" t="b">
        <v>0</v>
      </c>
      <c r="BL363" s="76"/>
      <c r="BM363" s="76" t="s">
        <v>66</v>
      </c>
      <c r="BN363" s="76" t="s">
        <v>18706</v>
      </c>
      <c r="BO363" s="83" t="str">
        <f>HYPERLINK("https://twitter.com/polibanza")</f>
        <v>https://twitter.com/polibanza</v>
      </c>
      <c r="BP363" s="2"/>
    </row>
    <row r="364" spans="1:68" x14ac:dyDescent="0.25">
      <c r="A364" s="62" t="s">
        <v>505</v>
      </c>
      <c r="B364" s="63"/>
      <c r="C364" s="63"/>
      <c r="D364" s="64"/>
      <c r="E364" s="66"/>
      <c r="F364" s="102" t="str">
        <f>HYPERLINK("https://pbs.twimg.com/profile_images/1450209508031094786/x6kSC0vZ_normal.jpg")</f>
        <v>https://pbs.twimg.com/profile_images/1450209508031094786/x6kSC0vZ_normal.jpg</v>
      </c>
      <c r="G364" s="63"/>
      <c r="H364" s="67"/>
      <c r="I364" s="68"/>
      <c r="J364" s="68"/>
      <c r="K364" s="67" t="s">
        <v>19067</v>
      </c>
      <c r="L364" s="71"/>
      <c r="M364" s="72"/>
      <c r="N364" s="72"/>
      <c r="O364" s="73"/>
      <c r="P364" s="74"/>
      <c r="Q364" s="74"/>
      <c r="R364" s="86"/>
      <c r="S364" s="86"/>
      <c r="T364" s="86"/>
      <c r="U364" s="86"/>
      <c r="V364" s="48"/>
      <c r="W364" s="48"/>
      <c r="X364" s="48"/>
      <c r="Y364" s="48"/>
      <c r="Z364" s="47"/>
      <c r="AA364" s="69">
        <v>364</v>
      </c>
      <c r="AB364" s="69"/>
      <c r="AC364" s="70"/>
      <c r="AD364" s="76" t="s">
        <v>16793</v>
      </c>
      <c r="AE364" s="81" t="s">
        <v>16268</v>
      </c>
      <c r="AF364" s="76">
        <v>55</v>
      </c>
      <c r="AG364" s="76">
        <v>16</v>
      </c>
      <c r="AH364" s="76">
        <v>152</v>
      </c>
      <c r="AI364" s="76">
        <v>1</v>
      </c>
      <c r="AJ364" s="76">
        <v>16</v>
      </c>
      <c r="AK364" s="76">
        <v>67</v>
      </c>
      <c r="AL364" s="76" t="b">
        <v>0</v>
      </c>
      <c r="AM364" s="78">
        <v>44487.886747685188</v>
      </c>
      <c r="AN364" s="76"/>
      <c r="AO364" s="76" t="s">
        <v>17971</v>
      </c>
      <c r="AP364" s="76"/>
      <c r="AQ364" s="76"/>
      <c r="AR364" s="76"/>
      <c r="AS364" s="83" t="str">
        <f>HYPERLINK("https://t.co/bGWTcOvME5")</f>
        <v>https://t.co/bGWTcOvME5</v>
      </c>
      <c r="AT364" s="83" t="str">
        <f>HYPERLINK("http://macrotradingfinance.blogspot.com")</f>
        <v>http://macrotradingfinance.blogspot.com</v>
      </c>
      <c r="AU364" s="76" t="s">
        <v>18679</v>
      </c>
      <c r="AV364" s="76">
        <v>1.6635907594197399E+18</v>
      </c>
      <c r="AW364" s="76"/>
      <c r="AX364" s="76" t="b">
        <v>0</v>
      </c>
      <c r="AY364" s="76"/>
      <c r="AZ364" s="76"/>
      <c r="BA364" s="76" t="b">
        <v>0</v>
      </c>
      <c r="BB364" s="76" t="b">
        <v>1</v>
      </c>
      <c r="BC364" s="76" t="b">
        <v>1</v>
      </c>
      <c r="BD364" s="76" t="b">
        <v>0</v>
      </c>
      <c r="BE364" s="76" t="b">
        <v>0</v>
      </c>
      <c r="BF364" s="76" t="b">
        <v>0</v>
      </c>
      <c r="BG364" s="76" t="b">
        <v>0</v>
      </c>
      <c r="BH364" s="83" t="str">
        <f>HYPERLINK("https://pbs.twimg.com/profile_banners/1450209251608211458/1649087944")</f>
        <v>https://pbs.twimg.com/profile_banners/1450209251608211458/1649087944</v>
      </c>
      <c r="BI364" s="76"/>
      <c r="BJ364" s="76" t="s">
        <v>18704</v>
      </c>
      <c r="BK364" s="76" t="b">
        <v>0</v>
      </c>
      <c r="BL364" s="76"/>
      <c r="BM364" s="76" t="s">
        <v>66</v>
      </c>
      <c r="BN364" s="76" t="s">
        <v>18706</v>
      </c>
      <c r="BO364" s="83" t="str">
        <f>HYPERLINK("https://twitter.com/matteofarci1")</f>
        <v>https://twitter.com/matteofarci1</v>
      </c>
      <c r="BP364" s="2"/>
    </row>
    <row r="365" spans="1:68" x14ac:dyDescent="0.25">
      <c r="A365" s="62" t="s">
        <v>506</v>
      </c>
      <c r="B365" s="63"/>
      <c r="C365" s="63"/>
      <c r="D365" s="64"/>
      <c r="E365" s="66"/>
      <c r="F365" s="102" t="str">
        <f>HYPERLINK("https://pbs.twimg.com/profile_images/1682118778769797120/CKcMPtaE_normal.jpg")</f>
        <v>https://pbs.twimg.com/profile_images/1682118778769797120/CKcMPtaE_normal.jpg</v>
      </c>
      <c r="G365" s="63"/>
      <c r="H365" s="67"/>
      <c r="I365" s="68"/>
      <c r="J365" s="68"/>
      <c r="K365" s="67" t="s">
        <v>19068</v>
      </c>
      <c r="L365" s="71"/>
      <c r="M365" s="72"/>
      <c r="N365" s="72"/>
      <c r="O365" s="73"/>
      <c r="P365" s="74"/>
      <c r="Q365" s="74"/>
      <c r="R365" s="86"/>
      <c r="S365" s="86"/>
      <c r="T365" s="86"/>
      <c r="U365" s="86"/>
      <c r="V365" s="48"/>
      <c r="W365" s="48"/>
      <c r="X365" s="48"/>
      <c r="Y365" s="48"/>
      <c r="Z365" s="47"/>
      <c r="AA365" s="69">
        <v>365</v>
      </c>
      <c r="AB365" s="69"/>
      <c r="AC365" s="70"/>
      <c r="AD365" s="76" t="s">
        <v>506</v>
      </c>
      <c r="AE365" s="81" t="s">
        <v>16269</v>
      </c>
      <c r="AF365" s="76">
        <v>1</v>
      </c>
      <c r="AG365" s="76">
        <v>3</v>
      </c>
      <c r="AH365" s="76">
        <v>3</v>
      </c>
      <c r="AI365" s="76">
        <v>0</v>
      </c>
      <c r="AJ365" s="76">
        <v>0</v>
      </c>
      <c r="AK365" s="76">
        <v>3</v>
      </c>
      <c r="AL365" s="76" t="b">
        <v>0</v>
      </c>
      <c r="AM365" s="78">
        <v>45126.091134259259</v>
      </c>
      <c r="AN365" s="76"/>
      <c r="AO365" s="76"/>
      <c r="AP365" s="83" t="str">
        <f>HYPERLINK("https://t.co/c0Lid7atM0")</f>
        <v>https://t.co/c0Lid7atM0</v>
      </c>
      <c r="AQ365" s="83" t="str">
        <f>HYPERLINK("https://lapiensoladigo.blogspot.com/")</f>
        <v>https://lapiensoladigo.blogspot.com/</v>
      </c>
      <c r="AR365" s="76" t="s">
        <v>18451</v>
      </c>
      <c r="AS365" s="76"/>
      <c r="AT365" s="76"/>
      <c r="AU365" s="76"/>
      <c r="AV365" s="76"/>
      <c r="AW365" s="83" t="str">
        <f>HYPERLINK("https://t.co/c0Lid7atM0")</f>
        <v>https://t.co/c0Lid7atM0</v>
      </c>
      <c r="AX365" s="76" t="b">
        <v>0</v>
      </c>
      <c r="AY365" s="76"/>
      <c r="AZ365" s="76"/>
      <c r="BA365" s="76" t="b">
        <v>0</v>
      </c>
      <c r="BB365" s="76" t="b">
        <v>1</v>
      </c>
      <c r="BC365" s="76" t="b">
        <v>1</v>
      </c>
      <c r="BD365" s="76" t="b">
        <v>0</v>
      </c>
      <c r="BE365" s="76" t="b">
        <v>0</v>
      </c>
      <c r="BF365" s="76" t="b">
        <v>0</v>
      </c>
      <c r="BG365" s="76" t="b">
        <v>0</v>
      </c>
      <c r="BH365" s="83" t="str">
        <f>HYPERLINK("https://pbs.twimg.com/profile_banners/1681486702659919872/1689883346")</f>
        <v>https://pbs.twimg.com/profile_banners/1681486702659919872/1689883346</v>
      </c>
      <c r="BI365" s="76"/>
      <c r="BJ365" s="76" t="s">
        <v>18704</v>
      </c>
      <c r="BK365" s="76" t="b">
        <v>0</v>
      </c>
      <c r="BL365" s="76"/>
      <c r="BM365" s="76" t="s">
        <v>66</v>
      </c>
      <c r="BN365" s="76" t="s">
        <v>18706</v>
      </c>
      <c r="BO365" s="83" t="str">
        <f>HYPERLINK("https://twitter.com/lapiensoladigo")</f>
        <v>https://twitter.com/lapiensoladigo</v>
      </c>
      <c r="BP365" s="2"/>
    </row>
    <row r="366" spans="1:68" x14ac:dyDescent="0.25">
      <c r="A366" s="62" t="s">
        <v>507</v>
      </c>
      <c r="B366" s="63"/>
      <c r="C366" s="63"/>
      <c r="D366" s="64"/>
      <c r="E366" s="66"/>
      <c r="F366" s="102" t="str">
        <f>HYPERLINK("https://pbs.twimg.com/profile_images/1699367788005974017/o2gpS1HL_normal.jpg")</f>
        <v>https://pbs.twimg.com/profile_images/1699367788005974017/o2gpS1HL_normal.jpg</v>
      </c>
      <c r="G366" s="63"/>
      <c r="H366" s="67"/>
      <c r="I366" s="68"/>
      <c r="J366" s="68"/>
      <c r="K366" s="67" t="s">
        <v>19069</v>
      </c>
      <c r="L366" s="71"/>
      <c r="M366" s="72"/>
      <c r="N366" s="72"/>
      <c r="O366" s="73"/>
      <c r="P366" s="74"/>
      <c r="Q366" s="74"/>
      <c r="R366" s="86"/>
      <c r="S366" s="86"/>
      <c r="T366" s="86"/>
      <c r="U366" s="86"/>
      <c r="V366" s="48"/>
      <c r="W366" s="48"/>
      <c r="X366" s="48"/>
      <c r="Y366" s="48"/>
      <c r="Z366" s="47"/>
      <c r="AA366" s="69">
        <v>366</v>
      </c>
      <c r="AB366" s="69"/>
      <c r="AC366" s="70"/>
      <c r="AD366" s="76" t="s">
        <v>16794</v>
      </c>
      <c r="AE366" s="81" t="s">
        <v>16270</v>
      </c>
      <c r="AF366" s="76">
        <v>197</v>
      </c>
      <c r="AG366" s="76">
        <v>323</v>
      </c>
      <c r="AH366" s="76">
        <v>19</v>
      </c>
      <c r="AI366" s="76">
        <v>1</v>
      </c>
      <c r="AJ366" s="76">
        <v>3536</v>
      </c>
      <c r="AK366" s="76">
        <v>0</v>
      </c>
      <c r="AL366" s="76" t="b">
        <v>0</v>
      </c>
      <c r="AM366" s="78">
        <v>44989.92391203704</v>
      </c>
      <c r="AN366" s="76"/>
      <c r="AO366" s="76" t="s">
        <v>17972</v>
      </c>
      <c r="AP366" s="76"/>
      <c r="AQ366" s="76"/>
      <c r="AR366" s="76"/>
      <c r="AS366" s="76"/>
      <c r="AT366" s="76"/>
      <c r="AU366" s="76"/>
      <c r="AV366" s="76"/>
      <c r="AW366" s="76"/>
      <c r="AX366" s="76" t="b">
        <v>0</v>
      </c>
      <c r="AY366" s="76"/>
      <c r="AZ366" s="76"/>
      <c r="BA366" s="76" t="b">
        <v>1</v>
      </c>
      <c r="BB366" s="76" t="b">
        <v>1</v>
      </c>
      <c r="BC366" s="76" t="b">
        <v>1</v>
      </c>
      <c r="BD366" s="76" t="b">
        <v>0</v>
      </c>
      <c r="BE366" s="76" t="b">
        <v>0</v>
      </c>
      <c r="BF366" s="76" t="b">
        <v>0</v>
      </c>
      <c r="BG366" s="76" t="b">
        <v>0</v>
      </c>
      <c r="BH366" s="83" t="str">
        <f>HYPERLINK("https://pbs.twimg.com/profile_banners/1632141373473439745/1683482942")</f>
        <v>https://pbs.twimg.com/profile_banners/1632141373473439745/1683482942</v>
      </c>
      <c r="BI366" s="76"/>
      <c r="BJ366" s="76" t="s">
        <v>18704</v>
      </c>
      <c r="BK366" s="76" t="b">
        <v>0</v>
      </c>
      <c r="BL366" s="76"/>
      <c r="BM366" s="76" t="s">
        <v>66</v>
      </c>
      <c r="BN366" s="76" t="s">
        <v>18706</v>
      </c>
      <c r="BO366" s="83" t="str">
        <f>HYPERLINK("https://twitter.com/trademindfulne1")</f>
        <v>https://twitter.com/trademindfulne1</v>
      </c>
      <c r="BP366" s="2"/>
    </row>
    <row r="367" spans="1:68" x14ac:dyDescent="0.25">
      <c r="A367" s="62" t="s">
        <v>508</v>
      </c>
      <c r="B367" s="63"/>
      <c r="C367" s="63"/>
      <c r="D367" s="64"/>
      <c r="E367" s="66"/>
      <c r="F367" s="102" t="str">
        <f>HYPERLINK("https://pbs.twimg.com/profile_images/911736123105439745/5vFqAZep_normal.jpg")</f>
        <v>https://pbs.twimg.com/profile_images/911736123105439745/5vFqAZep_normal.jpg</v>
      </c>
      <c r="G367" s="63"/>
      <c r="H367" s="67"/>
      <c r="I367" s="68"/>
      <c r="J367" s="68"/>
      <c r="K367" s="67" t="s">
        <v>19070</v>
      </c>
      <c r="L367" s="71"/>
      <c r="M367" s="72"/>
      <c r="N367" s="72"/>
      <c r="O367" s="73"/>
      <c r="P367" s="74"/>
      <c r="Q367" s="74"/>
      <c r="R367" s="86"/>
      <c r="S367" s="86"/>
      <c r="T367" s="86"/>
      <c r="U367" s="86"/>
      <c r="V367" s="48"/>
      <c r="W367" s="48"/>
      <c r="X367" s="48"/>
      <c r="Y367" s="48"/>
      <c r="Z367" s="47"/>
      <c r="AA367" s="69">
        <v>367</v>
      </c>
      <c r="AB367" s="69"/>
      <c r="AC367" s="70"/>
      <c r="AD367" s="76" t="s">
        <v>16795</v>
      </c>
      <c r="AE367" s="81" t="s">
        <v>17248</v>
      </c>
      <c r="AF367" s="76">
        <v>888</v>
      </c>
      <c r="AG367" s="76">
        <v>324</v>
      </c>
      <c r="AH367" s="76">
        <v>49637</v>
      </c>
      <c r="AI367" s="76">
        <v>46</v>
      </c>
      <c r="AJ367" s="76">
        <v>558</v>
      </c>
      <c r="AK367" s="76">
        <v>5356</v>
      </c>
      <c r="AL367" s="76" t="b">
        <v>0</v>
      </c>
      <c r="AM367" s="78">
        <v>39925.53465277778</v>
      </c>
      <c r="AN367" s="76" t="s">
        <v>17543</v>
      </c>
      <c r="AO367" s="76" t="s">
        <v>17973</v>
      </c>
      <c r="AP367" s="83" t="str">
        <f>HYPERLINK("https://t.co/KWZSlc15GC")</f>
        <v>https://t.co/KWZSlc15GC</v>
      </c>
      <c r="AQ367" s="83" t="str">
        <f>HYPERLINK("https://poemaserrados.blogspot.com")</f>
        <v>https://poemaserrados.blogspot.com</v>
      </c>
      <c r="AR367" s="76" t="s">
        <v>18452</v>
      </c>
      <c r="AS367" s="83" t="str">
        <f>HYPERLINK("https://t.co/jSHeajpBM9")</f>
        <v>https://t.co/jSHeajpBM9</v>
      </c>
      <c r="AT367" s="83" t="str">
        <f>HYPERLINK("http://www.instagram.com/abpoeta")</f>
        <v>http://www.instagram.com/abpoeta</v>
      </c>
      <c r="AU367" s="76" t="s">
        <v>18680</v>
      </c>
      <c r="AV367" s="76">
        <v>1.40927172700429E+18</v>
      </c>
      <c r="AW367" s="83" t="str">
        <f>HYPERLINK("https://t.co/KWZSlc15GC")</f>
        <v>https://t.co/KWZSlc15GC</v>
      </c>
      <c r="AX367" s="76" t="b">
        <v>0</v>
      </c>
      <c r="AY367" s="76"/>
      <c r="AZ367" s="76"/>
      <c r="BA367" s="76" t="b">
        <v>0</v>
      </c>
      <c r="BB367" s="76" t="b">
        <v>1</v>
      </c>
      <c r="BC367" s="76" t="b">
        <v>0</v>
      </c>
      <c r="BD367" s="76" t="b">
        <v>0</v>
      </c>
      <c r="BE367" s="76" t="b">
        <v>0</v>
      </c>
      <c r="BF367" s="76" t="b">
        <v>0</v>
      </c>
      <c r="BG367" s="76" t="b">
        <v>0</v>
      </c>
      <c r="BH367" s="83" t="str">
        <f>HYPERLINK("https://pbs.twimg.com/profile_banners/34261231/1562283836")</f>
        <v>https://pbs.twimg.com/profile_banners/34261231/1562283836</v>
      </c>
      <c r="BI367" s="76"/>
      <c r="BJ367" s="76" t="s">
        <v>18704</v>
      </c>
      <c r="BK367" s="76" t="b">
        <v>0</v>
      </c>
      <c r="BL367" s="76"/>
      <c r="BM367" s="76" t="s">
        <v>66</v>
      </c>
      <c r="BN367" s="76" t="s">
        <v>18706</v>
      </c>
      <c r="BO367" s="83" t="str">
        <f>HYPERLINK("https://twitter.com/abpoeta")</f>
        <v>https://twitter.com/abpoeta</v>
      </c>
      <c r="BP367" s="2"/>
    </row>
    <row r="368" spans="1:68" x14ac:dyDescent="0.25">
      <c r="A368" s="62" t="s">
        <v>509</v>
      </c>
      <c r="B368" s="63"/>
      <c r="C368" s="63"/>
      <c r="D368" s="64"/>
      <c r="E368" s="66"/>
      <c r="F368" s="102" t="str">
        <f>HYPERLINK("https://pbs.twimg.com/profile_images/821808726042640384/nzIZXhlo_normal.jpg")</f>
        <v>https://pbs.twimg.com/profile_images/821808726042640384/nzIZXhlo_normal.jpg</v>
      </c>
      <c r="G368" s="63"/>
      <c r="H368" s="67"/>
      <c r="I368" s="68"/>
      <c r="J368" s="68"/>
      <c r="K368" s="67" t="s">
        <v>19071</v>
      </c>
      <c r="L368" s="71"/>
      <c r="M368" s="72"/>
      <c r="N368" s="72"/>
      <c r="O368" s="73"/>
      <c r="P368" s="74"/>
      <c r="Q368" s="74"/>
      <c r="R368" s="86"/>
      <c r="S368" s="86"/>
      <c r="T368" s="86"/>
      <c r="U368" s="86"/>
      <c r="V368" s="48"/>
      <c r="W368" s="48"/>
      <c r="X368" s="48"/>
      <c r="Y368" s="48"/>
      <c r="Z368" s="47"/>
      <c r="AA368" s="69">
        <v>368</v>
      </c>
      <c r="AB368" s="69"/>
      <c r="AC368" s="70"/>
      <c r="AD368" s="76" t="s">
        <v>16796</v>
      </c>
      <c r="AE368" s="81" t="s">
        <v>17249</v>
      </c>
      <c r="AF368" s="76">
        <v>1772</v>
      </c>
      <c r="AG368" s="76">
        <v>4640</v>
      </c>
      <c r="AH368" s="76">
        <v>148949</v>
      </c>
      <c r="AI368" s="76">
        <v>10</v>
      </c>
      <c r="AJ368" s="76">
        <v>50383</v>
      </c>
      <c r="AK368" s="76">
        <v>11251</v>
      </c>
      <c r="AL368" s="76" t="b">
        <v>0</v>
      </c>
      <c r="AM368" s="78">
        <v>41883.67559027778</v>
      </c>
      <c r="AN368" s="76" t="s">
        <v>17544</v>
      </c>
      <c r="AO368" s="76" t="s">
        <v>17974</v>
      </c>
      <c r="AP368" s="76"/>
      <c r="AQ368" s="76"/>
      <c r="AR368" s="76"/>
      <c r="AS368" s="76"/>
      <c r="AT368" s="76"/>
      <c r="AU368" s="76"/>
      <c r="AV368" s="76">
        <v>1.67560267359519E+18</v>
      </c>
      <c r="AW368" s="76"/>
      <c r="AX368" s="76" t="b">
        <v>0</v>
      </c>
      <c r="AY368" s="76"/>
      <c r="AZ368" s="76"/>
      <c r="BA368" s="76" t="b">
        <v>0</v>
      </c>
      <c r="BB368" s="76" t="b">
        <v>1</v>
      </c>
      <c r="BC368" s="76" t="b">
        <v>1</v>
      </c>
      <c r="BD368" s="76" t="b">
        <v>0</v>
      </c>
      <c r="BE368" s="76" t="b">
        <v>1</v>
      </c>
      <c r="BF368" s="76" t="b">
        <v>0</v>
      </c>
      <c r="BG368" s="76" t="b">
        <v>0</v>
      </c>
      <c r="BH368" s="83" t="str">
        <f>HYPERLINK("https://pbs.twimg.com/profile_banners/2784332684/1410374216")</f>
        <v>https://pbs.twimg.com/profile_banners/2784332684/1410374216</v>
      </c>
      <c r="BI368" s="76"/>
      <c r="BJ368" s="76" t="s">
        <v>18704</v>
      </c>
      <c r="BK368" s="76" t="b">
        <v>0</v>
      </c>
      <c r="BL368" s="76"/>
      <c r="BM368" s="76" t="s">
        <v>66</v>
      </c>
      <c r="BN368" s="76" t="s">
        <v>18706</v>
      </c>
      <c r="BO368" s="83" t="str">
        <f>HYPERLINK("https://twitter.com/jmartinsfilho2")</f>
        <v>https://twitter.com/jmartinsfilho2</v>
      </c>
      <c r="BP368" s="2"/>
    </row>
    <row r="369" spans="1:68" x14ac:dyDescent="0.25">
      <c r="A369" s="62" t="s">
        <v>698</v>
      </c>
      <c r="B369" s="63"/>
      <c r="C369" s="63"/>
      <c r="D369" s="64"/>
      <c r="E369" s="66"/>
      <c r="F369" s="102" t="str">
        <f>HYPERLINK("https://pbs.twimg.com/profile_images/1610325557580898306/UZehEg0I_normal.jpg")</f>
        <v>https://pbs.twimg.com/profile_images/1610325557580898306/UZehEg0I_normal.jpg</v>
      </c>
      <c r="G369" s="63"/>
      <c r="H369" s="67"/>
      <c r="I369" s="68"/>
      <c r="J369" s="68"/>
      <c r="K369" s="67" t="s">
        <v>19072</v>
      </c>
      <c r="L369" s="71"/>
      <c r="M369" s="72"/>
      <c r="N369" s="72"/>
      <c r="O369" s="73"/>
      <c r="P369" s="74"/>
      <c r="Q369" s="74"/>
      <c r="R369" s="86"/>
      <c r="S369" s="86"/>
      <c r="T369" s="86"/>
      <c r="U369" s="86"/>
      <c r="V369" s="48"/>
      <c r="W369" s="48"/>
      <c r="X369" s="48"/>
      <c r="Y369" s="48"/>
      <c r="Z369" s="47"/>
      <c r="AA369" s="69">
        <v>369</v>
      </c>
      <c r="AB369" s="69"/>
      <c r="AC369" s="70"/>
      <c r="AD369" s="76" t="s">
        <v>16797</v>
      </c>
      <c r="AE369" s="81" t="s">
        <v>17250</v>
      </c>
      <c r="AF369" s="76">
        <v>3781</v>
      </c>
      <c r="AG369" s="76">
        <v>1153</v>
      </c>
      <c r="AH369" s="76">
        <v>41555</v>
      </c>
      <c r="AI369" s="76">
        <v>116</v>
      </c>
      <c r="AJ369" s="76">
        <v>2192</v>
      </c>
      <c r="AK369" s="76">
        <v>17653</v>
      </c>
      <c r="AL369" s="76" t="b">
        <v>0</v>
      </c>
      <c r="AM369" s="78">
        <v>40150.785960648151</v>
      </c>
      <c r="AN369" s="76" t="s">
        <v>17545</v>
      </c>
      <c r="AO369" s="76" t="s">
        <v>17975</v>
      </c>
      <c r="AP369" s="83" t="str">
        <f>HYPERLINK("https://t.co/6A3YCXdYQW")</f>
        <v>https://t.co/6A3YCXdYQW</v>
      </c>
      <c r="AQ369" s="83" t="str">
        <f>HYPERLINK("http://www.diariodocomercio.com.br")</f>
        <v>http://www.diariodocomercio.com.br</v>
      </c>
      <c r="AR369" s="76" t="s">
        <v>18453</v>
      </c>
      <c r="AS369" s="76"/>
      <c r="AT369" s="76"/>
      <c r="AU369" s="76"/>
      <c r="AV369" s="76"/>
      <c r="AW369" s="83" t="str">
        <f>HYPERLINK("https://t.co/6A3YCXdYQW")</f>
        <v>https://t.co/6A3YCXdYQW</v>
      </c>
      <c r="AX369" s="76" t="b">
        <v>0</v>
      </c>
      <c r="AY369" s="76"/>
      <c r="AZ369" s="76"/>
      <c r="BA369" s="76" t="b">
        <v>0</v>
      </c>
      <c r="BB369" s="76" t="b">
        <v>1</v>
      </c>
      <c r="BC369" s="76" t="b">
        <v>0</v>
      </c>
      <c r="BD369" s="76" t="b">
        <v>0</v>
      </c>
      <c r="BE369" s="76" t="b">
        <v>1</v>
      </c>
      <c r="BF369" s="76" t="b">
        <v>0</v>
      </c>
      <c r="BG369" s="76" t="b">
        <v>0</v>
      </c>
      <c r="BH369" s="83" t="str">
        <f>HYPERLINK("https://pbs.twimg.com/profile_banners/94388843/1672766564")</f>
        <v>https://pbs.twimg.com/profile_banners/94388843/1672766564</v>
      </c>
      <c r="BI369" s="76"/>
      <c r="BJ369" s="76" t="s">
        <v>18704</v>
      </c>
      <c r="BK369" s="76" t="b">
        <v>0</v>
      </c>
      <c r="BL369" s="76"/>
      <c r="BM369" s="76" t="s">
        <v>66</v>
      </c>
      <c r="BN369" s="76" t="s">
        <v>18706</v>
      </c>
      <c r="BO369" s="83" t="str">
        <f>HYPERLINK("https://twitter.com/diario_comercio")</f>
        <v>https://twitter.com/diario_comercio</v>
      </c>
      <c r="BP369" s="2"/>
    </row>
    <row r="370" spans="1:68" x14ac:dyDescent="0.25">
      <c r="A370" s="62" t="s">
        <v>510</v>
      </c>
      <c r="B370" s="63"/>
      <c r="C370" s="63"/>
      <c r="D370" s="64"/>
      <c r="E370" s="66"/>
      <c r="F370" s="102" t="str">
        <f>HYPERLINK("https://pbs.twimg.com/profile_images/1483038877384425474/8Kl4p-Eu_normal.jpg")</f>
        <v>https://pbs.twimg.com/profile_images/1483038877384425474/8Kl4p-Eu_normal.jpg</v>
      </c>
      <c r="G370" s="63"/>
      <c r="H370" s="67"/>
      <c r="I370" s="68"/>
      <c r="J370" s="68"/>
      <c r="K370" s="67" t="s">
        <v>19073</v>
      </c>
      <c r="L370" s="71"/>
      <c r="M370" s="72"/>
      <c r="N370" s="72"/>
      <c r="O370" s="73"/>
      <c r="P370" s="74"/>
      <c r="Q370" s="74"/>
      <c r="R370" s="86"/>
      <c r="S370" s="86"/>
      <c r="T370" s="86"/>
      <c r="U370" s="86"/>
      <c r="V370" s="48"/>
      <c r="W370" s="48"/>
      <c r="X370" s="48"/>
      <c r="Y370" s="48"/>
      <c r="Z370" s="47"/>
      <c r="AA370" s="69">
        <v>370</v>
      </c>
      <c r="AB370" s="69"/>
      <c r="AC370" s="70"/>
      <c r="AD370" s="76" t="s">
        <v>16798</v>
      </c>
      <c r="AE370" s="81" t="s">
        <v>17251</v>
      </c>
      <c r="AF370" s="76">
        <v>1313</v>
      </c>
      <c r="AG370" s="76">
        <v>2239</v>
      </c>
      <c r="AH370" s="76">
        <v>72061</v>
      </c>
      <c r="AI370" s="76">
        <v>6</v>
      </c>
      <c r="AJ370" s="76">
        <v>134649</v>
      </c>
      <c r="AK370" s="76">
        <v>3500</v>
      </c>
      <c r="AL370" s="76" t="b">
        <v>0</v>
      </c>
      <c r="AM370" s="78">
        <v>39920.635115740741</v>
      </c>
      <c r="AN370" s="76" t="s">
        <v>17546</v>
      </c>
      <c r="AO370" s="76" t="s">
        <v>17976</v>
      </c>
      <c r="AP370" s="83" t="str">
        <f>HYPERLINK("https://t.co/4wvkw2dTfl")</f>
        <v>https://t.co/4wvkw2dTfl</v>
      </c>
      <c r="AQ370" s="83" t="str">
        <f>HYPERLINK("http://www.victorgaete.com.br")</f>
        <v>http://www.victorgaete.com.br</v>
      </c>
      <c r="AR370" s="76" t="s">
        <v>18454</v>
      </c>
      <c r="AS370" s="76"/>
      <c r="AT370" s="76"/>
      <c r="AU370" s="76"/>
      <c r="AV370" s="76">
        <v>1.10006380717774E+18</v>
      </c>
      <c r="AW370" s="83" t="str">
        <f>HYPERLINK("https://t.co/4wvkw2dTfl")</f>
        <v>https://t.co/4wvkw2dTfl</v>
      </c>
      <c r="AX370" s="76" t="b">
        <v>0</v>
      </c>
      <c r="AY370" s="76"/>
      <c r="AZ370" s="76"/>
      <c r="BA370" s="76" t="b">
        <v>0</v>
      </c>
      <c r="BB370" s="76" t="b">
        <v>1</v>
      </c>
      <c r="BC370" s="76" t="b">
        <v>0</v>
      </c>
      <c r="BD370" s="76" t="b">
        <v>0</v>
      </c>
      <c r="BE370" s="76" t="b">
        <v>1</v>
      </c>
      <c r="BF370" s="76" t="b">
        <v>0</v>
      </c>
      <c r="BG370" s="76" t="b">
        <v>0</v>
      </c>
      <c r="BH370" s="76"/>
      <c r="BI370" s="76"/>
      <c r="BJ370" s="76" t="s">
        <v>18704</v>
      </c>
      <c r="BK370" s="76" t="b">
        <v>0</v>
      </c>
      <c r="BL370" s="76"/>
      <c r="BM370" s="76" t="s">
        <v>66</v>
      </c>
      <c r="BN370" s="76" t="s">
        <v>18706</v>
      </c>
      <c r="BO370" s="83" t="str">
        <f>HYPERLINK("https://twitter.com/victorgaete")</f>
        <v>https://twitter.com/victorgaete</v>
      </c>
      <c r="BP370" s="2"/>
    </row>
    <row r="371" spans="1:68" x14ac:dyDescent="0.25">
      <c r="A371" s="62" t="s">
        <v>694</v>
      </c>
      <c r="B371" s="63"/>
      <c r="C371" s="63"/>
      <c r="D371" s="64"/>
      <c r="E371" s="66"/>
      <c r="F371" s="102" t="str">
        <f>HYPERLINK("https://pbs.twimg.com/profile_images/1653327360765116420/8Nlb-KzU_normal.jpg")</f>
        <v>https://pbs.twimg.com/profile_images/1653327360765116420/8Nlb-KzU_normal.jpg</v>
      </c>
      <c r="G371" s="63"/>
      <c r="H371" s="67"/>
      <c r="I371" s="68"/>
      <c r="J371" s="68"/>
      <c r="K371" s="67" t="s">
        <v>19074</v>
      </c>
      <c r="L371" s="71"/>
      <c r="M371" s="72"/>
      <c r="N371" s="72"/>
      <c r="O371" s="73"/>
      <c r="P371" s="74"/>
      <c r="Q371" s="74"/>
      <c r="R371" s="86"/>
      <c r="S371" s="86"/>
      <c r="T371" s="86"/>
      <c r="U371" s="86"/>
      <c r="V371" s="48"/>
      <c r="W371" s="48"/>
      <c r="X371" s="48"/>
      <c r="Y371" s="48"/>
      <c r="Z371" s="47"/>
      <c r="AA371" s="69">
        <v>371</v>
      </c>
      <c r="AB371" s="69"/>
      <c r="AC371" s="70"/>
      <c r="AD371" s="76" t="s">
        <v>16799</v>
      </c>
      <c r="AE371" s="81" t="s">
        <v>17252</v>
      </c>
      <c r="AF371" s="76">
        <v>1561175</v>
      </c>
      <c r="AG371" s="76">
        <v>172</v>
      </c>
      <c r="AH371" s="76">
        <v>231188</v>
      </c>
      <c r="AI371" s="76">
        <v>3114</v>
      </c>
      <c r="AJ371" s="76">
        <v>2627</v>
      </c>
      <c r="AK371" s="76">
        <v>56275</v>
      </c>
      <c r="AL371" s="76" t="b">
        <v>0</v>
      </c>
      <c r="AM371" s="78">
        <v>39897.82271990741</v>
      </c>
      <c r="AN371" s="76"/>
      <c r="AO371" s="76"/>
      <c r="AP371" s="76"/>
      <c r="AQ371" s="76"/>
      <c r="AR371" s="76"/>
      <c r="AS371" s="76"/>
      <c r="AT371" s="76"/>
      <c r="AU371" s="76"/>
      <c r="AV371" s="76">
        <v>1.7074099802807401E+18</v>
      </c>
      <c r="AW371" s="76"/>
      <c r="AX371" s="76" t="b">
        <v>1</v>
      </c>
      <c r="AY371" s="76"/>
      <c r="AZ371" s="76"/>
      <c r="BA371" s="76" t="b">
        <v>0</v>
      </c>
      <c r="BB371" s="76" t="b">
        <v>0</v>
      </c>
      <c r="BC371" s="76" t="b">
        <v>1</v>
      </c>
      <c r="BD371" s="76" t="b">
        <v>0</v>
      </c>
      <c r="BE371" s="76" t="b">
        <v>1</v>
      </c>
      <c r="BF371" s="76" t="b">
        <v>0</v>
      </c>
      <c r="BG371" s="76" t="b">
        <v>0</v>
      </c>
      <c r="BH371" s="83" t="str">
        <f>HYPERLINK("https://pbs.twimg.com/profile_banners/26573303/1683019684")</f>
        <v>https://pbs.twimg.com/profile_banners/26573303/1683019684</v>
      </c>
      <c r="BI371" s="76"/>
      <c r="BJ371" s="76" t="s">
        <v>18704</v>
      </c>
      <c r="BK371" s="76" t="b">
        <v>0</v>
      </c>
      <c r="BL371" s="76"/>
      <c r="BM371" s="76" t="s">
        <v>66</v>
      </c>
      <c r="BN371" s="76" t="s">
        <v>18706</v>
      </c>
      <c r="BO371" s="83" t="str">
        <f>HYPERLINK("https://twitter.com/radiobandnewsfm")</f>
        <v>https://twitter.com/radiobandnewsfm</v>
      </c>
      <c r="BP371" s="2"/>
    </row>
    <row r="372" spans="1:68" x14ac:dyDescent="0.25">
      <c r="A372" s="62" t="s">
        <v>511</v>
      </c>
      <c r="B372" s="63"/>
      <c r="C372" s="63"/>
      <c r="D372" s="64"/>
      <c r="E372" s="66"/>
      <c r="F372" s="102" t="str">
        <f>HYPERLINK("https://abs.twimg.com/sticky/default_profile_images/default_profile_normal.png")</f>
        <v>https://abs.twimg.com/sticky/default_profile_images/default_profile_normal.png</v>
      </c>
      <c r="G372" s="63"/>
      <c r="H372" s="67"/>
      <c r="I372" s="68"/>
      <c r="J372" s="68"/>
      <c r="K372" s="67" t="s">
        <v>19075</v>
      </c>
      <c r="L372" s="71"/>
      <c r="M372" s="72"/>
      <c r="N372" s="72"/>
      <c r="O372" s="73"/>
      <c r="P372" s="74"/>
      <c r="Q372" s="74"/>
      <c r="R372" s="86"/>
      <c r="S372" s="86"/>
      <c r="T372" s="86"/>
      <c r="U372" s="86"/>
      <c r="V372" s="48"/>
      <c r="W372" s="48"/>
      <c r="X372" s="48"/>
      <c r="Y372" s="48"/>
      <c r="Z372" s="47"/>
      <c r="AA372" s="69">
        <v>372</v>
      </c>
      <c r="AB372" s="69"/>
      <c r="AC372" s="70"/>
      <c r="AD372" s="76" t="s">
        <v>16800</v>
      </c>
      <c r="AE372" s="81" t="s">
        <v>17253</v>
      </c>
      <c r="AF372" s="76">
        <v>7</v>
      </c>
      <c r="AG372" s="76">
        <v>97</v>
      </c>
      <c r="AH372" s="76">
        <v>193</v>
      </c>
      <c r="AI372" s="76">
        <v>0</v>
      </c>
      <c r="AJ372" s="76">
        <v>6</v>
      </c>
      <c r="AK372" s="76">
        <v>27</v>
      </c>
      <c r="AL372" s="76" t="b">
        <v>0</v>
      </c>
      <c r="AM372" s="78">
        <v>40502.778171296297</v>
      </c>
      <c r="AN372" s="76"/>
      <c r="AO372" s="83" t="str">
        <f>HYPERLINK("https://t.co/zU85X5GOua")</f>
        <v>https://t.co/zU85X5GOua</v>
      </c>
      <c r="AP372" s="83" t="str">
        <f>HYPERLINK("https://t.co/CaPenSd2NB")</f>
        <v>https://t.co/CaPenSd2NB</v>
      </c>
      <c r="AQ372" s="83" t="str">
        <f>HYPERLINK("https://www.youtube.com/c/Babycris2000")</f>
        <v>https://www.youtube.com/c/Babycris2000</v>
      </c>
      <c r="AR372" s="76" t="s">
        <v>18455</v>
      </c>
      <c r="AS372" s="83" t="str">
        <f>HYPERLINK("https://t.co/zU85X5GOua")</f>
        <v>https://t.co/zU85X5GOua</v>
      </c>
      <c r="AT372" s="83" t="str">
        <f>HYPERLINK("http://youtube.com/c/Babycris2000")</f>
        <v>http://youtube.com/c/Babycris2000</v>
      </c>
      <c r="AU372" s="76" t="s">
        <v>18455</v>
      </c>
      <c r="AV372" s="76"/>
      <c r="AW372" s="83" t="str">
        <f>HYPERLINK("https://t.co/CaPenSd2NB")</f>
        <v>https://t.co/CaPenSd2NB</v>
      </c>
      <c r="AX372" s="76" t="b">
        <v>0</v>
      </c>
      <c r="AY372" s="76"/>
      <c r="AZ372" s="76"/>
      <c r="BA372" s="76" t="b">
        <v>0</v>
      </c>
      <c r="BB372" s="76" t="b">
        <v>1</v>
      </c>
      <c r="BC372" s="76" t="b">
        <v>1</v>
      </c>
      <c r="BD372" s="76" t="b">
        <v>1</v>
      </c>
      <c r="BE372" s="76" t="b">
        <v>0</v>
      </c>
      <c r="BF372" s="76" t="b">
        <v>0</v>
      </c>
      <c r="BG372" s="76" t="b">
        <v>0</v>
      </c>
      <c r="BH372" s="76"/>
      <c r="BI372" s="76"/>
      <c r="BJ372" s="76" t="s">
        <v>18704</v>
      </c>
      <c r="BK372" s="76" t="b">
        <v>0</v>
      </c>
      <c r="BL372" s="76"/>
      <c r="BM372" s="76" t="s">
        <v>66</v>
      </c>
      <c r="BN372" s="76" t="s">
        <v>18706</v>
      </c>
      <c r="BO372" s="83" t="str">
        <f>HYPERLINK("https://twitter.com/vivabemcombr")</f>
        <v>https://twitter.com/vivabemcombr</v>
      </c>
      <c r="BP372" s="2"/>
    </row>
    <row r="373" spans="1:68" x14ac:dyDescent="0.25">
      <c r="A373" s="62" t="s">
        <v>512</v>
      </c>
      <c r="B373" s="63"/>
      <c r="C373" s="63"/>
      <c r="D373" s="64"/>
      <c r="E373" s="66"/>
      <c r="F373" s="102" t="str">
        <f>HYPERLINK("https://pbs.twimg.com/profile_images/1687635832398598144/bh2daACb_normal.jpg")</f>
        <v>https://pbs.twimg.com/profile_images/1687635832398598144/bh2daACb_normal.jpg</v>
      </c>
      <c r="G373" s="63"/>
      <c r="H373" s="67"/>
      <c r="I373" s="68"/>
      <c r="J373" s="68"/>
      <c r="K373" s="67" t="s">
        <v>19076</v>
      </c>
      <c r="L373" s="71"/>
      <c r="M373" s="72"/>
      <c r="N373" s="72"/>
      <c r="O373" s="73"/>
      <c r="P373" s="74"/>
      <c r="Q373" s="74"/>
      <c r="R373" s="86"/>
      <c r="S373" s="86"/>
      <c r="T373" s="86"/>
      <c r="U373" s="86"/>
      <c r="V373" s="48"/>
      <c r="W373" s="48"/>
      <c r="X373" s="48"/>
      <c r="Y373" s="48"/>
      <c r="Z373" s="47"/>
      <c r="AA373" s="69">
        <v>373</v>
      </c>
      <c r="AB373" s="69"/>
      <c r="AC373" s="70"/>
      <c r="AD373" s="76" t="s">
        <v>16801</v>
      </c>
      <c r="AE373" s="81" t="s">
        <v>16271</v>
      </c>
      <c r="AF373" s="76">
        <v>5013</v>
      </c>
      <c r="AG373" s="76">
        <v>5053</v>
      </c>
      <c r="AH373" s="76">
        <v>30990</v>
      </c>
      <c r="AI373" s="76">
        <v>1</v>
      </c>
      <c r="AJ373" s="76">
        <v>4249</v>
      </c>
      <c r="AK373" s="76">
        <v>1268</v>
      </c>
      <c r="AL373" s="76" t="b">
        <v>0</v>
      </c>
      <c r="AM373" s="78">
        <v>42763.576851851853</v>
      </c>
      <c r="AN373" s="76" t="s">
        <v>17402</v>
      </c>
      <c r="AO373" s="76" t="s">
        <v>17977</v>
      </c>
      <c r="AP373" s="76"/>
      <c r="AQ373" s="76"/>
      <c r="AR373" s="76"/>
      <c r="AS373" s="76"/>
      <c r="AT373" s="76"/>
      <c r="AU373" s="76"/>
      <c r="AV373" s="76">
        <v>1.52053936513454E+18</v>
      </c>
      <c r="AW373" s="76"/>
      <c r="AX373" s="76" t="b">
        <v>0</v>
      </c>
      <c r="AY373" s="76"/>
      <c r="AZ373" s="76"/>
      <c r="BA373" s="76" t="b">
        <v>1</v>
      </c>
      <c r="BB373" s="76" t="b">
        <v>0</v>
      </c>
      <c r="BC373" s="76" t="b">
        <v>1</v>
      </c>
      <c r="BD373" s="76" t="b">
        <v>0</v>
      </c>
      <c r="BE373" s="76" t="b">
        <v>1</v>
      </c>
      <c r="BF373" s="76" t="b">
        <v>0</v>
      </c>
      <c r="BG373" s="76" t="b">
        <v>0</v>
      </c>
      <c r="BH373" s="83" t="str">
        <f>HYPERLINK("https://pbs.twimg.com/profile_banners/825340319122280449/1691198766")</f>
        <v>https://pbs.twimg.com/profile_banners/825340319122280449/1691198766</v>
      </c>
      <c r="BI373" s="76"/>
      <c r="BJ373" s="76" t="s">
        <v>18704</v>
      </c>
      <c r="BK373" s="76" t="b">
        <v>0</v>
      </c>
      <c r="BL373" s="76"/>
      <c r="BM373" s="76" t="s">
        <v>66</v>
      </c>
      <c r="BN373" s="76" t="s">
        <v>18706</v>
      </c>
      <c r="BO373" s="83" t="str">
        <f>HYPERLINK("https://twitter.com/alverti6451")</f>
        <v>https://twitter.com/alverti6451</v>
      </c>
      <c r="BP373" s="2"/>
    </row>
    <row r="374" spans="1:68" x14ac:dyDescent="0.25">
      <c r="A374" s="62" t="s">
        <v>513</v>
      </c>
      <c r="B374" s="63"/>
      <c r="C374" s="63"/>
      <c r="D374" s="64"/>
      <c r="E374" s="66"/>
      <c r="F374" s="102" t="str">
        <f>HYPERLINK("https://pbs.twimg.com/profile_images/1682355836998279168/1CBJITIk_normal.jpg")</f>
        <v>https://pbs.twimg.com/profile_images/1682355836998279168/1CBJITIk_normal.jpg</v>
      </c>
      <c r="G374" s="63"/>
      <c r="H374" s="67"/>
      <c r="I374" s="68"/>
      <c r="J374" s="68"/>
      <c r="K374" s="67" t="s">
        <v>19077</v>
      </c>
      <c r="L374" s="71"/>
      <c r="M374" s="72"/>
      <c r="N374" s="72"/>
      <c r="O374" s="73"/>
      <c r="P374" s="74"/>
      <c r="Q374" s="74"/>
      <c r="R374" s="86"/>
      <c r="S374" s="86"/>
      <c r="T374" s="86"/>
      <c r="U374" s="86"/>
      <c r="V374" s="48"/>
      <c r="W374" s="48"/>
      <c r="X374" s="48"/>
      <c r="Y374" s="48"/>
      <c r="Z374" s="47"/>
      <c r="AA374" s="69">
        <v>374</v>
      </c>
      <c r="AB374" s="69"/>
      <c r="AC374" s="70"/>
      <c r="AD374" s="76" t="s">
        <v>513</v>
      </c>
      <c r="AE374" s="81" t="s">
        <v>16272</v>
      </c>
      <c r="AF374" s="76">
        <v>11</v>
      </c>
      <c r="AG374" s="76">
        <v>6</v>
      </c>
      <c r="AH374" s="76">
        <v>623</v>
      </c>
      <c r="AI374" s="76">
        <v>0</v>
      </c>
      <c r="AJ374" s="76">
        <v>404</v>
      </c>
      <c r="AK374" s="76">
        <v>213</v>
      </c>
      <c r="AL374" s="76" t="b">
        <v>0</v>
      </c>
      <c r="AM374" s="78">
        <v>45092.103055555555</v>
      </c>
      <c r="AN374" s="76" t="s">
        <v>10570</v>
      </c>
      <c r="AO374" s="76" t="s">
        <v>17978</v>
      </c>
      <c r="AP374" s="83" t="str">
        <f>HYPERLINK("https://t.co/BjszqFpJZk")</f>
        <v>https://t.co/BjszqFpJZk</v>
      </c>
      <c r="AQ374" s="83" t="str">
        <f>HYPERLINK("https://payfast.greenn.com.br/redirect/32767/?a_id=303625")</f>
        <v>https://payfast.greenn.com.br/redirect/32767/?a_id=303625</v>
      </c>
      <c r="AR374" s="76" t="s">
        <v>18456</v>
      </c>
      <c r="AS374" s="76"/>
      <c r="AT374" s="76"/>
      <c r="AU374" s="76"/>
      <c r="AV374" s="76"/>
      <c r="AW374" s="83" t="str">
        <f>HYPERLINK("https://t.co/BjszqFpJZk")</f>
        <v>https://t.co/BjszqFpJZk</v>
      </c>
      <c r="AX374" s="76" t="b">
        <v>0</v>
      </c>
      <c r="AY374" s="76"/>
      <c r="AZ374" s="76"/>
      <c r="BA374" s="76" t="b">
        <v>0</v>
      </c>
      <c r="BB374" s="76" t="b">
        <v>1</v>
      </c>
      <c r="BC374" s="76" t="b">
        <v>1</v>
      </c>
      <c r="BD374" s="76" t="b">
        <v>0</v>
      </c>
      <c r="BE374" s="76" t="b">
        <v>0</v>
      </c>
      <c r="BF374" s="76" t="b">
        <v>0</v>
      </c>
      <c r="BG374" s="76" t="b">
        <v>0</v>
      </c>
      <c r="BH374" s="76"/>
      <c r="BI374" s="76"/>
      <c r="BJ374" s="76" t="s">
        <v>18704</v>
      </c>
      <c r="BK374" s="76" t="b">
        <v>0</v>
      </c>
      <c r="BL374" s="76"/>
      <c r="BM374" s="76" t="s">
        <v>66</v>
      </c>
      <c r="BN374" s="76" t="s">
        <v>18706</v>
      </c>
      <c r="BO374" s="83" t="str">
        <f>HYPERLINK("https://twitter.com/shortsdoraiam")</f>
        <v>https://twitter.com/shortsdoraiam</v>
      </c>
      <c r="BP374" s="2"/>
    </row>
    <row r="375" spans="1:68" x14ac:dyDescent="0.25">
      <c r="A375" s="62" t="s">
        <v>514</v>
      </c>
      <c r="B375" s="63"/>
      <c r="C375" s="63"/>
      <c r="D375" s="64"/>
      <c r="E375" s="66"/>
      <c r="F375" s="102" t="str">
        <f>HYPERLINK("https://pbs.twimg.com/profile_images/1642663980597379074/Qtc8M2PG_normal.jpg")</f>
        <v>https://pbs.twimg.com/profile_images/1642663980597379074/Qtc8M2PG_normal.jpg</v>
      </c>
      <c r="G375" s="63"/>
      <c r="H375" s="67"/>
      <c r="I375" s="68"/>
      <c r="J375" s="68"/>
      <c r="K375" s="67" t="s">
        <v>19078</v>
      </c>
      <c r="L375" s="71"/>
      <c r="M375" s="72"/>
      <c r="N375" s="72"/>
      <c r="O375" s="73"/>
      <c r="P375" s="74"/>
      <c r="Q375" s="74"/>
      <c r="R375" s="86"/>
      <c r="S375" s="86"/>
      <c r="T375" s="86"/>
      <c r="U375" s="86"/>
      <c r="V375" s="48"/>
      <c r="W375" s="48"/>
      <c r="X375" s="48"/>
      <c r="Y375" s="48"/>
      <c r="Z375" s="47"/>
      <c r="AA375" s="69">
        <v>375</v>
      </c>
      <c r="AB375" s="69"/>
      <c r="AC375" s="70"/>
      <c r="AD375" s="76" t="s">
        <v>16802</v>
      </c>
      <c r="AE375" s="81" t="s">
        <v>16273</v>
      </c>
      <c r="AF375" s="76">
        <v>1157</v>
      </c>
      <c r="AG375" s="76">
        <v>387</v>
      </c>
      <c r="AH375" s="76">
        <v>2516</v>
      </c>
      <c r="AI375" s="76">
        <v>12</v>
      </c>
      <c r="AJ375" s="76">
        <v>37</v>
      </c>
      <c r="AK375" s="76">
        <v>32</v>
      </c>
      <c r="AL375" s="76" t="b">
        <v>0</v>
      </c>
      <c r="AM375" s="78">
        <v>45018.957696759258</v>
      </c>
      <c r="AN375" s="76"/>
      <c r="AO375" s="76" t="s">
        <v>17979</v>
      </c>
      <c r="AP375" s="83" t="str">
        <f>HYPERLINK("https://t.co/4VATFaNTlw")</f>
        <v>https://t.co/4VATFaNTlw</v>
      </c>
      <c r="AQ375" s="83" t="str">
        <f>HYPERLINK("http://perfil.com/canal-e")</f>
        <v>http://perfil.com/canal-e</v>
      </c>
      <c r="AR375" s="76" t="s">
        <v>18457</v>
      </c>
      <c r="AS375" s="76"/>
      <c r="AT375" s="76"/>
      <c r="AU375" s="76"/>
      <c r="AV375" s="76"/>
      <c r="AW375" s="83" t="str">
        <f>HYPERLINK("https://t.co/4VATFaNTlw")</f>
        <v>https://t.co/4VATFaNTlw</v>
      </c>
      <c r="AX375" s="76" t="b">
        <v>0</v>
      </c>
      <c r="AY375" s="76"/>
      <c r="AZ375" s="76"/>
      <c r="BA375" s="76" t="b">
        <v>0</v>
      </c>
      <c r="BB375" s="76" t="b">
        <v>1</v>
      </c>
      <c r="BC375" s="76" t="b">
        <v>1</v>
      </c>
      <c r="BD375" s="76" t="b">
        <v>0</v>
      </c>
      <c r="BE375" s="76" t="b">
        <v>0</v>
      </c>
      <c r="BF375" s="76" t="b">
        <v>0</v>
      </c>
      <c r="BG375" s="76" t="b">
        <v>0</v>
      </c>
      <c r="BH375" s="83" t="str">
        <f>HYPERLINK("https://pbs.twimg.com/profile_banners/1642662868393906185/1680476588")</f>
        <v>https://pbs.twimg.com/profile_banners/1642662868393906185/1680476588</v>
      </c>
      <c r="BI375" s="76"/>
      <c r="BJ375" s="76" t="s">
        <v>18704</v>
      </c>
      <c r="BK375" s="76" t="b">
        <v>0</v>
      </c>
      <c r="BL375" s="76"/>
      <c r="BM375" s="76" t="s">
        <v>66</v>
      </c>
      <c r="BN375" s="76" t="s">
        <v>18706</v>
      </c>
      <c r="BO375" s="83" t="str">
        <f>HYPERLINK("https://twitter.com/canaleconomico")</f>
        <v>https://twitter.com/canaleconomico</v>
      </c>
      <c r="BP375" s="2"/>
    </row>
    <row r="376" spans="1:68" x14ac:dyDescent="0.25">
      <c r="A376" s="62" t="s">
        <v>515</v>
      </c>
      <c r="B376" s="63"/>
      <c r="C376" s="63"/>
      <c r="D376" s="64"/>
      <c r="E376" s="66"/>
      <c r="F376" s="102" t="str">
        <f>HYPERLINK("https://pbs.twimg.com/profile_images/1683907163851194377/F9a2IXBL_normal.jpg")</f>
        <v>https://pbs.twimg.com/profile_images/1683907163851194377/F9a2IXBL_normal.jpg</v>
      </c>
      <c r="G376" s="63"/>
      <c r="H376" s="67"/>
      <c r="I376" s="68"/>
      <c r="J376" s="68"/>
      <c r="K376" s="67" t="s">
        <v>19079</v>
      </c>
      <c r="L376" s="71"/>
      <c r="M376" s="72"/>
      <c r="N376" s="72"/>
      <c r="O376" s="73"/>
      <c r="P376" s="74"/>
      <c r="Q376" s="74"/>
      <c r="R376" s="86"/>
      <c r="S376" s="86"/>
      <c r="T376" s="86"/>
      <c r="U376" s="86"/>
      <c r="V376" s="48"/>
      <c r="W376" s="48"/>
      <c r="X376" s="48"/>
      <c r="Y376" s="48"/>
      <c r="Z376" s="47"/>
      <c r="AA376" s="69">
        <v>376</v>
      </c>
      <c r="AB376" s="69"/>
      <c r="AC376" s="70"/>
      <c r="AD376" s="76" t="s">
        <v>16803</v>
      </c>
      <c r="AE376" s="81" t="s">
        <v>16274</v>
      </c>
      <c r="AF376" s="76">
        <v>2</v>
      </c>
      <c r="AG376" s="76">
        <v>9</v>
      </c>
      <c r="AH376" s="76">
        <v>2</v>
      </c>
      <c r="AI376" s="76">
        <v>0</v>
      </c>
      <c r="AJ376" s="76">
        <v>0</v>
      </c>
      <c r="AK376" s="76">
        <v>2</v>
      </c>
      <c r="AL376" s="76" t="b">
        <v>0</v>
      </c>
      <c r="AM376" s="78">
        <v>45132.769988425927</v>
      </c>
      <c r="AN376" s="76"/>
      <c r="AO376" s="76"/>
      <c r="AP376" s="83" t="str">
        <f>HYPERLINK("https://t.co/wdVKk4Qlmj")</f>
        <v>https://t.co/wdVKk4Qlmj</v>
      </c>
      <c r="AQ376" s="83" t="str">
        <f>HYPERLINK("https://instagram.com/franciscobertoldiat?igshid=MzNlNGNkZWQ4Mg==")</f>
        <v>https://instagram.com/franciscobertoldiat?igshid=MzNlNGNkZWQ4Mg==</v>
      </c>
      <c r="AR376" s="76" t="s">
        <v>18458</v>
      </c>
      <c r="AS376" s="76"/>
      <c r="AT376" s="76"/>
      <c r="AU376" s="76"/>
      <c r="AV376" s="76"/>
      <c r="AW376" s="83" t="str">
        <f>HYPERLINK("https://t.co/wdVKk4Qlmj")</f>
        <v>https://t.co/wdVKk4Qlmj</v>
      </c>
      <c r="AX376" s="76" t="b">
        <v>0</v>
      </c>
      <c r="AY376" s="76"/>
      <c r="AZ376" s="76"/>
      <c r="BA376" s="76" t="b">
        <v>0</v>
      </c>
      <c r="BB376" s="76" t="b">
        <v>1</v>
      </c>
      <c r="BC376" s="76" t="b">
        <v>1</v>
      </c>
      <c r="BD376" s="76" t="b">
        <v>0</v>
      </c>
      <c r="BE376" s="76" t="b">
        <v>0</v>
      </c>
      <c r="BF376" s="76" t="b">
        <v>0</v>
      </c>
      <c r="BG376" s="76" t="b">
        <v>0</v>
      </c>
      <c r="BH376" s="83" t="str">
        <f>HYPERLINK("https://pbs.twimg.com/profile_banners/1683907046750421002/1690312932")</f>
        <v>https://pbs.twimg.com/profile_banners/1683907046750421002/1690312932</v>
      </c>
      <c r="BI376" s="76"/>
      <c r="BJ376" s="76" t="s">
        <v>18704</v>
      </c>
      <c r="BK376" s="76" t="b">
        <v>0</v>
      </c>
      <c r="BL376" s="76"/>
      <c r="BM376" s="76" t="s">
        <v>66</v>
      </c>
      <c r="BN376" s="76" t="s">
        <v>18706</v>
      </c>
      <c r="BO376" s="83" t="str">
        <f>HYPERLINK("https://twitter.com/franciscob_at")</f>
        <v>https://twitter.com/franciscob_at</v>
      </c>
      <c r="BP376" s="2"/>
    </row>
    <row r="377" spans="1:68" x14ac:dyDescent="0.25">
      <c r="A377" s="62" t="s">
        <v>516</v>
      </c>
      <c r="B377" s="63"/>
      <c r="C377" s="63"/>
      <c r="D377" s="64"/>
      <c r="E377" s="66"/>
      <c r="F377" s="102" t="str">
        <f>HYPERLINK("https://pbs.twimg.com/profile_images/1675234410549989376/hJIA7uKW_normal.jpg")</f>
        <v>https://pbs.twimg.com/profile_images/1675234410549989376/hJIA7uKW_normal.jpg</v>
      </c>
      <c r="G377" s="63"/>
      <c r="H377" s="67"/>
      <c r="I377" s="68"/>
      <c r="J377" s="68"/>
      <c r="K377" s="67" t="s">
        <v>19080</v>
      </c>
      <c r="L377" s="71"/>
      <c r="M377" s="72"/>
      <c r="N377" s="72"/>
      <c r="O377" s="73"/>
      <c r="P377" s="74"/>
      <c r="Q377" s="74"/>
      <c r="R377" s="86"/>
      <c r="S377" s="86"/>
      <c r="T377" s="86"/>
      <c r="U377" s="86"/>
      <c r="V377" s="48"/>
      <c r="W377" s="48"/>
      <c r="X377" s="48"/>
      <c r="Y377" s="48"/>
      <c r="Z377" s="47"/>
      <c r="AA377" s="69">
        <v>377</v>
      </c>
      <c r="AB377" s="69"/>
      <c r="AC377" s="70"/>
      <c r="AD377" s="76" t="s">
        <v>16804</v>
      </c>
      <c r="AE377" s="81" t="s">
        <v>17254</v>
      </c>
      <c r="AF377" s="76">
        <v>29805</v>
      </c>
      <c r="AG377" s="76">
        <v>213</v>
      </c>
      <c r="AH377" s="76">
        <v>13795</v>
      </c>
      <c r="AI377" s="76">
        <v>253</v>
      </c>
      <c r="AJ377" s="76">
        <v>2291</v>
      </c>
      <c r="AK377" s="76">
        <v>4819</v>
      </c>
      <c r="AL377" s="76" t="b">
        <v>0</v>
      </c>
      <c r="AM377" s="78">
        <v>39818.754155092596</v>
      </c>
      <c r="AN377" s="76" t="s">
        <v>17547</v>
      </c>
      <c r="AO377" s="76" t="s">
        <v>17980</v>
      </c>
      <c r="AP377" s="83" t="str">
        <f>HYPERLINK("https://t.co/IuFj0fvZzr")</f>
        <v>https://t.co/IuFj0fvZzr</v>
      </c>
      <c r="AQ377" s="83" t="str">
        <f>HYPERLINK("http://www.insper.edu.br")</f>
        <v>http://www.insper.edu.br</v>
      </c>
      <c r="AR377" s="76" t="s">
        <v>18459</v>
      </c>
      <c r="AS377" s="76"/>
      <c r="AT377" s="76"/>
      <c r="AU377" s="76"/>
      <c r="AV377" s="76"/>
      <c r="AW377" s="83" t="str">
        <f>HYPERLINK("https://t.co/IuFj0fvZzr")</f>
        <v>https://t.co/IuFj0fvZzr</v>
      </c>
      <c r="AX377" s="76" t="b">
        <v>0</v>
      </c>
      <c r="AY377" s="76"/>
      <c r="AZ377" s="76"/>
      <c r="BA377" s="76" t="b">
        <v>0</v>
      </c>
      <c r="BB377" s="76" t="b">
        <v>1</v>
      </c>
      <c r="BC377" s="76" t="b">
        <v>0</v>
      </c>
      <c r="BD377" s="76" t="b">
        <v>0</v>
      </c>
      <c r="BE377" s="76" t="b">
        <v>1</v>
      </c>
      <c r="BF377" s="76" t="b">
        <v>0</v>
      </c>
      <c r="BG377" s="76" t="b">
        <v>0</v>
      </c>
      <c r="BH377" s="83" t="str">
        <f>HYPERLINK("https://pbs.twimg.com/profile_banners/18639091/1671633705")</f>
        <v>https://pbs.twimg.com/profile_banners/18639091/1671633705</v>
      </c>
      <c r="BI377" s="76"/>
      <c r="BJ377" s="76" t="s">
        <v>18704</v>
      </c>
      <c r="BK377" s="76" t="b">
        <v>0</v>
      </c>
      <c r="BL377" s="76"/>
      <c r="BM377" s="76" t="s">
        <v>66</v>
      </c>
      <c r="BN377" s="76" t="s">
        <v>18706</v>
      </c>
      <c r="BO377" s="83" t="str">
        <f>HYPERLINK("https://twitter.com/insper")</f>
        <v>https://twitter.com/insper</v>
      </c>
      <c r="BP377" s="2"/>
    </row>
    <row r="378" spans="1:68" x14ac:dyDescent="0.25">
      <c r="A378" s="62" t="s">
        <v>517</v>
      </c>
      <c r="B378" s="63"/>
      <c r="C378" s="63"/>
      <c r="D378" s="64"/>
      <c r="E378" s="66"/>
      <c r="F378" s="102" t="str">
        <f>HYPERLINK("https://pbs.twimg.com/profile_images/1546163935333814276/n7HvQBLs_normal.jpg")</f>
        <v>https://pbs.twimg.com/profile_images/1546163935333814276/n7HvQBLs_normal.jpg</v>
      </c>
      <c r="G378" s="63"/>
      <c r="H378" s="67"/>
      <c r="I378" s="68"/>
      <c r="J378" s="68"/>
      <c r="K378" s="67" t="s">
        <v>19081</v>
      </c>
      <c r="L378" s="71"/>
      <c r="M378" s="72"/>
      <c r="N378" s="72"/>
      <c r="O378" s="73"/>
      <c r="P378" s="74"/>
      <c r="Q378" s="74"/>
      <c r="R378" s="86"/>
      <c r="S378" s="86"/>
      <c r="T378" s="86"/>
      <c r="U378" s="86"/>
      <c r="V378" s="48"/>
      <c r="W378" s="48"/>
      <c r="X378" s="48"/>
      <c r="Y378" s="48"/>
      <c r="Z378" s="47"/>
      <c r="AA378" s="69">
        <v>378</v>
      </c>
      <c r="AB378" s="69"/>
      <c r="AC378" s="70"/>
      <c r="AD378" s="76" t="s">
        <v>16805</v>
      </c>
      <c r="AE378" s="81" t="s">
        <v>15952</v>
      </c>
      <c r="AF378" s="76">
        <v>18</v>
      </c>
      <c r="AG378" s="76">
        <v>250</v>
      </c>
      <c r="AH378" s="76">
        <v>170</v>
      </c>
      <c r="AI378" s="76">
        <v>0</v>
      </c>
      <c r="AJ378" s="76">
        <v>77</v>
      </c>
      <c r="AK378" s="76">
        <v>36</v>
      </c>
      <c r="AL378" s="76" t="b">
        <v>0</v>
      </c>
      <c r="AM378" s="78">
        <v>44525.440335648149</v>
      </c>
      <c r="AN378" s="76"/>
      <c r="AO378" s="76" t="s">
        <v>17981</v>
      </c>
      <c r="AP378" s="76"/>
      <c r="AQ378" s="76"/>
      <c r="AR378" s="76"/>
      <c r="AS378" s="76"/>
      <c r="AT378" s="76"/>
      <c r="AU378" s="76"/>
      <c r="AV378" s="76"/>
      <c r="AW378" s="76"/>
      <c r="AX378" s="76" t="b">
        <v>0</v>
      </c>
      <c r="AY378" s="76"/>
      <c r="AZ378" s="76"/>
      <c r="BA378" s="76" t="b">
        <v>1</v>
      </c>
      <c r="BB378" s="76" t="b">
        <v>1</v>
      </c>
      <c r="BC378" s="76" t="b">
        <v>1</v>
      </c>
      <c r="BD378" s="76" t="b">
        <v>0</v>
      </c>
      <c r="BE378" s="76" t="b">
        <v>0</v>
      </c>
      <c r="BF378" s="76" t="b">
        <v>0</v>
      </c>
      <c r="BG378" s="76" t="b">
        <v>0</v>
      </c>
      <c r="BH378" s="83" t="str">
        <f>HYPERLINK("https://pbs.twimg.com/profile_banners/1463818218905157645/1649330751")</f>
        <v>https://pbs.twimg.com/profile_banners/1463818218905157645/1649330751</v>
      </c>
      <c r="BI378" s="76"/>
      <c r="BJ378" s="76" t="s">
        <v>18704</v>
      </c>
      <c r="BK378" s="76" t="b">
        <v>0</v>
      </c>
      <c r="BL378" s="76"/>
      <c r="BM378" s="76" t="s">
        <v>66</v>
      </c>
      <c r="BN378" s="76" t="s">
        <v>18706</v>
      </c>
      <c r="BO378" s="83" t="str">
        <f>HYPERLINK("https://twitter.com/vitorfaustinoyt")</f>
        <v>https://twitter.com/vitorfaustinoyt</v>
      </c>
      <c r="BP378" s="2"/>
    </row>
    <row r="379" spans="1:68" x14ac:dyDescent="0.25">
      <c r="A379" s="62" t="s">
        <v>518</v>
      </c>
      <c r="B379" s="63"/>
      <c r="C379" s="63"/>
      <c r="D379" s="64"/>
      <c r="E379" s="66"/>
      <c r="F379" s="102" t="str">
        <f>HYPERLINK("https://pbs.twimg.com/profile_images/1550150737312813057/MXXKlGrw_normal.jpg")</f>
        <v>https://pbs.twimg.com/profile_images/1550150737312813057/MXXKlGrw_normal.jpg</v>
      </c>
      <c r="G379" s="63"/>
      <c r="H379" s="67"/>
      <c r="I379" s="68"/>
      <c r="J379" s="68"/>
      <c r="K379" s="67" t="s">
        <v>19082</v>
      </c>
      <c r="L379" s="71"/>
      <c r="M379" s="72"/>
      <c r="N379" s="72"/>
      <c r="O379" s="73"/>
      <c r="P379" s="74"/>
      <c r="Q379" s="74"/>
      <c r="R379" s="86"/>
      <c r="S379" s="86"/>
      <c r="T379" s="86"/>
      <c r="U379" s="86"/>
      <c r="V379" s="48"/>
      <c r="W379" s="48"/>
      <c r="X379" s="48"/>
      <c r="Y379" s="48"/>
      <c r="Z379" s="47"/>
      <c r="AA379" s="69">
        <v>379</v>
      </c>
      <c r="AB379" s="69"/>
      <c r="AC379" s="70"/>
      <c r="AD379" s="76" t="s">
        <v>16806</v>
      </c>
      <c r="AE379" s="81" t="s">
        <v>16275</v>
      </c>
      <c r="AF379" s="76">
        <v>34</v>
      </c>
      <c r="AG379" s="76">
        <v>98</v>
      </c>
      <c r="AH379" s="76">
        <v>556</v>
      </c>
      <c r="AI379" s="76">
        <v>0</v>
      </c>
      <c r="AJ379" s="76">
        <v>23373</v>
      </c>
      <c r="AK379" s="76">
        <v>61</v>
      </c>
      <c r="AL379" s="76" t="b">
        <v>0</v>
      </c>
      <c r="AM379" s="78">
        <v>43970.746342592596</v>
      </c>
      <c r="AN379" s="76" t="s">
        <v>10607</v>
      </c>
      <c r="AO379" s="76" t="s">
        <v>17982</v>
      </c>
      <c r="AP379" s="83" t="str">
        <f>HYPERLINK("https://t.co/RcwSdd2opR")</f>
        <v>https://t.co/RcwSdd2opR</v>
      </c>
      <c r="AQ379" s="83" t="str">
        <f>HYPERLINK("https://wa.me/message/YAFAFBVJSXRBG1")</f>
        <v>https://wa.me/message/YAFAFBVJSXRBG1</v>
      </c>
      <c r="AR379" s="76" t="s">
        <v>18460</v>
      </c>
      <c r="AS379" s="76"/>
      <c r="AT379" s="76"/>
      <c r="AU379" s="76"/>
      <c r="AV379" s="76"/>
      <c r="AW379" s="83" t="str">
        <f>HYPERLINK("https://t.co/RcwSdd2opR")</f>
        <v>https://t.co/RcwSdd2opR</v>
      </c>
      <c r="AX379" s="76" t="b">
        <v>0</v>
      </c>
      <c r="AY379" s="76"/>
      <c r="AZ379" s="76"/>
      <c r="BA379" s="76" t="b">
        <v>0</v>
      </c>
      <c r="BB379" s="76" t="b">
        <v>0</v>
      </c>
      <c r="BC379" s="76" t="b">
        <v>1</v>
      </c>
      <c r="BD379" s="76" t="b">
        <v>0</v>
      </c>
      <c r="BE379" s="76" t="b">
        <v>0</v>
      </c>
      <c r="BF379" s="76" t="b">
        <v>0</v>
      </c>
      <c r="BG379" s="76" t="b">
        <v>0</v>
      </c>
      <c r="BH379" s="83" t="str">
        <f>HYPERLINK("https://pbs.twimg.com/profile_banners/1262803844834222080/1622203434")</f>
        <v>https://pbs.twimg.com/profile_banners/1262803844834222080/1622203434</v>
      </c>
      <c r="BI379" s="76"/>
      <c r="BJ379" s="76" t="s">
        <v>18704</v>
      </c>
      <c r="BK379" s="76" t="b">
        <v>0</v>
      </c>
      <c r="BL379" s="76"/>
      <c r="BM379" s="76" t="s">
        <v>66</v>
      </c>
      <c r="BN379" s="76" t="s">
        <v>18706</v>
      </c>
      <c r="BO379" s="83" t="str">
        <f>HYPERLINK("https://twitter.com/cllaudioleite")</f>
        <v>https://twitter.com/cllaudioleite</v>
      </c>
      <c r="BP379" s="2"/>
    </row>
    <row r="380" spans="1:68" x14ac:dyDescent="0.25">
      <c r="A380" s="62" t="s">
        <v>519</v>
      </c>
      <c r="B380" s="63"/>
      <c r="C380" s="63"/>
      <c r="D380" s="64"/>
      <c r="E380" s="66"/>
      <c r="F380" s="102" t="str">
        <f>HYPERLINK("https://pbs.twimg.com/profile_images/1680681704724234242/7MKAU_-B_normal.jpg")</f>
        <v>https://pbs.twimg.com/profile_images/1680681704724234242/7MKAU_-B_normal.jpg</v>
      </c>
      <c r="G380" s="63"/>
      <c r="H380" s="67"/>
      <c r="I380" s="68"/>
      <c r="J380" s="68"/>
      <c r="K380" s="67" t="s">
        <v>19083</v>
      </c>
      <c r="L380" s="71"/>
      <c r="M380" s="72"/>
      <c r="N380" s="72"/>
      <c r="O380" s="73"/>
      <c r="P380" s="74"/>
      <c r="Q380" s="74"/>
      <c r="R380" s="86"/>
      <c r="S380" s="86"/>
      <c r="T380" s="86"/>
      <c r="U380" s="86"/>
      <c r="V380" s="48"/>
      <c r="W380" s="48"/>
      <c r="X380" s="48"/>
      <c r="Y380" s="48"/>
      <c r="Z380" s="47"/>
      <c r="AA380" s="69">
        <v>380</v>
      </c>
      <c r="AB380" s="69"/>
      <c r="AC380" s="70"/>
      <c r="AD380" s="76" t="s">
        <v>16807</v>
      </c>
      <c r="AE380" s="81" t="s">
        <v>15953</v>
      </c>
      <c r="AF380" s="76">
        <v>9</v>
      </c>
      <c r="AG380" s="76">
        <v>30</v>
      </c>
      <c r="AH380" s="76">
        <v>125</v>
      </c>
      <c r="AI380" s="76">
        <v>0</v>
      </c>
      <c r="AJ380" s="76">
        <v>265</v>
      </c>
      <c r="AK380" s="76">
        <v>7</v>
      </c>
      <c r="AL380" s="76" t="b">
        <v>0</v>
      </c>
      <c r="AM380" s="78">
        <v>45123.868020833332</v>
      </c>
      <c r="AN380" s="76"/>
      <c r="AO380" s="76"/>
      <c r="AP380" s="76"/>
      <c r="AQ380" s="76"/>
      <c r="AR380" s="76"/>
      <c r="AS380" s="76"/>
      <c r="AT380" s="76"/>
      <c r="AU380" s="76"/>
      <c r="AV380" s="76"/>
      <c r="AW380" s="76"/>
      <c r="AX380" s="76" t="b">
        <v>0</v>
      </c>
      <c r="AY380" s="76"/>
      <c r="AZ380" s="76"/>
      <c r="BA380" s="76" t="b">
        <v>1</v>
      </c>
      <c r="BB380" s="76" t="b">
        <v>0</v>
      </c>
      <c r="BC380" s="76" t="b">
        <v>1</v>
      </c>
      <c r="BD380" s="76" t="b">
        <v>0</v>
      </c>
      <c r="BE380" s="76" t="b">
        <v>0</v>
      </c>
      <c r="BF380" s="76" t="b">
        <v>0</v>
      </c>
      <c r="BG380" s="76" t="b">
        <v>0</v>
      </c>
      <c r="BH380" s="76"/>
      <c r="BI380" s="76"/>
      <c r="BJ380" s="76" t="s">
        <v>18704</v>
      </c>
      <c r="BK380" s="76" t="b">
        <v>0</v>
      </c>
      <c r="BL380" s="76"/>
      <c r="BM380" s="76" t="s">
        <v>66</v>
      </c>
      <c r="BN380" s="76" t="s">
        <v>18706</v>
      </c>
      <c r="BO380" s="83" t="str">
        <f>HYPERLINK("https://twitter.com/galanteinvest")</f>
        <v>https://twitter.com/galanteinvest</v>
      </c>
      <c r="BP380" s="2"/>
    </row>
    <row r="381" spans="1:68" x14ac:dyDescent="0.25">
      <c r="A381" s="62" t="s">
        <v>520</v>
      </c>
      <c r="B381" s="63"/>
      <c r="C381" s="63"/>
      <c r="D381" s="64"/>
      <c r="E381" s="66"/>
      <c r="F381" s="102" t="str">
        <f>HYPERLINK("https://pbs.twimg.com/profile_images/578274535415422976/CGQ_puzQ_normal.jpeg")</f>
        <v>https://pbs.twimg.com/profile_images/578274535415422976/CGQ_puzQ_normal.jpeg</v>
      </c>
      <c r="G381" s="63"/>
      <c r="H381" s="67"/>
      <c r="I381" s="68"/>
      <c r="J381" s="68"/>
      <c r="K381" s="67" t="s">
        <v>19084</v>
      </c>
      <c r="L381" s="71"/>
      <c r="M381" s="72"/>
      <c r="N381" s="72"/>
      <c r="O381" s="73"/>
      <c r="P381" s="74"/>
      <c r="Q381" s="74"/>
      <c r="R381" s="86"/>
      <c r="S381" s="86"/>
      <c r="T381" s="86"/>
      <c r="U381" s="86"/>
      <c r="V381" s="48"/>
      <c r="W381" s="48"/>
      <c r="X381" s="48"/>
      <c r="Y381" s="48"/>
      <c r="Z381" s="47"/>
      <c r="AA381" s="69">
        <v>381</v>
      </c>
      <c r="AB381" s="69"/>
      <c r="AC381" s="70"/>
      <c r="AD381" s="76" t="s">
        <v>16808</v>
      </c>
      <c r="AE381" s="81" t="s">
        <v>17255</v>
      </c>
      <c r="AF381" s="76">
        <v>11774</v>
      </c>
      <c r="AG381" s="76">
        <v>392</v>
      </c>
      <c r="AH381" s="76">
        <v>20353</v>
      </c>
      <c r="AI381" s="76">
        <v>556</v>
      </c>
      <c r="AJ381" s="76">
        <v>1256</v>
      </c>
      <c r="AK381" s="76">
        <v>4343</v>
      </c>
      <c r="AL381" s="76" t="b">
        <v>0</v>
      </c>
      <c r="AM381" s="78">
        <v>40030.060254629629</v>
      </c>
      <c r="AN381" s="76" t="s">
        <v>10586</v>
      </c>
      <c r="AO381" s="76" t="s">
        <v>17983</v>
      </c>
      <c r="AP381" s="83" t="str">
        <f>HYPERLINK("https://t.co/jrHjnbvFNa")</f>
        <v>https://t.co/jrHjnbvFNa</v>
      </c>
      <c r="AQ381" s="83" t="str">
        <f>HYPERLINK("http://t.me/Vagnermayerb3")</f>
        <v>http://t.me/Vagnermayerb3</v>
      </c>
      <c r="AR381" s="76" t="s">
        <v>18461</v>
      </c>
      <c r="AS381" s="76"/>
      <c r="AT381" s="76"/>
      <c r="AU381" s="76"/>
      <c r="AV381" s="76">
        <v>8.0683725289046003E+17</v>
      </c>
      <c r="AW381" s="83" t="str">
        <f>HYPERLINK("https://t.co/jrHjnbvFNa")</f>
        <v>https://t.co/jrHjnbvFNa</v>
      </c>
      <c r="AX381" s="76" t="b">
        <v>1</v>
      </c>
      <c r="AY381" s="76"/>
      <c r="AZ381" s="76"/>
      <c r="BA381" s="76" t="b">
        <v>0</v>
      </c>
      <c r="BB381" s="76" t="b">
        <v>0</v>
      </c>
      <c r="BC381" s="76" t="b">
        <v>0</v>
      </c>
      <c r="BD381" s="76" t="b">
        <v>0</v>
      </c>
      <c r="BE381" s="76" t="b">
        <v>1</v>
      </c>
      <c r="BF381" s="76" t="b">
        <v>0</v>
      </c>
      <c r="BG381" s="76" t="b">
        <v>0</v>
      </c>
      <c r="BH381" s="83" t="str">
        <f>HYPERLINK("https://pbs.twimg.com/profile_banners/62991145/1589574474")</f>
        <v>https://pbs.twimg.com/profile_banners/62991145/1589574474</v>
      </c>
      <c r="BI381" s="76"/>
      <c r="BJ381" s="76" t="s">
        <v>18704</v>
      </c>
      <c r="BK381" s="76" t="b">
        <v>0</v>
      </c>
      <c r="BL381" s="76"/>
      <c r="BM381" s="76" t="s">
        <v>66</v>
      </c>
      <c r="BN381" s="76" t="s">
        <v>18706</v>
      </c>
      <c r="BO381" s="83" t="str">
        <f>HYPERLINK("https://twitter.com/vagnermayerb3")</f>
        <v>https://twitter.com/vagnermayerb3</v>
      </c>
      <c r="BP381" s="2"/>
    </row>
    <row r="382" spans="1:68" x14ac:dyDescent="0.25">
      <c r="A382" s="62" t="s">
        <v>521</v>
      </c>
      <c r="B382" s="63"/>
      <c r="C382" s="63"/>
      <c r="D382" s="64"/>
      <c r="E382" s="66"/>
      <c r="F382" s="102" t="str">
        <f>HYPERLINK("https://pbs.twimg.com/profile_images/1655322338781536256/_mZGzvjT_normal.jpg")</f>
        <v>https://pbs.twimg.com/profile_images/1655322338781536256/_mZGzvjT_normal.jpg</v>
      </c>
      <c r="G382" s="63"/>
      <c r="H382" s="67"/>
      <c r="I382" s="68"/>
      <c r="J382" s="68"/>
      <c r="K382" s="67" t="s">
        <v>19085</v>
      </c>
      <c r="L382" s="71"/>
      <c r="M382" s="72"/>
      <c r="N382" s="72"/>
      <c r="O382" s="73"/>
      <c r="P382" s="74"/>
      <c r="Q382" s="74"/>
      <c r="R382" s="86"/>
      <c r="S382" s="86"/>
      <c r="T382" s="86"/>
      <c r="U382" s="86"/>
      <c r="V382" s="48"/>
      <c r="W382" s="48"/>
      <c r="X382" s="48"/>
      <c r="Y382" s="48"/>
      <c r="Z382" s="47"/>
      <c r="AA382" s="69">
        <v>382</v>
      </c>
      <c r="AB382" s="69"/>
      <c r="AC382" s="70"/>
      <c r="AD382" s="76" t="s">
        <v>16809</v>
      </c>
      <c r="AE382" s="81" t="s">
        <v>16276</v>
      </c>
      <c r="AF382" s="76">
        <v>737</v>
      </c>
      <c r="AG382" s="76">
        <v>781</v>
      </c>
      <c r="AH382" s="76">
        <v>2881</v>
      </c>
      <c r="AI382" s="76">
        <v>6</v>
      </c>
      <c r="AJ382" s="76">
        <v>8730</v>
      </c>
      <c r="AK382" s="76">
        <v>322</v>
      </c>
      <c r="AL382" s="76" t="b">
        <v>0</v>
      </c>
      <c r="AM382" s="78">
        <v>43995.818912037037</v>
      </c>
      <c r="AN382" s="76" t="s">
        <v>10586</v>
      </c>
      <c r="AO382" s="76" t="s">
        <v>17984</v>
      </c>
      <c r="AP382" s="83" t="str">
        <f>HYPERLINK("https://t.co/drfr0cQPj3")</f>
        <v>https://t.co/drfr0cQPj3</v>
      </c>
      <c r="AQ382" s="83" t="str">
        <f>HYPERLINK("https://anchor.fm/podcastpoeocinto")</f>
        <v>https://anchor.fm/podcastpoeocinto</v>
      </c>
      <c r="AR382" s="76" t="s">
        <v>18462</v>
      </c>
      <c r="AS382" s="76"/>
      <c r="AT382" s="76"/>
      <c r="AU382" s="76"/>
      <c r="AV382" s="76"/>
      <c r="AW382" s="83" t="str">
        <f>HYPERLINK("https://t.co/drfr0cQPj3")</f>
        <v>https://t.co/drfr0cQPj3</v>
      </c>
      <c r="AX382" s="76" t="b">
        <v>0</v>
      </c>
      <c r="AY382" s="76"/>
      <c r="AZ382" s="76"/>
      <c r="BA382" s="76" t="b">
        <v>0</v>
      </c>
      <c r="BB382" s="76" t="b">
        <v>1</v>
      </c>
      <c r="BC382" s="76" t="b">
        <v>1</v>
      </c>
      <c r="BD382" s="76" t="b">
        <v>0</v>
      </c>
      <c r="BE382" s="76" t="b">
        <v>0</v>
      </c>
      <c r="BF382" s="76" t="b">
        <v>0</v>
      </c>
      <c r="BG382" s="76" t="b">
        <v>0</v>
      </c>
      <c r="BH382" s="83" t="str">
        <f>HYPERLINK("https://pbs.twimg.com/profile_banners/1271889856604635137/1683494703")</f>
        <v>https://pbs.twimg.com/profile_banners/1271889856604635137/1683494703</v>
      </c>
      <c r="BI382" s="76"/>
      <c r="BJ382" s="76" t="s">
        <v>18704</v>
      </c>
      <c r="BK382" s="76" t="b">
        <v>0</v>
      </c>
      <c r="BL382" s="76"/>
      <c r="BM382" s="76" t="s">
        <v>66</v>
      </c>
      <c r="BN382" s="76" t="s">
        <v>18706</v>
      </c>
      <c r="BO382" s="83" t="str">
        <f>HYPERLINK("https://twitter.com/sobcustodio")</f>
        <v>https://twitter.com/sobcustodio</v>
      </c>
      <c r="BP382" s="2"/>
    </row>
    <row r="383" spans="1:68" x14ac:dyDescent="0.25">
      <c r="A383" s="62" t="s">
        <v>522</v>
      </c>
      <c r="B383" s="63"/>
      <c r="C383" s="63"/>
      <c r="D383" s="64"/>
      <c r="E383" s="66"/>
      <c r="F383" s="102" t="str">
        <f>HYPERLINK("https://pbs.twimg.com/profile_images/1489707852885286912/vV8YoocF_normal.jpg")</f>
        <v>https://pbs.twimg.com/profile_images/1489707852885286912/vV8YoocF_normal.jpg</v>
      </c>
      <c r="G383" s="63"/>
      <c r="H383" s="67"/>
      <c r="I383" s="68"/>
      <c r="J383" s="68"/>
      <c r="K383" s="67" t="s">
        <v>19086</v>
      </c>
      <c r="L383" s="71"/>
      <c r="M383" s="72"/>
      <c r="N383" s="72"/>
      <c r="O383" s="73"/>
      <c r="P383" s="74"/>
      <c r="Q383" s="74"/>
      <c r="R383" s="86"/>
      <c r="S383" s="86"/>
      <c r="T383" s="86"/>
      <c r="U383" s="86"/>
      <c r="V383" s="48"/>
      <c r="W383" s="48"/>
      <c r="X383" s="48"/>
      <c r="Y383" s="48"/>
      <c r="Z383" s="47"/>
      <c r="AA383" s="69">
        <v>383</v>
      </c>
      <c r="AB383" s="69"/>
      <c r="AC383" s="70"/>
      <c r="AD383" s="76" t="s">
        <v>16810</v>
      </c>
      <c r="AE383" s="81" t="s">
        <v>15938</v>
      </c>
      <c r="AF383" s="76">
        <v>721</v>
      </c>
      <c r="AG383" s="76">
        <v>83</v>
      </c>
      <c r="AH383" s="76">
        <v>11929</v>
      </c>
      <c r="AI383" s="76">
        <v>2</v>
      </c>
      <c r="AJ383" s="76">
        <v>10673</v>
      </c>
      <c r="AK383" s="76">
        <v>803</v>
      </c>
      <c r="AL383" s="76" t="b">
        <v>0</v>
      </c>
      <c r="AM383" s="78">
        <v>44054.478368055556</v>
      </c>
      <c r="AN383" s="76" t="s">
        <v>17445</v>
      </c>
      <c r="AO383" s="76" t="s">
        <v>17985</v>
      </c>
      <c r="AP383" s="76"/>
      <c r="AQ383" s="76"/>
      <c r="AR383" s="76"/>
      <c r="AS383" s="76"/>
      <c r="AT383" s="76"/>
      <c r="AU383" s="76"/>
      <c r="AV383" s="76"/>
      <c r="AW383" s="76"/>
      <c r="AX383" s="76" t="b">
        <v>0</v>
      </c>
      <c r="AY383" s="76"/>
      <c r="AZ383" s="76"/>
      <c r="BA383" s="76" t="b">
        <v>0</v>
      </c>
      <c r="BB383" s="76" t="b">
        <v>1</v>
      </c>
      <c r="BC383" s="76" t="b">
        <v>1</v>
      </c>
      <c r="BD383" s="76" t="b">
        <v>0</v>
      </c>
      <c r="BE383" s="76" t="b">
        <v>1</v>
      </c>
      <c r="BF383" s="76" t="b">
        <v>0</v>
      </c>
      <c r="BG383" s="76" t="b">
        <v>0</v>
      </c>
      <c r="BH383" s="83" t="str">
        <f>HYPERLINK("https://pbs.twimg.com/profile_banners/1293147322357108737/1652463279")</f>
        <v>https://pbs.twimg.com/profile_banners/1293147322357108737/1652463279</v>
      </c>
      <c r="BI383" s="76"/>
      <c r="BJ383" s="76" t="s">
        <v>18704</v>
      </c>
      <c r="BK383" s="76" t="b">
        <v>0</v>
      </c>
      <c r="BL383" s="76"/>
      <c r="BM383" s="76" t="s">
        <v>66</v>
      </c>
      <c r="BN383" s="76" t="s">
        <v>18706</v>
      </c>
      <c r="BO383" s="83" t="str">
        <f>HYPERLINK("https://twitter.com/tomi_l33")</f>
        <v>https://twitter.com/tomi_l33</v>
      </c>
      <c r="BP383" s="2"/>
    </row>
    <row r="384" spans="1:68" x14ac:dyDescent="0.25">
      <c r="A384" s="62" t="s">
        <v>523</v>
      </c>
      <c r="B384" s="63"/>
      <c r="C384" s="63"/>
      <c r="D384" s="64"/>
      <c r="E384" s="66"/>
      <c r="F384" s="102" t="str">
        <f>HYPERLINK("https://pbs.twimg.com/profile_images/1577097771961679873/kiiSE3ve_normal.jpg")</f>
        <v>https://pbs.twimg.com/profile_images/1577097771961679873/kiiSE3ve_normal.jpg</v>
      </c>
      <c r="G384" s="63"/>
      <c r="H384" s="67"/>
      <c r="I384" s="68"/>
      <c r="J384" s="68"/>
      <c r="K384" s="67" t="s">
        <v>19087</v>
      </c>
      <c r="L384" s="71"/>
      <c r="M384" s="72"/>
      <c r="N384" s="72"/>
      <c r="O384" s="73"/>
      <c r="P384" s="74"/>
      <c r="Q384" s="74"/>
      <c r="R384" s="86"/>
      <c r="S384" s="86"/>
      <c r="T384" s="86"/>
      <c r="U384" s="86"/>
      <c r="V384" s="48"/>
      <c r="W384" s="48"/>
      <c r="X384" s="48"/>
      <c r="Y384" s="48"/>
      <c r="Z384" s="47"/>
      <c r="AA384" s="69">
        <v>384</v>
      </c>
      <c r="AB384" s="69"/>
      <c r="AC384" s="70"/>
      <c r="AD384" s="76" t="s">
        <v>16811</v>
      </c>
      <c r="AE384" s="81" t="s">
        <v>15954</v>
      </c>
      <c r="AF384" s="76">
        <v>3176</v>
      </c>
      <c r="AG384" s="76">
        <v>2308</v>
      </c>
      <c r="AH384" s="76">
        <v>1625</v>
      </c>
      <c r="AI384" s="76">
        <v>6</v>
      </c>
      <c r="AJ384" s="76">
        <v>804</v>
      </c>
      <c r="AK384" s="76">
        <v>256</v>
      </c>
      <c r="AL384" s="76" t="b">
        <v>0</v>
      </c>
      <c r="AM384" s="78">
        <v>42999.932002314818</v>
      </c>
      <c r="AN384" s="76" t="s">
        <v>17521</v>
      </c>
      <c r="AO384" s="76" t="s">
        <v>17986</v>
      </c>
      <c r="AP384" s="76"/>
      <c r="AQ384" s="76"/>
      <c r="AR384" s="76"/>
      <c r="AS384" s="76"/>
      <c r="AT384" s="76"/>
      <c r="AU384" s="76"/>
      <c r="AV384" s="76">
        <v>1.5647747583565801E+18</v>
      </c>
      <c r="AW384" s="76"/>
      <c r="AX384" s="76" t="b">
        <v>0</v>
      </c>
      <c r="AY384" s="76"/>
      <c r="AZ384" s="76"/>
      <c r="BA384" s="76" t="b">
        <v>1</v>
      </c>
      <c r="BB384" s="76" t="b">
        <v>0</v>
      </c>
      <c r="BC384" s="76" t="b">
        <v>1</v>
      </c>
      <c r="BD384" s="76" t="b">
        <v>0</v>
      </c>
      <c r="BE384" s="76" t="b">
        <v>1</v>
      </c>
      <c r="BF384" s="76" t="b">
        <v>0</v>
      </c>
      <c r="BG384" s="76" t="b">
        <v>0</v>
      </c>
      <c r="BH384" s="83" t="str">
        <f>HYPERLINK("https://pbs.twimg.com/profile_banners/910992556036706304/1664842024")</f>
        <v>https://pbs.twimg.com/profile_banners/910992556036706304/1664842024</v>
      </c>
      <c r="BI384" s="76"/>
      <c r="BJ384" s="76" t="s">
        <v>18704</v>
      </c>
      <c r="BK384" s="76" t="b">
        <v>0</v>
      </c>
      <c r="BL384" s="76"/>
      <c r="BM384" s="76" t="s">
        <v>66</v>
      </c>
      <c r="BN384" s="76" t="s">
        <v>18706</v>
      </c>
      <c r="BO384" s="83" t="str">
        <f>HYPERLINK("https://twitter.com/osdadosmostram")</f>
        <v>https://twitter.com/osdadosmostram</v>
      </c>
      <c r="BP384" s="2"/>
    </row>
    <row r="385" spans="1:68" x14ac:dyDescent="0.25">
      <c r="A385" s="62" t="s">
        <v>524</v>
      </c>
      <c r="B385" s="63"/>
      <c r="C385" s="63"/>
      <c r="D385" s="64"/>
      <c r="E385" s="66"/>
      <c r="F385" s="102" t="str">
        <f>HYPERLINK("https://pbs.twimg.com/profile_images/1657712165543981056/mm2JMXW7_normal.jpg")</f>
        <v>https://pbs.twimg.com/profile_images/1657712165543981056/mm2JMXW7_normal.jpg</v>
      </c>
      <c r="G385" s="63"/>
      <c r="H385" s="67"/>
      <c r="I385" s="68"/>
      <c r="J385" s="68"/>
      <c r="K385" s="67" t="s">
        <v>19088</v>
      </c>
      <c r="L385" s="71"/>
      <c r="M385" s="72"/>
      <c r="N385" s="72"/>
      <c r="O385" s="73"/>
      <c r="P385" s="74"/>
      <c r="Q385" s="74"/>
      <c r="R385" s="86"/>
      <c r="S385" s="86"/>
      <c r="T385" s="86"/>
      <c r="U385" s="86"/>
      <c r="V385" s="48"/>
      <c r="W385" s="48"/>
      <c r="X385" s="48"/>
      <c r="Y385" s="48"/>
      <c r="Z385" s="47"/>
      <c r="AA385" s="69">
        <v>385</v>
      </c>
      <c r="AB385" s="69"/>
      <c r="AC385" s="70"/>
      <c r="AD385" s="76" t="s">
        <v>16812</v>
      </c>
      <c r="AE385" s="81" t="s">
        <v>15941</v>
      </c>
      <c r="AF385" s="76">
        <v>556</v>
      </c>
      <c r="AG385" s="76">
        <v>11</v>
      </c>
      <c r="AH385" s="76">
        <v>6573</v>
      </c>
      <c r="AI385" s="76">
        <v>0</v>
      </c>
      <c r="AJ385" s="76">
        <v>4294</v>
      </c>
      <c r="AK385" s="76">
        <v>225</v>
      </c>
      <c r="AL385" s="76" t="b">
        <v>0</v>
      </c>
      <c r="AM385" s="78">
        <v>45060.485138888886</v>
      </c>
      <c r="AN385" s="76"/>
      <c r="AO385" s="76"/>
      <c r="AP385" s="76"/>
      <c r="AQ385" s="76"/>
      <c r="AR385" s="76"/>
      <c r="AS385" s="76"/>
      <c r="AT385" s="76"/>
      <c r="AU385" s="76"/>
      <c r="AV385" s="76"/>
      <c r="AW385" s="76"/>
      <c r="AX385" s="76" t="b">
        <v>0</v>
      </c>
      <c r="AY385" s="76"/>
      <c r="AZ385" s="76"/>
      <c r="BA385" s="76" t="b">
        <v>0</v>
      </c>
      <c r="BB385" s="76" t="b">
        <v>1</v>
      </c>
      <c r="BC385" s="76" t="b">
        <v>1</v>
      </c>
      <c r="BD385" s="76" t="b">
        <v>0</v>
      </c>
      <c r="BE385" s="76" t="b">
        <v>0</v>
      </c>
      <c r="BF385" s="76" t="b">
        <v>0</v>
      </c>
      <c r="BG385" s="76" t="b">
        <v>0</v>
      </c>
      <c r="BH385" s="83" t="str">
        <f>HYPERLINK("https://pbs.twimg.com/profile_banners/1657711960123744257/1684064569")</f>
        <v>https://pbs.twimg.com/profile_banners/1657711960123744257/1684064569</v>
      </c>
      <c r="BI385" s="76"/>
      <c r="BJ385" s="76" t="s">
        <v>18704</v>
      </c>
      <c r="BK385" s="76" t="b">
        <v>0</v>
      </c>
      <c r="BL385" s="76"/>
      <c r="BM385" s="76" t="s">
        <v>66</v>
      </c>
      <c r="BN385" s="76" t="s">
        <v>18706</v>
      </c>
      <c r="BO385" s="83" t="str">
        <f>HYPERLINK("https://twitter.com/buskardsteve")</f>
        <v>https://twitter.com/buskardsteve</v>
      </c>
      <c r="BP385" s="2"/>
    </row>
    <row r="386" spans="1:68" x14ac:dyDescent="0.25">
      <c r="A386" s="62" t="s">
        <v>811</v>
      </c>
      <c r="B386" s="63"/>
      <c r="C386" s="63"/>
      <c r="D386" s="64"/>
      <c r="E386" s="66"/>
      <c r="F386" s="102" t="str">
        <f>HYPERLINK("https://pbs.twimg.com/profile_images/1256383070573195264/r-WYqdVj_normal.jpg")</f>
        <v>https://pbs.twimg.com/profile_images/1256383070573195264/r-WYqdVj_normal.jpg</v>
      </c>
      <c r="G386" s="63"/>
      <c r="H386" s="67"/>
      <c r="I386" s="68"/>
      <c r="J386" s="68"/>
      <c r="K386" s="67" t="s">
        <v>19089</v>
      </c>
      <c r="L386" s="71"/>
      <c r="M386" s="72"/>
      <c r="N386" s="72"/>
      <c r="O386" s="73"/>
      <c r="P386" s="74"/>
      <c r="Q386" s="74"/>
      <c r="R386" s="86"/>
      <c r="S386" s="86"/>
      <c r="T386" s="86"/>
      <c r="U386" s="86"/>
      <c r="V386" s="48"/>
      <c r="W386" s="48"/>
      <c r="X386" s="48"/>
      <c r="Y386" s="48"/>
      <c r="Z386" s="47"/>
      <c r="AA386" s="69">
        <v>386</v>
      </c>
      <c r="AB386" s="69"/>
      <c r="AC386" s="70"/>
      <c r="AD386" s="76" t="s">
        <v>16813</v>
      </c>
      <c r="AE386" s="81" t="s">
        <v>17256</v>
      </c>
      <c r="AF386" s="76">
        <v>159</v>
      </c>
      <c r="AG386" s="76">
        <v>171</v>
      </c>
      <c r="AH386" s="76">
        <v>8753</v>
      </c>
      <c r="AI386" s="76">
        <v>3</v>
      </c>
      <c r="AJ386" s="76">
        <v>4516</v>
      </c>
      <c r="AK386" s="76">
        <v>219</v>
      </c>
      <c r="AL386" s="76" t="b">
        <v>0</v>
      </c>
      <c r="AM386" s="78">
        <v>41175.022800925923</v>
      </c>
      <c r="AN386" s="76" t="s">
        <v>17548</v>
      </c>
      <c r="AO386" s="76" t="s">
        <v>17987</v>
      </c>
      <c r="AP386" s="76"/>
      <c r="AQ386" s="76"/>
      <c r="AR386" s="76"/>
      <c r="AS386" s="76"/>
      <c r="AT386" s="76"/>
      <c r="AU386" s="76"/>
      <c r="AV386" s="76"/>
      <c r="AW386" s="76"/>
      <c r="AX386" s="76" t="b">
        <v>1</v>
      </c>
      <c r="AY386" s="76"/>
      <c r="AZ386" s="76"/>
      <c r="BA386" s="76" t="b">
        <v>0</v>
      </c>
      <c r="BB386" s="76" t="b">
        <v>1</v>
      </c>
      <c r="BC386" s="76" t="b">
        <v>0</v>
      </c>
      <c r="BD386" s="76" t="b">
        <v>0</v>
      </c>
      <c r="BE386" s="76" t="b">
        <v>0</v>
      </c>
      <c r="BF386" s="76" t="b">
        <v>0</v>
      </c>
      <c r="BG386" s="76" t="b">
        <v>0</v>
      </c>
      <c r="BH386" s="83" t="str">
        <f>HYPERLINK("https://pbs.twimg.com/profile_banners/840710503/1588380043")</f>
        <v>https://pbs.twimg.com/profile_banners/840710503/1588380043</v>
      </c>
      <c r="BI386" s="76"/>
      <c r="BJ386" s="76" t="s">
        <v>18704</v>
      </c>
      <c r="BK386" s="76" t="b">
        <v>0</v>
      </c>
      <c r="BL386" s="76"/>
      <c r="BM386" s="76" t="s">
        <v>65</v>
      </c>
      <c r="BN386" s="76" t="s">
        <v>18706</v>
      </c>
      <c r="BO386" s="83" t="str">
        <f>HYPERLINK("https://twitter.com/tangoyyc")</f>
        <v>https://twitter.com/tangoyyc</v>
      </c>
      <c r="BP386" s="2"/>
    </row>
    <row r="387" spans="1:68" x14ac:dyDescent="0.25">
      <c r="A387" s="62" t="s">
        <v>525</v>
      </c>
      <c r="B387" s="63"/>
      <c r="C387" s="63"/>
      <c r="D387" s="64"/>
      <c r="E387" s="66"/>
      <c r="F387" s="102" t="str">
        <f>HYPERLINK("https://pbs.twimg.com/profile_images/1699370663880892416/Yr_QPRQt_normal.jpg")</f>
        <v>https://pbs.twimg.com/profile_images/1699370663880892416/Yr_QPRQt_normal.jpg</v>
      </c>
      <c r="G387" s="63"/>
      <c r="H387" s="67"/>
      <c r="I387" s="68"/>
      <c r="J387" s="68"/>
      <c r="K387" s="67" t="s">
        <v>19090</v>
      </c>
      <c r="L387" s="71"/>
      <c r="M387" s="72"/>
      <c r="N387" s="72"/>
      <c r="O387" s="73"/>
      <c r="P387" s="74"/>
      <c r="Q387" s="74"/>
      <c r="R387" s="86"/>
      <c r="S387" s="86"/>
      <c r="T387" s="86"/>
      <c r="U387" s="86"/>
      <c r="V387" s="48"/>
      <c r="W387" s="48"/>
      <c r="X387" s="48"/>
      <c r="Y387" s="48"/>
      <c r="Z387" s="47"/>
      <c r="AA387" s="69">
        <v>387</v>
      </c>
      <c r="AB387" s="69"/>
      <c r="AC387" s="70"/>
      <c r="AD387" s="76" t="s">
        <v>16814</v>
      </c>
      <c r="AE387" s="81" t="s">
        <v>16277</v>
      </c>
      <c r="AF387" s="76">
        <v>248</v>
      </c>
      <c r="AG387" s="76">
        <v>318</v>
      </c>
      <c r="AH387" s="76">
        <v>23</v>
      </c>
      <c r="AI387" s="76">
        <v>2</v>
      </c>
      <c r="AJ387" s="76">
        <v>3134</v>
      </c>
      <c r="AK387" s="76">
        <v>0</v>
      </c>
      <c r="AL387" s="76" t="b">
        <v>0</v>
      </c>
      <c r="AM387" s="78">
        <v>44989.894166666665</v>
      </c>
      <c r="AN387" s="76"/>
      <c r="AO387" s="76" t="s">
        <v>17988</v>
      </c>
      <c r="AP387" s="76"/>
      <c r="AQ387" s="76"/>
      <c r="AR387" s="76"/>
      <c r="AS387" s="76"/>
      <c r="AT387" s="76"/>
      <c r="AU387" s="76"/>
      <c r="AV387" s="76"/>
      <c r="AW387" s="76"/>
      <c r="AX387" s="76" t="b">
        <v>0</v>
      </c>
      <c r="AY387" s="76"/>
      <c r="AZ387" s="76"/>
      <c r="BA387" s="76" t="b">
        <v>1</v>
      </c>
      <c r="BB387" s="76" t="b">
        <v>1</v>
      </c>
      <c r="BC387" s="76" t="b">
        <v>1</v>
      </c>
      <c r="BD387" s="76" t="b">
        <v>0</v>
      </c>
      <c r="BE387" s="76" t="b">
        <v>0</v>
      </c>
      <c r="BF387" s="76" t="b">
        <v>0</v>
      </c>
      <c r="BG387" s="76" t="b">
        <v>1</v>
      </c>
      <c r="BH387" s="83" t="str">
        <f>HYPERLINK("https://pbs.twimg.com/profile_banners/1632130607147892739/1694106420")</f>
        <v>https://pbs.twimg.com/profile_banners/1632130607147892739/1694106420</v>
      </c>
      <c r="BI387" s="76"/>
      <c r="BJ387" s="76" t="s">
        <v>18704</v>
      </c>
      <c r="BK387" s="76" t="b">
        <v>0</v>
      </c>
      <c r="BL387" s="76"/>
      <c r="BM387" s="76" t="s">
        <v>66</v>
      </c>
      <c r="BN387" s="76" t="s">
        <v>18706</v>
      </c>
      <c r="BO387" s="83" t="str">
        <f>HYPERLINK("https://twitter.com/wmindset22")</f>
        <v>https://twitter.com/wmindset22</v>
      </c>
      <c r="BP387" s="2"/>
    </row>
    <row r="388" spans="1:68" x14ac:dyDescent="0.25">
      <c r="A388" s="62" t="s">
        <v>526</v>
      </c>
      <c r="B388" s="63"/>
      <c r="C388" s="63"/>
      <c r="D388" s="64"/>
      <c r="E388" s="66"/>
      <c r="F388" s="102" t="str">
        <f>HYPERLINK("https://pbs.twimg.com/profile_images/1664209895703433217/-ERlG8EG_normal.jpg")</f>
        <v>https://pbs.twimg.com/profile_images/1664209895703433217/-ERlG8EG_normal.jpg</v>
      </c>
      <c r="G388" s="63"/>
      <c r="H388" s="67"/>
      <c r="I388" s="68"/>
      <c r="J388" s="68"/>
      <c r="K388" s="67" t="s">
        <v>19091</v>
      </c>
      <c r="L388" s="71"/>
      <c r="M388" s="72"/>
      <c r="N388" s="72"/>
      <c r="O388" s="73"/>
      <c r="P388" s="74"/>
      <c r="Q388" s="74"/>
      <c r="R388" s="86"/>
      <c r="S388" s="86"/>
      <c r="T388" s="86"/>
      <c r="U388" s="86"/>
      <c r="V388" s="48"/>
      <c r="W388" s="48"/>
      <c r="X388" s="48"/>
      <c r="Y388" s="48"/>
      <c r="Z388" s="47"/>
      <c r="AA388" s="69">
        <v>388</v>
      </c>
      <c r="AB388" s="69"/>
      <c r="AC388" s="70"/>
      <c r="AD388" s="76" t="s">
        <v>16815</v>
      </c>
      <c r="AE388" s="81" t="s">
        <v>15956</v>
      </c>
      <c r="AF388" s="76">
        <v>30</v>
      </c>
      <c r="AG388" s="76">
        <v>16</v>
      </c>
      <c r="AH388" s="76">
        <v>407</v>
      </c>
      <c r="AI388" s="76">
        <v>0</v>
      </c>
      <c r="AJ388" s="76">
        <v>0</v>
      </c>
      <c r="AK388" s="76">
        <v>0</v>
      </c>
      <c r="AL388" s="76" t="b">
        <v>0</v>
      </c>
      <c r="AM388" s="78">
        <v>45074.835706018515</v>
      </c>
      <c r="AN388" s="76"/>
      <c r="AO388" s="76" t="s">
        <v>17989</v>
      </c>
      <c r="AP388" s="83" t="str">
        <f>HYPERLINK("https://t.co/FhAItrBKkn")</f>
        <v>https://t.co/FhAItrBKkn</v>
      </c>
      <c r="AQ388" s="83" t="str">
        <f>HYPERLINK("https://www.cartasgpt.com.br/")</f>
        <v>https://www.cartasgpt.com.br/</v>
      </c>
      <c r="AR388" s="76" t="s">
        <v>18463</v>
      </c>
      <c r="AS388" s="76"/>
      <c r="AT388" s="76"/>
      <c r="AU388" s="76"/>
      <c r="AV388" s="76"/>
      <c r="AW388" s="83" t="str">
        <f>HYPERLINK("https://t.co/FhAItrBKkn")</f>
        <v>https://t.co/FhAItrBKkn</v>
      </c>
      <c r="AX388" s="76" t="b">
        <v>0</v>
      </c>
      <c r="AY388" s="76"/>
      <c r="AZ388" s="76"/>
      <c r="BA388" s="76" t="b">
        <v>0</v>
      </c>
      <c r="BB388" s="76" t="b">
        <v>1</v>
      </c>
      <c r="BC388" s="76" t="b">
        <v>1</v>
      </c>
      <c r="BD388" s="76" t="b">
        <v>0</v>
      </c>
      <c r="BE388" s="76" t="b">
        <v>0</v>
      </c>
      <c r="BF388" s="76" t="b">
        <v>0</v>
      </c>
      <c r="BG388" s="76" t="b">
        <v>0</v>
      </c>
      <c r="BH388" s="76"/>
      <c r="BI388" s="76"/>
      <c r="BJ388" s="76" t="s">
        <v>18704</v>
      </c>
      <c r="BK388" s="76" t="b">
        <v>0</v>
      </c>
      <c r="BL388" s="76"/>
      <c r="BM388" s="76" t="s">
        <v>66</v>
      </c>
      <c r="BN388" s="76" t="s">
        <v>18706</v>
      </c>
      <c r="BO388" s="83" t="str">
        <f>HYPERLINK("https://twitter.com/cartasgpt")</f>
        <v>https://twitter.com/cartasgpt</v>
      </c>
      <c r="BP388" s="2"/>
    </row>
    <row r="389" spans="1:68" x14ac:dyDescent="0.25">
      <c r="A389" s="62" t="s">
        <v>527</v>
      </c>
      <c r="B389" s="63"/>
      <c r="C389" s="63"/>
      <c r="D389" s="64"/>
      <c r="E389" s="66"/>
      <c r="F389" s="102" t="str">
        <f>HYPERLINK("https://pbs.twimg.com/profile_images/1682392388562567170/Lwu2LFnV_normal.jpg")</f>
        <v>https://pbs.twimg.com/profile_images/1682392388562567170/Lwu2LFnV_normal.jpg</v>
      </c>
      <c r="G389" s="63"/>
      <c r="H389" s="67"/>
      <c r="I389" s="68"/>
      <c r="J389" s="68"/>
      <c r="K389" s="67" t="s">
        <v>19092</v>
      </c>
      <c r="L389" s="71"/>
      <c r="M389" s="72"/>
      <c r="N389" s="72"/>
      <c r="O389" s="73"/>
      <c r="P389" s="74"/>
      <c r="Q389" s="74"/>
      <c r="R389" s="86"/>
      <c r="S389" s="86"/>
      <c r="T389" s="86"/>
      <c r="U389" s="86"/>
      <c r="V389" s="48"/>
      <c r="W389" s="48"/>
      <c r="X389" s="48"/>
      <c r="Y389" s="48"/>
      <c r="Z389" s="47"/>
      <c r="AA389" s="69">
        <v>389</v>
      </c>
      <c r="AB389" s="69"/>
      <c r="AC389" s="70"/>
      <c r="AD389" s="76" t="s">
        <v>16816</v>
      </c>
      <c r="AE389" s="81" t="s">
        <v>16278</v>
      </c>
      <c r="AF389" s="76">
        <v>174</v>
      </c>
      <c r="AG389" s="76">
        <v>62</v>
      </c>
      <c r="AH389" s="76">
        <v>172</v>
      </c>
      <c r="AI389" s="76">
        <v>0</v>
      </c>
      <c r="AJ389" s="76">
        <v>77</v>
      </c>
      <c r="AK389" s="76">
        <v>125</v>
      </c>
      <c r="AL389" s="76" t="b">
        <v>0</v>
      </c>
      <c r="AM389" s="78">
        <v>45100.565104166664</v>
      </c>
      <c r="AN389" s="76" t="s">
        <v>17549</v>
      </c>
      <c r="AO389" s="76" t="s">
        <v>17990</v>
      </c>
      <c r="AP389" s="76"/>
      <c r="AQ389" s="76"/>
      <c r="AR389" s="76"/>
      <c r="AS389" s="76"/>
      <c r="AT389" s="76"/>
      <c r="AU389" s="76"/>
      <c r="AV389" s="76"/>
      <c r="AW389" s="76"/>
      <c r="AX389" s="76" t="b">
        <v>0</v>
      </c>
      <c r="AY389" s="76"/>
      <c r="AZ389" s="76"/>
      <c r="BA389" s="76" t="b">
        <v>0</v>
      </c>
      <c r="BB389" s="76" t="b">
        <v>1</v>
      </c>
      <c r="BC389" s="76" t="b">
        <v>1</v>
      </c>
      <c r="BD389" s="76" t="b">
        <v>0</v>
      </c>
      <c r="BE389" s="76" t="b">
        <v>0</v>
      </c>
      <c r="BF389" s="76" t="b">
        <v>0</v>
      </c>
      <c r="BG389" s="76" t="b">
        <v>0</v>
      </c>
      <c r="BH389" s="83" t="str">
        <f>HYPERLINK("https://pbs.twimg.com/profile_banners/1672236167167725568/1687529086")</f>
        <v>https://pbs.twimg.com/profile_banners/1672236167167725568/1687529086</v>
      </c>
      <c r="BI389" s="76"/>
      <c r="BJ389" s="76" t="s">
        <v>18704</v>
      </c>
      <c r="BK389" s="76" t="b">
        <v>0</v>
      </c>
      <c r="BL389" s="76"/>
      <c r="BM389" s="76" t="s">
        <v>66</v>
      </c>
      <c r="BN389" s="76" t="s">
        <v>18706</v>
      </c>
      <c r="BO389" s="83" t="str">
        <f>HYPERLINK("https://twitter.com/drancelmoramos")</f>
        <v>https://twitter.com/drancelmoramos</v>
      </c>
      <c r="BP389" s="2"/>
    </row>
    <row r="390" spans="1:68" x14ac:dyDescent="0.25">
      <c r="A390" s="62" t="s">
        <v>528</v>
      </c>
      <c r="B390" s="63"/>
      <c r="C390" s="63"/>
      <c r="D390" s="64"/>
      <c r="E390" s="66"/>
      <c r="F390" s="102" t="str">
        <f>HYPERLINK("https://pbs.twimg.com/profile_images/1599437576594751492/HMoHuMtB_normal.jpg")</f>
        <v>https://pbs.twimg.com/profile_images/1599437576594751492/HMoHuMtB_normal.jpg</v>
      </c>
      <c r="G390" s="63"/>
      <c r="H390" s="67"/>
      <c r="I390" s="68"/>
      <c r="J390" s="68"/>
      <c r="K390" s="67" t="s">
        <v>19093</v>
      </c>
      <c r="L390" s="71"/>
      <c r="M390" s="72"/>
      <c r="N390" s="72"/>
      <c r="O390" s="73"/>
      <c r="P390" s="74"/>
      <c r="Q390" s="74"/>
      <c r="R390" s="86"/>
      <c r="S390" s="86"/>
      <c r="T390" s="86"/>
      <c r="U390" s="86"/>
      <c r="V390" s="48"/>
      <c r="W390" s="48"/>
      <c r="X390" s="48"/>
      <c r="Y390" s="48"/>
      <c r="Z390" s="47"/>
      <c r="AA390" s="69">
        <v>390</v>
      </c>
      <c r="AB390" s="69"/>
      <c r="AC390" s="70"/>
      <c r="AD390" s="76" t="s">
        <v>16817</v>
      </c>
      <c r="AE390" s="81" t="s">
        <v>16279</v>
      </c>
      <c r="AF390" s="76">
        <v>2</v>
      </c>
      <c r="AG390" s="76">
        <v>18</v>
      </c>
      <c r="AH390" s="76">
        <v>31</v>
      </c>
      <c r="AI390" s="76">
        <v>0</v>
      </c>
      <c r="AJ390" s="76">
        <v>27</v>
      </c>
      <c r="AK390" s="76">
        <v>5</v>
      </c>
      <c r="AL390" s="76" t="b">
        <v>0</v>
      </c>
      <c r="AM390" s="78">
        <v>44656.729467592595</v>
      </c>
      <c r="AN390" s="76"/>
      <c r="AO390" s="76"/>
      <c r="AP390" s="76"/>
      <c r="AQ390" s="76"/>
      <c r="AR390" s="76"/>
      <c r="AS390" s="76"/>
      <c r="AT390" s="76"/>
      <c r="AU390" s="76"/>
      <c r="AV390" s="76"/>
      <c r="AW390" s="76"/>
      <c r="AX390" s="76" t="b">
        <v>0</v>
      </c>
      <c r="AY390" s="76"/>
      <c r="AZ390" s="76"/>
      <c r="BA390" s="76" t="b">
        <v>0</v>
      </c>
      <c r="BB390" s="76" t="b">
        <v>1</v>
      </c>
      <c r="BC390" s="76" t="b">
        <v>1</v>
      </c>
      <c r="BD390" s="76" t="b">
        <v>0</v>
      </c>
      <c r="BE390" s="76" t="b">
        <v>0</v>
      </c>
      <c r="BF390" s="76" t="b">
        <v>0</v>
      </c>
      <c r="BG390" s="76" t="b">
        <v>0</v>
      </c>
      <c r="BH390" s="76"/>
      <c r="BI390" s="76"/>
      <c r="BJ390" s="76" t="s">
        <v>18704</v>
      </c>
      <c r="BK390" s="76" t="b">
        <v>0</v>
      </c>
      <c r="BL390" s="76"/>
      <c r="BM390" s="76" t="s">
        <v>66</v>
      </c>
      <c r="BN390" s="76" t="s">
        <v>18706</v>
      </c>
      <c r="BO390" s="83" t="str">
        <f>HYPERLINK("https://twitter.com/elton_placido")</f>
        <v>https://twitter.com/elton_placido</v>
      </c>
      <c r="BP390" s="2"/>
    </row>
    <row r="391" spans="1:68" x14ac:dyDescent="0.25">
      <c r="A391" s="62" t="s">
        <v>530</v>
      </c>
      <c r="B391" s="63"/>
      <c r="C391" s="63"/>
      <c r="D391" s="64"/>
      <c r="E391" s="66"/>
      <c r="F391" s="102" t="str">
        <f>HYPERLINK("https://pbs.twimg.com/profile_images/1211027151870402560/9JIqaKmf_normal.jpg")</f>
        <v>https://pbs.twimg.com/profile_images/1211027151870402560/9JIqaKmf_normal.jpg</v>
      </c>
      <c r="G391" s="63"/>
      <c r="H391" s="67"/>
      <c r="I391" s="68"/>
      <c r="J391" s="68"/>
      <c r="K391" s="67" t="s">
        <v>19094</v>
      </c>
      <c r="L391" s="71"/>
      <c r="M391" s="72"/>
      <c r="N391" s="72"/>
      <c r="O391" s="73"/>
      <c r="P391" s="74"/>
      <c r="Q391" s="74"/>
      <c r="R391" s="86"/>
      <c r="S391" s="86"/>
      <c r="T391" s="86"/>
      <c r="U391" s="86"/>
      <c r="V391" s="48"/>
      <c r="W391" s="48"/>
      <c r="X391" s="48"/>
      <c r="Y391" s="48"/>
      <c r="Z391" s="47"/>
      <c r="AA391" s="69">
        <v>391</v>
      </c>
      <c r="AB391" s="69"/>
      <c r="AC391" s="70"/>
      <c r="AD391" s="76" t="s">
        <v>7770</v>
      </c>
      <c r="AE391" s="81" t="s">
        <v>16280</v>
      </c>
      <c r="AF391" s="76">
        <v>220</v>
      </c>
      <c r="AG391" s="76">
        <v>4</v>
      </c>
      <c r="AH391" s="76">
        <v>11121</v>
      </c>
      <c r="AI391" s="76">
        <v>4</v>
      </c>
      <c r="AJ391" s="76">
        <v>617</v>
      </c>
      <c r="AK391" s="76">
        <v>3735</v>
      </c>
      <c r="AL391" s="76" t="b">
        <v>0</v>
      </c>
      <c r="AM391" s="78">
        <v>42812.901909722219</v>
      </c>
      <c r="AN391" s="76" t="s">
        <v>10570</v>
      </c>
      <c r="AO391" s="76" t="s">
        <v>17991</v>
      </c>
      <c r="AP391" s="83" t="str">
        <f>HYPERLINK("https://t.co/QCMImeye1K")</f>
        <v>https://t.co/QCMImeye1K</v>
      </c>
      <c r="AQ391" s="83" t="str">
        <f>HYPERLINK("https://www.economicnewsbrasil.com.br/")</f>
        <v>https://www.economicnewsbrasil.com.br/</v>
      </c>
      <c r="AR391" s="76" t="s">
        <v>18464</v>
      </c>
      <c r="AS391" s="76"/>
      <c r="AT391" s="76"/>
      <c r="AU391" s="76"/>
      <c r="AV391" s="76"/>
      <c r="AW391" s="83" t="str">
        <f>HYPERLINK("https://t.co/QCMImeye1K")</f>
        <v>https://t.co/QCMImeye1K</v>
      </c>
      <c r="AX391" s="76" t="b">
        <v>0</v>
      </c>
      <c r="AY391" s="76"/>
      <c r="AZ391" s="76"/>
      <c r="BA391" s="76" t="b">
        <v>1</v>
      </c>
      <c r="BB391" s="76" t="b">
        <v>0</v>
      </c>
      <c r="BC391" s="76" t="b">
        <v>1</v>
      </c>
      <c r="BD391" s="76" t="b">
        <v>0</v>
      </c>
      <c r="BE391" s="76" t="b">
        <v>0</v>
      </c>
      <c r="BF391" s="76" t="b">
        <v>0</v>
      </c>
      <c r="BG391" s="76" t="b">
        <v>0</v>
      </c>
      <c r="BH391" s="83" t="str">
        <f>HYPERLINK("https://pbs.twimg.com/profile_banners/843215121505816576/1626615287")</f>
        <v>https://pbs.twimg.com/profile_banners/843215121505816576/1626615287</v>
      </c>
      <c r="BI391" s="76"/>
      <c r="BJ391" s="76" t="s">
        <v>18704</v>
      </c>
      <c r="BK391" s="76" t="b">
        <v>0</v>
      </c>
      <c r="BL391" s="76"/>
      <c r="BM391" s="76" t="s">
        <v>66</v>
      </c>
      <c r="BN391" s="76" t="s">
        <v>18706</v>
      </c>
      <c r="BO391" s="83" t="str">
        <f>HYPERLINK("https://twitter.com/economicnewsbr")</f>
        <v>https://twitter.com/economicnewsbr</v>
      </c>
      <c r="BP391" s="2"/>
    </row>
    <row r="392" spans="1:68" x14ac:dyDescent="0.25">
      <c r="A392" s="62" t="s">
        <v>531</v>
      </c>
      <c r="B392" s="63"/>
      <c r="C392" s="63"/>
      <c r="D392" s="64"/>
      <c r="E392" s="66"/>
      <c r="F392" s="102" t="str">
        <f>HYPERLINK("https://pbs.twimg.com/profile_images/1699367967769706496/rXrPuSlN_normal.jpg")</f>
        <v>https://pbs.twimg.com/profile_images/1699367967769706496/rXrPuSlN_normal.jpg</v>
      </c>
      <c r="G392" s="63"/>
      <c r="H392" s="67"/>
      <c r="I392" s="68"/>
      <c r="J392" s="68"/>
      <c r="K392" s="67" t="s">
        <v>19095</v>
      </c>
      <c r="L392" s="71"/>
      <c r="M392" s="72"/>
      <c r="N392" s="72"/>
      <c r="O392" s="73"/>
      <c r="P392" s="74"/>
      <c r="Q392" s="74"/>
      <c r="R392" s="86"/>
      <c r="S392" s="86"/>
      <c r="T392" s="86"/>
      <c r="U392" s="86"/>
      <c r="V392" s="48"/>
      <c r="W392" s="48"/>
      <c r="X392" s="48"/>
      <c r="Y392" s="48"/>
      <c r="Z392" s="47"/>
      <c r="AA392" s="69">
        <v>392</v>
      </c>
      <c r="AB392" s="69"/>
      <c r="AC392" s="70"/>
      <c r="AD392" s="76" t="s">
        <v>16818</v>
      </c>
      <c r="AE392" s="81" t="s">
        <v>16281</v>
      </c>
      <c r="AF392" s="76">
        <v>265</v>
      </c>
      <c r="AG392" s="76">
        <v>372</v>
      </c>
      <c r="AH392" s="76">
        <v>23</v>
      </c>
      <c r="AI392" s="76">
        <v>6</v>
      </c>
      <c r="AJ392" s="76">
        <v>5669</v>
      </c>
      <c r="AK392" s="76">
        <v>0</v>
      </c>
      <c r="AL392" s="76" t="b">
        <v>0</v>
      </c>
      <c r="AM392" s="78">
        <v>44989.794594907406</v>
      </c>
      <c r="AN392" s="76"/>
      <c r="AO392" s="76" t="s">
        <v>17992</v>
      </c>
      <c r="AP392" s="76"/>
      <c r="AQ392" s="76"/>
      <c r="AR392" s="76"/>
      <c r="AS392" s="76"/>
      <c r="AT392" s="76"/>
      <c r="AU392" s="76"/>
      <c r="AV392" s="76"/>
      <c r="AW392" s="76"/>
      <c r="AX392" s="76" t="b">
        <v>0</v>
      </c>
      <c r="AY392" s="76"/>
      <c r="AZ392" s="76"/>
      <c r="BA392" s="76" t="b">
        <v>1</v>
      </c>
      <c r="BB392" s="76" t="b">
        <v>1</v>
      </c>
      <c r="BC392" s="76" t="b">
        <v>1</v>
      </c>
      <c r="BD392" s="76" t="b">
        <v>0</v>
      </c>
      <c r="BE392" s="76" t="b">
        <v>0</v>
      </c>
      <c r="BF392" s="76" t="b">
        <v>0</v>
      </c>
      <c r="BG392" s="76" t="b">
        <v>1</v>
      </c>
      <c r="BH392" s="83" t="str">
        <f>HYPERLINK("https://pbs.twimg.com/profile_banners/1632094513564098560/1678972799")</f>
        <v>https://pbs.twimg.com/profile_banners/1632094513564098560/1678972799</v>
      </c>
      <c r="BI392" s="76"/>
      <c r="BJ392" s="76" t="s">
        <v>18704</v>
      </c>
      <c r="BK392" s="76" t="b">
        <v>0</v>
      </c>
      <c r="BL392" s="76"/>
      <c r="BM392" s="76" t="s">
        <v>66</v>
      </c>
      <c r="BN392" s="76" t="s">
        <v>18706</v>
      </c>
      <c r="BO392" s="83" t="str">
        <f>HYPERLINK("https://twitter.com/stockdukeoliver")</f>
        <v>https://twitter.com/stockdukeoliver</v>
      </c>
      <c r="BP392" s="2"/>
    </row>
    <row r="393" spans="1:68" x14ac:dyDescent="0.25">
      <c r="A393" s="62" t="s">
        <v>532</v>
      </c>
      <c r="B393" s="63"/>
      <c r="C393" s="63"/>
      <c r="D393" s="64"/>
      <c r="E393" s="66"/>
      <c r="F393" s="102" t="str">
        <f>HYPERLINK("https://pbs.twimg.com/profile_images/1361689662214074369/iBwuBUM__normal.png")</f>
        <v>https://pbs.twimg.com/profile_images/1361689662214074369/iBwuBUM__normal.png</v>
      </c>
      <c r="G393" s="63"/>
      <c r="H393" s="67"/>
      <c r="I393" s="68"/>
      <c r="J393" s="68"/>
      <c r="K393" s="67" t="s">
        <v>19096</v>
      </c>
      <c r="L393" s="71"/>
      <c r="M393" s="72"/>
      <c r="N393" s="72"/>
      <c r="O393" s="73"/>
      <c r="P393" s="74"/>
      <c r="Q393" s="74"/>
      <c r="R393" s="86"/>
      <c r="S393" s="86"/>
      <c r="T393" s="86"/>
      <c r="U393" s="86"/>
      <c r="V393" s="48"/>
      <c r="W393" s="48"/>
      <c r="X393" s="48"/>
      <c r="Y393" s="48"/>
      <c r="Z393" s="47"/>
      <c r="AA393" s="69">
        <v>393</v>
      </c>
      <c r="AB393" s="69"/>
      <c r="AC393" s="70"/>
      <c r="AD393" s="76" t="s">
        <v>16819</v>
      </c>
      <c r="AE393" s="81" t="s">
        <v>16282</v>
      </c>
      <c r="AF393" s="76">
        <v>551</v>
      </c>
      <c r="AG393" s="76">
        <v>833</v>
      </c>
      <c r="AH393" s="76">
        <v>6354</v>
      </c>
      <c r="AI393" s="76">
        <v>37</v>
      </c>
      <c r="AJ393" s="76">
        <v>635</v>
      </c>
      <c r="AK393" s="76">
        <v>684</v>
      </c>
      <c r="AL393" s="76" t="b">
        <v>0</v>
      </c>
      <c r="AM393" s="78">
        <v>44243.617997685185</v>
      </c>
      <c r="AN393" s="76" t="s">
        <v>17550</v>
      </c>
      <c r="AO393" s="76" t="s">
        <v>17993</v>
      </c>
      <c r="AP393" s="83" t="str">
        <f>HYPERLINK("https://t.co/rzm88SuAaJ")</f>
        <v>https://t.co/rzm88SuAaJ</v>
      </c>
      <c r="AQ393" s="83" t="str">
        <f>HYPERLINK("https://es.marketscreener.com/")</f>
        <v>https://es.marketscreener.com/</v>
      </c>
      <c r="AR393" s="76" t="s">
        <v>18465</v>
      </c>
      <c r="AS393" s="76"/>
      <c r="AT393" s="76"/>
      <c r="AU393" s="76"/>
      <c r="AV393" s="76"/>
      <c r="AW393" s="83" t="str">
        <f>HYPERLINK("https://t.co/rzm88SuAaJ")</f>
        <v>https://t.co/rzm88SuAaJ</v>
      </c>
      <c r="AX393" s="76" t="b">
        <v>0</v>
      </c>
      <c r="AY393" s="76"/>
      <c r="AZ393" s="76"/>
      <c r="BA393" s="76" t="b">
        <v>0</v>
      </c>
      <c r="BB393" s="76" t="b">
        <v>1</v>
      </c>
      <c r="BC393" s="76" t="b">
        <v>1</v>
      </c>
      <c r="BD393" s="76" t="b">
        <v>0</v>
      </c>
      <c r="BE393" s="76" t="b">
        <v>1</v>
      </c>
      <c r="BF393" s="76" t="b">
        <v>0</v>
      </c>
      <c r="BG393" s="76" t="b">
        <v>0</v>
      </c>
      <c r="BH393" s="83" t="str">
        <f>HYPERLINK("https://pbs.twimg.com/profile_banners/1361689201285210114/1618241214")</f>
        <v>https://pbs.twimg.com/profile_banners/1361689201285210114/1618241214</v>
      </c>
      <c r="BI393" s="76"/>
      <c r="BJ393" s="76" t="s">
        <v>18704</v>
      </c>
      <c r="BK393" s="76" t="b">
        <v>0</v>
      </c>
      <c r="BL393" s="76"/>
      <c r="BM393" s="76" t="s">
        <v>66</v>
      </c>
      <c r="BN393" s="76" t="s">
        <v>18706</v>
      </c>
      <c r="BO393" s="83" t="str">
        <f>HYPERLINK("https://twitter.com/marketscreener5")</f>
        <v>https://twitter.com/marketscreener5</v>
      </c>
      <c r="BP393" s="2"/>
    </row>
    <row r="394" spans="1:68" x14ac:dyDescent="0.25">
      <c r="A394" s="62" t="s">
        <v>533</v>
      </c>
      <c r="B394" s="63"/>
      <c r="C394" s="63"/>
      <c r="D394" s="64"/>
      <c r="E394" s="66"/>
      <c r="F394" s="102" t="str">
        <f>HYPERLINK("https://pbs.twimg.com/profile_images/1491953077242454023/JkdDI6pg_normal.jpg")</f>
        <v>https://pbs.twimg.com/profile_images/1491953077242454023/JkdDI6pg_normal.jpg</v>
      </c>
      <c r="G394" s="63"/>
      <c r="H394" s="67"/>
      <c r="I394" s="68"/>
      <c r="J394" s="68"/>
      <c r="K394" s="67" t="s">
        <v>19097</v>
      </c>
      <c r="L394" s="71"/>
      <c r="M394" s="72"/>
      <c r="N394" s="72"/>
      <c r="O394" s="73"/>
      <c r="P394" s="74"/>
      <c r="Q394" s="74"/>
      <c r="R394" s="86"/>
      <c r="S394" s="86"/>
      <c r="T394" s="86"/>
      <c r="U394" s="86"/>
      <c r="V394" s="48"/>
      <c r="W394" s="48"/>
      <c r="X394" s="48"/>
      <c r="Y394" s="48"/>
      <c r="Z394" s="47"/>
      <c r="AA394" s="69">
        <v>394</v>
      </c>
      <c r="AB394" s="69"/>
      <c r="AC394" s="70"/>
      <c r="AD394" s="76" t="s">
        <v>16820</v>
      </c>
      <c r="AE394" s="81" t="s">
        <v>16283</v>
      </c>
      <c r="AF394" s="76">
        <v>16</v>
      </c>
      <c r="AG394" s="76">
        <v>256</v>
      </c>
      <c r="AH394" s="76">
        <v>76</v>
      </c>
      <c r="AI394" s="76">
        <v>9</v>
      </c>
      <c r="AJ394" s="76">
        <v>25</v>
      </c>
      <c r="AK394" s="76">
        <v>10</v>
      </c>
      <c r="AL394" s="76" t="b">
        <v>0</v>
      </c>
      <c r="AM394" s="78">
        <v>44589.934259259258</v>
      </c>
      <c r="AN394" s="76"/>
      <c r="AO394" s="76" t="s">
        <v>17994</v>
      </c>
      <c r="AP394" s="76"/>
      <c r="AQ394" s="76"/>
      <c r="AR394" s="76"/>
      <c r="AS394" s="76"/>
      <c r="AT394" s="76"/>
      <c r="AU394" s="76"/>
      <c r="AV394" s="76">
        <v>1.69957960873825E+18</v>
      </c>
      <c r="AW394" s="76"/>
      <c r="AX394" s="76" t="b">
        <v>0</v>
      </c>
      <c r="AY394" s="76"/>
      <c r="AZ394" s="76"/>
      <c r="BA394" s="76" t="b">
        <v>0</v>
      </c>
      <c r="BB394" s="76" t="b">
        <v>1</v>
      </c>
      <c r="BC394" s="76" t="b">
        <v>1</v>
      </c>
      <c r="BD394" s="76" t="b">
        <v>0</v>
      </c>
      <c r="BE394" s="76" t="b">
        <v>0</v>
      </c>
      <c r="BF394" s="76" t="b">
        <v>0</v>
      </c>
      <c r="BG394" s="76" t="b">
        <v>0</v>
      </c>
      <c r="BH394" s="83" t="str">
        <f>HYPERLINK("https://pbs.twimg.com/profile_banners/1487190014295527429/1644544327")</f>
        <v>https://pbs.twimg.com/profile_banners/1487190014295527429/1644544327</v>
      </c>
      <c r="BI394" s="76"/>
      <c r="BJ394" s="76" t="s">
        <v>18704</v>
      </c>
      <c r="BK394" s="76" t="b">
        <v>0</v>
      </c>
      <c r="BL394" s="76"/>
      <c r="BM394" s="76" t="s">
        <v>66</v>
      </c>
      <c r="BN394" s="76" t="s">
        <v>18706</v>
      </c>
      <c r="BO394" s="83" t="str">
        <f>HYPERLINK("https://twitter.com/elcryptonauta")</f>
        <v>https://twitter.com/elcryptonauta</v>
      </c>
      <c r="BP394" s="2"/>
    </row>
    <row r="395" spans="1:68" x14ac:dyDescent="0.25">
      <c r="A395" s="62" t="s">
        <v>534</v>
      </c>
      <c r="B395" s="63"/>
      <c r="C395" s="63"/>
      <c r="D395" s="64"/>
      <c r="E395" s="66"/>
      <c r="F395" s="102" t="str">
        <f>HYPERLINK("https://pbs.twimg.com/profile_images/1697931662754029568/YSDsdrP__normal.jpg")</f>
        <v>https://pbs.twimg.com/profile_images/1697931662754029568/YSDsdrP__normal.jpg</v>
      </c>
      <c r="G395" s="63"/>
      <c r="H395" s="67"/>
      <c r="I395" s="68"/>
      <c r="J395" s="68"/>
      <c r="K395" s="67" t="s">
        <v>19098</v>
      </c>
      <c r="L395" s="71"/>
      <c r="M395" s="72"/>
      <c r="N395" s="72"/>
      <c r="O395" s="73"/>
      <c r="P395" s="74"/>
      <c r="Q395" s="74"/>
      <c r="R395" s="86"/>
      <c r="S395" s="86"/>
      <c r="T395" s="86"/>
      <c r="U395" s="86"/>
      <c r="V395" s="48"/>
      <c r="W395" s="48"/>
      <c r="X395" s="48"/>
      <c r="Y395" s="48"/>
      <c r="Z395" s="47"/>
      <c r="AA395" s="69">
        <v>395</v>
      </c>
      <c r="AB395" s="69"/>
      <c r="AC395" s="70"/>
      <c r="AD395" s="76" t="s">
        <v>16821</v>
      </c>
      <c r="AE395" s="81" t="s">
        <v>17257</v>
      </c>
      <c r="AF395" s="76">
        <v>63</v>
      </c>
      <c r="AG395" s="76">
        <v>212</v>
      </c>
      <c r="AH395" s="76">
        <v>467</v>
      </c>
      <c r="AI395" s="76">
        <v>2</v>
      </c>
      <c r="AJ395" s="76">
        <v>4972</v>
      </c>
      <c r="AK395" s="76">
        <v>46</v>
      </c>
      <c r="AL395" s="76" t="b">
        <v>0</v>
      </c>
      <c r="AM395" s="78">
        <v>40306.913657407407</v>
      </c>
      <c r="AN395" s="76" t="s">
        <v>17551</v>
      </c>
      <c r="AO395" s="76"/>
      <c r="AP395" s="83" t="str">
        <f>HYPERLINK("https://t.co/Z3WVzsceoS")</f>
        <v>https://t.co/Z3WVzsceoS</v>
      </c>
      <c r="AQ395" s="83" t="str">
        <f>HYPERLINK("http://udson07.wordpress.com/")</f>
        <v>http://udson07.wordpress.com/</v>
      </c>
      <c r="AR395" s="76" t="s">
        <v>18466</v>
      </c>
      <c r="AS395" s="76"/>
      <c r="AT395" s="76"/>
      <c r="AU395" s="76"/>
      <c r="AV395" s="76"/>
      <c r="AW395" s="83" t="str">
        <f>HYPERLINK("https://t.co/Z3WVzsceoS")</f>
        <v>https://t.co/Z3WVzsceoS</v>
      </c>
      <c r="AX395" s="76" t="b">
        <v>0</v>
      </c>
      <c r="AY395" s="76"/>
      <c r="AZ395" s="76"/>
      <c r="BA395" s="76" t="b">
        <v>0</v>
      </c>
      <c r="BB395" s="76" t="b">
        <v>1</v>
      </c>
      <c r="BC395" s="76" t="b">
        <v>0</v>
      </c>
      <c r="BD395" s="76" t="b">
        <v>0</v>
      </c>
      <c r="BE395" s="76" t="b">
        <v>1</v>
      </c>
      <c r="BF395" s="76" t="b">
        <v>0</v>
      </c>
      <c r="BG395" s="76" t="b">
        <v>0</v>
      </c>
      <c r="BH395" s="83" t="str">
        <f>HYPERLINK("https://pbs.twimg.com/profile_banners/141730592/1689280235")</f>
        <v>https://pbs.twimg.com/profile_banners/141730592/1689280235</v>
      </c>
      <c r="BI395" s="76"/>
      <c r="BJ395" s="76" t="s">
        <v>18704</v>
      </c>
      <c r="BK395" s="76" t="b">
        <v>0</v>
      </c>
      <c r="BL395" s="76"/>
      <c r="BM395" s="76" t="s">
        <v>66</v>
      </c>
      <c r="BN395" s="76" t="s">
        <v>18706</v>
      </c>
      <c r="BO395" s="83" t="str">
        <f>HYPERLINK("https://twitter.com/udsonloved")</f>
        <v>https://twitter.com/udsonloved</v>
      </c>
      <c r="BP395" s="2"/>
    </row>
    <row r="396" spans="1:68" x14ac:dyDescent="0.25">
      <c r="A396" s="62" t="s">
        <v>535</v>
      </c>
      <c r="B396" s="63"/>
      <c r="C396" s="63"/>
      <c r="D396" s="64"/>
      <c r="E396" s="66"/>
      <c r="F396" s="102" t="str">
        <f>HYPERLINK("https://pbs.twimg.com/profile_images/1699367793383088128/cdrTDCNJ_normal.jpg")</f>
        <v>https://pbs.twimg.com/profile_images/1699367793383088128/cdrTDCNJ_normal.jpg</v>
      </c>
      <c r="G396" s="63"/>
      <c r="H396" s="67"/>
      <c r="I396" s="68"/>
      <c r="J396" s="68"/>
      <c r="K396" s="67" t="s">
        <v>19099</v>
      </c>
      <c r="L396" s="71"/>
      <c r="M396" s="72"/>
      <c r="N396" s="72"/>
      <c r="O396" s="73"/>
      <c r="P396" s="74"/>
      <c r="Q396" s="74"/>
      <c r="R396" s="86"/>
      <c r="S396" s="86"/>
      <c r="T396" s="86"/>
      <c r="U396" s="86"/>
      <c r="V396" s="48"/>
      <c r="W396" s="48"/>
      <c r="X396" s="48"/>
      <c r="Y396" s="48"/>
      <c r="Z396" s="47"/>
      <c r="AA396" s="69">
        <v>396</v>
      </c>
      <c r="AB396" s="69"/>
      <c r="AC396" s="70"/>
      <c r="AD396" s="76" t="s">
        <v>16822</v>
      </c>
      <c r="AE396" s="81" t="s">
        <v>16284</v>
      </c>
      <c r="AF396" s="76">
        <v>173</v>
      </c>
      <c r="AG396" s="76">
        <v>330</v>
      </c>
      <c r="AH396" s="76">
        <v>18</v>
      </c>
      <c r="AI396" s="76">
        <v>0</v>
      </c>
      <c r="AJ396" s="76">
        <v>3560</v>
      </c>
      <c r="AK396" s="76">
        <v>0</v>
      </c>
      <c r="AL396" s="76" t="b">
        <v>0</v>
      </c>
      <c r="AM396" s="78">
        <v>44989.715613425928</v>
      </c>
      <c r="AN396" s="76"/>
      <c r="AO396" s="76" t="s">
        <v>17995</v>
      </c>
      <c r="AP396" s="76"/>
      <c r="AQ396" s="76"/>
      <c r="AR396" s="76"/>
      <c r="AS396" s="76"/>
      <c r="AT396" s="76"/>
      <c r="AU396" s="76"/>
      <c r="AV396" s="76"/>
      <c r="AW396" s="76"/>
      <c r="AX396" s="76" t="b">
        <v>0</v>
      </c>
      <c r="AY396" s="76"/>
      <c r="AZ396" s="76"/>
      <c r="BA396" s="76" t="b">
        <v>1</v>
      </c>
      <c r="BB396" s="76" t="b">
        <v>1</v>
      </c>
      <c r="BC396" s="76" t="b">
        <v>1</v>
      </c>
      <c r="BD396" s="76" t="b">
        <v>0</v>
      </c>
      <c r="BE396" s="76" t="b">
        <v>0</v>
      </c>
      <c r="BF396" s="76" t="b">
        <v>0</v>
      </c>
      <c r="BG396" s="76" t="b">
        <v>1</v>
      </c>
      <c r="BH396" s="83" t="str">
        <f>HYPERLINK("https://pbs.twimg.com/profile_banners/1632065895056179201/1694107903")</f>
        <v>https://pbs.twimg.com/profile_banners/1632065895056179201/1694107903</v>
      </c>
      <c r="BI396" s="76"/>
      <c r="BJ396" s="76" t="s">
        <v>18704</v>
      </c>
      <c r="BK396" s="76" t="b">
        <v>0</v>
      </c>
      <c r="BL396" s="76"/>
      <c r="BM396" s="76" t="s">
        <v>66</v>
      </c>
      <c r="BN396" s="76" t="s">
        <v>18706</v>
      </c>
      <c r="BO396" s="83" t="str">
        <f>HYPERLINK("https://twitter.com/wealthmindpower")</f>
        <v>https://twitter.com/wealthmindpower</v>
      </c>
      <c r="BP396" s="2"/>
    </row>
    <row r="397" spans="1:68" x14ac:dyDescent="0.25">
      <c r="A397" s="62" t="s">
        <v>536</v>
      </c>
      <c r="B397" s="63"/>
      <c r="C397" s="63"/>
      <c r="D397" s="64"/>
      <c r="E397" s="66"/>
      <c r="F397" s="102" t="str">
        <f>HYPERLINK("https://pbs.twimg.com/profile_images/1621519372962639872/-AUYl2x6_normal.jpg")</f>
        <v>https://pbs.twimg.com/profile_images/1621519372962639872/-AUYl2x6_normal.jpg</v>
      </c>
      <c r="G397" s="63"/>
      <c r="H397" s="67"/>
      <c r="I397" s="68"/>
      <c r="J397" s="68"/>
      <c r="K397" s="67" t="s">
        <v>19100</v>
      </c>
      <c r="L397" s="71"/>
      <c r="M397" s="72"/>
      <c r="N397" s="72"/>
      <c r="O397" s="73"/>
      <c r="P397" s="74"/>
      <c r="Q397" s="74"/>
      <c r="R397" s="86"/>
      <c r="S397" s="86"/>
      <c r="T397" s="86"/>
      <c r="U397" s="86"/>
      <c r="V397" s="48"/>
      <c r="W397" s="48"/>
      <c r="X397" s="48"/>
      <c r="Y397" s="48"/>
      <c r="Z397" s="47"/>
      <c r="AA397" s="69">
        <v>397</v>
      </c>
      <c r="AB397" s="69"/>
      <c r="AC397" s="70"/>
      <c r="AD397" s="76" t="s">
        <v>16823</v>
      </c>
      <c r="AE397" s="81" t="s">
        <v>17258</v>
      </c>
      <c r="AF397" s="76">
        <v>14</v>
      </c>
      <c r="AG397" s="76">
        <v>0</v>
      </c>
      <c r="AH397" s="76">
        <v>111</v>
      </c>
      <c r="AI397" s="76">
        <v>0</v>
      </c>
      <c r="AJ397" s="76">
        <v>5</v>
      </c>
      <c r="AK397" s="76">
        <v>109</v>
      </c>
      <c r="AL397" s="76" t="b">
        <v>0</v>
      </c>
      <c r="AM397" s="78">
        <v>40893.710543981484</v>
      </c>
      <c r="AN397" s="76"/>
      <c r="AO397" s="76" t="s">
        <v>17996</v>
      </c>
      <c r="AP397" s="83" t="str">
        <f>HYPERLINK("https://t.co/TAyTDwApwN")</f>
        <v>https://t.co/TAyTDwApwN</v>
      </c>
      <c r="AQ397" s="83" t="str">
        <f>HYPERLINK("https://wagnergeremia.com")</f>
        <v>https://wagnergeremia.com</v>
      </c>
      <c r="AR397" s="76" t="s">
        <v>18467</v>
      </c>
      <c r="AS397" s="83" t="str">
        <f>HYPERLINK("https://t.co/baTRTtnSFN")</f>
        <v>https://t.co/baTRTtnSFN</v>
      </c>
      <c r="AT397" s="83" t="str">
        <f>HYPERLINK("http://wagnergeremia.com")</f>
        <v>http://wagnergeremia.com</v>
      </c>
      <c r="AU397" s="76" t="s">
        <v>18467</v>
      </c>
      <c r="AV397" s="76"/>
      <c r="AW397" s="83" t="str">
        <f>HYPERLINK("https://t.co/TAyTDwApwN")</f>
        <v>https://t.co/TAyTDwApwN</v>
      </c>
      <c r="AX397" s="76" t="b">
        <v>0</v>
      </c>
      <c r="AY397" s="76"/>
      <c r="AZ397" s="76"/>
      <c r="BA397" s="76" t="b">
        <v>0</v>
      </c>
      <c r="BB397" s="76" t="b">
        <v>1</v>
      </c>
      <c r="BC397" s="76" t="b">
        <v>1</v>
      </c>
      <c r="BD397" s="76" t="b">
        <v>0</v>
      </c>
      <c r="BE397" s="76" t="b">
        <v>0</v>
      </c>
      <c r="BF397" s="76" t="b">
        <v>0</v>
      </c>
      <c r="BG397" s="76" t="b">
        <v>0</v>
      </c>
      <c r="BH397" s="83" t="str">
        <f>HYPERLINK("https://pbs.twimg.com/profile_banners/438488077/1675435381")</f>
        <v>https://pbs.twimg.com/profile_banners/438488077/1675435381</v>
      </c>
      <c r="BI397" s="76"/>
      <c r="BJ397" s="76" t="s">
        <v>18704</v>
      </c>
      <c r="BK397" s="76" t="b">
        <v>0</v>
      </c>
      <c r="BL397" s="76"/>
      <c r="BM397" s="76" t="s">
        <v>66</v>
      </c>
      <c r="BN397" s="76" t="s">
        <v>18706</v>
      </c>
      <c r="BO397" s="83" t="str">
        <f>HYPERLINK("https://twitter.com/wagnergeremia")</f>
        <v>https://twitter.com/wagnergeremia</v>
      </c>
      <c r="BP397" s="2"/>
    </row>
    <row r="398" spans="1:68" x14ac:dyDescent="0.25">
      <c r="A398" s="62" t="s">
        <v>537</v>
      </c>
      <c r="B398" s="63"/>
      <c r="C398" s="63"/>
      <c r="D398" s="64"/>
      <c r="E398" s="66"/>
      <c r="F398" s="102" t="str">
        <f>HYPERLINK("https://pbs.twimg.com/profile_images/1620590176610156549/gEwbNvth_normal.jpg")</f>
        <v>https://pbs.twimg.com/profile_images/1620590176610156549/gEwbNvth_normal.jpg</v>
      </c>
      <c r="G398" s="63"/>
      <c r="H398" s="67"/>
      <c r="I398" s="68"/>
      <c r="J398" s="68"/>
      <c r="K398" s="67" t="s">
        <v>19101</v>
      </c>
      <c r="L398" s="71"/>
      <c r="M398" s="72"/>
      <c r="N398" s="72"/>
      <c r="O398" s="73"/>
      <c r="P398" s="74"/>
      <c r="Q398" s="74"/>
      <c r="R398" s="86"/>
      <c r="S398" s="86"/>
      <c r="T398" s="86"/>
      <c r="U398" s="86"/>
      <c r="V398" s="48"/>
      <c r="W398" s="48"/>
      <c r="X398" s="48"/>
      <c r="Y398" s="48"/>
      <c r="Z398" s="47"/>
      <c r="AA398" s="69">
        <v>398</v>
      </c>
      <c r="AB398" s="69"/>
      <c r="AC398" s="70"/>
      <c r="AD398" s="76" t="s">
        <v>16824</v>
      </c>
      <c r="AE398" s="81" t="s">
        <v>17259</v>
      </c>
      <c r="AF398" s="76">
        <v>7506</v>
      </c>
      <c r="AG398" s="76">
        <v>532</v>
      </c>
      <c r="AH398" s="76">
        <v>5002</v>
      </c>
      <c r="AI398" s="76">
        <v>68</v>
      </c>
      <c r="AJ398" s="76">
        <v>2441</v>
      </c>
      <c r="AK398" s="76">
        <v>1936</v>
      </c>
      <c r="AL398" s="76" t="b">
        <v>0</v>
      </c>
      <c r="AM398" s="78">
        <v>42108.623032407406</v>
      </c>
      <c r="AN398" s="76" t="s">
        <v>10607</v>
      </c>
      <c r="AO398" s="76" t="s">
        <v>17997</v>
      </c>
      <c r="AP398" s="83" t="str">
        <f>HYPERLINK("https://t.co/9ucaC20lk1")</f>
        <v>https://t.co/9ucaC20lk1</v>
      </c>
      <c r="AQ398" s="83" t="str">
        <f>HYPERLINK("http://www.porque.com.br")</f>
        <v>http://www.porque.com.br</v>
      </c>
      <c r="AR398" s="76" t="s">
        <v>18468</v>
      </c>
      <c r="AS398" s="76"/>
      <c r="AT398" s="76"/>
      <c r="AU398" s="76"/>
      <c r="AV398" s="76"/>
      <c r="AW398" s="83" t="str">
        <f>HYPERLINK("https://t.co/9ucaC20lk1")</f>
        <v>https://t.co/9ucaC20lk1</v>
      </c>
      <c r="AX398" s="76" t="b">
        <v>0</v>
      </c>
      <c r="AY398" s="76"/>
      <c r="AZ398" s="76"/>
      <c r="BA398" s="76" t="b">
        <v>0</v>
      </c>
      <c r="BB398" s="76" t="b">
        <v>1</v>
      </c>
      <c r="BC398" s="76" t="b">
        <v>0</v>
      </c>
      <c r="BD398" s="76" t="b">
        <v>0</v>
      </c>
      <c r="BE398" s="76" t="b">
        <v>1</v>
      </c>
      <c r="BF398" s="76" t="b">
        <v>0</v>
      </c>
      <c r="BG398" s="76" t="b">
        <v>0</v>
      </c>
      <c r="BH398" s="83" t="str">
        <f>HYPERLINK("https://pbs.twimg.com/profile_banners/3166145932/1580232041")</f>
        <v>https://pbs.twimg.com/profile_banners/3166145932/1580232041</v>
      </c>
      <c r="BI398" s="76"/>
      <c r="BJ398" s="76" t="s">
        <v>18704</v>
      </c>
      <c r="BK398" s="76" t="b">
        <v>0</v>
      </c>
      <c r="BL398" s="76"/>
      <c r="BM398" s="76" t="s">
        <v>66</v>
      </c>
      <c r="BN398" s="76" t="s">
        <v>18706</v>
      </c>
      <c r="BO398" s="83" t="str">
        <f>HYPERLINK("https://twitter.com/porque_com_br")</f>
        <v>https://twitter.com/porque_com_br</v>
      </c>
      <c r="BP398" s="2"/>
    </row>
    <row r="399" spans="1:68" x14ac:dyDescent="0.25">
      <c r="A399" s="62" t="s">
        <v>538</v>
      </c>
      <c r="B399" s="63"/>
      <c r="C399" s="63"/>
      <c r="D399" s="64"/>
      <c r="E399" s="66"/>
      <c r="F399" s="102" t="str">
        <f>HYPERLINK("https://pbs.twimg.com/profile_images/1526569499289321472/eh2fdFct_normal.jpg")</f>
        <v>https://pbs.twimg.com/profile_images/1526569499289321472/eh2fdFct_normal.jpg</v>
      </c>
      <c r="G399" s="63"/>
      <c r="H399" s="67"/>
      <c r="I399" s="68"/>
      <c r="J399" s="68"/>
      <c r="K399" s="67" t="s">
        <v>19102</v>
      </c>
      <c r="L399" s="71"/>
      <c r="M399" s="72"/>
      <c r="N399" s="72"/>
      <c r="O399" s="73"/>
      <c r="P399" s="74"/>
      <c r="Q399" s="74"/>
      <c r="R399" s="86"/>
      <c r="S399" s="86"/>
      <c r="T399" s="86"/>
      <c r="U399" s="86"/>
      <c r="V399" s="48"/>
      <c r="W399" s="48"/>
      <c r="X399" s="48"/>
      <c r="Y399" s="48"/>
      <c r="Z399" s="47"/>
      <c r="AA399" s="69">
        <v>399</v>
      </c>
      <c r="AB399" s="69"/>
      <c r="AC399" s="70"/>
      <c r="AD399" s="76" t="s">
        <v>16825</v>
      </c>
      <c r="AE399" s="81" t="s">
        <v>16285</v>
      </c>
      <c r="AF399" s="76">
        <v>62</v>
      </c>
      <c r="AG399" s="76">
        <v>33</v>
      </c>
      <c r="AH399" s="76">
        <v>254</v>
      </c>
      <c r="AI399" s="76">
        <v>0</v>
      </c>
      <c r="AJ399" s="76">
        <v>26</v>
      </c>
      <c r="AK399" s="76">
        <v>236</v>
      </c>
      <c r="AL399" s="76" t="b">
        <v>0</v>
      </c>
      <c r="AM399" s="78">
        <v>44698.599502314813</v>
      </c>
      <c r="AN399" s="76"/>
      <c r="AO399" s="76" t="s">
        <v>17998</v>
      </c>
      <c r="AP399" s="83" t="str">
        <f>HYPERLINK("https://t.co/5mfxxlwoyL")</f>
        <v>https://t.co/5mfxxlwoyL</v>
      </c>
      <c r="AQ399" s="83" t="str">
        <f>HYPERLINK("http://vortx.com.br")</f>
        <v>http://vortx.com.br</v>
      </c>
      <c r="AR399" s="76" t="s">
        <v>18469</v>
      </c>
      <c r="AS399" s="83" t="str">
        <f>HYPERLINK("https://t.co/wDdKjaqTFO")</f>
        <v>https://t.co/wDdKjaqTFO</v>
      </c>
      <c r="AT399" s="83" t="str">
        <f>HYPERLINK("http://linktr.ee/vortxbr")</f>
        <v>http://linktr.ee/vortxbr</v>
      </c>
      <c r="AU399" s="76" t="s">
        <v>18681</v>
      </c>
      <c r="AV399" s="76"/>
      <c r="AW399" s="83" t="str">
        <f>HYPERLINK("https://t.co/5mfxxlwoyL")</f>
        <v>https://t.co/5mfxxlwoyL</v>
      </c>
      <c r="AX399" s="76" t="b">
        <v>0</v>
      </c>
      <c r="AY399" s="76"/>
      <c r="AZ399" s="76"/>
      <c r="BA399" s="76" t="b">
        <v>0</v>
      </c>
      <c r="BB399" s="76" t="b">
        <v>1</v>
      </c>
      <c r="BC399" s="76" t="b">
        <v>1</v>
      </c>
      <c r="BD399" s="76" t="b">
        <v>0</v>
      </c>
      <c r="BE399" s="76" t="b">
        <v>0</v>
      </c>
      <c r="BF399" s="76" t="b">
        <v>0</v>
      </c>
      <c r="BG399" s="76" t="b">
        <v>0</v>
      </c>
      <c r="BH399" s="83" t="str">
        <f>HYPERLINK("https://pbs.twimg.com/profile_banners/1526566417419608065/1655123479")</f>
        <v>https://pbs.twimg.com/profile_banners/1526566417419608065/1655123479</v>
      </c>
      <c r="BI399" s="76"/>
      <c r="BJ399" s="76" t="s">
        <v>18704</v>
      </c>
      <c r="BK399" s="76" t="b">
        <v>0</v>
      </c>
      <c r="BL399" s="76"/>
      <c r="BM399" s="76" t="s">
        <v>66</v>
      </c>
      <c r="BN399" s="76" t="s">
        <v>18706</v>
      </c>
      <c r="BO399" s="83" t="str">
        <f>HYPERLINK("https://twitter.com/vortxbr")</f>
        <v>https://twitter.com/vortxbr</v>
      </c>
      <c r="BP399" s="2"/>
    </row>
    <row r="400" spans="1:68" x14ac:dyDescent="0.25">
      <c r="A400" s="62" t="s">
        <v>539</v>
      </c>
      <c r="B400" s="63"/>
      <c r="C400" s="63"/>
      <c r="D400" s="64"/>
      <c r="E400" s="66"/>
      <c r="F400" s="102" t="str">
        <f>HYPERLINK("https://pbs.twimg.com/profile_images/1699498200418115584/Zs4LoTiJ_normal.jpg")</f>
        <v>https://pbs.twimg.com/profile_images/1699498200418115584/Zs4LoTiJ_normal.jpg</v>
      </c>
      <c r="G400" s="63"/>
      <c r="H400" s="67"/>
      <c r="I400" s="68"/>
      <c r="J400" s="68"/>
      <c r="K400" s="67" t="s">
        <v>19103</v>
      </c>
      <c r="L400" s="71"/>
      <c r="M400" s="72"/>
      <c r="N400" s="72"/>
      <c r="O400" s="73"/>
      <c r="P400" s="74"/>
      <c r="Q400" s="74"/>
      <c r="R400" s="86"/>
      <c r="S400" s="86"/>
      <c r="T400" s="86"/>
      <c r="U400" s="86"/>
      <c r="V400" s="48"/>
      <c r="W400" s="48"/>
      <c r="X400" s="48"/>
      <c r="Y400" s="48"/>
      <c r="Z400" s="47"/>
      <c r="AA400" s="69">
        <v>400</v>
      </c>
      <c r="AB400" s="69"/>
      <c r="AC400" s="70"/>
      <c r="AD400" s="76" t="s">
        <v>16826</v>
      </c>
      <c r="AE400" s="81" t="s">
        <v>15957</v>
      </c>
      <c r="AF400" s="76">
        <v>10355</v>
      </c>
      <c r="AG400" s="76">
        <v>3225</v>
      </c>
      <c r="AH400" s="76">
        <v>14029</v>
      </c>
      <c r="AI400" s="76">
        <v>165</v>
      </c>
      <c r="AJ400" s="76">
        <v>7589</v>
      </c>
      <c r="AK400" s="76">
        <v>1232</v>
      </c>
      <c r="AL400" s="76" t="b">
        <v>0</v>
      </c>
      <c r="AM400" s="78">
        <v>41859.430462962962</v>
      </c>
      <c r="AN400" s="76"/>
      <c r="AO400" s="76" t="s">
        <v>17999</v>
      </c>
      <c r="AP400" s="83" t="str">
        <f>HYPERLINK("https://t.co/Rd90St4eUu")</f>
        <v>https://t.co/Rd90St4eUu</v>
      </c>
      <c r="AQ400" s="83" t="str">
        <f>HYPERLINK("http://www.globaltaxjustice.org")</f>
        <v>http://www.globaltaxjustice.org</v>
      </c>
      <c r="AR400" s="76" t="s">
        <v>18470</v>
      </c>
      <c r="AS400" s="76"/>
      <c r="AT400" s="76"/>
      <c r="AU400" s="76"/>
      <c r="AV400" s="76">
        <v>1.7070662778883899E+18</v>
      </c>
      <c r="AW400" s="83" t="str">
        <f>HYPERLINK("https://t.co/Rd90St4eUu")</f>
        <v>https://t.co/Rd90St4eUu</v>
      </c>
      <c r="AX400" s="76" t="b">
        <v>0</v>
      </c>
      <c r="AY400" s="76"/>
      <c r="AZ400" s="76"/>
      <c r="BA400" s="76" t="b">
        <v>1</v>
      </c>
      <c r="BB400" s="76" t="b">
        <v>1</v>
      </c>
      <c r="BC400" s="76" t="b">
        <v>0</v>
      </c>
      <c r="BD400" s="76" t="b">
        <v>0</v>
      </c>
      <c r="BE400" s="76" t="b">
        <v>1</v>
      </c>
      <c r="BF400" s="76" t="b">
        <v>0</v>
      </c>
      <c r="BG400" s="76" t="b">
        <v>0</v>
      </c>
      <c r="BH400" s="76"/>
      <c r="BI400" s="76"/>
      <c r="BJ400" s="76" t="s">
        <v>18704</v>
      </c>
      <c r="BK400" s="76" t="b">
        <v>0</v>
      </c>
      <c r="BL400" s="76"/>
      <c r="BM400" s="76" t="s">
        <v>66</v>
      </c>
      <c r="BN400" s="76" t="s">
        <v>18706</v>
      </c>
      <c r="BO400" s="83" t="str">
        <f>HYPERLINK("https://twitter.com/ga4tj")</f>
        <v>https://twitter.com/ga4tj</v>
      </c>
      <c r="BP400" s="2"/>
    </row>
    <row r="401" spans="1:68" x14ac:dyDescent="0.25">
      <c r="A401" s="62" t="s">
        <v>540</v>
      </c>
      <c r="B401" s="63"/>
      <c r="C401" s="63"/>
      <c r="D401" s="64"/>
      <c r="E401" s="66"/>
      <c r="F401" s="102" t="str">
        <f>HYPERLINK("https://pbs.twimg.com/profile_images/1451336986506244102/bbO8dxzF_normal.jpg")</f>
        <v>https://pbs.twimg.com/profile_images/1451336986506244102/bbO8dxzF_normal.jpg</v>
      </c>
      <c r="G401" s="63"/>
      <c r="H401" s="67"/>
      <c r="I401" s="68"/>
      <c r="J401" s="68"/>
      <c r="K401" s="67" t="s">
        <v>19104</v>
      </c>
      <c r="L401" s="71"/>
      <c r="M401" s="72"/>
      <c r="N401" s="72"/>
      <c r="O401" s="73"/>
      <c r="P401" s="74"/>
      <c r="Q401" s="74"/>
      <c r="R401" s="86"/>
      <c r="S401" s="86"/>
      <c r="T401" s="86"/>
      <c r="U401" s="86"/>
      <c r="V401" s="48"/>
      <c r="W401" s="48"/>
      <c r="X401" s="48"/>
      <c r="Y401" s="48"/>
      <c r="Z401" s="47"/>
      <c r="AA401" s="69">
        <v>401</v>
      </c>
      <c r="AB401" s="69"/>
      <c r="AC401" s="70"/>
      <c r="AD401" s="76" t="s">
        <v>16827</v>
      </c>
      <c r="AE401" s="81" t="s">
        <v>15958</v>
      </c>
      <c r="AF401" s="76">
        <v>1143</v>
      </c>
      <c r="AG401" s="76">
        <v>1687</v>
      </c>
      <c r="AH401" s="76">
        <v>13822</v>
      </c>
      <c r="AI401" s="76">
        <v>4</v>
      </c>
      <c r="AJ401" s="76">
        <v>22393</v>
      </c>
      <c r="AK401" s="76">
        <v>529</v>
      </c>
      <c r="AL401" s="76" t="b">
        <v>0</v>
      </c>
      <c r="AM401" s="78">
        <v>44490.998391203706</v>
      </c>
      <c r="AN401" s="76" t="s">
        <v>17552</v>
      </c>
      <c r="AO401" s="76" t="s">
        <v>18000</v>
      </c>
      <c r="AP401" s="76"/>
      <c r="AQ401" s="76"/>
      <c r="AR401" s="76"/>
      <c r="AS401" s="76"/>
      <c r="AT401" s="76"/>
      <c r="AU401" s="76"/>
      <c r="AV401" s="76">
        <v>1.6966974639674501E+18</v>
      </c>
      <c r="AW401" s="76"/>
      <c r="AX401" s="76" t="b">
        <v>0</v>
      </c>
      <c r="AY401" s="76"/>
      <c r="AZ401" s="76"/>
      <c r="BA401" s="76" t="b">
        <v>0</v>
      </c>
      <c r="BB401" s="76" t="b">
        <v>1</v>
      </c>
      <c r="BC401" s="76" t="b">
        <v>1</v>
      </c>
      <c r="BD401" s="76" t="b">
        <v>0</v>
      </c>
      <c r="BE401" s="76" t="b">
        <v>0</v>
      </c>
      <c r="BF401" s="76" t="b">
        <v>0</v>
      </c>
      <c r="BG401" s="76" t="b">
        <v>0</v>
      </c>
      <c r="BH401" s="83" t="str">
        <f>HYPERLINK("https://pbs.twimg.com/profile_banners/1451336811700228099/1672164112")</f>
        <v>https://pbs.twimg.com/profile_banners/1451336811700228099/1672164112</v>
      </c>
      <c r="BI401" s="76"/>
      <c r="BJ401" s="76" t="s">
        <v>18704</v>
      </c>
      <c r="BK401" s="76" t="b">
        <v>0</v>
      </c>
      <c r="BL401" s="76"/>
      <c r="BM401" s="76" t="s">
        <v>66</v>
      </c>
      <c r="BN401" s="76" t="s">
        <v>18706</v>
      </c>
      <c r="BO401" s="83" t="str">
        <f>HYPERLINK("https://twitter.com/economia_cafe")</f>
        <v>https://twitter.com/economia_cafe</v>
      </c>
      <c r="BP401" s="2"/>
    </row>
    <row r="402" spans="1:68" x14ac:dyDescent="0.25">
      <c r="A402" s="62" t="s">
        <v>541</v>
      </c>
      <c r="B402" s="63"/>
      <c r="C402" s="63"/>
      <c r="D402" s="64"/>
      <c r="E402" s="66"/>
      <c r="F402" s="102" t="str">
        <f>HYPERLINK("https://pbs.twimg.com/profile_images/1701803456984666112/8AMNlLIm_normal.jpg")</f>
        <v>https://pbs.twimg.com/profile_images/1701803456984666112/8AMNlLIm_normal.jpg</v>
      </c>
      <c r="G402" s="63"/>
      <c r="H402" s="67"/>
      <c r="I402" s="68"/>
      <c r="J402" s="68"/>
      <c r="K402" s="67" t="s">
        <v>19105</v>
      </c>
      <c r="L402" s="71"/>
      <c r="M402" s="72"/>
      <c r="N402" s="72"/>
      <c r="O402" s="73"/>
      <c r="P402" s="74"/>
      <c r="Q402" s="74"/>
      <c r="R402" s="86"/>
      <c r="S402" s="86"/>
      <c r="T402" s="86"/>
      <c r="U402" s="86"/>
      <c r="V402" s="48"/>
      <c r="W402" s="48"/>
      <c r="X402" s="48"/>
      <c r="Y402" s="48"/>
      <c r="Z402" s="47"/>
      <c r="AA402" s="69">
        <v>402</v>
      </c>
      <c r="AB402" s="69"/>
      <c r="AC402" s="70"/>
      <c r="AD402" s="76" t="s">
        <v>16828</v>
      </c>
      <c r="AE402" s="81" t="s">
        <v>16286</v>
      </c>
      <c r="AF402" s="76">
        <v>0</v>
      </c>
      <c r="AG402" s="76">
        <v>14</v>
      </c>
      <c r="AH402" s="76">
        <v>7</v>
      </c>
      <c r="AI402" s="76">
        <v>0</v>
      </c>
      <c r="AJ402" s="76">
        <v>1</v>
      </c>
      <c r="AK402" s="76">
        <v>7</v>
      </c>
      <c r="AL402" s="76" t="b">
        <v>0</v>
      </c>
      <c r="AM402" s="78">
        <v>45182.154097222221</v>
      </c>
      <c r="AN402" s="76"/>
      <c r="AO402" s="76" t="s">
        <v>18001</v>
      </c>
      <c r="AP402" s="83" t="str">
        <f>HYPERLINK("https://t.co/X2O8tdisEc")</f>
        <v>https://t.co/X2O8tdisEc</v>
      </c>
      <c r="AQ402" s="83" t="str">
        <f>HYPERLINK("https://youtube.com/@financeinfohindi?si=mgJyzpuue-SvxIU7")</f>
        <v>https://youtube.com/@financeinfohindi?si=mgJyzpuue-SvxIU7</v>
      </c>
      <c r="AR402" s="76" t="s">
        <v>18471</v>
      </c>
      <c r="AS402" s="76"/>
      <c r="AT402" s="76"/>
      <c r="AU402" s="76"/>
      <c r="AV402" s="76"/>
      <c r="AW402" s="83" t="str">
        <f>HYPERLINK("https://t.co/X2O8tdisEc")</f>
        <v>https://t.co/X2O8tdisEc</v>
      </c>
      <c r="AX402" s="76" t="b">
        <v>0</v>
      </c>
      <c r="AY402" s="76"/>
      <c r="AZ402" s="76"/>
      <c r="BA402" s="76" t="b">
        <v>0</v>
      </c>
      <c r="BB402" s="76" t="b">
        <v>1</v>
      </c>
      <c r="BC402" s="76" t="b">
        <v>1</v>
      </c>
      <c r="BD402" s="76" t="b">
        <v>0</v>
      </c>
      <c r="BE402" s="76" t="b">
        <v>0</v>
      </c>
      <c r="BF402" s="76" t="b">
        <v>0</v>
      </c>
      <c r="BG402" s="76" t="b">
        <v>0</v>
      </c>
      <c r="BH402" s="76"/>
      <c r="BI402" s="76"/>
      <c r="BJ402" s="76" t="s">
        <v>18704</v>
      </c>
      <c r="BK402" s="76" t="b">
        <v>0</v>
      </c>
      <c r="BL402" s="76"/>
      <c r="BM402" s="76" t="s">
        <v>66</v>
      </c>
      <c r="BN402" s="76" t="s">
        <v>18706</v>
      </c>
      <c r="BO402" s="83" t="str">
        <f>HYPERLINK("https://twitter.com/infohindi009")</f>
        <v>https://twitter.com/infohindi009</v>
      </c>
      <c r="BP402" s="2"/>
    </row>
    <row r="403" spans="1:68" x14ac:dyDescent="0.25">
      <c r="A403" s="62" t="s">
        <v>542</v>
      </c>
      <c r="B403" s="63"/>
      <c r="C403" s="63"/>
      <c r="D403" s="64"/>
      <c r="E403" s="66"/>
      <c r="F403" s="102" t="str">
        <f>HYPERLINK("https://pbs.twimg.com/profile_images/1500654903672418304/vy7NyoI9_normal.jpg")</f>
        <v>https://pbs.twimg.com/profile_images/1500654903672418304/vy7NyoI9_normal.jpg</v>
      </c>
      <c r="G403" s="63"/>
      <c r="H403" s="67"/>
      <c r="I403" s="68"/>
      <c r="J403" s="68"/>
      <c r="K403" s="67" t="s">
        <v>19106</v>
      </c>
      <c r="L403" s="71"/>
      <c r="M403" s="72"/>
      <c r="N403" s="72"/>
      <c r="O403" s="73"/>
      <c r="P403" s="74"/>
      <c r="Q403" s="74"/>
      <c r="R403" s="86"/>
      <c r="S403" s="86"/>
      <c r="T403" s="86"/>
      <c r="U403" s="86"/>
      <c r="V403" s="48"/>
      <c r="W403" s="48"/>
      <c r="X403" s="48"/>
      <c r="Y403" s="48"/>
      <c r="Z403" s="47"/>
      <c r="AA403" s="69">
        <v>403</v>
      </c>
      <c r="AB403" s="69"/>
      <c r="AC403" s="70"/>
      <c r="AD403" s="76" t="s">
        <v>16829</v>
      </c>
      <c r="AE403" s="81" t="s">
        <v>16287</v>
      </c>
      <c r="AF403" s="76">
        <v>2102</v>
      </c>
      <c r="AG403" s="76">
        <v>1590</v>
      </c>
      <c r="AH403" s="76">
        <v>2081</v>
      </c>
      <c r="AI403" s="76">
        <v>3</v>
      </c>
      <c r="AJ403" s="76">
        <v>4261</v>
      </c>
      <c r="AK403" s="76">
        <v>235</v>
      </c>
      <c r="AL403" s="76" t="b">
        <v>0</v>
      </c>
      <c r="AM403" s="78">
        <v>44368.731793981482</v>
      </c>
      <c r="AN403" s="76"/>
      <c r="AO403" s="76" t="s">
        <v>18002</v>
      </c>
      <c r="AP403" s="76"/>
      <c r="AQ403" s="76"/>
      <c r="AR403" s="76"/>
      <c r="AS403" s="76"/>
      <c r="AT403" s="76"/>
      <c r="AU403" s="76"/>
      <c r="AV403" s="76">
        <v>1.5870956965654799E+18</v>
      </c>
      <c r="AW403" s="76"/>
      <c r="AX403" s="76" t="b">
        <v>0</v>
      </c>
      <c r="AY403" s="76"/>
      <c r="AZ403" s="76"/>
      <c r="BA403" s="76" t="b">
        <v>1</v>
      </c>
      <c r="BB403" s="76" t="b">
        <v>1</v>
      </c>
      <c r="BC403" s="76" t="b">
        <v>1</v>
      </c>
      <c r="BD403" s="76" t="b">
        <v>0</v>
      </c>
      <c r="BE403" s="76" t="b">
        <v>1</v>
      </c>
      <c r="BF403" s="76" t="b">
        <v>0</v>
      </c>
      <c r="BG403" s="76" t="b">
        <v>0</v>
      </c>
      <c r="BH403" s="83" t="str">
        <f>HYPERLINK("https://pbs.twimg.com/profile_banners/1407028935360192517/1647054590")</f>
        <v>https://pbs.twimg.com/profile_banners/1407028935360192517/1647054590</v>
      </c>
      <c r="BI403" s="76"/>
      <c r="BJ403" s="76" t="s">
        <v>18704</v>
      </c>
      <c r="BK403" s="76" t="b">
        <v>0</v>
      </c>
      <c r="BL403" s="76"/>
      <c r="BM403" s="76" t="s">
        <v>66</v>
      </c>
      <c r="BN403" s="76" t="s">
        <v>18706</v>
      </c>
      <c r="BO403" s="83" t="str">
        <f>HYPERLINK("https://twitter.com/andrelenski")</f>
        <v>https://twitter.com/andrelenski</v>
      </c>
      <c r="BP403" s="2"/>
    </row>
    <row r="404" spans="1:68" x14ac:dyDescent="0.25">
      <c r="A404" s="62" t="s">
        <v>812</v>
      </c>
      <c r="B404" s="63"/>
      <c r="C404" s="63"/>
      <c r="D404" s="64"/>
      <c r="E404" s="66"/>
      <c r="F404" s="102" t="str">
        <f>HYPERLINK("https://pbs.twimg.com/profile_images/2455533128/612s3tb6ksnwdtgp6vs9_normal.png")</f>
        <v>https://pbs.twimg.com/profile_images/2455533128/612s3tb6ksnwdtgp6vs9_normal.png</v>
      </c>
      <c r="G404" s="63"/>
      <c r="H404" s="67"/>
      <c r="I404" s="68"/>
      <c r="J404" s="68"/>
      <c r="K404" s="67" t="s">
        <v>19107</v>
      </c>
      <c r="L404" s="71"/>
      <c r="M404" s="72"/>
      <c r="N404" s="72"/>
      <c r="O404" s="73"/>
      <c r="P404" s="74"/>
      <c r="Q404" s="74"/>
      <c r="R404" s="86"/>
      <c r="S404" s="86"/>
      <c r="T404" s="86"/>
      <c r="U404" s="86"/>
      <c r="V404" s="48"/>
      <c r="W404" s="48"/>
      <c r="X404" s="48"/>
      <c r="Y404" s="48"/>
      <c r="Z404" s="47"/>
      <c r="AA404" s="69">
        <v>404</v>
      </c>
      <c r="AB404" s="69"/>
      <c r="AC404" s="70"/>
      <c r="AD404" s="76" t="s">
        <v>16830</v>
      </c>
      <c r="AE404" s="81" t="s">
        <v>17260</v>
      </c>
      <c r="AF404" s="76">
        <v>1858</v>
      </c>
      <c r="AG404" s="76">
        <v>36</v>
      </c>
      <c r="AH404" s="76">
        <v>1827</v>
      </c>
      <c r="AI404" s="76">
        <v>53</v>
      </c>
      <c r="AJ404" s="76">
        <v>12</v>
      </c>
      <c r="AK404" s="76">
        <v>119</v>
      </c>
      <c r="AL404" s="76" t="b">
        <v>0</v>
      </c>
      <c r="AM404" s="78">
        <v>39821.477789351855</v>
      </c>
      <c r="AN404" s="76" t="s">
        <v>17553</v>
      </c>
      <c r="AO404" s="76" t="s">
        <v>18003</v>
      </c>
      <c r="AP404" s="83" t="str">
        <f>HYPERLINK("http://t.co/lQHczTGkXU")</f>
        <v>http://t.co/lQHczTGkXU</v>
      </c>
      <c r="AQ404" s="83" t="str">
        <f>HYPERLINK("http://www.padtec.com")</f>
        <v>http://www.padtec.com</v>
      </c>
      <c r="AR404" s="76" t="s">
        <v>18472</v>
      </c>
      <c r="AS404" s="76"/>
      <c r="AT404" s="76"/>
      <c r="AU404" s="76"/>
      <c r="AV404" s="76"/>
      <c r="AW404" s="83" t="str">
        <f>HYPERLINK("http://t.co/lQHczTGkXU")</f>
        <v>http://t.co/lQHczTGkXU</v>
      </c>
      <c r="AX404" s="76" t="b">
        <v>0</v>
      </c>
      <c r="AY404" s="76"/>
      <c r="AZ404" s="76"/>
      <c r="BA404" s="76" t="b">
        <v>0</v>
      </c>
      <c r="BB404" s="76" t="b">
        <v>1</v>
      </c>
      <c r="BC404" s="76" t="b">
        <v>0</v>
      </c>
      <c r="BD404" s="76" t="b">
        <v>0</v>
      </c>
      <c r="BE404" s="76" t="b">
        <v>0</v>
      </c>
      <c r="BF404" s="76" t="b">
        <v>0</v>
      </c>
      <c r="BG404" s="76" t="b">
        <v>0</v>
      </c>
      <c r="BH404" s="83" t="str">
        <f>HYPERLINK("https://pbs.twimg.com/profile_banners/18760940/1401362109")</f>
        <v>https://pbs.twimg.com/profile_banners/18760940/1401362109</v>
      </c>
      <c r="BI404" s="76"/>
      <c r="BJ404" s="76" t="s">
        <v>18704</v>
      </c>
      <c r="BK404" s="76" t="b">
        <v>0</v>
      </c>
      <c r="BL404" s="76"/>
      <c r="BM404" s="76" t="s">
        <v>65</v>
      </c>
      <c r="BN404" s="76" t="s">
        <v>18706</v>
      </c>
      <c r="BO404" s="83" t="str">
        <f>HYPERLINK("https://twitter.com/padtec")</f>
        <v>https://twitter.com/padtec</v>
      </c>
      <c r="BP404" s="2"/>
    </row>
    <row r="405" spans="1:68" x14ac:dyDescent="0.25">
      <c r="A405" s="62" t="s">
        <v>543</v>
      </c>
      <c r="B405" s="63"/>
      <c r="C405" s="63"/>
      <c r="D405" s="64"/>
      <c r="E405" s="66"/>
      <c r="F405" s="102" t="str">
        <f>HYPERLINK("https://pbs.twimg.com/profile_images/1678560901010452480/AKRnhp2X_normal.jpg")</f>
        <v>https://pbs.twimg.com/profile_images/1678560901010452480/AKRnhp2X_normal.jpg</v>
      </c>
      <c r="G405" s="63"/>
      <c r="H405" s="67"/>
      <c r="I405" s="68"/>
      <c r="J405" s="68"/>
      <c r="K405" s="67" t="s">
        <v>19108</v>
      </c>
      <c r="L405" s="71"/>
      <c r="M405" s="72"/>
      <c r="N405" s="72"/>
      <c r="O405" s="73"/>
      <c r="P405" s="74"/>
      <c r="Q405" s="74"/>
      <c r="R405" s="86"/>
      <c r="S405" s="86"/>
      <c r="T405" s="86"/>
      <c r="U405" s="86"/>
      <c r="V405" s="48"/>
      <c r="W405" s="48"/>
      <c r="X405" s="48"/>
      <c r="Y405" s="48"/>
      <c r="Z405" s="47"/>
      <c r="AA405" s="69">
        <v>405</v>
      </c>
      <c r="AB405" s="69"/>
      <c r="AC405" s="70"/>
      <c r="AD405" s="76" t="s">
        <v>16831</v>
      </c>
      <c r="AE405" s="81" t="s">
        <v>17261</v>
      </c>
      <c r="AF405" s="76">
        <v>6968</v>
      </c>
      <c r="AG405" s="76">
        <v>84</v>
      </c>
      <c r="AH405" s="76">
        <v>29991</v>
      </c>
      <c r="AI405" s="76">
        <v>98</v>
      </c>
      <c r="AJ405" s="76">
        <v>771</v>
      </c>
      <c r="AK405" s="76">
        <v>594</v>
      </c>
      <c r="AL405" s="76" t="b">
        <v>0</v>
      </c>
      <c r="AM405" s="78">
        <v>41729.828761574077</v>
      </c>
      <c r="AN405" s="76" t="s">
        <v>17554</v>
      </c>
      <c r="AO405" s="76" t="s">
        <v>18004</v>
      </c>
      <c r="AP405" s="83" t="str">
        <f>HYPERLINK("https://t.co/L6hzJ9u1vt")</f>
        <v>https://t.co/L6hzJ9u1vt</v>
      </c>
      <c r="AQ405" s="83" t="str">
        <f>HYPERLINK("https://bit.ly/EUQUEROMW9")</f>
        <v>https://bit.ly/EUQUEROMW9</v>
      </c>
      <c r="AR405" s="76" t="s">
        <v>18473</v>
      </c>
      <c r="AS405" s="76"/>
      <c r="AT405" s="76"/>
      <c r="AU405" s="76"/>
      <c r="AV405" s="76">
        <v>1.7074027963733499E+18</v>
      </c>
      <c r="AW405" s="83" t="str">
        <f>HYPERLINK("https://t.co/L6hzJ9u1vt")</f>
        <v>https://t.co/L6hzJ9u1vt</v>
      </c>
      <c r="AX405" s="76" t="b">
        <v>0</v>
      </c>
      <c r="AY405" s="76"/>
      <c r="AZ405" s="76"/>
      <c r="BA405" s="76" t="b">
        <v>1</v>
      </c>
      <c r="BB405" s="76" t="b">
        <v>1</v>
      </c>
      <c r="BC405" s="76" t="b">
        <v>1</v>
      </c>
      <c r="BD405" s="76" t="b">
        <v>0</v>
      </c>
      <c r="BE405" s="76" t="b">
        <v>0</v>
      </c>
      <c r="BF405" s="76" t="b">
        <v>0</v>
      </c>
      <c r="BG405" s="76" t="b">
        <v>0</v>
      </c>
      <c r="BH405" s="83" t="str">
        <f>HYPERLINK("https://pbs.twimg.com/profile_banners/2421006511/1692367632")</f>
        <v>https://pbs.twimg.com/profile_banners/2421006511/1692367632</v>
      </c>
      <c r="BI405" s="76"/>
      <c r="BJ405" s="76" t="s">
        <v>18704</v>
      </c>
      <c r="BK405" s="76" t="b">
        <v>0</v>
      </c>
      <c r="BL405" s="76"/>
      <c r="BM405" s="76" t="s">
        <v>66</v>
      </c>
      <c r="BN405" s="76" t="s">
        <v>18706</v>
      </c>
      <c r="BO405" s="83" t="str">
        <f>HYPERLINK("https://twitter.com/euqueroinvestir")</f>
        <v>https://twitter.com/euqueroinvestir</v>
      </c>
      <c r="BP405" s="2"/>
    </row>
    <row r="406" spans="1:68" x14ac:dyDescent="0.25">
      <c r="A406" s="62" t="s">
        <v>544</v>
      </c>
      <c r="B406" s="63"/>
      <c r="C406" s="63"/>
      <c r="D406" s="64"/>
      <c r="E406" s="66"/>
      <c r="F406" s="102" t="str">
        <f>HYPERLINK("https://pbs.twimg.com/profile_images/1664096165070028801/PSJeAwx__normal.jpg")</f>
        <v>https://pbs.twimg.com/profile_images/1664096165070028801/PSJeAwx__normal.jpg</v>
      </c>
      <c r="G406" s="63"/>
      <c r="H406" s="67"/>
      <c r="I406" s="68"/>
      <c r="J406" s="68"/>
      <c r="K406" s="67" t="s">
        <v>19109</v>
      </c>
      <c r="L406" s="71"/>
      <c r="M406" s="72"/>
      <c r="N406" s="72"/>
      <c r="O406" s="73"/>
      <c r="P406" s="74"/>
      <c r="Q406" s="74"/>
      <c r="R406" s="86"/>
      <c r="S406" s="86"/>
      <c r="T406" s="86"/>
      <c r="U406" s="86"/>
      <c r="V406" s="48"/>
      <c r="W406" s="48"/>
      <c r="X406" s="48"/>
      <c r="Y406" s="48"/>
      <c r="Z406" s="47"/>
      <c r="AA406" s="69">
        <v>406</v>
      </c>
      <c r="AB406" s="69"/>
      <c r="AC406" s="70"/>
      <c r="AD406" s="76" t="s">
        <v>16832</v>
      </c>
      <c r="AE406" s="81" t="s">
        <v>16288</v>
      </c>
      <c r="AF406" s="76">
        <v>1262</v>
      </c>
      <c r="AG406" s="76">
        <v>30</v>
      </c>
      <c r="AH406" s="76">
        <v>3532</v>
      </c>
      <c r="AI406" s="76">
        <v>2</v>
      </c>
      <c r="AJ406" s="76">
        <v>4</v>
      </c>
      <c r="AK406" s="76">
        <v>1331</v>
      </c>
      <c r="AL406" s="76" t="b">
        <v>0</v>
      </c>
      <c r="AM406" s="78">
        <v>44309.834710648145</v>
      </c>
      <c r="AN406" s="76"/>
      <c r="AO406" s="76" t="s">
        <v>18005</v>
      </c>
      <c r="AP406" s="76"/>
      <c r="AQ406" s="76"/>
      <c r="AR406" s="76"/>
      <c r="AS406" s="76"/>
      <c r="AT406" s="76"/>
      <c r="AU406" s="76"/>
      <c r="AV406" s="76">
        <v>1.6693259074152499E+18</v>
      </c>
      <c r="AW406" s="76"/>
      <c r="AX406" s="76" t="b">
        <v>1</v>
      </c>
      <c r="AY406" s="76"/>
      <c r="AZ406" s="76"/>
      <c r="BA406" s="76" t="b">
        <v>0</v>
      </c>
      <c r="BB406" s="76" t="b">
        <v>0</v>
      </c>
      <c r="BC406" s="76" t="b">
        <v>1</v>
      </c>
      <c r="BD406" s="76" t="b">
        <v>0</v>
      </c>
      <c r="BE406" s="76" t="b">
        <v>0</v>
      </c>
      <c r="BF406" s="76" t="b">
        <v>0</v>
      </c>
      <c r="BG406" s="76" t="b">
        <v>0</v>
      </c>
      <c r="BH406" s="83" t="str">
        <f>HYPERLINK("https://pbs.twimg.com/profile_banners/1385685363952324609/1685586420")</f>
        <v>https://pbs.twimg.com/profile_banners/1385685363952324609/1685586420</v>
      </c>
      <c r="BI406" s="76"/>
      <c r="BJ406" s="76" t="s">
        <v>18704</v>
      </c>
      <c r="BK406" s="76" t="b">
        <v>0</v>
      </c>
      <c r="BL406" s="76"/>
      <c r="BM406" s="76" t="s">
        <v>66</v>
      </c>
      <c r="BN406" s="76" t="s">
        <v>18706</v>
      </c>
      <c r="BO406" s="83" t="str">
        <f>HYPERLINK("https://twitter.com/theinfoveritas")</f>
        <v>https://twitter.com/theinfoveritas</v>
      </c>
      <c r="BP406" s="2"/>
    </row>
    <row r="407" spans="1:68" x14ac:dyDescent="0.25">
      <c r="A407" s="62" t="s">
        <v>545</v>
      </c>
      <c r="B407" s="63"/>
      <c r="C407" s="63"/>
      <c r="D407" s="64"/>
      <c r="E407" s="66"/>
      <c r="F407" s="102" t="str">
        <f>HYPERLINK("https://pbs.twimg.com/profile_images/1699368150788104192/dFwuo0Lq_normal.jpg")</f>
        <v>https://pbs.twimg.com/profile_images/1699368150788104192/dFwuo0Lq_normal.jpg</v>
      </c>
      <c r="G407" s="63"/>
      <c r="H407" s="67"/>
      <c r="I407" s="68"/>
      <c r="J407" s="68"/>
      <c r="K407" s="67" t="s">
        <v>19110</v>
      </c>
      <c r="L407" s="71"/>
      <c r="M407" s="72"/>
      <c r="N407" s="72"/>
      <c r="O407" s="73"/>
      <c r="P407" s="74"/>
      <c r="Q407" s="74"/>
      <c r="R407" s="86"/>
      <c r="S407" s="86"/>
      <c r="T407" s="86"/>
      <c r="U407" s="86"/>
      <c r="V407" s="48"/>
      <c r="W407" s="48"/>
      <c r="X407" s="48"/>
      <c r="Y407" s="48"/>
      <c r="Z407" s="47"/>
      <c r="AA407" s="69">
        <v>407</v>
      </c>
      <c r="AB407" s="69"/>
      <c r="AC407" s="70"/>
      <c r="AD407" s="76" t="s">
        <v>16833</v>
      </c>
      <c r="AE407" s="81" t="s">
        <v>16289</v>
      </c>
      <c r="AF407" s="76">
        <v>176</v>
      </c>
      <c r="AG407" s="76">
        <v>310</v>
      </c>
      <c r="AH407" s="76">
        <v>19</v>
      </c>
      <c r="AI407" s="76">
        <v>2</v>
      </c>
      <c r="AJ407" s="76">
        <v>3580</v>
      </c>
      <c r="AK407" s="76">
        <v>0</v>
      </c>
      <c r="AL407" s="76" t="b">
        <v>0</v>
      </c>
      <c r="AM407" s="78">
        <v>44989.898252314815</v>
      </c>
      <c r="AN407" s="76"/>
      <c r="AO407" s="76" t="s">
        <v>18006</v>
      </c>
      <c r="AP407" s="76"/>
      <c r="AQ407" s="76"/>
      <c r="AR407" s="76"/>
      <c r="AS407" s="76"/>
      <c r="AT407" s="76"/>
      <c r="AU407" s="76"/>
      <c r="AV407" s="76"/>
      <c r="AW407" s="76"/>
      <c r="AX407" s="76" t="b">
        <v>0</v>
      </c>
      <c r="AY407" s="76"/>
      <c r="AZ407" s="76"/>
      <c r="BA407" s="76" t="b">
        <v>1</v>
      </c>
      <c r="BB407" s="76" t="b">
        <v>1</v>
      </c>
      <c r="BC407" s="76" t="b">
        <v>1</v>
      </c>
      <c r="BD407" s="76" t="b">
        <v>0</v>
      </c>
      <c r="BE407" s="76" t="b">
        <v>0</v>
      </c>
      <c r="BF407" s="76" t="b">
        <v>0</v>
      </c>
      <c r="BG407" s="76" t="b">
        <v>0</v>
      </c>
      <c r="BH407" s="83" t="str">
        <f>HYPERLINK("https://pbs.twimg.com/profile_banners/1632132086286127104/1694106611")</f>
        <v>https://pbs.twimg.com/profile_banners/1632132086286127104/1694106611</v>
      </c>
      <c r="BI407" s="76"/>
      <c r="BJ407" s="76" t="s">
        <v>18704</v>
      </c>
      <c r="BK407" s="76" t="b">
        <v>0</v>
      </c>
      <c r="BL407" s="76"/>
      <c r="BM407" s="76" t="s">
        <v>66</v>
      </c>
      <c r="BN407" s="76" t="s">
        <v>18706</v>
      </c>
      <c r="BO407" s="83" t="str">
        <f>HYPERLINK("https://twitter.com/mindfulstocks21")</f>
        <v>https://twitter.com/mindfulstocks21</v>
      </c>
      <c r="BP407" s="2"/>
    </row>
    <row r="408" spans="1:68" x14ac:dyDescent="0.25">
      <c r="A408" s="62" t="s">
        <v>546</v>
      </c>
      <c r="B408" s="63"/>
      <c r="C408" s="63"/>
      <c r="D408" s="64"/>
      <c r="E408" s="66"/>
      <c r="F408" s="102" t="str">
        <f>HYPERLINK("https://pbs.twimg.com/profile_images/1699840926200303616/nd6395r0_normal.jpg")</f>
        <v>https://pbs.twimg.com/profile_images/1699840926200303616/nd6395r0_normal.jpg</v>
      </c>
      <c r="G408" s="63"/>
      <c r="H408" s="67"/>
      <c r="I408" s="68"/>
      <c r="J408" s="68"/>
      <c r="K408" s="67" t="s">
        <v>19111</v>
      </c>
      <c r="L408" s="71"/>
      <c r="M408" s="72"/>
      <c r="N408" s="72"/>
      <c r="O408" s="73"/>
      <c r="P408" s="74"/>
      <c r="Q408" s="74"/>
      <c r="R408" s="86"/>
      <c r="S408" s="86"/>
      <c r="T408" s="86"/>
      <c r="U408" s="86"/>
      <c r="V408" s="48"/>
      <c r="W408" s="48"/>
      <c r="X408" s="48"/>
      <c r="Y408" s="48"/>
      <c r="Z408" s="47"/>
      <c r="AA408" s="69">
        <v>408</v>
      </c>
      <c r="AB408" s="69"/>
      <c r="AC408" s="70"/>
      <c r="AD408" s="76" t="s">
        <v>16834</v>
      </c>
      <c r="AE408" s="81" t="s">
        <v>16290</v>
      </c>
      <c r="AF408" s="76">
        <v>192</v>
      </c>
      <c r="AG408" s="76">
        <v>243</v>
      </c>
      <c r="AH408" s="76">
        <v>21</v>
      </c>
      <c r="AI408" s="76">
        <v>1</v>
      </c>
      <c r="AJ408" s="76">
        <v>3445</v>
      </c>
      <c r="AK408" s="76">
        <v>0</v>
      </c>
      <c r="AL408" s="76" t="b">
        <v>0</v>
      </c>
      <c r="AM408" s="78">
        <v>44989.86215277778</v>
      </c>
      <c r="AN408" s="76"/>
      <c r="AO408" s="76" t="s">
        <v>18007</v>
      </c>
      <c r="AP408" s="76"/>
      <c r="AQ408" s="76"/>
      <c r="AR408" s="76"/>
      <c r="AS408" s="76"/>
      <c r="AT408" s="76"/>
      <c r="AU408" s="76"/>
      <c r="AV408" s="76"/>
      <c r="AW408" s="76"/>
      <c r="AX408" s="76" t="b">
        <v>0</v>
      </c>
      <c r="AY408" s="76"/>
      <c r="AZ408" s="76"/>
      <c r="BA408" s="76" t="b">
        <v>1</v>
      </c>
      <c r="BB408" s="76" t="b">
        <v>1</v>
      </c>
      <c r="BC408" s="76" t="b">
        <v>1</v>
      </c>
      <c r="BD408" s="76" t="b">
        <v>0</v>
      </c>
      <c r="BE408" s="76" t="b">
        <v>0</v>
      </c>
      <c r="BF408" s="76" t="b">
        <v>0</v>
      </c>
      <c r="BG408" s="76" t="b">
        <v>1</v>
      </c>
      <c r="BH408" s="83" t="str">
        <f>HYPERLINK("https://pbs.twimg.com/profile_banners/1632119020437774337/1694108634")</f>
        <v>https://pbs.twimg.com/profile_banners/1632119020437774337/1694108634</v>
      </c>
      <c r="BI408" s="76" t="s">
        <v>18703</v>
      </c>
      <c r="BJ408" s="76" t="s">
        <v>18704</v>
      </c>
      <c r="BK408" s="76" t="b">
        <v>0</v>
      </c>
      <c r="BL408" s="76"/>
      <c r="BM408" s="76" t="s">
        <v>66</v>
      </c>
      <c r="BN408" s="76" t="s">
        <v>18706</v>
      </c>
      <c r="BO408" s="83" t="str">
        <f>HYPERLINK("https://twitter.com/cryptomasterlu")</f>
        <v>https://twitter.com/cryptomasterlu</v>
      </c>
      <c r="BP408" s="2"/>
    </row>
    <row r="409" spans="1:68" x14ac:dyDescent="0.25">
      <c r="A409" s="62" t="s">
        <v>547</v>
      </c>
      <c r="B409" s="63"/>
      <c r="C409" s="63"/>
      <c r="D409" s="64"/>
      <c r="E409" s="66"/>
      <c r="F409" s="102" t="str">
        <f>HYPERLINK("https://pbs.twimg.com/profile_images/1587989527423066112/jqh10kv9_normal.jpg")</f>
        <v>https://pbs.twimg.com/profile_images/1587989527423066112/jqh10kv9_normal.jpg</v>
      </c>
      <c r="G409" s="63"/>
      <c r="H409" s="67"/>
      <c r="I409" s="68"/>
      <c r="J409" s="68"/>
      <c r="K409" s="67" t="s">
        <v>19112</v>
      </c>
      <c r="L409" s="71"/>
      <c r="M409" s="72"/>
      <c r="N409" s="72"/>
      <c r="O409" s="73"/>
      <c r="P409" s="74"/>
      <c r="Q409" s="74"/>
      <c r="R409" s="86"/>
      <c r="S409" s="86"/>
      <c r="T409" s="86"/>
      <c r="U409" s="86"/>
      <c r="V409" s="48"/>
      <c r="W409" s="48"/>
      <c r="X409" s="48"/>
      <c r="Y409" s="48"/>
      <c r="Z409" s="47"/>
      <c r="AA409" s="69">
        <v>409</v>
      </c>
      <c r="AB409" s="69"/>
      <c r="AC409" s="70"/>
      <c r="AD409" s="76" t="s">
        <v>16835</v>
      </c>
      <c r="AE409" s="81" t="s">
        <v>17262</v>
      </c>
      <c r="AF409" s="76">
        <v>130</v>
      </c>
      <c r="AG409" s="76">
        <v>94</v>
      </c>
      <c r="AH409" s="76">
        <v>3868</v>
      </c>
      <c r="AI409" s="76">
        <v>6</v>
      </c>
      <c r="AJ409" s="76">
        <v>2471</v>
      </c>
      <c r="AK409" s="76">
        <v>19</v>
      </c>
      <c r="AL409" s="76" t="b">
        <v>0</v>
      </c>
      <c r="AM409" s="78">
        <v>39949.742974537039</v>
      </c>
      <c r="AN409" s="76" t="s">
        <v>10570</v>
      </c>
      <c r="AO409" s="76" t="s">
        <v>18008</v>
      </c>
      <c r="AP409" s="76"/>
      <c r="AQ409" s="76"/>
      <c r="AR409" s="76"/>
      <c r="AS409" s="76"/>
      <c r="AT409" s="76"/>
      <c r="AU409" s="76"/>
      <c r="AV409" s="76"/>
      <c r="AW409" s="76"/>
      <c r="AX409" s="76" t="b">
        <v>0</v>
      </c>
      <c r="AY409" s="76"/>
      <c r="AZ409" s="76"/>
      <c r="BA409" s="76" t="b">
        <v>1</v>
      </c>
      <c r="BB409" s="76" t="b">
        <v>0</v>
      </c>
      <c r="BC409" s="76" t="b">
        <v>0</v>
      </c>
      <c r="BD409" s="76" t="b">
        <v>0</v>
      </c>
      <c r="BE409" s="76" t="b">
        <v>0</v>
      </c>
      <c r="BF409" s="76" t="b">
        <v>0</v>
      </c>
      <c r="BG409" s="76" t="b">
        <v>0</v>
      </c>
      <c r="BH409" s="83" t="str">
        <f>HYPERLINK("https://pbs.twimg.com/profile_banners/40508067/1667441181")</f>
        <v>https://pbs.twimg.com/profile_banners/40508067/1667441181</v>
      </c>
      <c r="BI409" s="76"/>
      <c r="BJ409" s="76" t="s">
        <v>18704</v>
      </c>
      <c r="BK409" s="76" t="b">
        <v>0</v>
      </c>
      <c r="BL409" s="76"/>
      <c r="BM409" s="76" t="s">
        <v>66</v>
      </c>
      <c r="BN409" s="76" t="s">
        <v>18706</v>
      </c>
      <c r="BO409" s="83" t="str">
        <f>HYPERLINK("https://twitter.com/jonasojunior")</f>
        <v>https://twitter.com/jonasojunior</v>
      </c>
      <c r="BP409" s="2"/>
    </row>
    <row r="410" spans="1:68" x14ac:dyDescent="0.25">
      <c r="A410" s="62" t="s">
        <v>548</v>
      </c>
      <c r="B410" s="63"/>
      <c r="C410" s="63"/>
      <c r="D410" s="64"/>
      <c r="E410" s="66"/>
      <c r="F410" s="102" t="str">
        <f>HYPERLINK("https://pbs.twimg.com/profile_images/1553162944166432768/ZIPEmTYP_normal.png")</f>
        <v>https://pbs.twimg.com/profile_images/1553162944166432768/ZIPEmTYP_normal.png</v>
      </c>
      <c r="G410" s="63"/>
      <c r="H410" s="67"/>
      <c r="I410" s="68"/>
      <c r="J410" s="68"/>
      <c r="K410" s="67" t="s">
        <v>19113</v>
      </c>
      <c r="L410" s="71"/>
      <c r="M410" s="72"/>
      <c r="N410" s="72"/>
      <c r="O410" s="73"/>
      <c r="P410" s="74"/>
      <c r="Q410" s="74"/>
      <c r="R410" s="86"/>
      <c r="S410" s="86"/>
      <c r="T410" s="86"/>
      <c r="U410" s="86"/>
      <c r="V410" s="48"/>
      <c r="W410" s="48"/>
      <c r="X410" s="48"/>
      <c r="Y410" s="48"/>
      <c r="Z410" s="47"/>
      <c r="AA410" s="69">
        <v>410</v>
      </c>
      <c r="AB410" s="69"/>
      <c r="AC410" s="70"/>
      <c r="AD410" s="76" t="s">
        <v>16836</v>
      </c>
      <c r="AE410" s="81" t="s">
        <v>16291</v>
      </c>
      <c r="AF410" s="76">
        <v>410</v>
      </c>
      <c r="AG410" s="76">
        <v>1339</v>
      </c>
      <c r="AH410" s="76">
        <v>103553</v>
      </c>
      <c r="AI410" s="76">
        <v>1</v>
      </c>
      <c r="AJ410" s="76">
        <v>783</v>
      </c>
      <c r="AK410" s="76">
        <v>3</v>
      </c>
      <c r="AL410" s="76" t="b">
        <v>0</v>
      </c>
      <c r="AM410" s="78">
        <v>44771.984675925924</v>
      </c>
      <c r="AN410" s="76"/>
      <c r="AO410" s="76" t="s">
        <v>18009</v>
      </c>
      <c r="AP410" s="76"/>
      <c r="AQ410" s="76"/>
      <c r="AR410" s="76"/>
      <c r="AS410" s="76"/>
      <c r="AT410" s="76"/>
      <c r="AU410" s="76"/>
      <c r="AV410" s="76"/>
      <c r="AW410" s="76"/>
      <c r="AX410" s="76" t="b">
        <v>0</v>
      </c>
      <c r="AY410" s="76"/>
      <c r="AZ410" s="76"/>
      <c r="BA410" s="76" t="b">
        <v>0</v>
      </c>
      <c r="BB410" s="76" t="b">
        <v>1</v>
      </c>
      <c r="BC410" s="76" t="b">
        <v>1</v>
      </c>
      <c r="BD410" s="76" t="b">
        <v>0</v>
      </c>
      <c r="BE410" s="76" t="b">
        <v>0</v>
      </c>
      <c r="BF410" s="76" t="b">
        <v>0</v>
      </c>
      <c r="BG410" s="76" t="b">
        <v>0</v>
      </c>
      <c r="BH410" s="76"/>
      <c r="BI410" s="76"/>
      <c r="BJ410" s="76" t="s">
        <v>18704</v>
      </c>
      <c r="BK410" s="76" t="b">
        <v>0</v>
      </c>
      <c r="BL410" s="76"/>
      <c r="BM410" s="76" t="s">
        <v>66</v>
      </c>
      <c r="BN410" s="76" t="s">
        <v>18706</v>
      </c>
      <c r="BO410" s="83" t="str">
        <f>HYPERLINK("https://twitter.com/ym9496")</f>
        <v>https://twitter.com/ym9496</v>
      </c>
      <c r="BP410" s="2"/>
    </row>
    <row r="411" spans="1:68" x14ac:dyDescent="0.25">
      <c r="A411" s="62" t="s">
        <v>549</v>
      </c>
      <c r="B411" s="63"/>
      <c r="C411" s="63"/>
      <c r="D411" s="64"/>
      <c r="E411" s="66"/>
      <c r="F411" s="102" t="str">
        <f>HYPERLINK("https://pbs.twimg.com/profile_images/1298974384582012934/H38awrrO_normal.jpg")</f>
        <v>https://pbs.twimg.com/profile_images/1298974384582012934/H38awrrO_normal.jpg</v>
      </c>
      <c r="G411" s="63"/>
      <c r="H411" s="67"/>
      <c r="I411" s="68"/>
      <c r="J411" s="68"/>
      <c r="K411" s="67" t="s">
        <v>19114</v>
      </c>
      <c r="L411" s="71"/>
      <c r="M411" s="72"/>
      <c r="N411" s="72"/>
      <c r="O411" s="73"/>
      <c r="P411" s="74"/>
      <c r="Q411" s="74"/>
      <c r="R411" s="86"/>
      <c r="S411" s="86"/>
      <c r="T411" s="86"/>
      <c r="U411" s="86"/>
      <c r="V411" s="48"/>
      <c r="W411" s="48"/>
      <c r="X411" s="48"/>
      <c r="Y411" s="48"/>
      <c r="Z411" s="47"/>
      <c r="AA411" s="69">
        <v>411</v>
      </c>
      <c r="AB411" s="69"/>
      <c r="AC411" s="70"/>
      <c r="AD411" s="76" t="s">
        <v>16837</v>
      </c>
      <c r="AE411" s="81" t="s">
        <v>17263</v>
      </c>
      <c r="AF411" s="76">
        <v>376</v>
      </c>
      <c r="AG411" s="76">
        <v>1102</v>
      </c>
      <c r="AH411" s="76">
        <v>4134</v>
      </c>
      <c r="AI411" s="76">
        <v>0</v>
      </c>
      <c r="AJ411" s="76">
        <v>22047</v>
      </c>
      <c r="AK411" s="76">
        <v>18</v>
      </c>
      <c r="AL411" s="76" t="b">
        <v>0</v>
      </c>
      <c r="AM411" s="78">
        <v>41235.760150462964</v>
      </c>
      <c r="AN411" s="76" t="s">
        <v>17555</v>
      </c>
      <c r="AO411" s="76"/>
      <c r="AP411" s="83" t="str">
        <f>HYPERLINK("http://t.co/QANFvQ1yzv")</f>
        <v>http://t.co/QANFvQ1yzv</v>
      </c>
      <c r="AQ411" s="83" t="str">
        <f>HYPERLINK("http://cerrilperundia.blogspot.com.es/")</f>
        <v>http://cerrilperundia.blogspot.com.es/</v>
      </c>
      <c r="AR411" s="76" t="s">
        <v>18474</v>
      </c>
      <c r="AS411" s="76"/>
      <c r="AT411" s="76"/>
      <c r="AU411" s="76"/>
      <c r="AV411" s="76"/>
      <c r="AW411" s="83" t="str">
        <f>HYPERLINK("http://t.co/QANFvQ1yzv")</f>
        <v>http://t.co/QANFvQ1yzv</v>
      </c>
      <c r="AX411" s="76" t="b">
        <v>0</v>
      </c>
      <c r="AY411" s="76"/>
      <c r="AZ411" s="76"/>
      <c r="BA411" s="76" t="b">
        <v>0</v>
      </c>
      <c r="BB411" s="76" t="b">
        <v>0</v>
      </c>
      <c r="BC411" s="76" t="b">
        <v>0</v>
      </c>
      <c r="BD411" s="76" t="b">
        <v>0</v>
      </c>
      <c r="BE411" s="76" t="b">
        <v>1</v>
      </c>
      <c r="BF411" s="76" t="b">
        <v>0</v>
      </c>
      <c r="BG411" s="76" t="b">
        <v>0</v>
      </c>
      <c r="BH411" s="83" t="str">
        <f>HYPERLINK("https://pbs.twimg.com/profile_banners/964708386/1598534602")</f>
        <v>https://pbs.twimg.com/profile_banners/964708386/1598534602</v>
      </c>
      <c r="BI411" s="76"/>
      <c r="BJ411" s="76" t="s">
        <v>18704</v>
      </c>
      <c r="BK411" s="76" t="b">
        <v>0</v>
      </c>
      <c r="BL411" s="76"/>
      <c r="BM411" s="76" t="s">
        <v>66</v>
      </c>
      <c r="BN411" s="76" t="s">
        <v>18706</v>
      </c>
      <c r="BO411" s="83" t="str">
        <f>HYPERLINK("https://twitter.com/collacerril")</f>
        <v>https://twitter.com/collacerril</v>
      </c>
      <c r="BP411" s="2"/>
    </row>
    <row r="412" spans="1:68" x14ac:dyDescent="0.25">
      <c r="A412" s="62" t="s">
        <v>550</v>
      </c>
      <c r="B412" s="63"/>
      <c r="C412" s="63"/>
      <c r="D412" s="64"/>
      <c r="E412" s="66"/>
      <c r="F412" s="102" t="str">
        <f>HYPERLINK("https://pbs.twimg.com/profile_images/1673489117127102465/gpFGY0Jh_normal.jpg")</f>
        <v>https://pbs.twimg.com/profile_images/1673489117127102465/gpFGY0Jh_normal.jpg</v>
      </c>
      <c r="G412" s="63"/>
      <c r="H412" s="67"/>
      <c r="I412" s="68"/>
      <c r="J412" s="68"/>
      <c r="K412" s="67" t="s">
        <v>19115</v>
      </c>
      <c r="L412" s="71"/>
      <c r="M412" s="72"/>
      <c r="N412" s="72"/>
      <c r="O412" s="73"/>
      <c r="P412" s="74"/>
      <c r="Q412" s="74"/>
      <c r="R412" s="86"/>
      <c r="S412" s="86"/>
      <c r="T412" s="86"/>
      <c r="U412" s="86"/>
      <c r="V412" s="48"/>
      <c r="W412" s="48"/>
      <c r="X412" s="48"/>
      <c r="Y412" s="48"/>
      <c r="Z412" s="47"/>
      <c r="AA412" s="69">
        <v>412</v>
      </c>
      <c r="AB412" s="69"/>
      <c r="AC412" s="70"/>
      <c r="AD412" s="76" t="s">
        <v>16838</v>
      </c>
      <c r="AE412" s="81" t="s">
        <v>16292</v>
      </c>
      <c r="AF412" s="76">
        <v>929</v>
      </c>
      <c r="AG412" s="76">
        <v>65</v>
      </c>
      <c r="AH412" s="76">
        <v>631</v>
      </c>
      <c r="AI412" s="76">
        <v>0</v>
      </c>
      <c r="AJ412" s="76">
        <v>16</v>
      </c>
      <c r="AK412" s="76">
        <v>21</v>
      </c>
      <c r="AL412" s="76" t="b">
        <v>0</v>
      </c>
      <c r="AM412" s="78">
        <v>44374.625231481485</v>
      </c>
      <c r="AN412" s="76" t="s">
        <v>17556</v>
      </c>
      <c r="AO412" s="76" t="s">
        <v>18010</v>
      </c>
      <c r="AP412" s="83" t="str">
        <f>HYPERLINK("https://t.co/87OU0prW0e")</f>
        <v>https://t.co/87OU0prW0e</v>
      </c>
      <c r="AQ412" s="83" t="str">
        <f>HYPERLINK("https://linktr.ee/adriianosilva")</f>
        <v>https://linktr.ee/adriianosilva</v>
      </c>
      <c r="AR412" s="76" t="s">
        <v>18475</v>
      </c>
      <c r="AS412" s="76"/>
      <c r="AT412" s="76"/>
      <c r="AU412" s="76"/>
      <c r="AV412" s="76"/>
      <c r="AW412" s="83" t="str">
        <f>HYPERLINK("https://t.co/87OU0prW0e")</f>
        <v>https://t.co/87OU0prW0e</v>
      </c>
      <c r="AX412" s="76" t="b">
        <v>0</v>
      </c>
      <c r="AY412" s="76"/>
      <c r="AZ412" s="76"/>
      <c r="BA412" s="76" t="b">
        <v>0</v>
      </c>
      <c r="BB412" s="76" t="b">
        <v>1</v>
      </c>
      <c r="BC412" s="76" t="b">
        <v>1</v>
      </c>
      <c r="BD412" s="76" t="b">
        <v>0</v>
      </c>
      <c r="BE412" s="76" t="b">
        <v>1</v>
      </c>
      <c r="BF412" s="76" t="b">
        <v>0</v>
      </c>
      <c r="BG412" s="76" t="b">
        <v>0</v>
      </c>
      <c r="BH412" s="83" t="str">
        <f>HYPERLINK("https://pbs.twimg.com/profile_banners/1409164610263977996/1625572216")</f>
        <v>https://pbs.twimg.com/profile_banners/1409164610263977996/1625572216</v>
      </c>
      <c r="BI412" s="76"/>
      <c r="BJ412" s="76" t="s">
        <v>18704</v>
      </c>
      <c r="BK412" s="76" t="b">
        <v>0</v>
      </c>
      <c r="BL412" s="76"/>
      <c r="BM412" s="76" t="s">
        <v>66</v>
      </c>
      <c r="BN412" s="76" t="s">
        <v>18706</v>
      </c>
      <c r="BO412" s="83" t="str">
        <f>HYPERLINK("https://twitter.com/_adrianossantos")</f>
        <v>https://twitter.com/_adrianossantos</v>
      </c>
      <c r="BP412" s="2"/>
    </row>
    <row r="413" spans="1:68" x14ac:dyDescent="0.25">
      <c r="A413" s="62" t="s">
        <v>813</v>
      </c>
      <c r="B413" s="63"/>
      <c r="C413" s="63"/>
      <c r="D413" s="64"/>
      <c r="E413" s="66"/>
      <c r="F413" s="102" t="str">
        <f>HYPERLINK("https://pbs.twimg.com/profile_images/1146839617209098240/XuReyc2l_normal.png")</f>
        <v>https://pbs.twimg.com/profile_images/1146839617209098240/XuReyc2l_normal.png</v>
      </c>
      <c r="G413" s="63"/>
      <c r="H413" s="67"/>
      <c r="I413" s="68"/>
      <c r="J413" s="68"/>
      <c r="K413" s="67" t="s">
        <v>19116</v>
      </c>
      <c r="L413" s="71"/>
      <c r="M413" s="72"/>
      <c r="N413" s="72"/>
      <c r="O413" s="73"/>
      <c r="P413" s="74"/>
      <c r="Q413" s="74"/>
      <c r="R413" s="86"/>
      <c r="S413" s="86"/>
      <c r="T413" s="86"/>
      <c r="U413" s="86"/>
      <c r="V413" s="48"/>
      <c r="W413" s="48"/>
      <c r="X413" s="48"/>
      <c r="Y413" s="48"/>
      <c r="Z413" s="47"/>
      <c r="AA413" s="69">
        <v>413</v>
      </c>
      <c r="AB413" s="69"/>
      <c r="AC413" s="70"/>
      <c r="AD413" s="76" t="s">
        <v>16839</v>
      </c>
      <c r="AE413" s="81" t="s">
        <v>17264</v>
      </c>
      <c r="AF413" s="76">
        <v>177</v>
      </c>
      <c r="AG413" s="76">
        <v>407</v>
      </c>
      <c r="AH413" s="76">
        <v>723</v>
      </c>
      <c r="AI413" s="76">
        <v>6</v>
      </c>
      <c r="AJ413" s="76">
        <v>56</v>
      </c>
      <c r="AK413" s="76">
        <v>159</v>
      </c>
      <c r="AL413" s="76" t="b">
        <v>0</v>
      </c>
      <c r="AM413" s="78">
        <v>40358.645787037036</v>
      </c>
      <c r="AN413" s="76" t="s">
        <v>17557</v>
      </c>
      <c r="AO413" s="76" t="s">
        <v>18011</v>
      </c>
      <c r="AP413" s="83" t="str">
        <f>HYPERLINK("https://t.co/giBZ9i46TQ")</f>
        <v>https://t.co/giBZ9i46TQ</v>
      </c>
      <c r="AQ413" s="83" t="str">
        <f>HYPERLINK("http://tamer.com.br/")</f>
        <v>http://tamer.com.br/</v>
      </c>
      <c r="AR413" s="76" t="s">
        <v>18476</v>
      </c>
      <c r="AS413" s="76"/>
      <c r="AT413" s="76"/>
      <c r="AU413" s="76"/>
      <c r="AV413" s="76"/>
      <c r="AW413" s="83" t="str">
        <f>HYPERLINK("https://t.co/giBZ9i46TQ")</f>
        <v>https://t.co/giBZ9i46TQ</v>
      </c>
      <c r="AX413" s="76" t="b">
        <v>0</v>
      </c>
      <c r="AY413" s="76"/>
      <c r="AZ413" s="76"/>
      <c r="BA413" s="76" t="b">
        <v>0</v>
      </c>
      <c r="BB413" s="76" t="b">
        <v>1</v>
      </c>
      <c r="BC413" s="76" t="b">
        <v>0</v>
      </c>
      <c r="BD413" s="76" t="b">
        <v>0</v>
      </c>
      <c r="BE413" s="76" t="b">
        <v>0</v>
      </c>
      <c r="BF413" s="76" t="b">
        <v>0</v>
      </c>
      <c r="BG413" s="76" t="b">
        <v>0</v>
      </c>
      <c r="BH413" s="83" t="str">
        <f>HYPERLINK("https://pbs.twimg.com/profile_banners/160953269/1559762356")</f>
        <v>https://pbs.twimg.com/profile_banners/160953269/1559762356</v>
      </c>
      <c r="BI413" s="76"/>
      <c r="BJ413" s="76" t="s">
        <v>18704</v>
      </c>
      <c r="BK413" s="76" t="b">
        <v>0</v>
      </c>
      <c r="BL413" s="76"/>
      <c r="BM413" s="76" t="s">
        <v>65</v>
      </c>
      <c r="BN413" s="76" t="s">
        <v>18706</v>
      </c>
      <c r="BO413" s="83" t="str">
        <f>HYPERLINK("https://twitter.com/agenciatamer")</f>
        <v>https://twitter.com/agenciatamer</v>
      </c>
      <c r="BP413" s="2"/>
    </row>
    <row r="414" spans="1:68" x14ac:dyDescent="0.25">
      <c r="A414" s="62" t="s">
        <v>551</v>
      </c>
      <c r="B414" s="63"/>
      <c r="C414" s="63"/>
      <c r="D414" s="64"/>
      <c r="E414" s="66"/>
      <c r="F414" s="102" t="str">
        <f>HYPERLINK("https://pbs.twimg.com/profile_images/1676989637158486016/H8KuXrUr_normal.jpg")</f>
        <v>https://pbs.twimg.com/profile_images/1676989637158486016/H8KuXrUr_normal.jpg</v>
      </c>
      <c r="G414" s="63"/>
      <c r="H414" s="67"/>
      <c r="I414" s="68"/>
      <c r="J414" s="68"/>
      <c r="K414" s="67" t="s">
        <v>19117</v>
      </c>
      <c r="L414" s="71"/>
      <c r="M414" s="72"/>
      <c r="N414" s="72"/>
      <c r="O414" s="73"/>
      <c r="P414" s="74"/>
      <c r="Q414" s="74"/>
      <c r="R414" s="86"/>
      <c r="S414" s="86"/>
      <c r="T414" s="86"/>
      <c r="U414" s="86"/>
      <c r="V414" s="48"/>
      <c r="W414" s="48"/>
      <c r="X414" s="48"/>
      <c r="Y414" s="48"/>
      <c r="Z414" s="47"/>
      <c r="AA414" s="69">
        <v>414</v>
      </c>
      <c r="AB414" s="69"/>
      <c r="AC414" s="70"/>
      <c r="AD414" s="76" t="s">
        <v>16840</v>
      </c>
      <c r="AE414" s="81" t="s">
        <v>17265</v>
      </c>
      <c r="AF414" s="76">
        <v>911</v>
      </c>
      <c r="AG414" s="76">
        <v>838</v>
      </c>
      <c r="AH414" s="76">
        <v>47158</v>
      </c>
      <c r="AI414" s="76">
        <v>15</v>
      </c>
      <c r="AJ414" s="76">
        <v>85086</v>
      </c>
      <c r="AK414" s="76">
        <v>1639</v>
      </c>
      <c r="AL414" s="76" t="b">
        <v>0</v>
      </c>
      <c r="AM414" s="78">
        <v>39965.483865740738</v>
      </c>
      <c r="AN414" s="76" t="s">
        <v>17558</v>
      </c>
      <c r="AO414" s="76" t="s">
        <v>18012</v>
      </c>
      <c r="AP414" s="83" t="str">
        <f>HYPERLINK("https://t.co/vyAgCRfco9")</f>
        <v>https://t.co/vyAgCRfco9</v>
      </c>
      <c r="AQ414" s="83" t="str">
        <f>HYPERLINK("https://www.instagram.com/rafaeu_3")</f>
        <v>https://www.instagram.com/rafaeu_3</v>
      </c>
      <c r="AR414" s="76" t="s">
        <v>18477</v>
      </c>
      <c r="AS414" s="76"/>
      <c r="AT414" s="76"/>
      <c r="AU414" s="76"/>
      <c r="AV414" s="76">
        <v>1.3970258555919099E+18</v>
      </c>
      <c r="AW414" s="83" t="str">
        <f>HYPERLINK("https://t.co/vyAgCRfco9")</f>
        <v>https://t.co/vyAgCRfco9</v>
      </c>
      <c r="AX414" s="76" t="b">
        <v>0</v>
      </c>
      <c r="AY414" s="76"/>
      <c r="AZ414" s="76"/>
      <c r="BA414" s="76" t="b">
        <v>1</v>
      </c>
      <c r="BB414" s="76" t="b">
        <v>1</v>
      </c>
      <c r="BC414" s="76" t="b">
        <v>0</v>
      </c>
      <c r="BD414" s="76" t="b">
        <v>0</v>
      </c>
      <c r="BE414" s="76" t="b">
        <v>1</v>
      </c>
      <c r="BF414" s="76" t="b">
        <v>0</v>
      </c>
      <c r="BG414" s="76" t="b">
        <v>0</v>
      </c>
      <c r="BH414" s="83" t="str">
        <f>HYPERLINK("https://pbs.twimg.com/profile_banners/43869858/1621911727")</f>
        <v>https://pbs.twimg.com/profile_banners/43869858/1621911727</v>
      </c>
      <c r="BI414" s="76"/>
      <c r="BJ414" s="76" t="s">
        <v>18704</v>
      </c>
      <c r="BK414" s="76" t="b">
        <v>0</v>
      </c>
      <c r="BL414" s="76"/>
      <c r="BM414" s="76" t="s">
        <v>66</v>
      </c>
      <c r="BN414" s="76" t="s">
        <v>18706</v>
      </c>
      <c r="BO414" s="83" t="str">
        <f>HYPERLINK("https://twitter.com/rafa_oliver_")</f>
        <v>https://twitter.com/rafa_oliver_</v>
      </c>
      <c r="BP414" s="2"/>
    </row>
    <row r="415" spans="1:68" x14ac:dyDescent="0.25">
      <c r="A415" s="62" t="s">
        <v>552</v>
      </c>
      <c r="B415" s="63"/>
      <c r="C415" s="63"/>
      <c r="D415" s="64"/>
      <c r="E415" s="66"/>
      <c r="F415" s="102" t="str">
        <f>HYPERLINK("https://pbs.twimg.com/profile_images/1608865797509627906/NmQyzXGt_normal.jpg")</f>
        <v>https://pbs.twimg.com/profile_images/1608865797509627906/NmQyzXGt_normal.jpg</v>
      </c>
      <c r="G415" s="63"/>
      <c r="H415" s="67"/>
      <c r="I415" s="68"/>
      <c r="J415" s="68"/>
      <c r="K415" s="67" t="s">
        <v>19118</v>
      </c>
      <c r="L415" s="71"/>
      <c r="M415" s="72"/>
      <c r="N415" s="72"/>
      <c r="O415" s="73"/>
      <c r="P415" s="74"/>
      <c r="Q415" s="74"/>
      <c r="R415" s="86"/>
      <c r="S415" s="86"/>
      <c r="T415" s="86"/>
      <c r="U415" s="86"/>
      <c r="V415" s="48"/>
      <c r="W415" s="48"/>
      <c r="X415" s="48"/>
      <c r="Y415" s="48"/>
      <c r="Z415" s="47"/>
      <c r="AA415" s="69">
        <v>415</v>
      </c>
      <c r="AB415" s="69"/>
      <c r="AC415" s="70"/>
      <c r="AD415" s="76" t="s">
        <v>16841</v>
      </c>
      <c r="AE415" s="81" t="s">
        <v>16293</v>
      </c>
      <c r="AF415" s="76">
        <v>131</v>
      </c>
      <c r="AG415" s="76">
        <v>42</v>
      </c>
      <c r="AH415" s="76">
        <v>156</v>
      </c>
      <c r="AI415" s="76">
        <v>0</v>
      </c>
      <c r="AJ415" s="76">
        <v>140</v>
      </c>
      <c r="AK415" s="76">
        <v>24</v>
      </c>
      <c r="AL415" s="76" t="b">
        <v>0</v>
      </c>
      <c r="AM415" s="78">
        <v>44718.624780092592</v>
      </c>
      <c r="AN415" s="76" t="s">
        <v>17559</v>
      </c>
      <c r="AO415" s="76" t="s">
        <v>18013</v>
      </c>
      <c r="AP415" s="83" t="str">
        <f>HYPERLINK("https://t.co/IYeA7tdICo")</f>
        <v>https://t.co/IYeA7tdICo</v>
      </c>
      <c r="AQ415" s="83" t="str">
        <f>HYPERLINK("http://www.bpop.club")</f>
        <v>http://www.bpop.club</v>
      </c>
      <c r="AR415" s="76" t="s">
        <v>18478</v>
      </c>
      <c r="AS415" s="83" t="str">
        <f>HYPERLINK("https://t.co/yvXrvKUj7p")</f>
        <v>https://t.co/yvXrvKUj7p</v>
      </c>
      <c r="AT415" s="83" t="str">
        <f>HYPERLINK("http://bpop.club")</f>
        <v>http://bpop.club</v>
      </c>
      <c r="AU415" s="76" t="s">
        <v>18478</v>
      </c>
      <c r="AV415" s="76"/>
      <c r="AW415" s="83" t="str">
        <f>HYPERLINK("https://t.co/IYeA7tdICo")</f>
        <v>https://t.co/IYeA7tdICo</v>
      </c>
      <c r="AX415" s="76" t="b">
        <v>0</v>
      </c>
      <c r="AY415" s="76"/>
      <c r="AZ415" s="76"/>
      <c r="BA415" s="76" t="b">
        <v>0</v>
      </c>
      <c r="BB415" s="76" t="b">
        <v>1</v>
      </c>
      <c r="BC415" s="76" t="b">
        <v>1</v>
      </c>
      <c r="BD415" s="76" t="b">
        <v>0</v>
      </c>
      <c r="BE415" s="76" t="b">
        <v>1</v>
      </c>
      <c r="BF415" s="76" t="b">
        <v>0</v>
      </c>
      <c r="BG415" s="76" t="b">
        <v>0</v>
      </c>
      <c r="BH415" s="83" t="str">
        <f>HYPERLINK("https://pbs.twimg.com/profile_banners/1533825810183897088/1685765528")</f>
        <v>https://pbs.twimg.com/profile_banners/1533825810183897088/1685765528</v>
      </c>
      <c r="BI415" s="76"/>
      <c r="BJ415" s="76" t="s">
        <v>18704</v>
      </c>
      <c r="BK415" s="76" t="b">
        <v>0</v>
      </c>
      <c r="BL415" s="76"/>
      <c r="BM415" s="76" t="s">
        <v>66</v>
      </c>
      <c r="BN415" s="76" t="s">
        <v>18706</v>
      </c>
      <c r="BO415" s="83" t="str">
        <f>HYPERLINK("https://twitter.com/bpopeconomia")</f>
        <v>https://twitter.com/bpopeconomia</v>
      </c>
      <c r="BP415" s="2"/>
    </row>
    <row r="416" spans="1:68" x14ac:dyDescent="0.25">
      <c r="A416" s="62" t="s">
        <v>553</v>
      </c>
      <c r="B416" s="63"/>
      <c r="C416" s="63"/>
      <c r="D416" s="64"/>
      <c r="E416" s="66"/>
      <c r="F416" s="102" t="str">
        <f>HYPERLINK("https://pbs.twimg.com/profile_images/1640356205326368776/440J5qlA_normal.jpg")</f>
        <v>https://pbs.twimg.com/profile_images/1640356205326368776/440J5qlA_normal.jpg</v>
      </c>
      <c r="G416" s="63"/>
      <c r="H416" s="67"/>
      <c r="I416" s="68"/>
      <c r="J416" s="68"/>
      <c r="K416" s="67" t="s">
        <v>19119</v>
      </c>
      <c r="L416" s="71"/>
      <c r="M416" s="72"/>
      <c r="N416" s="72"/>
      <c r="O416" s="73"/>
      <c r="P416" s="74"/>
      <c r="Q416" s="74"/>
      <c r="R416" s="86"/>
      <c r="S416" s="86"/>
      <c r="T416" s="86"/>
      <c r="U416" s="86"/>
      <c r="V416" s="48"/>
      <c r="W416" s="48"/>
      <c r="X416" s="48"/>
      <c r="Y416" s="48"/>
      <c r="Z416" s="47"/>
      <c r="AA416" s="69">
        <v>416</v>
      </c>
      <c r="AB416" s="69"/>
      <c r="AC416" s="70"/>
      <c r="AD416" s="76" t="s">
        <v>16842</v>
      </c>
      <c r="AE416" s="81" t="s">
        <v>17266</v>
      </c>
      <c r="AF416" s="76">
        <v>2411</v>
      </c>
      <c r="AG416" s="76">
        <v>4847</v>
      </c>
      <c r="AH416" s="76">
        <v>148276</v>
      </c>
      <c r="AI416" s="76">
        <v>16</v>
      </c>
      <c r="AJ416" s="76">
        <v>95257</v>
      </c>
      <c r="AK416" s="76">
        <v>515</v>
      </c>
      <c r="AL416" s="76" t="b">
        <v>0</v>
      </c>
      <c r="AM416" s="78">
        <v>41031.063078703701</v>
      </c>
      <c r="AN416" s="76" t="s">
        <v>17560</v>
      </c>
      <c r="AO416" s="76" t="s">
        <v>18014</v>
      </c>
      <c r="AP416" s="76"/>
      <c r="AQ416" s="76"/>
      <c r="AR416" s="76"/>
      <c r="AS416" s="76"/>
      <c r="AT416" s="76"/>
      <c r="AU416" s="76"/>
      <c r="AV416" s="76">
        <v>8.7076185097943795E+17</v>
      </c>
      <c r="AW416" s="76"/>
      <c r="AX416" s="76" t="b">
        <v>0</v>
      </c>
      <c r="AY416" s="76"/>
      <c r="AZ416" s="76"/>
      <c r="BA416" s="76" t="b">
        <v>1</v>
      </c>
      <c r="BB416" s="76" t="b">
        <v>1</v>
      </c>
      <c r="BC416" s="76" t="b">
        <v>1</v>
      </c>
      <c r="BD416" s="76" t="b">
        <v>0</v>
      </c>
      <c r="BE416" s="76" t="b">
        <v>1</v>
      </c>
      <c r="BF416" s="76" t="b">
        <v>0</v>
      </c>
      <c r="BG416" s="76" t="b">
        <v>0</v>
      </c>
      <c r="BH416" s="83" t="str">
        <f>HYPERLINK("https://pbs.twimg.com/profile_banners/568696723/1420893989")</f>
        <v>https://pbs.twimg.com/profile_banners/568696723/1420893989</v>
      </c>
      <c r="BI416" s="76"/>
      <c r="BJ416" s="76" t="s">
        <v>18705</v>
      </c>
      <c r="BK416" s="76" t="b">
        <v>0</v>
      </c>
      <c r="BL416" s="76"/>
      <c r="BM416" s="76" t="s">
        <v>66</v>
      </c>
      <c r="BN416" s="76" t="s">
        <v>18706</v>
      </c>
      <c r="BO416" s="83" t="str">
        <f>HYPERLINK("https://twitter.com/lezama14")</f>
        <v>https://twitter.com/lezama14</v>
      </c>
      <c r="BP416" s="2"/>
    </row>
    <row r="417" spans="1:68" x14ac:dyDescent="0.25">
      <c r="A417" s="62" t="s">
        <v>554</v>
      </c>
      <c r="B417" s="63"/>
      <c r="C417" s="63"/>
      <c r="D417" s="64"/>
      <c r="E417" s="66"/>
      <c r="F417" s="102" t="str">
        <f>HYPERLINK("https://pbs.twimg.com/profile_images/1374861669566930946/73S2-68a_normal.jpg")</f>
        <v>https://pbs.twimg.com/profile_images/1374861669566930946/73S2-68a_normal.jpg</v>
      </c>
      <c r="G417" s="63"/>
      <c r="H417" s="67"/>
      <c r="I417" s="68"/>
      <c r="J417" s="68"/>
      <c r="K417" s="67" t="s">
        <v>19120</v>
      </c>
      <c r="L417" s="71"/>
      <c r="M417" s="72"/>
      <c r="N417" s="72"/>
      <c r="O417" s="73"/>
      <c r="P417" s="74"/>
      <c r="Q417" s="74"/>
      <c r="R417" s="86"/>
      <c r="S417" s="86"/>
      <c r="T417" s="86"/>
      <c r="U417" s="86"/>
      <c r="V417" s="48"/>
      <c r="W417" s="48"/>
      <c r="X417" s="48"/>
      <c r="Y417" s="48"/>
      <c r="Z417" s="47"/>
      <c r="AA417" s="69">
        <v>417</v>
      </c>
      <c r="AB417" s="69"/>
      <c r="AC417" s="70"/>
      <c r="AD417" s="76" t="s">
        <v>16843</v>
      </c>
      <c r="AE417" s="81" t="s">
        <v>16294</v>
      </c>
      <c r="AF417" s="76">
        <v>4505</v>
      </c>
      <c r="AG417" s="76">
        <v>96</v>
      </c>
      <c r="AH417" s="76">
        <v>4557</v>
      </c>
      <c r="AI417" s="76">
        <v>62</v>
      </c>
      <c r="AJ417" s="76">
        <v>11939</v>
      </c>
      <c r="AK417" s="76">
        <v>1183</v>
      </c>
      <c r="AL417" s="76" t="b">
        <v>0</v>
      </c>
      <c r="AM417" s="78">
        <v>44279.966087962966</v>
      </c>
      <c r="AN417" s="76"/>
      <c r="AO417" s="76" t="s">
        <v>18015</v>
      </c>
      <c r="AP417" s="83" t="str">
        <f>HYPERLINK("https://t.co/Cu6xjvTtpp")</f>
        <v>https://t.co/Cu6xjvTtpp</v>
      </c>
      <c r="AQ417" s="83" t="str">
        <f>HYPERLINK("https://linktr.ee/DragonOroPlata")</f>
        <v>https://linktr.ee/DragonOroPlata</v>
      </c>
      <c r="AR417" s="76" t="s">
        <v>18479</v>
      </c>
      <c r="AS417" s="76"/>
      <c r="AT417" s="76"/>
      <c r="AU417" s="76"/>
      <c r="AV417" s="76">
        <v>1.64027433049904E+18</v>
      </c>
      <c r="AW417" s="83" t="str">
        <f>HYPERLINK("https://t.co/Cu6xjvTtpp")</f>
        <v>https://t.co/Cu6xjvTtpp</v>
      </c>
      <c r="AX417" s="76" t="b">
        <v>0</v>
      </c>
      <c r="AY417" s="76"/>
      <c r="AZ417" s="76"/>
      <c r="BA417" s="76" t="b">
        <v>1</v>
      </c>
      <c r="BB417" s="76" t="b">
        <v>1</v>
      </c>
      <c r="BC417" s="76" t="b">
        <v>1</v>
      </c>
      <c r="BD417" s="76" t="b">
        <v>0</v>
      </c>
      <c r="BE417" s="76" t="b">
        <v>1</v>
      </c>
      <c r="BF417" s="76" t="b">
        <v>0</v>
      </c>
      <c r="BG417" s="76" t="b">
        <v>0</v>
      </c>
      <c r="BH417" s="83" t="str">
        <f>HYPERLINK("https://pbs.twimg.com/profile_banners/1374861289114189825/1691312523")</f>
        <v>https://pbs.twimg.com/profile_banners/1374861289114189825/1691312523</v>
      </c>
      <c r="BI417" s="76"/>
      <c r="BJ417" s="76" t="s">
        <v>18704</v>
      </c>
      <c r="BK417" s="76" t="b">
        <v>0</v>
      </c>
      <c r="BL417" s="76"/>
      <c r="BM417" s="76" t="s">
        <v>66</v>
      </c>
      <c r="BN417" s="76" t="s">
        <v>18706</v>
      </c>
      <c r="BO417" s="83" t="str">
        <f>HYPERLINK("https://twitter.com/dragonoroplata")</f>
        <v>https://twitter.com/dragonoroplata</v>
      </c>
      <c r="BP417" s="2"/>
    </row>
    <row r="418" spans="1:68" x14ac:dyDescent="0.25">
      <c r="A418" s="62" t="s">
        <v>814</v>
      </c>
      <c r="B418" s="63"/>
      <c r="C418" s="63"/>
      <c r="D418" s="64"/>
      <c r="E418" s="66"/>
      <c r="F418" s="102" t="str">
        <f>HYPERLINK("https://pbs.twimg.com/profile_images/1620699055385886722/nxQZpnl7_normal.jpg")</f>
        <v>https://pbs.twimg.com/profile_images/1620699055385886722/nxQZpnl7_normal.jpg</v>
      </c>
      <c r="G418" s="63"/>
      <c r="H418" s="67"/>
      <c r="I418" s="68"/>
      <c r="J418" s="68"/>
      <c r="K418" s="67" t="s">
        <v>19121</v>
      </c>
      <c r="L418" s="71"/>
      <c r="M418" s="72"/>
      <c r="N418" s="72"/>
      <c r="O418" s="73"/>
      <c r="P418" s="74"/>
      <c r="Q418" s="74"/>
      <c r="R418" s="86"/>
      <c r="S418" s="86"/>
      <c r="T418" s="86"/>
      <c r="U418" s="86"/>
      <c r="V418" s="48"/>
      <c r="W418" s="48"/>
      <c r="X418" s="48"/>
      <c r="Y418" s="48"/>
      <c r="Z418" s="47"/>
      <c r="AA418" s="69">
        <v>418</v>
      </c>
      <c r="AB418" s="69"/>
      <c r="AC418" s="70"/>
      <c r="AD418" s="76" t="s">
        <v>16844</v>
      </c>
      <c r="AE418" s="81" t="s">
        <v>17267</v>
      </c>
      <c r="AF418" s="76">
        <v>3916</v>
      </c>
      <c r="AG418" s="76">
        <v>56</v>
      </c>
      <c r="AH418" s="76">
        <v>1639</v>
      </c>
      <c r="AI418" s="76">
        <v>31</v>
      </c>
      <c r="AJ418" s="76">
        <v>77</v>
      </c>
      <c r="AK418" s="76">
        <v>574</v>
      </c>
      <c r="AL418" s="76" t="b">
        <v>0</v>
      </c>
      <c r="AM418" s="78">
        <v>44958.340775462966</v>
      </c>
      <c r="AN418" s="76"/>
      <c r="AO418" s="76" t="s">
        <v>18016</v>
      </c>
      <c r="AP418" s="83" t="str">
        <f>HYPERLINK("https://t.co/9wlwqpJAMS")</f>
        <v>https://t.co/9wlwqpJAMS</v>
      </c>
      <c r="AQ418" s="83" t="str">
        <f>HYPERLINK("https://youtube.com/@Elcrackdel23")</f>
        <v>https://youtube.com/@Elcrackdel23</v>
      </c>
      <c r="AR418" s="76" t="s">
        <v>18480</v>
      </c>
      <c r="AS418" s="76" t="s">
        <v>18636</v>
      </c>
      <c r="AT418" s="76" t="s">
        <v>18647</v>
      </c>
      <c r="AU418" s="76" t="s">
        <v>18682</v>
      </c>
      <c r="AV418" s="76">
        <v>1.70734449019582E+18</v>
      </c>
      <c r="AW418" s="83" t="str">
        <f>HYPERLINK("https://t.co/9wlwqpJAMS")</f>
        <v>https://t.co/9wlwqpJAMS</v>
      </c>
      <c r="AX418" s="76" t="b">
        <v>0</v>
      </c>
      <c r="AY418" s="76"/>
      <c r="AZ418" s="76"/>
      <c r="BA418" s="76" t="b">
        <v>0</v>
      </c>
      <c r="BB418" s="76" t="b">
        <v>1</v>
      </c>
      <c r="BC418" s="76" t="b">
        <v>1</v>
      </c>
      <c r="BD418" s="76" t="b">
        <v>0</v>
      </c>
      <c r="BE418" s="76" t="b">
        <v>1</v>
      </c>
      <c r="BF418" s="76" t="b">
        <v>0</v>
      </c>
      <c r="BG418" s="76" t="b">
        <v>0</v>
      </c>
      <c r="BH418" s="83" t="str">
        <f>HYPERLINK("https://pbs.twimg.com/profile_banners/1620696048304898049/1675239800")</f>
        <v>https://pbs.twimg.com/profile_banners/1620696048304898049/1675239800</v>
      </c>
      <c r="BI418" s="76"/>
      <c r="BJ418" s="76" t="s">
        <v>18704</v>
      </c>
      <c r="BK418" s="76" t="b">
        <v>0</v>
      </c>
      <c r="BL418" s="76"/>
      <c r="BM418" s="76" t="s">
        <v>65</v>
      </c>
      <c r="BN418" s="76" t="s">
        <v>18706</v>
      </c>
      <c r="BO418" s="83" t="str">
        <f>HYPERLINK("https://twitter.com/elcrackdel23")</f>
        <v>https://twitter.com/elcrackdel23</v>
      </c>
      <c r="BP418" s="2"/>
    </row>
    <row r="419" spans="1:68" x14ac:dyDescent="0.25">
      <c r="A419" s="62" t="s">
        <v>555</v>
      </c>
      <c r="B419" s="63"/>
      <c r="C419" s="63"/>
      <c r="D419" s="64"/>
      <c r="E419" s="66"/>
      <c r="F419" s="102" t="str">
        <f>HYPERLINK("https://pbs.twimg.com/profile_images/1640772004641906692/cMtTqi5-_normal.jpg")</f>
        <v>https://pbs.twimg.com/profile_images/1640772004641906692/cMtTqi5-_normal.jpg</v>
      </c>
      <c r="G419" s="63"/>
      <c r="H419" s="67"/>
      <c r="I419" s="68"/>
      <c r="J419" s="68"/>
      <c r="K419" s="67" t="s">
        <v>19122</v>
      </c>
      <c r="L419" s="71"/>
      <c r="M419" s="72"/>
      <c r="N419" s="72"/>
      <c r="O419" s="73"/>
      <c r="P419" s="74"/>
      <c r="Q419" s="74"/>
      <c r="R419" s="86"/>
      <c r="S419" s="86"/>
      <c r="T419" s="86"/>
      <c r="U419" s="86"/>
      <c r="V419" s="48"/>
      <c r="W419" s="48"/>
      <c r="X419" s="48"/>
      <c r="Y419" s="48"/>
      <c r="Z419" s="47"/>
      <c r="AA419" s="69">
        <v>419</v>
      </c>
      <c r="AB419" s="69"/>
      <c r="AC419" s="70"/>
      <c r="AD419" s="76" t="s">
        <v>16845</v>
      </c>
      <c r="AE419" s="81" t="s">
        <v>16295</v>
      </c>
      <c r="AF419" s="76">
        <v>1269</v>
      </c>
      <c r="AG419" s="76">
        <v>27</v>
      </c>
      <c r="AH419" s="76">
        <v>397</v>
      </c>
      <c r="AI419" s="76">
        <v>3</v>
      </c>
      <c r="AJ419" s="76">
        <v>27</v>
      </c>
      <c r="AK419" s="76">
        <v>215</v>
      </c>
      <c r="AL419" s="76" t="b">
        <v>0</v>
      </c>
      <c r="AM419" s="78">
        <v>42993.743437500001</v>
      </c>
      <c r="AN419" s="76" t="s">
        <v>17561</v>
      </c>
      <c r="AO419" s="76" t="s">
        <v>18017</v>
      </c>
      <c r="AP419" s="83" t="str">
        <f>HYPERLINK("https://t.co/XXH2isx8kO")</f>
        <v>https://t.co/XXH2isx8kO</v>
      </c>
      <c r="AQ419" s="83" t="str">
        <f>HYPERLINK("https://ig.rdstation.com/kinvoapp")</f>
        <v>https://ig.rdstation.com/kinvoapp</v>
      </c>
      <c r="AR419" s="76" t="s">
        <v>18481</v>
      </c>
      <c r="AS419" s="76"/>
      <c r="AT419" s="76"/>
      <c r="AU419" s="76"/>
      <c r="AV419" s="76"/>
      <c r="AW419" s="83" t="str">
        <f>HYPERLINK("https://t.co/XXH2isx8kO")</f>
        <v>https://t.co/XXH2isx8kO</v>
      </c>
      <c r="AX419" s="76" t="b">
        <v>0</v>
      </c>
      <c r="AY419" s="76"/>
      <c r="AZ419" s="76"/>
      <c r="BA419" s="76" t="b">
        <v>1</v>
      </c>
      <c r="BB419" s="76" t="b">
        <v>1</v>
      </c>
      <c r="BC419" s="76" t="b">
        <v>1</v>
      </c>
      <c r="BD419" s="76" t="b">
        <v>0</v>
      </c>
      <c r="BE419" s="76" t="b">
        <v>0</v>
      </c>
      <c r="BF419" s="76" t="b">
        <v>0</v>
      </c>
      <c r="BG419" s="76" t="b">
        <v>0</v>
      </c>
      <c r="BH419" s="83" t="str">
        <f>HYPERLINK("https://pbs.twimg.com/profile_banners/908749896282443776/1693846826")</f>
        <v>https://pbs.twimg.com/profile_banners/908749896282443776/1693846826</v>
      </c>
      <c r="BI419" s="76"/>
      <c r="BJ419" s="76" t="s">
        <v>18704</v>
      </c>
      <c r="BK419" s="76" t="b">
        <v>0</v>
      </c>
      <c r="BL419" s="76"/>
      <c r="BM419" s="76" t="s">
        <v>66</v>
      </c>
      <c r="BN419" s="76" t="s">
        <v>18706</v>
      </c>
      <c r="BO419" s="83" t="str">
        <f>HYPERLINK("https://twitter.com/kinvoapp")</f>
        <v>https://twitter.com/kinvoapp</v>
      </c>
      <c r="BP419" s="2"/>
    </row>
    <row r="420" spans="1:68" x14ac:dyDescent="0.25">
      <c r="A420" s="62" t="s">
        <v>556</v>
      </c>
      <c r="B420" s="63"/>
      <c r="C420" s="63"/>
      <c r="D420" s="64"/>
      <c r="E420" s="66"/>
      <c r="F420" s="102" t="str">
        <f>HYPERLINK("https://pbs.twimg.com/profile_images/1585233383273242624/gncpJtud_normal.jpg")</f>
        <v>https://pbs.twimg.com/profile_images/1585233383273242624/gncpJtud_normal.jpg</v>
      </c>
      <c r="G420" s="63"/>
      <c r="H420" s="67"/>
      <c r="I420" s="68"/>
      <c r="J420" s="68"/>
      <c r="K420" s="67" t="s">
        <v>19123</v>
      </c>
      <c r="L420" s="71"/>
      <c r="M420" s="72"/>
      <c r="N420" s="72"/>
      <c r="O420" s="73"/>
      <c r="P420" s="74"/>
      <c r="Q420" s="74"/>
      <c r="R420" s="86"/>
      <c r="S420" s="86"/>
      <c r="T420" s="86"/>
      <c r="U420" s="86"/>
      <c r="V420" s="48"/>
      <c r="W420" s="48"/>
      <c r="X420" s="48"/>
      <c r="Y420" s="48"/>
      <c r="Z420" s="47"/>
      <c r="AA420" s="69">
        <v>420</v>
      </c>
      <c r="AB420" s="69"/>
      <c r="AC420" s="70"/>
      <c r="AD420" s="76" t="s">
        <v>16846</v>
      </c>
      <c r="AE420" s="81" t="s">
        <v>16296</v>
      </c>
      <c r="AF420" s="76">
        <v>55</v>
      </c>
      <c r="AG420" s="76">
        <v>137</v>
      </c>
      <c r="AH420" s="76">
        <v>15699</v>
      </c>
      <c r="AI420" s="76">
        <v>0</v>
      </c>
      <c r="AJ420" s="76">
        <v>9591</v>
      </c>
      <c r="AK420" s="76">
        <v>414</v>
      </c>
      <c r="AL420" s="76" t="b">
        <v>0</v>
      </c>
      <c r="AM420" s="78">
        <v>42421.981111111112</v>
      </c>
      <c r="AN420" s="76"/>
      <c r="AO420" s="76"/>
      <c r="AP420" s="76"/>
      <c r="AQ420" s="76"/>
      <c r="AR420" s="76"/>
      <c r="AS420" s="76"/>
      <c r="AT420" s="76"/>
      <c r="AU420" s="76"/>
      <c r="AV420" s="76"/>
      <c r="AW420" s="76"/>
      <c r="AX420" s="76" t="b">
        <v>0</v>
      </c>
      <c r="AY420" s="76"/>
      <c r="AZ420" s="76"/>
      <c r="BA420" s="76" t="b">
        <v>0</v>
      </c>
      <c r="BB420" s="76" t="b">
        <v>1</v>
      </c>
      <c r="BC420" s="76" t="b">
        <v>1</v>
      </c>
      <c r="BD420" s="76" t="b">
        <v>0</v>
      </c>
      <c r="BE420" s="76" t="b">
        <v>0</v>
      </c>
      <c r="BF420" s="76" t="b">
        <v>0</v>
      </c>
      <c r="BG420" s="76" t="b">
        <v>0</v>
      </c>
      <c r="BH420" s="76"/>
      <c r="BI420" s="76"/>
      <c r="BJ420" s="76" t="s">
        <v>18704</v>
      </c>
      <c r="BK420" s="76" t="b">
        <v>0</v>
      </c>
      <c r="BL420" s="76"/>
      <c r="BM420" s="76" t="s">
        <v>66</v>
      </c>
      <c r="BN420" s="76" t="s">
        <v>18706</v>
      </c>
      <c r="BO420" s="83" t="str">
        <f>HYPERLINK("https://twitter.com/memoburu1971")</f>
        <v>https://twitter.com/memoburu1971</v>
      </c>
      <c r="BP420" s="2"/>
    </row>
    <row r="421" spans="1:68" x14ac:dyDescent="0.25">
      <c r="A421" s="62" t="s">
        <v>557</v>
      </c>
      <c r="B421" s="63"/>
      <c r="C421" s="63"/>
      <c r="D421" s="64"/>
      <c r="E421" s="66"/>
      <c r="F421" s="102" t="str">
        <f>HYPERLINK("https://pbs.twimg.com/profile_images/1699368314277896192/OByv6nhj_normal.jpg")</f>
        <v>https://pbs.twimg.com/profile_images/1699368314277896192/OByv6nhj_normal.jpg</v>
      </c>
      <c r="G421" s="63"/>
      <c r="H421" s="67"/>
      <c r="I421" s="68"/>
      <c r="J421" s="68"/>
      <c r="K421" s="67" t="s">
        <v>19124</v>
      </c>
      <c r="L421" s="71"/>
      <c r="M421" s="72"/>
      <c r="N421" s="72"/>
      <c r="O421" s="73"/>
      <c r="P421" s="74"/>
      <c r="Q421" s="74"/>
      <c r="R421" s="86"/>
      <c r="S421" s="86"/>
      <c r="T421" s="86"/>
      <c r="U421" s="86"/>
      <c r="V421" s="48"/>
      <c r="W421" s="48"/>
      <c r="X421" s="48"/>
      <c r="Y421" s="48"/>
      <c r="Z421" s="47"/>
      <c r="AA421" s="69">
        <v>421</v>
      </c>
      <c r="AB421" s="69"/>
      <c r="AC421" s="70"/>
      <c r="AD421" s="76" t="s">
        <v>16847</v>
      </c>
      <c r="AE421" s="81" t="s">
        <v>16297</v>
      </c>
      <c r="AF421" s="76">
        <v>238</v>
      </c>
      <c r="AG421" s="76">
        <v>344</v>
      </c>
      <c r="AH421" s="76">
        <v>20</v>
      </c>
      <c r="AI421" s="76">
        <v>6</v>
      </c>
      <c r="AJ421" s="76">
        <v>3518</v>
      </c>
      <c r="AK421" s="76">
        <v>0</v>
      </c>
      <c r="AL421" s="76" t="b">
        <v>0</v>
      </c>
      <c r="AM421" s="78">
        <v>44989.913703703707</v>
      </c>
      <c r="AN421" s="76"/>
      <c r="AO421" s="76" t="s">
        <v>18018</v>
      </c>
      <c r="AP421" s="76"/>
      <c r="AQ421" s="76"/>
      <c r="AR421" s="76"/>
      <c r="AS421" s="76"/>
      <c r="AT421" s="76"/>
      <c r="AU421" s="76"/>
      <c r="AV421" s="76"/>
      <c r="AW421" s="76"/>
      <c r="AX421" s="76" t="b">
        <v>0</v>
      </c>
      <c r="AY421" s="76"/>
      <c r="AZ421" s="76"/>
      <c r="BA421" s="76" t="b">
        <v>1</v>
      </c>
      <c r="BB421" s="76" t="b">
        <v>1</v>
      </c>
      <c r="BC421" s="76" t="b">
        <v>1</v>
      </c>
      <c r="BD421" s="76" t="b">
        <v>0</v>
      </c>
      <c r="BE421" s="76" t="b">
        <v>0</v>
      </c>
      <c r="BF421" s="76" t="b">
        <v>0</v>
      </c>
      <c r="BG421" s="76" t="b">
        <v>0</v>
      </c>
      <c r="BH421" s="83" t="str">
        <f>HYPERLINK("https://pbs.twimg.com/profile_banners/1632137689288916992/1694107498")</f>
        <v>https://pbs.twimg.com/profile_banners/1632137689288916992/1694107498</v>
      </c>
      <c r="BI421" s="76"/>
      <c r="BJ421" s="76" t="s">
        <v>18704</v>
      </c>
      <c r="BK421" s="76" t="b">
        <v>0</v>
      </c>
      <c r="BL421" s="76"/>
      <c r="BM421" s="76" t="s">
        <v>66</v>
      </c>
      <c r="BN421" s="76" t="s">
        <v>18706</v>
      </c>
      <c r="BO421" s="83" t="str">
        <f>HYPERLINK("https://twitter.com/zeninveststrat")</f>
        <v>https://twitter.com/zeninveststrat</v>
      </c>
      <c r="BP421" s="2"/>
    </row>
    <row r="422" spans="1:68" x14ac:dyDescent="0.25">
      <c r="A422" s="62" t="s">
        <v>558</v>
      </c>
      <c r="B422" s="63"/>
      <c r="C422" s="63"/>
      <c r="D422" s="64"/>
      <c r="E422" s="66"/>
      <c r="F422" s="102" t="str">
        <f>HYPERLINK("https://pbs.twimg.com/profile_images/1617937966197768195/cmKJdg2X_normal.jpg")</f>
        <v>https://pbs.twimg.com/profile_images/1617937966197768195/cmKJdg2X_normal.jpg</v>
      </c>
      <c r="G422" s="63"/>
      <c r="H422" s="67"/>
      <c r="I422" s="68"/>
      <c r="J422" s="68"/>
      <c r="K422" s="67" t="s">
        <v>19125</v>
      </c>
      <c r="L422" s="71"/>
      <c r="M422" s="72"/>
      <c r="N422" s="72"/>
      <c r="O422" s="73"/>
      <c r="P422" s="74"/>
      <c r="Q422" s="74"/>
      <c r="R422" s="86"/>
      <c r="S422" s="86"/>
      <c r="T422" s="86"/>
      <c r="U422" s="86"/>
      <c r="V422" s="48"/>
      <c r="W422" s="48"/>
      <c r="X422" s="48"/>
      <c r="Y422" s="48"/>
      <c r="Z422" s="47"/>
      <c r="AA422" s="69">
        <v>422</v>
      </c>
      <c r="AB422" s="69"/>
      <c r="AC422" s="70"/>
      <c r="AD422" s="76" t="s">
        <v>16848</v>
      </c>
      <c r="AE422" s="81" t="s">
        <v>17268</v>
      </c>
      <c r="AF422" s="76">
        <v>98</v>
      </c>
      <c r="AG422" s="76">
        <v>93</v>
      </c>
      <c r="AH422" s="76">
        <v>2755</v>
      </c>
      <c r="AI422" s="76">
        <v>1</v>
      </c>
      <c r="AJ422" s="76">
        <v>123</v>
      </c>
      <c r="AK422" s="76">
        <v>91</v>
      </c>
      <c r="AL422" s="76" t="b">
        <v>0</v>
      </c>
      <c r="AM422" s="78">
        <v>40810.709745370368</v>
      </c>
      <c r="AN422" s="76" t="s">
        <v>17562</v>
      </c>
      <c r="AO422" s="76" t="s">
        <v>18019</v>
      </c>
      <c r="AP422" s="83" t="str">
        <f>HYPERLINK("https://t.co/YrfHuFuzFv")</f>
        <v>https://t.co/YrfHuFuzFv</v>
      </c>
      <c r="AQ422" s="83" t="str">
        <f>HYPERLINK("https://www.linkedin.com/in/sílvio-quental-6b298b172")</f>
        <v>https://www.linkedin.com/in/sílvio-quental-6b298b172</v>
      </c>
      <c r="AR422" s="76" t="s">
        <v>18482</v>
      </c>
      <c r="AS422" s="76"/>
      <c r="AT422" s="76"/>
      <c r="AU422" s="76"/>
      <c r="AV422" s="76">
        <v>1.70415539718608E+18</v>
      </c>
      <c r="AW422" s="83" t="str">
        <f>HYPERLINK("https://t.co/YrfHuFuzFv")</f>
        <v>https://t.co/YrfHuFuzFv</v>
      </c>
      <c r="AX422" s="76" t="b">
        <v>0</v>
      </c>
      <c r="AY422" s="76"/>
      <c r="AZ422" s="76"/>
      <c r="BA422" s="76" t="b">
        <v>1</v>
      </c>
      <c r="BB422" s="76" t="b">
        <v>1</v>
      </c>
      <c r="BC422" s="76" t="b">
        <v>1</v>
      </c>
      <c r="BD422" s="76" t="b">
        <v>0</v>
      </c>
      <c r="BE422" s="76" t="b">
        <v>1</v>
      </c>
      <c r="BF422" s="76" t="b">
        <v>0</v>
      </c>
      <c r="BG422" s="76" t="b">
        <v>0</v>
      </c>
      <c r="BH422" s="83" t="str">
        <f>HYPERLINK("https://pbs.twimg.com/profile_banners/379261685/1674581500")</f>
        <v>https://pbs.twimg.com/profile_banners/379261685/1674581500</v>
      </c>
      <c r="BI422" s="76"/>
      <c r="BJ422" s="76" t="s">
        <v>18704</v>
      </c>
      <c r="BK422" s="76" t="b">
        <v>0</v>
      </c>
      <c r="BL422" s="76"/>
      <c r="BM422" s="76" t="s">
        <v>66</v>
      </c>
      <c r="BN422" s="76" t="s">
        <v>18706</v>
      </c>
      <c r="BO422" s="83" t="str">
        <f>HYPERLINK("https://twitter.com/silviodoquental")</f>
        <v>https://twitter.com/silviodoquental</v>
      </c>
      <c r="BP422" s="2"/>
    </row>
    <row r="423" spans="1:68" x14ac:dyDescent="0.25">
      <c r="A423" s="62" t="s">
        <v>559</v>
      </c>
      <c r="B423" s="63"/>
      <c r="C423" s="63"/>
      <c r="D423" s="64"/>
      <c r="E423" s="66"/>
      <c r="F423" s="102" t="str">
        <f>HYPERLINK("https://pbs.twimg.com/profile_images/1696562721230147584/BNKa8_PE_normal.jpg")</f>
        <v>https://pbs.twimg.com/profile_images/1696562721230147584/BNKa8_PE_normal.jpg</v>
      </c>
      <c r="G423" s="63"/>
      <c r="H423" s="67"/>
      <c r="I423" s="68"/>
      <c r="J423" s="68"/>
      <c r="K423" s="67" t="s">
        <v>19126</v>
      </c>
      <c r="L423" s="71"/>
      <c r="M423" s="72"/>
      <c r="N423" s="72"/>
      <c r="O423" s="73"/>
      <c r="P423" s="74"/>
      <c r="Q423" s="74"/>
      <c r="R423" s="86"/>
      <c r="S423" s="86"/>
      <c r="T423" s="86"/>
      <c r="U423" s="86"/>
      <c r="V423" s="48"/>
      <c r="W423" s="48"/>
      <c r="X423" s="48"/>
      <c r="Y423" s="48"/>
      <c r="Z423" s="47"/>
      <c r="AA423" s="69">
        <v>423</v>
      </c>
      <c r="AB423" s="69"/>
      <c r="AC423" s="70"/>
      <c r="AD423" s="76" t="s">
        <v>16849</v>
      </c>
      <c r="AE423" s="81" t="s">
        <v>16298</v>
      </c>
      <c r="AF423" s="76">
        <v>170</v>
      </c>
      <c r="AG423" s="76">
        <v>559</v>
      </c>
      <c r="AH423" s="76">
        <v>783</v>
      </c>
      <c r="AI423" s="76">
        <v>0</v>
      </c>
      <c r="AJ423" s="76">
        <v>491</v>
      </c>
      <c r="AK423" s="76">
        <v>400</v>
      </c>
      <c r="AL423" s="76" t="b">
        <v>0</v>
      </c>
      <c r="AM423" s="78">
        <v>44840.766562500001</v>
      </c>
      <c r="AN423" s="76" t="s">
        <v>17563</v>
      </c>
      <c r="AO423" s="76" t="s">
        <v>18020</v>
      </c>
      <c r="AP423" s="76"/>
      <c r="AQ423" s="76"/>
      <c r="AR423" s="76"/>
      <c r="AS423" s="76"/>
      <c r="AT423" s="76"/>
      <c r="AU423" s="76"/>
      <c r="AV423" s="76"/>
      <c r="AW423" s="76"/>
      <c r="AX423" s="76" t="b">
        <v>0</v>
      </c>
      <c r="AY423" s="76"/>
      <c r="AZ423" s="76"/>
      <c r="BA423" s="76" t="b">
        <v>0</v>
      </c>
      <c r="BB423" s="76" t="b">
        <v>1</v>
      </c>
      <c r="BC423" s="76" t="b">
        <v>1</v>
      </c>
      <c r="BD423" s="76" t="b">
        <v>0</v>
      </c>
      <c r="BE423" s="76" t="b">
        <v>1</v>
      </c>
      <c r="BF423" s="76" t="b">
        <v>0</v>
      </c>
      <c r="BG423" s="76" t="b">
        <v>0</v>
      </c>
      <c r="BH423" s="83" t="str">
        <f>HYPERLINK("https://pbs.twimg.com/profile_banners/1578088612305960991/1665095415")</f>
        <v>https://pbs.twimg.com/profile_banners/1578088612305960991/1665095415</v>
      </c>
      <c r="BI423" s="76"/>
      <c r="BJ423" s="76" t="s">
        <v>18704</v>
      </c>
      <c r="BK423" s="76" t="b">
        <v>0</v>
      </c>
      <c r="BL423" s="76"/>
      <c r="BM423" s="76" t="s">
        <v>66</v>
      </c>
      <c r="BN423" s="76" t="s">
        <v>18706</v>
      </c>
      <c r="BO423" s="83" t="str">
        <f>HYPERLINK("https://twitter.com/ocleydsontrader")</f>
        <v>https://twitter.com/ocleydsontrader</v>
      </c>
      <c r="BP423" s="2"/>
    </row>
    <row r="424" spans="1:68" x14ac:dyDescent="0.25">
      <c r="A424" s="62" t="s">
        <v>560</v>
      </c>
      <c r="B424" s="63"/>
      <c r="C424" s="63"/>
      <c r="D424" s="64"/>
      <c r="E424" s="66"/>
      <c r="F424" s="102" t="str">
        <f>HYPERLINK("https://pbs.twimg.com/profile_images/1111767337353576448/HEeIa5ie_normal.jpg")</f>
        <v>https://pbs.twimg.com/profile_images/1111767337353576448/HEeIa5ie_normal.jpg</v>
      </c>
      <c r="G424" s="63"/>
      <c r="H424" s="67"/>
      <c r="I424" s="68"/>
      <c r="J424" s="68"/>
      <c r="K424" s="67" t="s">
        <v>19127</v>
      </c>
      <c r="L424" s="71"/>
      <c r="M424" s="72"/>
      <c r="N424" s="72"/>
      <c r="O424" s="73"/>
      <c r="P424" s="74"/>
      <c r="Q424" s="74"/>
      <c r="R424" s="86"/>
      <c r="S424" s="86"/>
      <c r="T424" s="86"/>
      <c r="U424" s="86"/>
      <c r="V424" s="48"/>
      <c r="W424" s="48"/>
      <c r="X424" s="48"/>
      <c r="Y424" s="48"/>
      <c r="Z424" s="47"/>
      <c r="AA424" s="69">
        <v>424</v>
      </c>
      <c r="AB424" s="69"/>
      <c r="AC424" s="70"/>
      <c r="AD424" s="76" t="s">
        <v>16850</v>
      </c>
      <c r="AE424" s="81" t="s">
        <v>17269</v>
      </c>
      <c r="AF424" s="76">
        <v>5780</v>
      </c>
      <c r="AG424" s="76">
        <v>1915</v>
      </c>
      <c r="AH424" s="76">
        <v>172410</v>
      </c>
      <c r="AI424" s="76">
        <v>34</v>
      </c>
      <c r="AJ424" s="76">
        <v>142127</v>
      </c>
      <c r="AK424" s="76">
        <v>2735</v>
      </c>
      <c r="AL424" s="76" t="b">
        <v>0</v>
      </c>
      <c r="AM424" s="78">
        <v>41290.754745370374</v>
      </c>
      <c r="AN424" s="76" t="s">
        <v>17456</v>
      </c>
      <c r="AO424" s="76" t="s">
        <v>18021</v>
      </c>
      <c r="AP424" s="76"/>
      <c r="AQ424" s="76"/>
      <c r="AR424" s="76"/>
      <c r="AS424" s="76"/>
      <c r="AT424" s="76"/>
      <c r="AU424" s="76"/>
      <c r="AV424" s="76"/>
      <c r="AW424" s="76"/>
      <c r="AX424" s="76" t="b">
        <v>0</v>
      </c>
      <c r="AY424" s="76"/>
      <c r="AZ424" s="76"/>
      <c r="BA424" s="76" t="b">
        <v>0</v>
      </c>
      <c r="BB424" s="76" t="b">
        <v>1</v>
      </c>
      <c r="BC424" s="76" t="b">
        <v>1</v>
      </c>
      <c r="BD424" s="76" t="b">
        <v>0</v>
      </c>
      <c r="BE424" s="76" t="b">
        <v>1</v>
      </c>
      <c r="BF424" s="76" t="b">
        <v>0</v>
      </c>
      <c r="BG424" s="76" t="b">
        <v>0</v>
      </c>
      <c r="BH424" s="76"/>
      <c r="BI424" s="76"/>
      <c r="BJ424" s="76" t="s">
        <v>18704</v>
      </c>
      <c r="BK424" s="76" t="b">
        <v>0</v>
      </c>
      <c r="BL424" s="76"/>
      <c r="BM424" s="76" t="s">
        <v>66</v>
      </c>
      <c r="BN424" s="76" t="s">
        <v>18706</v>
      </c>
      <c r="BO424" s="83" t="str">
        <f>HYPERLINK("https://twitter.com/javeye")</f>
        <v>https://twitter.com/javeye</v>
      </c>
      <c r="BP424" s="2"/>
    </row>
    <row r="425" spans="1:68" x14ac:dyDescent="0.25">
      <c r="A425" s="62" t="s">
        <v>561</v>
      </c>
      <c r="B425" s="63"/>
      <c r="C425" s="63"/>
      <c r="D425" s="64"/>
      <c r="E425" s="66"/>
      <c r="F425" s="102" t="str">
        <f>HYPERLINK("https://pbs.twimg.com/profile_images/1494436607088369667/s_7vqOIt_normal.jpg")</f>
        <v>https://pbs.twimg.com/profile_images/1494436607088369667/s_7vqOIt_normal.jpg</v>
      </c>
      <c r="G425" s="63"/>
      <c r="H425" s="67"/>
      <c r="I425" s="68"/>
      <c r="J425" s="68"/>
      <c r="K425" s="67" t="s">
        <v>19128</v>
      </c>
      <c r="L425" s="71"/>
      <c r="M425" s="72"/>
      <c r="N425" s="72"/>
      <c r="O425" s="73"/>
      <c r="P425" s="74"/>
      <c r="Q425" s="74"/>
      <c r="R425" s="86"/>
      <c r="S425" s="86"/>
      <c r="T425" s="86"/>
      <c r="U425" s="86"/>
      <c r="V425" s="48"/>
      <c r="W425" s="48"/>
      <c r="X425" s="48"/>
      <c r="Y425" s="48"/>
      <c r="Z425" s="47"/>
      <c r="AA425" s="69">
        <v>425</v>
      </c>
      <c r="AB425" s="69"/>
      <c r="AC425" s="70"/>
      <c r="AD425" s="76" t="s">
        <v>16851</v>
      </c>
      <c r="AE425" s="81" t="s">
        <v>15959</v>
      </c>
      <c r="AF425" s="76">
        <v>896</v>
      </c>
      <c r="AG425" s="76">
        <v>96</v>
      </c>
      <c r="AH425" s="76">
        <v>1925</v>
      </c>
      <c r="AI425" s="76">
        <v>3</v>
      </c>
      <c r="AJ425" s="76">
        <v>28632</v>
      </c>
      <c r="AK425" s="76">
        <v>105</v>
      </c>
      <c r="AL425" s="76" t="b">
        <v>0</v>
      </c>
      <c r="AM425" s="78">
        <v>44326.713275462964</v>
      </c>
      <c r="AN425" s="76"/>
      <c r="AO425" s="76" t="s">
        <v>18022</v>
      </c>
      <c r="AP425" s="76"/>
      <c r="AQ425" s="76"/>
      <c r="AR425" s="76"/>
      <c r="AS425" s="76"/>
      <c r="AT425" s="76"/>
      <c r="AU425" s="76"/>
      <c r="AV425" s="76">
        <v>1.6783160688702001E+18</v>
      </c>
      <c r="AW425" s="76"/>
      <c r="AX425" s="76" t="b">
        <v>0</v>
      </c>
      <c r="AY425" s="76"/>
      <c r="AZ425" s="76"/>
      <c r="BA425" s="76" t="b">
        <v>0</v>
      </c>
      <c r="BB425" s="76" t="b">
        <v>1</v>
      </c>
      <c r="BC425" s="76" t="b">
        <v>1</v>
      </c>
      <c r="BD425" s="76" t="b">
        <v>0</v>
      </c>
      <c r="BE425" s="76" t="b">
        <v>1</v>
      </c>
      <c r="BF425" s="76" t="b">
        <v>0</v>
      </c>
      <c r="BG425" s="76" t="b">
        <v>0</v>
      </c>
      <c r="BH425" s="83" t="str">
        <f>HYPERLINK("https://pbs.twimg.com/profile_banners/1391801917634908162/1635265495")</f>
        <v>https://pbs.twimg.com/profile_banners/1391801917634908162/1635265495</v>
      </c>
      <c r="BI425" s="76"/>
      <c r="BJ425" s="76" t="s">
        <v>18704</v>
      </c>
      <c r="BK425" s="76" t="b">
        <v>0</v>
      </c>
      <c r="BL425" s="76"/>
      <c r="BM425" s="76" t="s">
        <v>66</v>
      </c>
      <c r="BN425" s="76" t="s">
        <v>18706</v>
      </c>
      <c r="BO425" s="83" t="str">
        <f>HYPERLINK("https://twitter.com/frankbullboss")</f>
        <v>https://twitter.com/frankbullboss</v>
      </c>
      <c r="BP425" s="2"/>
    </row>
    <row r="426" spans="1:68" x14ac:dyDescent="0.25">
      <c r="A426" s="62" t="s">
        <v>562</v>
      </c>
      <c r="B426" s="63"/>
      <c r="C426" s="63"/>
      <c r="D426" s="64"/>
      <c r="E426" s="66"/>
      <c r="F426" s="102" t="str">
        <f>HYPERLINK("https://pbs.twimg.com/profile_images/1540054895671316482/lea_Icv4_normal.jpg")</f>
        <v>https://pbs.twimg.com/profile_images/1540054895671316482/lea_Icv4_normal.jpg</v>
      </c>
      <c r="G426" s="63"/>
      <c r="H426" s="67"/>
      <c r="I426" s="68"/>
      <c r="J426" s="68"/>
      <c r="K426" s="67" t="s">
        <v>19129</v>
      </c>
      <c r="L426" s="71"/>
      <c r="M426" s="72"/>
      <c r="N426" s="72"/>
      <c r="O426" s="73"/>
      <c r="P426" s="74"/>
      <c r="Q426" s="74"/>
      <c r="R426" s="86"/>
      <c r="S426" s="86"/>
      <c r="T426" s="86"/>
      <c r="U426" s="86"/>
      <c r="V426" s="48"/>
      <c r="W426" s="48"/>
      <c r="X426" s="48"/>
      <c r="Y426" s="48"/>
      <c r="Z426" s="47"/>
      <c r="AA426" s="69">
        <v>426</v>
      </c>
      <c r="AB426" s="69"/>
      <c r="AC426" s="70"/>
      <c r="AD426" s="76" t="s">
        <v>16852</v>
      </c>
      <c r="AE426" s="81" t="s">
        <v>16299</v>
      </c>
      <c r="AF426" s="76">
        <v>10266</v>
      </c>
      <c r="AG426" s="76">
        <v>4053</v>
      </c>
      <c r="AH426" s="76">
        <v>23065</v>
      </c>
      <c r="AI426" s="76">
        <v>44</v>
      </c>
      <c r="AJ426" s="76">
        <v>318</v>
      </c>
      <c r="AK426" s="76">
        <v>1230</v>
      </c>
      <c r="AL426" s="76" t="b">
        <v>0</v>
      </c>
      <c r="AM426" s="78">
        <v>43171.686585648145</v>
      </c>
      <c r="AN426" s="76" t="s">
        <v>17564</v>
      </c>
      <c r="AO426" s="76" t="s">
        <v>18023</v>
      </c>
      <c r="AP426" s="83" t="str">
        <f>HYPERLINK("https://t.co/0aDuEGbuXX")</f>
        <v>https://t.co/0aDuEGbuXX</v>
      </c>
      <c r="AQ426" s="83" t="str">
        <f>HYPERLINK("http://www.ecos365.com.ar")</f>
        <v>http://www.ecos365.com.ar</v>
      </c>
      <c r="AR426" s="76" t="s">
        <v>18483</v>
      </c>
      <c r="AS426" s="76"/>
      <c r="AT426" s="76"/>
      <c r="AU426" s="76"/>
      <c r="AV426" s="76">
        <v>1.6488161865770199E+18</v>
      </c>
      <c r="AW426" s="83" t="str">
        <f>HYPERLINK("https://t.co/0aDuEGbuXX")</f>
        <v>https://t.co/0aDuEGbuXX</v>
      </c>
      <c r="AX426" s="76" t="b">
        <v>0</v>
      </c>
      <c r="AY426" s="76"/>
      <c r="AZ426" s="76"/>
      <c r="BA426" s="76" t="b">
        <v>1</v>
      </c>
      <c r="BB426" s="76" t="b">
        <v>1</v>
      </c>
      <c r="BC426" s="76" t="b">
        <v>1</v>
      </c>
      <c r="BD426" s="76" t="b">
        <v>0</v>
      </c>
      <c r="BE426" s="76" t="b">
        <v>1</v>
      </c>
      <c r="BF426" s="76" t="b">
        <v>0</v>
      </c>
      <c r="BG426" s="76" t="b">
        <v>0</v>
      </c>
      <c r="BH426" s="83" t="str">
        <f>HYPERLINK("https://pbs.twimg.com/profile_banners/973234331702513664/1569279630")</f>
        <v>https://pbs.twimg.com/profile_banners/973234331702513664/1569279630</v>
      </c>
      <c r="BI426" s="76"/>
      <c r="BJ426" s="76" t="s">
        <v>18704</v>
      </c>
      <c r="BK426" s="76" t="b">
        <v>0</v>
      </c>
      <c r="BL426" s="76"/>
      <c r="BM426" s="76" t="s">
        <v>66</v>
      </c>
      <c r="BN426" s="76" t="s">
        <v>18706</v>
      </c>
      <c r="BO426" s="83" t="str">
        <f>HYPERLINK("https://twitter.com/ecos365")</f>
        <v>https://twitter.com/ecos365</v>
      </c>
      <c r="BP426" s="2"/>
    </row>
    <row r="427" spans="1:68" x14ac:dyDescent="0.25">
      <c r="A427" s="62" t="s">
        <v>815</v>
      </c>
      <c r="B427" s="63"/>
      <c r="C427" s="63"/>
      <c r="D427" s="64"/>
      <c r="E427" s="66"/>
      <c r="F427" s="102" t="str">
        <f>HYPERLINK("https://pbs.twimg.com/profile_images/1313236132730200074/5nU5ZniY_normal.jpg")</f>
        <v>https://pbs.twimg.com/profile_images/1313236132730200074/5nU5ZniY_normal.jpg</v>
      </c>
      <c r="G427" s="63"/>
      <c r="H427" s="67"/>
      <c r="I427" s="68"/>
      <c r="J427" s="68"/>
      <c r="K427" s="67" t="s">
        <v>19130</v>
      </c>
      <c r="L427" s="71"/>
      <c r="M427" s="72"/>
      <c r="N427" s="72"/>
      <c r="O427" s="73"/>
      <c r="P427" s="74"/>
      <c r="Q427" s="74"/>
      <c r="R427" s="86"/>
      <c r="S427" s="86"/>
      <c r="T427" s="86"/>
      <c r="U427" s="86"/>
      <c r="V427" s="48"/>
      <c r="W427" s="48"/>
      <c r="X427" s="48"/>
      <c r="Y427" s="48"/>
      <c r="Z427" s="47"/>
      <c r="AA427" s="69">
        <v>427</v>
      </c>
      <c r="AB427" s="69"/>
      <c r="AC427" s="70"/>
      <c r="AD427" s="76" t="s">
        <v>16853</v>
      </c>
      <c r="AE427" s="81" t="s">
        <v>17270</v>
      </c>
      <c r="AF427" s="76">
        <v>4087</v>
      </c>
      <c r="AG427" s="76">
        <v>1934</v>
      </c>
      <c r="AH427" s="76">
        <v>1875</v>
      </c>
      <c r="AI427" s="76">
        <v>17</v>
      </c>
      <c r="AJ427" s="76">
        <v>6322</v>
      </c>
      <c r="AK427" s="76">
        <v>167</v>
      </c>
      <c r="AL427" s="76" t="b">
        <v>0</v>
      </c>
      <c r="AM427" s="78">
        <v>42380.640046296299</v>
      </c>
      <c r="AN427" s="76" t="s">
        <v>17488</v>
      </c>
      <c r="AO427" s="76" t="s">
        <v>18024</v>
      </c>
      <c r="AP427" s="83" t="str">
        <f>HYPERLINK("https://t.co/xXF1j06Ddo")</f>
        <v>https://t.co/xXF1j06Ddo</v>
      </c>
      <c r="AQ427" s="83" t="str">
        <f>HYPERLINK("http://www.zorraquinmeneses.com")</f>
        <v>http://www.zorraquinmeneses.com</v>
      </c>
      <c r="AR427" s="76" t="s">
        <v>18484</v>
      </c>
      <c r="AS427" s="76"/>
      <c r="AT427" s="76"/>
      <c r="AU427" s="76"/>
      <c r="AV427" s="76"/>
      <c r="AW427" s="83" t="str">
        <f>HYPERLINK("https://t.co/xXF1j06Ddo")</f>
        <v>https://t.co/xXF1j06Ddo</v>
      </c>
      <c r="AX427" s="76" t="b">
        <v>0</v>
      </c>
      <c r="AY427" s="76"/>
      <c r="AZ427" s="76"/>
      <c r="BA427" s="76" t="b">
        <v>0</v>
      </c>
      <c r="BB427" s="76" t="b">
        <v>1</v>
      </c>
      <c r="BC427" s="76" t="b">
        <v>1</v>
      </c>
      <c r="BD427" s="76" t="b">
        <v>0</v>
      </c>
      <c r="BE427" s="76" t="b">
        <v>0</v>
      </c>
      <c r="BF427" s="76" t="b">
        <v>0</v>
      </c>
      <c r="BG427" s="76" t="b">
        <v>0</v>
      </c>
      <c r="BH427" s="83" t="str">
        <f>HYPERLINK("https://pbs.twimg.com/profile_banners/4775326277/1601934855")</f>
        <v>https://pbs.twimg.com/profile_banners/4775326277/1601934855</v>
      </c>
      <c r="BI427" s="76"/>
      <c r="BJ427" s="76" t="s">
        <v>18704</v>
      </c>
      <c r="BK427" s="76" t="b">
        <v>0</v>
      </c>
      <c r="BL427" s="76"/>
      <c r="BM427" s="76" t="s">
        <v>65</v>
      </c>
      <c r="BN427" s="76" t="s">
        <v>18706</v>
      </c>
      <c r="BO427" s="83" t="str">
        <f>HYPERLINK("https://twitter.com/teozorraquinzm")</f>
        <v>https://twitter.com/teozorraquinzm</v>
      </c>
      <c r="BP427" s="2"/>
    </row>
    <row r="428" spans="1:68" x14ac:dyDescent="0.25">
      <c r="A428" s="62" t="s">
        <v>563</v>
      </c>
      <c r="B428" s="63"/>
      <c r="C428" s="63"/>
      <c r="D428" s="64"/>
      <c r="E428" s="66"/>
      <c r="F428" s="102" t="str">
        <f>HYPERLINK("https://pbs.twimg.com/profile_images/1135944788539334656/3RaaUBjF_normal.jpg")</f>
        <v>https://pbs.twimg.com/profile_images/1135944788539334656/3RaaUBjF_normal.jpg</v>
      </c>
      <c r="G428" s="63"/>
      <c r="H428" s="67"/>
      <c r="I428" s="68"/>
      <c r="J428" s="68"/>
      <c r="K428" s="67" t="s">
        <v>19131</v>
      </c>
      <c r="L428" s="71"/>
      <c r="M428" s="72"/>
      <c r="N428" s="72"/>
      <c r="O428" s="73"/>
      <c r="P428" s="74"/>
      <c r="Q428" s="74"/>
      <c r="R428" s="86"/>
      <c r="S428" s="86"/>
      <c r="T428" s="86"/>
      <c r="U428" s="86"/>
      <c r="V428" s="48"/>
      <c r="W428" s="48"/>
      <c r="X428" s="48"/>
      <c r="Y428" s="48"/>
      <c r="Z428" s="47"/>
      <c r="AA428" s="69">
        <v>428</v>
      </c>
      <c r="AB428" s="69"/>
      <c r="AC428" s="70"/>
      <c r="AD428" s="76" t="s">
        <v>16854</v>
      </c>
      <c r="AE428" s="81" t="s">
        <v>17271</v>
      </c>
      <c r="AF428" s="76">
        <v>368704</v>
      </c>
      <c r="AG428" s="76">
        <v>3245</v>
      </c>
      <c r="AH428" s="76">
        <v>323543</v>
      </c>
      <c r="AI428" s="76">
        <v>705</v>
      </c>
      <c r="AJ428" s="76">
        <v>604</v>
      </c>
      <c r="AK428" s="76">
        <v>141748</v>
      </c>
      <c r="AL428" s="76" t="b">
        <v>0</v>
      </c>
      <c r="AM428" s="78">
        <v>40021.704872685186</v>
      </c>
      <c r="AN428" s="76" t="s">
        <v>17565</v>
      </c>
      <c r="AO428" s="76" t="s">
        <v>18025</v>
      </c>
      <c r="AP428" s="83" t="str">
        <f>HYPERLINK("https://t.co/vf8o3tK0R4")</f>
        <v>https://t.co/vf8o3tK0R4</v>
      </c>
      <c r="AQ428" s="83" t="str">
        <f>HYPERLINK("http://www.rosario3.com")</f>
        <v>http://www.rosario3.com</v>
      </c>
      <c r="AR428" s="76" t="s">
        <v>18485</v>
      </c>
      <c r="AS428" s="76"/>
      <c r="AT428" s="76"/>
      <c r="AU428" s="76"/>
      <c r="AV428" s="76"/>
      <c r="AW428" s="83" t="str">
        <f>HYPERLINK("https://t.co/vf8o3tK0R4")</f>
        <v>https://t.co/vf8o3tK0R4</v>
      </c>
      <c r="AX428" s="76" t="b">
        <v>0</v>
      </c>
      <c r="AY428" s="76"/>
      <c r="AZ428" s="76"/>
      <c r="BA428" s="76" t="b">
        <v>1</v>
      </c>
      <c r="BB428" s="76" t="b">
        <v>1</v>
      </c>
      <c r="BC428" s="76" t="b">
        <v>0</v>
      </c>
      <c r="BD428" s="76" t="b">
        <v>0</v>
      </c>
      <c r="BE428" s="76" t="b">
        <v>1</v>
      </c>
      <c r="BF428" s="76" t="b">
        <v>0</v>
      </c>
      <c r="BG428" s="76" t="b">
        <v>0</v>
      </c>
      <c r="BH428" s="83" t="str">
        <f>HYPERLINK("https://pbs.twimg.com/profile_banners/60647069/1559665318")</f>
        <v>https://pbs.twimg.com/profile_banners/60647069/1559665318</v>
      </c>
      <c r="BI428" s="76"/>
      <c r="BJ428" s="76" t="s">
        <v>18704</v>
      </c>
      <c r="BK428" s="76" t="b">
        <v>0</v>
      </c>
      <c r="BL428" s="76"/>
      <c r="BM428" s="76" t="s">
        <v>66</v>
      </c>
      <c r="BN428" s="76" t="s">
        <v>18706</v>
      </c>
      <c r="BO428" s="83" t="str">
        <f>HYPERLINK("https://twitter.com/rosariotres")</f>
        <v>https://twitter.com/rosariotres</v>
      </c>
      <c r="BP428" s="2"/>
    </row>
    <row r="429" spans="1:68" x14ac:dyDescent="0.25">
      <c r="A429" s="62" t="s">
        <v>564</v>
      </c>
      <c r="B429" s="63"/>
      <c r="C429" s="63"/>
      <c r="D429" s="64"/>
      <c r="E429" s="66"/>
      <c r="F429" s="102" t="str">
        <f>HYPERLINK("https://pbs.twimg.com/profile_images/1348991624966254593/MppPeKy6_normal.jpg")</f>
        <v>https://pbs.twimg.com/profile_images/1348991624966254593/MppPeKy6_normal.jpg</v>
      </c>
      <c r="G429" s="63"/>
      <c r="H429" s="67"/>
      <c r="I429" s="68"/>
      <c r="J429" s="68"/>
      <c r="K429" s="67" t="s">
        <v>19132</v>
      </c>
      <c r="L429" s="71"/>
      <c r="M429" s="72"/>
      <c r="N429" s="72"/>
      <c r="O429" s="73"/>
      <c r="P429" s="74"/>
      <c r="Q429" s="74"/>
      <c r="R429" s="86"/>
      <c r="S429" s="86"/>
      <c r="T429" s="86"/>
      <c r="U429" s="86"/>
      <c r="V429" s="48"/>
      <c r="W429" s="48"/>
      <c r="X429" s="48"/>
      <c r="Y429" s="48"/>
      <c r="Z429" s="47"/>
      <c r="AA429" s="69">
        <v>429</v>
      </c>
      <c r="AB429" s="69"/>
      <c r="AC429" s="70"/>
      <c r="AD429" s="76" t="s">
        <v>16855</v>
      </c>
      <c r="AE429" s="81" t="s">
        <v>15960</v>
      </c>
      <c r="AF429" s="76">
        <v>2041</v>
      </c>
      <c r="AG429" s="76">
        <v>93</v>
      </c>
      <c r="AH429" s="76">
        <v>915</v>
      </c>
      <c r="AI429" s="76">
        <v>6</v>
      </c>
      <c r="AJ429" s="76">
        <v>306</v>
      </c>
      <c r="AK429" s="76">
        <v>244</v>
      </c>
      <c r="AL429" s="76" t="b">
        <v>0</v>
      </c>
      <c r="AM429" s="78">
        <v>44208.564803240741</v>
      </c>
      <c r="AN429" s="76" t="s">
        <v>17566</v>
      </c>
      <c r="AO429" s="76" t="s">
        <v>18026</v>
      </c>
      <c r="AP429" s="83" t="str">
        <f>HYPERLINK("https://t.co/tnAkSRVOKd")</f>
        <v>https://t.co/tnAkSRVOKd</v>
      </c>
      <c r="AQ429" s="83" t="str">
        <f>HYPERLINK("http://magindiaz.do")</f>
        <v>http://magindiaz.do</v>
      </c>
      <c r="AR429" s="76" t="s">
        <v>6537</v>
      </c>
      <c r="AS429" s="76"/>
      <c r="AT429" s="76"/>
      <c r="AU429" s="76"/>
      <c r="AV429" s="76"/>
      <c r="AW429" s="83" t="str">
        <f>HYPERLINK("https://t.co/tnAkSRVOKd")</f>
        <v>https://t.co/tnAkSRVOKd</v>
      </c>
      <c r="AX429" s="76" t="b">
        <v>0</v>
      </c>
      <c r="AY429" s="76"/>
      <c r="AZ429" s="76"/>
      <c r="BA429" s="76" t="b">
        <v>0</v>
      </c>
      <c r="BB429" s="76" t="b">
        <v>1</v>
      </c>
      <c r="BC429" s="76" t="b">
        <v>1</v>
      </c>
      <c r="BD429" s="76" t="b">
        <v>0</v>
      </c>
      <c r="BE429" s="76" t="b">
        <v>0</v>
      </c>
      <c r="BF429" s="76" t="b">
        <v>0</v>
      </c>
      <c r="BG429" s="76" t="b">
        <v>0</v>
      </c>
      <c r="BH429" s="83" t="str">
        <f>HYPERLINK("https://pbs.twimg.com/profile_banners/1348986365824917510/1610458587")</f>
        <v>https://pbs.twimg.com/profile_banners/1348986365824917510/1610458587</v>
      </c>
      <c r="BI429" s="76"/>
      <c r="BJ429" s="76" t="s">
        <v>18704</v>
      </c>
      <c r="BK429" s="76" t="b">
        <v>0</v>
      </c>
      <c r="BL429" s="76"/>
      <c r="BM429" s="76" t="s">
        <v>66</v>
      </c>
      <c r="BN429" s="76" t="s">
        <v>18706</v>
      </c>
      <c r="BO429" s="83" t="str">
        <f>HYPERLINK("https://twitter.com/magindiazrd")</f>
        <v>https://twitter.com/magindiazrd</v>
      </c>
      <c r="BP429" s="2"/>
    </row>
    <row r="430" spans="1:68" x14ac:dyDescent="0.25">
      <c r="A430" s="62" t="s">
        <v>565</v>
      </c>
      <c r="B430" s="63"/>
      <c r="C430" s="63"/>
      <c r="D430" s="64"/>
      <c r="E430" s="66"/>
      <c r="F430" s="102" t="str">
        <f>HYPERLINK("https://pbs.twimg.com/profile_images/1362407924870623232/rrq7HwoE_normal.jpg")</f>
        <v>https://pbs.twimg.com/profile_images/1362407924870623232/rrq7HwoE_normal.jpg</v>
      </c>
      <c r="G430" s="63"/>
      <c r="H430" s="67"/>
      <c r="I430" s="68"/>
      <c r="J430" s="68"/>
      <c r="K430" s="67" t="s">
        <v>19133</v>
      </c>
      <c r="L430" s="71"/>
      <c r="M430" s="72"/>
      <c r="N430" s="72"/>
      <c r="O430" s="73"/>
      <c r="P430" s="74"/>
      <c r="Q430" s="74"/>
      <c r="R430" s="86"/>
      <c r="S430" s="86"/>
      <c r="T430" s="86"/>
      <c r="U430" s="86"/>
      <c r="V430" s="48"/>
      <c r="W430" s="48"/>
      <c r="X430" s="48"/>
      <c r="Y430" s="48"/>
      <c r="Z430" s="47"/>
      <c r="AA430" s="69">
        <v>430</v>
      </c>
      <c r="AB430" s="69"/>
      <c r="AC430" s="70"/>
      <c r="AD430" s="76" t="s">
        <v>16856</v>
      </c>
      <c r="AE430" s="81" t="s">
        <v>16300</v>
      </c>
      <c r="AF430" s="76">
        <v>1156</v>
      </c>
      <c r="AG430" s="76">
        <v>101</v>
      </c>
      <c r="AH430" s="76">
        <v>1190</v>
      </c>
      <c r="AI430" s="76">
        <v>37</v>
      </c>
      <c r="AJ430" s="76">
        <v>79</v>
      </c>
      <c r="AK430" s="76">
        <v>15</v>
      </c>
      <c r="AL430" s="76" t="b">
        <v>0</v>
      </c>
      <c r="AM430" s="78">
        <v>44208.631412037037</v>
      </c>
      <c r="AN430" s="76"/>
      <c r="AO430" s="76" t="s">
        <v>18027</v>
      </c>
      <c r="AP430" s="83" t="str">
        <f>HYPERLINK("https://t.co/tgBg6ppB4v")</f>
        <v>https://t.co/tgBg6ppB4v</v>
      </c>
      <c r="AQ430" s="83" t="str">
        <f>HYPERLINK("http://Pipelinevalor.globo.com")</f>
        <v>http://Pipelinevalor.globo.com</v>
      </c>
      <c r="AR430" s="76" t="s">
        <v>18486</v>
      </c>
      <c r="AS430" s="76"/>
      <c r="AT430" s="76"/>
      <c r="AU430" s="76"/>
      <c r="AV430" s="76"/>
      <c r="AW430" s="83" t="str">
        <f>HYPERLINK("https://t.co/tgBg6ppB4v")</f>
        <v>https://t.co/tgBg6ppB4v</v>
      </c>
      <c r="AX430" s="76" t="b">
        <v>0</v>
      </c>
      <c r="AY430" s="76"/>
      <c r="AZ430" s="76"/>
      <c r="BA430" s="76" t="b">
        <v>0</v>
      </c>
      <c r="BB430" s="76" t="b">
        <v>1</v>
      </c>
      <c r="BC430" s="76" t="b">
        <v>1</v>
      </c>
      <c r="BD430" s="76" t="b">
        <v>0</v>
      </c>
      <c r="BE430" s="76" t="b">
        <v>0</v>
      </c>
      <c r="BF430" s="76" t="b">
        <v>0</v>
      </c>
      <c r="BG430" s="76" t="b">
        <v>0</v>
      </c>
      <c r="BH430" s="83" t="str">
        <f>HYPERLINK("https://pbs.twimg.com/profile_banners/1349010483781709834/1613671174")</f>
        <v>https://pbs.twimg.com/profile_banners/1349010483781709834/1613671174</v>
      </c>
      <c r="BI430" s="76"/>
      <c r="BJ430" s="76" t="s">
        <v>18704</v>
      </c>
      <c r="BK430" s="76" t="b">
        <v>0</v>
      </c>
      <c r="BL430" s="76"/>
      <c r="BM430" s="76" t="s">
        <v>66</v>
      </c>
      <c r="BN430" s="76" t="s">
        <v>18706</v>
      </c>
      <c r="BO430" s="83" t="str">
        <f>HYPERLINK("https://twitter.com/pipelinevalor")</f>
        <v>https://twitter.com/pipelinevalor</v>
      </c>
      <c r="BP430" s="2"/>
    </row>
    <row r="431" spans="1:68" x14ac:dyDescent="0.25">
      <c r="A431" s="62" t="s">
        <v>566</v>
      </c>
      <c r="B431" s="63"/>
      <c r="C431" s="63"/>
      <c r="D431" s="64"/>
      <c r="E431" s="66"/>
      <c r="F431" s="102" t="str">
        <f>HYPERLINK("https://pbs.twimg.com/profile_images/1677000136701124608/bkma_mNv_normal.jpg")</f>
        <v>https://pbs.twimg.com/profile_images/1677000136701124608/bkma_mNv_normal.jpg</v>
      </c>
      <c r="G431" s="63"/>
      <c r="H431" s="67"/>
      <c r="I431" s="68"/>
      <c r="J431" s="68"/>
      <c r="K431" s="67" t="s">
        <v>19134</v>
      </c>
      <c r="L431" s="71"/>
      <c r="M431" s="72"/>
      <c r="N431" s="72"/>
      <c r="O431" s="73"/>
      <c r="P431" s="74"/>
      <c r="Q431" s="74"/>
      <c r="R431" s="86"/>
      <c r="S431" s="86"/>
      <c r="T431" s="86"/>
      <c r="U431" s="86"/>
      <c r="V431" s="48"/>
      <c r="W431" s="48"/>
      <c r="X431" s="48"/>
      <c r="Y431" s="48"/>
      <c r="Z431" s="47"/>
      <c r="AA431" s="69">
        <v>431</v>
      </c>
      <c r="AB431" s="69"/>
      <c r="AC431" s="70"/>
      <c r="AD431" s="76" t="s">
        <v>16857</v>
      </c>
      <c r="AE431" s="81" t="s">
        <v>15961</v>
      </c>
      <c r="AF431" s="76">
        <v>718</v>
      </c>
      <c r="AG431" s="76">
        <v>459</v>
      </c>
      <c r="AH431" s="76">
        <v>18041</v>
      </c>
      <c r="AI431" s="76">
        <v>9</v>
      </c>
      <c r="AJ431" s="76">
        <v>52298</v>
      </c>
      <c r="AK431" s="76">
        <v>366</v>
      </c>
      <c r="AL431" s="76" t="b">
        <v>0</v>
      </c>
      <c r="AM431" s="78">
        <v>43577.851944444446</v>
      </c>
      <c r="AN431" s="76" t="s">
        <v>17567</v>
      </c>
      <c r="AO431" s="83" t="str">
        <f>HYPERLINK("https://t.co/xIxV1zsRqu")</f>
        <v>https://t.co/xIxV1zsRqu</v>
      </c>
      <c r="AP431" s="76"/>
      <c r="AQ431" s="76"/>
      <c r="AR431" s="76"/>
      <c r="AS431" s="83" t="str">
        <f>HYPERLINK("https://t.co/xIxV1zsRqu")</f>
        <v>https://t.co/xIxV1zsRqu</v>
      </c>
      <c r="AT431" s="83" t="str">
        <f>HYPERLINK("http://dindinsemfim.blogspot.com")</f>
        <v>http://dindinsemfim.blogspot.com</v>
      </c>
      <c r="AU431" s="76" t="s">
        <v>18683</v>
      </c>
      <c r="AV431" s="76">
        <v>1.70688890491648E+18</v>
      </c>
      <c r="AW431" s="76"/>
      <c r="AX431" s="76" t="b">
        <v>1</v>
      </c>
      <c r="AY431" s="76"/>
      <c r="AZ431" s="76"/>
      <c r="BA431" s="76" t="b">
        <v>0</v>
      </c>
      <c r="BB431" s="76" t="b">
        <v>1</v>
      </c>
      <c r="BC431" s="76" t="b">
        <v>1</v>
      </c>
      <c r="BD431" s="76" t="b">
        <v>0</v>
      </c>
      <c r="BE431" s="76" t="b">
        <v>0</v>
      </c>
      <c r="BF431" s="76" t="b">
        <v>0</v>
      </c>
      <c r="BG431" s="76" t="b">
        <v>0</v>
      </c>
      <c r="BH431" s="83" t="str">
        <f>HYPERLINK("https://pbs.twimg.com/profile_banners/1120423731199975425/1567974890")</f>
        <v>https://pbs.twimg.com/profile_banners/1120423731199975425/1567974890</v>
      </c>
      <c r="BI431" s="76"/>
      <c r="BJ431" s="76" t="s">
        <v>18704</v>
      </c>
      <c r="BK431" s="76" t="b">
        <v>0</v>
      </c>
      <c r="BL431" s="76"/>
      <c r="BM431" s="76" t="s">
        <v>66</v>
      </c>
      <c r="BN431" s="76" t="s">
        <v>18706</v>
      </c>
      <c r="BO431" s="83" t="str">
        <f>HYPERLINK("https://twitter.com/realpauloborba")</f>
        <v>https://twitter.com/realpauloborba</v>
      </c>
      <c r="BP431" s="2"/>
    </row>
    <row r="432" spans="1:68" x14ac:dyDescent="0.25">
      <c r="A432" s="62" t="s">
        <v>567</v>
      </c>
      <c r="B432" s="63"/>
      <c r="C432" s="63"/>
      <c r="D432" s="64"/>
      <c r="E432" s="66"/>
      <c r="F432" s="102" t="str">
        <f>HYPERLINK("https://pbs.twimg.com/profile_images/1570593686940950532/ijGTesBn_normal.jpg")</f>
        <v>https://pbs.twimg.com/profile_images/1570593686940950532/ijGTesBn_normal.jpg</v>
      </c>
      <c r="G432" s="63"/>
      <c r="H432" s="67"/>
      <c r="I432" s="68"/>
      <c r="J432" s="68"/>
      <c r="K432" s="67" t="s">
        <v>19135</v>
      </c>
      <c r="L432" s="71"/>
      <c r="M432" s="72"/>
      <c r="N432" s="72"/>
      <c r="O432" s="73"/>
      <c r="P432" s="74"/>
      <c r="Q432" s="74"/>
      <c r="R432" s="86"/>
      <c r="S432" s="86"/>
      <c r="T432" s="86"/>
      <c r="U432" s="86"/>
      <c r="V432" s="48"/>
      <c r="W432" s="48"/>
      <c r="X432" s="48"/>
      <c r="Y432" s="48"/>
      <c r="Z432" s="47"/>
      <c r="AA432" s="69">
        <v>432</v>
      </c>
      <c r="AB432" s="69"/>
      <c r="AC432" s="70"/>
      <c r="AD432" s="76" t="s">
        <v>16858</v>
      </c>
      <c r="AE432" s="81" t="s">
        <v>16301</v>
      </c>
      <c r="AF432" s="76">
        <v>2352</v>
      </c>
      <c r="AG432" s="76">
        <v>4992</v>
      </c>
      <c r="AH432" s="76">
        <v>2540</v>
      </c>
      <c r="AI432" s="76">
        <v>11</v>
      </c>
      <c r="AJ432" s="76">
        <v>309</v>
      </c>
      <c r="AK432" s="76">
        <v>434</v>
      </c>
      <c r="AL432" s="76" t="b">
        <v>0</v>
      </c>
      <c r="AM432" s="78">
        <v>42643.093981481485</v>
      </c>
      <c r="AN432" s="76" t="s">
        <v>17402</v>
      </c>
      <c r="AO432" s="76" t="s">
        <v>18028</v>
      </c>
      <c r="AP432" s="76"/>
      <c r="AQ432" s="76"/>
      <c r="AR432" s="76"/>
      <c r="AS432" s="76"/>
      <c r="AT432" s="76"/>
      <c r="AU432" s="76"/>
      <c r="AV432" s="76"/>
      <c r="AW432" s="76"/>
      <c r="AX432" s="76" t="b">
        <v>0</v>
      </c>
      <c r="AY432" s="76"/>
      <c r="AZ432" s="76"/>
      <c r="BA432" s="76" t="b">
        <v>1</v>
      </c>
      <c r="BB432" s="76" t="b">
        <v>1</v>
      </c>
      <c r="BC432" s="76" t="b">
        <v>0</v>
      </c>
      <c r="BD432" s="76" t="b">
        <v>0</v>
      </c>
      <c r="BE432" s="76" t="b">
        <v>1</v>
      </c>
      <c r="BF432" s="76" t="b">
        <v>0</v>
      </c>
      <c r="BG432" s="76" t="b">
        <v>0</v>
      </c>
      <c r="BH432" s="83" t="str">
        <f>HYPERLINK("https://pbs.twimg.com/profile_banners/781678788325376000/1634259703")</f>
        <v>https://pbs.twimg.com/profile_banners/781678788325376000/1634259703</v>
      </c>
      <c r="BI432" s="76"/>
      <c r="BJ432" s="76" t="s">
        <v>18704</v>
      </c>
      <c r="BK432" s="76" t="b">
        <v>0</v>
      </c>
      <c r="BL432" s="76"/>
      <c r="BM432" s="76" t="s">
        <v>66</v>
      </c>
      <c r="BN432" s="76" t="s">
        <v>18706</v>
      </c>
      <c r="BO432" s="83" t="str">
        <f>HYPERLINK("https://twitter.com/juanpablosecure")</f>
        <v>https://twitter.com/juanpablosecure</v>
      </c>
      <c r="BP432" s="2"/>
    </row>
    <row r="433" spans="1:68" x14ac:dyDescent="0.25">
      <c r="A433" s="62" t="s">
        <v>569</v>
      </c>
      <c r="B433" s="63"/>
      <c r="C433" s="63"/>
      <c r="D433" s="64"/>
      <c r="E433" s="66"/>
      <c r="F433" s="102" t="str">
        <f>HYPERLINK("https://pbs.twimg.com/profile_images/1020105119088726021/kTIc1F4f_normal.jpg")</f>
        <v>https://pbs.twimg.com/profile_images/1020105119088726021/kTIc1F4f_normal.jpg</v>
      </c>
      <c r="G433" s="63"/>
      <c r="H433" s="67"/>
      <c r="I433" s="68"/>
      <c r="J433" s="68"/>
      <c r="K433" s="67" t="s">
        <v>19136</v>
      </c>
      <c r="L433" s="71"/>
      <c r="M433" s="72"/>
      <c r="N433" s="72"/>
      <c r="O433" s="73"/>
      <c r="P433" s="74"/>
      <c r="Q433" s="74"/>
      <c r="R433" s="86"/>
      <c r="S433" s="86"/>
      <c r="T433" s="86"/>
      <c r="U433" s="86"/>
      <c r="V433" s="48"/>
      <c r="W433" s="48"/>
      <c r="X433" s="48"/>
      <c r="Y433" s="48"/>
      <c r="Z433" s="47"/>
      <c r="AA433" s="69">
        <v>433</v>
      </c>
      <c r="AB433" s="69"/>
      <c r="AC433" s="70"/>
      <c r="AD433" s="76" t="s">
        <v>16859</v>
      </c>
      <c r="AE433" s="81" t="s">
        <v>17272</v>
      </c>
      <c r="AF433" s="76">
        <v>28</v>
      </c>
      <c r="AG433" s="76">
        <v>0</v>
      </c>
      <c r="AH433" s="76">
        <v>4913</v>
      </c>
      <c r="AI433" s="76">
        <v>1</v>
      </c>
      <c r="AJ433" s="76">
        <v>11</v>
      </c>
      <c r="AK433" s="76">
        <v>1093</v>
      </c>
      <c r="AL433" s="76" t="b">
        <v>0</v>
      </c>
      <c r="AM433" s="78">
        <v>42124.878229166665</v>
      </c>
      <c r="AN433" s="76"/>
      <c r="AO433" s="83" t="str">
        <f>HYPERLINK("https://t.co/JrQMgpxNba")</f>
        <v>https://t.co/JrQMgpxNba</v>
      </c>
      <c r="AP433" s="76"/>
      <c r="AQ433" s="76"/>
      <c r="AR433" s="76"/>
      <c r="AS433" s="83" t="str">
        <f>HYPERLINK("https://t.co/JrQMgpxNba")</f>
        <v>https://t.co/JrQMgpxNba</v>
      </c>
      <c r="AT433" s="83" t="str">
        <f>HYPERLINK("http://github.com/verodato")</f>
        <v>http://github.com/verodato</v>
      </c>
      <c r="AU433" s="76" t="s">
        <v>18684</v>
      </c>
      <c r="AV433" s="76"/>
      <c r="AW433" s="76"/>
      <c r="AX433" s="76" t="b">
        <v>0</v>
      </c>
      <c r="AY433" s="76"/>
      <c r="AZ433" s="76"/>
      <c r="BA433" s="76" t="b">
        <v>0</v>
      </c>
      <c r="BB433" s="76" t="b">
        <v>1</v>
      </c>
      <c r="BC433" s="76" t="b">
        <v>1</v>
      </c>
      <c r="BD433" s="76" t="b">
        <v>0</v>
      </c>
      <c r="BE433" s="76" t="b">
        <v>0</v>
      </c>
      <c r="BF433" s="76" t="b">
        <v>0</v>
      </c>
      <c r="BG433" s="76" t="b">
        <v>0</v>
      </c>
      <c r="BH433" s="76"/>
      <c r="BI433" s="76"/>
      <c r="BJ433" s="76" t="s">
        <v>18704</v>
      </c>
      <c r="BK433" s="76" t="b">
        <v>0</v>
      </c>
      <c r="BL433" s="76"/>
      <c r="BM433" s="76" t="s">
        <v>66</v>
      </c>
      <c r="BN433" s="76" t="s">
        <v>18706</v>
      </c>
      <c r="BO433" s="83" t="str">
        <f>HYPERLINK("https://twitter.com/verodatoapp")</f>
        <v>https://twitter.com/verodatoapp</v>
      </c>
      <c r="BP433" s="2"/>
    </row>
    <row r="434" spans="1:68" x14ac:dyDescent="0.25">
      <c r="A434" s="62" t="s">
        <v>570</v>
      </c>
      <c r="B434" s="63"/>
      <c r="C434" s="63"/>
      <c r="D434" s="64"/>
      <c r="E434" s="66"/>
      <c r="F434" s="102" t="str">
        <f>HYPERLINK("https://pbs.twimg.com/profile_images/1499082215203868675/HTKhXXIs_normal.png")</f>
        <v>https://pbs.twimg.com/profile_images/1499082215203868675/HTKhXXIs_normal.png</v>
      </c>
      <c r="G434" s="63"/>
      <c r="H434" s="67"/>
      <c r="I434" s="68"/>
      <c r="J434" s="68"/>
      <c r="K434" s="67" t="s">
        <v>19137</v>
      </c>
      <c r="L434" s="71"/>
      <c r="M434" s="72"/>
      <c r="N434" s="72"/>
      <c r="O434" s="73"/>
      <c r="P434" s="74"/>
      <c r="Q434" s="74"/>
      <c r="R434" s="86"/>
      <c r="S434" s="86"/>
      <c r="T434" s="86"/>
      <c r="U434" s="86"/>
      <c r="V434" s="48"/>
      <c r="W434" s="48"/>
      <c r="X434" s="48"/>
      <c r="Y434" s="48"/>
      <c r="Z434" s="47"/>
      <c r="AA434" s="69">
        <v>434</v>
      </c>
      <c r="AB434" s="69"/>
      <c r="AC434" s="70"/>
      <c r="AD434" s="76" t="s">
        <v>16860</v>
      </c>
      <c r="AE434" s="81" t="s">
        <v>16303</v>
      </c>
      <c r="AF434" s="76">
        <v>19</v>
      </c>
      <c r="AG434" s="76">
        <v>35</v>
      </c>
      <c r="AH434" s="76">
        <v>313</v>
      </c>
      <c r="AI434" s="76">
        <v>0</v>
      </c>
      <c r="AJ434" s="76">
        <v>30</v>
      </c>
      <c r="AK434" s="76">
        <v>31</v>
      </c>
      <c r="AL434" s="76" t="b">
        <v>0</v>
      </c>
      <c r="AM434" s="78">
        <v>44488.535578703704</v>
      </c>
      <c r="AN434" s="76"/>
      <c r="AO434" s="76" t="s">
        <v>18029</v>
      </c>
      <c r="AP434" s="83" t="str">
        <f>HYPERLINK("https://t.co/VXbTGlrYJa")</f>
        <v>https://t.co/VXbTGlrYJa</v>
      </c>
      <c r="AQ434" s="83" t="str">
        <f>HYPERLINK("http://www.witinvest.com.br/")</f>
        <v>http://www.witinvest.com.br/</v>
      </c>
      <c r="AR434" s="76" t="s">
        <v>18487</v>
      </c>
      <c r="AS434" s="76"/>
      <c r="AT434" s="76"/>
      <c r="AU434" s="76"/>
      <c r="AV434" s="76"/>
      <c r="AW434" s="83" t="str">
        <f>HYPERLINK("https://t.co/VXbTGlrYJa")</f>
        <v>https://t.co/VXbTGlrYJa</v>
      </c>
      <c r="AX434" s="76" t="b">
        <v>0</v>
      </c>
      <c r="AY434" s="76"/>
      <c r="AZ434" s="76"/>
      <c r="BA434" s="76" t="b">
        <v>0</v>
      </c>
      <c r="BB434" s="76" t="b">
        <v>1</v>
      </c>
      <c r="BC434" s="76" t="b">
        <v>1</v>
      </c>
      <c r="BD434" s="76" t="b">
        <v>0</v>
      </c>
      <c r="BE434" s="76" t="b">
        <v>0</v>
      </c>
      <c r="BF434" s="76" t="b">
        <v>0</v>
      </c>
      <c r="BG434" s="76" t="b">
        <v>0</v>
      </c>
      <c r="BH434" s="83" t="str">
        <f>HYPERLINK("https://pbs.twimg.com/profile_banners/1450443755174125569/1646244028")</f>
        <v>https://pbs.twimg.com/profile_banners/1450443755174125569/1646244028</v>
      </c>
      <c r="BI434" s="76"/>
      <c r="BJ434" s="76" t="s">
        <v>18704</v>
      </c>
      <c r="BK434" s="76" t="b">
        <v>0</v>
      </c>
      <c r="BL434" s="76"/>
      <c r="BM434" s="76" t="s">
        <v>66</v>
      </c>
      <c r="BN434" s="76" t="s">
        <v>18706</v>
      </c>
      <c r="BO434" s="83" t="str">
        <f>HYPERLINK("https://twitter.com/wit_invest")</f>
        <v>https://twitter.com/wit_invest</v>
      </c>
      <c r="BP434" s="2"/>
    </row>
    <row r="435" spans="1:68" x14ac:dyDescent="0.25">
      <c r="A435" s="62" t="s">
        <v>571</v>
      </c>
      <c r="B435" s="63"/>
      <c r="C435" s="63"/>
      <c r="D435" s="64"/>
      <c r="E435" s="66"/>
      <c r="F435" s="102" t="str">
        <f>HYPERLINK("https://pbs.twimg.com/profile_images/1704104302959071232/pS68ycLk_normal.jpg")</f>
        <v>https://pbs.twimg.com/profile_images/1704104302959071232/pS68ycLk_normal.jpg</v>
      </c>
      <c r="G435" s="63"/>
      <c r="H435" s="67"/>
      <c r="I435" s="68"/>
      <c r="J435" s="68"/>
      <c r="K435" s="67" t="s">
        <v>19138</v>
      </c>
      <c r="L435" s="71"/>
      <c r="M435" s="72"/>
      <c r="N435" s="72"/>
      <c r="O435" s="73"/>
      <c r="P435" s="74"/>
      <c r="Q435" s="74"/>
      <c r="R435" s="86"/>
      <c r="S435" s="86"/>
      <c r="T435" s="86"/>
      <c r="U435" s="86"/>
      <c r="V435" s="48"/>
      <c r="W435" s="48"/>
      <c r="X435" s="48"/>
      <c r="Y435" s="48"/>
      <c r="Z435" s="47"/>
      <c r="AA435" s="69">
        <v>435</v>
      </c>
      <c r="AB435" s="69"/>
      <c r="AC435" s="70"/>
      <c r="AD435" s="76" t="s">
        <v>16861</v>
      </c>
      <c r="AE435" s="81" t="s">
        <v>16304</v>
      </c>
      <c r="AF435" s="76">
        <v>1</v>
      </c>
      <c r="AG435" s="76">
        <v>5</v>
      </c>
      <c r="AH435" s="76">
        <v>2</v>
      </c>
      <c r="AI435" s="76">
        <v>0</v>
      </c>
      <c r="AJ435" s="76">
        <v>6</v>
      </c>
      <c r="AK435" s="76">
        <v>2</v>
      </c>
      <c r="AL435" s="76" t="b">
        <v>0</v>
      </c>
      <c r="AM435" s="78">
        <v>45188.500300925924</v>
      </c>
      <c r="AN435" s="76"/>
      <c r="AO435" s="76" t="s">
        <v>18030</v>
      </c>
      <c r="AP435" s="83" t="str">
        <f>HYPERLINK("https://t.co/AK1ktkvXts")</f>
        <v>https://t.co/AK1ktkvXts</v>
      </c>
      <c r="AQ435" s="83" t="str">
        <f>HYPERLINK("https://www.instagram.com/6trading_/")</f>
        <v>https://www.instagram.com/6trading_/</v>
      </c>
      <c r="AR435" s="76" t="s">
        <v>18488</v>
      </c>
      <c r="AS435" s="76"/>
      <c r="AT435" s="76"/>
      <c r="AU435" s="76"/>
      <c r="AV435" s="76"/>
      <c r="AW435" s="83" t="str">
        <f>HYPERLINK("https://t.co/AK1ktkvXts")</f>
        <v>https://t.co/AK1ktkvXts</v>
      </c>
      <c r="AX435" s="76" t="b">
        <v>0</v>
      </c>
      <c r="AY435" s="76"/>
      <c r="AZ435" s="76"/>
      <c r="BA435" s="76" t="b">
        <v>0</v>
      </c>
      <c r="BB435" s="76" t="b">
        <v>1</v>
      </c>
      <c r="BC435" s="76" t="b">
        <v>1</v>
      </c>
      <c r="BD435" s="76" t="b">
        <v>0</v>
      </c>
      <c r="BE435" s="76" t="b">
        <v>0</v>
      </c>
      <c r="BF435" s="76" t="b">
        <v>0</v>
      </c>
      <c r="BG435" s="76" t="b">
        <v>0</v>
      </c>
      <c r="BH435" s="83" t="str">
        <f>HYPERLINK("https://pbs.twimg.com/profile_banners/1704103002628366336/1695127203")</f>
        <v>https://pbs.twimg.com/profile_banners/1704103002628366336/1695127203</v>
      </c>
      <c r="BI435" s="76"/>
      <c r="BJ435" s="76" t="s">
        <v>18704</v>
      </c>
      <c r="BK435" s="76" t="b">
        <v>0</v>
      </c>
      <c r="BL435" s="76"/>
      <c r="BM435" s="76" t="s">
        <v>66</v>
      </c>
      <c r="BN435" s="76" t="s">
        <v>18706</v>
      </c>
      <c r="BO435" s="83" t="str">
        <f>HYPERLINK("https://twitter.com/6trading_")</f>
        <v>https://twitter.com/6trading_</v>
      </c>
      <c r="BP435" s="2"/>
    </row>
    <row r="436" spans="1:68" x14ac:dyDescent="0.25">
      <c r="A436" s="62" t="s">
        <v>572</v>
      </c>
      <c r="B436" s="63"/>
      <c r="C436" s="63"/>
      <c r="D436" s="64"/>
      <c r="E436" s="66"/>
      <c r="F436" s="102" t="str">
        <f>HYPERLINK("https://pbs.twimg.com/profile_images/1674484858486136849/WrzkTMAr_normal.jpg")</f>
        <v>https://pbs.twimg.com/profile_images/1674484858486136849/WrzkTMAr_normal.jpg</v>
      </c>
      <c r="G436" s="63"/>
      <c r="H436" s="67"/>
      <c r="I436" s="68"/>
      <c r="J436" s="68"/>
      <c r="K436" s="67" t="s">
        <v>19139</v>
      </c>
      <c r="L436" s="71"/>
      <c r="M436" s="72"/>
      <c r="N436" s="72"/>
      <c r="O436" s="73"/>
      <c r="P436" s="74"/>
      <c r="Q436" s="74"/>
      <c r="R436" s="86"/>
      <c r="S436" s="86"/>
      <c r="T436" s="86"/>
      <c r="U436" s="86"/>
      <c r="V436" s="48"/>
      <c r="W436" s="48"/>
      <c r="X436" s="48"/>
      <c r="Y436" s="48"/>
      <c r="Z436" s="47"/>
      <c r="AA436" s="69">
        <v>436</v>
      </c>
      <c r="AB436" s="69"/>
      <c r="AC436" s="70"/>
      <c r="AD436" s="76" t="s">
        <v>16862</v>
      </c>
      <c r="AE436" s="81" t="s">
        <v>15962</v>
      </c>
      <c r="AF436" s="76">
        <v>16580</v>
      </c>
      <c r="AG436" s="76">
        <v>40</v>
      </c>
      <c r="AH436" s="76">
        <v>4820</v>
      </c>
      <c r="AI436" s="76">
        <v>27</v>
      </c>
      <c r="AJ436" s="76">
        <v>723</v>
      </c>
      <c r="AK436" s="76">
        <v>2262</v>
      </c>
      <c r="AL436" s="76" t="b">
        <v>0</v>
      </c>
      <c r="AM436" s="78">
        <v>43062.729490740741</v>
      </c>
      <c r="AN436" s="76" t="s">
        <v>17568</v>
      </c>
      <c r="AO436" s="76" t="s">
        <v>18031</v>
      </c>
      <c r="AP436" s="83" t="str">
        <f>HYPERLINK("https://t.co/sLvJuLpF4m")</f>
        <v>https://t.co/sLvJuLpF4m</v>
      </c>
      <c r="AQ436" s="83" t="str">
        <f>HYPERLINK("http://www.unlam.edu.ar")</f>
        <v>http://www.unlam.edu.ar</v>
      </c>
      <c r="AR436" s="76" t="s">
        <v>18489</v>
      </c>
      <c r="AS436" s="76"/>
      <c r="AT436" s="76"/>
      <c r="AU436" s="76"/>
      <c r="AV436" s="76"/>
      <c r="AW436" s="83" t="str">
        <f>HYPERLINK("https://t.co/sLvJuLpF4m")</f>
        <v>https://t.co/sLvJuLpF4m</v>
      </c>
      <c r="AX436" s="76" t="b">
        <v>0</v>
      </c>
      <c r="AY436" s="76"/>
      <c r="AZ436" s="76"/>
      <c r="BA436" s="76" t="b">
        <v>1</v>
      </c>
      <c r="BB436" s="76" t="b">
        <v>1</v>
      </c>
      <c r="BC436" s="76" t="b">
        <v>1</v>
      </c>
      <c r="BD436" s="76" t="b">
        <v>0</v>
      </c>
      <c r="BE436" s="76" t="b">
        <v>0</v>
      </c>
      <c r="BF436" s="76" t="b">
        <v>0</v>
      </c>
      <c r="BG436" s="76" t="b">
        <v>0</v>
      </c>
      <c r="BH436" s="83" t="str">
        <f>HYPERLINK("https://pbs.twimg.com/profile_banners/933749604587311105/1684514159")</f>
        <v>https://pbs.twimg.com/profile_banners/933749604587311105/1684514159</v>
      </c>
      <c r="BI436" s="76"/>
      <c r="BJ436" s="76" t="s">
        <v>18704</v>
      </c>
      <c r="BK436" s="76" t="b">
        <v>0</v>
      </c>
      <c r="BL436" s="76"/>
      <c r="BM436" s="76" t="s">
        <v>66</v>
      </c>
      <c r="BN436" s="76" t="s">
        <v>18706</v>
      </c>
      <c r="BO436" s="83" t="str">
        <f>HYPERLINK("https://twitter.com/unlamoficial")</f>
        <v>https://twitter.com/unlamoficial</v>
      </c>
      <c r="BP436" s="2"/>
    </row>
    <row r="437" spans="1:68" x14ac:dyDescent="0.25">
      <c r="A437" s="62" t="s">
        <v>573</v>
      </c>
      <c r="B437" s="63"/>
      <c r="C437" s="63"/>
      <c r="D437" s="64"/>
      <c r="E437" s="66"/>
      <c r="F437" s="102" t="str">
        <f>HYPERLINK("https://pbs.twimg.com/profile_images/1699367781999706112/iB48F52b_normal.jpg")</f>
        <v>https://pbs.twimg.com/profile_images/1699367781999706112/iB48F52b_normal.jpg</v>
      </c>
      <c r="G437" s="63"/>
      <c r="H437" s="67"/>
      <c r="I437" s="68"/>
      <c r="J437" s="68"/>
      <c r="K437" s="67" t="s">
        <v>19140</v>
      </c>
      <c r="L437" s="71"/>
      <c r="M437" s="72"/>
      <c r="N437" s="72"/>
      <c r="O437" s="73"/>
      <c r="P437" s="74"/>
      <c r="Q437" s="74"/>
      <c r="R437" s="86"/>
      <c r="S437" s="86"/>
      <c r="T437" s="86"/>
      <c r="U437" s="86"/>
      <c r="V437" s="48"/>
      <c r="W437" s="48"/>
      <c r="X437" s="48"/>
      <c r="Y437" s="48"/>
      <c r="Z437" s="47"/>
      <c r="AA437" s="69">
        <v>437</v>
      </c>
      <c r="AB437" s="69"/>
      <c r="AC437" s="70"/>
      <c r="AD437" s="76" t="s">
        <v>16863</v>
      </c>
      <c r="AE437" s="81" t="s">
        <v>16305</v>
      </c>
      <c r="AF437" s="76">
        <v>156</v>
      </c>
      <c r="AG437" s="76">
        <v>319</v>
      </c>
      <c r="AH437" s="76">
        <v>20</v>
      </c>
      <c r="AI437" s="76">
        <v>3</v>
      </c>
      <c r="AJ437" s="76">
        <v>7127</v>
      </c>
      <c r="AK437" s="76">
        <v>0</v>
      </c>
      <c r="AL437" s="76" t="b">
        <v>0</v>
      </c>
      <c r="AM437" s="78">
        <v>44989.815324074072</v>
      </c>
      <c r="AN437" s="76"/>
      <c r="AO437" s="76" t="s">
        <v>18032</v>
      </c>
      <c r="AP437" s="76"/>
      <c r="AQ437" s="76"/>
      <c r="AR437" s="76"/>
      <c r="AS437" s="76"/>
      <c r="AT437" s="76"/>
      <c r="AU437" s="76"/>
      <c r="AV437" s="76"/>
      <c r="AW437" s="76"/>
      <c r="AX437" s="76" t="b">
        <v>0</v>
      </c>
      <c r="AY437" s="76"/>
      <c r="AZ437" s="76"/>
      <c r="BA437" s="76" t="b">
        <v>1</v>
      </c>
      <c r="BB437" s="76" t="b">
        <v>1</v>
      </c>
      <c r="BC437" s="76" t="b">
        <v>1</v>
      </c>
      <c r="BD437" s="76" t="b">
        <v>0</v>
      </c>
      <c r="BE437" s="76" t="b">
        <v>0</v>
      </c>
      <c r="BF437" s="76" t="b">
        <v>0</v>
      </c>
      <c r="BG437" s="76" t="b">
        <v>1</v>
      </c>
      <c r="BH437" s="83" t="str">
        <f>HYPERLINK("https://pbs.twimg.com/profile_banners/1632102025197682688/1694107792")</f>
        <v>https://pbs.twimg.com/profile_banners/1632102025197682688/1694107792</v>
      </c>
      <c r="BI437" s="76"/>
      <c r="BJ437" s="76" t="s">
        <v>18704</v>
      </c>
      <c r="BK437" s="76" t="b">
        <v>0</v>
      </c>
      <c r="BL437" s="76"/>
      <c r="BM437" s="76" t="s">
        <v>66</v>
      </c>
      <c r="BN437" s="76" t="s">
        <v>18706</v>
      </c>
      <c r="BO437" s="83" t="str">
        <f>HYPERLINK("https://twitter.com/psych_stock")</f>
        <v>https://twitter.com/psych_stock</v>
      </c>
      <c r="BP437" s="2"/>
    </row>
    <row r="438" spans="1:68" x14ac:dyDescent="0.25">
      <c r="A438" s="62" t="s">
        <v>574</v>
      </c>
      <c r="B438" s="63"/>
      <c r="C438" s="63"/>
      <c r="D438" s="64"/>
      <c r="E438" s="66"/>
      <c r="F438" s="102" t="str">
        <f>HYPERLINK("https://pbs.twimg.com/profile_images/1174153558658310148/mbX5fAp5_normal.jpg")</f>
        <v>https://pbs.twimg.com/profile_images/1174153558658310148/mbX5fAp5_normal.jpg</v>
      </c>
      <c r="G438" s="63"/>
      <c r="H438" s="67"/>
      <c r="I438" s="68"/>
      <c r="J438" s="68"/>
      <c r="K438" s="67" t="s">
        <v>19141</v>
      </c>
      <c r="L438" s="71"/>
      <c r="M438" s="72"/>
      <c r="N438" s="72"/>
      <c r="O438" s="73"/>
      <c r="P438" s="74"/>
      <c r="Q438" s="74"/>
      <c r="R438" s="86"/>
      <c r="S438" s="86"/>
      <c r="T438" s="86"/>
      <c r="U438" s="86"/>
      <c r="V438" s="48"/>
      <c r="W438" s="48"/>
      <c r="X438" s="48"/>
      <c r="Y438" s="48"/>
      <c r="Z438" s="47"/>
      <c r="AA438" s="69">
        <v>438</v>
      </c>
      <c r="AB438" s="69"/>
      <c r="AC438" s="70"/>
      <c r="AD438" s="76" t="s">
        <v>16864</v>
      </c>
      <c r="AE438" s="81" t="s">
        <v>16306</v>
      </c>
      <c r="AF438" s="76">
        <v>34</v>
      </c>
      <c r="AG438" s="76">
        <v>47</v>
      </c>
      <c r="AH438" s="76">
        <v>481</v>
      </c>
      <c r="AI438" s="76">
        <v>1</v>
      </c>
      <c r="AJ438" s="76">
        <v>2884</v>
      </c>
      <c r="AK438" s="76">
        <v>15</v>
      </c>
      <c r="AL438" s="76" t="b">
        <v>0</v>
      </c>
      <c r="AM438" s="78">
        <v>43702.858368055553</v>
      </c>
      <c r="AN438" s="76" t="s">
        <v>17569</v>
      </c>
      <c r="AO438" s="76" t="s">
        <v>18033</v>
      </c>
      <c r="AP438" s="76"/>
      <c r="AQ438" s="76"/>
      <c r="AR438" s="76"/>
      <c r="AS438" s="76"/>
      <c r="AT438" s="76"/>
      <c r="AU438" s="76"/>
      <c r="AV438" s="76"/>
      <c r="AW438" s="76"/>
      <c r="AX438" s="76" t="b">
        <v>0</v>
      </c>
      <c r="AY438" s="76"/>
      <c r="AZ438" s="76"/>
      <c r="BA438" s="76" t="b">
        <v>0</v>
      </c>
      <c r="BB438" s="76" t="b">
        <v>1</v>
      </c>
      <c r="BC438" s="76" t="b">
        <v>1</v>
      </c>
      <c r="BD438" s="76" t="b">
        <v>0</v>
      </c>
      <c r="BE438" s="76" t="b">
        <v>1</v>
      </c>
      <c r="BF438" s="76" t="b">
        <v>0</v>
      </c>
      <c r="BG438" s="76" t="b">
        <v>0</v>
      </c>
      <c r="BH438" s="83" t="str">
        <f>HYPERLINK("https://pbs.twimg.com/profile_banners/1165724407601537024/1568774386")</f>
        <v>https://pbs.twimg.com/profile_banners/1165724407601537024/1568774386</v>
      </c>
      <c r="BI438" s="76"/>
      <c r="BJ438" s="76" t="s">
        <v>18704</v>
      </c>
      <c r="BK438" s="76" t="b">
        <v>0</v>
      </c>
      <c r="BL438" s="76"/>
      <c r="BM438" s="76" t="s">
        <v>66</v>
      </c>
      <c r="BN438" s="76" t="s">
        <v>18706</v>
      </c>
      <c r="BO438" s="83" t="str">
        <f>HYPERLINK("https://twitter.com/paulotec96")</f>
        <v>https://twitter.com/paulotec96</v>
      </c>
      <c r="BP438" s="2"/>
    </row>
    <row r="439" spans="1:68" x14ac:dyDescent="0.25">
      <c r="A439" s="62" t="s">
        <v>816</v>
      </c>
      <c r="B439" s="63"/>
      <c r="C439" s="63"/>
      <c r="D439" s="64"/>
      <c r="E439" s="66"/>
      <c r="F439" s="102" t="str">
        <f>HYPERLINK("https://pbs.twimg.com/profile_images/808404276158545920/_IIpS4I2_normal.jpg")</f>
        <v>https://pbs.twimg.com/profile_images/808404276158545920/_IIpS4I2_normal.jpg</v>
      </c>
      <c r="G439" s="63"/>
      <c r="H439" s="67"/>
      <c r="I439" s="68"/>
      <c r="J439" s="68"/>
      <c r="K439" s="67" t="s">
        <v>19142</v>
      </c>
      <c r="L439" s="71"/>
      <c r="M439" s="72"/>
      <c r="N439" s="72"/>
      <c r="O439" s="73"/>
      <c r="P439" s="74"/>
      <c r="Q439" s="74"/>
      <c r="R439" s="86"/>
      <c r="S439" s="86"/>
      <c r="T439" s="86"/>
      <c r="U439" s="86"/>
      <c r="V439" s="48"/>
      <c r="W439" s="48"/>
      <c r="X439" s="48"/>
      <c r="Y439" s="48"/>
      <c r="Z439" s="47"/>
      <c r="AA439" s="69">
        <v>439</v>
      </c>
      <c r="AB439" s="69"/>
      <c r="AC439" s="70"/>
      <c r="AD439" s="76" t="s">
        <v>16865</v>
      </c>
      <c r="AE439" s="81" t="s">
        <v>17273</v>
      </c>
      <c r="AF439" s="76">
        <v>2615548</v>
      </c>
      <c r="AG439" s="76">
        <v>147</v>
      </c>
      <c r="AH439" s="76">
        <v>220098</v>
      </c>
      <c r="AI439" s="76">
        <v>8498</v>
      </c>
      <c r="AJ439" s="76">
        <v>0</v>
      </c>
      <c r="AK439" s="76">
        <v>3345</v>
      </c>
      <c r="AL439" s="76" t="b">
        <v>0</v>
      </c>
      <c r="AM439" s="78">
        <v>39920.80296296296</v>
      </c>
      <c r="AN439" s="76" t="s">
        <v>10570</v>
      </c>
      <c r="AO439" s="76" t="s">
        <v>18034</v>
      </c>
      <c r="AP439" s="83" t="str">
        <f>HYPERLINK("https://t.co/g6RlNmCczX")</f>
        <v>https://t.co/g6RlNmCczX</v>
      </c>
      <c r="AQ439" s="83" t="str">
        <f>HYPERLINK("http://valor.globo.com")</f>
        <v>http://valor.globo.com</v>
      </c>
      <c r="AR439" s="76" t="s">
        <v>18490</v>
      </c>
      <c r="AS439" s="76"/>
      <c r="AT439" s="76"/>
      <c r="AU439" s="76"/>
      <c r="AV439" s="76"/>
      <c r="AW439" s="83" t="str">
        <f>HYPERLINK("https://t.co/g6RlNmCczX")</f>
        <v>https://t.co/g6RlNmCczX</v>
      </c>
      <c r="AX439" s="76" t="b">
        <v>1</v>
      </c>
      <c r="AY439" s="76"/>
      <c r="AZ439" s="76"/>
      <c r="BA439" s="76" t="b">
        <v>0</v>
      </c>
      <c r="BB439" s="76" t="b">
        <v>1</v>
      </c>
      <c r="BC439" s="76" t="b">
        <v>0</v>
      </c>
      <c r="BD439" s="76" t="b">
        <v>0</v>
      </c>
      <c r="BE439" s="76" t="b">
        <v>1</v>
      </c>
      <c r="BF439" s="76" t="b">
        <v>0</v>
      </c>
      <c r="BG439" s="76" t="b">
        <v>0</v>
      </c>
      <c r="BH439" s="83" t="str">
        <f>HYPERLINK("https://pbs.twimg.com/profile_banners/32529120/1476886249")</f>
        <v>https://pbs.twimg.com/profile_banners/32529120/1476886249</v>
      </c>
      <c r="BI439" s="76"/>
      <c r="BJ439" s="76" t="s">
        <v>18704</v>
      </c>
      <c r="BK439" s="76" t="b">
        <v>0</v>
      </c>
      <c r="BL439" s="76"/>
      <c r="BM439" s="76" t="s">
        <v>65</v>
      </c>
      <c r="BN439" s="76" t="s">
        <v>18706</v>
      </c>
      <c r="BO439" s="83" t="str">
        <f>HYPERLINK("https://twitter.com/valoreconomico")</f>
        <v>https://twitter.com/valoreconomico</v>
      </c>
      <c r="BP439" s="2"/>
    </row>
    <row r="440" spans="1:68" x14ac:dyDescent="0.25">
      <c r="A440" s="62" t="s">
        <v>575</v>
      </c>
      <c r="B440" s="63"/>
      <c r="C440" s="63"/>
      <c r="D440" s="64"/>
      <c r="E440" s="66"/>
      <c r="F440" s="102" t="str">
        <f>HYPERLINK("https://pbs.twimg.com/profile_images/1520436949554716672/9Jk2BvHB_normal.jpg")</f>
        <v>https://pbs.twimg.com/profile_images/1520436949554716672/9Jk2BvHB_normal.jpg</v>
      </c>
      <c r="G440" s="63"/>
      <c r="H440" s="67"/>
      <c r="I440" s="68"/>
      <c r="J440" s="68"/>
      <c r="K440" s="67" t="s">
        <v>19143</v>
      </c>
      <c r="L440" s="71"/>
      <c r="M440" s="72"/>
      <c r="N440" s="72"/>
      <c r="O440" s="73"/>
      <c r="P440" s="74"/>
      <c r="Q440" s="74"/>
      <c r="R440" s="86"/>
      <c r="S440" s="86"/>
      <c r="T440" s="86"/>
      <c r="U440" s="86"/>
      <c r="V440" s="48"/>
      <c r="W440" s="48"/>
      <c r="X440" s="48"/>
      <c r="Y440" s="48"/>
      <c r="Z440" s="47"/>
      <c r="AA440" s="69">
        <v>440</v>
      </c>
      <c r="AB440" s="69"/>
      <c r="AC440" s="70"/>
      <c r="AD440" s="76" t="s">
        <v>16866</v>
      </c>
      <c r="AE440" s="81" t="s">
        <v>17274</v>
      </c>
      <c r="AF440" s="76">
        <v>753</v>
      </c>
      <c r="AG440" s="76">
        <v>15</v>
      </c>
      <c r="AH440" s="76">
        <v>5928</v>
      </c>
      <c r="AI440" s="76">
        <v>0</v>
      </c>
      <c r="AJ440" s="76">
        <v>5207</v>
      </c>
      <c r="AK440" s="76">
        <v>71</v>
      </c>
      <c r="AL440" s="76" t="b">
        <v>0</v>
      </c>
      <c r="AM440" s="78">
        <v>42054.507997685185</v>
      </c>
      <c r="AN440" s="76" t="s">
        <v>17570</v>
      </c>
      <c r="AO440" s="76"/>
      <c r="AP440" s="76"/>
      <c r="AQ440" s="76"/>
      <c r="AR440" s="76"/>
      <c r="AS440" s="76"/>
      <c r="AT440" s="76"/>
      <c r="AU440" s="76"/>
      <c r="AV440" s="76"/>
      <c r="AW440" s="76"/>
      <c r="AX440" s="76" t="b">
        <v>1</v>
      </c>
      <c r="AY440" s="76"/>
      <c r="AZ440" s="76"/>
      <c r="BA440" s="76" t="b">
        <v>0</v>
      </c>
      <c r="BB440" s="76" t="b">
        <v>1</v>
      </c>
      <c r="BC440" s="76" t="b">
        <v>1</v>
      </c>
      <c r="BD440" s="76" t="b">
        <v>0</v>
      </c>
      <c r="BE440" s="76" t="b">
        <v>0</v>
      </c>
      <c r="BF440" s="76" t="b">
        <v>0</v>
      </c>
      <c r="BG440" s="76" t="b">
        <v>0</v>
      </c>
      <c r="BH440" s="83" t="str">
        <f>HYPERLINK("https://pbs.twimg.com/profile_banners/3029805290/1652824186")</f>
        <v>https://pbs.twimg.com/profile_banners/3029805290/1652824186</v>
      </c>
      <c r="BI440" s="76"/>
      <c r="BJ440" s="76" t="s">
        <v>18704</v>
      </c>
      <c r="BK440" s="76" t="b">
        <v>0</v>
      </c>
      <c r="BL440" s="76"/>
      <c r="BM440" s="76" t="s">
        <v>66</v>
      </c>
      <c r="BN440" s="76" t="s">
        <v>18706</v>
      </c>
      <c r="BO440" s="83" t="str">
        <f>HYPERLINK("https://twitter.com/combsandream")</f>
        <v>https://twitter.com/combsandream</v>
      </c>
      <c r="BP440" s="2"/>
    </row>
    <row r="441" spans="1:68" x14ac:dyDescent="0.25">
      <c r="A441" s="62" t="s">
        <v>576</v>
      </c>
      <c r="B441" s="63"/>
      <c r="C441" s="63"/>
      <c r="D441" s="64"/>
      <c r="E441" s="66"/>
      <c r="F441" s="102" t="str">
        <f>HYPERLINK("https://pbs.twimg.com/profile_images/1628185029837832193/Qb7BI_Jj_normal.jpg")</f>
        <v>https://pbs.twimg.com/profile_images/1628185029837832193/Qb7BI_Jj_normal.jpg</v>
      </c>
      <c r="G441" s="63"/>
      <c r="H441" s="67"/>
      <c r="I441" s="68"/>
      <c r="J441" s="68"/>
      <c r="K441" s="67" t="s">
        <v>19144</v>
      </c>
      <c r="L441" s="71"/>
      <c r="M441" s="72"/>
      <c r="N441" s="72"/>
      <c r="O441" s="73"/>
      <c r="P441" s="74"/>
      <c r="Q441" s="74"/>
      <c r="R441" s="86"/>
      <c r="S441" s="86"/>
      <c r="T441" s="86"/>
      <c r="U441" s="86"/>
      <c r="V441" s="48"/>
      <c r="W441" s="48"/>
      <c r="X441" s="48"/>
      <c r="Y441" s="48"/>
      <c r="Z441" s="47"/>
      <c r="AA441" s="69">
        <v>441</v>
      </c>
      <c r="AB441" s="69"/>
      <c r="AC441" s="70"/>
      <c r="AD441" s="76" t="s">
        <v>16867</v>
      </c>
      <c r="AE441" s="81" t="s">
        <v>16307</v>
      </c>
      <c r="AF441" s="76">
        <v>3</v>
      </c>
      <c r="AG441" s="76">
        <v>70</v>
      </c>
      <c r="AH441" s="76">
        <v>69</v>
      </c>
      <c r="AI441" s="76">
        <v>1</v>
      </c>
      <c r="AJ441" s="76">
        <v>50</v>
      </c>
      <c r="AK441" s="76">
        <v>50</v>
      </c>
      <c r="AL441" s="76" t="b">
        <v>0</v>
      </c>
      <c r="AM441" s="78">
        <v>44978.99019675926</v>
      </c>
      <c r="AN441" s="76"/>
      <c r="AO441" s="76" t="s">
        <v>18035</v>
      </c>
      <c r="AP441" s="76"/>
      <c r="AQ441" s="76"/>
      <c r="AR441" s="76"/>
      <c r="AS441" s="76"/>
      <c r="AT441" s="76"/>
      <c r="AU441" s="76"/>
      <c r="AV441" s="76"/>
      <c r="AW441" s="76"/>
      <c r="AX441" s="76" t="b">
        <v>0</v>
      </c>
      <c r="AY441" s="76"/>
      <c r="AZ441" s="76"/>
      <c r="BA441" s="76" t="b">
        <v>0</v>
      </c>
      <c r="BB441" s="76" t="b">
        <v>1</v>
      </c>
      <c r="BC441" s="76" t="b">
        <v>1</v>
      </c>
      <c r="BD441" s="76" t="b">
        <v>0</v>
      </c>
      <c r="BE441" s="76" t="b">
        <v>1</v>
      </c>
      <c r="BF441" s="76" t="b">
        <v>0</v>
      </c>
      <c r="BG441" s="76" t="b">
        <v>0</v>
      </c>
      <c r="BH441" s="76"/>
      <c r="BI441" s="76"/>
      <c r="BJ441" s="76" t="s">
        <v>18704</v>
      </c>
      <c r="BK441" s="76" t="b">
        <v>0</v>
      </c>
      <c r="BL441" s="76"/>
      <c r="BM441" s="76" t="s">
        <v>66</v>
      </c>
      <c r="BN441" s="76" t="s">
        <v>18706</v>
      </c>
      <c r="BO441" s="83" t="str">
        <f>HYPERLINK("https://twitter.com/lucaspereira_ef")</f>
        <v>https://twitter.com/lucaspereira_ef</v>
      </c>
      <c r="BP441" s="2"/>
    </row>
    <row r="442" spans="1:68" x14ac:dyDescent="0.25">
      <c r="A442" s="62" t="s">
        <v>577</v>
      </c>
      <c r="B442" s="63"/>
      <c r="C442" s="63"/>
      <c r="D442" s="64"/>
      <c r="E442" s="66"/>
      <c r="F442" s="102" t="str">
        <f>HYPERLINK("https://pbs.twimg.com/profile_images/1677494855541444608/f4DsITbm_normal.jpg")</f>
        <v>https://pbs.twimg.com/profile_images/1677494855541444608/f4DsITbm_normal.jpg</v>
      </c>
      <c r="G442" s="63"/>
      <c r="H442" s="67"/>
      <c r="I442" s="68"/>
      <c r="J442" s="68"/>
      <c r="K442" s="67" t="s">
        <v>19145</v>
      </c>
      <c r="L442" s="71"/>
      <c r="M442" s="72"/>
      <c r="N442" s="72"/>
      <c r="O442" s="73"/>
      <c r="P442" s="74"/>
      <c r="Q442" s="74"/>
      <c r="R442" s="86"/>
      <c r="S442" s="86"/>
      <c r="T442" s="86"/>
      <c r="U442" s="86"/>
      <c r="V442" s="48"/>
      <c r="W442" s="48"/>
      <c r="X442" s="48"/>
      <c r="Y442" s="48"/>
      <c r="Z442" s="47"/>
      <c r="AA442" s="69">
        <v>442</v>
      </c>
      <c r="AB442" s="69"/>
      <c r="AC442" s="70"/>
      <c r="AD442" s="76" t="s">
        <v>16868</v>
      </c>
      <c r="AE442" s="81" t="s">
        <v>17275</v>
      </c>
      <c r="AF442" s="76">
        <v>277</v>
      </c>
      <c r="AG442" s="76">
        <v>1906</v>
      </c>
      <c r="AH442" s="76">
        <v>5580</v>
      </c>
      <c r="AI442" s="76">
        <v>0</v>
      </c>
      <c r="AJ442" s="76">
        <v>2991</v>
      </c>
      <c r="AK442" s="76">
        <v>246</v>
      </c>
      <c r="AL442" s="76" t="b">
        <v>0</v>
      </c>
      <c r="AM442" s="78">
        <v>40257.888773148145</v>
      </c>
      <c r="AN442" s="76" t="s">
        <v>10607</v>
      </c>
      <c r="AO442" s="76" t="s">
        <v>18036</v>
      </c>
      <c r="AP442" s="76"/>
      <c r="AQ442" s="76"/>
      <c r="AR442" s="76"/>
      <c r="AS442" s="76"/>
      <c r="AT442" s="76"/>
      <c r="AU442" s="76"/>
      <c r="AV442" s="76"/>
      <c r="AW442" s="76"/>
      <c r="AX442" s="76" t="b">
        <v>0</v>
      </c>
      <c r="AY442" s="76"/>
      <c r="AZ442" s="76"/>
      <c r="BA442" s="76" t="b">
        <v>0</v>
      </c>
      <c r="BB442" s="76" t="b">
        <v>1</v>
      </c>
      <c r="BC442" s="76" t="b">
        <v>0</v>
      </c>
      <c r="BD442" s="76" t="b">
        <v>0</v>
      </c>
      <c r="BE442" s="76" t="b">
        <v>1</v>
      </c>
      <c r="BF442" s="76" t="b">
        <v>0</v>
      </c>
      <c r="BG442" s="76" t="b">
        <v>0</v>
      </c>
      <c r="BH442" s="83" t="str">
        <f>HYPERLINK("https://pbs.twimg.com/profile_banners/124866712/1616268400")</f>
        <v>https://pbs.twimg.com/profile_banners/124866712/1616268400</v>
      </c>
      <c r="BI442" s="76"/>
      <c r="BJ442" s="76" t="s">
        <v>18704</v>
      </c>
      <c r="BK442" s="76" t="b">
        <v>0</v>
      </c>
      <c r="BL442" s="76"/>
      <c r="BM442" s="76" t="s">
        <v>66</v>
      </c>
      <c r="BN442" s="76" t="s">
        <v>18706</v>
      </c>
      <c r="BO442" s="83" t="str">
        <f>HYPERLINK("https://twitter.com/mariosfmartins")</f>
        <v>https://twitter.com/mariosfmartins</v>
      </c>
      <c r="BP442" s="2"/>
    </row>
    <row r="443" spans="1:68" x14ac:dyDescent="0.25">
      <c r="A443" s="62" t="s">
        <v>578</v>
      </c>
      <c r="B443" s="63"/>
      <c r="C443" s="63"/>
      <c r="D443" s="64"/>
      <c r="E443" s="66"/>
      <c r="F443" s="102" t="str">
        <f>HYPERLINK("https://pbs.twimg.com/profile_images/2163214386/CAMARA_KODAK_051_normal.JPG")</f>
        <v>https://pbs.twimg.com/profile_images/2163214386/CAMARA_KODAK_051_normal.JPG</v>
      </c>
      <c r="G443" s="63"/>
      <c r="H443" s="67"/>
      <c r="I443" s="68"/>
      <c r="J443" s="68"/>
      <c r="K443" s="67" t="s">
        <v>19146</v>
      </c>
      <c r="L443" s="71"/>
      <c r="M443" s="72"/>
      <c r="N443" s="72"/>
      <c r="O443" s="73"/>
      <c r="P443" s="74"/>
      <c r="Q443" s="74"/>
      <c r="R443" s="86"/>
      <c r="S443" s="86"/>
      <c r="T443" s="86"/>
      <c r="U443" s="86"/>
      <c r="V443" s="48"/>
      <c r="W443" s="48"/>
      <c r="X443" s="48"/>
      <c r="Y443" s="48"/>
      <c r="Z443" s="47"/>
      <c r="AA443" s="69">
        <v>443</v>
      </c>
      <c r="AB443" s="69"/>
      <c r="AC443" s="70"/>
      <c r="AD443" s="76" t="s">
        <v>16869</v>
      </c>
      <c r="AE443" s="81" t="s">
        <v>17276</v>
      </c>
      <c r="AF443" s="76">
        <v>5079</v>
      </c>
      <c r="AG443" s="76">
        <v>5583</v>
      </c>
      <c r="AH443" s="76">
        <v>664500</v>
      </c>
      <c r="AI443" s="76">
        <v>216</v>
      </c>
      <c r="AJ443" s="76">
        <v>604675</v>
      </c>
      <c r="AK443" s="76">
        <v>2022</v>
      </c>
      <c r="AL443" s="76" t="b">
        <v>0</v>
      </c>
      <c r="AM443" s="78">
        <v>40412.012361111112</v>
      </c>
      <c r="AN443" s="76" t="s">
        <v>17571</v>
      </c>
      <c r="AO443" s="76" t="s">
        <v>18037</v>
      </c>
      <c r="AP443" s="76"/>
      <c r="AQ443" s="76"/>
      <c r="AR443" s="76"/>
      <c r="AS443" s="76"/>
      <c r="AT443" s="76"/>
      <c r="AU443" s="76"/>
      <c r="AV443" s="76">
        <v>6.7541015548855002E+17</v>
      </c>
      <c r="AW443" s="76"/>
      <c r="AX443" s="76" t="b">
        <v>0</v>
      </c>
      <c r="AY443" s="76"/>
      <c r="AZ443" s="76"/>
      <c r="BA443" s="76" t="b">
        <v>0</v>
      </c>
      <c r="BB443" s="76" t="b">
        <v>1</v>
      </c>
      <c r="BC443" s="76" t="b">
        <v>1</v>
      </c>
      <c r="BD443" s="76" t="b">
        <v>0</v>
      </c>
      <c r="BE443" s="76" t="b">
        <v>1</v>
      </c>
      <c r="BF443" s="76" t="b">
        <v>0</v>
      </c>
      <c r="BG443" s="76" t="b">
        <v>1</v>
      </c>
      <c r="BH443" s="76"/>
      <c r="BI443" s="76"/>
      <c r="BJ443" s="76" t="s">
        <v>18704</v>
      </c>
      <c r="BK443" s="76" t="b">
        <v>0</v>
      </c>
      <c r="BL443" s="76"/>
      <c r="BM443" s="76" t="s">
        <v>66</v>
      </c>
      <c r="BN443" s="76" t="s">
        <v>18706</v>
      </c>
      <c r="BO443" s="83" t="str">
        <f>HYPERLINK("https://twitter.com/ricardocipago")</f>
        <v>https://twitter.com/ricardocipago</v>
      </c>
      <c r="BP443" s="2"/>
    </row>
    <row r="444" spans="1:68" x14ac:dyDescent="0.25">
      <c r="A444" s="62" t="s">
        <v>817</v>
      </c>
      <c r="B444" s="63"/>
      <c r="C444" s="63"/>
      <c r="D444" s="64"/>
      <c r="E444" s="66"/>
      <c r="F444" s="102" t="str">
        <f>HYPERLINK("https://pbs.twimg.com/profile_images/1691124507132473344/ShuUuQx__normal.jpg")</f>
        <v>https://pbs.twimg.com/profile_images/1691124507132473344/ShuUuQx__normal.jpg</v>
      </c>
      <c r="G444" s="63"/>
      <c r="H444" s="67"/>
      <c r="I444" s="68"/>
      <c r="J444" s="68"/>
      <c r="K444" s="67" t="s">
        <v>19147</v>
      </c>
      <c r="L444" s="71"/>
      <c r="M444" s="72"/>
      <c r="N444" s="72"/>
      <c r="O444" s="73"/>
      <c r="P444" s="74"/>
      <c r="Q444" s="74"/>
      <c r="R444" s="86"/>
      <c r="S444" s="86"/>
      <c r="T444" s="86"/>
      <c r="U444" s="86"/>
      <c r="V444" s="48"/>
      <c r="W444" s="48"/>
      <c r="X444" s="48"/>
      <c r="Y444" s="48"/>
      <c r="Z444" s="47"/>
      <c r="AA444" s="69">
        <v>444</v>
      </c>
      <c r="AB444" s="69"/>
      <c r="AC444" s="70"/>
      <c r="AD444" s="76" t="s">
        <v>16870</v>
      </c>
      <c r="AE444" s="81" t="s">
        <v>17277</v>
      </c>
      <c r="AF444" s="76">
        <v>158242</v>
      </c>
      <c r="AG444" s="76">
        <v>1978</v>
      </c>
      <c r="AH444" s="76">
        <v>91764</v>
      </c>
      <c r="AI444" s="76">
        <v>503</v>
      </c>
      <c r="AJ444" s="76">
        <v>2596</v>
      </c>
      <c r="AK444" s="76">
        <v>13255</v>
      </c>
      <c r="AL444" s="76" t="b">
        <v>0</v>
      </c>
      <c r="AM444" s="78">
        <v>40423.826481481483</v>
      </c>
      <c r="AN444" s="76" t="s">
        <v>17572</v>
      </c>
      <c r="AO444" s="76" t="s">
        <v>18038</v>
      </c>
      <c r="AP444" s="83" t="str">
        <f>HYPERLINK("https://t.co/MfxtxWZixH")</f>
        <v>https://t.co/MfxtxWZixH</v>
      </c>
      <c r="AQ444" s="83" t="str">
        <f>HYPERLINK("http://www.dian.gov.co")</f>
        <v>http://www.dian.gov.co</v>
      </c>
      <c r="AR444" s="76" t="s">
        <v>18491</v>
      </c>
      <c r="AS444" s="76"/>
      <c r="AT444" s="76"/>
      <c r="AU444" s="76"/>
      <c r="AV444" s="76">
        <v>1.70682684669889E+18</v>
      </c>
      <c r="AW444" s="83" t="str">
        <f>HYPERLINK("https://t.co/MfxtxWZixH")</f>
        <v>https://t.co/MfxtxWZixH</v>
      </c>
      <c r="AX444" s="76" t="b">
        <v>0</v>
      </c>
      <c r="AY444" s="76"/>
      <c r="AZ444" s="76"/>
      <c r="BA444" s="76" t="b">
        <v>0</v>
      </c>
      <c r="BB444" s="76" t="b">
        <v>1</v>
      </c>
      <c r="BC444" s="76" t="b">
        <v>0</v>
      </c>
      <c r="BD444" s="76" t="b">
        <v>0</v>
      </c>
      <c r="BE444" s="76" t="b">
        <v>1</v>
      </c>
      <c r="BF444" s="76" t="b">
        <v>0</v>
      </c>
      <c r="BG444" s="76" t="b">
        <v>0</v>
      </c>
      <c r="BH444" s="83" t="str">
        <f>HYPERLINK("https://pbs.twimg.com/profile_banners/186182226/1691421417")</f>
        <v>https://pbs.twimg.com/profile_banners/186182226/1691421417</v>
      </c>
      <c r="BI444" s="76"/>
      <c r="BJ444" s="76" t="s">
        <v>18704</v>
      </c>
      <c r="BK444" s="76" t="b">
        <v>0</v>
      </c>
      <c r="BL444" s="76"/>
      <c r="BM444" s="76" t="s">
        <v>65</v>
      </c>
      <c r="BN444" s="76" t="s">
        <v>18706</v>
      </c>
      <c r="BO444" s="83" t="str">
        <f>HYPERLINK("https://twitter.com/diancolombia")</f>
        <v>https://twitter.com/diancolombia</v>
      </c>
      <c r="BP444" s="2"/>
    </row>
    <row r="445" spans="1:68" x14ac:dyDescent="0.25">
      <c r="A445" s="62" t="s">
        <v>579</v>
      </c>
      <c r="B445" s="63"/>
      <c r="C445" s="63"/>
      <c r="D445" s="64"/>
      <c r="E445" s="66"/>
      <c r="F445" s="102" t="str">
        <f>HYPERLINK("https://pbs.twimg.com/profile_images/1445390648060821510/7XVO84-N_normal.jpg")</f>
        <v>https://pbs.twimg.com/profile_images/1445390648060821510/7XVO84-N_normal.jpg</v>
      </c>
      <c r="G445" s="63"/>
      <c r="H445" s="67"/>
      <c r="I445" s="68"/>
      <c r="J445" s="68"/>
      <c r="K445" s="67" t="s">
        <v>19148</v>
      </c>
      <c r="L445" s="71"/>
      <c r="M445" s="72"/>
      <c r="N445" s="72"/>
      <c r="O445" s="73"/>
      <c r="P445" s="74"/>
      <c r="Q445" s="74"/>
      <c r="R445" s="86"/>
      <c r="S445" s="86"/>
      <c r="T445" s="86"/>
      <c r="U445" s="86"/>
      <c r="V445" s="48"/>
      <c r="W445" s="48"/>
      <c r="X445" s="48"/>
      <c r="Y445" s="48"/>
      <c r="Z445" s="47"/>
      <c r="AA445" s="69">
        <v>445</v>
      </c>
      <c r="AB445" s="69"/>
      <c r="AC445" s="70"/>
      <c r="AD445" s="76" t="s">
        <v>16871</v>
      </c>
      <c r="AE445" s="81" t="s">
        <v>16308</v>
      </c>
      <c r="AF445" s="76">
        <v>5597</v>
      </c>
      <c r="AG445" s="76">
        <v>538</v>
      </c>
      <c r="AH445" s="76">
        <v>2046</v>
      </c>
      <c r="AI445" s="76">
        <v>38</v>
      </c>
      <c r="AJ445" s="76">
        <v>3525</v>
      </c>
      <c r="AK445" s="76">
        <v>973</v>
      </c>
      <c r="AL445" s="76" t="b">
        <v>0</v>
      </c>
      <c r="AM445" s="78">
        <v>44036.777858796297</v>
      </c>
      <c r="AN445" s="76"/>
      <c r="AO445" s="76" t="s">
        <v>18039</v>
      </c>
      <c r="AP445" s="83" t="str">
        <f>HYPERLINK("https://t.co/4lqr5ItXt4")</f>
        <v>https://t.co/4lqr5ItXt4</v>
      </c>
      <c r="AQ445" s="83" t="str">
        <f>HYPERLINK("https://economiamainstream.com.br/")</f>
        <v>https://economiamainstream.com.br/</v>
      </c>
      <c r="AR445" s="76" t="s">
        <v>18492</v>
      </c>
      <c r="AS445" s="76"/>
      <c r="AT445" s="76"/>
      <c r="AU445" s="76"/>
      <c r="AV445" s="76">
        <v>1.4422627099495099E+18</v>
      </c>
      <c r="AW445" s="83" t="str">
        <f>HYPERLINK("https://t.co/4lqr5ItXt4")</f>
        <v>https://t.co/4lqr5ItXt4</v>
      </c>
      <c r="AX445" s="76" t="b">
        <v>0</v>
      </c>
      <c r="AY445" s="76"/>
      <c r="AZ445" s="76"/>
      <c r="BA445" s="76" t="b">
        <v>1</v>
      </c>
      <c r="BB445" s="76" t="b">
        <v>1</v>
      </c>
      <c r="BC445" s="76" t="b">
        <v>1</v>
      </c>
      <c r="BD445" s="76" t="b">
        <v>0</v>
      </c>
      <c r="BE445" s="76" t="b">
        <v>0</v>
      </c>
      <c r="BF445" s="76" t="b">
        <v>0</v>
      </c>
      <c r="BG445" s="76" t="b">
        <v>0</v>
      </c>
      <c r="BH445" s="83" t="str">
        <f>HYPERLINK("https://pbs.twimg.com/profile_banners/1286732861618479106/1631894902")</f>
        <v>https://pbs.twimg.com/profile_banners/1286732861618479106/1631894902</v>
      </c>
      <c r="BI445" s="76"/>
      <c r="BJ445" s="76" t="s">
        <v>18704</v>
      </c>
      <c r="BK445" s="76" t="b">
        <v>0</v>
      </c>
      <c r="BL445" s="76"/>
      <c r="BM445" s="76" t="s">
        <v>66</v>
      </c>
      <c r="BN445" s="76" t="s">
        <v>18706</v>
      </c>
      <c r="BO445" s="83" t="str">
        <f>HYPERLINK("https://twitter.com/economainstream")</f>
        <v>https://twitter.com/economainstream</v>
      </c>
      <c r="BP445" s="2"/>
    </row>
    <row r="446" spans="1:68" x14ac:dyDescent="0.25">
      <c r="A446" s="62" t="s">
        <v>580</v>
      </c>
      <c r="B446" s="63"/>
      <c r="C446" s="63"/>
      <c r="D446" s="64"/>
      <c r="E446" s="66"/>
      <c r="F446" s="102" t="str">
        <f>HYPERLINK("https://pbs.twimg.com/profile_images/1458049894216785921/sg3r-4w3_normal.jpg")</f>
        <v>https://pbs.twimg.com/profile_images/1458049894216785921/sg3r-4w3_normal.jpg</v>
      </c>
      <c r="G446" s="63"/>
      <c r="H446" s="67"/>
      <c r="I446" s="68"/>
      <c r="J446" s="68"/>
      <c r="K446" s="67" t="s">
        <v>19149</v>
      </c>
      <c r="L446" s="71"/>
      <c r="M446" s="72"/>
      <c r="N446" s="72"/>
      <c r="O446" s="73"/>
      <c r="P446" s="74"/>
      <c r="Q446" s="74"/>
      <c r="R446" s="86"/>
      <c r="S446" s="86"/>
      <c r="T446" s="86"/>
      <c r="U446" s="86"/>
      <c r="V446" s="48"/>
      <c r="W446" s="48"/>
      <c r="X446" s="48"/>
      <c r="Y446" s="48"/>
      <c r="Z446" s="47"/>
      <c r="AA446" s="69">
        <v>446</v>
      </c>
      <c r="AB446" s="69"/>
      <c r="AC446" s="70"/>
      <c r="AD446" s="76" t="s">
        <v>16872</v>
      </c>
      <c r="AE446" s="81" t="s">
        <v>17278</v>
      </c>
      <c r="AF446" s="76">
        <v>5556</v>
      </c>
      <c r="AG446" s="76">
        <v>1197</v>
      </c>
      <c r="AH446" s="76">
        <v>9795</v>
      </c>
      <c r="AI446" s="76">
        <v>104</v>
      </c>
      <c r="AJ446" s="76">
        <v>11000</v>
      </c>
      <c r="AK446" s="76">
        <v>3902</v>
      </c>
      <c r="AL446" s="76" t="b">
        <v>0</v>
      </c>
      <c r="AM446" s="78">
        <v>41655.449282407404</v>
      </c>
      <c r="AN446" s="76"/>
      <c r="AO446" s="76" t="s">
        <v>18040</v>
      </c>
      <c r="AP446" s="83" t="str">
        <f>HYPERLINK("https://t.co/qXFq0TXidF")</f>
        <v>https://t.co/qXFq0TXidF</v>
      </c>
      <c r="AQ446" s="83" t="str">
        <f>HYPERLINK("http://www.cied.urjc.es")</f>
        <v>http://www.cied.urjc.es</v>
      </c>
      <c r="AR446" s="76" t="s">
        <v>18493</v>
      </c>
      <c r="AS446" s="83" t="str">
        <f>HYPERLINK("https://t.co/CeegpgnAMR")</f>
        <v>https://t.co/CeegpgnAMR</v>
      </c>
      <c r="AT446" s="83" t="str">
        <f>HYPERLINK("http://cied.urjc.es/blog")</f>
        <v>http://cied.urjc.es/blog</v>
      </c>
      <c r="AU446" s="76" t="s">
        <v>18685</v>
      </c>
      <c r="AV446" s="76"/>
      <c r="AW446" s="83" t="str">
        <f>HYPERLINK("https://t.co/qXFq0TXidF")</f>
        <v>https://t.co/qXFq0TXidF</v>
      </c>
      <c r="AX446" s="76" t="b">
        <v>0</v>
      </c>
      <c r="AY446" s="76"/>
      <c r="AZ446" s="76"/>
      <c r="BA446" s="76" t="b">
        <v>1</v>
      </c>
      <c r="BB446" s="76" t="b">
        <v>0</v>
      </c>
      <c r="BC446" s="76" t="b">
        <v>0</v>
      </c>
      <c r="BD446" s="76" t="b">
        <v>0</v>
      </c>
      <c r="BE446" s="76" t="b">
        <v>1</v>
      </c>
      <c r="BF446" s="76" t="b">
        <v>0</v>
      </c>
      <c r="BG446" s="76" t="b">
        <v>0</v>
      </c>
      <c r="BH446" s="83" t="str">
        <f>HYPERLINK("https://pbs.twimg.com/profile_banners/2294248922/1636466097")</f>
        <v>https://pbs.twimg.com/profile_banners/2294248922/1636466097</v>
      </c>
      <c r="BI446" s="76"/>
      <c r="BJ446" s="76" t="s">
        <v>18704</v>
      </c>
      <c r="BK446" s="76" t="b">
        <v>0</v>
      </c>
      <c r="BL446" s="76"/>
      <c r="BM446" s="76" t="s">
        <v>66</v>
      </c>
      <c r="BN446" s="76" t="s">
        <v>18706</v>
      </c>
      <c r="BO446" s="83" t="str">
        <f>HYPERLINK("https://twitter.com/urjconline")</f>
        <v>https://twitter.com/urjconline</v>
      </c>
      <c r="BP446" s="2"/>
    </row>
    <row r="447" spans="1:68" x14ac:dyDescent="0.25">
      <c r="A447" s="62" t="s">
        <v>818</v>
      </c>
      <c r="B447" s="63"/>
      <c r="C447" s="63"/>
      <c r="D447" s="64"/>
      <c r="E447" s="66"/>
      <c r="F447" s="102" t="str">
        <f>HYPERLINK("https://pbs.twimg.com/profile_images/1178690196663083008/fOuMzTFu_normal.jpg")</f>
        <v>https://pbs.twimg.com/profile_images/1178690196663083008/fOuMzTFu_normal.jpg</v>
      </c>
      <c r="G447" s="63"/>
      <c r="H447" s="67"/>
      <c r="I447" s="68"/>
      <c r="J447" s="68"/>
      <c r="K447" s="67" t="s">
        <v>19150</v>
      </c>
      <c r="L447" s="71"/>
      <c r="M447" s="72"/>
      <c r="N447" s="72"/>
      <c r="O447" s="73"/>
      <c r="P447" s="74"/>
      <c r="Q447" s="74"/>
      <c r="R447" s="86"/>
      <c r="S447" s="86"/>
      <c r="T447" s="86"/>
      <c r="U447" s="86"/>
      <c r="V447" s="48"/>
      <c r="W447" s="48"/>
      <c r="X447" s="48"/>
      <c r="Y447" s="48"/>
      <c r="Z447" s="47"/>
      <c r="AA447" s="69">
        <v>447</v>
      </c>
      <c r="AB447" s="69"/>
      <c r="AC447" s="70"/>
      <c r="AD447" s="76" t="s">
        <v>16873</v>
      </c>
      <c r="AE447" s="81" t="s">
        <v>17279</v>
      </c>
      <c r="AF447" s="76">
        <v>1702</v>
      </c>
      <c r="AG447" s="76">
        <v>331</v>
      </c>
      <c r="AH447" s="76">
        <v>4101</v>
      </c>
      <c r="AI447" s="76">
        <v>36</v>
      </c>
      <c r="AJ447" s="76">
        <v>2421</v>
      </c>
      <c r="AK447" s="76">
        <v>752</v>
      </c>
      <c r="AL447" s="76" t="b">
        <v>0</v>
      </c>
      <c r="AM447" s="78">
        <v>41575.371388888889</v>
      </c>
      <c r="AN447" s="76" t="s">
        <v>17573</v>
      </c>
      <c r="AO447" s="76" t="s">
        <v>18041</v>
      </c>
      <c r="AP447" s="83" t="str">
        <f>HYPERLINK("https://t.co/V18ABXjZGd")</f>
        <v>https://t.co/V18ABXjZGd</v>
      </c>
      <c r="AQ447" s="83" t="str">
        <f>HYPERLINK("http://microeconomiajuancarlosaguado.blogspot.com.es")</f>
        <v>http://microeconomiajuancarlosaguado.blogspot.com.es</v>
      </c>
      <c r="AR447" s="76" t="s">
        <v>18494</v>
      </c>
      <c r="AS447" s="76"/>
      <c r="AT447" s="76"/>
      <c r="AU447" s="76"/>
      <c r="AV447" s="76"/>
      <c r="AW447" s="83" t="str">
        <f>HYPERLINK("https://t.co/V18ABXjZGd")</f>
        <v>https://t.co/V18ABXjZGd</v>
      </c>
      <c r="AX447" s="76" t="b">
        <v>0</v>
      </c>
      <c r="AY447" s="76"/>
      <c r="AZ447" s="76"/>
      <c r="BA447" s="76" t="b">
        <v>1</v>
      </c>
      <c r="BB447" s="76" t="b">
        <v>1</v>
      </c>
      <c r="BC447" s="76" t="b">
        <v>0</v>
      </c>
      <c r="BD447" s="76" t="b">
        <v>0</v>
      </c>
      <c r="BE447" s="76" t="b">
        <v>1</v>
      </c>
      <c r="BF447" s="76" t="b">
        <v>0</v>
      </c>
      <c r="BG447" s="76" t="b">
        <v>0</v>
      </c>
      <c r="BH447" s="83" t="str">
        <f>HYPERLINK("https://pbs.twimg.com/profile_banners/2160512190/1544470631")</f>
        <v>https://pbs.twimg.com/profile_banners/2160512190/1544470631</v>
      </c>
      <c r="BI447" s="76"/>
      <c r="BJ447" s="76" t="s">
        <v>18704</v>
      </c>
      <c r="BK447" s="76" t="b">
        <v>0</v>
      </c>
      <c r="BL447" s="76"/>
      <c r="BM447" s="76" t="s">
        <v>65</v>
      </c>
      <c r="BN447" s="76" t="s">
        <v>18706</v>
      </c>
      <c r="BO447" s="83" t="str">
        <f>HYPERLINK("https://twitter.com/juancaraguado")</f>
        <v>https://twitter.com/juancaraguado</v>
      </c>
      <c r="BP447" s="2"/>
    </row>
    <row r="448" spans="1:68" x14ac:dyDescent="0.25">
      <c r="A448" s="62" t="s">
        <v>819</v>
      </c>
      <c r="B448" s="63"/>
      <c r="C448" s="63"/>
      <c r="D448" s="64"/>
      <c r="E448" s="66"/>
      <c r="F448" s="102" t="str">
        <f>HYPERLINK("https://pbs.twimg.com/profile_images/1675456741914419200/biI47MsI_normal.jpg")</f>
        <v>https://pbs.twimg.com/profile_images/1675456741914419200/biI47MsI_normal.jpg</v>
      </c>
      <c r="G448" s="63"/>
      <c r="H448" s="67"/>
      <c r="I448" s="68"/>
      <c r="J448" s="68"/>
      <c r="K448" s="67" t="s">
        <v>19151</v>
      </c>
      <c r="L448" s="71"/>
      <c r="M448" s="72"/>
      <c r="N448" s="72"/>
      <c r="O448" s="73"/>
      <c r="P448" s="74"/>
      <c r="Q448" s="74"/>
      <c r="R448" s="86"/>
      <c r="S448" s="86"/>
      <c r="T448" s="86"/>
      <c r="U448" s="86"/>
      <c r="V448" s="48"/>
      <c r="W448" s="48"/>
      <c r="X448" s="48"/>
      <c r="Y448" s="48"/>
      <c r="Z448" s="47"/>
      <c r="AA448" s="69">
        <v>448</v>
      </c>
      <c r="AB448" s="69"/>
      <c r="AC448" s="70"/>
      <c r="AD448" s="76" t="s">
        <v>16874</v>
      </c>
      <c r="AE448" s="81" t="s">
        <v>17280</v>
      </c>
      <c r="AF448" s="76">
        <v>54972</v>
      </c>
      <c r="AG448" s="76">
        <v>419</v>
      </c>
      <c r="AH448" s="76">
        <v>11746</v>
      </c>
      <c r="AI448" s="76">
        <v>656</v>
      </c>
      <c r="AJ448" s="76">
        <v>8240</v>
      </c>
      <c r="AK448" s="76">
        <v>5217</v>
      </c>
      <c r="AL448" s="76" t="b">
        <v>0</v>
      </c>
      <c r="AM448" s="78">
        <v>39783.530173611114</v>
      </c>
      <c r="AN448" s="76" t="s">
        <v>17574</v>
      </c>
      <c r="AO448" s="76" t="s">
        <v>18042</v>
      </c>
      <c r="AP448" s="83" t="str">
        <f>HYPERLINK("https://t.co/WIBn7kgBDZ")</f>
        <v>https://t.co/WIBn7kgBDZ</v>
      </c>
      <c r="AQ448" s="83" t="str">
        <f>HYPERLINK("http://www.urjc.es")</f>
        <v>http://www.urjc.es</v>
      </c>
      <c r="AR448" s="76" t="s">
        <v>6540</v>
      </c>
      <c r="AS448" s="76"/>
      <c r="AT448" s="76"/>
      <c r="AU448" s="76"/>
      <c r="AV448" s="76">
        <v>1.3034022537646999E+18</v>
      </c>
      <c r="AW448" s="83" t="str">
        <f>HYPERLINK("https://t.co/WIBn7kgBDZ")</f>
        <v>https://t.co/WIBn7kgBDZ</v>
      </c>
      <c r="AX448" s="76" t="b">
        <v>0</v>
      </c>
      <c r="AY448" s="76"/>
      <c r="AZ448" s="76"/>
      <c r="BA448" s="76" t="b">
        <v>1</v>
      </c>
      <c r="BB448" s="76" t="b">
        <v>0</v>
      </c>
      <c r="BC448" s="76" t="b">
        <v>0</v>
      </c>
      <c r="BD448" s="76" t="b">
        <v>0</v>
      </c>
      <c r="BE448" s="76" t="b">
        <v>1</v>
      </c>
      <c r="BF448" s="76" t="b">
        <v>0</v>
      </c>
      <c r="BG448" s="76" t="b">
        <v>0</v>
      </c>
      <c r="BH448" s="83" t="str">
        <f>HYPERLINK("https://pbs.twimg.com/profile_banners/17777882/1568020412")</f>
        <v>https://pbs.twimg.com/profile_banners/17777882/1568020412</v>
      </c>
      <c r="BI448" s="76"/>
      <c r="BJ448" s="76" t="s">
        <v>18704</v>
      </c>
      <c r="BK448" s="76" t="b">
        <v>0</v>
      </c>
      <c r="BL448" s="76"/>
      <c r="BM448" s="76" t="s">
        <v>65</v>
      </c>
      <c r="BN448" s="76" t="s">
        <v>18706</v>
      </c>
      <c r="BO448" s="83" t="str">
        <f>HYPERLINK("https://twitter.com/urjc")</f>
        <v>https://twitter.com/urjc</v>
      </c>
      <c r="BP448" s="2"/>
    </row>
    <row r="449" spans="1:68" x14ac:dyDescent="0.25">
      <c r="A449" s="62" t="s">
        <v>820</v>
      </c>
      <c r="B449" s="63"/>
      <c r="C449" s="63"/>
      <c r="D449" s="64"/>
      <c r="E449" s="66"/>
      <c r="F449" s="102" t="str">
        <f>HYPERLINK("https://pbs.twimg.com/profile_images/932594752247222272/-lz4ZNyz_normal.jpg")</f>
        <v>https://pbs.twimg.com/profile_images/932594752247222272/-lz4ZNyz_normal.jpg</v>
      </c>
      <c r="G449" s="63"/>
      <c r="H449" s="67"/>
      <c r="I449" s="68"/>
      <c r="J449" s="68"/>
      <c r="K449" s="67" t="s">
        <v>19152</v>
      </c>
      <c r="L449" s="71"/>
      <c r="M449" s="72"/>
      <c r="N449" s="72"/>
      <c r="O449" s="73"/>
      <c r="P449" s="74"/>
      <c r="Q449" s="74"/>
      <c r="R449" s="86"/>
      <c r="S449" s="86"/>
      <c r="T449" s="86"/>
      <c r="U449" s="86"/>
      <c r="V449" s="48"/>
      <c r="W449" s="48"/>
      <c r="X449" s="48"/>
      <c r="Y449" s="48"/>
      <c r="Z449" s="47"/>
      <c r="AA449" s="69">
        <v>449</v>
      </c>
      <c r="AB449" s="69"/>
      <c r="AC449" s="70"/>
      <c r="AD449" s="76" t="s">
        <v>16875</v>
      </c>
      <c r="AE449" s="81" t="s">
        <v>17281</v>
      </c>
      <c r="AF449" s="76">
        <v>48195</v>
      </c>
      <c r="AG449" s="76">
        <v>704</v>
      </c>
      <c r="AH449" s="76">
        <v>18500</v>
      </c>
      <c r="AI449" s="76">
        <v>1300</v>
      </c>
      <c r="AJ449" s="76">
        <v>16395</v>
      </c>
      <c r="AK449" s="76">
        <v>3772</v>
      </c>
      <c r="AL449" s="76" t="b">
        <v>0</v>
      </c>
      <c r="AM449" s="78">
        <v>41236.564525462964</v>
      </c>
      <c r="AN449" s="76"/>
      <c r="AO449" s="76" t="s">
        <v>18043</v>
      </c>
      <c r="AP449" s="83" t="str">
        <f>HYPERLINK("https://t.co/FKfa1Faznf")</f>
        <v>https://t.co/FKfa1Faznf</v>
      </c>
      <c r="AQ449" s="83" t="str">
        <f>HYPERLINK("https://miriadax.net/")</f>
        <v>https://miriadax.net/</v>
      </c>
      <c r="AR449" s="76" t="s">
        <v>18495</v>
      </c>
      <c r="AS449" s="76"/>
      <c r="AT449" s="76"/>
      <c r="AU449" s="76"/>
      <c r="AV449" s="76"/>
      <c r="AW449" s="83" t="str">
        <f>HYPERLINK("https://t.co/FKfa1Faznf")</f>
        <v>https://t.co/FKfa1Faznf</v>
      </c>
      <c r="AX449" s="76" t="b">
        <v>0</v>
      </c>
      <c r="AY449" s="76"/>
      <c r="AZ449" s="76"/>
      <c r="BA449" s="76" t="b">
        <v>0</v>
      </c>
      <c r="BB449" s="76" t="b">
        <v>1</v>
      </c>
      <c r="BC449" s="76" t="b">
        <v>0</v>
      </c>
      <c r="BD449" s="76" t="b">
        <v>0</v>
      </c>
      <c r="BE449" s="76" t="b">
        <v>1</v>
      </c>
      <c r="BF449" s="76" t="b">
        <v>0</v>
      </c>
      <c r="BG449" s="76" t="b">
        <v>0</v>
      </c>
      <c r="BH449" s="83" t="str">
        <f>HYPERLINK("https://pbs.twimg.com/profile_banners/966137557/1511183282")</f>
        <v>https://pbs.twimg.com/profile_banners/966137557/1511183282</v>
      </c>
      <c r="BI449" s="76"/>
      <c r="BJ449" s="76" t="s">
        <v>18704</v>
      </c>
      <c r="BK449" s="76" t="b">
        <v>0</v>
      </c>
      <c r="BL449" s="76"/>
      <c r="BM449" s="76" t="s">
        <v>65</v>
      </c>
      <c r="BN449" s="76" t="s">
        <v>18706</v>
      </c>
      <c r="BO449" s="83" t="str">
        <f>HYPERLINK("https://twitter.com/miriadax")</f>
        <v>https://twitter.com/miriadax</v>
      </c>
      <c r="BP449" s="2"/>
    </row>
    <row r="450" spans="1:68" x14ac:dyDescent="0.25">
      <c r="A450" s="62" t="s">
        <v>581</v>
      </c>
      <c r="B450" s="63"/>
      <c r="C450" s="63"/>
      <c r="D450" s="64"/>
      <c r="E450" s="66"/>
      <c r="F450" s="102" t="str">
        <f>HYPERLINK("https://pbs.twimg.com/profile_images/711927216565841920/W_aIH-XW_normal.jpg")</f>
        <v>https://pbs.twimg.com/profile_images/711927216565841920/W_aIH-XW_normal.jpg</v>
      </c>
      <c r="G450" s="63"/>
      <c r="H450" s="67"/>
      <c r="I450" s="68"/>
      <c r="J450" s="68"/>
      <c r="K450" s="67" t="s">
        <v>19153</v>
      </c>
      <c r="L450" s="71"/>
      <c r="M450" s="72"/>
      <c r="N450" s="72"/>
      <c r="O450" s="73"/>
      <c r="P450" s="74"/>
      <c r="Q450" s="74"/>
      <c r="R450" s="86"/>
      <c r="S450" s="86"/>
      <c r="T450" s="86"/>
      <c r="U450" s="86"/>
      <c r="V450" s="48"/>
      <c r="W450" s="48"/>
      <c r="X450" s="48"/>
      <c r="Y450" s="48"/>
      <c r="Z450" s="47"/>
      <c r="AA450" s="69">
        <v>450</v>
      </c>
      <c r="AB450" s="69"/>
      <c r="AC450" s="70"/>
      <c r="AD450" s="76" t="s">
        <v>16876</v>
      </c>
      <c r="AE450" s="81" t="s">
        <v>17282</v>
      </c>
      <c r="AF450" s="76">
        <v>571</v>
      </c>
      <c r="AG450" s="76">
        <v>80</v>
      </c>
      <c r="AH450" s="76">
        <v>2178</v>
      </c>
      <c r="AI450" s="76">
        <v>8</v>
      </c>
      <c r="AJ450" s="76">
        <v>5572</v>
      </c>
      <c r="AK450" s="76">
        <v>1597</v>
      </c>
      <c r="AL450" s="76" t="b">
        <v>0</v>
      </c>
      <c r="AM450" s="78">
        <v>40949.587106481478</v>
      </c>
      <c r="AN450" s="76" t="s">
        <v>17575</v>
      </c>
      <c r="AO450" s="76" t="s">
        <v>18044</v>
      </c>
      <c r="AP450" s="83" t="str">
        <f>HYPERLINK("https://t.co/xl6NQMfv47")</f>
        <v>https://t.co/xl6NQMfv47</v>
      </c>
      <c r="AQ450" s="83" t="str">
        <f>HYPERLINK("https://linktr.ee/girlishgiggle")</f>
        <v>https://linktr.ee/girlishgiggle</v>
      </c>
      <c r="AR450" s="76" t="s">
        <v>18496</v>
      </c>
      <c r="AS450" s="83" t="str">
        <f>HYPERLINK("https://t.co/Tz6UFdHDSB")</f>
        <v>https://t.co/Tz6UFdHDSB</v>
      </c>
      <c r="AT450" s="83" t="str">
        <f>HYPERLINK("http://ingridkas.wixsite.com/my-site")</f>
        <v>http://ingridkas.wixsite.com/my-site</v>
      </c>
      <c r="AU450" s="76" t="s">
        <v>18686</v>
      </c>
      <c r="AV450" s="76"/>
      <c r="AW450" s="83" t="str">
        <f>HYPERLINK("https://t.co/xl6NQMfv47")</f>
        <v>https://t.co/xl6NQMfv47</v>
      </c>
      <c r="AX450" s="76" t="b">
        <v>0</v>
      </c>
      <c r="AY450" s="76"/>
      <c r="AZ450" s="76"/>
      <c r="BA450" s="76" t="b">
        <v>0</v>
      </c>
      <c r="BB450" s="76" t="b">
        <v>1</v>
      </c>
      <c r="BC450" s="76" t="b">
        <v>0</v>
      </c>
      <c r="BD450" s="76" t="b">
        <v>0</v>
      </c>
      <c r="BE450" s="76" t="b">
        <v>1</v>
      </c>
      <c r="BF450" s="76" t="b">
        <v>0</v>
      </c>
      <c r="BG450" s="76" t="b">
        <v>0</v>
      </c>
      <c r="BH450" s="83" t="str">
        <f>HYPERLINK("https://pbs.twimg.com/profile_banners/488477453/1612430493")</f>
        <v>https://pbs.twimg.com/profile_banners/488477453/1612430493</v>
      </c>
      <c r="BI450" s="76"/>
      <c r="BJ450" s="76" t="s">
        <v>18704</v>
      </c>
      <c r="BK450" s="76" t="b">
        <v>0</v>
      </c>
      <c r="BL450" s="76"/>
      <c r="BM450" s="76" t="s">
        <v>66</v>
      </c>
      <c r="BN450" s="76" t="s">
        <v>18706</v>
      </c>
      <c r="BO450" s="83" t="str">
        <f>HYPERLINK("https://twitter.com/girlishgiggle")</f>
        <v>https://twitter.com/girlishgiggle</v>
      </c>
      <c r="BP450" s="2"/>
    </row>
    <row r="451" spans="1:68" x14ac:dyDescent="0.25">
      <c r="A451" s="62" t="s">
        <v>582</v>
      </c>
      <c r="B451" s="63"/>
      <c r="C451" s="63"/>
      <c r="D451" s="64"/>
      <c r="E451" s="66"/>
      <c r="F451" s="102" t="str">
        <f>HYPERLINK("https://pbs.twimg.com/profile_images/1693679843404062720/q3ecO34__normal.png")</f>
        <v>https://pbs.twimg.com/profile_images/1693679843404062720/q3ecO34__normal.png</v>
      </c>
      <c r="G451" s="63"/>
      <c r="H451" s="67"/>
      <c r="I451" s="68"/>
      <c r="J451" s="68"/>
      <c r="K451" s="67" t="s">
        <v>19154</v>
      </c>
      <c r="L451" s="71"/>
      <c r="M451" s="72"/>
      <c r="N451" s="72"/>
      <c r="O451" s="73"/>
      <c r="P451" s="74"/>
      <c r="Q451" s="74"/>
      <c r="R451" s="86"/>
      <c r="S451" s="86"/>
      <c r="T451" s="86"/>
      <c r="U451" s="86"/>
      <c r="V451" s="48"/>
      <c r="W451" s="48"/>
      <c r="X451" s="48"/>
      <c r="Y451" s="48"/>
      <c r="Z451" s="47"/>
      <c r="AA451" s="69">
        <v>451</v>
      </c>
      <c r="AB451" s="69"/>
      <c r="AC451" s="70"/>
      <c r="AD451" s="76" t="s">
        <v>16877</v>
      </c>
      <c r="AE451" s="81" t="s">
        <v>15963</v>
      </c>
      <c r="AF451" s="76">
        <v>6</v>
      </c>
      <c r="AG451" s="76">
        <v>42</v>
      </c>
      <c r="AH451" s="76">
        <v>626</v>
      </c>
      <c r="AI451" s="76">
        <v>0</v>
      </c>
      <c r="AJ451" s="76">
        <v>24</v>
      </c>
      <c r="AK451" s="76">
        <v>174</v>
      </c>
      <c r="AL451" s="76" t="b">
        <v>0</v>
      </c>
      <c r="AM451" s="78">
        <v>44874.587951388887</v>
      </c>
      <c r="AN451" s="76" t="s">
        <v>17576</v>
      </c>
      <c r="AO451" s="76" t="s">
        <v>18045</v>
      </c>
      <c r="AP451" s="83" t="str">
        <f>HYPERLINK("https://t.co/y9keg7Ilh5")</f>
        <v>https://t.co/y9keg7Ilh5</v>
      </c>
      <c r="AQ451" s="83" t="str">
        <f>HYPERLINK("https://youtube.com/@ataorienta")</f>
        <v>https://youtube.com/@ataorienta</v>
      </c>
      <c r="AR451" s="76" t="s">
        <v>18497</v>
      </c>
      <c r="AS451" s="76"/>
      <c r="AT451" s="76"/>
      <c r="AU451" s="76"/>
      <c r="AV451" s="76"/>
      <c r="AW451" s="83" t="str">
        <f>HYPERLINK("https://t.co/y9keg7Ilh5")</f>
        <v>https://t.co/y9keg7Ilh5</v>
      </c>
      <c r="AX451" s="76" t="b">
        <v>0</v>
      </c>
      <c r="AY451" s="76"/>
      <c r="AZ451" s="76"/>
      <c r="BA451" s="76" t="b">
        <v>0</v>
      </c>
      <c r="BB451" s="76" t="b">
        <v>1</v>
      </c>
      <c r="BC451" s="76" t="b">
        <v>1</v>
      </c>
      <c r="BD451" s="76" t="b">
        <v>0</v>
      </c>
      <c r="BE451" s="76" t="b">
        <v>0</v>
      </c>
      <c r="BF451" s="76" t="b">
        <v>0</v>
      </c>
      <c r="BG451" s="76" t="b">
        <v>0</v>
      </c>
      <c r="BH451" s="83" t="str">
        <f>HYPERLINK("https://pbs.twimg.com/profile_banners/1590344906140254209/1668103726")</f>
        <v>https://pbs.twimg.com/profile_banners/1590344906140254209/1668103726</v>
      </c>
      <c r="BI451" s="76"/>
      <c r="BJ451" s="76" t="s">
        <v>18704</v>
      </c>
      <c r="BK451" s="76" t="b">
        <v>0</v>
      </c>
      <c r="BL451" s="76"/>
      <c r="BM451" s="76" t="s">
        <v>66</v>
      </c>
      <c r="BN451" s="76" t="s">
        <v>18706</v>
      </c>
      <c r="BO451" s="83" t="str">
        <f>HYPERLINK("https://twitter.com/ataorienta")</f>
        <v>https://twitter.com/ataorienta</v>
      </c>
      <c r="BP451" s="2"/>
    </row>
    <row r="452" spans="1:68" x14ac:dyDescent="0.25">
      <c r="A452" s="62" t="s">
        <v>583</v>
      </c>
      <c r="B452" s="63"/>
      <c r="C452" s="63"/>
      <c r="D452" s="64"/>
      <c r="E452" s="66"/>
      <c r="F452" s="102" t="str">
        <f>HYPERLINK("https://pbs.twimg.com/profile_images/1676660914022502405/3QEshaAX_normal.jpg")</f>
        <v>https://pbs.twimg.com/profile_images/1676660914022502405/3QEshaAX_normal.jpg</v>
      </c>
      <c r="G452" s="63"/>
      <c r="H452" s="67"/>
      <c r="I452" s="68"/>
      <c r="J452" s="68"/>
      <c r="K452" s="67" t="s">
        <v>19155</v>
      </c>
      <c r="L452" s="71"/>
      <c r="M452" s="72"/>
      <c r="N452" s="72"/>
      <c r="O452" s="73"/>
      <c r="P452" s="74"/>
      <c r="Q452" s="74"/>
      <c r="R452" s="86"/>
      <c r="S452" s="86"/>
      <c r="T452" s="86"/>
      <c r="U452" s="86"/>
      <c r="V452" s="48"/>
      <c r="W452" s="48"/>
      <c r="X452" s="48"/>
      <c r="Y452" s="48"/>
      <c r="Z452" s="47"/>
      <c r="AA452" s="69">
        <v>452</v>
      </c>
      <c r="AB452" s="69"/>
      <c r="AC452" s="70"/>
      <c r="AD452" s="76" t="s">
        <v>16878</v>
      </c>
      <c r="AE452" s="81" t="s">
        <v>16309</v>
      </c>
      <c r="AF452" s="76">
        <v>7</v>
      </c>
      <c r="AG452" s="76">
        <v>79</v>
      </c>
      <c r="AH452" s="76">
        <v>245</v>
      </c>
      <c r="AI452" s="76">
        <v>1</v>
      </c>
      <c r="AJ452" s="76">
        <v>294</v>
      </c>
      <c r="AK452" s="76">
        <v>221</v>
      </c>
      <c r="AL452" s="76" t="b">
        <v>0</v>
      </c>
      <c r="AM452" s="78">
        <v>45112.534305555557</v>
      </c>
      <c r="AN452" s="76"/>
      <c r="AO452" s="76" t="s">
        <v>18046</v>
      </c>
      <c r="AP452" s="83" t="str">
        <f>HYPERLINK("https://t.co/ZAy6H1BW5a")</f>
        <v>https://t.co/ZAy6H1BW5a</v>
      </c>
      <c r="AQ452" s="83" t="str">
        <f>HYPERLINK("https://www.comlucro.com.br")</f>
        <v>https://www.comlucro.com.br</v>
      </c>
      <c r="AR452" s="76" t="s">
        <v>18498</v>
      </c>
      <c r="AS452" s="76"/>
      <c r="AT452" s="76"/>
      <c r="AU452" s="76"/>
      <c r="AV452" s="76"/>
      <c r="AW452" s="83" t="str">
        <f>HYPERLINK("https://t.co/ZAy6H1BW5a")</f>
        <v>https://t.co/ZAy6H1BW5a</v>
      </c>
      <c r="AX452" s="76" t="b">
        <v>0</v>
      </c>
      <c r="AY452" s="76"/>
      <c r="AZ452" s="76"/>
      <c r="BA452" s="76" t="b">
        <v>0</v>
      </c>
      <c r="BB452" s="76" t="b">
        <v>1</v>
      </c>
      <c r="BC452" s="76" t="b">
        <v>1</v>
      </c>
      <c r="BD452" s="76" t="b">
        <v>0</v>
      </c>
      <c r="BE452" s="76" t="b">
        <v>0</v>
      </c>
      <c r="BF452" s="76" t="b">
        <v>0</v>
      </c>
      <c r="BG452" s="76" t="b">
        <v>0</v>
      </c>
      <c r="BH452" s="83" t="str">
        <f>HYPERLINK("https://pbs.twimg.com/profile_banners/1676573946269794307/1688582088")</f>
        <v>https://pbs.twimg.com/profile_banners/1676573946269794307/1688582088</v>
      </c>
      <c r="BI452" s="76"/>
      <c r="BJ452" s="76" t="s">
        <v>18704</v>
      </c>
      <c r="BK452" s="76" t="b">
        <v>0</v>
      </c>
      <c r="BL452" s="76"/>
      <c r="BM452" s="76" t="s">
        <v>66</v>
      </c>
      <c r="BN452" s="76" t="s">
        <v>18706</v>
      </c>
      <c r="BO452" s="83" t="str">
        <f>HYPERLINK("https://twitter.com/canalcomlucro")</f>
        <v>https://twitter.com/canalcomlucro</v>
      </c>
      <c r="BP452" s="2"/>
    </row>
    <row r="453" spans="1:68" x14ac:dyDescent="0.25">
      <c r="A453" s="62" t="s">
        <v>584</v>
      </c>
      <c r="B453" s="63"/>
      <c r="C453" s="63"/>
      <c r="D453" s="64"/>
      <c r="E453" s="66"/>
      <c r="F453" s="102" t="str">
        <f>HYPERLINK("https://pbs.twimg.com/profile_images/1614816485192486913/55av15zz_normal.jpg")</f>
        <v>https://pbs.twimg.com/profile_images/1614816485192486913/55av15zz_normal.jpg</v>
      </c>
      <c r="G453" s="63"/>
      <c r="H453" s="67"/>
      <c r="I453" s="68"/>
      <c r="J453" s="68"/>
      <c r="K453" s="67" t="s">
        <v>19156</v>
      </c>
      <c r="L453" s="71"/>
      <c r="M453" s="72"/>
      <c r="N453" s="72"/>
      <c r="O453" s="73"/>
      <c r="P453" s="74"/>
      <c r="Q453" s="74"/>
      <c r="R453" s="86"/>
      <c r="S453" s="86"/>
      <c r="T453" s="86"/>
      <c r="U453" s="86"/>
      <c r="V453" s="48"/>
      <c r="W453" s="48"/>
      <c r="X453" s="48"/>
      <c r="Y453" s="48"/>
      <c r="Z453" s="47"/>
      <c r="AA453" s="69">
        <v>453</v>
      </c>
      <c r="AB453" s="69"/>
      <c r="AC453" s="70"/>
      <c r="AD453" s="76" t="s">
        <v>16879</v>
      </c>
      <c r="AE453" s="81" t="s">
        <v>16310</v>
      </c>
      <c r="AF453" s="76">
        <v>10085</v>
      </c>
      <c r="AG453" s="76">
        <v>402</v>
      </c>
      <c r="AH453" s="76">
        <v>4873</v>
      </c>
      <c r="AI453" s="76">
        <v>8</v>
      </c>
      <c r="AJ453" s="76">
        <v>15267</v>
      </c>
      <c r="AK453" s="76">
        <v>1186</v>
      </c>
      <c r="AL453" s="76" t="b">
        <v>0</v>
      </c>
      <c r="AM453" s="78">
        <v>44359.922986111109</v>
      </c>
      <c r="AN453" s="76" t="s">
        <v>10570</v>
      </c>
      <c r="AO453" s="76"/>
      <c r="AP453" s="76"/>
      <c r="AQ453" s="76"/>
      <c r="AR453" s="76"/>
      <c r="AS453" s="76"/>
      <c r="AT453" s="76"/>
      <c r="AU453" s="76"/>
      <c r="AV453" s="76">
        <v>1.6658223072925199E+18</v>
      </c>
      <c r="AW453" s="76"/>
      <c r="AX453" s="76" t="b">
        <v>0</v>
      </c>
      <c r="AY453" s="76"/>
      <c r="AZ453" s="76"/>
      <c r="BA453" s="76" t="b">
        <v>0</v>
      </c>
      <c r="BB453" s="76" t="b">
        <v>0</v>
      </c>
      <c r="BC453" s="76" t="b">
        <v>1</v>
      </c>
      <c r="BD453" s="76" t="b">
        <v>0</v>
      </c>
      <c r="BE453" s="76" t="b">
        <v>1</v>
      </c>
      <c r="BF453" s="76" t="b">
        <v>0</v>
      </c>
      <c r="BG453" s="76" t="b">
        <v>0</v>
      </c>
      <c r="BH453" s="83" t="str">
        <f>HYPERLINK("https://pbs.twimg.com/profile_banners/1403836738850729987/1673837329")</f>
        <v>https://pbs.twimg.com/profile_banners/1403836738850729987/1673837329</v>
      </c>
      <c r="BI453" s="76"/>
      <c r="BJ453" s="76" t="s">
        <v>18704</v>
      </c>
      <c r="BK453" s="76" t="b">
        <v>0</v>
      </c>
      <c r="BL453" s="76"/>
      <c r="BM453" s="76" t="s">
        <v>66</v>
      </c>
      <c r="BN453" s="76" t="s">
        <v>18706</v>
      </c>
      <c r="BO453" s="83" t="str">
        <f>HYPERLINK("https://twitter.com/cazanova_gisele")</f>
        <v>https://twitter.com/cazanova_gisele</v>
      </c>
      <c r="BP453" s="2"/>
    </row>
    <row r="454" spans="1:68" x14ac:dyDescent="0.25">
      <c r="A454" s="62" t="s">
        <v>585</v>
      </c>
      <c r="B454" s="63"/>
      <c r="C454" s="63"/>
      <c r="D454" s="64"/>
      <c r="E454" s="66"/>
      <c r="F454" s="102" t="str">
        <f>HYPERLINK("https://pbs.twimg.com/profile_images/1567188584997834756/gnZ16RIY_normal.jpg")</f>
        <v>https://pbs.twimg.com/profile_images/1567188584997834756/gnZ16RIY_normal.jpg</v>
      </c>
      <c r="G454" s="63"/>
      <c r="H454" s="67"/>
      <c r="I454" s="68"/>
      <c r="J454" s="68"/>
      <c r="K454" s="67" t="s">
        <v>19157</v>
      </c>
      <c r="L454" s="71"/>
      <c r="M454" s="72"/>
      <c r="N454" s="72"/>
      <c r="O454" s="73"/>
      <c r="P454" s="74"/>
      <c r="Q454" s="74"/>
      <c r="R454" s="86"/>
      <c r="S454" s="86"/>
      <c r="T454" s="86"/>
      <c r="U454" s="86"/>
      <c r="V454" s="48"/>
      <c r="W454" s="48"/>
      <c r="X454" s="48"/>
      <c r="Y454" s="48"/>
      <c r="Z454" s="47"/>
      <c r="AA454" s="69">
        <v>454</v>
      </c>
      <c r="AB454" s="69"/>
      <c r="AC454" s="70"/>
      <c r="AD454" s="76" t="s">
        <v>16880</v>
      </c>
      <c r="AE454" s="81" t="s">
        <v>17283</v>
      </c>
      <c r="AF454" s="76">
        <v>1746</v>
      </c>
      <c r="AG454" s="76">
        <v>40</v>
      </c>
      <c r="AH454" s="76">
        <v>36099</v>
      </c>
      <c r="AI454" s="76">
        <v>53</v>
      </c>
      <c r="AJ454" s="76">
        <v>9</v>
      </c>
      <c r="AK454" s="76">
        <v>206</v>
      </c>
      <c r="AL454" s="76" t="b">
        <v>0</v>
      </c>
      <c r="AM454" s="78">
        <v>40274.673993055556</v>
      </c>
      <c r="AN454" s="76" t="s">
        <v>17577</v>
      </c>
      <c r="AO454" s="76" t="s">
        <v>18047</v>
      </c>
      <c r="AP454" s="83" t="str">
        <f>HYPERLINK("https://t.co/U0gFEIqJfR")</f>
        <v>https://t.co/U0gFEIqJfR</v>
      </c>
      <c r="AQ454" s="83" t="str">
        <f>HYPERLINK("http://www.diariodominho.pt")</f>
        <v>http://www.diariodominho.pt</v>
      </c>
      <c r="AR454" s="76" t="s">
        <v>6541</v>
      </c>
      <c r="AS454" s="76" t="s">
        <v>18637</v>
      </c>
      <c r="AT454" s="76" t="s">
        <v>18648</v>
      </c>
      <c r="AU454" s="76" t="s">
        <v>18687</v>
      </c>
      <c r="AV454" s="76"/>
      <c r="AW454" s="83" t="str">
        <f>HYPERLINK("https://t.co/U0gFEIqJfR")</f>
        <v>https://t.co/U0gFEIqJfR</v>
      </c>
      <c r="AX454" s="76" t="b">
        <v>0</v>
      </c>
      <c r="AY454" s="76"/>
      <c r="AZ454" s="76"/>
      <c r="BA454" s="76" t="b">
        <v>0</v>
      </c>
      <c r="BB454" s="76" t="b">
        <v>1</v>
      </c>
      <c r="BC454" s="76" t="b">
        <v>1</v>
      </c>
      <c r="BD454" s="76" t="b">
        <v>0</v>
      </c>
      <c r="BE454" s="76" t="b">
        <v>1</v>
      </c>
      <c r="BF454" s="76" t="b">
        <v>0</v>
      </c>
      <c r="BG454" s="76" t="b">
        <v>0</v>
      </c>
      <c r="BH454" s="83" t="str">
        <f>HYPERLINK("https://pbs.twimg.com/profile_banners/130194940/1522762742")</f>
        <v>https://pbs.twimg.com/profile_banners/130194940/1522762742</v>
      </c>
      <c r="BI454" s="76"/>
      <c r="BJ454" s="76" t="s">
        <v>18704</v>
      </c>
      <c r="BK454" s="76" t="b">
        <v>0</v>
      </c>
      <c r="BL454" s="76"/>
      <c r="BM454" s="76" t="s">
        <v>66</v>
      </c>
      <c r="BN454" s="76" t="s">
        <v>18706</v>
      </c>
      <c r="BO454" s="83" t="str">
        <f>HYPERLINK("https://twitter.com/diariodominho")</f>
        <v>https://twitter.com/diariodominho</v>
      </c>
      <c r="BP454" s="2"/>
    </row>
    <row r="455" spans="1:68" x14ac:dyDescent="0.25">
      <c r="A455" s="62" t="s">
        <v>586</v>
      </c>
      <c r="B455" s="63"/>
      <c r="C455" s="63"/>
      <c r="D455" s="64"/>
      <c r="E455" s="66"/>
      <c r="F455" s="102" t="str">
        <f>HYPERLINK("https://pbs.twimg.com/profile_images/1561046934177079301/qwYqySZb_normal.jpg")</f>
        <v>https://pbs.twimg.com/profile_images/1561046934177079301/qwYqySZb_normal.jpg</v>
      </c>
      <c r="G455" s="63"/>
      <c r="H455" s="67"/>
      <c r="I455" s="68"/>
      <c r="J455" s="68"/>
      <c r="K455" s="67" t="s">
        <v>19158</v>
      </c>
      <c r="L455" s="71"/>
      <c r="M455" s="72"/>
      <c r="N455" s="72"/>
      <c r="O455" s="73"/>
      <c r="P455" s="74"/>
      <c r="Q455" s="74"/>
      <c r="R455" s="86"/>
      <c r="S455" s="86"/>
      <c r="T455" s="86"/>
      <c r="U455" s="86"/>
      <c r="V455" s="48"/>
      <c r="W455" s="48"/>
      <c r="X455" s="48"/>
      <c r="Y455" s="48"/>
      <c r="Z455" s="47"/>
      <c r="AA455" s="69">
        <v>455</v>
      </c>
      <c r="AB455" s="69"/>
      <c r="AC455" s="70"/>
      <c r="AD455" s="76" t="s">
        <v>16881</v>
      </c>
      <c r="AE455" s="81" t="s">
        <v>16311</v>
      </c>
      <c r="AF455" s="76">
        <v>125</v>
      </c>
      <c r="AG455" s="76">
        <v>629</v>
      </c>
      <c r="AH455" s="76">
        <v>4055</v>
      </c>
      <c r="AI455" s="76">
        <v>0</v>
      </c>
      <c r="AJ455" s="76">
        <v>41255</v>
      </c>
      <c r="AK455" s="76">
        <v>36</v>
      </c>
      <c r="AL455" s="76" t="b">
        <v>0</v>
      </c>
      <c r="AM455" s="78">
        <v>43313.840289351851</v>
      </c>
      <c r="AN455" s="76" t="s">
        <v>10580</v>
      </c>
      <c r="AO455" s="76"/>
      <c r="AP455" s="76"/>
      <c r="AQ455" s="76"/>
      <c r="AR455" s="76"/>
      <c r="AS455" s="76"/>
      <c r="AT455" s="76"/>
      <c r="AU455" s="76"/>
      <c r="AV455" s="76"/>
      <c r="AW455" s="76"/>
      <c r="AX455" s="76" t="b">
        <v>0</v>
      </c>
      <c r="AY455" s="76"/>
      <c r="AZ455" s="76"/>
      <c r="BA455" s="76" t="b">
        <v>0</v>
      </c>
      <c r="BB455" s="76" t="b">
        <v>1</v>
      </c>
      <c r="BC455" s="76" t="b">
        <v>1</v>
      </c>
      <c r="BD455" s="76" t="b">
        <v>0</v>
      </c>
      <c r="BE455" s="76" t="b">
        <v>1</v>
      </c>
      <c r="BF455" s="76" t="b">
        <v>0</v>
      </c>
      <c r="BG455" s="76" t="b">
        <v>1</v>
      </c>
      <c r="BH455" s="83" t="str">
        <f>HYPERLINK("https://pbs.twimg.com/profile_banners/1024749108505047041/1662651770")</f>
        <v>https://pbs.twimg.com/profile_banners/1024749108505047041/1662651770</v>
      </c>
      <c r="BI455" s="76"/>
      <c r="BJ455" s="76" t="s">
        <v>18704</v>
      </c>
      <c r="BK455" s="76" t="b">
        <v>0</v>
      </c>
      <c r="BL455" s="76"/>
      <c r="BM455" s="76" t="s">
        <v>66</v>
      </c>
      <c r="BN455" s="76" t="s">
        <v>18706</v>
      </c>
      <c r="BO455" s="83" t="str">
        <f>HYPERLINK("https://twitter.com/suelencintra")</f>
        <v>https://twitter.com/suelencintra</v>
      </c>
      <c r="BP455" s="2"/>
    </row>
    <row r="456" spans="1:68" x14ac:dyDescent="0.25">
      <c r="A456" s="62" t="s">
        <v>587</v>
      </c>
      <c r="B456" s="63"/>
      <c r="C456" s="63"/>
      <c r="D456" s="64"/>
      <c r="E456" s="66"/>
      <c r="F456" s="102" t="str">
        <f>HYPERLINK("https://pbs.twimg.com/profile_images/1687053712416772096/PuISJMEQ_normal.jpg")</f>
        <v>https://pbs.twimg.com/profile_images/1687053712416772096/PuISJMEQ_normal.jpg</v>
      </c>
      <c r="G456" s="63"/>
      <c r="H456" s="67"/>
      <c r="I456" s="68"/>
      <c r="J456" s="68"/>
      <c r="K456" s="67" t="s">
        <v>19159</v>
      </c>
      <c r="L456" s="71"/>
      <c r="M456" s="72"/>
      <c r="N456" s="72"/>
      <c r="O456" s="73"/>
      <c r="P456" s="74"/>
      <c r="Q456" s="74"/>
      <c r="R456" s="86"/>
      <c r="S456" s="86"/>
      <c r="T456" s="86"/>
      <c r="U456" s="86"/>
      <c r="V456" s="48"/>
      <c r="W456" s="48"/>
      <c r="X456" s="48"/>
      <c r="Y456" s="48"/>
      <c r="Z456" s="47"/>
      <c r="AA456" s="69">
        <v>456</v>
      </c>
      <c r="AB456" s="69"/>
      <c r="AC456" s="70"/>
      <c r="AD456" s="76" t="s">
        <v>16882</v>
      </c>
      <c r="AE456" s="81" t="s">
        <v>16312</v>
      </c>
      <c r="AF456" s="76">
        <v>14</v>
      </c>
      <c r="AG456" s="76">
        <v>84</v>
      </c>
      <c r="AH456" s="76">
        <v>207</v>
      </c>
      <c r="AI456" s="76">
        <v>0</v>
      </c>
      <c r="AJ456" s="76">
        <v>1</v>
      </c>
      <c r="AK456" s="76">
        <v>65</v>
      </c>
      <c r="AL456" s="76" t="b">
        <v>0</v>
      </c>
      <c r="AM456" s="78">
        <v>45133.477824074071</v>
      </c>
      <c r="AN456" s="76"/>
      <c r="AO456" s="76" t="s">
        <v>18048</v>
      </c>
      <c r="AP456" s="83" t="str">
        <f>HYPERLINK("https://t.co/YQT1zk3pjM")</f>
        <v>https://t.co/YQT1zk3pjM</v>
      </c>
      <c r="AQ456" s="83" t="str">
        <f>HYPERLINK("https://www.430am.in/")</f>
        <v>https://www.430am.in/</v>
      </c>
      <c r="AR456" s="76" t="s">
        <v>18499</v>
      </c>
      <c r="AS456" s="76"/>
      <c r="AT456" s="76"/>
      <c r="AU456" s="76"/>
      <c r="AV456" s="76"/>
      <c r="AW456" s="83" t="str">
        <f>HYPERLINK("https://t.co/YQT1zk3pjM")</f>
        <v>https://t.co/YQT1zk3pjM</v>
      </c>
      <c r="AX456" s="76" t="b">
        <v>0</v>
      </c>
      <c r="AY456" s="76"/>
      <c r="AZ456" s="76"/>
      <c r="BA456" s="76" t="b">
        <v>0</v>
      </c>
      <c r="BB456" s="76" t="b">
        <v>1</v>
      </c>
      <c r="BC456" s="76" t="b">
        <v>1</v>
      </c>
      <c r="BD456" s="76" t="b">
        <v>0</v>
      </c>
      <c r="BE456" s="76" t="b">
        <v>0</v>
      </c>
      <c r="BF456" s="76" t="b">
        <v>0</v>
      </c>
      <c r="BG456" s="76" t="b">
        <v>0</v>
      </c>
      <c r="BH456" s="83" t="str">
        <f>HYPERLINK("https://pbs.twimg.com/profile_banners/1684163484832129024/1691060386")</f>
        <v>https://pbs.twimg.com/profile_banners/1684163484832129024/1691060386</v>
      </c>
      <c r="BI456" s="76"/>
      <c r="BJ456" s="76" t="s">
        <v>18704</v>
      </c>
      <c r="BK456" s="76" t="b">
        <v>0</v>
      </c>
      <c r="BL456" s="76"/>
      <c r="BM456" s="76" t="s">
        <v>66</v>
      </c>
      <c r="BN456" s="76" t="s">
        <v>18706</v>
      </c>
      <c r="BO456" s="83" t="str">
        <f>HYPERLINK("https://twitter.com/430ambuzz")</f>
        <v>https://twitter.com/430ambuzz</v>
      </c>
      <c r="BP456" s="2"/>
    </row>
    <row r="457" spans="1:68" x14ac:dyDescent="0.25">
      <c r="A457" s="62" t="s">
        <v>588</v>
      </c>
      <c r="B457" s="63"/>
      <c r="C457" s="63"/>
      <c r="D457" s="64"/>
      <c r="E457" s="66"/>
      <c r="F457" s="102" t="str">
        <f>HYPERLINK("https://pbs.twimg.com/profile_images/1471850434977488896/KaH6O9XV_normal.jpg")</f>
        <v>https://pbs.twimg.com/profile_images/1471850434977488896/KaH6O9XV_normal.jpg</v>
      </c>
      <c r="G457" s="63"/>
      <c r="H457" s="67"/>
      <c r="I457" s="68"/>
      <c r="J457" s="68"/>
      <c r="K457" s="67" t="s">
        <v>19160</v>
      </c>
      <c r="L457" s="71"/>
      <c r="M457" s="72"/>
      <c r="N457" s="72"/>
      <c r="O457" s="73"/>
      <c r="P457" s="74"/>
      <c r="Q457" s="74"/>
      <c r="R457" s="86"/>
      <c r="S457" s="86"/>
      <c r="T457" s="86"/>
      <c r="U457" s="86"/>
      <c r="V457" s="48"/>
      <c r="W457" s="48"/>
      <c r="X457" s="48"/>
      <c r="Y457" s="48"/>
      <c r="Z457" s="47"/>
      <c r="AA457" s="69">
        <v>457</v>
      </c>
      <c r="AB457" s="69"/>
      <c r="AC457" s="70"/>
      <c r="AD457" s="76" t="s">
        <v>16883</v>
      </c>
      <c r="AE457" s="81" t="s">
        <v>17284</v>
      </c>
      <c r="AF457" s="76">
        <v>1134</v>
      </c>
      <c r="AG457" s="76">
        <v>1469</v>
      </c>
      <c r="AH457" s="76">
        <v>101586</v>
      </c>
      <c r="AI457" s="76">
        <v>180</v>
      </c>
      <c r="AJ457" s="76">
        <v>74797</v>
      </c>
      <c r="AK457" s="76">
        <v>20751</v>
      </c>
      <c r="AL457" s="76" t="b">
        <v>0</v>
      </c>
      <c r="AM457" s="78">
        <v>40784.09175925926</v>
      </c>
      <c r="AN457" s="76" t="s">
        <v>17578</v>
      </c>
      <c r="AO457" s="76" t="s">
        <v>18049</v>
      </c>
      <c r="AP457" s="76"/>
      <c r="AQ457" s="76"/>
      <c r="AR457" s="76"/>
      <c r="AS457" s="76"/>
      <c r="AT457" s="76"/>
      <c r="AU457" s="76"/>
      <c r="AV457" s="76">
        <v>1.31459757326989E+18</v>
      </c>
      <c r="AW457" s="76"/>
      <c r="AX457" s="76" t="b">
        <v>0</v>
      </c>
      <c r="AY457" s="76"/>
      <c r="AZ457" s="76"/>
      <c r="BA457" s="76" t="b">
        <v>1</v>
      </c>
      <c r="BB457" s="76" t="b">
        <v>0</v>
      </c>
      <c r="BC457" s="76" t="b">
        <v>0</v>
      </c>
      <c r="BD457" s="76" t="b">
        <v>0</v>
      </c>
      <c r="BE457" s="76" t="b">
        <v>1</v>
      </c>
      <c r="BF457" s="76" t="b">
        <v>0</v>
      </c>
      <c r="BG457" s="76" t="b">
        <v>0</v>
      </c>
      <c r="BH457" s="83" t="str">
        <f>HYPERLINK("https://pbs.twimg.com/profile_banners/364017930/1639751464")</f>
        <v>https://pbs.twimg.com/profile_banners/364017930/1639751464</v>
      </c>
      <c r="BI457" s="76"/>
      <c r="BJ457" s="76" t="s">
        <v>18704</v>
      </c>
      <c r="BK457" s="76" t="b">
        <v>0</v>
      </c>
      <c r="BL457" s="76"/>
      <c r="BM457" s="76" t="s">
        <v>66</v>
      </c>
      <c r="BN457" s="76" t="s">
        <v>18706</v>
      </c>
      <c r="BO457" s="83" t="str">
        <f>HYPERLINK("https://twitter.com/drcrypto2023")</f>
        <v>https://twitter.com/drcrypto2023</v>
      </c>
      <c r="BP457" s="2"/>
    </row>
    <row r="458" spans="1:68" x14ac:dyDescent="0.25">
      <c r="A458" s="62" t="s">
        <v>589</v>
      </c>
      <c r="B458" s="63"/>
      <c r="C458" s="63"/>
      <c r="D458" s="64"/>
      <c r="E458" s="66"/>
      <c r="F458" s="102" t="str">
        <f>HYPERLINK("https://pbs.twimg.com/profile_images/1588505383865311233/t_BESzDL_normal.jpg")</f>
        <v>https://pbs.twimg.com/profile_images/1588505383865311233/t_BESzDL_normal.jpg</v>
      </c>
      <c r="G458" s="63"/>
      <c r="H458" s="67"/>
      <c r="I458" s="68"/>
      <c r="J458" s="68"/>
      <c r="K458" s="67" t="s">
        <v>19161</v>
      </c>
      <c r="L458" s="71"/>
      <c r="M458" s="72"/>
      <c r="N458" s="72"/>
      <c r="O458" s="73"/>
      <c r="P458" s="74"/>
      <c r="Q458" s="74"/>
      <c r="R458" s="86"/>
      <c r="S458" s="86"/>
      <c r="T458" s="86"/>
      <c r="U458" s="86"/>
      <c r="V458" s="48"/>
      <c r="W458" s="48"/>
      <c r="X458" s="48"/>
      <c r="Y458" s="48"/>
      <c r="Z458" s="47"/>
      <c r="AA458" s="69">
        <v>458</v>
      </c>
      <c r="AB458" s="69"/>
      <c r="AC458" s="70"/>
      <c r="AD458" s="76" t="s">
        <v>16884</v>
      </c>
      <c r="AE458" s="81" t="s">
        <v>16313</v>
      </c>
      <c r="AF458" s="76">
        <v>2001</v>
      </c>
      <c r="AG458" s="76">
        <v>82</v>
      </c>
      <c r="AH458" s="76">
        <v>1434</v>
      </c>
      <c r="AI458" s="76">
        <v>15</v>
      </c>
      <c r="AJ458" s="76">
        <v>485</v>
      </c>
      <c r="AK458" s="76">
        <v>404</v>
      </c>
      <c r="AL458" s="76" t="b">
        <v>0</v>
      </c>
      <c r="AM458" s="78">
        <v>44415.823159722226</v>
      </c>
      <c r="AN458" s="76" t="s">
        <v>10571</v>
      </c>
      <c r="AO458" s="76" t="s">
        <v>18050</v>
      </c>
      <c r="AP458" s="83" t="str">
        <f>HYPERLINK("https://t.co/BUonoaZZB5")</f>
        <v>https://t.co/BUonoaZZB5</v>
      </c>
      <c r="AQ458" s="83" t="str">
        <f>HYPERLINK("https://arthurmining.com/")</f>
        <v>https://arthurmining.com/</v>
      </c>
      <c r="AR458" s="76" t="s">
        <v>18500</v>
      </c>
      <c r="AS458" s="76"/>
      <c r="AT458" s="76"/>
      <c r="AU458" s="76"/>
      <c r="AV458" s="76"/>
      <c r="AW458" s="83" t="str">
        <f>HYPERLINK("https://t.co/BUonoaZZB5")</f>
        <v>https://t.co/BUonoaZZB5</v>
      </c>
      <c r="AX458" s="76" t="b">
        <v>0</v>
      </c>
      <c r="AY458" s="76"/>
      <c r="AZ458" s="76"/>
      <c r="BA458" s="76" t="b">
        <v>1</v>
      </c>
      <c r="BB458" s="76" t="b">
        <v>1</v>
      </c>
      <c r="BC458" s="76" t="b">
        <v>1</v>
      </c>
      <c r="BD458" s="76" t="b">
        <v>0</v>
      </c>
      <c r="BE458" s="76" t="b">
        <v>1</v>
      </c>
      <c r="BF458" s="76" t="b">
        <v>0</v>
      </c>
      <c r="BG458" s="76" t="b">
        <v>0</v>
      </c>
      <c r="BH458" s="83" t="str">
        <f>HYPERLINK("https://pbs.twimg.com/profile_banners/1424094277668376576/1667564172")</f>
        <v>https://pbs.twimg.com/profile_banners/1424094277668376576/1667564172</v>
      </c>
      <c r="BI458" s="76"/>
      <c r="BJ458" s="76" t="s">
        <v>18704</v>
      </c>
      <c r="BK458" s="76" t="b">
        <v>0</v>
      </c>
      <c r="BL458" s="76"/>
      <c r="BM458" s="76" t="s">
        <v>66</v>
      </c>
      <c r="BN458" s="76" t="s">
        <v>18706</v>
      </c>
      <c r="BO458" s="83" t="str">
        <f>HYPERLINK("https://twitter.com/arthurmining")</f>
        <v>https://twitter.com/arthurmining</v>
      </c>
      <c r="BP458" s="2"/>
    </row>
    <row r="459" spans="1:68" x14ac:dyDescent="0.25">
      <c r="A459" s="62" t="s">
        <v>590</v>
      </c>
      <c r="B459" s="63"/>
      <c r="C459" s="63"/>
      <c r="D459" s="64"/>
      <c r="E459" s="66"/>
      <c r="F459" s="102" t="str">
        <f>HYPERLINK("https://pbs.twimg.com/profile_images/1706647655173025793/-PBtaH7E_normal.jpg")</f>
        <v>https://pbs.twimg.com/profile_images/1706647655173025793/-PBtaH7E_normal.jpg</v>
      </c>
      <c r="G459" s="63"/>
      <c r="H459" s="67"/>
      <c r="I459" s="68"/>
      <c r="J459" s="68"/>
      <c r="K459" s="67" t="s">
        <v>19162</v>
      </c>
      <c r="L459" s="71"/>
      <c r="M459" s="72"/>
      <c r="N459" s="72"/>
      <c r="O459" s="73"/>
      <c r="P459" s="74"/>
      <c r="Q459" s="74"/>
      <c r="R459" s="86"/>
      <c r="S459" s="86"/>
      <c r="T459" s="86"/>
      <c r="U459" s="86"/>
      <c r="V459" s="48"/>
      <c r="W459" s="48"/>
      <c r="X459" s="48"/>
      <c r="Y459" s="48"/>
      <c r="Z459" s="47"/>
      <c r="AA459" s="69">
        <v>459</v>
      </c>
      <c r="AB459" s="69"/>
      <c r="AC459" s="70"/>
      <c r="AD459" s="76" t="s">
        <v>16885</v>
      </c>
      <c r="AE459" s="81" t="s">
        <v>16314</v>
      </c>
      <c r="AF459" s="76">
        <v>8</v>
      </c>
      <c r="AG459" s="76">
        <v>8</v>
      </c>
      <c r="AH459" s="76">
        <v>98</v>
      </c>
      <c r="AI459" s="76">
        <v>0</v>
      </c>
      <c r="AJ459" s="76">
        <v>180</v>
      </c>
      <c r="AK459" s="76">
        <v>95</v>
      </c>
      <c r="AL459" s="76" t="b">
        <v>0</v>
      </c>
      <c r="AM459" s="78">
        <v>45103.787083333336</v>
      </c>
      <c r="AN459" s="76" t="s">
        <v>17579</v>
      </c>
      <c r="AO459" s="76" t="s">
        <v>18051</v>
      </c>
      <c r="AP459" s="83" t="str">
        <f>HYPERLINK("https://t.co/TrPlHrdqXk")</f>
        <v>https://t.co/TrPlHrdqXk</v>
      </c>
      <c r="AQ459" s="83" t="str">
        <f>HYPERLINK("https://www.instagram.com/falcontradercampinas/")</f>
        <v>https://www.instagram.com/falcontradercampinas/</v>
      </c>
      <c r="AR459" s="76" t="s">
        <v>18501</v>
      </c>
      <c r="AS459" s="76"/>
      <c r="AT459" s="76"/>
      <c r="AU459" s="76"/>
      <c r="AV459" s="76"/>
      <c r="AW459" s="83" t="str">
        <f>HYPERLINK("https://t.co/TrPlHrdqXk")</f>
        <v>https://t.co/TrPlHrdqXk</v>
      </c>
      <c r="AX459" s="76" t="b">
        <v>0</v>
      </c>
      <c r="AY459" s="76"/>
      <c r="AZ459" s="76"/>
      <c r="BA459" s="76" t="b">
        <v>0</v>
      </c>
      <c r="BB459" s="76" t="b">
        <v>1</v>
      </c>
      <c r="BC459" s="76" t="b">
        <v>1</v>
      </c>
      <c r="BD459" s="76" t="b">
        <v>0</v>
      </c>
      <c r="BE459" s="76" t="b">
        <v>0</v>
      </c>
      <c r="BF459" s="76" t="b">
        <v>0</v>
      </c>
      <c r="BG459" s="76" t="b">
        <v>0</v>
      </c>
      <c r="BH459" s="83" t="str">
        <f>HYPERLINK("https://pbs.twimg.com/profile_banners/1673404024165376014/1689728883")</f>
        <v>https://pbs.twimg.com/profile_banners/1673404024165376014/1689728883</v>
      </c>
      <c r="BI459" s="76"/>
      <c r="BJ459" s="76" t="s">
        <v>18704</v>
      </c>
      <c r="BK459" s="76" t="b">
        <v>0</v>
      </c>
      <c r="BL459" s="76"/>
      <c r="BM459" s="76" t="s">
        <v>66</v>
      </c>
      <c r="BN459" s="76" t="s">
        <v>18706</v>
      </c>
      <c r="BO459" s="83" t="str">
        <f>HYPERLINK("https://twitter.com/falconcampinas")</f>
        <v>https://twitter.com/falconcampinas</v>
      </c>
      <c r="BP459" s="2"/>
    </row>
    <row r="460" spans="1:68" x14ac:dyDescent="0.25">
      <c r="A460" s="62" t="s">
        <v>591</v>
      </c>
      <c r="B460" s="63"/>
      <c r="C460" s="63"/>
      <c r="D460" s="64"/>
      <c r="E460" s="66"/>
      <c r="F460" s="102" t="str">
        <f>HYPERLINK("https://pbs.twimg.com/profile_images/1647723268244140035/3awIUq4D_normal.jpg")</f>
        <v>https://pbs.twimg.com/profile_images/1647723268244140035/3awIUq4D_normal.jpg</v>
      </c>
      <c r="G460" s="63"/>
      <c r="H460" s="67"/>
      <c r="I460" s="68"/>
      <c r="J460" s="68"/>
      <c r="K460" s="67" t="s">
        <v>19163</v>
      </c>
      <c r="L460" s="71"/>
      <c r="M460" s="72"/>
      <c r="N460" s="72"/>
      <c r="O460" s="73"/>
      <c r="P460" s="74"/>
      <c r="Q460" s="74"/>
      <c r="R460" s="86"/>
      <c r="S460" s="86"/>
      <c r="T460" s="86"/>
      <c r="U460" s="86"/>
      <c r="V460" s="48"/>
      <c r="W460" s="48"/>
      <c r="X460" s="48"/>
      <c r="Y460" s="48"/>
      <c r="Z460" s="47"/>
      <c r="AA460" s="69">
        <v>460</v>
      </c>
      <c r="AB460" s="69"/>
      <c r="AC460" s="70"/>
      <c r="AD460" s="76" t="s">
        <v>16886</v>
      </c>
      <c r="AE460" s="81" t="s">
        <v>16315</v>
      </c>
      <c r="AF460" s="76">
        <v>14</v>
      </c>
      <c r="AG460" s="76">
        <v>74</v>
      </c>
      <c r="AH460" s="76">
        <v>553</v>
      </c>
      <c r="AI460" s="76">
        <v>0</v>
      </c>
      <c r="AJ460" s="76">
        <v>3273</v>
      </c>
      <c r="AK460" s="76">
        <v>2</v>
      </c>
      <c r="AL460" s="76" t="b">
        <v>0</v>
      </c>
      <c r="AM460" s="78">
        <v>45032.920706018522</v>
      </c>
      <c r="AN460" s="76"/>
      <c r="AO460" s="76"/>
      <c r="AP460" s="76"/>
      <c r="AQ460" s="76"/>
      <c r="AR460" s="76"/>
      <c r="AS460" s="76"/>
      <c r="AT460" s="76"/>
      <c r="AU460" s="76"/>
      <c r="AV460" s="76"/>
      <c r="AW460" s="76"/>
      <c r="AX460" s="76" t="b">
        <v>0</v>
      </c>
      <c r="AY460" s="76"/>
      <c r="AZ460" s="76"/>
      <c r="BA460" s="76" t="b">
        <v>0</v>
      </c>
      <c r="BB460" s="76" t="b">
        <v>1</v>
      </c>
      <c r="BC460" s="76" t="b">
        <v>1</v>
      </c>
      <c r="BD460" s="76" t="b">
        <v>0</v>
      </c>
      <c r="BE460" s="76" t="b">
        <v>0</v>
      </c>
      <c r="BF460" s="76" t="b">
        <v>0</v>
      </c>
      <c r="BG460" s="76" t="b">
        <v>0</v>
      </c>
      <c r="BH460" s="76"/>
      <c r="BI460" s="76"/>
      <c r="BJ460" s="76" t="s">
        <v>18704</v>
      </c>
      <c r="BK460" s="76" t="b">
        <v>0</v>
      </c>
      <c r="BL460" s="76"/>
      <c r="BM460" s="76" t="s">
        <v>66</v>
      </c>
      <c r="BN460" s="76" t="s">
        <v>18706</v>
      </c>
      <c r="BO460" s="83" t="str">
        <f>HYPERLINK("https://twitter.com/cesargonandy")</f>
        <v>https://twitter.com/cesargonandy</v>
      </c>
      <c r="BP460" s="2"/>
    </row>
    <row r="461" spans="1:68" x14ac:dyDescent="0.25">
      <c r="A461" s="62" t="s">
        <v>730</v>
      </c>
      <c r="B461" s="63"/>
      <c r="C461" s="63"/>
      <c r="D461" s="64"/>
      <c r="E461" s="66"/>
      <c r="F461" s="102" t="str">
        <f>HYPERLINK("https://pbs.twimg.com/profile_images/1589698715031420928/9t9O5uhf_normal.jpg")</f>
        <v>https://pbs.twimg.com/profile_images/1589698715031420928/9t9O5uhf_normal.jpg</v>
      </c>
      <c r="G461" s="63"/>
      <c r="H461" s="67"/>
      <c r="I461" s="68"/>
      <c r="J461" s="68"/>
      <c r="K461" s="67" t="s">
        <v>19164</v>
      </c>
      <c r="L461" s="71"/>
      <c r="M461" s="72"/>
      <c r="N461" s="72"/>
      <c r="O461" s="73"/>
      <c r="P461" s="74"/>
      <c r="Q461" s="74"/>
      <c r="R461" s="86"/>
      <c r="S461" s="86"/>
      <c r="T461" s="86"/>
      <c r="U461" s="86"/>
      <c r="V461" s="48"/>
      <c r="W461" s="48"/>
      <c r="X461" s="48"/>
      <c r="Y461" s="48"/>
      <c r="Z461" s="47"/>
      <c r="AA461" s="69">
        <v>461</v>
      </c>
      <c r="AB461" s="69"/>
      <c r="AC461" s="70"/>
      <c r="AD461" s="76" t="s">
        <v>16887</v>
      </c>
      <c r="AE461" s="81" t="s">
        <v>17285</v>
      </c>
      <c r="AF461" s="76">
        <v>2131724</v>
      </c>
      <c r="AG461" s="76">
        <v>2062</v>
      </c>
      <c r="AH461" s="76">
        <v>460588</v>
      </c>
      <c r="AI461" s="76">
        <v>2577</v>
      </c>
      <c r="AJ461" s="76">
        <v>3201</v>
      </c>
      <c r="AK461" s="76">
        <v>145953</v>
      </c>
      <c r="AL461" s="76" t="b">
        <v>0</v>
      </c>
      <c r="AM461" s="78">
        <v>40196.785104166665</v>
      </c>
      <c r="AN461" s="76" t="s">
        <v>10570</v>
      </c>
      <c r="AO461" s="76" t="s">
        <v>18052</v>
      </c>
      <c r="AP461" s="83" t="str">
        <f>HYPERLINK("https://t.co/JZeDYPM5T6")</f>
        <v>https://t.co/JZeDYPM5T6</v>
      </c>
      <c r="AQ461" s="83" t="str">
        <f>HYPERLINK("http://www.jovempan.com.br")</f>
        <v>http://www.jovempan.com.br</v>
      </c>
      <c r="AR461" s="76" t="s">
        <v>18502</v>
      </c>
      <c r="AS461" s="76" t="s">
        <v>18638</v>
      </c>
      <c r="AT461" s="76" t="s">
        <v>18649</v>
      </c>
      <c r="AU461" s="76" t="s">
        <v>18688</v>
      </c>
      <c r="AV461" s="76"/>
      <c r="AW461" s="83" t="str">
        <f>HYPERLINK("https://t.co/JZeDYPM5T6")</f>
        <v>https://t.co/JZeDYPM5T6</v>
      </c>
      <c r="AX461" s="76" t="b">
        <v>1</v>
      </c>
      <c r="AY461" s="76"/>
      <c r="AZ461" s="76"/>
      <c r="BA461" s="76" t="b">
        <v>0</v>
      </c>
      <c r="BB461" s="76" t="b">
        <v>0</v>
      </c>
      <c r="BC461" s="76" t="b">
        <v>0</v>
      </c>
      <c r="BD461" s="76" t="b">
        <v>0</v>
      </c>
      <c r="BE461" s="76" t="b">
        <v>1</v>
      </c>
      <c r="BF461" s="76" t="b">
        <v>0</v>
      </c>
      <c r="BG461" s="76" t="b">
        <v>0</v>
      </c>
      <c r="BH461" s="83" t="str">
        <f>HYPERLINK("https://pbs.twimg.com/profile_banners/106175018/1673539072")</f>
        <v>https://pbs.twimg.com/profile_banners/106175018/1673539072</v>
      </c>
      <c r="BI461" s="76"/>
      <c r="BJ461" s="76" t="s">
        <v>18704</v>
      </c>
      <c r="BK461" s="76" t="b">
        <v>0</v>
      </c>
      <c r="BL461" s="76"/>
      <c r="BM461" s="76" t="s">
        <v>66</v>
      </c>
      <c r="BN461" s="76" t="s">
        <v>18706</v>
      </c>
      <c r="BO461" s="83" t="str">
        <f>HYPERLINK("https://twitter.com/jovempannews")</f>
        <v>https://twitter.com/jovempannews</v>
      </c>
      <c r="BP461" s="2"/>
    </row>
    <row r="462" spans="1:68" x14ac:dyDescent="0.25">
      <c r="A462" s="62" t="s">
        <v>592</v>
      </c>
      <c r="B462" s="63"/>
      <c r="C462" s="63"/>
      <c r="D462" s="64"/>
      <c r="E462" s="66"/>
      <c r="F462" s="102" t="str">
        <f>HYPERLINK("https://pbs.twimg.com/profile_images/1701158285980659712/BUYtTWsH_normal.jpg")</f>
        <v>https://pbs.twimg.com/profile_images/1701158285980659712/BUYtTWsH_normal.jpg</v>
      </c>
      <c r="G462" s="63"/>
      <c r="H462" s="67"/>
      <c r="I462" s="68"/>
      <c r="J462" s="68"/>
      <c r="K462" s="67" t="s">
        <v>19165</v>
      </c>
      <c r="L462" s="71"/>
      <c r="M462" s="72"/>
      <c r="N462" s="72"/>
      <c r="O462" s="73"/>
      <c r="P462" s="74"/>
      <c r="Q462" s="74"/>
      <c r="R462" s="86"/>
      <c r="S462" s="86"/>
      <c r="T462" s="86"/>
      <c r="U462" s="86"/>
      <c r="V462" s="48"/>
      <c r="W462" s="48"/>
      <c r="X462" s="48"/>
      <c r="Y462" s="48"/>
      <c r="Z462" s="47"/>
      <c r="AA462" s="69">
        <v>462</v>
      </c>
      <c r="AB462" s="69"/>
      <c r="AC462" s="70"/>
      <c r="AD462" s="76" t="s">
        <v>16888</v>
      </c>
      <c r="AE462" s="81" t="s">
        <v>16316</v>
      </c>
      <c r="AF462" s="76">
        <v>579</v>
      </c>
      <c r="AG462" s="76">
        <v>2137</v>
      </c>
      <c r="AH462" s="76">
        <v>421</v>
      </c>
      <c r="AI462" s="76">
        <v>1</v>
      </c>
      <c r="AJ462" s="76">
        <v>1602</v>
      </c>
      <c r="AK462" s="76">
        <v>34</v>
      </c>
      <c r="AL462" s="76" t="b">
        <v>0</v>
      </c>
      <c r="AM462" s="78">
        <v>44461.742581018516</v>
      </c>
      <c r="AN462" s="76"/>
      <c r="AO462" s="76" t="s">
        <v>18053</v>
      </c>
      <c r="AP462" s="76"/>
      <c r="AQ462" s="76"/>
      <c r="AR462" s="76"/>
      <c r="AS462" s="76"/>
      <c r="AT462" s="76"/>
      <c r="AU462" s="76"/>
      <c r="AV462" s="76"/>
      <c r="AW462" s="76"/>
      <c r="AX462" s="76" t="b">
        <v>0</v>
      </c>
      <c r="AY462" s="76"/>
      <c r="AZ462" s="76"/>
      <c r="BA462" s="76" t="b">
        <v>0</v>
      </c>
      <c r="BB462" s="76" t="b">
        <v>1</v>
      </c>
      <c r="BC462" s="76" t="b">
        <v>1</v>
      </c>
      <c r="BD462" s="76" t="b">
        <v>0</v>
      </c>
      <c r="BE462" s="76" t="b">
        <v>1</v>
      </c>
      <c r="BF462" s="76" t="b">
        <v>0</v>
      </c>
      <c r="BG462" s="76" t="b">
        <v>0</v>
      </c>
      <c r="BH462" s="76"/>
      <c r="BI462" s="76"/>
      <c r="BJ462" s="76" t="s">
        <v>18704</v>
      </c>
      <c r="BK462" s="76" t="b">
        <v>0</v>
      </c>
      <c r="BL462" s="76"/>
      <c r="BM462" s="76" t="s">
        <v>66</v>
      </c>
      <c r="BN462" s="76" t="s">
        <v>18706</v>
      </c>
      <c r="BO462" s="83" t="str">
        <f>HYPERLINK("https://twitter.com/daanseloni")</f>
        <v>https://twitter.com/daanseloni</v>
      </c>
      <c r="BP462" s="2"/>
    </row>
    <row r="463" spans="1:68" x14ac:dyDescent="0.25">
      <c r="A463" s="62" t="s">
        <v>593</v>
      </c>
      <c r="B463" s="63"/>
      <c r="C463" s="63"/>
      <c r="D463" s="64"/>
      <c r="E463" s="66"/>
      <c r="F463" s="102" t="str">
        <f>HYPERLINK("https://pbs.twimg.com/profile_images/1168112477458096128/DSsQ-F6a_normal.jpg")</f>
        <v>https://pbs.twimg.com/profile_images/1168112477458096128/DSsQ-F6a_normal.jpg</v>
      </c>
      <c r="G463" s="63"/>
      <c r="H463" s="67"/>
      <c r="I463" s="68"/>
      <c r="J463" s="68"/>
      <c r="K463" s="67" t="s">
        <v>19166</v>
      </c>
      <c r="L463" s="71"/>
      <c r="M463" s="72"/>
      <c r="N463" s="72"/>
      <c r="O463" s="73"/>
      <c r="P463" s="74"/>
      <c r="Q463" s="74"/>
      <c r="R463" s="86"/>
      <c r="S463" s="86"/>
      <c r="T463" s="86"/>
      <c r="U463" s="86"/>
      <c r="V463" s="48"/>
      <c r="W463" s="48"/>
      <c r="X463" s="48"/>
      <c r="Y463" s="48"/>
      <c r="Z463" s="47"/>
      <c r="AA463" s="69">
        <v>463</v>
      </c>
      <c r="AB463" s="69"/>
      <c r="AC463" s="70"/>
      <c r="AD463" s="76" t="s">
        <v>16889</v>
      </c>
      <c r="AE463" s="81" t="s">
        <v>17286</v>
      </c>
      <c r="AF463" s="76">
        <v>1114</v>
      </c>
      <c r="AG463" s="76">
        <v>5003</v>
      </c>
      <c r="AH463" s="76">
        <v>550302</v>
      </c>
      <c r="AI463" s="76">
        <v>784</v>
      </c>
      <c r="AJ463" s="76">
        <v>43764</v>
      </c>
      <c r="AK463" s="76">
        <v>1317</v>
      </c>
      <c r="AL463" s="76" t="b">
        <v>0</v>
      </c>
      <c r="AM463" s="78">
        <v>39896.540185185186</v>
      </c>
      <c r="AN463" s="76"/>
      <c r="AO463" s="76"/>
      <c r="AP463" s="76"/>
      <c r="AQ463" s="76"/>
      <c r="AR463" s="76"/>
      <c r="AS463" s="76"/>
      <c r="AT463" s="76"/>
      <c r="AU463" s="76"/>
      <c r="AV463" s="76"/>
      <c r="AW463" s="76"/>
      <c r="AX463" s="76" t="b">
        <v>0</v>
      </c>
      <c r="AY463" s="76"/>
      <c r="AZ463" s="76"/>
      <c r="BA463" s="76" t="b">
        <v>1</v>
      </c>
      <c r="BB463" s="76" t="b">
        <v>0</v>
      </c>
      <c r="BC463" s="76" t="b">
        <v>1</v>
      </c>
      <c r="BD463" s="76" t="b">
        <v>0</v>
      </c>
      <c r="BE463" s="76" t="b">
        <v>1</v>
      </c>
      <c r="BF463" s="76" t="b">
        <v>0</v>
      </c>
      <c r="BG463" s="76" t="b">
        <v>0</v>
      </c>
      <c r="BH463" s="83" t="str">
        <f>HYPERLINK("https://pbs.twimg.com/profile_banners/26230407/1567334694")</f>
        <v>https://pbs.twimg.com/profile_banners/26230407/1567334694</v>
      </c>
      <c r="BI463" s="76"/>
      <c r="BJ463" s="76" t="s">
        <v>18704</v>
      </c>
      <c r="BK463" s="76" t="b">
        <v>0</v>
      </c>
      <c r="BL463" s="76"/>
      <c r="BM463" s="76" t="s">
        <v>66</v>
      </c>
      <c r="BN463" s="76" t="s">
        <v>18706</v>
      </c>
      <c r="BO463" s="83" t="str">
        <f>HYPERLINK("https://twitter.com/edimosip")</f>
        <v>https://twitter.com/edimosip</v>
      </c>
      <c r="BP463" s="2"/>
    </row>
    <row r="464" spans="1:68" x14ac:dyDescent="0.25">
      <c r="A464" s="62" t="s">
        <v>594</v>
      </c>
      <c r="B464" s="63"/>
      <c r="C464" s="63"/>
      <c r="D464" s="64"/>
      <c r="E464" s="66"/>
      <c r="F464" s="102" t="str">
        <f>HYPERLINK("https://pbs.twimg.com/profile_images/1699367784004583424/O5918_wm_normal.jpg")</f>
        <v>https://pbs.twimg.com/profile_images/1699367784004583424/O5918_wm_normal.jpg</v>
      </c>
      <c r="G464" s="63"/>
      <c r="H464" s="67"/>
      <c r="I464" s="68"/>
      <c r="J464" s="68"/>
      <c r="K464" s="67" t="s">
        <v>19167</v>
      </c>
      <c r="L464" s="71"/>
      <c r="M464" s="72"/>
      <c r="N464" s="72"/>
      <c r="O464" s="73"/>
      <c r="P464" s="74"/>
      <c r="Q464" s="74"/>
      <c r="R464" s="86"/>
      <c r="S464" s="86"/>
      <c r="T464" s="86"/>
      <c r="U464" s="86"/>
      <c r="V464" s="48"/>
      <c r="W464" s="48"/>
      <c r="X464" s="48"/>
      <c r="Y464" s="48"/>
      <c r="Z464" s="47"/>
      <c r="AA464" s="69">
        <v>464</v>
      </c>
      <c r="AB464" s="69"/>
      <c r="AC464" s="70"/>
      <c r="AD464" s="76" t="s">
        <v>16890</v>
      </c>
      <c r="AE464" s="81" t="s">
        <v>16317</v>
      </c>
      <c r="AF464" s="76">
        <v>220</v>
      </c>
      <c r="AG464" s="76">
        <v>309</v>
      </c>
      <c r="AH464" s="76">
        <v>21</v>
      </c>
      <c r="AI464" s="76">
        <v>2</v>
      </c>
      <c r="AJ464" s="76">
        <v>3433</v>
      </c>
      <c r="AK464" s="76">
        <v>0</v>
      </c>
      <c r="AL464" s="76" t="b">
        <v>0</v>
      </c>
      <c r="AM464" s="78">
        <v>44989.890092592592</v>
      </c>
      <c r="AN464" s="76"/>
      <c r="AO464" s="76" t="s">
        <v>18054</v>
      </c>
      <c r="AP464" s="76"/>
      <c r="AQ464" s="76"/>
      <c r="AR464" s="76"/>
      <c r="AS464" s="76"/>
      <c r="AT464" s="76"/>
      <c r="AU464" s="76"/>
      <c r="AV464" s="76"/>
      <c r="AW464" s="76"/>
      <c r="AX464" s="76" t="b">
        <v>0</v>
      </c>
      <c r="AY464" s="76"/>
      <c r="AZ464" s="76"/>
      <c r="BA464" s="76" t="b">
        <v>1</v>
      </c>
      <c r="BB464" s="76" t="b">
        <v>1</v>
      </c>
      <c r="BC464" s="76" t="b">
        <v>1</v>
      </c>
      <c r="BD464" s="76" t="b">
        <v>0</v>
      </c>
      <c r="BE464" s="76" t="b">
        <v>0</v>
      </c>
      <c r="BF464" s="76" t="b">
        <v>0</v>
      </c>
      <c r="BG464" s="76" t="b">
        <v>1</v>
      </c>
      <c r="BH464" s="83" t="str">
        <f>HYPERLINK("https://pbs.twimg.com/profile_banners/1632129141205262337/1694107280")</f>
        <v>https://pbs.twimg.com/profile_banners/1632129141205262337/1694107280</v>
      </c>
      <c r="BI464" s="76"/>
      <c r="BJ464" s="76" t="s">
        <v>18704</v>
      </c>
      <c r="BK464" s="76" t="b">
        <v>0</v>
      </c>
      <c r="BL464" s="76"/>
      <c r="BM464" s="76" t="s">
        <v>66</v>
      </c>
      <c r="BN464" s="76" t="s">
        <v>18706</v>
      </c>
      <c r="BO464" s="83" t="str">
        <f>HYPERLINK("https://twitter.com/confidenttrade3")</f>
        <v>https://twitter.com/confidenttrade3</v>
      </c>
      <c r="BP464" s="2"/>
    </row>
    <row r="465" spans="1:68" x14ac:dyDescent="0.25">
      <c r="A465" s="62" t="s">
        <v>595</v>
      </c>
      <c r="B465" s="63"/>
      <c r="C465" s="63"/>
      <c r="D465" s="64"/>
      <c r="E465" s="66"/>
      <c r="F465" s="102" t="str">
        <f>HYPERLINK("https://pbs.twimg.com/profile_images/1569629010757312512/uQgpkv_L_normal.jpg")</f>
        <v>https://pbs.twimg.com/profile_images/1569629010757312512/uQgpkv_L_normal.jpg</v>
      </c>
      <c r="G465" s="63"/>
      <c r="H465" s="67"/>
      <c r="I465" s="68"/>
      <c r="J465" s="68"/>
      <c r="K465" s="67" t="s">
        <v>19168</v>
      </c>
      <c r="L465" s="71"/>
      <c r="M465" s="72"/>
      <c r="N465" s="72"/>
      <c r="O465" s="73"/>
      <c r="P465" s="74"/>
      <c r="Q465" s="74"/>
      <c r="R465" s="86"/>
      <c r="S465" s="86"/>
      <c r="T465" s="86"/>
      <c r="U465" s="86"/>
      <c r="V465" s="48"/>
      <c r="W465" s="48"/>
      <c r="X465" s="48"/>
      <c r="Y465" s="48"/>
      <c r="Z465" s="47"/>
      <c r="AA465" s="69">
        <v>465</v>
      </c>
      <c r="AB465" s="69"/>
      <c r="AC465" s="70"/>
      <c r="AD465" s="76" t="s">
        <v>16891</v>
      </c>
      <c r="AE465" s="81" t="s">
        <v>17287</v>
      </c>
      <c r="AF465" s="76">
        <v>684</v>
      </c>
      <c r="AG465" s="76">
        <v>452</v>
      </c>
      <c r="AH465" s="76">
        <v>7985</v>
      </c>
      <c r="AI465" s="76">
        <v>119</v>
      </c>
      <c r="AJ465" s="76">
        <v>7534</v>
      </c>
      <c r="AK465" s="76">
        <v>2303</v>
      </c>
      <c r="AL465" s="76" t="b">
        <v>0</v>
      </c>
      <c r="AM465" s="78">
        <v>41012.411099537036</v>
      </c>
      <c r="AN465" s="76" t="s">
        <v>17419</v>
      </c>
      <c r="AO465" s="76" t="s">
        <v>18055</v>
      </c>
      <c r="AP465" s="83" t="str">
        <f>HYPERLINK("https://t.co/OrtZt2bhmd")</f>
        <v>https://t.co/OrtZt2bhmd</v>
      </c>
      <c r="AQ465" s="83" t="str">
        <f>HYPERLINK("https://linktr.ee/jlramirez")</f>
        <v>https://linktr.ee/jlramirez</v>
      </c>
      <c r="AR465" s="76" t="s">
        <v>18503</v>
      </c>
      <c r="AS465" s="76"/>
      <c r="AT465" s="76"/>
      <c r="AU465" s="76"/>
      <c r="AV465" s="76"/>
      <c r="AW465" s="83" t="str">
        <f>HYPERLINK("https://t.co/OrtZt2bhmd")</f>
        <v>https://t.co/OrtZt2bhmd</v>
      </c>
      <c r="AX465" s="76" t="b">
        <v>0</v>
      </c>
      <c r="AY465" s="76"/>
      <c r="AZ465" s="76"/>
      <c r="BA465" s="76" t="b">
        <v>0</v>
      </c>
      <c r="BB465" s="76" t="b">
        <v>0</v>
      </c>
      <c r="BC465" s="76" t="b">
        <v>0</v>
      </c>
      <c r="BD465" s="76" t="b">
        <v>0</v>
      </c>
      <c r="BE465" s="76" t="b">
        <v>0</v>
      </c>
      <c r="BF465" s="76" t="b">
        <v>0</v>
      </c>
      <c r="BG465" s="76" t="b">
        <v>0</v>
      </c>
      <c r="BH465" s="83" t="str">
        <f>HYPERLINK("https://pbs.twimg.com/profile_banners/552572110/1669364244")</f>
        <v>https://pbs.twimg.com/profile_banners/552572110/1669364244</v>
      </c>
      <c r="BI465" s="76"/>
      <c r="BJ465" s="76" t="s">
        <v>18704</v>
      </c>
      <c r="BK465" s="76" t="b">
        <v>0</v>
      </c>
      <c r="BL465" s="76"/>
      <c r="BM465" s="76" t="s">
        <v>66</v>
      </c>
      <c r="BN465" s="76" t="s">
        <v>18706</v>
      </c>
      <c r="BO465" s="83" t="str">
        <f>HYPERLINK("https://twitter.com/jose_gruporc")</f>
        <v>https://twitter.com/jose_gruporc</v>
      </c>
      <c r="BP465" s="2"/>
    </row>
    <row r="466" spans="1:68" x14ac:dyDescent="0.25">
      <c r="A466" s="62" t="s">
        <v>596</v>
      </c>
      <c r="B466" s="63"/>
      <c r="C466" s="63"/>
      <c r="D466" s="64"/>
      <c r="E466" s="66"/>
      <c r="F466" s="102" t="str">
        <f>HYPERLINK("https://pbs.twimg.com/profile_images/1466069676983734273/XP_2FS3A_normal.jpg")</f>
        <v>https://pbs.twimg.com/profile_images/1466069676983734273/XP_2FS3A_normal.jpg</v>
      </c>
      <c r="G466" s="63"/>
      <c r="H466" s="67"/>
      <c r="I466" s="68"/>
      <c r="J466" s="68"/>
      <c r="K466" s="67" t="s">
        <v>19169</v>
      </c>
      <c r="L466" s="71"/>
      <c r="M466" s="72"/>
      <c r="N466" s="72"/>
      <c r="O466" s="73"/>
      <c r="P466" s="74"/>
      <c r="Q466" s="74"/>
      <c r="R466" s="86"/>
      <c r="S466" s="86"/>
      <c r="T466" s="86"/>
      <c r="U466" s="86"/>
      <c r="V466" s="48"/>
      <c r="W466" s="48"/>
      <c r="X466" s="48"/>
      <c r="Y466" s="48"/>
      <c r="Z466" s="47"/>
      <c r="AA466" s="69">
        <v>466</v>
      </c>
      <c r="AB466" s="69"/>
      <c r="AC466" s="70"/>
      <c r="AD466" s="76" t="s">
        <v>16892</v>
      </c>
      <c r="AE466" s="81" t="s">
        <v>15964</v>
      </c>
      <c r="AF466" s="76">
        <v>110</v>
      </c>
      <c r="AG466" s="76">
        <v>96</v>
      </c>
      <c r="AH466" s="76">
        <v>518</v>
      </c>
      <c r="AI466" s="76">
        <v>0</v>
      </c>
      <c r="AJ466" s="76">
        <v>32</v>
      </c>
      <c r="AK466" s="76">
        <v>328</v>
      </c>
      <c r="AL466" s="76" t="b">
        <v>0</v>
      </c>
      <c r="AM466" s="78">
        <v>42944.021041666667</v>
      </c>
      <c r="AN466" s="76" t="s">
        <v>10570</v>
      </c>
      <c r="AO466" s="76" t="s">
        <v>18056</v>
      </c>
      <c r="AP466" s="83" t="str">
        <f>HYPERLINK("https://t.co/8cbLxEixid")</f>
        <v>https://t.co/8cbLxEixid</v>
      </c>
      <c r="AQ466" s="83" t="str">
        <f>HYPERLINK("http://gondimadv.com.br")</f>
        <v>http://gondimadv.com.br</v>
      </c>
      <c r="AR466" s="76" t="s">
        <v>18504</v>
      </c>
      <c r="AS466" s="76"/>
      <c r="AT466" s="76"/>
      <c r="AU466" s="76"/>
      <c r="AV466" s="76"/>
      <c r="AW466" s="83" t="str">
        <f>HYPERLINK("https://t.co/8cbLxEixid")</f>
        <v>https://t.co/8cbLxEixid</v>
      </c>
      <c r="AX466" s="76" t="b">
        <v>0</v>
      </c>
      <c r="AY466" s="76"/>
      <c r="AZ466" s="76"/>
      <c r="BA466" s="76" t="b">
        <v>0</v>
      </c>
      <c r="BB466" s="76" t="b">
        <v>1</v>
      </c>
      <c r="BC466" s="76" t="b">
        <v>0</v>
      </c>
      <c r="BD466" s="76" t="b">
        <v>0</v>
      </c>
      <c r="BE466" s="76" t="b">
        <v>0</v>
      </c>
      <c r="BF466" s="76" t="b">
        <v>0</v>
      </c>
      <c r="BG466" s="76" t="b">
        <v>0</v>
      </c>
      <c r="BH466" s="83" t="str">
        <f>HYPERLINK("https://pbs.twimg.com/profile_banners/890731102205337604/1638373225")</f>
        <v>https://pbs.twimg.com/profile_banners/890731102205337604/1638373225</v>
      </c>
      <c r="BI466" s="76"/>
      <c r="BJ466" s="76" t="s">
        <v>18704</v>
      </c>
      <c r="BK466" s="76" t="b">
        <v>0</v>
      </c>
      <c r="BL466" s="76"/>
      <c r="BM466" s="76" t="s">
        <v>66</v>
      </c>
      <c r="BN466" s="76" t="s">
        <v>18706</v>
      </c>
      <c r="BO466" s="83" t="str">
        <f>HYPERLINK("https://twitter.com/gondimadv")</f>
        <v>https://twitter.com/gondimadv</v>
      </c>
      <c r="BP466" s="2"/>
    </row>
    <row r="467" spans="1:68" x14ac:dyDescent="0.25">
      <c r="A467" s="62" t="s">
        <v>597</v>
      </c>
      <c r="B467" s="63"/>
      <c r="C467" s="63"/>
      <c r="D467" s="64"/>
      <c r="E467" s="66"/>
      <c r="F467" s="102" t="str">
        <f>HYPERLINK("https://pbs.twimg.com/profile_images/1592857784445435904/2TbcQKZE_normal.jpg")</f>
        <v>https://pbs.twimg.com/profile_images/1592857784445435904/2TbcQKZE_normal.jpg</v>
      </c>
      <c r="G467" s="63"/>
      <c r="H467" s="67"/>
      <c r="I467" s="68"/>
      <c r="J467" s="68"/>
      <c r="K467" s="67" t="s">
        <v>19170</v>
      </c>
      <c r="L467" s="71"/>
      <c r="M467" s="72"/>
      <c r="N467" s="72"/>
      <c r="O467" s="73"/>
      <c r="P467" s="74"/>
      <c r="Q467" s="74"/>
      <c r="R467" s="86"/>
      <c r="S467" s="86"/>
      <c r="T467" s="86"/>
      <c r="U467" s="86"/>
      <c r="V467" s="48"/>
      <c r="W467" s="48"/>
      <c r="X467" s="48"/>
      <c r="Y467" s="48"/>
      <c r="Z467" s="47"/>
      <c r="AA467" s="69">
        <v>467</v>
      </c>
      <c r="AB467" s="69"/>
      <c r="AC467" s="70"/>
      <c r="AD467" s="76" t="s">
        <v>16893</v>
      </c>
      <c r="AE467" s="81" t="s">
        <v>16318</v>
      </c>
      <c r="AF467" s="76">
        <v>1</v>
      </c>
      <c r="AG467" s="76">
        <v>41</v>
      </c>
      <c r="AH467" s="76">
        <v>20</v>
      </c>
      <c r="AI467" s="76">
        <v>1</v>
      </c>
      <c r="AJ467" s="76">
        <v>0</v>
      </c>
      <c r="AK467" s="76">
        <v>8</v>
      </c>
      <c r="AL467" s="76" t="b">
        <v>0</v>
      </c>
      <c r="AM467" s="78">
        <v>44847.998668981483</v>
      </c>
      <c r="AN467" s="76"/>
      <c r="AO467" s="76" t="s">
        <v>18057</v>
      </c>
      <c r="AP467" s="76"/>
      <c r="AQ467" s="76"/>
      <c r="AR467" s="76"/>
      <c r="AS467" s="76"/>
      <c r="AT467" s="76"/>
      <c r="AU467" s="76"/>
      <c r="AV467" s="76"/>
      <c r="AW467" s="76"/>
      <c r="AX467" s="76" t="b">
        <v>0</v>
      </c>
      <c r="AY467" s="76"/>
      <c r="AZ467" s="76"/>
      <c r="BA467" s="76" t="b">
        <v>0</v>
      </c>
      <c r="BB467" s="76" t="b">
        <v>1</v>
      </c>
      <c r="BC467" s="76" t="b">
        <v>1</v>
      </c>
      <c r="BD467" s="76" t="b">
        <v>0</v>
      </c>
      <c r="BE467" s="76" t="b">
        <v>0</v>
      </c>
      <c r="BF467" s="76" t="b">
        <v>0</v>
      </c>
      <c r="BG467" s="76" t="b">
        <v>0</v>
      </c>
      <c r="BH467" s="83" t="str">
        <f>HYPERLINK("https://pbs.twimg.com/profile_banners/1580709355195965440/1668602225")</f>
        <v>https://pbs.twimg.com/profile_banners/1580709355195965440/1668602225</v>
      </c>
      <c r="BI467" s="76"/>
      <c r="BJ467" s="76" t="s">
        <v>18704</v>
      </c>
      <c r="BK467" s="76" t="b">
        <v>0</v>
      </c>
      <c r="BL467" s="76"/>
      <c r="BM467" s="76" t="s">
        <v>66</v>
      </c>
      <c r="BN467" s="76" t="s">
        <v>18706</v>
      </c>
      <c r="BO467" s="83" t="str">
        <f>HYPERLINK("https://twitter.com/econoptions86")</f>
        <v>https://twitter.com/econoptions86</v>
      </c>
      <c r="BP467" s="2"/>
    </row>
    <row r="468" spans="1:68" x14ac:dyDescent="0.25">
      <c r="A468" s="62" t="s">
        <v>599</v>
      </c>
      <c r="B468" s="63"/>
      <c r="C468" s="63"/>
      <c r="D468" s="64"/>
      <c r="E468" s="66"/>
      <c r="F468" s="102" t="str">
        <f>HYPERLINK("https://pbs.twimg.com/profile_images/1563218658142330880/ryBIlntD_normal.jpg")</f>
        <v>https://pbs.twimg.com/profile_images/1563218658142330880/ryBIlntD_normal.jpg</v>
      </c>
      <c r="G468" s="63"/>
      <c r="H468" s="67"/>
      <c r="I468" s="68"/>
      <c r="J468" s="68"/>
      <c r="K468" s="67" t="s">
        <v>19171</v>
      </c>
      <c r="L468" s="71"/>
      <c r="M468" s="72"/>
      <c r="N468" s="72"/>
      <c r="O468" s="73"/>
      <c r="P468" s="74"/>
      <c r="Q468" s="74"/>
      <c r="R468" s="86"/>
      <c r="S468" s="86"/>
      <c r="T468" s="86"/>
      <c r="U468" s="86"/>
      <c r="V468" s="48"/>
      <c r="W468" s="48"/>
      <c r="X468" s="48"/>
      <c r="Y468" s="48"/>
      <c r="Z468" s="47"/>
      <c r="AA468" s="69">
        <v>468</v>
      </c>
      <c r="AB468" s="69"/>
      <c r="AC468" s="70"/>
      <c r="AD468" s="76" t="s">
        <v>16894</v>
      </c>
      <c r="AE468" s="81" t="s">
        <v>17288</v>
      </c>
      <c r="AF468" s="76">
        <v>933</v>
      </c>
      <c r="AG468" s="76">
        <v>556</v>
      </c>
      <c r="AH468" s="76">
        <v>28325</v>
      </c>
      <c r="AI468" s="76">
        <v>15</v>
      </c>
      <c r="AJ468" s="76">
        <v>133878</v>
      </c>
      <c r="AK468" s="76">
        <v>2093</v>
      </c>
      <c r="AL468" s="76" t="b">
        <v>0</v>
      </c>
      <c r="AM468" s="78">
        <v>39984.581319444442</v>
      </c>
      <c r="AN468" s="76" t="s">
        <v>10570</v>
      </c>
      <c r="AO468" s="76" t="s">
        <v>18058</v>
      </c>
      <c r="AP468" s="76"/>
      <c r="AQ468" s="76"/>
      <c r="AR468" s="76"/>
      <c r="AS468" s="76"/>
      <c r="AT468" s="76"/>
      <c r="AU468" s="76"/>
      <c r="AV468" s="76">
        <v>1.56006471507794E+18</v>
      </c>
      <c r="AW468" s="76"/>
      <c r="AX468" s="76" t="b">
        <v>0</v>
      </c>
      <c r="AY468" s="76"/>
      <c r="AZ468" s="76"/>
      <c r="BA468" s="76" t="b">
        <v>0</v>
      </c>
      <c r="BB468" s="76" t="b">
        <v>0</v>
      </c>
      <c r="BC468" s="76" t="b">
        <v>0</v>
      </c>
      <c r="BD468" s="76" t="b">
        <v>0</v>
      </c>
      <c r="BE468" s="76" t="b">
        <v>1</v>
      </c>
      <c r="BF468" s="76" t="b">
        <v>0</v>
      </c>
      <c r="BG468" s="76" t="b">
        <v>0</v>
      </c>
      <c r="BH468" s="83" t="str">
        <f>HYPERLINK("https://pbs.twimg.com/profile_banners/49011639/1669249133")</f>
        <v>https://pbs.twimg.com/profile_banners/49011639/1669249133</v>
      </c>
      <c r="BI468" s="76"/>
      <c r="BJ468" s="76" t="s">
        <v>18704</v>
      </c>
      <c r="BK468" s="76" t="b">
        <v>0</v>
      </c>
      <c r="BL468" s="76"/>
      <c r="BM468" s="76" t="s">
        <v>66</v>
      </c>
      <c r="BN468" s="76" t="s">
        <v>18706</v>
      </c>
      <c r="BO468" s="83" t="str">
        <f>HYPERLINK("https://twitter.com/pierrebomfim")</f>
        <v>https://twitter.com/pierrebomfim</v>
      </c>
      <c r="BP468" s="2"/>
    </row>
    <row r="469" spans="1:68" x14ac:dyDescent="0.25">
      <c r="A469" s="62" t="s">
        <v>600</v>
      </c>
      <c r="B469" s="63"/>
      <c r="C469" s="63"/>
      <c r="D469" s="64"/>
      <c r="E469" s="66"/>
      <c r="F469" s="102" t="str">
        <f>HYPERLINK("https://pbs.twimg.com/profile_images/1477399575665201156/nICPSJyE_normal.jpg")</f>
        <v>https://pbs.twimg.com/profile_images/1477399575665201156/nICPSJyE_normal.jpg</v>
      </c>
      <c r="G469" s="63"/>
      <c r="H469" s="67"/>
      <c r="I469" s="68"/>
      <c r="J469" s="68"/>
      <c r="K469" s="67" t="s">
        <v>19172</v>
      </c>
      <c r="L469" s="71"/>
      <c r="M469" s="72"/>
      <c r="N469" s="72"/>
      <c r="O469" s="73"/>
      <c r="P469" s="74"/>
      <c r="Q469" s="74"/>
      <c r="R469" s="86"/>
      <c r="S469" s="86"/>
      <c r="T469" s="86"/>
      <c r="U469" s="86"/>
      <c r="V469" s="48"/>
      <c r="W469" s="48"/>
      <c r="X469" s="48"/>
      <c r="Y469" s="48"/>
      <c r="Z469" s="47"/>
      <c r="AA469" s="69">
        <v>469</v>
      </c>
      <c r="AB469" s="69"/>
      <c r="AC469" s="70"/>
      <c r="AD469" s="76" t="s">
        <v>16895</v>
      </c>
      <c r="AE469" s="81" t="s">
        <v>16320</v>
      </c>
      <c r="AF469" s="76">
        <v>40</v>
      </c>
      <c r="AG469" s="76">
        <v>241</v>
      </c>
      <c r="AH469" s="76">
        <v>131</v>
      </c>
      <c r="AI469" s="76">
        <v>0</v>
      </c>
      <c r="AJ469" s="76">
        <v>11</v>
      </c>
      <c r="AK469" s="76">
        <v>37</v>
      </c>
      <c r="AL469" s="76" t="b">
        <v>0</v>
      </c>
      <c r="AM469" s="78">
        <v>44562.857615740744</v>
      </c>
      <c r="AN469" s="76" t="s">
        <v>17580</v>
      </c>
      <c r="AO469" s="76" t="s">
        <v>18059</v>
      </c>
      <c r="AP469" s="76"/>
      <c r="AQ469" s="76"/>
      <c r="AR469" s="76"/>
      <c r="AS469" s="76"/>
      <c r="AT469" s="76"/>
      <c r="AU469" s="76"/>
      <c r="AV469" s="76">
        <v>1.47741618200111E+18</v>
      </c>
      <c r="AW469" s="76"/>
      <c r="AX469" s="76" t="b">
        <v>0</v>
      </c>
      <c r="AY469" s="76"/>
      <c r="AZ469" s="76"/>
      <c r="BA469" s="76" t="b">
        <v>1</v>
      </c>
      <c r="BB469" s="76" t="b">
        <v>1</v>
      </c>
      <c r="BC469" s="76" t="b">
        <v>1</v>
      </c>
      <c r="BD469" s="76" t="b">
        <v>0</v>
      </c>
      <c r="BE469" s="76" t="b">
        <v>0</v>
      </c>
      <c r="BF469" s="76" t="b">
        <v>0</v>
      </c>
      <c r="BG469" s="76" t="b">
        <v>0</v>
      </c>
      <c r="BH469" s="83" t="str">
        <f>HYPERLINK("https://pbs.twimg.com/profile_banners/1477377770539859969/1641076816")</f>
        <v>https://pbs.twimg.com/profile_banners/1477377770539859969/1641076816</v>
      </c>
      <c r="BI469" s="76"/>
      <c r="BJ469" s="76" t="s">
        <v>18704</v>
      </c>
      <c r="BK469" s="76" t="b">
        <v>0</v>
      </c>
      <c r="BL469" s="76"/>
      <c r="BM469" s="76" t="s">
        <v>66</v>
      </c>
      <c r="BN469" s="76" t="s">
        <v>18706</v>
      </c>
      <c r="BO469" s="83" t="str">
        <f>HYPERLINK("https://twitter.com/profits_capital")</f>
        <v>https://twitter.com/profits_capital</v>
      </c>
      <c r="BP469" s="2"/>
    </row>
    <row r="470" spans="1:68" x14ac:dyDescent="0.25">
      <c r="A470" s="62" t="s">
        <v>602</v>
      </c>
      <c r="B470" s="63"/>
      <c r="C470" s="63"/>
      <c r="D470" s="64"/>
      <c r="E470" s="66"/>
      <c r="F470" s="102" t="str">
        <f>HYPERLINK("https://pbs.twimg.com/profile_images/1305283599210610691/3-FRbiNi_normal.jpg")</f>
        <v>https://pbs.twimg.com/profile_images/1305283599210610691/3-FRbiNi_normal.jpg</v>
      </c>
      <c r="G470" s="63"/>
      <c r="H470" s="67"/>
      <c r="I470" s="68"/>
      <c r="J470" s="68"/>
      <c r="K470" s="67" t="s">
        <v>19173</v>
      </c>
      <c r="L470" s="71"/>
      <c r="M470" s="72"/>
      <c r="N470" s="72"/>
      <c r="O470" s="73"/>
      <c r="P470" s="74"/>
      <c r="Q470" s="74"/>
      <c r="R470" s="86"/>
      <c r="S470" s="86"/>
      <c r="T470" s="86"/>
      <c r="U470" s="86"/>
      <c r="V470" s="48"/>
      <c r="W470" s="48"/>
      <c r="X470" s="48"/>
      <c r="Y470" s="48"/>
      <c r="Z470" s="47"/>
      <c r="AA470" s="69">
        <v>470</v>
      </c>
      <c r="AB470" s="69"/>
      <c r="AC470" s="70"/>
      <c r="AD470" s="76" t="s">
        <v>16896</v>
      </c>
      <c r="AE470" s="81" t="s">
        <v>17289</v>
      </c>
      <c r="AF470" s="76">
        <v>3984</v>
      </c>
      <c r="AG470" s="76">
        <v>298</v>
      </c>
      <c r="AH470" s="76">
        <v>10352</v>
      </c>
      <c r="AI470" s="76">
        <v>83</v>
      </c>
      <c r="AJ470" s="76">
        <v>441</v>
      </c>
      <c r="AK470" s="76">
        <v>8070</v>
      </c>
      <c r="AL470" s="76" t="b">
        <v>0</v>
      </c>
      <c r="AM470" s="78">
        <v>40102.039155092592</v>
      </c>
      <c r="AN470" s="76" t="s">
        <v>17581</v>
      </c>
      <c r="AO470" s="76" t="s">
        <v>18060</v>
      </c>
      <c r="AP470" s="83" t="str">
        <f>HYPERLINK("http://t.co/N75sUg7fP1")</f>
        <v>http://t.co/N75sUg7fP1</v>
      </c>
      <c r="AQ470" s="83" t="str">
        <f>HYPERLINK("http://tgrafi.co")</f>
        <v>http://tgrafi.co</v>
      </c>
      <c r="AR470" s="76" t="s">
        <v>6543</v>
      </c>
      <c r="AS470" s="76"/>
      <c r="AT470" s="76"/>
      <c r="AU470" s="76"/>
      <c r="AV470" s="76"/>
      <c r="AW470" s="83" t="str">
        <f>HYPERLINK("http://t.co/N75sUg7fP1")</f>
        <v>http://t.co/N75sUg7fP1</v>
      </c>
      <c r="AX470" s="76" t="b">
        <v>0</v>
      </c>
      <c r="AY470" s="76"/>
      <c r="AZ470" s="76"/>
      <c r="BA470" s="76" t="b">
        <v>0</v>
      </c>
      <c r="BB470" s="76" t="b">
        <v>1</v>
      </c>
      <c r="BC470" s="76" t="b">
        <v>0</v>
      </c>
      <c r="BD470" s="76" t="b">
        <v>0</v>
      </c>
      <c r="BE470" s="76" t="b">
        <v>0</v>
      </c>
      <c r="BF470" s="76" t="b">
        <v>0</v>
      </c>
      <c r="BG470" s="76" t="b">
        <v>0</v>
      </c>
      <c r="BH470" s="83" t="str">
        <f>HYPERLINK("https://pbs.twimg.com/profile_banners/82758897/1600038836")</f>
        <v>https://pbs.twimg.com/profile_banners/82758897/1600038836</v>
      </c>
      <c r="BI470" s="76"/>
      <c r="BJ470" s="76" t="s">
        <v>18704</v>
      </c>
      <c r="BK470" s="76" t="b">
        <v>0</v>
      </c>
      <c r="BL470" s="76"/>
      <c r="BM470" s="76" t="s">
        <v>66</v>
      </c>
      <c r="BN470" s="76" t="s">
        <v>18706</v>
      </c>
      <c r="BO470" s="83" t="str">
        <f>HYPERLINK("https://twitter.com/tradergrafico")</f>
        <v>https://twitter.com/tradergrafico</v>
      </c>
      <c r="BP470" s="2"/>
    </row>
    <row r="471" spans="1:68" x14ac:dyDescent="0.25">
      <c r="A471" s="62" t="s">
        <v>603</v>
      </c>
      <c r="B471" s="63"/>
      <c r="C471" s="63"/>
      <c r="D471" s="64"/>
      <c r="E471" s="66"/>
      <c r="F471" s="102" t="str">
        <f>HYPERLINK("https://pbs.twimg.com/profile_images/1001414155692380160/gvkxSkzA_normal.jpg")</f>
        <v>https://pbs.twimg.com/profile_images/1001414155692380160/gvkxSkzA_normal.jpg</v>
      </c>
      <c r="G471" s="63"/>
      <c r="H471" s="67"/>
      <c r="I471" s="68"/>
      <c r="J471" s="68"/>
      <c r="K471" s="67" t="s">
        <v>19174</v>
      </c>
      <c r="L471" s="71"/>
      <c r="M471" s="72"/>
      <c r="N471" s="72"/>
      <c r="O471" s="73"/>
      <c r="P471" s="74"/>
      <c r="Q471" s="74"/>
      <c r="R471" s="86"/>
      <c r="S471" s="86"/>
      <c r="T471" s="86"/>
      <c r="U471" s="86"/>
      <c r="V471" s="48"/>
      <c r="W471" s="48"/>
      <c r="X471" s="48"/>
      <c r="Y471" s="48"/>
      <c r="Z471" s="47"/>
      <c r="AA471" s="69">
        <v>471</v>
      </c>
      <c r="AB471" s="69"/>
      <c r="AC471" s="70"/>
      <c r="AD471" s="76" t="s">
        <v>16897</v>
      </c>
      <c r="AE471" s="81" t="s">
        <v>17290</v>
      </c>
      <c r="AF471" s="76">
        <v>2244</v>
      </c>
      <c r="AG471" s="76">
        <v>482</v>
      </c>
      <c r="AH471" s="76">
        <v>4650</v>
      </c>
      <c r="AI471" s="76">
        <v>45</v>
      </c>
      <c r="AJ471" s="76">
        <v>1902</v>
      </c>
      <c r="AK471" s="76">
        <v>1520</v>
      </c>
      <c r="AL471" s="76" t="b">
        <v>0</v>
      </c>
      <c r="AM471" s="78">
        <v>41785.694201388891</v>
      </c>
      <c r="AN471" s="76" t="s">
        <v>17582</v>
      </c>
      <c r="AO471" s="76" t="s">
        <v>18061</v>
      </c>
      <c r="AP471" s="83" t="str">
        <f>HYPERLINK("http://t.co/Sgd0Nrmoni")</f>
        <v>http://t.co/Sgd0Nrmoni</v>
      </c>
      <c r="AQ471" s="83" t="str">
        <f>HYPERLINK("http://www.ontier.net")</f>
        <v>http://www.ontier.net</v>
      </c>
      <c r="AR471" s="76" t="s">
        <v>18505</v>
      </c>
      <c r="AS471" s="76"/>
      <c r="AT471" s="76"/>
      <c r="AU471" s="76"/>
      <c r="AV471" s="76">
        <v>1.7041228937250299E+18</v>
      </c>
      <c r="AW471" s="83" t="str">
        <f>HYPERLINK("http://t.co/Sgd0Nrmoni")</f>
        <v>http://t.co/Sgd0Nrmoni</v>
      </c>
      <c r="AX471" s="76" t="b">
        <v>0</v>
      </c>
      <c r="AY471" s="76"/>
      <c r="AZ471" s="76"/>
      <c r="BA471" s="76" t="b">
        <v>0</v>
      </c>
      <c r="BB471" s="76" t="b">
        <v>1</v>
      </c>
      <c r="BC471" s="76" t="b">
        <v>0</v>
      </c>
      <c r="BD471" s="76" t="b">
        <v>0</v>
      </c>
      <c r="BE471" s="76" t="b">
        <v>1</v>
      </c>
      <c r="BF471" s="76" t="b">
        <v>0</v>
      </c>
      <c r="BG471" s="76" t="b">
        <v>0</v>
      </c>
      <c r="BH471" s="83" t="str">
        <f>HYPERLINK("https://pbs.twimg.com/profile_banners/2525389716/1533213357")</f>
        <v>https://pbs.twimg.com/profile_banners/2525389716/1533213357</v>
      </c>
      <c r="BI471" s="76"/>
      <c r="BJ471" s="76" t="s">
        <v>18704</v>
      </c>
      <c r="BK471" s="76" t="b">
        <v>0</v>
      </c>
      <c r="BL471" s="76"/>
      <c r="BM471" s="76" t="s">
        <v>66</v>
      </c>
      <c r="BN471" s="76" t="s">
        <v>18706</v>
      </c>
      <c r="BO471" s="83" t="str">
        <f>HYPERLINK("https://twitter.com/ontierlaw")</f>
        <v>https://twitter.com/ontierlaw</v>
      </c>
      <c r="BP471" s="2"/>
    </row>
    <row r="472" spans="1:68" x14ac:dyDescent="0.25">
      <c r="A472" s="62" t="s">
        <v>821</v>
      </c>
      <c r="B472" s="63"/>
      <c r="C472" s="63"/>
      <c r="D472" s="64"/>
      <c r="E472" s="66"/>
      <c r="F472" s="102" t="str">
        <f>HYPERLINK("https://pbs.twimg.com/profile_images/1669098286450454529/WeTaAnQE_normal.jpg")</f>
        <v>https://pbs.twimg.com/profile_images/1669098286450454529/WeTaAnQE_normal.jpg</v>
      </c>
      <c r="G472" s="63"/>
      <c r="H472" s="67"/>
      <c r="I472" s="68"/>
      <c r="J472" s="68"/>
      <c r="K472" s="67" t="s">
        <v>19175</v>
      </c>
      <c r="L472" s="71"/>
      <c r="M472" s="72"/>
      <c r="N472" s="72"/>
      <c r="O472" s="73"/>
      <c r="P472" s="74"/>
      <c r="Q472" s="74"/>
      <c r="R472" s="86"/>
      <c r="S472" s="86"/>
      <c r="T472" s="86"/>
      <c r="U472" s="86"/>
      <c r="V472" s="48"/>
      <c r="W472" s="48"/>
      <c r="X472" s="48"/>
      <c r="Y472" s="48"/>
      <c r="Z472" s="47"/>
      <c r="AA472" s="69">
        <v>472</v>
      </c>
      <c r="AB472" s="69"/>
      <c r="AC472" s="70"/>
      <c r="AD472" s="76" t="s">
        <v>16898</v>
      </c>
      <c r="AE472" s="81" t="s">
        <v>17291</v>
      </c>
      <c r="AF472" s="76">
        <v>293333</v>
      </c>
      <c r="AG472" s="76">
        <v>207</v>
      </c>
      <c r="AH472" s="76">
        <v>13150</v>
      </c>
      <c r="AI472" s="76">
        <v>435</v>
      </c>
      <c r="AJ472" s="76">
        <v>3656</v>
      </c>
      <c r="AK472" s="76">
        <v>12186</v>
      </c>
      <c r="AL472" s="76" t="b">
        <v>0</v>
      </c>
      <c r="AM472" s="78">
        <v>40056.789351851854</v>
      </c>
      <c r="AN472" s="76" t="s">
        <v>17583</v>
      </c>
      <c r="AO472" s="76" t="s">
        <v>18062</v>
      </c>
      <c r="AP472" s="83" t="str">
        <f>HYPERLINK("https://t.co/d95Un9VOG0")</f>
        <v>https://t.co/d95Un9VOG0</v>
      </c>
      <c r="AQ472" s="83" t="str">
        <f>HYPERLINK("http://www.bcrp.gob.pe")</f>
        <v>http://www.bcrp.gob.pe</v>
      </c>
      <c r="AR472" s="76" t="s">
        <v>18506</v>
      </c>
      <c r="AS472" s="76"/>
      <c r="AT472" s="76"/>
      <c r="AU472" s="76"/>
      <c r="AV472" s="76"/>
      <c r="AW472" s="83" t="str">
        <f>HYPERLINK("https://t.co/d95Un9VOG0")</f>
        <v>https://t.co/d95Un9VOG0</v>
      </c>
      <c r="AX472" s="76" t="b">
        <v>0</v>
      </c>
      <c r="AY472" s="76"/>
      <c r="AZ472" s="76"/>
      <c r="BA472" s="76" t="b">
        <v>0</v>
      </c>
      <c r="BB472" s="76" t="b">
        <v>0</v>
      </c>
      <c r="BC472" s="76" t="b">
        <v>0</v>
      </c>
      <c r="BD472" s="76" t="b">
        <v>0</v>
      </c>
      <c r="BE472" s="76" t="b">
        <v>1</v>
      </c>
      <c r="BF472" s="76" t="b">
        <v>0</v>
      </c>
      <c r="BG472" s="76" t="b">
        <v>0</v>
      </c>
      <c r="BH472" s="83" t="str">
        <f>HYPERLINK("https://pbs.twimg.com/profile_banners/70469669/1691094130")</f>
        <v>https://pbs.twimg.com/profile_banners/70469669/1691094130</v>
      </c>
      <c r="BI472" s="76"/>
      <c r="BJ472" s="76" t="s">
        <v>18704</v>
      </c>
      <c r="BK472" s="76" t="b">
        <v>0</v>
      </c>
      <c r="BL472" s="76"/>
      <c r="BM472" s="76" t="s">
        <v>65</v>
      </c>
      <c r="BN472" s="76" t="s">
        <v>18706</v>
      </c>
      <c r="BO472" s="83" t="str">
        <f>HYPERLINK("https://twitter.com/bcrpoficial")</f>
        <v>https://twitter.com/bcrpoficial</v>
      </c>
      <c r="BP472" s="2"/>
    </row>
    <row r="473" spans="1:68" x14ac:dyDescent="0.25">
      <c r="A473" s="62" t="s">
        <v>822</v>
      </c>
      <c r="B473" s="63"/>
      <c r="C473" s="63"/>
      <c r="D473" s="64"/>
      <c r="E473" s="66"/>
      <c r="F473" s="102" t="str">
        <f>HYPERLINK("https://pbs.twimg.com/profile_images/1496181123390525443/HyX_AA7B_normal.jpg")</f>
        <v>https://pbs.twimg.com/profile_images/1496181123390525443/HyX_AA7B_normal.jpg</v>
      </c>
      <c r="G473" s="63"/>
      <c r="H473" s="67"/>
      <c r="I473" s="68"/>
      <c r="J473" s="68"/>
      <c r="K473" s="67" t="s">
        <v>19176</v>
      </c>
      <c r="L473" s="71"/>
      <c r="M473" s="72"/>
      <c r="N473" s="72"/>
      <c r="O473" s="73"/>
      <c r="P473" s="74"/>
      <c r="Q473" s="74"/>
      <c r="R473" s="86"/>
      <c r="S473" s="86"/>
      <c r="T473" s="86"/>
      <c r="U473" s="86"/>
      <c r="V473" s="48"/>
      <c r="W473" s="48"/>
      <c r="X473" s="48"/>
      <c r="Y473" s="48"/>
      <c r="Z473" s="47"/>
      <c r="AA473" s="69">
        <v>473</v>
      </c>
      <c r="AB473" s="69"/>
      <c r="AC473" s="70"/>
      <c r="AD473" s="76" t="s">
        <v>16899</v>
      </c>
      <c r="AE473" s="81" t="s">
        <v>17292</v>
      </c>
      <c r="AF473" s="76">
        <v>5792</v>
      </c>
      <c r="AG473" s="76">
        <v>348</v>
      </c>
      <c r="AH473" s="76">
        <v>7903</v>
      </c>
      <c r="AI473" s="76">
        <v>96</v>
      </c>
      <c r="AJ473" s="76">
        <v>3821</v>
      </c>
      <c r="AK473" s="76">
        <v>1847</v>
      </c>
      <c r="AL473" s="76" t="b">
        <v>0</v>
      </c>
      <c r="AM473" s="78">
        <v>40472.680428240739</v>
      </c>
      <c r="AN473" s="76" t="s">
        <v>17584</v>
      </c>
      <c r="AO473" s="76" t="s">
        <v>18063</v>
      </c>
      <c r="AP473" s="83" t="str">
        <f>HYPERLINK("https://t.co/yD0qUbmxdg")</f>
        <v>https://t.co/yD0qUbmxdg</v>
      </c>
      <c r="AQ473" s="83" t="str">
        <f>HYPERLINK("http://www.amcham.org.pe")</f>
        <v>http://www.amcham.org.pe</v>
      </c>
      <c r="AR473" s="76" t="s">
        <v>18507</v>
      </c>
      <c r="AS473" s="76"/>
      <c r="AT473" s="76"/>
      <c r="AU473" s="76"/>
      <c r="AV473" s="76"/>
      <c r="AW473" s="83" t="str">
        <f>HYPERLINK("https://t.co/yD0qUbmxdg")</f>
        <v>https://t.co/yD0qUbmxdg</v>
      </c>
      <c r="AX473" s="76" t="b">
        <v>0</v>
      </c>
      <c r="AY473" s="76"/>
      <c r="AZ473" s="76"/>
      <c r="BA473" s="76" t="b">
        <v>1</v>
      </c>
      <c r="BB473" s="76" t="b">
        <v>1</v>
      </c>
      <c r="BC473" s="76" t="b">
        <v>0</v>
      </c>
      <c r="BD473" s="76" t="b">
        <v>0</v>
      </c>
      <c r="BE473" s="76" t="b">
        <v>1</v>
      </c>
      <c r="BF473" s="76" t="b">
        <v>0</v>
      </c>
      <c r="BG473" s="76" t="b">
        <v>0</v>
      </c>
      <c r="BH473" s="83" t="str">
        <f>HYPERLINK("https://pbs.twimg.com/profile_banners/205791001/1645455821")</f>
        <v>https://pbs.twimg.com/profile_banners/205791001/1645455821</v>
      </c>
      <c r="BI473" s="76"/>
      <c r="BJ473" s="76" t="s">
        <v>18704</v>
      </c>
      <c r="BK473" s="76" t="b">
        <v>0</v>
      </c>
      <c r="BL473" s="76"/>
      <c r="BM473" s="76" t="s">
        <v>65</v>
      </c>
      <c r="BN473" s="76" t="s">
        <v>18706</v>
      </c>
      <c r="BO473" s="83" t="str">
        <f>HYPERLINK("https://twitter.com/amchamperu")</f>
        <v>https://twitter.com/amchamperu</v>
      </c>
      <c r="BP473" s="2"/>
    </row>
    <row r="474" spans="1:68" x14ac:dyDescent="0.25">
      <c r="A474" s="62" t="s">
        <v>604</v>
      </c>
      <c r="B474" s="63"/>
      <c r="C474" s="63"/>
      <c r="D474" s="64"/>
      <c r="E474" s="66"/>
      <c r="F474" s="102" t="str">
        <f>HYPERLINK("https://pbs.twimg.com/profile_images/1315048476972023810/zOM9ofxf_normal.jpg")</f>
        <v>https://pbs.twimg.com/profile_images/1315048476972023810/zOM9ofxf_normal.jpg</v>
      </c>
      <c r="G474" s="63"/>
      <c r="H474" s="67"/>
      <c r="I474" s="68"/>
      <c r="J474" s="68"/>
      <c r="K474" s="67" t="s">
        <v>19177</v>
      </c>
      <c r="L474" s="71"/>
      <c r="M474" s="72"/>
      <c r="N474" s="72"/>
      <c r="O474" s="73"/>
      <c r="P474" s="74"/>
      <c r="Q474" s="74"/>
      <c r="R474" s="86"/>
      <c r="S474" s="86"/>
      <c r="T474" s="86"/>
      <c r="U474" s="86"/>
      <c r="V474" s="48"/>
      <c r="W474" s="48"/>
      <c r="X474" s="48"/>
      <c r="Y474" s="48"/>
      <c r="Z474" s="47"/>
      <c r="AA474" s="69">
        <v>474</v>
      </c>
      <c r="AB474" s="69"/>
      <c r="AC474" s="70"/>
      <c r="AD474" s="76" t="s">
        <v>16900</v>
      </c>
      <c r="AE474" s="81" t="s">
        <v>17293</v>
      </c>
      <c r="AF474" s="76">
        <v>237</v>
      </c>
      <c r="AG474" s="76">
        <v>1103</v>
      </c>
      <c r="AH474" s="76">
        <v>4153</v>
      </c>
      <c r="AI474" s="76">
        <v>1</v>
      </c>
      <c r="AJ474" s="76">
        <v>46752</v>
      </c>
      <c r="AK474" s="76">
        <v>140</v>
      </c>
      <c r="AL474" s="76" t="b">
        <v>0</v>
      </c>
      <c r="AM474" s="78">
        <v>42139.07675925926</v>
      </c>
      <c r="AN474" s="76" t="s">
        <v>17409</v>
      </c>
      <c r="AO474" s="76" t="s">
        <v>18064</v>
      </c>
      <c r="AP474" s="83" t="str">
        <f>HYPERLINK("https://t.co/amu1lAr1DJ")</f>
        <v>https://t.co/amu1lAr1DJ</v>
      </c>
      <c r="AQ474" s="83" t="str">
        <f>HYPERLINK("https://diariodocomercio.com.br/author/leonardo-leao/")</f>
        <v>https://diariodocomercio.com.br/author/leonardo-leao/</v>
      </c>
      <c r="AR474" s="76" t="s">
        <v>18508</v>
      </c>
      <c r="AS474" s="76"/>
      <c r="AT474" s="76"/>
      <c r="AU474" s="76"/>
      <c r="AV474" s="76"/>
      <c r="AW474" s="83" t="str">
        <f>HYPERLINK("https://t.co/amu1lAr1DJ")</f>
        <v>https://t.co/amu1lAr1DJ</v>
      </c>
      <c r="AX474" s="76" t="b">
        <v>0</v>
      </c>
      <c r="AY474" s="76"/>
      <c r="AZ474" s="76"/>
      <c r="BA474" s="76" t="b">
        <v>0</v>
      </c>
      <c r="BB474" s="76" t="b">
        <v>1</v>
      </c>
      <c r="BC474" s="76" t="b">
        <v>1</v>
      </c>
      <c r="BD474" s="76" t="b">
        <v>0</v>
      </c>
      <c r="BE474" s="76" t="b">
        <v>0</v>
      </c>
      <c r="BF474" s="76" t="b">
        <v>0</v>
      </c>
      <c r="BG474" s="76" t="b">
        <v>0</v>
      </c>
      <c r="BH474" s="83" t="str">
        <f>HYPERLINK("https://pbs.twimg.com/profile_banners/3254994765/1539721003")</f>
        <v>https://pbs.twimg.com/profile_banners/3254994765/1539721003</v>
      </c>
      <c r="BI474" s="76"/>
      <c r="BJ474" s="76" t="s">
        <v>18704</v>
      </c>
      <c r="BK474" s="76" t="b">
        <v>0</v>
      </c>
      <c r="BL474" s="76"/>
      <c r="BM474" s="76" t="s">
        <v>66</v>
      </c>
      <c r="BN474" s="76" t="s">
        <v>18706</v>
      </c>
      <c r="BO474" s="83" t="str">
        <f>HYPERLINK("https://twitter.com/leonardo_leao3")</f>
        <v>https://twitter.com/leonardo_leao3</v>
      </c>
      <c r="BP474" s="2"/>
    </row>
    <row r="475" spans="1:68" x14ac:dyDescent="0.25">
      <c r="A475" s="62" t="s">
        <v>605</v>
      </c>
      <c r="B475" s="63"/>
      <c r="C475" s="63"/>
      <c r="D475" s="64"/>
      <c r="E475" s="66"/>
      <c r="F475" s="102" t="str">
        <f>HYPERLINK("https://pbs.twimg.com/profile_images/1688894296215130112/aXi3Zxxp_normal.jpg")</f>
        <v>https://pbs.twimg.com/profile_images/1688894296215130112/aXi3Zxxp_normal.jpg</v>
      </c>
      <c r="G475" s="63"/>
      <c r="H475" s="67"/>
      <c r="I475" s="68"/>
      <c r="J475" s="68"/>
      <c r="K475" s="67" t="s">
        <v>19178</v>
      </c>
      <c r="L475" s="71"/>
      <c r="M475" s="72"/>
      <c r="N475" s="72"/>
      <c r="O475" s="73"/>
      <c r="P475" s="74"/>
      <c r="Q475" s="74"/>
      <c r="R475" s="86"/>
      <c r="S475" s="86"/>
      <c r="T475" s="86"/>
      <c r="U475" s="86"/>
      <c r="V475" s="48"/>
      <c r="W475" s="48"/>
      <c r="X475" s="48"/>
      <c r="Y475" s="48"/>
      <c r="Z475" s="47"/>
      <c r="AA475" s="69">
        <v>475</v>
      </c>
      <c r="AB475" s="69"/>
      <c r="AC475" s="70"/>
      <c r="AD475" s="76" t="s">
        <v>16901</v>
      </c>
      <c r="AE475" s="81" t="s">
        <v>16322</v>
      </c>
      <c r="AF475" s="76">
        <v>335</v>
      </c>
      <c r="AG475" s="76">
        <v>545</v>
      </c>
      <c r="AH475" s="76">
        <v>462</v>
      </c>
      <c r="AI475" s="76">
        <v>0</v>
      </c>
      <c r="AJ475" s="76">
        <v>324</v>
      </c>
      <c r="AK475" s="76">
        <v>56</v>
      </c>
      <c r="AL475" s="76" t="b">
        <v>0</v>
      </c>
      <c r="AM475" s="78">
        <v>45146.496203703704</v>
      </c>
      <c r="AN475" s="76" t="s">
        <v>10570</v>
      </c>
      <c r="AO475" s="76" t="s">
        <v>18065</v>
      </c>
      <c r="AP475" s="76"/>
      <c r="AQ475" s="76"/>
      <c r="AR475" s="76"/>
      <c r="AS475" s="76"/>
      <c r="AT475" s="76"/>
      <c r="AU475" s="76"/>
      <c r="AV475" s="76"/>
      <c r="AW475" s="76"/>
      <c r="AX475" s="76" t="b">
        <v>1</v>
      </c>
      <c r="AY475" s="76"/>
      <c r="AZ475" s="76"/>
      <c r="BA475" s="76" t="b">
        <v>0</v>
      </c>
      <c r="BB475" s="76" t="b">
        <v>0</v>
      </c>
      <c r="BC475" s="76" t="b">
        <v>1</v>
      </c>
      <c r="BD475" s="76" t="b">
        <v>0</v>
      </c>
      <c r="BE475" s="76" t="b">
        <v>0</v>
      </c>
      <c r="BF475" s="76" t="b">
        <v>0</v>
      </c>
      <c r="BG475" s="76" t="b">
        <v>0</v>
      </c>
      <c r="BH475" s="83" t="str">
        <f>HYPERLINK("https://pbs.twimg.com/profile_banners/1688881329004290051/1694799160")</f>
        <v>https://pbs.twimg.com/profile_banners/1688881329004290051/1694799160</v>
      </c>
      <c r="BI475" s="76"/>
      <c r="BJ475" s="76" t="s">
        <v>18704</v>
      </c>
      <c r="BK475" s="76" t="b">
        <v>0</v>
      </c>
      <c r="BL475" s="76"/>
      <c r="BM475" s="76" t="s">
        <v>66</v>
      </c>
      <c r="BN475" s="76" t="s">
        <v>18706</v>
      </c>
      <c r="BO475" s="83" t="str">
        <f>HYPERLINK("https://twitter.com/otonielcj")</f>
        <v>https://twitter.com/otonielcj</v>
      </c>
      <c r="BP475" s="2"/>
    </row>
    <row r="476" spans="1:68" x14ac:dyDescent="0.25">
      <c r="A476" s="62" t="s">
        <v>606</v>
      </c>
      <c r="B476" s="63"/>
      <c r="C476" s="63"/>
      <c r="D476" s="64"/>
      <c r="E476" s="66"/>
      <c r="F476" s="102" t="str">
        <f>HYPERLINK("https://pbs.twimg.com/profile_images/1263860079977267205/T_3_5Smq_normal.jpg")</f>
        <v>https://pbs.twimg.com/profile_images/1263860079977267205/T_3_5Smq_normal.jpg</v>
      </c>
      <c r="G476" s="63"/>
      <c r="H476" s="67"/>
      <c r="I476" s="68"/>
      <c r="J476" s="68"/>
      <c r="K476" s="67" t="s">
        <v>19179</v>
      </c>
      <c r="L476" s="71"/>
      <c r="M476" s="72"/>
      <c r="N476" s="72"/>
      <c r="O476" s="73"/>
      <c r="P476" s="74"/>
      <c r="Q476" s="74"/>
      <c r="R476" s="86"/>
      <c r="S476" s="86"/>
      <c r="T476" s="86"/>
      <c r="U476" s="86"/>
      <c r="V476" s="48"/>
      <c r="W476" s="48"/>
      <c r="X476" s="48"/>
      <c r="Y476" s="48"/>
      <c r="Z476" s="47"/>
      <c r="AA476" s="69">
        <v>476</v>
      </c>
      <c r="AB476" s="69"/>
      <c r="AC476" s="70"/>
      <c r="AD476" s="76" t="s">
        <v>16902</v>
      </c>
      <c r="AE476" s="81" t="s">
        <v>17294</v>
      </c>
      <c r="AF476" s="76">
        <v>1179</v>
      </c>
      <c r="AG476" s="76">
        <v>2509</v>
      </c>
      <c r="AH476" s="76">
        <v>375550</v>
      </c>
      <c r="AI476" s="76">
        <v>323</v>
      </c>
      <c r="AJ476" s="76">
        <v>142313</v>
      </c>
      <c r="AK476" s="76">
        <v>1623</v>
      </c>
      <c r="AL476" s="76" t="b">
        <v>0</v>
      </c>
      <c r="AM476" s="78">
        <v>40827.89471064815</v>
      </c>
      <c r="AN476" s="76"/>
      <c r="AO476" s="76" t="s">
        <v>18066</v>
      </c>
      <c r="AP476" s="83" t="str">
        <f>HYPERLINK("https://t.co/F0bxp0ejOU")</f>
        <v>https://t.co/F0bxp0ejOU</v>
      </c>
      <c r="AQ476" s="83" t="str">
        <f>HYPERLINK("http://Instagram.com/alfiacingari")</f>
        <v>http://Instagram.com/alfiacingari</v>
      </c>
      <c r="AR476" s="76" t="s">
        <v>18509</v>
      </c>
      <c r="AS476" s="76"/>
      <c r="AT476" s="76"/>
      <c r="AU476" s="76"/>
      <c r="AV476" s="76">
        <v>1.4152466411127501E+18</v>
      </c>
      <c r="AW476" s="83" t="str">
        <f>HYPERLINK("https://t.co/F0bxp0ejOU")</f>
        <v>https://t.co/F0bxp0ejOU</v>
      </c>
      <c r="AX476" s="76" t="b">
        <v>0</v>
      </c>
      <c r="AY476" s="76"/>
      <c r="AZ476" s="76"/>
      <c r="BA476" s="76" t="b">
        <v>0</v>
      </c>
      <c r="BB476" s="76" t="b">
        <v>0</v>
      </c>
      <c r="BC476" s="76" t="b">
        <v>1</v>
      </c>
      <c r="BD476" s="76" t="b">
        <v>0</v>
      </c>
      <c r="BE476" s="76" t="b">
        <v>1</v>
      </c>
      <c r="BF476" s="76" t="b">
        <v>0</v>
      </c>
      <c r="BG476" s="76" t="b">
        <v>1</v>
      </c>
      <c r="BH476" s="83" t="str">
        <f>HYPERLINK("https://pbs.twimg.com/profile_banners/389104963/1629887323")</f>
        <v>https://pbs.twimg.com/profile_banners/389104963/1629887323</v>
      </c>
      <c r="BI476" s="76"/>
      <c r="BJ476" s="76" t="s">
        <v>18704</v>
      </c>
      <c r="BK476" s="76" t="b">
        <v>0</v>
      </c>
      <c r="BL476" s="76"/>
      <c r="BM476" s="76" t="s">
        <v>66</v>
      </c>
      <c r="BN476" s="76" t="s">
        <v>18706</v>
      </c>
      <c r="BO476" s="83" t="str">
        <f>HYPERLINK("https://twitter.com/alcinx")</f>
        <v>https://twitter.com/alcinx</v>
      </c>
      <c r="BP476" s="2"/>
    </row>
    <row r="477" spans="1:68" x14ac:dyDescent="0.25">
      <c r="A477" s="62" t="s">
        <v>823</v>
      </c>
      <c r="B477" s="63"/>
      <c r="C477" s="63"/>
      <c r="D477" s="64"/>
      <c r="E477" s="66"/>
      <c r="F477" s="102" t="str">
        <f>HYPERLINK("https://pbs.twimg.com/profile_images/972778782888165378/MZ_gweBP_normal.jpg")</f>
        <v>https://pbs.twimg.com/profile_images/972778782888165378/MZ_gweBP_normal.jpg</v>
      </c>
      <c r="G477" s="63"/>
      <c r="H477" s="67"/>
      <c r="I477" s="68"/>
      <c r="J477" s="68"/>
      <c r="K477" s="67" t="s">
        <v>19180</v>
      </c>
      <c r="L477" s="71"/>
      <c r="M477" s="72"/>
      <c r="N477" s="72"/>
      <c r="O477" s="73"/>
      <c r="P477" s="74"/>
      <c r="Q477" s="74"/>
      <c r="R477" s="86"/>
      <c r="S477" s="86"/>
      <c r="T477" s="86"/>
      <c r="U477" s="86"/>
      <c r="V477" s="48"/>
      <c r="W477" s="48"/>
      <c r="X477" s="48"/>
      <c r="Y477" s="48"/>
      <c r="Z477" s="47"/>
      <c r="AA477" s="69">
        <v>477</v>
      </c>
      <c r="AB477" s="69"/>
      <c r="AC477" s="70"/>
      <c r="AD477" s="76" t="s">
        <v>16903</v>
      </c>
      <c r="AE477" s="81" t="s">
        <v>15965</v>
      </c>
      <c r="AF477" s="76">
        <v>13708</v>
      </c>
      <c r="AG477" s="76">
        <v>2221</v>
      </c>
      <c r="AH477" s="76">
        <v>34311</v>
      </c>
      <c r="AI477" s="76">
        <v>125</v>
      </c>
      <c r="AJ477" s="76">
        <v>22296</v>
      </c>
      <c r="AK477" s="76">
        <v>1036</v>
      </c>
      <c r="AL477" s="76" t="b">
        <v>0</v>
      </c>
      <c r="AM477" s="78">
        <v>41235.646886574075</v>
      </c>
      <c r="AN477" s="76"/>
      <c r="AO477" s="76" t="s">
        <v>18067</v>
      </c>
      <c r="AP477" s="76"/>
      <c r="AQ477" s="76"/>
      <c r="AR477" s="76"/>
      <c r="AS477" s="76"/>
      <c r="AT477" s="76"/>
      <c r="AU477" s="76"/>
      <c r="AV477" s="76"/>
      <c r="AW477" s="76"/>
      <c r="AX477" s="76" t="b">
        <v>0</v>
      </c>
      <c r="AY477" s="76"/>
      <c r="AZ477" s="76"/>
      <c r="BA477" s="76" t="b">
        <v>0</v>
      </c>
      <c r="BB477" s="76" t="b">
        <v>1</v>
      </c>
      <c r="BC477" s="76" t="b">
        <v>1</v>
      </c>
      <c r="BD477" s="76" t="b">
        <v>0</v>
      </c>
      <c r="BE477" s="76" t="b">
        <v>1</v>
      </c>
      <c r="BF477" s="76" t="b">
        <v>0</v>
      </c>
      <c r="BG477" s="76" t="b">
        <v>0</v>
      </c>
      <c r="BH477" s="83" t="str">
        <f>HYPERLINK("https://pbs.twimg.com/profile_banners/964460408/1520848183")</f>
        <v>https://pbs.twimg.com/profile_banners/964460408/1520848183</v>
      </c>
      <c r="BI477" s="76"/>
      <c r="BJ477" s="76" t="s">
        <v>18704</v>
      </c>
      <c r="BK477" s="76" t="b">
        <v>0</v>
      </c>
      <c r="BL477" s="76"/>
      <c r="BM477" s="76" t="s">
        <v>65</v>
      </c>
      <c r="BN477" s="76" t="s">
        <v>18706</v>
      </c>
      <c r="BO477" s="83" t="str">
        <f>HYPERLINK("https://twitter.com/szampa56")</f>
        <v>https://twitter.com/szampa56</v>
      </c>
      <c r="BP477" s="2"/>
    </row>
    <row r="478" spans="1:68" x14ac:dyDescent="0.25">
      <c r="A478" s="62" t="s">
        <v>607</v>
      </c>
      <c r="B478" s="63"/>
      <c r="C478" s="63"/>
      <c r="D478" s="64"/>
      <c r="E478" s="66"/>
      <c r="F478" s="102" t="str">
        <f>HYPERLINK("https://pbs.twimg.com/profile_images/1176490241278054400/s4X9C_ZZ_normal.jpg")</f>
        <v>https://pbs.twimg.com/profile_images/1176490241278054400/s4X9C_ZZ_normal.jpg</v>
      </c>
      <c r="G478" s="63"/>
      <c r="H478" s="67"/>
      <c r="I478" s="68"/>
      <c r="J478" s="68"/>
      <c r="K478" s="67" t="s">
        <v>19181</v>
      </c>
      <c r="L478" s="71"/>
      <c r="M478" s="72"/>
      <c r="N478" s="72"/>
      <c r="O478" s="73"/>
      <c r="P478" s="74"/>
      <c r="Q478" s="74"/>
      <c r="R478" s="86"/>
      <c r="S478" s="86"/>
      <c r="T478" s="86"/>
      <c r="U478" s="86"/>
      <c r="V478" s="48"/>
      <c r="W478" s="48"/>
      <c r="X478" s="48"/>
      <c r="Y478" s="48"/>
      <c r="Z478" s="47"/>
      <c r="AA478" s="69">
        <v>478</v>
      </c>
      <c r="AB478" s="69"/>
      <c r="AC478" s="70"/>
      <c r="AD478" s="76" t="s">
        <v>16904</v>
      </c>
      <c r="AE478" s="81" t="s">
        <v>17295</v>
      </c>
      <c r="AF478" s="76">
        <v>1586</v>
      </c>
      <c r="AG478" s="76">
        <v>273</v>
      </c>
      <c r="AH478" s="76">
        <v>3574</v>
      </c>
      <c r="AI478" s="76">
        <v>32</v>
      </c>
      <c r="AJ478" s="76">
        <v>756</v>
      </c>
      <c r="AK478" s="76">
        <v>871</v>
      </c>
      <c r="AL478" s="76" t="b">
        <v>0</v>
      </c>
      <c r="AM478" s="78">
        <v>40291.60869212963</v>
      </c>
      <c r="AN478" s="76" t="s">
        <v>10586</v>
      </c>
      <c r="AO478" s="76" t="s">
        <v>18068</v>
      </c>
      <c r="AP478" s="83" t="str">
        <f>HYPERLINK("https://t.co/zv3e6j8JBo")</f>
        <v>https://t.co/zv3e6j8JBo</v>
      </c>
      <c r="AQ478" s="83" t="str">
        <f>HYPERLINK("http://www.enfoque.com.br")</f>
        <v>http://www.enfoque.com.br</v>
      </c>
      <c r="AR478" s="76" t="s">
        <v>18510</v>
      </c>
      <c r="AS478" s="83" t="str">
        <f>HYPERLINK("https://t.co/VH96ufg0le")</f>
        <v>https://t.co/VH96ufg0le</v>
      </c>
      <c r="AT478" s="83" t="str">
        <f>HYPERLINK("http://facebook.com/enfoqueif")</f>
        <v>http://facebook.com/enfoqueif</v>
      </c>
      <c r="AU478" s="76" t="s">
        <v>18689</v>
      </c>
      <c r="AV478" s="76">
        <v>1.18374056527343E+18</v>
      </c>
      <c r="AW478" s="83" t="str">
        <f>HYPERLINK("https://t.co/zv3e6j8JBo")</f>
        <v>https://t.co/zv3e6j8JBo</v>
      </c>
      <c r="AX478" s="76" t="b">
        <v>0</v>
      </c>
      <c r="AY478" s="76"/>
      <c r="AZ478" s="76"/>
      <c r="BA478" s="76" t="b">
        <v>0</v>
      </c>
      <c r="BB478" s="76" t="b">
        <v>1</v>
      </c>
      <c r="BC478" s="76" t="b">
        <v>1</v>
      </c>
      <c r="BD478" s="76" t="b">
        <v>0</v>
      </c>
      <c r="BE478" s="76" t="b">
        <v>1</v>
      </c>
      <c r="BF478" s="76" t="b">
        <v>0</v>
      </c>
      <c r="BG478" s="76" t="b">
        <v>0</v>
      </c>
      <c r="BH478" s="83" t="str">
        <f>HYPERLINK("https://pbs.twimg.com/profile_banners/136293095/1492000504")</f>
        <v>https://pbs.twimg.com/profile_banners/136293095/1492000504</v>
      </c>
      <c r="BI478" s="76"/>
      <c r="BJ478" s="76" t="s">
        <v>18704</v>
      </c>
      <c r="BK478" s="76" t="b">
        <v>0</v>
      </c>
      <c r="BL478" s="76"/>
      <c r="BM478" s="76" t="s">
        <v>66</v>
      </c>
      <c r="BN478" s="76" t="s">
        <v>18706</v>
      </c>
      <c r="BO478" s="83" t="str">
        <f>HYPERLINK("https://twitter.com/enfoqueif")</f>
        <v>https://twitter.com/enfoqueif</v>
      </c>
      <c r="BP478" s="2"/>
    </row>
    <row r="479" spans="1:68" x14ac:dyDescent="0.25">
      <c r="A479" s="62" t="s">
        <v>608</v>
      </c>
      <c r="B479" s="63"/>
      <c r="C479" s="63"/>
      <c r="D479" s="64"/>
      <c r="E479" s="66"/>
      <c r="F479" s="102" t="str">
        <f>HYPERLINK("https://pbs.twimg.com/profile_images/1451044538294939655/cGrCkIAM_normal.jpg")</f>
        <v>https://pbs.twimg.com/profile_images/1451044538294939655/cGrCkIAM_normal.jpg</v>
      </c>
      <c r="G479" s="63"/>
      <c r="H479" s="67"/>
      <c r="I479" s="68"/>
      <c r="J479" s="68"/>
      <c r="K479" s="67" t="s">
        <v>19182</v>
      </c>
      <c r="L479" s="71"/>
      <c r="M479" s="72"/>
      <c r="N479" s="72"/>
      <c r="O479" s="73"/>
      <c r="P479" s="74"/>
      <c r="Q479" s="74"/>
      <c r="R479" s="86"/>
      <c r="S479" s="86"/>
      <c r="T479" s="86"/>
      <c r="U479" s="86"/>
      <c r="V479" s="48"/>
      <c r="W479" s="48"/>
      <c r="X479" s="48"/>
      <c r="Y479" s="48"/>
      <c r="Z479" s="47"/>
      <c r="AA479" s="69">
        <v>479</v>
      </c>
      <c r="AB479" s="69"/>
      <c r="AC479" s="70"/>
      <c r="AD479" s="76" t="s">
        <v>16905</v>
      </c>
      <c r="AE479" s="81" t="s">
        <v>16323</v>
      </c>
      <c r="AF479" s="76">
        <v>213</v>
      </c>
      <c r="AG479" s="76">
        <v>558</v>
      </c>
      <c r="AH479" s="76">
        <v>45</v>
      </c>
      <c r="AI479" s="76">
        <v>2</v>
      </c>
      <c r="AJ479" s="76">
        <v>102</v>
      </c>
      <c r="AK479" s="76">
        <v>9</v>
      </c>
      <c r="AL479" s="76" t="b">
        <v>0</v>
      </c>
      <c r="AM479" s="78">
        <v>42619.734710648147</v>
      </c>
      <c r="AN479" s="76"/>
      <c r="AO479" s="76" t="s">
        <v>18069</v>
      </c>
      <c r="AP479" s="83" t="str">
        <f>HYPERLINK("https://t.co/sgRcsDCrvw")</f>
        <v>https://t.co/sgRcsDCrvw</v>
      </c>
      <c r="AQ479" s="83" t="str">
        <f>HYPERLINK("http://www.azu.digital")</f>
        <v>http://www.azu.digital</v>
      </c>
      <c r="AR479" s="76" t="s">
        <v>18511</v>
      </c>
      <c r="AS479" s="76"/>
      <c r="AT479" s="76"/>
      <c r="AU479" s="76"/>
      <c r="AV479" s="76"/>
      <c r="AW479" s="83" t="str">
        <f>HYPERLINK("https://t.co/sgRcsDCrvw")</f>
        <v>https://t.co/sgRcsDCrvw</v>
      </c>
      <c r="AX479" s="76" t="b">
        <v>0</v>
      </c>
      <c r="AY479" s="76"/>
      <c r="AZ479" s="76"/>
      <c r="BA479" s="76" t="b">
        <v>0</v>
      </c>
      <c r="BB479" s="76" t="b">
        <v>0</v>
      </c>
      <c r="BC479" s="76" t="b">
        <v>1</v>
      </c>
      <c r="BD479" s="76" t="b">
        <v>0</v>
      </c>
      <c r="BE479" s="76" t="b">
        <v>1</v>
      </c>
      <c r="BF479" s="76" t="b">
        <v>0</v>
      </c>
      <c r="BG479" s="76" t="b">
        <v>0</v>
      </c>
      <c r="BH479" s="83" t="str">
        <f>HYPERLINK("https://pbs.twimg.com/profile_banners/773213670553817088/1634794752")</f>
        <v>https://pbs.twimg.com/profile_banners/773213670553817088/1634794752</v>
      </c>
      <c r="BI479" s="76"/>
      <c r="BJ479" s="76" t="s">
        <v>18704</v>
      </c>
      <c r="BK479" s="76" t="b">
        <v>0</v>
      </c>
      <c r="BL479" s="76"/>
      <c r="BM479" s="76" t="s">
        <v>66</v>
      </c>
      <c r="BN479" s="76" t="s">
        <v>18706</v>
      </c>
      <c r="BO479" s="83" t="str">
        <f>HYPERLINK("https://twitter.com/edsonsilva_sv")</f>
        <v>https://twitter.com/edsonsilva_sv</v>
      </c>
      <c r="BP479" s="2"/>
    </row>
    <row r="480" spans="1:68" x14ac:dyDescent="0.25">
      <c r="A480" s="62" t="s">
        <v>609</v>
      </c>
      <c r="B480" s="63"/>
      <c r="C480" s="63"/>
      <c r="D480" s="64"/>
      <c r="E480" s="66"/>
      <c r="F480" s="102" t="str">
        <f>HYPERLINK("https://pbs.twimg.com/profile_images/1699525735977758721/TBSX-xLJ_normal.jpg")</f>
        <v>https://pbs.twimg.com/profile_images/1699525735977758721/TBSX-xLJ_normal.jpg</v>
      </c>
      <c r="G480" s="63"/>
      <c r="H480" s="67"/>
      <c r="I480" s="68"/>
      <c r="J480" s="68"/>
      <c r="K480" s="67" t="s">
        <v>19183</v>
      </c>
      <c r="L480" s="71"/>
      <c r="M480" s="72"/>
      <c r="N480" s="72"/>
      <c r="O480" s="73"/>
      <c r="P480" s="74"/>
      <c r="Q480" s="74"/>
      <c r="R480" s="86"/>
      <c r="S480" s="86"/>
      <c r="T480" s="86"/>
      <c r="U480" s="86"/>
      <c r="V480" s="48"/>
      <c r="W480" s="48"/>
      <c r="X480" s="48"/>
      <c r="Y480" s="48"/>
      <c r="Z480" s="47"/>
      <c r="AA480" s="69">
        <v>480</v>
      </c>
      <c r="AB480" s="69"/>
      <c r="AC480" s="70"/>
      <c r="AD480" s="76" t="s">
        <v>16906</v>
      </c>
      <c r="AE480" s="81" t="s">
        <v>15966</v>
      </c>
      <c r="AF480" s="76">
        <v>7</v>
      </c>
      <c r="AG480" s="76">
        <v>31</v>
      </c>
      <c r="AH480" s="76">
        <v>247</v>
      </c>
      <c r="AI480" s="76">
        <v>0</v>
      </c>
      <c r="AJ480" s="76">
        <v>11</v>
      </c>
      <c r="AK480" s="76">
        <v>21</v>
      </c>
      <c r="AL480" s="76" t="b">
        <v>0</v>
      </c>
      <c r="AM480" s="78">
        <v>45157.853263888886</v>
      </c>
      <c r="AN480" s="76"/>
      <c r="AO480" s="76" t="s">
        <v>18070</v>
      </c>
      <c r="AP480" s="83" t="str">
        <f>HYPERLINK("https://t.co/M6e7lwnukI")</f>
        <v>https://t.co/M6e7lwnukI</v>
      </c>
      <c r="AQ480" s="83" t="str">
        <f>HYPERLINK("https://www.youtube.com/@domvicto")</f>
        <v>https://www.youtube.com/@domvicto</v>
      </c>
      <c r="AR480" s="76" t="s">
        <v>18512</v>
      </c>
      <c r="AS480" s="76"/>
      <c r="AT480" s="76"/>
      <c r="AU480" s="76"/>
      <c r="AV480" s="76">
        <v>1.6975986264600499E+18</v>
      </c>
      <c r="AW480" s="83" t="str">
        <f>HYPERLINK("https://t.co/M6e7lwnukI")</f>
        <v>https://t.co/M6e7lwnukI</v>
      </c>
      <c r="AX480" s="76" t="b">
        <v>1</v>
      </c>
      <c r="AY480" s="76"/>
      <c r="AZ480" s="76"/>
      <c r="BA480" s="76" t="b">
        <v>0</v>
      </c>
      <c r="BB480" s="76" t="b">
        <v>1</v>
      </c>
      <c r="BC480" s="76" t="b">
        <v>1</v>
      </c>
      <c r="BD480" s="76" t="b">
        <v>0</v>
      </c>
      <c r="BE480" s="76" t="b">
        <v>0</v>
      </c>
      <c r="BF480" s="76" t="b">
        <v>0</v>
      </c>
      <c r="BG480" s="76" t="b">
        <v>0</v>
      </c>
      <c r="BH480" s="83" t="str">
        <f>HYPERLINK("https://pbs.twimg.com/profile_banners/1692996994598350848/1694033501")</f>
        <v>https://pbs.twimg.com/profile_banners/1692996994598350848/1694033501</v>
      </c>
      <c r="BI480" s="76"/>
      <c r="BJ480" s="76" t="s">
        <v>18704</v>
      </c>
      <c r="BK480" s="76" t="b">
        <v>0</v>
      </c>
      <c r="BL480" s="76"/>
      <c r="BM480" s="76" t="s">
        <v>66</v>
      </c>
      <c r="BN480" s="76" t="s">
        <v>18706</v>
      </c>
      <c r="BO480" s="83" t="str">
        <f>HYPERLINK("https://twitter.com/canaldomvicto")</f>
        <v>https://twitter.com/canaldomvicto</v>
      </c>
      <c r="BP480" s="2"/>
    </row>
    <row r="481" spans="1:68" x14ac:dyDescent="0.25">
      <c r="A481" s="62" t="s">
        <v>610</v>
      </c>
      <c r="B481" s="63"/>
      <c r="C481" s="63"/>
      <c r="D481" s="64"/>
      <c r="E481" s="66"/>
      <c r="F481" s="102" t="str">
        <f>HYPERLINK("https://pbs.twimg.com/profile_images/1706420939850645504/YmGESuU4_normal.jpg")</f>
        <v>https://pbs.twimg.com/profile_images/1706420939850645504/YmGESuU4_normal.jpg</v>
      </c>
      <c r="G481" s="63"/>
      <c r="H481" s="67"/>
      <c r="I481" s="68"/>
      <c r="J481" s="68"/>
      <c r="K481" s="67" t="s">
        <v>19184</v>
      </c>
      <c r="L481" s="71"/>
      <c r="M481" s="72"/>
      <c r="N481" s="72"/>
      <c r="O481" s="73"/>
      <c r="P481" s="74"/>
      <c r="Q481" s="74"/>
      <c r="R481" s="86"/>
      <c r="S481" s="86"/>
      <c r="T481" s="86"/>
      <c r="U481" s="86"/>
      <c r="V481" s="48"/>
      <c r="W481" s="48"/>
      <c r="X481" s="48"/>
      <c r="Y481" s="48"/>
      <c r="Z481" s="47"/>
      <c r="AA481" s="69">
        <v>481</v>
      </c>
      <c r="AB481" s="69"/>
      <c r="AC481" s="70"/>
      <c r="AD481" s="76" t="s">
        <v>16907</v>
      </c>
      <c r="AE481" s="81" t="s">
        <v>17296</v>
      </c>
      <c r="AF481" s="76">
        <v>266</v>
      </c>
      <c r="AG481" s="76">
        <v>545</v>
      </c>
      <c r="AH481" s="76">
        <v>19898</v>
      </c>
      <c r="AI481" s="76">
        <v>0</v>
      </c>
      <c r="AJ481" s="76">
        <v>35292</v>
      </c>
      <c r="AK481" s="76">
        <v>599</v>
      </c>
      <c r="AL481" s="76" t="b">
        <v>0</v>
      </c>
      <c r="AM481" s="78">
        <v>40964.033136574071</v>
      </c>
      <c r="AN481" s="76"/>
      <c r="AO481" s="76" t="s">
        <v>18071</v>
      </c>
      <c r="AP481" s="76"/>
      <c r="AQ481" s="76"/>
      <c r="AR481" s="76"/>
      <c r="AS481" s="83" t="str">
        <f>HYPERLINK("https://t.co/pj8q57BIeh")</f>
        <v>https://t.co/pj8q57BIeh</v>
      </c>
      <c r="AT481" s="83" t="str">
        <f>HYPERLINK("https://instagram.com/_mattlcs?igshid=NzMyMjgxZWIzNw==")</f>
        <v>https://instagram.com/_mattlcs?igshid=NzMyMjgxZWIzNw==</v>
      </c>
      <c r="AU481" s="76" t="s">
        <v>18690</v>
      </c>
      <c r="AV481" s="76">
        <v>1.70626433336413E+18</v>
      </c>
      <c r="AW481" s="76"/>
      <c r="AX481" s="76" t="b">
        <v>0</v>
      </c>
      <c r="AY481" s="76"/>
      <c r="AZ481" s="76"/>
      <c r="BA481" s="76" t="b">
        <v>0</v>
      </c>
      <c r="BB481" s="76" t="b">
        <v>0</v>
      </c>
      <c r="BC481" s="76" t="b">
        <v>0</v>
      </c>
      <c r="BD481" s="76" t="b">
        <v>0</v>
      </c>
      <c r="BE481" s="76" t="b">
        <v>1</v>
      </c>
      <c r="BF481" s="76" t="b">
        <v>0</v>
      </c>
      <c r="BG481" s="76" t="b">
        <v>0</v>
      </c>
      <c r="BH481" s="83" t="str">
        <f>HYPERLINK("https://pbs.twimg.com/profile_banners/502302340/1690035816")</f>
        <v>https://pbs.twimg.com/profile_banners/502302340/1690035816</v>
      </c>
      <c r="BI481" s="76"/>
      <c r="BJ481" s="76" t="s">
        <v>18704</v>
      </c>
      <c r="BK481" s="76" t="b">
        <v>0</v>
      </c>
      <c r="BL481" s="76"/>
      <c r="BM481" s="76" t="s">
        <v>66</v>
      </c>
      <c r="BN481" s="76" t="s">
        <v>18706</v>
      </c>
      <c r="BO481" s="83" t="str">
        <f>HYPERLINK("https://twitter.com/_mattlcs")</f>
        <v>https://twitter.com/_mattlcs</v>
      </c>
      <c r="BP481" s="2"/>
    </row>
    <row r="482" spans="1:68" x14ac:dyDescent="0.25">
      <c r="A482" s="62" t="s">
        <v>611</v>
      </c>
      <c r="B482" s="63"/>
      <c r="C482" s="63"/>
      <c r="D482" s="64"/>
      <c r="E482" s="66"/>
      <c r="F482" s="102" t="str">
        <f>HYPERLINK("https://pbs.twimg.com/profile_images/962056121358807047/tkSvPRCm_normal.jpg")</f>
        <v>https://pbs.twimg.com/profile_images/962056121358807047/tkSvPRCm_normal.jpg</v>
      </c>
      <c r="G482" s="63"/>
      <c r="H482" s="67"/>
      <c r="I482" s="68"/>
      <c r="J482" s="68"/>
      <c r="K482" s="67" t="s">
        <v>19185</v>
      </c>
      <c r="L482" s="71"/>
      <c r="M482" s="72"/>
      <c r="N482" s="72"/>
      <c r="O482" s="73"/>
      <c r="P482" s="74"/>
      <c r="Q482" s="74"/>
      <c r="R482" s="86"/>
      <c r="S482" s="86"/>
      <c r="T482" s="86"/>
      <c r="U482" s="86"/>
      <c r="V482" s="48"/>
      <c r="W482" s="48"/>
      <c r="X482" s="48"/>
      <c r="Y482" s="48"/>
      <c r="Z482" s="47"/>
      <c r="AA482" s="69">
        <v>482</v>
      </c>
      <c r="AB482" s="69"/>
      <c r="AC482" s="70"/>
      <c r="AD482" s="76" t="s">
        <v>16908</v>
      </c>
      <c r="AE482" s="81" t="s">
        <v>17297</v>
      </c>
      <c r="AF482" s="76">
        <v>50</v>
      </c>
      <c r="AG482" s="76">
        <v>249</v>
      </c>
      <c r="AH482" s="76">
        <v>507</v>
      </c>
      <c r="AI482" s="76">
        <v>0</v>
      </c>
      <c r="AJ482" s="76">
        <v>2444</v>
      </c>
      <c r="AK482" s="76">
        <v>72</v>
      </c>
      <c r="AL482" s="76" t="b">
        <v>0</v>
      </c>
      <c r="AM482" s="78">
        <v>40662.636747685188</v>
      </c>
      <c r="AN482" s="76" t="s">
        <v>17585</v>
      </c>
      <c r="AO482" s="76" t="s">
        <v>18072</v>
      </c>
      <c r="AP482" s="83" t="str">
        <f>HYPERLINK("https://t.co/XdjeI03rxG")</f>
        <v>https://t.co/XdjeI03rxG</v>
      </c>
      <c r="AQ482" s="83" t="str">
        <f>HYPERLINK("http://www.stefanoficial.com.br")</f>
        <v>http://www.stefanoficial.com.br</v>
      </c>
      <c r="AR482" s="76" t="s">
        <v>18513</v>
      </c>
      <c r="AS482" s="76"/>
      <c r="AT482" s="76"/>
      <c r="AU482" s="76"/>
      <c r="AV482" s="76"/>
      <c r="AW482" s="83" t="str">
        <f>HYPERLINK("https://t.co/XdjeI03rxG")</f>
        <v>https://t.co/XdjeI03rxG</v>
      </c>
      <c r="AX482" s="76" t="b">
        <v>0</v>
      </c>
      <c r="AY482" s="76"/>
      <c r="AZ482" s="76"/>
      <c r="BA482" s="76" t="b">
        <v>0</v>
      </c>
      <c r="BB482" s="76" t="b">
        <v>1</v>
      </c>
      <c r="BC482" s="76" t="b">
        <v>1</v>
      </c>
      <c r="BD482" s="76" t="b">
        <v>0</v>
      </c>
      <c r="BE482" s="76" t="b">
        <v>0</v>
      </c>
      <c r="BF482" s="76" t="b">
        <v>0</v>
      </c>
      <c r="BG482" s="76" t="b">
        <v>0</v>
      </c>
      <c r="BH482" s="76"/>
      <c r="BI482" s="76"/>
      <c r="BJ482" s="76" t="s">
        <v>18704</v>
      </c>
      <c r="BK482" s="76" t="b">
        <v>0</v>
      </c>
      <c r="BL482" s="76"/>
      <c r="BM482" s="76" t="s">
        <v>66</v>
      </c>
      <c r="BN482" s="76" t="s">
        <v>18706</v>
      </c>
      <c r="BO482" s="83" t="str">
        <f>HYPERLINK("https://twitter.com/mariocssantana")</f>
        <v>https://twitter.com/mariocssantana</v>
      </c>
      <c r="BP482" s="2"/>
    </row>
    <row r="483" spans="1:68" x14ac:dyDescent="0.25">
      <c r="A483" s="62" t="s">
        <v>612</v>
      </c>
      <c r="B483" s="63"/>
      <c r="C483" s="63"/>
      <c r="D483" s="64"/>
      <c r="E483" s="66"/>
      <c r="F483" s="102" t="str">
        <f>HYPERLINK("https://pbs.twimg.com/profile_images/1635742791455105024/qQ063iQa_normal.jpg")</f>
        <v>https://pbs.twimg.com/profile_images/1635742791455105024/qQ063iQa_normal.jpg</v>
      </c>
      <c r="G483" s="63"/>
      <c r="H483" s="67"/>
      <c r="I483" s="68"/>
      <c r="J483" s="68"/>
      <c r="K483" s="67" t="s">
        <v>19186</v>
      </c>
      <c r="L483" s="71"/>
      <c r="M483" s="72"/>
      <c r="N483" s="72"/>
      <c r="O483" s="73"/>
      <c r="P483" s="74"/>
      <c r="Q483" s="74"/>
      <c r="R483" s="86"/>
      <c r="S483" s="86"/>
      <c r="T483" s="86"/>
      <c r="U483" s="86"/>
      <c r="V483" s="48"/>
      <c r="W483" s="48"/>
      <c r="X483" s="48"/>
      <c r="Y483" s="48"/>
      <c r="Z483" s="47"/>
      <c r="AA483" s="69">
        <v>483</v>
      </c>
      <c r="AB483" s="69"/>
      <c r="AC483" s="70"/>
      <c r="AD483" s="76" t="s">
        <v>16909</v>
      </c>
      <c r="AE483" s="81" t="s">
        <v>17298</v>
      </c>
      <c r="AF483" s="76">
        <v>1347</v>
      </c>
      <c r="AG483" s="76">
        <v>146</v>
      </c>
      <c r="AH483" s="76">
        <v>3380</v>
      </c>
      <c r="AI483" s="76">
        <v>6</v>
      </c>
      <c r="AJ483" s="76">
        <v>395</v>
      </c>
      <c r="AK483" s="76">
        <v>1650</v>
      </c>
      <c r="AL483" s="76" t="b">
        <v>0</v>
      </c>
      <c r="AM483" s="78">
        <v>41305.558518518519</v>
      </c>
      <c r="AN483" s="76" t="s">
        <v>17586</v>
      </c>
      <c r="AO483" s="76" t="s">
        <v>18073</v>
      </c>
      <c r="AP483" s="83" t="str">
        <f>HYPERLINK("https://t.co/LtKPTFkC7W")</f>
        <v>https://t.co/LtKPTFkC7W</v>
      </c>
      <c r="AQ483" s="83" t="str">
        <f>HYPERLINK("http://www.funpresp.com.br/")</f>
        <v>http://www.funpresp.com.br/</v>
      </c>
      <c r="AR483" s="76" t="s">
        <v>18514</v>
      </c>
      <c r="AS483" s="76"/>
      <c r="AT483" s="76"/>
      <c r="AU483" s="76"/>
      <c r="AV483" s="76"/>
      <c r="AW483" s="83" t="str">
        <f>HYPERLINK("https://t.co/LtKPTFkC7W")</f>
        <v>https://t.co/LtKPTFkC7W</v>
      </c>
      <c r="AX483" s="76" t="b">
        <v>0</v>
      </c>
      <c r="AY483" s="76"/>
      <c r="AZ483" s="76"/>
      <c r="BA483" s="76" t="b">
        <v>1</v>
      </c>
      <c r="BB483" s="76" t="b">
        <v>1</v>
      </c>
      <c r="BC483" s="76" t="b">
        <v>0</v>
      </c>
      <c r="BD483" s="76" t="b">
        <v>0</v>
      </c>
      <c r="BE483" s="76" t="b">
        <v>1</v>
      </c>
      <c r="BF483" s="76" t="b">
        <v>0</v>
      </c>
      <c r="BG483" s="76" t="b">
        <v>0</v>
      </c>
      <c r="BH483" s="83" t="str">
        <f>HYPERLINK("https://pbs.twimg.com/profile_banners/1136991139/1678826448")</f>
        <v>https://pbs.twimg.com/profile_banners/1136991139/1678826448</v>
      </c>
      <c r="BI483" s="76"/>
      <c r="BJ483" s="76" t="s">
        <v>18704</v>
      </c>
      <c r="BK483" s="76" t="b">
        <v>0</v>
      </c>
      <c r="BL483" s="76"/>
      <c r="BM483" s="76" t="s">
        <v>66</v>
      </c>
      <c r="BN483" s="76" t="s">
        <v>18706</v>
      </c>
      <c r="BO483" s="83" t="str">
        <f>HYPERLINK("https://twitter.com/funpresp")</f>
        <v>https://twitter.com/funpresp</v>
      </c>
      <c r="BP483" s="2"/>
    </row>
    <row r="484" spans="1:68" x14ac:dyDescent="0.25">
      <c r="A484" s="62" t="s">
        <v>613</v>
      </c>
      <c r="B484" s="63"/>
      <c r="C484" s="63"/>
      <c r="D484" s="64"/>
      <c r="E484" s="66"/>
      <c r="F484" s="102" t="str">
        <f>HYPERLINK("https://pbs.twimg.com/profile_images/1531432052767309824/ZIroamAA_normal.jpg")</f>
        <v>https://pbs.twimg.com/profile_images/1531432052767309824/ZIroamAA_normal.jpg</v>
      </c>
      <c r="G484" s="63"/>
      <c r="H484" s="67"/>
      <c r="I484" s="68"/>
      <c r="J484" s="68"/>
      <c r="K484" s="67" t="s">
        <v>19187</v>
      </c>
      <c r="L484" s="71"/>
      <c r="M484" s="72"/>
      <c r="N484" s="72"/>
      <c r="O484" s="73"/>
      <c r="P484" s="74"/>
      <c r="Q484" s="74"/>
      <c r="R484" s="86"/>
      <c r="S484" s="86"/>
      <c r="T484" s="86"/>
      <c r="U484" s="86"/>
      <c r="V484" s="48"/>
      <c r="W484" s="48"/>
      <c r="X484" s="48"/>
      <c r="Y484" s="48"/>
      <c r="Z484" s="47"/>
      <c r="AA484" s="69">
        <v>484</v>
      </c>
      <c r="AB484" s="69"/>
      <c r="AC484" s="70"/>
      <c r="AD484" s="76" t="s">
        <v>16910</v>
      </c>
      <c r="AE484" s="81" t="s">
        <v>16324</v>
      </c>
      <c r="AF484" s="76">
        <v>94</v>
      </c>
      <c r="AG484" s="76">
        <v>121</v>
      </c>
      <c r="AH484" s="76">
        <v>503</v>
      </c>
      <c r="AI484" s="76">
        <v>0</v>
      </c>
      <c r="AJ484" s="76">
        <v>935</v>
      </c>
      <c r="AK484" s="76">
        <v>12</v>
      </c>
      <c r="AL484" s="76" t="b">
        <v>0</v>
      </c>
      <c r="AM484" s="78">
        <v>44711.044062499997</v>
      </c>
      <c r="AN484" s="76" t="s">
        <v>10570</v>
      </c>
      <c r="AO484" s="76" t="s">
        <v>18074</v>
      </c>
      <c r="AP484" s="83" t="str">
        <f>HYPERLINK("https://t.co/aQDNswFMf9")</f>
        <v>https://t.co/aQDNswFMf9</v>
      </c>
      <c r="AQ484" s="83" t="str">
        <f>HYPERLINK("https://www.izzinvest.com/")</f>
        <v>https://www.izzinvest.com/</v>
      </c>
      <c r="AR484" s="76" t="s">
        <v>18515</v>
      </c>
      <c r="AS484" s="83" t="str">
        <f>HYPERLINK("https://t.co/hpe0gAzYIV")</f>
        <v>https://t.co/hpe0gAzYIV</v>
      </c>
      <c r="AT484" s="83" t="str">
        <f>HYPERLINK("http://iZZinvest.com")</f>
        <v>http://iZZinvest.com</v>
      </c>
      <c r="AU484" s="76" t="s">
        <v>18691</v>
      </c>
      <c r="AV484" s="76"/>
      <c r="AW484" s="83" t="str">
        <f>HYPERLINK("https://t.co/aQDNswFMf9")</f>
        <v>https://t.co/aQDNswFMf9</v>
      </c>
      <c r="AX484" s="76" t="b">
        <v>1</v>
      </c>
      <c r="AY484" s="76"/>
      <c r="AZ484" s="76"/>
      <c r="BA484" s="76" t="b">
        <v>0</v>
      </c>
      <c r="BB484" s="76" t="b">
        <v>1</v>
      </c>
      <c r="BC484" s="76" t="b">
        <v>1</v>
      </c>
      <c r="BD484" s="76" t="b">
        <v>0</v>
      </c>
      <c r="BE484" s="76" t="b">
        <v>0</v>
      </c>
      <c r="BF484" s="76" t="b">
        <v>0</v>
      </c>
      <c r="BG484" s="76" t="b">
        <v>0</v>
      </c>
      <c r="BH484" s="83" t="str">
        <f>HYPERLINK("https://pbs.twimg.com/profile_banners/1531077995200401411/1654045055")</f>
        <v>https://pbs.twimg.com/profile_banners/1531077995200401411/1654045055</v>
      </c>
      <c r="BI484" s="76"/>
      <c r="BJ484" s="76" t="s">
        <v>18704</v>
      </c>
      <c r="BK484" s="76" t="b">
        <v>0</v>
      </c>
      <c r="BL484" s="76"/>
      <c r="BM484" s="76" t="s">
        <v>66</v>
      </c>
      <c r="BN484" s="76" t="s">
        <v>18706</v>
      </c>
      <c r="BO484" s="83" t="str">
        <f>HYPERLINK("https://twitter.com/izzinvest")</f>
        <v>https://twitter.com/izzinvest</v>
      </c>
      <c r="BP484" s="2"/>
    </row>
    <row r="485" spans="1:68" x14ac:dyDescent="0.25">
      <c r="A485" s="62" t="s">
        <v>824</v>
      </c>
      <c r="B485" s="63"/>
      <c r="C485" s="63"/>
      <c r="D485" s="64"/>
      <c r="E485" s="66"/>
      <c r="F485" s="102" t="str">
        <f>HYPERLINK("https://pbs.twimg.com/profile_images/441249492570865664/fKbQH8Vd_normal.jpeg")</f>
        <v>https://pbs.twimg.com/profile_images/441249492570865664/fKbQH8Vd_normal.jpeg</v>
      </c>
      <c r="G485" s="63"/>
      <c r="H485" s="67"/>
      <c r="I485" s="68"/>
      <c r="J485" s="68"/>
      <c r="K485" s="67" t="s">
        <v>19188</v>
      </c>
      <c r="L485" s="71"/>
      <c r="M485" s="72"/>
      <c r="N485" s="72"/>
      <c r="O485" s="73"/>
      <c r="P485" s="74"/>
      <c r="Q485" s="74"/>
      <c r="R485" s="86"/>
      <c r="S485" s="86"/>
      <c r="T485" s="86"/>
      <c r="U485" s="86"/>
      <c r="V485" s="48"/>
      <c r="W485" s="48"/>
      <c r="X485" s="48"/>
      <c r="Y485" s="48"/>
      <c r="Z485" s="47"/>
      <c r="AA485" s="69">
        <v>485</v>
      </c>
      <c r="AB485" s="69"/>
      <c r="AC485" s="70"/>
      <c r="AD485" s="76" t="s">
        <v>16911</v>
      </c>
      <c r="AE485" s="81" t="s">
        <v>17299</v>
      </c>
      <c r="AF485" s="76">
        <v>10264</v>
      </c>
      <c r="AG485" s="76">
        <v>202</v>
      </c>
      <c r="AH485" s="76">
        <v>1647</v>
      </c>
      <c r="AI485" s="76">
        <v>67</v>
      </c>
      <c r="AJ485" s="76">
        <v>340</v>
      </c>
      <c r="AK485" s="76">
        <v>1081</v>
      </c>
      <c r="AL485" s="76" t="b">
        <v>0</v>
      </c>
      <c r="AM485" s="78">
        <v>41703.640428240738</v>
      </c>
      <c r="AN485" s="76" t="s">
        <v>17402</v>
      </c>
      <c r="AO485" s="76" t="s">
        <v>18075</v>
      </c>
      <c r="AP485" s="83" t="str">
        <f>HYPERLINK("https://t.co/OnCbYaCAf7")</f>
        <v>https://t.co/OnCbYaCAf7</v>
      </c>
      <c r="AQ485" s="83" t="str">
        <f>HYPERLINK("http://www.fedearroz.com.co")</f>
        <v>http://www.fedearroz.com.co</v>
      </c>
      <c r="AR485" s="76" t="s">
        <v>18516</v>
      </c>
      <c r="AS485" s="76"/>
      <c r="AT485" s="76"/>
      <c r="AU485" s="76"/>
      <c r="AV485" s="76"/>
      <c r="AW485" s="83" t="str">
        <f>HYPERLINK("https://t.co/OnCbYaCAf7")</f>
        <v>https://t.co/OnCbYaCAf7</v>
      </c>
      <c r="AX485" s="76" t="b">
        <v>0</v>
      </c>
      <c r="AY485" s="76"/>
      <c r="AZ485" s="76"/>
      <c r="BA485" s="76" t="b">
        <v>0</v>
      </c>
      <c r="BB485" s="76" t="b">
        <v>1</v>
      </c>
      <c r="BC485" s="76" t="b">
        <v>0</v>
      </c>
      <c r="BD485" s="76" t="b">
        <v>0</v>
      </c>
      <c r="BE485" s="76" t="b">
        <v>1</v>
      </c>
      <c r="BF485" s="76" t="b">
        <v>0</v>
      </c>
      <c r="BG485" s="76" t="b">
        <v>0</v>
      </c>
      <c r="BH485" s="83" t="str">
        <f>HYPERLINK("https://pbs.twimg.com/profile_banners/2373932575/1659381168")</f>
        <v>https://pbs.twimg.com/profile_banners/2373932575/1659381168</v>
      </c>
      <c r="BI485" s="76"/>
      <c r="BJ485" s="76" t="s">
        <v>18704</v>
      </c>
      <c r="BK485" s="76" t="b">
        <v>0</v>
      </c>
      <c r="BL485" s="76"/>
      <c r="BM485" s="76" t="s">
        <v>65</v>
      </c>
      <c r="BN485" s="76" t="s">
        <v>18706</v>
      </c>
      <c r="BO485" s="83" t="str">
        <f>HYPERLINK("https://twitter.com/fedearrozgremio")</f>
        <v>https://twitter.com/fedearrozgremio</v>
      </c>
      <c r="BP485" s="2"/>
    </row>
    <row r="486" spans="1:68" x14ac:dyDescent="0.25">
      <c r="A486" s="62" t="s">
        <v>825</v>
      </c>
      <c r="B486" s="63"/>
      <c r="C486" s="63"/>
      <c r="D486" s="64"/>
      <c r="E486" s="66"/>
      <c r="F486" s="102" t="str">
        <f>HYPERLINK("https://pbs.twimg.com/profile_images/1318942340380282880/KtIwXmgv_normal.jpg")</f>
        <v>https://pbs.twimg.com/profile_images/1318942340380282880/KtIwXmgv_normal.jpg</v>
      </c>
      <c r="G486" s="63"/>
      <c r="H486" s="67"/>
      <c r="I486" s="68"/>
      <c r="J486" s="68"/>
      <c r="K486" s="67" t="s">
        <v>19189</v>
      </c>
      <c r="L486" s="71"/>
      <c r="M486" s="72"/>
      <c r="N486" s="72"/>
      <c r="O486" s="73"/>
      <c r="P486" s="74"/>
      <c r="Q486" s="74"/>
      <c r="R486" s="86"/>
      <c r="S486" s="86"/>
      <c r="T486" s="86"/>
      <c r="U486" s="86"/>
      <c r="V486" s="48"/>
      <c r="W486" s="48"/>
      <c r="X486" s="48"/>
      <c r="Y486" s="48"/>
      <c r="Z486" s="47"/>
      <c r="AA486" s="69">
        <v>486</v>
      </c>
      <c r="AB486" s="69"/>
      <c r="AC486" s="70"/>
      <c r="AD486" s="76" t="s">
        <v>16912</v>
      </c>
      <c r="AE486" s="81" t="s">
        <v>17300</v>
      </c>
      <c r="AF486" s="76">
        <v>2729</v>
      </c>
      <c r="AG486" s="76">
        <v>675</v>
      </c>
      <c r="AH486" s="76">
        <v>2171</v>
      </c>
      <c r="AI486" s="76">
        <v>10</v>
      </c>
      <c r="AJ486" s="76">
        <v>768</v>
      </c>
      <c r="AK486" s="76">
        <v>913</v>
      </c>
      <c r="AL486" s="76" t="b">
        <v>0</v>
      </c>
      <c r="AM486" s="78">
        <v>43966.983738425923</v>
      </c>
      <c r="AN486" s="76"/>
      <c r="AO486" s="76" t="s">
        <v>18076</v>
      </c>
      <c r="AP486" s="83" t="str">
        <f>HYPERLINK("https://t.co/hl4dBgRL46")</f>
        <v>https://t.co/hl4dBgRL46</v>
      </c>
      <c r="AQ486" s="83" t="str">
        <f>HYPERLINK("https://www.alianzain.com")</f>
        <v>https://www.alianzain.com</v>
      </c>
      <c r="AR486" s="76" t="s">
        <v>18517</v>
      </c>
      <c r="AS486" s="76"/>
      <c r="AT486" s="76"/>
      <c r="AU486" s="76"/>
      <c r="AV486" s="76"/>
      <c r="AW486" s="83" t="str">
        <f>HYPERLINK("https://t.co/hl4dBgRL46")</f>
        <v>https://t.co/hl4dBgRL46</v>
      </c>
      <c r="AX486" s="76" t="b">
        <v>0</v>
      </c>
      <c r="AY486" s="76"/>
      <c r="AZ486" s="76"/>
      <c r="BA486" s="76" t="b">
        <v>0</v>
      </c>
      <c r="BB486" s="76" t="b">
        <v>1</v>
      </c>
      <c r="BC486" s="76" t="b">
        <v>1</v>
      </c>
      <c r="BD486" s="76" t="b">
        <v>0</v>
      </c>
      <c r="BE486" s="76" t="b">
        <v>1</v>
      </c>
      <c r="BF486" s="76" t="b">
        <v>0</v>
      </c>
      <c r="BG486" s="76" t="b">
        <v>0</v>
      </c>
      <c r="BH486" s="83" t="str">
        <f>HYPERLINK("https://pbs.twimg.com/profile_banners/1261440272958963712/1602517439")</f>
        <v>https://pbs.twimg.com/profile_banners/1261440272958963712/1602517439</v>
      </c>
      <c r="BI486" s="76"/>
      <c r="BJ486" s="76" t="s">
        <v>18704</v>
      </c>
      <c r="BK486" s="76" t="b">
        <v>0</v>
      </c>
      <c r="BL486" s="76"/>
      <c r="BM486" s="76" t="s">
        <v>65</v>
      </c>
      <c r="BN486" s="76" t="s">
        <v>18706</v>
      </c>
      <c r="BO486" s="83" t="str">
        <f>HYPERLINK("https://twitter.com/alianzain1")</f>
        <v>https://twitter.com/alianzain1</v>
      </c>
      <c r="BP486" s="2"/>
    </row>
    <row r="487" spans="1:68" x14ac:dyDescent="0.25">
      <c r="A487" s="62" t="s">
        <v>826</v>
      </c>
      <c r="B487" s="63"/>
      <c r="C487" s="63"/>
      <c r="D487" s="64"/>
      <c r="E487" s="66"/>
      <c r="F487" s="102" t="str">
        <f>HYPERLINK("https://pbs.twimg.com/profile_images/1691058659093000192/h6E-VyG0_normal.jpg")</f>
        <v>https://pbs.twimg.com/profile_images/1691058659093000192/h6E-VyG0_normal.jpg</v>
      </c>
      <c r="G487" s="63"/>
      <c r="H487" s="67"/>
      <c r="I487" s="68"/>
      <c r="J487" s="68"/>
      <c r="K487" s="67" t="s">
        <v>19190</v>
      </c>
      <c r="L487" s="71"/>
      <c r="M487" s="72"/>
      <c r="N487" s="72"/>
      <c r="O487" s="73"/>
      <c r="P487" s="74"/>
      <c r="Q487" s="74"/>
      <c r="R487" s="86"/>
      <c r="S487" s="86"/>
      <c r="T487" s="86"/>
      <c r="U487" s="86"/>
      <c r="V487" s="48"/>
      <c r="W487" s="48"/>
      <c r="X487" s="48"/>
      <c r="Y487" s="48"/>
      <c r="Z487" s="47"/>
      <c r="AA487" s="69">
        <v>487</v>
      </c>
      <c r="AB487" s="69"/>
      <c r="AC487" s="70"/>
      <c r="AD487" s="76" t="s">
        <v>16913</v>
      </c>
      <c r="AE487" s="81" t="s">
        <v>17301</v>
      </c>
      <c r="AF487" s="76">
        <v>117863</v>
      </c>
      <c r="AG487" s="76">
        <v>360</v>
      </c>
      <c r="AH487" s="76">
        <v>33512</v>
      </c>
      <c r="AI487" s="76">
        <v>241</v>
      </c>
      <c r="AJ487" s="76">
        <v>1879</v>
      </c>
      <c r="AK487" s="76">
        <v>21407</v>
      </c>
      <c r="AL487" s="76" t="b">
        <v>0</v>
      </c>
      <c r="AM487" s="78">
        <v>40821.677268518521</v>
      </c>
      <c r="AN487" s="76" t="s">
        <v>17402</v>
      </c>
      <c r="AO487" s="76" t="s">
        <v>18077</v>
      </c>
      <c r="AP487" s="83" t="str">
        <f>HYPERLINK("https://t.co/aGikCtOL3X")</f>
        <v>https://t.co/aGikCtOL3X</v>
      </c>
      <c r="AQ487" s="83" t="str">
        <f>HYPERLINK("https://www.migracioncolombia.gov.co/atencion-al-ciudadano-2/c3")</f>
        <v>https://www.migracioncolombia.gov.co/atencion-al-ciudadano-2/c3</v>
      </c>
      <c r="AR487" s="76" t="s">
        <v>18518</v>
      </c>
      <c r="AS487" s="76"/>
      <c r="AT487" s="76"/>
      <c r="AU487" s="76"/>
      <c r="AV487" s="76">
        <v>1.7070650006474299E+18</v>
      </c>
      <c r="AW487" s="83" t="str">
        <f>HYPERLINK("https://t.co/aGikCtOL3X")</f>
        <v>https://t.co/aGikCtOL3X</v>
      </c>
      <c r="AX487" s="76" t="b">
        <v>0</v>
      </c>
      <c r="AY487" s="76"/>
      <c r="AZ487" s="76"/>
      <c r="BA487" s="76" t="b">
        <v>1</v>
      </c>
      <c r="BB487" s="76" t="b">
        <v>1</v>
      </c>
      <c r="BC487" s="76" t="b">
        <v>0</v>
      </c>
      <c r="BD487" s="76" t="b">
        <v>0</v>
      </c>
      <c r="BE487" s="76" t="b">
        <v>0</v>
      </c>
      <c r="BF487" s="76" t="b">
        <v>0</v>
      </c>
      <c r="BG487" s="76" t="b">
        <v>0</v>
      </c>
      <c r="BH487" s="83" t="str">
        <f>HYPERLINK("https://pbs.twimg.com/profile_banners/385498066/1695819043")</f>
        <v>https://pbs.twimg.com/profile_banners/385498066/1695819043</v>
      </c>
      <c r="BI487" s="76"/>
      <c r="BJ487" s="76" t="s">
        <v>18704</v>
      </c>
      <c r="BK487" s="76" t="b">
        <v>0</v>
      </c>
      <c r="BL487" s="76"/>
      <c r="BM487" s="76" t="s">
        <v>65</v>
      </c>
      <c r="BN487" s="76" t="s">
        <v>18706</v>
      </c>
      <c r="BO487" s="83" t="str">
        <f>HYPERLINK("https://twitter.com/migracioncol")</f>
        <v>https://twitter.com/migracioncol</v>
      </c>
      <c r="BP487" s="2"/>
    </row>
    <row r="488" spans="1:68" x14ac:dyDescent="0.25">
      <c r="A488" s="62" t="s">
        <v>827</v>
      </c>
      <c r="B488" s="63"/>
      <c r="C488" s="63"/>
      <c r="D488" s="64"/>
      <c r="E488" s="66"/>
      <c r="F488" s="102" t="str">
        <f>HYPERLINK("https://pbs.twimg.com/profile_images/786230920856662016/8kaaNdgm_normal.jpg")</f>
        <v>https://pbs.twimg.com/profile_images/786230920856662016/8kaaNdgm_normal.jpg</v>
      </c>
      <c r="G488" s="63"/>
      <c r="H488" s="67"/>
      <c r="I488" s="68"/>
      <c r="J488" s="68"/>
      <c r="K488" s="67" t="s">
        <v>19191</v>
      </c>
      <c r="L488" s="71"/>
      <c r="M488" s="72"/>
      <c r="N488" s="72"/>
      <c r="O488" s="73"/>
      <c r="P488" s="74"/>
      <c r="Q488" s="74"/>
      <c r="R488" s="86"/>
      <c r="S488" s="86"/>
      <c r="T488" s="86"/>
      <c r="U488" s="86"/>
      <c r="V488" s="48"/>
      <c r="W488" s="48"/>
      <c r="X488" s="48"/>
      <c r="Y488" s="48"/>
      <c r="Z488" s="47"/>
      <c r="AA488" s="69">
        <v>488</v>
      </c>
      <c r="AB488" s="69"/>
      <c r="AC488" s="70"/>
      <c r="AD488" s="76" t="s">
        <v>16914</v>
      </c>
      <c r="AE488" s="81" t="s">
        <v>17302</v>
      </c>
      <c r="AF488" s="76">
        <v>5015</v>
      </c>
      <c r="AG488" s="76">
        <v>1719</v>
      </c>
      <c r="AH488" s="76">
        <v>2440</v>
      </c>
      <c r="AI488" s="76">
        <v>113</v>
      </c>
      <c r="AJ488" s="76">
        <v>639</v>
      </c>
      <c r="AK488" s="76">
        <v>1222</v>
      </c>
      <c r="AL488" s="76" t="b">
        <v>0</v>
      </c>
      <c r="AM488" s="78">
        <v>42314.664120370369</v>
      </c>
      <c r="AN488" s="76" t="s">
        <v>17587</v>
      </c>
      <c r="AO488" s="76" t="s">
        <v>18078</v>
      </c>
      <c r="AP488" s="83" t="str">
        <f>HYPERLINK("https://t.co/GXgSOnpUwV")</f>
        <v>https://t.co/GXgSOnpUwV</v>
      </c>
      <c r="AQ488" s="83" t="str">
        <f>HYPERLINK("http://drewry.co.uk")</f>
        <v>http://drewry.co.uk</v>
      </c>
      <c r="AR488" s="76" t="s">
        <v>18519</v>
      </c>
      <c r="AS488" s="76"/>
      <c r="AT488" s="76"/>
      <c r="AU488" s="76"/>
      <c r="AV488" s="76"/>
      <c r="AW488" s="83" t="str">
        <f>HYPERLINK("https://t.co/GXgSOnpUwV")</f>
        <v>https://t.co/GXgSOnpUwV</v>
      </c>
      <c r="AX488" s="76" t="b">
        <v>0</v>
      </c>
      <c r="AY488" s="76"/>
      <c r="AZ488" s="76"/>
      <c r="BA488" s="76" t="b">
        <v>0</v>
      </c>
      <c r="BB488" s="76" t="b">
        <v>1</v>
      </c>
      <c r="BC488" s="76" t="b">
        <v>0</v>
      </c>
      <c r="BD488" s="76" t="b">
        <v>0</v>
      </c>
      <c r="BE488" s="76" t="b">
        <v>0</v>
      </c>
      <c r="BF488" s="76" t="b">
        <v>0</v>
      </c>
      <c r="BG488" s="76" t="b">
        <v>0</v>
      </c>
      <c r="BH488" s="83" t="str">
        <f>HYPERLINK("https://pbs.twimg.com/profile_banners/4127860157/1476345630")</f>
        <v>https://pbs.twimg.com/profile_banners/4127860157/1476345630</v>
      </c>
      <c r="BI488" s="76"/>
      <c r="BJ488" s="76" t="s">
        <v>18704</v>
      </c>
      <c r="BK488" s="76" t="b">
        <v>0</v>
      </c>
      <c r="BL488" s="76"/>
      <c r="BM488" s="76" t="s">
        <v>65</v>
      </c>
      <c r="BN488" s="76" t="s">
        <v>18706</v>
      </c>
      <c r="BO488" s="83" t="str">
        <f>HYPERLINK("https://twitter.com/drewryshipping")</f>
        <v>https://twitter.com/drewryshipping</v>
      </c>
      <c r="BP488" s="2"/>
    </row>
    <row r="489" spans="1:68" x14ac:dyDescent="0.25">
      <c r="A489" s="62" t="s">
        <v>828</v>
      </c>
      <c r="B489" s="63"/>
      <c r="C489" s="63"/>
      <c r="D489" s="64"/>
      <c r="E489" s="66"/>
      <c r="F489" s="102" t="str">
        <f>HYPERLINK("https://pbs.twimg.com/profile_images/1349386907894091778/8aNWt_AP_normal.jpg")</f>
        <v>https://pbs.twimg.com/profile_images/1349386907894091778/8aNWt_AP_normal.jpg</v>
      </c>
      <c r="G489" s="63"/>
      <c r="H489" s="67"/>
      <c r="I489" s="68"/>
      <c r="J489" s="68"/>
      <c r="K489" s="67" t="s">
        <v>19192</v>
      </c>
      <c r="L489" s="71"/>
      <c r="M489" s="72"/>
      <c r="N489" s="72"/>
      <c r="O489" s="73"/>
      <c r="P489" s="74"/>
      <c r="Q489" s="74"/>
      <c r="R489" s="86"/>
      <c r="S489" s="86"/>
      <c r="T489" s="86"/>
      <c r="U489" s="86"/>
      <c r="V489" s="48"/>
      <c r="W489" s="48"/>
      <c r="X489" s="48"/>
      <c r="Y489" s="48"/>
      <c r="Z489" s="47"/>
      <c r="AA489" s="69">
        <v>489</v>
      </c>
      <c r="AB489" s="69"/>
      <c r="AC489" s="70"/>
      <c r="AD489" s="76" t="s">
        <v>16915</v>
      </c>
      <c r="AE489" s="81" t="s">
        <v>17303</v>
      </c>
      <c r="AF489" s="76">
        <v>37872</v>
      </c>
      <c r="AG489" s="76">
        <v>90</v>
      </c>
      <c r="AH489" s="76">
        <v>10132</v>
      </c>
      <c r="AI489" s="76">
        <v>326</v>
      </c>
      <c r="AJ489" s="76">
        <v>2107</v>
      </c>
      <c r="AK489" s="76">
        <v>4099</v>
      </c>
      <c r="AL489" s="76" t="b">
        <v>0</v>
      </c>
      <c r="AM489" s="78">
        <v>40764.720949074072</v>
      </c>
      <c r="AN489" s="76" t="s">
        <v>17401</v>
      </c>
      <c r="AO489" s="76" t="s">
        <v>18079</v>
      </c>
      <c r="AP489" s="83" t="str">
        <f>HYPERLINK("https://t.co/abmAoKx81C")</f>
        <v>https://t.co/abmAoKx81C</v>
      </c>
      <c r="AQ489" s="83" t="str">
        <f>HYPERLINK("http://www.fedesarrollo.org.co/")</f>
        <v>http://www.fedesarrollo.org.co/</v>
      </c>
      <c r="AR489" s="76" t="s">
        <v>18312</v>
      </c>
      <c r="AS489" s="76"/>
      <c r="AT489" s="76"/>
      <c r="AU489" s="76"/>
      <c r="AV489" s="76">
        <v>1.70669140128141E+18</v>
      </c>
      <c r="AW489" s="83" t="str">
        <f>HYPERLINK("https://t.co/abmAoKx81C")</f>
        <v>https://t.co/abmAoKx81C</v>
      </c>
      <c r="AX489" s="76" t="b">
        <v>0</v>
      </c>
      <c r="AY489" s="76"/>
      <c r="AZ489" s="76"/>
      <c r="BA489" s="76" t="b">
        <v>1</v>
      </c>
      <c r="BB489" s="76" t="b">
        <v>1</v>
      </c>
      <c r="BC489" s="76" t="b">
        <v>0</v>
      </c>
      <c r="BD489" s="76" t="b">
        <v>0</v>
      </c>
      <c r="BE489" s="76" t="b">
        <v>0</v>
      </c>
      <c r="BF489" s="76" t="b">
        <v>0</v>
      </c>
      <c r="BG489" s="76" t="b">
        <v>0</v>
      </c>
      <c r="BH489" s="83" t="str">
        <f>HYPERLINK("https://pbs.twimg.com/profile_banners/351726568/1677031030")</f>
        <v>https://pbs.twimg.com/profile_banners/351726568/1677031030</v>
      </c>
      <c r="BI489" s="76"/>
      <c r="BJ489" s="76" t="s">
        <v>18704</v>
      </c>
      <c r="BK489" s="76" t="b">
        <v>0</v>
      </c>
      <c r="BL489" s="76"/>
      <c r="BM489" s="76" t="s">
        <v>65</v>
      </c>
      <c r="BN489" s="76" t="s">
        <v>18706</v>
      </c>
      <c r="BO489" s="83" t="str">
        <f>HYPERLINK("https://twitter.com/fedesarrollo")</f>
        <v>https://twitter.com/fedesarrollo</v>
      </c>
      <c r="BP489" s="2"/>
    </row>
    <row r="490" spans="1:68" x14ac:dyDescent="0.25">
      <c r="A490" s="62" t="s">
        <v>829</v>
      </c>
      <c r="B490" s="63"/>
      <c r="C490" s="63"/>
      <c r="D490" s="64"/>
      <c r="E490" s="66"/>
      <c r="F490" s="102" t="str">
        <f>HYPERLINK("https://pbs.twimg.com/profile_images/1691037265898672128/GQ4faeMG_normal.jpg")</f>
        <v>https://pbs.twimg.com/profile_images/1691037265898672128/GQ4faeMG_normal.jpg</v>
      </c>
      <c r="G490" s="63"/>
      <c r="H490" s="67"/>
      <c r="I490" s="68"/>
      <c r="J490" s="68"/>
      <c r="K490" s="67" t="s">
        <v>19193</v>
      </c>
      <c r="L490" s="71"/>
      <c r="M490" s="72"/>
      <c r="N490" s="72"/>
      <c r="O490" s="73"/>
      <c r="P490" s="74"/>
      <c r="Q490" s="74"/>
      <c r="R490" s="86"/>
      <c r="S490" s="86"/>
      <c r="T490" s="86"/>
      <c r="U490" s="86"/>
      <c r="V490" s="48"/>
      <c r="W490" s="48"/>
      <c r="X490" s="48"/>
      <c r="Y490" s="48"/>
      <c r="Z490" s="47"/>
      <c r="AA490" s="69">
        <v>490</v>
      </c>
      <c r="AB490" s="69"/>
      <c r="AC490" s="70"/>
      <c r="AD490" s="76" t="s">
        <v>16916</v>
      </c>
      <c r="AE490" s="81" t="s">
        <v>17304</v>
      </c>
      <c r="AF490" s="76">
        <v>1830028</v>
      </c>
      <c r="AG490" s="76">
        <v>322</v>
      </c>
      <c r="AH490" s="76">
        <v>197401</v>
      </c>
      <c r="AI490" s="76">
        <v>2827</v>
      </c>
      <c r="AJ490" s="76">
        <v>50960</v>
      </c>
      <c r="AK490" s="76">
        <v>54016</v>
      </c>
      <c r="AL490" s="76" t="b">
        <v>0</v>
      </c>
      <c r="AM490" s="78">
        <v>40701.857511574075</v>
      </c>
      <c r="AN490" s="76" t="s">
        <v>17402</v>
      </c>
      <c r="AO490" s="76" t="s">
        <v>18080</v>
      </c>
      <c r="AP490" s="83" t="str">
        <f>HYPERLINK("https://t.co/QKRTYf2230")</f>
        <v>https://t.co/QKRTYf2230</v>
      </c>
      <c r="AQ490" s="83" t="str">
        <f>HYPERLINK("https://petro.presidencia.gov.co/")</f>
        <v>https://petro.presidencia.gov.co/</v>
      </c>
      <c r="AR490" s="76" t="s">
        <v>18520</v>
      </c>
      <c r="AS490" s="76"/>
      <c r="AT490" s="76"/>
      <c r="AU490" s="76"/>
      <c r="AV490" s="76">
        <v>1.70708889645713E+18</v>
      </c>
      <c r="AW490" s="83" t="str">
        <f>HYPERLINK("https://t.co/QKRTYf2230")</f>
        <v>https://t.co/QKRTYf2230</v>
      </c>
      <c r="AX490" s="76" t="b">
        <v>1</v>
      </c>
      <c r="AY490" s="76"/>
      <c r="AZ490" s="76"/>
      <c r="BA490" s="76" t="b">
        <v>0</v>
      </c>
      <c r="BB490" s="76" t="b">
        <v>0</v>
      </c>
      <c r="BC490" s="76" t="b">
        <v>0</v>
      </c>
      <c r="BD490" s="76" t="b">
        <v>0</v>
      </c>
      <c r="BE490" s="76" t="b">
        <v>1</v>
      </c>
      <c r="BF490" s="76" t="b">
        <v>0</v>
      </c>
      <c r="BG490" s="76" t="b">
        <v>0</v>
      </c>
      <c r="BH490" s="83" t="str">
        <f>HYPERLINK("https://pbs.twimg.com/profile_banners/312887235/1695816368")</f>
        <v>https://pbs.twimg.com/profile_banners/312887235/1695816368</v>
      </c>
      <c r="BI490" s="76"/>
      <c r="BJ490" s="76" t="s">
        <v>18704</v>
      </c>
      <c r="BK490" s="76" t="b">
        <v>0</v>
      </c>
      <c r="BL490" s="76"/>
      <c r="BM490" s="76" t="s">
        <v>65</v>
      </c>
      <c r="BN490" s="76" t="s">
        <v>18706</v>
      </c>
      <c r="BO490" s="83" t="str">
        <f>HYPERLINK("https://twitter.com/infopresidencia")</f>
        <v>https://twitter.com/infopresidencia</v>
      </c>
      <c r="BP490" s="2"/>
    </row>
    <row r="491" spans="1:68" x14ac:dyDescent="0.25">
      <c r="A491" s="62" t="s">
        <v>830</v>
      </c>
      <c r="B491" s="63"/>
      <c r="C491" s="63"/>
      <c r="D491" s="64"/>
      <c r="E491" s="66"/>
      <c r="F491" s="102" t="str">
        <f>HYPERLINK("https://pbs.twimg.com/profile_images/1698732762176335877/3un5hk0z_normal.jpg")</f>
        <v>https://pbs.twimg.com/profile_images/1698732762176335877/3un5hk0z_normal.jpg</v>
      </c>
      <c r="G491" s="63"/>
      <c r="H491" s="67"/>
      <c r="I491" s="68"/>
      <c r="J491" s="68"/>
      <c r="K491" s="67" t="s">
        <v>19194</v>
      </c>
      <c r="L491" s="71"/>
      <c r="M491" s="72"/>
      <c r="N491" s="72"/>
      <c r="O491" s="73"/>
      <c r="P491" s="74"/>
      <c r="Q491" s="74"/>
      <c r="R491" s="86"/>
      <c r="S491" s="86"/>
      <c r="T491" s="86"/>
      <c r="U491" s="86"/>
      <c r="V491" s="48"/>
      <c r="W491" s="48"/>
      <c r="X491" s="48"/>
      <c r="Y491" s="48"/>
      <c r="Z491" s="47"/>
      <c r="AA491" s="69">
        <v>491</v>
      </c>
      <c r="AB491" s="69"/>
      <c r="AC491" s="70"/>
      <c r="AD491" s="76" t="s">
        <v>16917</v>
      </c>
      <c r="AE491" s="81" t="s">
        <v>17305</v>
      </c>
      <c r="AF491" s="76">
        <v>263517</v>
      </c>
      <c r="AG491" s="76">
        <v>184</v>
      </c>
      <c r="AH491" s="76">
        <v>59604</v>
      </c>
      <c r="AI491" s="76">
        <v>670</v>
      </c>
      <c r="AJ491" s="76">
        <v>2797</v>
      </c>
      <c r="AK491" s="76">
        <v>24062</v>
      </c>
      <c r="AL491" s="76" t="b">
        <v>0</v>
      </c>
      <c r="AM491" s="78">
        <v>40743.70034722222</v>
      </c>
      <c r="AN491" s="76" t="s">
        <v>17401</v>
      </c>
      <c r="AO491" s="76" t="s">
        <v>18081</v>
      </c>
      <c r="AP491" s="83" t="str">
        <f>HYPERLINK("https://t.co/spDRXdQ4XB")</f>
        <v>https://t.co/spDRXdQ4XB</v>
      </c>
      <c r="AQ491" s="83" t="str">
        <f>HYPERLINK("http://www.camara.gov.co")</f>
        <v>http://www.camara.gov.co</v>
      </c>
      <c r="AR491" s="76" t="s">
        <v>18521</v>
      </c>
      <c r="AS491" s="76"/>
      <c r="AT491" s="76"/>
      <c r="AU491" s="76"/>
      <c r="AV491" s="76"/>
      <c r="AW491" s="83" t="str">
        <f>HYPERLINK("https://t.co/spDRXdQ4XB")</f>
        <v>https://t.co/spDRXdQ4XB</v>
      </c>
      <c r="AX491" s="76" t="b">
        <v>0</v>
      </c>
      <c r="AY491" s="76"/>
      <c r="AZ491" s="76"/>
      <c r="BA491" s="76" t="b">
        <v>1</v>
      </c>
      <c r="BB491" s="76" t="b">
        <v>0</v>
      </c>
      <c r="BC491" s="76" t="b">
        <v>0</v>
      </c>
      <c r="BD491" s="76" t="b">
        <v>0</v>
      </c>
      <c r="BE491" s="76" t="b">
        <v>1</v>
      </c>
      <c r="BF491" s="76" t="b">
        <v>0</v>
      </c>
      <c r="BG491" s="76" t="b">
        <v>0</v>
      </c>
      <c r="BH491" s="83" t="str">
        <f>HYPERLINK("https://pbs.twimg.com/profile_banners/338472735/1693848166")</f>
        <v>https://pbs.twimg.com/profile_banners/338472735/1693848166</v>
      </c>
      <c r="BI491" s="76"/>
      <c r="BJ491" s="76" t="s">
        <v>18704</v>
      </c>
      <c r="BK491" s="76" t="b">
        <v>0</v>
      </c>
      <c r="BL491" s="76"/>
      <c r="BM491" s="76" t="s">
        <v>65</v>
      </c>
      <c r="BN491" s="76" t="s">
        <v>18706</v>
      </c>
      <c r="BO491" s="83" t="str">
        <f>HYPERLINK("https://twitter.com/camaracolombia")</f>
        <v>https://twitter.com/camaracolombia</v>
      </c>
      <c r="BP491" s="2"/>
    </row>
    <row r="492" spans="1:68" x14ac:dyDescent="0.25">
      <c r="A492" s="62" t="s">
        <v>831</v>
      </c>
      <c r="B492" s="63"/>
      <c r="C492" s="63"/>
      <c r="D492" s="64"/>
      <c r="E492" s="66"/>
      <c r="F492" s="102" t="str">
        <f>HYPERLINK("https://pbs.twimg.com/profile_images/1655689610226200579/EjyiJ-5c_normal.jpg")</f>
        <v>https://pbs.twimg.com/profile_images/1655689610226200579/EjyiJ-5c_normal.jpg</v>
      </c>
      <c r="G492" s="63"/>
      <c r="H492" s="67"/>
      <c r="I492" s="68"/>
      <c r="J492" s="68"/>
      <c r="K492" s="67" t="s">
        <v>19195</v>
      </c>
      <c r="L492" s="71"/>
      <c r="M492" s="72"/>
      <c r="N492" s="72"/>
      <c r="O492" s="73"/>
      <c r="P492" s="74"/>
      <c r="Q492" s="74"/>
      <c r="R492" s="86"/>
      <c r="S492" s="86"/>
      <c r="T492" s="86"/>
      <c r="U492" s="86"/>
      <c r="V492" s="48"/>
      <c r="W492" s="48"/>
      <c r="X492" s="48"/>
      <c r="Y492" s="48"/>
      <c r="Z492" s="47"/>
      <c r="AA492" s="69">
        <v>492</v>
      </c>
      <c r="AB492" s="69"/>
      <c r="AC492" s="70"/>
      <c r="AD492" s="76" t="s">
        <v>16918</v>
      </c>
      <c r="AE492" s="81" t="s">
        <v>17306</v>
      </c>
      <c r="AF492" s="76">
        <v>509378</v>
      </c>
      <c r="AG492" s="76">
        <v>327</v>
      </c>
      <c r="AH492" s="76">
        <v>26823</v>
      </c>
      <c r="AI492" s="76">
        <v>2920</v>
      </c>
      <c r="AJ492" s="76">
        <v>5</v>
      </c>
      <c r="AK492" s="76">
        <v>16126</v>
      </c>
      <c r="AL492" s="76" t="b">
        <v>0</v>
      </c>
      <c r="AM492" s="78">
        <v>40451.706250000003</v>
      </c>
      <c r="AN492" s="76" t="s">
        <v>17588</v>
      </c>
      <c r="AO492" s="76" t="s">
        <v>18082</v>
      </c>
      <c r="AP492" s="83" t="str">
        <f>HYPERLINK("https://t.co/KqwsjiHfQC")</f>
        <v>https://t.co/KqwsjiHfQC</v>
      </c>
      <c r="AQ492" s="83" t="str">
        <f>HYPERLINK("https://www.cepal.org/")</f>
        <v>https://www.cepal.org/</v>
      </c>
      <c r="AR492" s="76" t="s">
        <v>18522</v>
      </c>
      <c r="AS492" s="76"/>
      <c r="AT492" s="76"/>
      <c r="AU492" s="76"/>
      <c r="AV492" s="76">
        <v>1.70739677529074E+18</v>
      </c>
      <c r="AW492" s="83" t="str">
        <f>HYPERLINK("https://t.co/KqwsjiHfQC")</f>
        <v>https://t.co/KqwsjiHfQC</v>
      </c>
      <c r="AX492" s="76" t="b">
        <v>0</v>
      </c>
      <c r="AY492" s="76"/>
      <c r="AZ492" s="76"/>
      <c r="BA492" s="76" t="b">
        <v>0</v>
      </c>
      <c r="BB492" s="76" t="b">
        <v>1</v>
      </c>
      <c r="BC492" s="76" t="b">
        <v>0</v>
      </c>
      <c r="BD492" s="76" t="b">
        <v>0</v>
      </c>
      <c r="BE492" s="76" t="b">
        <v>0</v>
      </c>
      <c r="BF492" s="76" t="b">
        <v>0</v>
      </c>
      <c r="BG492" s="76" t="b">
        <v>0</v>
      </c>
      <c r="BH492" s="83" t="str">
        <f>HYPERLINK("https://pbs.twimg.com/profile_banners/197095948/1683582140")</f>
        <v>https://pbs.twimg.com/profile_banners/197095948/1683582140</v>
      </c>
      <c r="BI492" s="76"/>
      <c r="BJ492" s="76" t="s">
        <v>18704</v>
      </c>
      <c r="BK492" s="76" t="b">
        <v>0</v>
      </c>
      <c r="BL492" s="76"/>
      <c r="BM492" s="76" t="s">
        <v>65</v>
      </c>
      <c r="BN492" s="76" t="s">
        <v>18706</v>
      </c>
      <c r="BO492" s="83" t="str">
        <f>HYPERLINK("https://twitter.com/cepal_onu")</f>
        <v>https://twitter.com/cepal_onu</v>
      </c>
      <c r="BP492" s="2"/>
    </row>
    <row r="493" spans="1:68" x14ac:dyDescent="0.25">
      <c r="A493" s="62" t="s">
        <v>832</v>
      </c>
      <c r="B493" s="63"/>
      <c r="C493" s="63"/>
      <c r="D493" s="64"/>
      <c r="E493" s="66"/>
      <c r="F493" s="102" t="str">
        <f>HYPERLINK("https://pbs.twimg.com/profile_images/1069738497823645696/Y5QkBKP4_normal.jpg")</f>
        <v>https://pbs.twimg.com/profile_images/1069738497823645696/Y5QkBKP4_normal.jpg</v>
      </c>
      <c r="G493" s="63"/>
      <c r="H493" s="67"/>
      <c r="I493" s="68"/>
      <c r="J493" s="68"/>
      <c r="K493" s="67" t="s">
        <v>19196</v>
      </c>
      <c r="L493" s="71"/>
      <c r="M493" s="72"/>
      <c r="N493" s="72"/>
      <c r="O493" s="73"/>
      <c r="P493" s="74"/>
      <c r="Q493" s="74"/>
      <c r="R493" s="86"/>
      <c r="S493" s="86"/>
      <c r="T493" s="86"/>
      <c r="U493" s="86"/>
      <c r="V493" s="48"/>
      <c r="W493" s="48"/>
      <c r="X493" s="48"/>
      <c r="Y493" s="48"/>
      <c r="Z493" s="47"/>
      <c r="AA493" s="69">
        <v>493</v>
      </c>
      <c r="AB493" s="69"/>
      <c r="AC493" s="70"/>
      <c r="AD493" s="76" t="s">
        <v>16919</v>
      </c>
      <c r="AE493" s="81" t="s">
        <v>17307</v>
      </c>
      <c r="AF493" s="76">
        <v>3833</v>
      </c>
      <c r="AG493" s="76">
        <v>2175</v>
      </c>
      <c r="AH493" s="76">
        <v>8046</v>
      </c>
      <c r="AI493" s="76">
        <v>32</v>
      </c>
      <c r="AJ493" s="76">
        <v>3851</v>
      </c>
      <c r="AK493" s="76">
        <v>793</v>
      </c>
      <c r="AL493" s="76" t="b">
        <v>0</v>
      </c>
      <c r="AM493" s="78">
        <v>41337.99728009259</v>
      </c>
      <c r="AN493" s="76" t="s">
        <v>17589</v>
      </c>
      <c r="AO493" s="76" t="s">
        <v>18083</v>
      </c>
      <c r="AP493" s="83" t="str">
        <f>HYPERLINK("https://t.co/nnSARtzth0")</f>
        <v>https://t.co/nnSARtzth0</v>
      </c>
      <c r="AQ493" s="83" t="str">
        <f>HYPERLINK("https://www.andemos.org")</f>
        <v>https://www.andemos.org</v>
      </c>
      <c r="AR493" s="76" t="s">
        <v>18523</v>
      </c>
      <c r="AS493" s="76"/>
      <c r="AT493" s="76"/>
      <c r="AU493" s="76"/>
      <c r="AV493" s="76"/>
      <c r="AW493" s="83" t="str">
        <f>HYPERLINK("https://t.co/nnSARtzth0")</f>
        <v>https://t.co/nnSARtzth0</v>
      </c>
      <c r="AX493" s="76" t="b">
        <v>0</v>
      </c>
      <c r="AY493" s="76"/>
      <c r="AZ493" s="76"/>
      <c r="BA493" s="76" t="b">
        <v>0</v>
      </c>
      <c r="BB493" s="76" t="b">
        <v>1</v>
      </c>
      <c r="BC493" s="76" t="b">
        <v>1</v>
      </c>
      <c r="BD493" s="76" t="b">
        <v>0</v>
      </c>
      <c r="BE493" s="76" t="b">
        <v>1</v>
      </c>
      <c r="BF493" s="76" t="b">
        <v>0</v>
      </c>
      <c r="BG493" s="76" t="b">
        <v>0</v>
      </c>
      <c r="BH493" s="83" t="str">
        <f>HYPERLINK("https://pbs.twimg.com/profile_banners/1242457002/1675712519")</f>
        <v>https://pbs.twimg.com/profile_banners/1242457002/1675712519</v>
      </c>
      <c r="BI493" s="76"/>
      <c r="BJ493" s="76" t="s">
        <v>18704</v>
      </c>
      <c r="BK493" s="76" t="b">
        <v>0</v>
      </c>
      <c r="BL493" s="76"/>
      <c r="BM493" s="76" t="s">
        <v>65</v>
      </c>
      <c r="BN493" s="76" t="s">
        <v>18706</v>
      </c>
      <c r="BO493" s="83" t="str">
        <f>HYPERLINK("https://twitter.com/andemos_col")</f>
        <v>https://twitter.com/andemos_col</v>
      </c>
      <c r="BP493" s="2"/>
    </row>
    <row r="494" spans="1:68" x14ac:dyDescent="0.25">
      <c r="A494" s="62" t="s">
        <v>833</v>
      </c>
      <c r="B494" s="63"/>
      <c r="C494" s="63"/>
      <c r="D494" s="64"/>
      <c r="E494" s="66"/>
      <c r="F494" s="102" t="str">
        <f>HYPERLINK("https://pbs.twimg.com/profile_images/1689356712103350272/wEF_FM5l_normal.jpg")</f>
        <v>https://pbs.twimg.com/profile_images/1689356712103350272/wEF_FM5l_normal.jpg</v>
      </c>
      <c r="G494" s="63"/>
      <c r="H494" s="67"/>
      <c r="I494" s="68"/>
      <c r="J494" s="68"/>
      <c r="K494" s="67" t="s">
        <v>19197</v>
      </c>
      <c r="L494" s="71"/>
      <c r="M494" s="72"/>
      <c r="N494" s="72"/>
      <c r="O494" s="73"/>
      <c r="P494" s="74"/>
      <c r="Q494" s="74"/>
      <c r="R494" s="86"/>
      <c r="S494" s="86"/>
      <c r="T494" s="86"/>
      <c r="U494" s="86"/>
      <c r="V494" s="48"/>
      <c r="W494" s="48"/>
      <c r="X494" s="48"/>
      <c r="Y494" s="48"/>
      <c r="Z494" s="47"/>
      <c r="AA494" s="69">
        <v>494</v>
      </c>
      <c r="AB494" s="69"/>
      <c r="AC494" s="70"/>
      <c r="AD494" s="76" t="s">
        <v>16920</v>
      </c>
      <c r="AE494" s="81" t="s">
        <v>17308</v>
      </c>
      <c r="AF494" s="76">
        <v>8367</v>
      </c>
      <c r="AG494" s="76">
        <v>1142</v>
      </c>
      <c r="AH494" s="76">
        <v>10266</v>
      </c>
      <c r="AI494" s="76">
        <v>41</v>
      </c>
      <c r="AJ494" s="76">
        <v>1763</v>
      </c>
      <c r="AK494" s="76">
        <v>4082</v>
      </c>
      <c r="AL494" s="76" t="b">
        <v>0</v>
      </c>
      <c r="AM494" s="78">
        <v>41337.869525462964</v>
      </c>
      <c r="AN494" s="76" t="s">
        <v>17401</v>
      </c>
      <c r="AO494" s="76" t="s">
        <v>18084</v>
      </c>
      <c r="AP494" s="83" t="str">
        <f>HYPERLINK("https://t.co/EkYPwRsSqT")</f>
        <v>https://t.co/EkYPwRsSqT</v>
      </c>
      <c r="AQ494" s="83" t="str">
        <f>HYPERLINK("http://www.fng.gov.co")</f>
        <v>http://www.fng.gov.co</v>
      </c>
      <c r="AR494" s="76" t="s">
        <v>18524</v>
      </c>
      <c r="AS494" s="76"/>
      <c r="AT494" s="76"/>
      <c r="AU494" s="76"/>
      <c r="AV494" s="76"/>
      <c r="AW494" s="83" t="str">
        <f>HYPERLINK("https://t.co/EkYPwRsSqT")</f>
        <v>https://t.co/EkYPwRsSqT</v>
      </c>
      <c r="AX494" s="76" t="b">
        <v>0</v>
      </c>
      <c r="AY494" s="76"/>
      <c r="AZ494" s="76"/>
      <c r="BA494" s="76" t="b">
        <v>0</v>
      </c>
      <c r="BB494" s="76" t="b">
        <v>1</v>
      </c>
      <c r="BC494" s="76" t="b">
        <v>0</v>
      </c>
      <c r="BD494" s="76" t="b">
        <v>0</v>
      </c>
      <c r="BE494" s="76" t="b">
        <v>0</v>
      </c>
      <c r="BF494" s="76" t="b">
        <v>0</v>
      </c>
      <c r="BG494" s="76" t="b">
        <v>0</v>
      </c>
      <c r="BH494" s="83" t="str">
        <f>HYPERLINK("https://pbs.twimg.com/profile_banners/1242199508/1691609013")</f>
        <v>https://pbs.twimg.com/profile_banners/1242199508/1691609013</v>
      </c>
      <c r="BI494" s="76"/>
      <c r="BJ494" s="76" t="s">
        <v>18704</v>
      </c>
      <c r="BK494" s="76" t="b">
        <v>0</v>
      </c>
      <c r="BL494" s="76"/>
      <c r="BM494" s="76" t="s">
        <v>65</v>
      </c>
      <c r="BN494" s="76" t="s">
        <v>18706</v>
      </c>
      <c r="BO494" s="83" t="str">
        <f>HYPERLINK("https://twitter.com/fngsa")</f>
        <v>https://twitter.com/fngsa</v>
      </c>
      <c r="BP494" s="2"/>
    </row>
    <row r="495" spans="1:68" x14ac:dyDescent="0.25">
      <c r="A495" s="62" t="s">
        <v>834</v>
      </c>
      <c r="B495" s="63"/>
      <c r="C495" s="63"/>
      <c r="D495" s="64"/>
      <c r="E495" s="66"/>
      <c r="F495" s="102" t="str">
        <f>HYPERLINK("https://pbs.twimg.com/profile_images/1002552048620134400/qZ1XCo_9_normal.jpg")</f>
        <v>https://pbs.twimg.com/profile_images/1002552048620134400/qZ1XCo_9_normal.jpg</v>
      </c>
      <c r="G495" s="63"/>
      <c r="H495" s="67"/>
      <c r="I495" s="68"/>
      <c r="J495" s="68"/>
      <c r="K495" s="67" t="s">
        <v>19198</v>
      </c>
      <c r="L495" s="71"/>
      <c r="M495" s="72"/>
      <c r="N495" s="72"/>
      <c r="O495" s="73"/>
      <c r="P495" s="74"/>
      <c r="Q495" s="74"/>
      <c r="R495" s="86"/>
      <c r="S495" s="86"/>
      <c r="T495" s="86"/>
      <c r="U495" s="86"/>
      <c r="V495" s="48"/>
      <c r="W495" s="48"/>
      <c r="X495" s="48"/>
      <c r="Y495" s="48"/>
      <c r="Z495" s="47"/>
      <c r="AA495" s="69">
        <v>495</v>
      </c>
      <c r="AB495" s="69"/>
      <c r="AC495" s="70"/>
      <c r="AD495" s="76" t="s">
        <v>16921</v>
      </c>
      <c r="AE495" s="81" t="s">
        <v>17309</v>
      </c>
      <c r="AF495" s="76">
        <v>75497</v>
      </c>
      <c r="AG495" s="76">
        <v>444</v>
      </c>
      <c r="AH495" s="76">
        <v>38935</v>
      </c>
      <c r="AI495" s="76">
        <v>228</v>
      </c>
      <c r="AJ495" s="76">
        <v>1434</v>
      </c>
      <c r="AK495" s="76">
        <v>1396</v>
      </c>
      <c r="AL495" s="76" t="b">
        <v>0</v>
      </c>
      <c r="AM495" s="78">
        <v>40329.734884259262</v>
      </c>
      <c r="AN495" s="76" t="s">
        <v>17590</v>
      </c>
      <c r="AO495" s="76"/>
      <c r="AP495" s="83" t="str">
        <f>HYPERLINK("https://t.co/Ru7W7D6DO6")</f>
        <v>https://t.co/Ru7W7D6DO6</v>
      </c>
      <c r="AQ495" s="83" t="str">
        <f>HYPERLINK("https://www.davivienda.com/")</f>
        <v>https://www.davivienda.com/</v>
      </c>
      <c r="AR495" s="76" t="s">
        <v>18525</v>
      </c>
      <c r="AS495" s="76"/>
      <c r="AT495" s="76"/>
      <c r="AU495" s="76"/>
      <c r="AV495" s="76"/>
      <c r="AW495" s="83" t="str">
        <f>HYPERLINK("https://t.co/Ru7W7D6DO6")</f>
        <v>https://t.co/Ru7W7D6DO6</v>
      </c>
      <c r="AX495" s="76" t="b">
        <v>0</v>
      </c>
      <c r="AY495" s="76"/>
      <c r="AZ495" s="76"/>
      <c r="BA495" s="76" t="b">
        <v>1</v>
      </c>
      <c r="BB495" s="76" t="b">
        <v>1</v>
      </c>
      <c r="BC495" s="76" t="b">
        <v>0</v>
      </c>
      <c r="BD495" s="76" t="b">
        <v>0</v>
      </c>
      <c r="BE495" s="76" t="b">
        <v>0</v>
      </c>
      <c r="BF495" s="76" t="b">
        <v>0</v>
      </c>
      <c r="BG495" s="76" t="b">
        <v>0</v>
      </c>
      <c r="BH495" s="83" t="str">
        <f>HYPERLINK("https://pbs.twimg.com/profile_banners/150335293/1672953468")</f>
        <v>https://pbs.twimg.com/profile_banners/150335293/1672953468</v>
      </c>
      <c r="BI495" s="76"/>
      <c r="BJ495" s="76" t="s">
        <v>18704</v>
      </c>
      <c r="BK495" s="76" t="b">
        <v>0</v>
      </c>
      <c r="BL495" s="76"/>
      <c r="BM495" s="76" t="s">
        <v>65</v>
      </c>
      <c r="BN495" s="76" t="s">
        <v>18706</v>
      </c>
      <c r="BO495" s="83" t="str">
        <f>HYPERLINK("https://twitter.com/davivienda")</f>
        <v>https://twitter.com/davivienda</v>
      </c>
      <c r="BP495" s="2"/>
    </row>
    <row r="496" spans="1:68" x14ac:dyDescent="0.25">
      <c r="A496" s="62" t="s">
        <v>835</v>
      </c>
      <c r="B496" s="63"/>
      <c r="C496" s="63"/>
      <c r="D496" s="64"/>
      <c r="E496" s="66"/>
      <c r="F496" s="102" t="str">
        <f>HYPERLINK("https://pbs.twimg.com/profile_images/1689759756787818496/z7CYlM7j_normal.jpg")</f>
        <v>https://pbs.twimg.com/profile_images/1689759756787818496/z7CYlM7j_normal.jpg</v>
      </c>
      <c r="G496" s="63"/>
      <c r="H496" s="67"/>
      <c r="I496" s="68"/>
      <c r="J496" s="68"/>
      <c r="K496" s="67" t="s">
        <v>19199</v>
      </c>
      <c r="L496" s="71"/>
      <c r="M496" s="72"/>
      <c r="N496" s="72"/>
      <c r="O496" s="73"/>
      <c r="P496" s="74"/>
      <c r="Q496" s="74"/>
      <c r="R496" s="86"/>
      <c r="S496" s="86"/>
      <c r="T496" s="86"/>
      <c r="U496" s="86"/>
      <c r="V496" s="48"/>
      <c r="W496" s="48"/>
      <c r="X496" s="48"/>
      <c r="Y496" s="48"/>
      <c r="Z496" s="47"/>
      <c r="AA496" s="69">
        <v>496</v>
      </c>
      <c r="AB496" s="69"/>
      <c r="AC496" s="70"/>
      <c r="AD496" s="76" t="s">
        <v>16922</v>
      </c>
      <c r="AE496" s="81" t="s">
        <v>17310</v>
      </c>
      <c r="AF496" s="76">
        <v>190</v>
      </c>
      <c r="AG496" s="76">
        <v>256</v>
      </c>
      <c r="AH496" s="76">
        <v>163</v>
      </c>
      <c r="AI496" s="76">
        <v>4</v>
      </c>
      <c r="AJ496" s="76">
        <v>223</v>
      </c>
      <c r="AK496" s="76">
        <v>75</v>
      </c>
      <c r="AL496" s="76" t="b">
        <v>0</v>
      </c>
      <c r="AM496" s="78">
        <v>44516.895960648151</v>
      </c>
      <c r="AN496" s="76" t="s">
        <v>17402</v>
      </c>
      <c r="AO496" s="76" t="s">
        <v>18085</v>
      </c>
      <c r="AP496" s="83" t="str">
        <f>HYPERLINK("https://t.co/06SfwEZzn7")</f>
        <v>https://t.co/06SfwEZzn7</v>
      </c>
      <c r="AQ496" s="83" t="str">
        <f>HYPERLINK("http://www.andi.com.co/Home/Camara/4-automotriz")</f>
        <v>http://www.andi.com.co/Home/Camara/4-automotriz</v>
      </c>
      <c r="AR496" s="76" t="s">
        <v>18526</v>
      </c>
      <c r="AS496" s="76"/>
      <c r="AT496" s="76"/>
      <c r="AU496" s="76"/>
      <c r="AV496" s="76"/>
      <c r="AW496" s="83" t="str">
        <f>HYPERLINK("https://t.co/06SfwEZzn7")</f>
        <v>https://t.co/06SfwEZzn7</v>
      </c>
      <c r="AX496" s="76" t="b">
        <v>0</v>
      </c>
      <c r="AY496" s="76"/>
      <c r="AZ496" s="76"/>
      <c r="BA496" s="76" t="b">
        <v>0</v>
      </c>
      <c r="BB496" s="76" t="b">
        <v>1</v>
      </c>
      <c r="BC496" s="76" t="b">
        <v>1</v>
      </c>
      <c r="BD496" s="76" t="b">
        <v>0</v>
      </c>
      <c r="BE496" s="76" t="b">
        <v>0</v>
      </c>
      <c r="BF496" s="76" t="b">
        <v>0</v>
      </c>
      <c r="BG496" s="76" t="b">
        <v>0</v>
      </c>
      <c r="BH496" s="83" t="str">
        <f>HYPERLINK("https://pbs.twimg.com/profile_banners/1460721527012433934/1690907223")</f>
        <v>https://pbs.twimg.com/profile_banners/1460721527012433934/1690907223</v>
      </c>
      <c r="BI496" s="76"/>
      <c r="BJ496" s="76" t="s">
        <v>18704</v>
      </c>
      <c r="BK496" s="76" t="b">
        <v>0</v>
      </c>
      <c r="BL496" s="76"/>
      <c r="BM496" s="76" t="s">
        <v>65</v>
      </c>
      <c r="BN496" s="76" t="s">
        <v>18706</v>
      </c>
      <c r="BO496" s="83" t="str">
        <f>HYPERLINK("https://twitter.com/automotrizandi")</f>
        <v>https://twitter.com/automotrizandi</v>
      </c>
      <c r="BP496" s="2"/>
    </row>
    <row r="497" spans="1:68" x14ac:dyDescent="0.25">
      <c r="A497" s="62" t="s">
        <v>836</v>
      </c>
      <c r="B497" s="63"/>
      <c r="C497" s="63"/>
      <c r="D497" s="64"/>
      <c r="E497" s="66"/>
      <c r="F497" s="102" t="str">
        <f>HYPERLINK("https://pbs.twimg.com/profile_images/1164967438406098945/8TFHdbQ-_normal.jpg")</f>
        <v>https://pbs.twimg.com/profile_images/1164967438406098945/8TFHdbQ-_normal.jpg</v>
      </c>
      <c r="G497" s="63"/>
      <c r="H497" s="67"/>
      <c r="I497" s="68"/>
      <c r="J497" s="68"/>
      <c r="K497" s="67" t="s">
        <v>19200</v>
      </c>
      <c r="L497" s="71"/>
      <c r="M497" s="72"/>
      <c r="N497" s="72"/>
      <c r="O497" s="73"/>
      <c r="P497" s="74"/>
      <c r="Q497" s="74"/>
      <c r="R497" s="86"/>
      <c r="S497" s="86"/>
      <c r="T497" s="86"/>
      <c r="U497" s="86"/>
      <c r="V497" s="48"/>
      <c r="W497" s="48"/>
      <c r="X497" s="48"/>
      <c r="Y497" s="48"/>
      <c r="Z497" s="47"/>
      <c r="AA497" s="69">
        <v>497</v>
      </c>
      <c r="AB497" s="69"/>
      <c r="AC497" s="70"/>
      <c r="AD497" s="76" t="s">
        <v>16923</v>
      </c>
      <c r="AE497" s="81" t="s">
        <v>17311</v>
      </c>
      <c r="AF497" s="76">
        <v>2435</v>
      </c>
      <c r="AG497" s="76">
        <v>681</v>
      </c>
      <c r="AH497" s="76">
        <v>3202</v>
      </c>
      <c r="AI497" s="76">
        <v>16</v>
      </c>
      <c r="AJ497" s="76">
        <v>1162</v>
      </c>
      <c r="AK497" s="76">
        <v>1589</v>
      </c>
      <c r="AL497" s="76" t="b">
        <v>0</v>
      </c>
      <c r="AM497" s="78">
        <v>41741.819224537037</v>
      </c>
      <c r="AN497" s="76" t="s">
        <v>17590</v>
      </c>
      <c r="AO497" s="76" t="s">
        <v>18086</v>
      </c>
      <c r="AP497" s="83" t="str">
        <f>HYPERLINK("https://t.co/Q9IjJiSRHl")</f>
        <v>https://t.co/Q9IjJiSRHl</v>
      </c>
      <c r="AQ497" s="83" t="str">
        <f>HYPERLINK("http://www.asomicrofinanzas.com.co")</f>
        <v>http://www.asomicrofinanzas.com.co</v>
      </c>
      <c r="AR497" s="76" t="s">
        <v>18527</v>
      </c>
      <c r="AS497" s="76"/>
      <c r="AT497" s="76"/>
      <c r="AU497" s="76"/>
      <c r="AV497" s="76"/>
      <c r="AW497" s="83" t="str">
        <f>HYPERLINK("https://t.co/Q9IjJiSRHl")</f>
        <v>https://t.co/Q9IjJiSRHl</v>
      </c>
      <c r="AX497" s="76" t="b">
        <v>0</v>
      </c>
      <c r="AY497" s="76"/>
      <c r="AZ497" s="76"/>
      <c r="BA497" s="76" t="b">
        <v>0</v>
      </c>
      <c r="BB497" s="76" t="b">
        <v>1</v>
      </c>
      <c r="BC497" s="76" t="b">
        <v>1</v>
      </c>
      <c r="BD497" s="76" t="b">
        <v>0</v>
      </c>
      <c r="BE497" s="76" t="b">
        <v>1</v>
      </c>
      <c r="BF497" s="76" t="b">
        <v>0</v>
      </c>
      <c r="BG497" s="76" t="b">
        <v>0</v>
      </c>
      <c r="BH497" s="83" t="str">
        <f>HYPERLINK("https://pbs.twimg.com/profile_banners/2440519512/1661870065")</f>
        <v>https://pbs.twimg.com/profile_banners/2440519512/1661870065</v>
      </c>
      <c r="BI497" s="76"/>
      <c r="BJ497" s="76" t="s">
        <v>18704</v>
      </c>
      <c r="BK497" s="76" t="b">
        <v>0</v>
      </c>
      <c r="BL497" s="76"/>
      <c r="BM497" s="76" t="s">
        <v>65</v>
      </c>
      <c r="BN497" s="76" t="s">
        <v>18706</v>
      </c>
      <c r="BO497" s="83" t="str">
        <f>HYPERLINK("https://twitter.com/asomicrofinanza")</f>
        <v>https://twitter.com/asomicrofinanza</v>
      </c>
      <c r="BP497" s="2"/>
    </row>
    <row r="498" spans="1:68" x14ac:dyDescent="0.25">
      <c r="A498" s="62" t="s">
        <v>837</v>
      </c>
      <c r="B498" s="63"/>
      <c r="C498" s="63"/>
      <c r="D498" s="64"/>
      <c r="E498" s="66"/>
      <c r="F498" s="102" t="str">
        <f>HYPERLINK("https://pbs.twimg.com/profile_images/1504142704200105993/pZ8-yk0i_normal.jpg")</f>
        <v>https://pbs.twimg.com/profile_images/1504142704200105993/pZ8-yk0i_normal.jpg</v>
      </c>
      <c r="G498" s="63"/>
      <c r="H498" s="67"/>
      <c r="I498" s="68"/>
      <c r="J498" s="68"/>
      <c r="K498" s="67" t="s">
        <v>19201</v>
      </c>
      <c r="L498" s="71"/>
      <c r="M498" s="72"/>
      <c r="N498" s="72"/>
      <c r="O498" s="73"/>
      <c r="P498" s="74"/>
      <c r="Q498" s="74"/>
      <c r="R498" s="86"/>
      <c r="S498" s="86"/>
      <c r="T498" s="86"/>
      <c r="U498" s="86"/>
      <c r="V498" s="48"/>
      <c r="W498" s="48"/>
      <c r="X498" s="48"/>
      <c r="Y498" s="48"/>
      <c r="Z498" s="47"/>
      <c r="AA498" s="69">
        <v>498</v>
      </c>
      <c r="AB498" s="69"/>
      <c r="AC498" s="70"/>
      <c r="AD498" s="76" t="s">
        <v>16924</v>
      </c>
      <c r="AE498" s="81" t="s">
        <v>17312</v>
      </c>
      <c r="AF498" s="76">
        <v>169424</v>
      </c>
      <c r="AG498" s="76">
        <v>16879</v>
      </c>
      <c r="AH498" s="76">
        <v>37811</v>
      </c>
      <c r="AI498" s="76">
        <v>393</v>
      </c>
      <c r="AJ498" s="76">
        <v>62256</v>
      </c>
      <c r="AK498" s="76">
        <v>3549</v>
      </c>
      <c r="AL498" s="76" t="b">
        <v>0</v>
      </c>
      <c r="AM498" s="78">
        <v>40056.99486111111</v>
      </c>
      <c r="AN498" s="76"/>
      <c r="AO498" s="76" t="s">
        <v>18087</v>
      </c>
      <c r="AP498" s="83" t="str">
        <f>HYPERLINK("https://t.co/H23Pxxi2JZ")</f>
        <v>https://t.co/H23Pxxi2JZ</v>
      </c>
      <c r="AQ498" s="83" t="str">
        <f>HYPERLINK("http://mirandabogota.com")</f>
        <v>http://mirandabogota.com</v>
      </c>
      <c r="AR498" s="76" t="s">
        <v>18528</v>
      </c>
      <c r="AS498" s="76"/>
      <c r="AT498" s="76"/>
      <c r="AU498" s="76"/>
      <c r="AV498" s="76">
        <v>1.70265309709955E+18</v>
      </c>
      <c r="AW498" s="83" t="str">
        <f>HYPERLINK("https://t.co/H23Pxxi2JZ")</f>
        <v>https://t.co/H23Pxxi2JZ</v>
      </c>
      <c r="AX498" s="76" t="b">
        <v>1</v>
      </c>
      <c r="AY498" s="76"/>
      <c r="AZ498" s="76"/>
      <c r="BA498" s="76" t="b">
        <v>0</v>
      </c>
      <c r="BB498" s="76" t="b">
        <v>1</v>
      </c>
      <c r="BC498" s="76" t="b">
        <v>0</v>
      </c>
      <c r="BD498" s="76" t="b">
        <v>0</v>
      </c>
      <c r="BE498" s="76" t="b">
        <v>1</v>
      </c>
      <c r="BF498" s="76" t="b">
        <v>0</v>
      </c>
      <c r="BG498" s="76" t="b">
        <v>1</v>
      </c>
      <c r="BH498" s="83" t="str">
        <f>HYPERLINK("https://pbs.twimg.com/profile_banners/70539007/1695176344")</f>
        <v>https://pbs.twimg.com/profile_banners/70539007/1695176344</v>
      </c>
      <c r="BI498" s="76"/>
      <c r="BJ498" s="76" t="s">
        <v>18704</v>
      </c>
      <c r="BK498" s="76" t="b">
        <v>0</v>
      </c>
      <c r="BL498" s="76"/>
      <c r="BM498" s="76" t="s">
        <v>65</v>
      </c>
      <c r="BN498" s="76" t="s">
        <v>18706</v>
      </c>
      <c r="BO498" s="83" t="str">
        <f>HYPERLINK("https://twitter.com/mirandabogota")</f>
        <v>https://twitter.com/mirandabogota</v>
      </c>
      <c r="BP498" s="2"/>
    </row>
    <row r="499" spans="1:68" x14ac:dyDescent="0.25">
      <c r="A499" s="62" t="s">
        <v>838</v>
      </c>
      <c r="B499" s="63"/>
      <c r="C499" s="63"/>
      <c r="D499" s="64"/>
      <c r="E499" s="66"/>
      <c r="F499" s="102" t="str">
        <f>HYPERLINK("https://pbs.twimg.com/profile_images/1691074288567074816/lfSlN8Zf_normal.jpg")</f>
        <v>https://pbs.twimg.com/profile_images/1691074288567074816/lfSlN8Zf_normal.jpg</v>
      </c>
      <c r="G499" s="63"/>
      <c r="H499" s="67"/>
      <c r="I499" s="68"/>
      <c r="J499" s="68"/>
      <c r="K499" s="67" t="s">
        <v>19202</v>
      </c>
      <c r="L499" s="71"/>
      <c r="M499" s="72"/>
      <c r="N499" s="72"/>
      <c r="O499" s="73"/>
      <c r="P499" s="74"/>
      <c r="Q499" s="74"/>
      <c r="R499" s="86"/>
      <c r="S499" s="86"/>
      <c r="T499" s="86"/>
      <c r="U499" s="86"/>
      <c r="V499" s="48"/>
      <c r="W499" s="48"/>
      <c r="X499" s="48"/>
      <c r="Y499" s="48"/>
      <c r="Z499" s="47"/>
      <c r="AA499" s="69">
        <v>499</v>
      </c>
      <c r="AB499" s="69"/>
      <c r="AC499" s="70"/>
      <c r="AD499" s="76" t="s">
        <v>16925</v>
      </c>
      <c r="AE499" s="81" t="s">
        <v>17313</v>
      </c>
      <c r="AF499" s="76">
        <v>66894</v>
      </c>
      <c r="AG499" s="76">
        <v>13630</v>
      </c>
      <c r="AH499" s="76">
        <v>74722</v>
      </c>
      <c r="AI499" s="76">
        <v>214</v>
      </c>
      <c r="AJ499" s="76">
        <v>9471</v>
      </c>
      <c r="AK499" s="76">
        <v>19690</v>
      </c>
      <c r="AL499" s="76" t="b">
        <v>0</v>
      </c>
      <c r="AM499" s="78">
        <v>40751.903958333336</v>
      </c>
      <c r="AN499" s="76" t="s">
        <v>17402</v>
      </c>
      <c r="AO499" s="76" t="s">
        <v>18088</v>
      </c>
      <c r="AP499" s="83" t="str">
        <f>HYPERLINK("https://t.co/brnurAs3Eq")</f>
        <v>https://t.co/brnurAs3Eq</v>
      </c>
      <c r="AQ499" s="83" t="str">
        <f>HYPERLINK("http://www.fna.gov.co")</f>
        <v>http://www.fna.gov.co</v>
      </c>
      <c r="AR499" s="76" t="s">
        <v>18529</v>
      </c>
      <c r="AS499" s="76"/>
      <c r="AT499" s="76"/>
      <c r="AU499" s="76"/>
      <c r="AV499" s="76"/>
      <c r="AW499" s="83" t="str">
        <f>HYPERLINK("https://t.co/brnurAs3Eq")</f>
        <v>https://t.co/brnurAs3Eq</v>
      </c>
      <c r="AX499" s="76" t="b">
        <v>0</v>
      </c>
      <c r="AY499" s="76"/>
      <c r="AZ499" s="76"/>
      <c r="BA499" s="76" t="b">
        <v>0</v>
      </c>
      <c r="BB499" s="76" t="b">
        <v>1</v>
      </c>
      <c r="BC499" s="76" t="b">
        <v>0</v>
      </c>
      <c r="BD499" s="76" t="b">
        <v>0</v>
      </c>
      <c r="BE499" s="76" t="b">
        <v>0</v>
      </c>
      <c r="BF499" s="76" t="b">
        <v>0</v>
      </c>
      <c r="BG499" s="76" t="b">
        <v>0</v>
      </c>
      <c r="BH499" s="83" t="str">
        <f>HYPERLINK("https://pbs.twimg.com/profile_banners/343644738/1694176947")</f>
        <v>https://pbs.twimg.com/profile_banners/343644738/1694176947</v>
      </c>
      <c r="BI499" s="76"/>
      <c r="BJ499" s="76" t="s">
        <v>18705</v>
      </c>
      <c r="BK499" s="76" t="b">
        <v>0</v>
      </c>
      <c r="BL499" s="76"/>
      <c r="BM499" s="76" t="s">
        <v>65</v>
      </c>
      <c r="BN499" s="76" t="s">
        <v>18706</v>
      </c>
      <c r="BO499" s="83" t="str">
        <f>HYPERLINK("https://twitter.com/fnaahorro")</f>
        <v>https://twitter.com/fnaahorro</v>
      </c>
      <c r="BP499" s="2"/>
    </row>
    <row r="500" spans="1:68" x14ac:dyDescent="0.25">
      <c r="A500" s="62" t="s">
        <v>839</v>
      </c>
      <c r="B500" s="63"/>
      <c r="C500" s="63"/>
      <c r="D500" s="64"/>
      <c r="E500" s="66"/>
      <c r="F500" s="102" t="str">
        <f>HYPERLINK("https://pbs.twimg.com/profile_images/766274287129006080/8B5hXHv__normal.jpg")</f>
        <v>https://pbs.twimg.com/profile_images/766274287129006080/8B5hXHv__normal.jpg</v>
      </c>
      <c r="G500" s="63"/>
      <c r="H500" s="67"/>
      <c r="I500" s="68"/>
      <c r="J500" s="68"/>
      <c r="K500" s="67" t="s">
        <v>19203</v>
      </c>
      <c r="L500" s="71"/>
      <c r="M500" s="72"/>
      <c r="N500" s="72"/>
      <c r="O500" s="73"/>
      <c r="P500" s="74"/>
      <c r="Q500" s="74"/>
      <c r="R500" s="86"/>
      <c r="S500" s="86"/>
      <c r="T500" s="86"/>
      <c r="U500" s="86"/>
      <c r="V500" s="48"/>
      <c r="W500" s="48"/>
      <c r="X500" s="48"/>
      <c r="Y500" s="48"/>
      <c r="Z500" s="47"/>
      <c r="AA500" s="69">
        <v>500</v>
      </c>
      <c r="AB500" s="69"/>
      <c r="AC500" s="70"/>
      <c r="AD500" s="76" t="s">
        <v>16926</v>
      </c>
      <c r="AE500" s="81" t="s">
        <v>17314</v>
      </c>
      <c r="AF500" s="76">
        <v>1131133</v>
      </c>
      <c r="AG500" s="76">
        <v>29</v>
      </c>
      <c r="AH500" s="76">
        <v>9104</v>
      </c>
      <c r="AI500" s="76">
        <v>11772</v>
      </c>
      <c r="AJ500" s="76">
        <v>0</v>
      </c>
      <c r="AK500" s="76">
        <v>1807</v>
      </c>
      <c r="AL500" s="76" t="b">
        <v>0</v>
      </c>
      <c r="AM500" s="78">
        <v>39897.710995370369</v>
      </c>
      <c r="AN500" s="76" t="s">
        <v>17591</v>
      </c>
      <c r="AO500" s="76" t="s">
        <v>18089</v>
      </c>
      <c r="AP500" s="83" t="str">
        <f>HYPERLINK("http://t.co/NGbT408l4p")</f>
        <v>http://t.co/NGbT408l4p</v>
      </c>
      <c r="AQ500" s="83" t="str">
        <f>HYPERLINK("http://www.federalreserve.gov")</f>
        <v>http://www.federalreserve.gov</v>
      </c>
      <c r="AR500" s="76" t="s">
        <v>18530</v>
      </c>
      <c r="AS500" s="83" t="str">
        <f>HYPERLINK("http://t.co/pbRRCfwyou")</f>
        <v>http://t.co/pbRRCfwyou</v>
      </c>
      <c r="AT500" s="83" t="str">
        <f>HYPERLINK("http://www.federalreserve.gov/privacy.htm")</f>
        <v>http://www.federalreserve.gov/privacy.htm</v>
      </c>
      <c r="AU500" s="76" t="s">
        <v>18692</v>
      </c>
      <c r="AV500" s="76">
        <v>1.7073808971991301E+18</v>
      </c>
      <c r="AW500" s="83" t="str">
        <f>HYPERLINK("http://t.co/NGbT408l4p")</f>
        <v>http://t.co/NGbT408l4p</v>
      </c>
      <c r="AX500" s="76" t="b">
        <v>1</v>
      </c>
      <c r="AY500" s="76"/>
      <c r="AZ500" s="76"/>
      <c r="BA500" s="76" t="b">
        <v>0</v>
      </c>
      <c r="BB500" s="76" t="b">
        <v>1</v>
      </c>
      <c r="BC500" s="76" t="b">
        <v>0</v>
      </c>
      <c r="BD500" s="76" t="b">
        <v>0</v>
      </c>
      <c r="BE500" s="76" t="b">
        <v>0</v>
      </c>
      <c r="BF500" s="76" t="b">
        <v>0</v>
      </c>
      <c r="BG500" s="76" t="b">
        <v>0</v>
      </c>
      <c r="BH500" s="83" t="str">
        <f>HYPERLINK("https://pbs.twimg.com/profile_banners/26538229/1398888907")</f>
        <v>https://pbs.twimg.com/profile_banners/26538229/1398888907</v>
      </c>
      <c r="BI500" s="76"/>
      <c r="BJ500" s="76" t="s">
        <v>18704</v>
      </c>
      <c r="BK500" s="76" t="b">
        <v>0</v>
      </c>
      <c r="BL500" s="76"/>
      <c r="BM500" s="76" t="s">
        <v>65</v>
      </c>
      <c r="BN500" s="76" t="s">
        <v>18706</v>
      </c>
      <c r="BO500" s="83" t="str">
        <f>HYPERLINK("https://twitter.com/federalreserve")</f>
        <v>https://twitter.com/federalreserve</v>
      </c>
      <c r="BP500" s="2"/>
    </row>
    <row r="501" spans="1:68" x14ac:dyDescent="0.25">
      <c r="A501" s="62" t="s">
        <v>840</v>
      </c>
      <c r="B501" s="63"/>
      <c r="C501" s="63"/>
      <c r="D501" s="64"/>
      <c r="E501" s="66"/>
      <c r="F501" s="102" t="str">
        <f>HYPERLINK("https://abs.twimg.com/sticky/default_profile_images/default_profile_normal.png")</f>
        <v>https://abs.twimg.com/sticky/default_profile_images/default_profile_normal.png</v>
      </c>
      <c r="G501" s="63"/>
      <c r="H501" s="67"/>
      <c r="I501" s="68"/>
      <c r="J501" s="68"/>
      <c r="K501" s="67" t="s">
        <v>19204</v>
      </c>
      <c r="L501" s="71"/>
      <c r="M501" s="72"/>
      <c r="N501" s="72"/>
      <c r="O501" s="73"/>
      <c r="P501" s="74"/>
      <c r="Q501" s="74"/>
      <c r="R501" s="86"/>
      <c r="S501" s="86"/>
      <c r="T501" s="86"/>
      <c r="U501" s="86"/>
      <c r="V501" s="48"/>
      <c r="W501" s="48"/>
      <c r="X501" s="48"/>
      <c r="Y501" s="48"/>
      <c r="Z501" s="47"/>
      <c r="AA501" s="69">
        <v>501</v>
      </c>
      <c r="AB501" s="69"/>
      <c r="AC501" s="70"/>
      <c r="AD501" s="76" t="s">
        <v>16927</v>
      </c>
      <c r="AE501" s="81" t="s">
        <v>17315</v>
      </c>
      <c r="AF501" s="76">
        <v>7</v>
      </c>
      <c r="AG501" s="76">
        <v>1</v>
      </c>
      <c r="AH501" s="76">
        <v>0</v>
      </c>
      <c r="AI501" s="76">
        <v>0</v>
      </c>
      <c r="AJ501" s="76">
        <v>0</v>
      </c>
      <c r="AK501" s="76">
        <v>0</v>
      </c>
      <c r="AL501" s="76" t="b">
        <v>0</v>
      </c>
      <c r="AM501" s="78">
        <v>40298.670069444444</v>
      </c>
      <c r="AN501" s="76"/>
      <c r="AO501" s="76"/>
      <c r="AP501" s="76"/>
      <c r="AQ501" s="76"/>
      <c r="AR501" s="76"/>
      <c r="AS501" s="76"/>
      <c r="AT501" s="76"/>
      <c r="AU501" s="76"/>
      <c r="AV501" s="76"/>
      <c r="AW501" s="76"/>
      <c r="AX501" s="76" t="b">
        <v>0</v>
      </c>
      <c r="AY501" s="76"/>
      <c r="AZ501" s="76"/>
      <c r="BA501" s="76" t="b">
        <v>0</v>
      </c>
      <c r="BB501" s="76" t="b">
        <v>1</v>
      </c>
      <c r="BC501" s="76" t="b">
        <v>1</v>
      </c>
      <c r="BD501" s="76" t="b">
        <v>1</v>
      </c>
      <c r="BE501" s="76" t="b">
        <v>0</v>
      </c>
      <c r="BF501" s="76" t="b">
        <v>0</v>
      </c>
      <c r="BG501" s="76" t="b">
        <v>0</v>
      </c>
      <c r="BH501" s="76"/>
      <c r="BI501" s="76"/>
      <c r="BJ501" s="76" t="s">
        <v>18704</v>
      </c>
      <c r="BK501" s="76" t="b">
        <v>0</v>
      </c>
      <c r="BL501" s="76"/>
      <c r="BM501" s="76" t="s">
        <v>65</v>
      </c>
      <c r="BN501" s="76" t="s">
        <v>18706</v>
      </c>
      <c r="BO501" s="83" t="str">
        <f>HYPERLINK("https://twitter.com/petrog")</f>
        <v>https://twitter.com/petrog</v>
      </c>
      <c r="BP501" s="2"/>
    </row>
    <row r="502" spans="1:68" x14ac:dyDescent="0.25">
      <c r="A502" s="62" t="s">
        <v>841</v>
      </c>
      <c r="B502" s="63"/>
      <c r="C502" s="63"/>
      <c r="D502" s="64"/>
      <c r="E502" s="66"/>
      <c r="F502" s="102" t="str">
        <f>HYPERLINK("https://pbs.twimg.com/profile_images/1383646894107234307/YaD7uv_L_normal.jpg")</f>
        <v>https://pbs.twimg.com/profile_images/1383646894107234307/YaD7uv_L_normal.jpg</v>
      </c>
      <c r="G502" s="63"/>
      <c r="H502" s="67"/>
      <c r="I502" s="68"/>
      <c r="J502" s="68"/>
      <c r="K502" s="67" t="s">
        <v>19205</v>
      </c>
      <c r="L502" s="71"/>
      <c r="M502" s="72"/>
      <c r="N502" s="72"/>
      <c r="O502" s="73"/>
      <c r="P502" s="74"/>
      <c r="Q502" s="74"/>
      <c r="R502" s="86"/>
      <c r="S502" s="86"/>
      <c r="T502" s="86"/>
      <c r="U502" s="86"/>
      <c r="V502" s="48"/>
      <c r="W502" s="48"/>
      <c r="X502" s="48"/>
      <c r="Y502" s="48"/>
      <c r="Z502" s="47"/>
      <c r="AA502" s="69">
        <v>502</v>
      </c>
      <c r="AB502" s="69"/>
      <c r="AC502" s="70"/>
      <c r="AD502" s="76" t="s">
        <v>16928</v>
      </c>
      <c r="AE502" s="81" t="s">
        <v>17316</v>
      </c>
      <c r="AF502" s="76">
        <v>555058</v>
      </c>
      <c r="AG502" s="76">
        <v>56145</v>
      </c>
      <c r="AH502" s="76">
        <v>383732</v>
      </c>
      <c r="AI502" s="76">
        <v>793</v>
      </c>
      <c r="AJ502" s="76">
        <v>6893</v>
      </c>
      <c r="AK502" s="76">
        <v>6402</v>
      </c>
      <c r="AL502" s="76" t="b">
        <v>0</v>
      </c>
      <c r="AM502" s="78">
        <v>39981.682835648149</v>
      </c>
      <c r="AN502" s="76" t="s">
        <v>17592</v>
      </c>
      <c r="AO502" s="76" t="s">
        <v>18090</v>
      </c>
      <c r="AP502" s="83" t="str">
        <f>HYPERLINK("https://t.co/L00cszbUAW")</f>
        <v>https://t.co/L00cszbUAW</v>
      </c>
      <c r="AQ502" s="83" t="str">
        <f>HYPERLINK("http://www.bancolombia.com")</f>
        <v>http://www.bancolombia.com</v>
      </c>
      <c r="AR502" s="76" t="s">
        <v>18531</v>
      </c>
      <c r="AS502" s="76"/>
      <c r="AT502" s="76"/>
      <c r="AU502" s="76"/>
      <c r="AV502" s="76"/>
      <c r="AW502" s="83" t="str">
        <f>HYPERLINK("https://t.co/L00cszbUAW")</f>
        <v>https://t.co/L00cszbUAW</v>
      </c>
      <c r="AX502" s="76" t="b">
        <v>0</v>
      </c>
      <c r="AY502" s="76"/>
      <c r="AZ502" s="76"/>
      <c r="BA502" s="76" t="b">
        <v>1</v>
      </c>
      <c r="BB502" s="76" t="b">
        <v>1</v>
      </c>
      <c r="BC502" s="76" t="b">
        <v>0</v>
      </c>
      <c r="BD502" s="76" t="b">
        <v>0</v>
      </c>
      <c r="BE502" s="76" t="b">
        <v>1</v>
      </c>
      <c r="BF502" s="76" t="b">
        <v>0</v>
      </c>
      <c r="BG502" s="76" t="b">
        <v>0</v>
      </c>
      <c r="BH502" s="83" t="str">
        <f>HYPERLINK("https://pbs.twimg.com/profile_banners/48014813/1694446806")</f>
        <v>https://pbs.twimg.com/profile_banners/48014813/1694446806</v>
      </c>
      <c r="BI502" s="76"/>
      <c r="BJ502" s="76" t="s">
        <v>18704</v>
      </c>
      <c r="BK502" s="76" t="b">
        <v>0</v>
      </c>
      <c r="BL502" s="76"/>
      <c r="BM502" s="76" t="s">
        <v>65</v>
      </c>
      <c r="BN502" s="76" t="s">
        <v>18706</v>
      </c>
      <c r="BO502" s="83" t="str">
        <f>HYPERLINK("https://twitter.com/bancolombia")</f>
        <v>https://twitter.com/bancolombia</v>
      </c>
      <c r="BP502" s="2"/>
    </row>
    <row r="503" spans="1:68" x14ac:dyDescent="0.25">
      <c r="A503" s="62" t="s">
        <v>842</v>
      </c>
      <c r="B503" s="63"/>
      <c r="C503" s="63"/>
      <c r="D503" s="64"/>
      <c r="E503" s="66"/>
      <c r="F503" s="102" t="str">
        <f>HYPERLINK("https://pbs.twimg.com/profile_images/1701612600247926784/9PAUhjnt_normal.jpg")</f>
        <v>https://pbs.twimg.com/profile_images/1701612600247926784/9PAUhjnt_normal.jpg</v>
      </c>
      <c r="G503" s="63"/>
      <c r="H503" s="67"/>
      <c r="I503" s="68"/>
      <c r="J503" s="68"/>
      <c r="K503" s="67" t="s">
        <v>19206</v>
      </c>
      <c r="L503" s="71"/>
      <c r="M503" s="72"/>
      <c r="N503" s="72"/>
      <c r="O503" s="73"/>
      <c r="P503" s="74"/>
      <c r="Q503" s="74"/>
      <c r="R503" s="86"/>
      <c r="S503" s="86"/>
      <c r="T503" s="86"/>
      <c r="U503" s="86"/>
      <c r="V503" s="48"/>
      <c r="W503" s="48"/>
      <c r="X503" s="48"/>
      <c r="Y503" s="48"/>
      <c r="Z503" s="47"/>
      <c r="AA503" s="69">
        <v>503</v>
      </c>
      <c r="AB503" s="69"/>
      <c r="AC503" s="70"/>
      <c r="AD503" s="76" t="s">
        <v>16929</v>
      </c>
      <c r="AE503" s="81" t="s">
        <v>17317</v>
      </c>
      <c r="AF503" s="76">
        <v>238623</v>
      </c>
      <c r="AG503" s="76">
        <v>2198</v>
      </c>
      <c r="AH503" s="76">
        <v>74753</v>
      </c>
      <c r="AI503" s="76">
        <v>1211</v>
      </c>
      <c r="AJ503" s="76">
        <v>9351</v>
      </c>
      <c r="AK503" s="76">
        <v>17623</v>
      </c>
      <c r="AL503" s="76" t="b">
        <v>0</v>
      </c>
      <c r="AM503" s="78">
        <v>40081.661273148151</v>
      </c>
      <c r="AN503" s="76" t="s">
        <v>17440</v>
      </c>
      <c r="AO503" s="76" t="s">
        <v>18091</v>
      </c>
      <c r="AP503" s="83" t="str">
        <f>HYPERLINK("https://t.co/yORTZoCOhs")</f>
        <v>https://t.co/yORTZoCOhs</v>
      </c>
      <c r="AQ503" s="83" t="str">
        <f>HYPERLINK("https://linktr.ee/bolsadevaloresdecolombia")</f>
        <v>https://linktr.ee/bolsadevaloresdecolombia</v>
      </c>
      <c r="AR503" s="76" t="s">
        <v>18532</v>
      </c>
      <c r="AS503" s="76"/>
      <c r="AT503" s="76"/>
      <c r="AU503" s="76"/>
      <c r="AV503" s="76">
        <v>1.7016124388636101E+18</v>
      </c>
      <c r="AW503" s="83" t="str">
        <f>HYPERLINK("https://t.co/yORTZoCOhs")</f>
        <v>https://t.co/yORTZoCOhs</v>
      </c>
      <c r="AX503" s="76" t="b">
        <v>0</v>
      </c>
      <c r="AY503" s="76"/>
      <c r="AZ503" s="76"/>
      <c r="BA503" s="76" t="b">
        <v>0</v>
      </c>
      <c r="BB503" s="76" t="b">
        <v>1</v>
      </c>
      <c r="BC503" s="76" t="b">
        <v>0</v>
      </c>
      <c r="BD503" s="76" t="b">
        <v>0</v>
      </c>
      <c r="BE503" s="76" t="b">
        <v>1</v>
      </c>
      <c r="BF503" s="76" t="b">
        <v>0</v>
      </c>
      <c r="BG503" s="76" t="b">
        <v>0</v>
      </c>
      <c r="BH503" s="83" t="str">
        <f>HYPERLINK("https://pbs.twimg.com/profile_banners/77243413/1694180855")</f>
        <v>https://pbs.twimg.com/profile_banners/77243413/1694180855</v>
      </c>
      <c r="BI503" s="76"/>
      <c r="BJ503" s="76" t="s">
        <v>18704</v>
      </c>
      <c r="BK503" s="76" t="b">
        <v>0</v>
      </c>
      <c r="BL503" s="76"/>
      <c r="BM503" s="76" t="s">
        <v>65</v>
      </c>
      <c r="BN503" s="76" t="s">
        <v>18706</v>
      </c>
      <c r="BO503" s="83" t="str">
        <f>HYPERLINK("https://twitter.com/bvccolombia")</f>
        <v>https://twitter.com/bvccolombia</v>
      </c>
      <c r="BP503" s="2"/>
    </row>
    <row r="504" spans="1:68" x14ac:dyDescent="0.25">
      <c r="A504" s="62" t="s">
        <v>843</v>
      </c>
      <c r="B504" s="63"/>
      <c r="C504" s="63"/>
      <c r="D504" s="64"/>
      <c r="E504" s="66"/>
      <c r="F504" s="102" t="str">
        <f>HYPERLINK("https://pbs.twimg.com/profile_images/1605200105799401474/9cb5qdVk_normal.png")</f>
        <v>https://pbs.twimg.com/profile_images/1605200105799401474/9cb5qdVk_normal.png</v>
      </c>
      <c r="G504" s="63"/>
      <c r="H504" s="67"/>
      <c r="I504" s="68"/>
      <c r="J504" s="68"/>
      <c r="K504" s="67" t="s">
        <v>19207</v>
      </c>
      <c r="L504" s="71"/>
      <c r="M504" s="72"/>
      <c r="N504" s="72"/>
      <c r="O504" s="73"/>
      <c r="P504" s="74"/>
      <c r="Q504" s="74"/>
      <c r="R504" s="86"/>
      <c r="S504" s="86"/>
      <c r="T504" s="86"/>
      <c r="U504" s="86"/>
      <c r="V504" s="48"/>
      <c r="W504" s="48"/>
      <c r="X504" s="48"/>
      <c r="Y504" s="48"/>
      <c r="Z504" s="47"/>
      <c r="AA504" s="69">
        <v>504</v>
      </c>
      <c r="AB504" s="69"/>
      <c r="AC504" s="70"/>
      <c r="AD504" s="76" t="s">
        <v>16930</v>
      </c>
      <c r="AE504" s="81" t="s">
        <v>17318</v>
      </c>
      <c r="AF504" s="76">
        <v>740620</v>
      </c>
      <c r="AG504" s="76">
        <v>49</v>
      </c>
      <c r="AH504" s="76">
        <v>8172</v>
      </c>
      <c r="AI504" s="76">
        <v>4589</v>
      </c>
      <c r="AJ504" s="76">
        <v>539</v>
      </c>
      <c r="AK504" s="76">
        <v>2622</v>
      </c>
      <c r="AL504" s="76" t="b">
        <v>0</v>
      </c>
      <c r="AM504" s="78">
        <v>41312.024305555555</v>
      </c>
      <c r="AN504" s="76"/>
      <c r="AO504" s="76" t="s">
        <v>18092</v>
      </c>
      <c r="AP504" s="83" t="str">
        <f>HYPERLINK("https://t.co/nRnQ5zqvxw")</f>
        <v>https://t.co/nRnQ5zqvxw</v>
      </c>
      <c r="AQ504" s="83" t="str">
        <f>HYPERLINK("https://bit.ly/JPMCSocialTerms")</f>
        <v>https://bit.ly/JPMCSocialTerms</v>
      </c>
      <c r="AR504" s="76" t="s">
        <v>18533</v>
      </c>
      <c r="AS504" s="76"/>
      <c r="AT504" s="76"/>
      <c r="AU504" s="76"/>
      <c r="AV504" s="76"/>
      <c r="AW504" s="83" t="str">
        <f>HYPERLINK("https://t.co/nRnQ5zqvxw")</f>
        <v>https://t.co/nRnQ5zqvxw</v>
      </c>
      <c r="AX504" s="76" t="b">
        <v>0</v>
      </c>
      <c r="AY504" s="76"/>
      <c r="AZ504" s="76"/>
      <c r="BA504" s="76" t="b">
        <v>0</v>
      </c>
      <c r="BB504" s="76" t="b">
        <v>0</v>
      </c>
      <c r="BC504" s="76" t="b">
        <v>0</v>
      </c>
      <c r="BD504" s="76" t="b">
        <v>0</v>
      </c>
      <c r="BE504" s="76" t="b">
        <v>1</v>
      </c>
      <c r="BF504" s="76" t="b">
        <v>0</v>
      </c>
      <c r="BG504" s="76" t="b">
        <v>0</v>
      </c>
      <c r="BH504" s="83" t="str">
        <f>HYPERLINK("https://pbs.twimg.com/profile_banners/1155522630/1537565360")</f>
        <v>https://pbs.twimg.com/profile_banners/1155522630/1537565360</v>
      </c>
      <c r="BI504" s="76"/>
      <c r="BJ504" s="76" t="s">
        <v>18705</v>
      </c>
      <c r="BK504" s="76" t="b">
        <v>0</v>
      </c>
      <c r="BL504" s="76"/>
      <c r="BM504" s="76" t="s">
        <v>65</v>
      </c>
      <c r="BN504" s="76" t="s">
        <v>18706</v>
      </c>
      <c r="BO504" s="83" t="str">
        <f>HYPERLINK("https://twitter.com/jpmorgan")</f>
        <v>https://twitter.com/jpmorgan</v>
      </c>
      <c r="BP504" s="2"/>
    </row>
    <row r="505" spans="1:68" x14ac:dyDescent="0.25">
      <c r="A505" s="62" t="s">
        <v>844</v>
      </c>
      <c r="B505" s="63"/>
      <c r="C505" s="63"/>
      <c r="D505" s="64"/>
      <c r="E505" s="66"/>
      <c r="F505" s="102" t="str">
        <f>HYPERLINK("https://pbs.twimg.com/profile_images/202264950/me_vs_tetons_normal.jpg")</f>
        <v>https://pbs.twimg.com/profile_images/202264950/me_vs_tetons_normal.jpg</v>
      </c>
      <c r="G505" s="63"/>
      <c r="H505" s="67"/>
      <c r="I505" s="68"/>
      <c r="J505" s="68"/>
      <c r="K505" s="67" t="s">
        <v>19208</v>
      </c>
      <c r="L505" s="71"/>
      <c r="M505" s="72"/>
      <c r="N505" s="72"/>
      <c r="O505" s="73"/>
      <c r="P505" s="74"/>
      <c r="Q505" s="74"/>
      <c r="R505" s="86"/>
      <c r="S505" s="86"/>
      <c r="T505" s="86"/>
      <c r="U505" s="86"/>
      <c r="V505" s="48"/>
      <c r="W505" s="48"/>
      <c r="X505" s="48"/>
      <c r="Y505" s="48"/>
      <c r="Z505" s="47"/>
      <c r="AA505" s="69">
        <v>505</v>
      </c>
      <c r="AB505" s="69"/>
      <c r="AC505" s="70"/>
      <c r="AD505" s="76" t="s">
        <v>16931</v>
      </c>
      <c r="AE505" s="81" t="s">
        <v>17319</v>
      </c>
      <c r="AF505" s="76">
        <v>526</v>
      </c>
      <c r="AG505" s="76">
        <v>501</v>
      </c>
      <c r="AH505" s="76">
        <v>2</v>
      </c>
      <c r="AI505" s="76">
        <v>19</v>
      </c>
      <c r="AJ505" s="76">
        <v>0</v>
      </c>
      <c r="AK505" s="76">
        <v>0</v>
      </c>
      <c r="AL505" s="76" t="b">
        <v>0</v>
      </c>
      <c r="AM505" s="78">
        <v>39207.971076388887</v>
      </c>
      <c r="AN505" s="76" t="s">
        <v>17593</v>
      </c>
      <c r="AO505" s="76" t="s">
        <v>18093</v>
      </c>
      <c r="AP505" s="83" t="str">
        <f>HYPERLINK("http://t.co/hJiXnYwFXm")</f>
        <v>http://t.co/hJiXnYwFXm</v>
      </c>
      <c r="AQ505" s="83" t="str">
        <f>HYPERLINK("http://www.christopherpetro.com/")</f>
        <v>http://www.christopherpetro.com/</v>
      </c>
      <c r="AR505" s="76" t="s">
        <v>18534</v>
      </c>
      <c r="AS505" s="76"/>
      <c r="AT505" s="76"/>
      <c r="AU505" s="76"/>
      <c r="AV505" s="76"/>
      <c r="AW505" s="83" t="str">
        <f>HYPERLINK("http://t.co/hJiXnYwFXm")</f>
        <v>http://t.co/hJiXnYwFXm</v>
      </c>
      <c r="AX505" s="76" t="b">
        <v>0</v>
      </c>
      <c r="AY505" s="76"/>
      <c r="AZ505" s="76"/>
      <c r="BA505" s="76" t="b">
        <v>0</v>
      </c>
      <c r="BB505" s="76" t="b">
        <v>0</v>
      </c>
      <c r="BC505" s="76" t="b">
        <v>0</v>
      </c>
      <c r="BD505" s="76" t="b">
        <v>0</v>
      </c>
      <c r="BE505" s="76" t="b">
        <v>0</v>
      </c>
      <c r="BF505" s="76" t="b">
        <v>0</v>
      </c>
      <c r="BG505" s="76" t="b">
        <v>0</v>
      </c>
      <c r="BH505" s="76"/>
      <c r="BI505" s="76"/>
      <c r="BJ505" s="76" t="s">
        <v>18704</v>
      </c>
      <c r="BK505" s="76" t="b">
        <v>0</v>
      </c>
      <c r="BL505" s="76"/>
      <c r="BM505" s="76" t="s">
        <v>65</v>
      </c>
      <c r="BN505" s="76" t="s">
        <v>18706</v>
      </c>
      <c r="BO505" s="83" t="str">
        <f>HYPERLINK("https://twitter.com/petro")</f>
        <v>https://twitter.com/petro</v>
      </c>
      <c r="BP505" s="2"/>
    </row>
    <row r="506" spans="1:68" x14ac:dyDescent="0.25">
      <c r="A506" s="62" t="s">
        <v>845</v>
      </c>
      <c r="B506" s="63"/>
      <c r="C506" s="63"/>
      <c r="D506" s="64"/>
      <c r="E506" s="66"/>
      <c r="F506" s="102" t="str">
        <f>HYPERLINK("https://pbs.twimg.com/profile_images/1697463051753050113/Lf0K-lRw_normal.jpg")</f>
        <v>https://pbs.twimg.com/profile_images/1697463051753050113/Lf0K-lRw_normal.jpg</v>
      </c>
      <c r="G506" s="63"/>
      <c r="H506" s="67"/>
      <c r="I506" s="68"/>
      <c r="J506" s="68"/>
      <c r="K506" s="67" t="s">
        <v>19209</v>
      </c>
      <c r="L506" s="71"/>
      <c r="M506" s="72"/>
      <c r="N506" s="72"/>
      <c r="O506" s="73"/>
      <c r="P506" s="74"/>
      <c r="Q506" s="74"/>
      <c r="R506" s="86"/>
      <c r="S506" s="86"/>
      <c r="T506" s="86"/>
      <c r="U506" s="86"/>
      <c r="V506" s="48"/>
      <c r="W506" s="48"/>
      <c r="X506" s="48"/>
      <c r="Y506" s="48"/>
      <c r="Z506" s="47"/>
      <c r="AA506" s="69">
        <v>506</v>
      </c>
      <c r="AB506" s="69"/>
      <c r="AC506" s="70"/>
      <c r="AD506" s="76" t="s">
        <v>16932</v>
      </c>
      <c r="AE506" s="81" t="s">
        <v>17320</v>
      </c>
      <c r="AF506" s="76">
        <v>2073010</v>
      </c>
      <c r="AG506" s="76">
        <v>276</v>
      </c>
      <c r="AH506" s="76">
        <v>86752</v>
      </c>
      <c r="AI506" s="76">
        <v>1510</v>
      </c>
      <c r="AJ506" s="76">
        <v>8896</v>
      </c>
      <c r="AK506" s="76">
        <v>41067</v>
      </c>
      <c r="AL506" s="76" t="b">
        <v>0</v>
      </c>
      <c r="AM506" s="78">
        <v>40028.21565972222</v>
      </c>
      <c r="AN506" s="76" t="s">
        <v>17594</v>
      </c>
      <c r="AO506" s="76" t="s">
        <v>18094</v>
      </c>
      <c r="AP506" s="83" t="str">
        <f>HYPERLINK("https://t.co/YU1v2TtZIB")</f>
        <v>https://t.co/YU1v2TtZIB</v>
      </c>
      <c r="AQ506" s="83" t="str">
        <f>HYPERLINK("http://www.transmilenio.gov.co")</f>
        <v>http://www.transmilenio.gov.co</v>
      </c>
      <c r="AR506" s="76" t="s">
        <v>18535</v>
      </c>
      <c r="AS506" s="76"/>
      <c r="AT506" s="76"/>
      <c r="AU506" s="76"/>
      <c r="AV506" s="76"/>
      <c r="AW506" s="83" t="str">
        <f>HYPERLINK("https://t.co/YU1v2TtZIB")</f>
        <v>https://t.co/YU1v2TtZIB</v>
      </c>
      <c r="AX506" s="76" t="b">
        <v>1</v>
      </c>
      <c r="AY506" s="76"/>
      <c r="AZ506" s="76"/>
      <c r="BA506" s="76" t="b">
        <v>1</v>
      </c>
      <c r="BB506" s="76" t="b">
        <v>1</v>
      </c>
      <c r="BC506" s="76" t="b">
        <v>0</v>
      </c>
      <c r="BD506" s="76" t="b">
        <v>0</v>
      </c>
      <c r="BE506" s="76" t="b">
        <v>1</v>
      </c>
      <c r="BF506" s="76" t="b">
        <v>0</v>
      </c>
      <c r="BG506" s="76" t="b">
        <v>0</v>
      </c>
      <c r="BH506" s="83" t="str">
        <f>HYPERLINK("https://pbs.twimg.com/profile_banners/62442788/1693577727")</f>
        <v>https://pbs.twimg.com/profile_banners/62442788/1693577727</v>
      </c>
      <c r="BI506" s="76"/>
      <c r="BJ506" s="76" t="s">
        <v>18705</v>
      </c>
      <c r="BK506" s="76" t="b">
        <v>0</v>
      </c>
      <c r="BL506" s="76"/>
      <c r="BM506" s="76" t="s">
        <v>65</v>
      </c>
      <c r="BN506" s="76" t="s">
        <v>18706</v>
      </c>
      <c r="BO506" s="83" t="str">
        <f>HYPERLINK("https://twitter.com/transmilenio")</f>
        <v>https://twitter.com/transmilenio</v>
      </c>
      <c r="BP506" s="2"/>
    </row>
    <row r="507" spans="1:68" x14ac:dyDescent="0.25">
      <c r="A507" s="62" t="s">
        <v>846</v>
      </c>
      <c r="B507" s="63"/>
      <c r="C507" s="63"/>
      <c r="D507" s="64"/>
      <c r="E507" s="66"/>
      <c r="F507" s="102" t="str">
        <f>HYPERLINK("https://pbs.twimg.com/profile_images/1660649100486885376/XtBT6KWH_normal.jpg")</f>
        <v>https://pbs.twimg.com/profile_images/1660649100486885376/XtBT6KWH_normal.jpg</v>
      </c>
      <c r="G507" s="63"/>
      <c r="H507" s="67"/>
      <c r="I507" s="68"/>
      <c r="J507" s="68"/>
      <c r="K507" s="67" t="s">
        <v>19210</v>
      </c>
      <c r="L507" s="71"/>
      <c r="M507" s="72"/>
      <c r="N507" s="72"/>
      <c r="O507" s="73"/>
      <c r="P507" s="74"/>
      <c r="Q507" s="74"/>
      <c r="R507" s="86"/>
      <c r="S507" s="86"/>
      <c r="T507" s="86"/>
      <c r="U507" s="86"/>
      <c r="V507" s="48"/>
      <c r="W507" s="48"/>
      <c r="X507" s="48"/>
      <c r="Y507" s="48"/>
      <c r="Z507" s="47"/>
      <c r="AA507" s="69">
        <v>507</v>
      </c>
      <c r="AB507" s="69"/>
      <c r="AC507" s="70"/>
      <c r="AD507" s="76" t="s">
        <v>16933</v>
      </c>
      <c r="AE507" s="81" t="s">
        <v>17321</v>
      </c>
      <c r="AF507" s="76">
        <v>28910</v>
      </c>
      <c r="AG507" s="76">
        <v>59</v>
      </c>
      <c r="AH507" s="76">
        <v>10510</v>
      </c>
      <c r="AI507" s="76">
        <v>154</v>
      </c>
      <c r="AJ507" s="76">
        <v>1501</v>
      </c>
      <c r="AK507" s="76">
        <v>2377</v>
      </c>
      <c r="AL507" s="76" t="b">
        <v>0</v>
      </c>
      <c r="AM507" s="78">
        <v>42116.099363425928</v>
      </c>
      <c r="AN507" s="76" t="s">
        <v>17402</v>
      </c>
      <c r="AO507" s="76" t="s">
        <v>18095</v>
      </c>
      <c r="AP507" s="76"/>
      <c r="AQ507" s="76"/>
      <c r="AR507" s="76"/>
      <c r="AS507" s="76"/>
      <c r="AT507" s="76"/>
      <c r="AU507" s="76"/>
      <c r="AV507" s="76">
        <v>1.04398521683721E+18</v>
      </c>
      <c r="AW507" s="76"/>
      <c r="AX507" s="76" t="b">
        <v>0</v>
      </c>
      <c r="AY507" s="76"/>
      <c r="AZ507" s="76"/>
      <c r="BA507" s="76" t="b">
        <v>0</v>
      </c>
      <c r="BB507" s="76" t="b">
        <v>1</v>
      </c>
      <c r="BC507" s="76" t="b">
        <v>1</v>
      </c>
      <c r="BD507" s="76" t="b">
        <v>0</v>
      </c>
      <c r="BE507" s="76" t="b">
        <v>1</v>
      </c>
      <c r="BF507" s="76" t="b">
        <v>0</v>
      </c>
      <c r="BG507" s="76" t="b">
        <v>0</v>
      </c>
      <c r="BH507" s="83" t="str">
        <f>HYPERLINK("https://pbs.twimg.com/profile_banners/3193116503/1631410473")</f>
        <v>https://pbs.twimg.com/profile_banners/3193116503/1631410473</v>
      </c>
      <c r="BI507" s="76"/>
      <c r="BJ507" s="76" t="s">
        <v>18704</v>
      </c>
      <c r="BK507" s="76" t="b">
        <v>0</v>
      </c>
      <c r="BL507" s="76"/>
      <c r="BM507" s="76" t="s">
        <v>65</v>
      </c>
      <c r="BN507" s="76" t="s">
        <v>18706</v>
      </c>
      <c r="BO507" s="83" t="str">
        <f>HYPERLINK("https://twitter.com/jrobertoacosta1")</f>
        <v>https://twitter.com/jrobertoacosta1</v>
      </c>
      <c r="BP507" s="2"/>
    </row>
    <row r="508" spans="1:68" x14ac:dyDescent="0.25">
      <c r="A508" s="62" t="s">
        <v>847</v>
      </c>
      <c r="B508" s="63"/>
      <c r="C508" s="63"/>
      <c r="D508" s="64"/>
      <c r="E508" s="66"/>
      <c r="F508" s="102" t="str">
        <f>HYPERLINK("https://pbs.twimg.com/profile_images/1700382041240477696/i1vocVmL_normal.jpg")</f>
        <v>https://pbs.twimg.com/profile_images/1700382041240477696/i1vocVmL_normal.jpg</v>
      </c>
      <c r="G508" s="63"/>
      <c r="H508" s="67"/>
      <c r="I508" s="68"/>
      <c r="J508" s="68"/>
      <c r="K508" s="67" t="s">
        <v>19211</v>
      </c>
      <c r="L508" s="71"/>
      <c r="M508" s="72"/>
      <c r="N508" s="72"/>
      <c r="O508" s="73"/>
      <c r="P508" s="74"/>
      <c r="Q508" s="74"/>
      <c r="R508" s="86"/>
      <c r="S508" s="86"/>
      <c r="T508" s="86"/>
      <c r="U508" s="86"/>
      <c r="V508" s="48"/>
      <c r="W508" s="48"/>
      <c r="X508" s="48"/>
      <c r="Y508" s="48"/>
      <c r="Z508" s="47"/>
      <c r="AA508" s="69">
        <v>508</v>
      </c>
      <c r="AB508" s="69"/>
      <c r="AC508" s="70"/>
      <c r="AD508" s="76" t="s">
        <v>16934</v>
      </c>
      <c r="AE508" s="81" t="s">
        <v>17322</v>
      </c>
      <c r="AF508" s="76">
        <v>95098</v>
      </c>
      <c r="AG508" s="76">
        <v>532</v>
      </c>
      <c r="AH508" s="76">
        <v>13951</v>
      </c>
      <c r="AI508" s="76">
        <v>154</v>
      </c>
      <c r="AJ508" s="76">
        <v>19711</v>
      </c>
      <c r="AK508" s="76">
        <v>7207</v>
      </c>
      <c r="AL508" s="76" t="b">
        <v>0</v>
      </c>
      <c r="AM508" s="78">
        <v>40465.909687500003</v>
      </c>
      <c r="AN508" s="76" t="s">
        <v>17595</v>
      </c>
      <c r="AO508" s="76" t="s">
        <v>18096</v>
      </c>
      <c r="AP508" s="83" t="str">
        <f>HYPERLINK("https://t.co/B57cPXPE50")</f>
        <v>https://t.co/B57cPXPE50</v>
      </c>
      <c r="AQ508" s="83" t="str">
        <f>HYPERLINK("http://www.meta.gov.co")</f>
        <v>http://www.meta.gov.co</v>
      </c>
      <c r="AR508" s="76" t="s">
        <v>18536</v>
      </c>
      <c r="AS508" s="76"/>
      <c r="AT508" s="76"/>
      <c r="AU508" s="76"/>
      <c r="AV508" s="76"/>
      <c r="AW508" s="83" t="str">
        <f>HYPERLINK("https://t.co/B57cPXPE50")</f>
        <v>https://t.co/B57cPXPE50</v>
      </c>
      <c r="AX508" s="76" t="b">
        <v>1</v>
      </c>
      <c r="AY508" s="76"/>
      <c r="AZ508" s="76"/>
      <c r="BA508" s="76" t="b">
        <v>0</v>
      </c>
      <c r="BB508" s="76" t="b">
        <v>1</v>
      </c>
      <c r="BC508" s="76" t="b">
        <v>0</v>
      </c>
      <c r="BD508" s="76" t="b">
        <v>0</v>
      </c>
      <c r="BE508" s="76" t="b">
        <v>1</v>
      </c>
      <c r="BF508" s="76" t="b">
        <v>0</v>
      </c>
      <c r="BG508" s="76" t="b">
        <v>0</v>
      </c>
      <c r="BH508" s="83" t="str">
        <f>HYPERLINK("https://pbs.twimg.com/profile_banners/202812622/1674504019")</f>
        <v>https://pbs.twimg.com/profile_banners/202812622/1674504019</v>
      </c>
      <c r="BI508" s="76"/>
      <c r="BJ508" s="76" t="s">
        <v>18704</v>
      </c>
      <c r="BK508" s="76" t="b">
        <v>0</v>
      </c>
      <c r="BL508" s="76"/>
      <c r="BM508" s="76" t="s">
        <v>65</v>
      </c>
      <c r="BN508" s="76" t="s">
        <v>18706</v>
      </c>
      <c r="BO508" s="83" t="str">
        <f>HYPERLINK("https://twitter.com/juangzuluaga")</f>
        <v>https://twitter.com/juangzuluaga</v>
      </c>
      <c r="BP508" s="2"/>
    </row>
    <row r="509" spans="1:68" x14ac:dyDescent="0.25">
      <c r="A509" s="62" t="s">
        <v>848</v>
      </c>
      <c r="B509" s="63"/>
      <c r="C509" s="63"/>
      <c r="D509" s="64"/>
      <c r="E509" s="66"/>
      <c r="F509" s="102" t="str">
        <f>HYPERLINK("https://pbs.twimg.com/profile_images/1659709186194780165/b4OHc8n2_normal.jpg")</f>
        <v>https://pbs.twimg.com/profile_images/1659709186194780165/b4OHc8n2_normal.jpg</v>
      </c>
      <c r="G509" s="63"/>
      <c r="H509" s="67"/>
      <c r="I509" s="68"/>
      <c r="J509" s="68"/>
      <c r="K509" s="67" t="s">
        <v>19212</v>
      </c>
      <c r="L509" s="71"/>
      <c r="M509" s="72"/>
      <c r="N509" s="72"/>
      <c r="O509" s="73"/>
      <c r="P509" s="74"/>
      <c r="Q509" s="74"/>
      <c r="R509" s="86"/>
      <c r="S509" s="86"/>
      <c r="T509" s="86"/>
      <c r="U509" s="86"/>
      <c r="V509" s="48"/>
      <c r="W509" s="48"/>
      <c r="X509" s="48"/>
      <c r="Y509" s="48"/>
      <c r="Z509" s="47"/>
      <c r="AA509" s="69">
        <v>509</v>
      </c>
      <c r="AB509" s="69"/>
      <c r="AC509" s="70"/>
      <c r="AD509" s="76" t="s">
        <v>16935</v>
      </c>
      <c r="AE509" s="81" t="s">
        <v>17323</v>
      </c>
      <c r="AF509" s="76">
        <v>45190</v>
      </c>
      <c r="AG509" s="76">
        <v>993</v>
      </c>
      <c r="AH509" s="76">
        <v>11559</v>
      </c>
      <c r="AI509" s="76">
        <v>209</v>
      </c>
      <c r="AJ509" s="76">
        <v>1145</v>
      </c>
      <c r="AK509" s="76">
        <v>4040</v>
      </c>
      <c r="AL509" s="76" t="b">
        <v>0</v>
      </c>
      <c r="AM509" s="78">
        <v>40128.644571759258</v>
      </c>
      <c r="AN509" s="76" t="s">
        <v>17596</v>
      </c>
      <c r="AO509" s="76" t="s">
        <v>18097</v>
      </c>
      <c r="AP509" s="83" t="str">
        <f>HYPERLINK("https://t.co/vggQ8FtR8D")</f>
        <v>https://t.co/vggQ8FtR8D</v>
      </c>
      <c r="AQ509" s="83" t="str">
        <f>HYPERLINK("https://www.fenalco.com.co/")</f>
        <v>https://www.fenalco.com.co/</v>
      </c>
      <c r="AR509" s="76" t="s">
        <v>18537</v>
      </c>
      <c r="AS509" s="76"/>
      <c r="AT509" s="76"/>
      <c r="AU509" s="76"/>
      <c r="AV509" s="76">
        <v>1.6817588499617101E+18</v>
      </c>
      <c r="AW509" s="83" t="str">
        <f>HYPERLINK("https://t.co/vggQ8FtR8D")</f>
        <v>https://t.co/vggQ8FtR8D</v>
      </c>
      <c r="AX509" s="76" t="b">
        <v>1</v>
      </c>
      <c r="AY509" s="76"/>
      <c r="AZ509" s="76"/>
      <c r="BA509" s="76" t="b">
        <v>0</v>
      </c>
      <c r="BB509" s="76" t="b">
        <v>1</v>
      </c>
      <c r="BC509" s="76" t="b">
        <v>0</v>
      </c>
      <c r="BD509" s="76" t="b">
        <v>0</v>
      </c>
      <c r="BE509" s="76" t="b">
        <v>1</v>
      </c>
      <c r="BF509" s="76" t="b">
        <v>0</v>
      </c>
      <c r="BG509" s="76" t="b">
        <v>0</v>
      </c>
      <c r="BH509" s="83" t="str">
        <f>HYPERLINK("https://pbs.twimg.com/profile_banners/89208583/1684540481")</f>
        <v>https://pbs.twimg.com/profile_banners/89208583/1684540481</v>
      </c>
      <c r="BI509" s="76"/>
      <c r="BJ509" s="76" t="s">
        <v>18704</v>
      </c>
      <c r="BK509" s="76" t="b">
        <v>0</v>
      </c>
      <c r="BL509" s="76"/>
      <c r="BM509" s="76" t="s">
        <v>65</v>
      </c>
      <c r="BN509" s="76" t="s">
        <v>18706</v>
      </c>
      <c r="BO509" s="83" t="str">
        <f>HYPERLINK("https://twitter.com/fenalconacional")</f>
        <v>https://twitter.com/fenalconacional</v>
      </c>
      <c r="BP509" s="2"/>
    </row>
    <row r="510" spans="1:68" x14ac:dyDescent="0.25">
      <c r="A510" s="62" t="s">
        <v>849</v>
      </c>
      <c r="B510" s="63"/>
      <c r="C510" s="63"/>
      <c r="D510" s="64"/>
      <c r="E510" s="66"/>
      <c r="F510" s="102" t="str">
        <f>HYPERLINK("https://pbs.twimg.com/profile_images/1691036666792726528/qks0_cSu_normal.jpg")</f>
        <v>https://pbs.twimg.com/profile_images/1691036666792726528/qks0_cSu_normal.jpg</v>
      </c>
      <c r="G510" s="63"/>
      <c r="H510" s="67"/>
      <c r="I510" s="68"/>
      <c r="J510" s="68"/>
      <c r="K510" s="67" t="s">
        <v>19213</v>
      </c>
      <c r="L510" s="71"/>
      <c r="M510" s="72"/>
      <c r="N510" s="72"/>
      <c r="O510" s="73"/>
      <c r="P510" s="74"/>
      <c r="Q510" s="74"/>
      <c r="R510" s="86"/>
      <c r="S510" s="86"/>
      <c r="T510" s="86"/>
      <c r="U510" s="86"/>
      <c r="V510" s="48"/>
      <c r="W510" s="48"/>
      <c r="X510" s="48"/>
      <c r="Y510" s="48"/>
      <c r="Z510" s="47"/>
      <c r="AA510" s="69">
        <v>510</v>
      </c>
      <c r="AB510" s="69"/>
      <c r="AC510" s="70"/>
      <c r="AD510" s="76" t="s">
        <v>16936</v>
      </c>
      <c r="AE510" s="81" t="s">
        <v>17324</v>
      </c>
      <c r="AF510" s="76">
        <v>488800</v>
      </c>
      <c r="AG510" s="76">
        <v>233</v>
      </c>
      <c r="AH510" s="76">
        <v>76619</v>
      </c>
      <c r="AI510" s="76">
        <v>928</v>
      </c>
      <c r="AJ510" s="76">
        <v>8430</v>
      </c>
      <c r="AK510" s="76">
        <v>26255</v>
      </c>
      <c r="AL510" s="76" t="b">
        <v>0</v>
      </c>
      <c r="AM510" s="78">
        <v>40814.861898148149</v>
      </c>
      <c r="AN510" s="76" t="s">
        <v>17597</v>
      </c>
      <c r="AO510" s="76" t="s">
        <v>18098</v>
      </c>
      <c r="AP510" s="83" t="str">
        <f>HYPERLINK("https://t.co/D8jM3t5yYv")</f>
        <v>https://t.co/D8jM3t5yYv</v>
      </c>
      <c r="AQ510" s="83" t="str">
        <f>HYPERLINK("https://bit.ly/36Yvujc")</f>
        <v>https://bit.ly/36Yvujc</v>
      </c>
      <c r="AR510" s="76" t="s">
        <v>18538</v>
      </c>
      <c r="AS510" s="76"/>
      <c r="AT510" s="76"/>
      <c r="AU510" s="76"/>
      <c r="AV510" s="76"/>
      <c r="AW510" s="83" t="str">
        <f>HYPERLINK("https://t.co/D8jM3t5yYv")</f>
        <v>https://t.co/D8jM3t5yYv</v>
      </c>
      <c r="AX510" s="76" t="b">
        <v>0</v>
      </c>
      <c r="AY510" s="76"/>
      <c r="AZ510" s="76"/>
      <c r="BA510" s="76" t="b">
        <v>1</v>
      </c>
      <c r="BB510" s="76" t="b">
        <v>1</v>
      </c>
      <c r="BC510" s="76" t="b">
        <v>0</v>
      </c>
      <c r="BD510" s="76" t="b">
        <v>0</v>
      </c>
      <c r="BE510" s="76" t="b">
        <v>1</v>
      </c>
      <c r="BF510" s="76" t="b">
        <v>0</v>
      </c>
      <c r="BG510" s="76" t="b">
        <v>0</v>
      </c>
      <c r="BH510" s="83" t="str">
        <f>HYPERLINK("https://pbs.twimg.com/profile_banners/381725074/1695816235")</f>
        <v>https://pbs.twimg.com/profile_banners/381725074/1695816235</v>
      </c>
      <c r="BI510" s="76"/>
      <c r="BJ510" s="76" t="s">
        <v>18704</v>
      </c>
      <c r="BK510" s="76" t="b">
        <v>0</v>
      </c>
      <c r="BL510" s="76"/>
      <c r="BM510" s="76" t="s">
        <v>65</v>
      </c>
      <c r="BN510" s="76" t="s">
        <v>18706</v>
      </c>
      <c r="BO510" s="83" t="str">
        <f>HYPERLINK("https://twitter.com/minvivienda")</f>
        <v>https://twitter.com/minvivienda</v>
      </c>
      <c r="BP510" s="2"/>
    </row>
    <row r="511" spans="1:68" x14ac:dyDescent="0.25">
      <c r="A511" s="62" t="s">
        <v>850</v>
      </c>
      <c r="B511" s="63"/>
      <c r="C511" s="63"/>
      <c r="D511" s="64"/>
      <c r="E511" s="66"/>
      <c r="F511" s="102" t="str">
        <f>HYPERLINK("https://pbs.twimg.com/profile_images/1658871669895712769/L-FycA9P_normal.jpg")</f>
        <v>https://pbs.twimg.com/profile_images/1658871669895712769/L-FycA9P_normal.jpg</v>
      </c>
      <c r="G511" s="63"/>
      <c r="H511" s="67"/>
      <c r="I511" s="68"/>
      <c r="J511" s="68"/>
      <c r="K511" s="67" t="s">
        <v>19214</v>
      </c>
      <c r="L511" s="71"/>
      <c r="M511" s="72"/>
      <c r="N511" s="72"/>
      <c r="O511" s="73"/>
      <c r="P511" s="74"/>
      <c r="Q511" s="74"/>
      <c r="R511" s="86"/>
      <c r="S511" s="86"/>
      <c r="T511" s="86"/>
      <c r="U511" s="86"/>
      <c r="V511" s="48"/>
      <c r="W511" s="48"/>
      <c r="X511" s="48"/>
      <c r="Y511" s="48"/>
      <c r="Z511" s="47"/>
      <c r="AA511" s="69">
        <v>511</v>
      </c>
      <c r="AB511" s="69"/>
      <c r="AC511" s="70"/>
      <c r="AD511" s="76" t="s">
        <v>16937</v>
      </c>
      <c r="AE511" s="81" t="s">
        <v>17325</v>
      </c>
      <c r="AF511" s="76">
        <v>18257</v>
      </c>
      <c r="AG511" s="76">
        <v>1691</v>
      </c>
      <c r="AH511" s="76">
        <v>19542</v>
      </c>
      <c r="AI511" s="76">
        <v>138</v>
      </c>
      <c r="AJ511" s="76">
        <v>11644</v>
      </c>
      <c r="AK511" s="76">
        <v>8895</v>
      </c>
      <c r="AL511" s="76" t="b">
        <v>0</v>
      </c>
      <c r="AM511" s="78">
        <v>40617.857986111114</v>
      </c>
      <c r="AN511" s="76" t="s">
        <v>17598</v>
      </c>
      <c r="AO511" s="76" t="s">
        <v>18099</v>
      </c>
      <c r="AP511" s="83" t="str">
        <f>HYPERLINK("https://t.co/iTdcwl6BUI")</f>
        <v>https://t.co/iTdcwl6BUI</v>
      </c>
      <c r="AQ511" s="83" t="str">
        <f>HYPERLINK("http://camacol.co")</f>
        <v>http://camacol.co</v>
      </c>
      <c r="AR511" s="76" t="s">
        <v>18539</v>
      </c>
      <c r="AS511" s="76"/>
      <c r="AT511" s="76"/>
      <c r="AU511" s="76"/>
      <c r="AV511" s="76"/>
      <c r="AW511" s="83" t="str">
        <f>HYPERLINK("https://t.co/iTdcwl6BUI")</f>
        <v>https://t.co/iTdcwl6BUI</v>
      </c>
      <c r="AX511" s="76" t="b">
        <v>0</v>
      </c>
      <c r="AY511" s="76"/>
      <c r="AZ511" s="76"/>
      <c r="BA511" s="76" t="b">
        <v>1</v>
      </c>
      <c r="BB511" s="76" t="b">
        <v>1</v>
      </c>
      <c r="BC511" s="76" t="b">
        <v>0</v>
      </c>
      <c r="BD511" s="76" t="b">
        <v>0</v>
      </c>
      <c r="BE511" s="76" t="b">
        <v>1</v>
      </c>
      <c r="BF511" s="76" t="b">
        <v>0</v>
      </c>
      <c r="BG511" s="76" t="b">
        <v>0</v>
      </c>
      <c r="BH511" s="83" t="str">
        <f>HYPERLINK("https://pbs.twimg.com/profile_banners/266790270/1692743422")</f>
        <v>https://pbs.twimg.com/profile_banners/266790270/1692743422</v>
      </c>
      <c r="BI511" s="76"/>
      <c r="BJ511" s="76" t="s">
        <v>18704</v>
      </c>
      <c r="BK511" s="76" t="b">
        <v>0</v>
      </c>
      <c r="BL511" s="76"/>
      <c r="BM511" s="76" t="s">
        <v>65</v>
      </c>
      <c r="BN511" s="76" t="s">
        <v>18706</v>
      </c>
      <c r="BO511" s="83" t="str">
        <f>HYPERLINK("https://twitter.com/camacolcolombia")</f>
        <v>https://twitter.com/camacolcolombia</v>
      </c>
      <c r="BP511" s="2"/>
    </row>
    <row r="512" spans="1:68" x14ac:dyDescent="0.25">
      <c r="A512" s="62" t="s">
        <v>851</v>
      </c>
      <c r="B512" s="63"/>
      <c r="C512" s="63"/>
      <c r="D512" s="64"/>
      <c r="E512" s="66"/>
      <c r="F512" s="102" t="str">
        <f>HYPERLINK("https://pbs.twimg.com/profile_images/1689017615228817408/zd2LIO1F_normal.jpg")</f>
        <v>https://pbs.twimg.com/profile_images/1689017615228817408/zd2LIO1F_normal.jpg</v>
      </c>
      <c r="G512" s="63"/>
      <c r="H512" s="67"/>
      <c r="I512" s="68"/>
      <c r="J512" s="68"/>
      <c r="K512" s="67" t="s">
        <v>19215</v>
      </c>
      <c r="L512" s="71"/>
      <c r="M512" s="72"/>
      <c r="N512" s="72"/>
      <c r="O512" s="73"/>
      <c r="P512" s="74"/>
      <c r="Q512" s="74"/>
      <c r="R512" s="86"/>
      <c r="S512" s="86"/>
      <c r="T512" s="86"/>
      <c r="U512" s="86"/>
      <c r="V512" s="48"/>
      <c r="W512" s="48"/>
      <c r="X512" s="48"/>
      <c r="Y512" s="48"/>
      <c r="Z512" s="47"/>
      <c r="AA512" s="69">
        <v>512</v>
      </c>
      <c r="AB512" s="69"/>
      <c r="AC512" s="70"/>
      <c r="AD512" s="76" t="s">
        <v>16938</v>
      </c>
      <c r="AE512" s="81" t="s">
        <v>17326</v>
      </c>
      <c r="AF512" s="76">
        <v>875</v>
      </c>
      <c r="AG512" s="76">
        <v>434</v>
      </c>
      <c r="AH512" s="76">
        <v>2820</v>
      </c>
      <c r="AI512" s="76">
        <v>4</v>
      </c>
      <c r="AJ512" s="76">
        <v>1163</v>
      </c>
      <c r="AK512" s="76">
        <v>819</v>
      </c>
      <c r="AL512" s="76" t="b">
        <v>0</v>
      </c>
      <c r="AM512" s="78">
        <v>40751.664490740739</v>
      </c>
      <c r="AN512" s="76" t="s">
        <v>17440</v>
      </c>
      <c r="AO512" s="76" t="s">
        <v>18100</v>
      </c>
      <c r="AP512" s="83" t="str">
        <f>HYPERLINK("https://t.co/CxJP3gqYU2")</f>
        <v>https://t.co/CxJP3gqYU2</v>
      </c>
      <c r="AQ512" s="83" t="str">
        <f>HYPERLINK("http://www.ceacolombia.com")</f>
        <v>http://www.ceacolombia.com</v>
      </c>
      <c r="AR512" s="76" t="s">
        <v>18540</v>
      </c>
      <c r="AS512" s="76"/>
      <c r="AT512" s="76"/>
      <c r="AU512" s="76"/>
      <c r="AV512" s="76"/>
      <c r="AW512" s="83" t="str">
        <f>HYPERLINK("https://t.co/CxJP3gqYU2")</f>
        <v>https://t.co/CxJP3gqYU2</v>
      </c>
      <c r="AX512" s="76" t="b">
        <v>0</v>
      </c>
      <c r="AY512" s="76"/>
      <c r="AZ512" s="76"/>
      <c r="BA512" s="76" t="b">
        <v>0</v>
      </c>
      <c r="BB512" s="76" t="b">
        <v>1</v>
      </c>
      <c r="BC512" s="76" t="b">
        <v>0</v>
      </c>
      <c r="BD512" s="76" t="b">
        <v>0</v>
      </c>
      <c r="BE512" s="76" t="b">
        <v>0</v>
      </c>
      <c r="BF512" s="76" t="b">
        <v>0</v>
      </c>
      <c r="BG512" s="76" t="b">
        <v>0</v>
      </c>
      <c r="BH512" s="83" t="str">
        <f>HYPERLINK("https://pbs.twimg.com/profile_banners/343446479/1693573965")</f>
        <v>https://pbs.twimg.com/profile_banners/343446479/1693573965</v>
      </c>
      <c r="BI512" s="76"/>
      <c r="BJ512" s="76" t="s">
        <v>18704</v>
      </c>
      <c r="BK512" s="76" t="b">
        <v>0</v>
      </c>
      <c r="BL512" s="76"/>
      <c r="BM512" s="76" t="s">
        <v>65</v>
      </c>
      <c r="BN512" s="76" t="s">
        <v>18706</v>
      </c>
      <c r="BO512" s="83" t="str">
        <f>HYPERLINK("https://twitter.com/ceacolombia")</f>
        <v>https://twitter.com/ceacolombia</v>
      </c>
      <c r="BP512" s="2"/>
    </row>
    <row r="513" spans="1:68" x14ac:dyDescent="0.25">
      <c r="A513" s="62" t="s">
        <v>852</v>
      </c>
      <c r="B513" s="63"/>
      <c r="C513" s="63"/>
      <c r="D513" s="64"/>
      <c r="E513" s="66"/>
      <c r="F513" s="102" t="str">
        <f>HYPERLINK("https://pbs.twimg.com/profile_images/1157656578050465802/30ARname_normal.jpg")</f>
        <v>https://pbs.twimg.com/profile_images/1157656578050465802/30ARname_normal.jpg</v>
      </c>
      <c r="G513" s="63"/>
      <c r="H513" s="67"/>
      <c r="I513" s="68"/>
      <c r="J513" s="68"/>
      <c r="K513" s="67" t="s">
        <v>19216</v>
      </c>
      <c r="L513" s="71"/>
      <c r="M513" s="72"/>
      <c r="N513" s="72"/>
      <c r="O513" s="73"/>
      <c r="P513" s="74"/>
      <c r="Q513" s="74"/>
      <c r="R513" s="86"/>
      <c r="S513" s="86"/>
      <c r="T513" s="86"/>
      <c r="U513" s="86"/>
      <c r="V513" s="48"/>
      <c r="W513" s="48"/>
      <c r="X513" s="48"/>
      <c r="Y513" s="48"/>
      <c r="Z513" s="47"/>
      <c r="AA513" s="69">
        <v>513</v>
      </c>
      <c r="AB513" s="69"/>
      <c r="AC513" s="70"/>
      <c r="AD513" s="76" t="s">
        <v>16939</v>
      </c>
      <c r="AE513" s="81" t="s">
        <v>17327</v>
      </c>
      <c r="AF513" s="76">
        <v>5889</v>
      </c>
      <c r="AG513" s="76">
        <v>968</v>
      </c>
      <c r="AH513" s="76">
        <v>8732</v>
      </c>
      <c r="AI513" s="76">
        <v>31</v>
      </c>
      <c r="AJ513" s="76">
        <v>3888</v>
      </c>
      <c r="AK513" s="76">
        <v>3734</v>
      </c>
      <c r="AL513" s="76" t="b">
        <v>0</v>
      </c>
      <c r="AM513" s="78">
        <v>40969.873912037037</v>
      </c>
      <c r="AN513" s="76" t="s">
        <v>17402</v>
      </c>
      <c r="AO513" s="76" t="s">
        <v>18101</v>
      </c>
      <c r="AP513" s="83" t="str">
        <f>HYPERLINK("https://t.co/olco50BdVB")</f>
        <v>https://t.co/olco50BdVB</v>
      </c>
      <c r="AQ513" s="83" t="str">
        <f>HYPERLINK("http://www.acopi.org.co")</f>
        <v>http://www.acopi.org.co</v>
      </c>
      <c r="AR513" s="76" t="s">
        <v>18541</v>
      </c>
      <c r="AS513" s="76"/>
      <c r="AT513" s="76"/>
      <c r="AU513" s="76"/>
      <c r="AV513" s="76">
        <v>1.69266599060403E+18</v>
      </c>
      <c r="AW513" s="83" t="str">
        <f>HYPERLINK("https://t.co/olco50BdVB")</f>
        <v>https://t.co/olco50BdVB</v>
      </c>
      <c r="AX513" s="76" t="b">
        <v>0</v>
      </c>
      <c r="AY513" s="76"/>
      <c r="AZ513" s="76"/>
      <c r="BA513" s="76" t="b">
        <v>0</v>
      </c>
      <c r="BB513" s="76" t="b">
        <v>0</v>
      </c>
      <c r="BC513" s="76" t="b">
        <v>0</v>
      </c>
      <c r="BD513" s="76" t="b">
        <v>0</v>
      </c>
      <c r="BE513" s="76" t="b">
        <v>1</v>
      </c>
      <c r="BF513" s="76" t="b">
        <v>0</v>
      </c>
      <c r="BG513" s="76" t="b">
        <v>0</v>
      </c>
      <c r="BH513" s="83" t="str">
        <f>HYPERLINK("https://pbs.twimg.com/profile_banners/510843343/1693587140")</f>
        <v>https://pbs.twimg.com/profile_banners/510843343/1693587140</v>
      </c>
      <c r="BI513" s="76"/>
      <c r="BJ513" s="76" t="s">
        <v>18704</v>
      </c>
      <c r="BK513" s="76" t="b">
        <v>0</v>
      </c>
      <c r="BL513" s="76"/>
      <c r="BM513" s="76" t="s">
        <v>65</v>
      </c>
      <c r="BN513" s="76" t="s">
        <v>18706</v>
      </c>
      <c r="BO513" s="83" t="str">
        <f>HYPERLINK("https://twitter.com/acopi_nacional")</f>
        <v>https://twitter.com/acopi_nacional</v>
      </c>
      <c r="BP513" s="2"/>
    </row>
    <row r="514" spans="1:68" x14ac:dyDescent="0.25">
      <c r="A514" s="62" t="s">
        <v>853</v>
      </c>
      <c r="B514" s="63"/>
      <c r="C514" s="63"/>
      <c r="D514" s="64"/>
      <c r="E514" s="66"/>
      <c r="F514" s="102" t="str">
        <f>HYPERLINK("https://pbs.twimg.com/profile_images/1366791313555927040/A4OtG2uy_normal.jpg")</f>
        <v>https://pbs.twimg.com/profile_images/1366791313555927040/A4OtG2uy_normal.jpg</v>
      </c>
      <c r="G514" s="63"/>
      <c r="H514" s="67"/>
      <c r="I514" s="68"/>
      <c r="J514" s="68"/>
      <c r="K514" s="67" t="s">
        <v>19217</v>
      </c>
      <c r="L514" s="71"/>
      <c r="M514" s="72"/>
      <c r="N514" s="72"/>
      <c r="O514" s="73"/>
      <c r="P514" s="74"/>
      <c r="Q514" s="74"/>
      <c r="R514" s="86"/>
      <c r="S514" s="86"/>
      <c r="T514" s="86"/>
      <c r="U514" s="86"/>
      <c r="V514" s="48"/>
      <c r="W514" s="48"/>
      <c r="X514" s="48"/>
      <c r="Y514" s="48"/>
      <c r="Z514" s="47"/>
      <c r="AA514" s="69">
        <v>514</v>
      </c>
      <c r="AB514" s="69"/>
      <c r="AC514" s="70"/>
      <c r="AD514" s="76" t="s">
        <v>16940</v>
      </c>
      <c r="AE514" s="81" t="s">
        <v>17328</v>
      </c>
      <c r="AF514" s="76">
        <v>328627</v>
      </c>
      <c r="AG514" s="76">
        <v>231</v>
      </c>
      <c r="AH514" s="76">
        <v>4392</v>
      </c>
      <c r="AI514" s="76">
        <v>1294</v>
      </c>
      <c r="AJ514" s="76">
        <v>29</v>
      </c>
      <c r="AK514" s="76">
        <v>2624</v>
      </c>
      <c r="AL514" s="76" t="b">
        <v>0</v>
      </c>
      <c r="AM514" s="78">
        <v>41395.747499999998</v>
      </c>
      <c r="AN514" s="76" t="s">
        <v>17599</v>
      </c>
      <c r="AO514" s="76" t="s">
        <v>18102</v>
      </c>
      <c r="AP514" s="83" t="str">
        <f>HYPERLINK("https://t.co/ABFKJ56Zii")</f>
        <v>https://t.co/ABFKJ56Zii</v>
      </c>
      <c r="AQ514" s="83" t="str">
        <f>HYPERLINK("https://www.imf.org/es")</f>
        <v>https://www.imf.org/es</v>
      </c>
      <c r="AR514" s="76" t="s">
        <v>18542</v>
      </c>
      <c r="AS514" s="76"/>
      <c r="AT514" s="76"/>
      <c r="AU514" s="76"/>
      <c r="AV514" s="76"/>
      <c r="AW514" s="83" t="str">
        <f>HYPERLINK("https://t.co/ABFKJ56Zii")</f>
        <v>https://t.co/ABFKJ56Zii</v>
      </c>
      <c r="AX514" s="76" t="b">
        <v>0</v>
      </c>
      <c r="AY514" s="76"/>
      <c r="AZ514" s="76"/>
      <c r="BA514" s="76" t="b">
        <v>0</v>
      </c>
      <c r="BB514" s="76" t="b">
        <v>1</v>
      </c>
      <c r="BC514" s="76" t="b">
        <v>0</v>
      </c>
      <c r="BD514" s="76" t="b">
        <v>0</v>
      </c>
      <c r="BE514" s="76" t="b">
        <v>1</v>
      </c>
      <c r="BF514" s="76" t="b">
        <v>0</v>
      </c>
      <c r="BG514" s="76" t="b">
        <v>0</v>
      </c>
      <c r="BH514" s="83" t="str">
        <f>HYPERLINK("https://pbs.twimg.com/profile_banners/1395199711/1691598910")</f>
        <v>https://pbs.twimg.com/profile_banners/1395199711/1691598910</v>
      </c>
      <c r="BI514" s="76"/>
      <c r="BJ514" s="76" t="s">
        <v>18704</v>
      </c>
      <c r="BK514" s="76" t="b">
        <v>0</v>
      </c>
      <c r="BL514" s="76"/>
      <c r="BM514" s="76" t="s">
        <v>65</v>
      </c>
      <c r="BN514" s="76" t="s">
        <v>18706</v>
      </c>
      <c r="BO514" s="83" t="str">
        <f>HYPERLINK("https://twitter.com/fminoticias")</f>
        <v>https://twitter.com/fminoticias</v>
      </c>
      <c r="BP514" s="2"/>
    </row>
    <row r="515" spans="1:68" x14ac:dyDescent="0.25">
      <c r="A515" s="62" t="s">
        <v>854</v>
      </c>
      <c r="B515" s="63"/>
      <c r="C515" s="63"/>
      <c r="D515" s="64"/>
      <c r="E515" s="66"/>
      <c r="F515" s="102" t="str">
        <f>HYPERLINK("https://pbs.twimg.com/profile_images/1663275355631677440/1mGRUh5I_normal.jpg")</f>
        <v>https://pbs.twimg.com/profile_images/1663275355631677440/1mGRUh5I_normal.jpg</v>
      </c>
      <c r="G515" s="63"/>
      <c r="H515" s="67"/>
      <c r="I515" s="68"/>
      <c r="J515" s="68"/>
      <c r="K515" s="67" t="s">
        <v>19218</v>
      </c>
      <c r="L515" s="71"/>
      <c r="M515" s="72"/>
      <c r="N515" s="72"/>
      <c r="O515" s="73"/>
      <c r="P515" s="74"/>
      <c r="Q515" s="74"/>
      <c r="R515" s="86"/>
      <c r="S515" s="86"/>
      <c r="T515" s="86"/>
      <c r="U515" s="86"/>
      <c r="V515" s="48"/>
      <c r="W515" s="48"/>
      <c r="X515" s="48"/>
      <c r="Y515" s="48"/>
      <c r="Z515" s="47"/>
      <c r="AA515" s="69">
        <v>515</v>
      </c>
      <c r="AB515" s="69"/>
      <c r="AC515" s="70"/>
      <c r="AD515" s="76" t="s">
        <v>16941</v>
      </c>
      <c r="AE515" s="81" t="s">
        <v>17329</v>
      </c>
      <c r="AF515" s="76">
        <v>13558</v>
      </c>
      <c r="AG515" s="76">
        <v>687</v>
      </c>
      <c r="AH515" s="76">
        <v>7844</v>
      </c>
      <c r="AI515" s="76">
        <v>50</v>
      </c>
      <c r="AJ515" s="76">
        <v>5179</v>
      </c>
      <c r="AK515" s="76">
        <v>1449</v>
      </c>
      <c r="AL515" s="76" t="b">
        <v>0</v>
      </c>
      <c r="AM515" s="78">
        <v>40323.662303240744</v>
      </c>
      <c r="AN515" s="76" t="s">
        <v>17600</v>
      </c>
      <c r="AO515" s="76" t="s">
        <v>18103</v>
      </c>
      <c r="AP515" s="76"/>
      <c r="AQ515" s="76"/>
      <c r="AR515" s="76"/>
      <c r="AS515" s="76"/>
      <c r="AT515" s="76"/>
      <c r="AU515" s="76"/>
      <c r="AV515" s="76"/>
      <c r="AW515" s="76"/>
      <c r="AX515" s="76" t="b">
        <v>0</v>
      </c>
      <c r="AY515" s="76"/>
      <c r="AZ515" s="76"/>
      <c r="BA515" s="76" t="b">
        <v>1</v>
      </c>
      <c r="BB515" s="76" t="b">
        <v>1</v>
      </c>
      <c r="BC515" s="76" t="b">
        <v>0</v>
      </c>
      <c r="BD515" s="76" t="b">
        <v>0</v>
      </c>
      <c r="BE515" s="76" t="b">
        <v>1</v>
      </c>
      <c r="BF515" s="76" t="b">
        <v>0</v>
      </c>
      <c r="BG515" s="76" t="b">
        <v>0</v>
      </c>
      <c r="BH515" s="83" t="str">
        <f>HYPERLINK("https://pbs.twimg.com/profile_banners/148003798/1686153781")</f>
        <v>https://pbs.twimg.com/profile_banners/148003798/1686153781</v>
      </c>
      <c r="BI515" s="76"/>
      <c r="BJ515" s="76" t="s">
        <v>18704</v>
      </c>
      <c r="BK515" s="76" t="b">
        <v>0</v>
      </c>
      <c r="BL515" s="76"/>
      <c r="BM515" s="76" t="s">
        <v>65</v>
      </c>
      <c r="BN515" s="76" t="s">
        <v>18706</v>
      </c>
      <c r="BO515" s="83" t="str">
        <f>HYPERLINK("https://twitter.com/wmanzur")</f>
        <v>https://twitter.com/wmanzur</v>
      </c>
      <c r="BP515" s="2"/>
    </row>
    <row r="516" spans="1:68" x14ac:dyDescent="0.25">
      <c r="A516" s="62" t="s">
        <v>855</v>
      </c>
      <c r="B516" s="63"/>
      <c r="C516" s="63"/>
      <c r="D516" s="64"/>
      <c r="E516" s="66"/>
      <c r="F516" s="102" t="str">
        <f>HYPERLINK("https://pbs.twimg.com/profile_images/1556350770840305667/Vl9bizYW_normal.jpg")</f>
        <v>https://pbs.twimg.com/profile_images/1556350770840305667/Vl9bizYW_normal.jpg</v>
      </c>
      <c r="G516" s="63"/>
      <c r="H516" s="67"/>
      <c r="I516" s="68"/>
      <c r="J516" s="68"/>
      <c r="K516" s="67" t="s">
        <v>19219</v>
      </c>
      <c r="L516" s="71"/>
      <c r="M516" s="72"/>
      <c r="N516" s="72"/>
      <c r="O516" s="73"/>
      <c r="P516" s="74"/>
      <c r="Q516" s="74"/>
      <c r="R516" s="86"/>
      <c r="S516" s="86"/>
      <c r="T516" s="86"/>
      <c r="U516" s="86"/>
      <c r="V516" s="48"/>
      <c r="W516" s="48"/>
      <c r="X516" s="48"/>
      <c r="Y516" s="48"/>
      <c r="Z516" s="47"/>
      <c r="AA516" s="69">
        <v>516</v>
      </c>
      <c r="AB516" s="69"/>
      <c r="AC516" s="70"/>
      <c r="AD516" s="76" t="s">
        <v>16942</v>
      </c>
      <c r="AE516" s="81" t="s">
        <v>17330</v>
      </c>
      <c r="AF516" s="76">
        <v>84209</v>
      </c>
      <c r="AG516" s="76">
        <v>2241</v>
      </c>
      <c r="AH516" s="76">
        <v>34844</v>
      </c>
      <c r="AI516" s="76">
        <v>273</v>
      </c>
      <c r="AJ516" s="76">
        <v>70470</v>
      </c>
      <c r="AK516" s="76">
        <v>4113</v>
      </c>
      <c r="AL516" s="76" t="b">
        <v>0</v>
      </c>
      <c r="AM516" s="78">
        <v>40725.802395833336</v>
      </c>
      <c r="AN516" s="76" t="s">
        <v>17402</v>
      </c>
      <c r="AO516" s="76" t="s">
        <v>18104</v>
      </c>
      <c r="AP516" s="76"/>
      <c r="AQ516" s="76"/>
      <c r="AR516" s="76"/>
      <c r="AS516" s="83" t="str">
        <f>HYPERLINK("https://t.co/v6wWMkfaFK")</f>
        <v>https://t.co/v6wWMkfaFK</v>
      </c>
      <c r="AT516" s="83" t="str">
        <f>HYPERLINK("http://instagram.com/jmrestrepoa")</f>
        <v>http://instagram.com/jmrestrepoa</v>
      </c>
      <c r="AU516" s="76" t="s">
        <v>18693</v>
      </c>
      <c r="AV516" s="76"/>
      <c r="AW516" s="76"/>
      <c r="AX516" s="76" t="b">
        <v>1</v>
      </c>
      <c r="AY516" s="76"/>
      <c r="AZ516" s="76"/>
      <c r="BA516" s="76" t="b">
        <v>1</v>
      </c>
      <c r="BB516" s="76" t="b">
        <v>1</v>
      </c>
      <c r="BC516" s="76" t="b">
        <v>1</v>
      </c>
      <c r="BD516" s="76" t="b">
        <v>0</v>
      </c>
      <c r="BE516" s="76" t="b">
        <v>1</v>
      </c>
      <c r="BF516" s="76" t="b">
        <v>0</v>
      </c>
      <c r="BG516" s="76" t="b">
        <v>0</v>
      </c>
      <c r="BH516" s="83" t="str">
        <f>HYPERLINK("https://pbs.twimg.com/profile_banners/327553766/1659880065")</f>
        <v>https://pbs.twimg.com/profile_banners/327553766/1659880065</v>
      </c>
      <c r="BI516" s="76"/>
      <c r="BJ516" s="76" t="s">
        <v>18704</v>
      </c>
      <c r="BK516" s="76" t="b">
        <v>0</v>
      </c>
      <c r="BL516" s="76"/>
      <c r="BM516" s="76" t="s">
        <v>65</v>
      </c>
      <c r="BN516" s="76" t="s">
        <v>18706</v>
      </c>
      <c r="BO516" s="83" t="str">
        <f>HYPERLINK("https://twitter.com/jrestrp")</f>
        <v>https://twitter.com/jrestrp</v>
      </c>
      <c r="BP516" s="2"/>
    </row>
    <row r="517" spans="1:68" x14ac:dyDescent="0.25">
      <c r="A517" s="62" t="s">
        <v>856</v>
      </c>
      <c r="B517" s="63"/>
      <c r="C517" s="63"/>
      <c r="D517" s="64"/>
      <c r="E517" s="66"/>
      <c r="F517" s="102" t="str">
        <f>HYPERLINK("https://pbs.twimg.com/profile_images/1485705797631942657/CO00yj12_normal.jpg")</f>
        <v>https://pbs.twimg.com/profile_images/1485705797631942657/CO00yj12_normal.jpg</v>
      </c>
      <c r="G517" s="63"/>
      <c r="H517" s="67"/>
      <c r="I517" s="68"/>
      <c r="J517" s="68"/>
      <c r="K517" s="67" t="s">
        <v>19220</v>
      </c>
      <c r="L517" s="71"/>
      <c r="M517" s="72"/>
      <c r="N517" s="72"/>
      <c r="O517" s="73"/>
      <c r="P517" s="74"/>
      <c r="Q517" s="74"/>
      <c r="R517" s="86"/>
      <c r="S517" s="86"/>
      <c r="T517" s="86"/>
      <c r="U517" s="86"/>
      <c r="V517" s="48"/>
      <c r="W517" s="48"/>
      <c r="X517" s="48"/>
      <c r="Y517" s="48"/>
      <c r="Z517" s="47"/>
      <c r="AA517" s="69">
        <v>517</v>
      </c>
      <c r="AB517" s="69"/>
      <c r="AC517" s="70"/>
      <c r="AD517" s="76" t="s">
        <v>16943</v>
      </c>
      <c r="AE517" s="81" t="s">
        <v>17331</v>
      </c>
      <c r="AF517" s="76">
        <v>145513</v>
      </c>
      <c r="AG517" s="76">
        <v>1103</v>
      </c>
      <c r="AH517" s="76">
        <v>11493</v>
      </c>
      <c r="AI517" s="76">
        <v>1587</v>
      </c>
      <c r="AJ517" s="76">
        <v>1965</v>
      </c>
      <c r="AK517" s="76">
        <v>3590</v>
      </c>
      <c r="AL517" s="76" t="b">
        <v>0</v>
      </c>
      <c r="AM517" s="78">
        <v>40015.63590277778</v>
      </c>
      <c r="AN517" s="76"/>
      <c r="AO517" s="76" t="s">
        <v>18105</v>
      </c>
      <c r="AP517" s="83" t="str">
        <f>HYPERLINK("https://t.co/eO8LICccTQ")</f>
        <v>https://t.co/eO8LICccTQ</v>
      </c>
      <c r="AQ517" s="83" t="str">
        <f>HYPERLINK("http://www.oecd.org/espanol")</f>
        <v>http://www.oecd.org/espanol</v>
      </c>
      <c r="AR517" s="76" t="s">
        <v>18543</v>
      </c>
      <c r="AS517" s="76"/>
      <c r="AT517" s="76"/>
      <c r="AU517" s="76"/>
      <c r="AV517" s="76"/>
      <c r="AW517" s="83" t="str">
        <f>HYPERLINK("https://t.co/eO8LICccTQ")</f>
        <v>https://t.co/eO8LICccTQ</v>
      </c>
      <c r="AX517" s="76" t="b">
        <v>0</v>
      </c>
      <c r="AY517" s="76"/>
      <c r="AZ517" s="76"/>
      <c r="BA517" s="76" t="b">
        <v>0</v>
      </c>
      <c r="BB517" s="76" t="b">
        <v>1</v>
      </c>
      <c r="BC517" s="76" t="b">
        <v>0</v>
      </c>
      <c r="BD517" s="76" t="b">
        <v>0</v>
      </c>
      <c r="BE517" s="76" t="b">
        <v>1</v>
      </c>
      <c r="BF517" s="76" t="b">
        <v>0</v>
      </c>
      <c r="BG517" s="76" t="b">
        <v>0</v>
      </c>
      <c r="BH517" s="83" t="str">
        <f>HYPERLINK("https://pbs.twimg.com/profile_banners/58821418/1643054843")</f>
        <v>https://pbs.twimg.com/profile_banners/58821418/1643054843</v>
      </c>
      <c r="BI517" s="76"/>
      <c r="BJ517" s="76" t="s">
        <v>18704</v>
      </c>
      <c r="BK517" s="76" t="b">
        <v>0</v>
      </c>
      <c r="BL517" s="76"/>
      <c r="BM517" s="76" t="s">
        <v>65</v>
      </c>
      <c r="BN517" s="76" t="s">
        <v>18706</v>
      </c>
      <c r="BO517" s="83" t="str">
        <f>HYPERLINK("https://twitter.com/ocdeenespanol")</f>
        <v>https://twitter.com/ocdeenespanol</v>
      </c>
      <c r="BP517" s="2"/>
    </row>
    <row r="518" spans="1:68" x14ac:dyDescent="0.25">
      <c r="A518" s="62" t="s">
        <v>857</v>
      </c>
      <c r="B518" s="63"/>
      <c r="C518" s="63"/>
      <c r="D518" s="64"/>
      <c r="E518" s="66"/>
      <c r="F518" s="102" t="str">
        <f>HYPERLINK("https://pbs.twimg.com/profile_images/1691048893461471232/8g3DHEQW_normal.jpg")</f>
        <v>https://pbs.twimg.com/profile_images/1691048893461471232/8g3DHEQW_normal.jpg</v>
      </c>
      <c r="G518" s="63"/>
      <c r="H518" s="67"/>
      <c r="I518" s="68"/>
      <c r="J518" s="68"/>
      <c r="K518" s="67" t="s">
        <v>19221</v>
      </c>
      <c r="L518" s="71"/>
      <c r="M518" s="72"/>
      <c r="N518" s="72"/>
      <c r="O518" s="73"/>
      <c r="P518" s="74"/>
      <c r="Q518" s="74"/>
      <c r="R518" s="86"/>
      <c r="S518" s="86"/>
      <c r="T518" s="86"/>
      <c r="U518" s="86"/>
      <c r="V518" s="48"/>
      <c r="W518" s="48"/>
      <c r="X518" s="48"/>
      <c r="Y518" s="48"/>
      <c r="Z518" s="47"/>
      <c r="AA518" s="69">
        <v>518</v>
      </c>
      <c r="AB518" s="69"/>
      <c r="AC518" s="70"/>
      <c r="AD518" s="76" t="s">
        <v>16944</v>
      </c>
      <c r="AE518" s="81" t="s">
        <v>17332</v>
      </c>
      <c r="AF518" s="76">
        <v>613829</v>
      </c>
      <c r="AG518" s="76">
        <v>1536</v>
      </c>
      <c r="AH518" s="76">
        <v>64216</v>
      </c>
      <c r="AI518" s="76">
        <v>1229</v>
      </c>
      <c r="AJ518" s="76">
        <v>13674</v>
      </c>
      <c r="AK518" s="76">
        <v>28309</v>
      </c>
      <c r="AL518" s="76" t="b">
        <v>0</v>
      </c>
      <c r="AM518" s="78">
        <v>40074.927175925928</v>
      </c>
      <c r="AN518" s="76" t="s">
        <v>17460</v>
      </c>
      <c r="AO518" s="76" t="s">
        <v>18106</v>
      </c>
      <c r="AP518" s="83" t="str">
        <f>HYPERLINK("https://t.co/omXDkQ2CeR")</f>
        <v>https://t.co/omXDkQ2CeR</v>
      </c>
      <c r="AQ518" s="83" t="str">
        <f>HYPERLINK("http://www.mininterior.gov.co")</f>
        <v>http://www.mininterior.gov.co</v>
      </c>
      <c r="AR518" s="76" t="s">
        <v>18544</v>
      </c>
      <c r="AS518" s="76"/>
      <c r="AT518" s="76"/>
      <c r="AU518" s="76"/>
      <c r="AV518" s="76"/>
      <c r="AW518" s="83" t="str">
        <f>HYPERLINK("https://t.co/omXDkQ2CeR")</f>
        <v>https://t.co/omXDkQ2CeR</v>
      </c>
      <c r="AX518" s="76" t="b">
        <v>0</v>
      </c>
      <c r="AY518" s="76"/>
      <c r="AZ518" s="76"/>
      <c r="BA518" s="76" t="b">
        <v>0</v>
      </c>
      <c r="BB518" s="76" t="b">
        <v>1</v>
      </c>
      <c r="BC518" s="76" t="b">
        <v>0</v>
      </c>
      <c r="BD518" s="76" t="b">
        <v>0</v>
      </c>
      <c r="BE518" s="76" t="b">
        <v>0</v>
      </c>
      <c r="BF518" s="76" t="b">
        <v>0</v>
      </c>
      <c r="BG518" s="76" t="b">
        <v>0</v>
      </c>
      <c r="BH518" s="83" t="str">
        <f>HYPERLINK("https://pbs.twimg.com/profile_banners/75400667/1695817688")</f>
        <v>https://pbs.twimg.com/profile_banners/75400667/1695817688</v>
      </c>
      <c r="BI518" s="76"/>
      <c r="BJ518" s="76" t="s">
        <v>18705</v>
      </c>
      <c r="BK518" s="76" t="b">
        <v>0</v>
      </c>
      <c r="BL518" s="76"/>
      <c r="BM518" s="76" t="s">
        <v>65</v>
      </c>
      <c r="BN518" s="76" t="s">
        <v>18706</v>
      </c>
      <c r="BO518" s="83" t="str">
        <f>HYPERLINK("https://twitter.com/mininterior")</f>
        <v>https://twitter.com/mininterior</v>
      </c>
      <c r="BP518" s="2"/>
    </row>
    <row r="519" spans="1:68" x14ac:dyDescent="0.25">
      <c r="A519" s="62" t="s">
        <v>858</v>
      </c>
      <c r="B519" s="63"/>
      <c r="C519" s="63"/>
      <c r="D519" s="64"/>
      <c r="E519" s="66"/>
      <c r="F519" s="102" t="str">
        <f>HYPERLINK("https://pbs.twimg.com/profile_images/1682058093293629441/P4gWFyOr_normal.jpg")</f>
        <v>https://pbs.twimg.com/profile_images/1682058093293629441/P4gWFyOr_normal.jpg</v>
      </c>
      <c r="G519" s="63"/>
      <c r="H519" s="67"/>
      <c r="I519" s="68"/>
      <c r="J519" s="68"/>
      <c r="K519" s="67" t="s">
        <v>19222</v>
      </c>
      <c r="L519" s="71"/>
      <c r="M519" s="72"/>
      <c r="N519" s="72"/>
      <c r="O519" s="73"/>
      <c r="P519" s="74"/>
      <c r="Q519" s="74"/>
      <c r="R519" s="86"/>
      <c r="S519" s="86"/>
      <c r="T519" s="86"/>
      <c r="U519" s="86"/>
      <c r="V519" s="48"/>
      <c r="W519" s="48"/>
      <c r="X519" s="48"/>
      <c r="Y519" s="48"/>
      <c r="Z519" s="47"/>
      <c r="AA519" s="69">
        <v>519</v>
      </c>
      <c r="AB519" s="69"/>
      <c r="AC519" s="70"/>
      <c r="AD519" s="76" t="s">
        <v>16945</v>
      </c>
      <c r="AE519" s="81" t="s">
        <v>17333</v>
      </c>
      <c r="AF519" s="76">
        <v>204543</v>
      </c>
      <c r="AG519" s="76">
        <v>2819</v>
      </c>
      <c r="AH519" s="76">
        <v>54908</v>
      </c>
      <c r="AI519" s="76">
        <v>596</v>
      </c>
      <c r="AJ519" s="76">
        <v>44308</v>
      </c>
      <c r="AK519" s="76">
        <v>8198</v>
      </c>
      <c r="AL519" s="76" t="b">
        <v>0</v>
      </c>
      <c r="AM519" s="78">
        <v>40407.714930555558</v>
      </c>
      <c r="AN519" s="76" t="s">
        <v>17402</v>
      </c>
      <c r="AO519" s="76" t="s">
        <v>18107</v>
      </c>
      <c r="AP519" s="83" t="str">
        <f>HYPERLINK("https://t.co/avFwrv8fN5")</f>
        <v>https://t.co/avFwrv8fN5</v>
      </c>
      <c r="AQ519" s="83" t="str">
        <f>HYPERLINK("https://instagram.com/velascoluisf?utm_medium=copy_link")</f>
        <v>https://instagram.com/velascoluisf?utm_medium=copy_link</v>
      </c>
      <c r="AR519" s="76" t="s">
        <v>18545</v>
      </c>
      <c r="AS519" s="76"/>
      <c r="AT519" s="76"/>
      <c r="AU519" s="76"/>
      <c r="AV519" s="76">
        <v>1.65339360131587E+18</v>
      </c>
      <c r="AW519" s="83" t="str">
        <f>HYPERLINK("https://t.co/avFwrv8fN5")</f>
        <v>https://t.co/avFwrv8fN5</v>
      </c>
      <c r="AX519" s="76" t="b">
        <v>1</v>
      </c>
      <c r="AY519" s="76"/>
      <c r="AZ519" s="76"/>
      <c r="BA519" s="76" t="b">
        <v>0</v>
      </c>
      <c r="BB519" s="76" t="b">
        <v>1</v>
      </c>
      <c r="BC519" s="76" t="b">
        <v>0</v>
      </c>
      <c r="BD519" s="76" t="b">
        <v>0</v>
      </c>
      <c r="BE519" s="76" t="b">
        <v>1</v>
      </c>
      <c r="BF519" s="76" t="b">
        <v>0</v>
      </c>
      <c r="BG519" s="76" t="b">
        <v>0</v>
      </c>
      <c r="BH519" s="83" t="str">
        <f>HYPERLINK("https://pbs.twimg.com/profile_banners/179584524/1694546202")</f>
        <v>https://pbs.twimg.com/profile_banners/179584524/1694546202</v>
      </c>
      <c r="BI519" s="76"/>
      <c r="BJ519" s="76" t="s">
        <v>18704</v>
      </c>
      <c r="BK519" s="76" t="b">
        <v>0</v>
      </c>
      <c r="BL519" s="76"/>
      <c r="BM519" s="76" t="s">
        <v>65</v>
      </c>
      <c r="BN519" s="76" t="s">
        <v>18706</v>
      </c>
      <c r="BO519" s="83" t="str">
        <f>HYPERLINK("https://twitter.com/velascoluisf")</f>
        <v>https://twitter.com/velascoluisf</v>
      </c>
      <c r="BP519" s="2"/>
    </row>
    <row r="520" spans="1:68" x14ac:dyDescent="0.25">
      <c r="A520" s="62" t="s">
        <v>859</v>
      </c>
      <c r="B520" s="63"/>
      <c r="C520" s="63"/>
      <c r="D520" s="64"/>
      <c r="E520" s="66"/>
      <c r="F520" s="102" t="str">
        <f>HYPERLINK("https://pbs.twimg.com/profile_images/1641095329465393152/h3Ic_6Uz_normal.jpg")</f>
        <v>https://pbs.twimg.com/profile_images/1641095329465393152/h3Ic_6Uz_normal.jpg</v>
      </c>
      <c r="G520" s="63"/>
      <c r="H520" s="67"/>
      <c r="I520" s="68"/>
      <c r="J520" s="68"/>
      <c r="K520" s="67" t="s">
        <v>19223</v>
      </c>
      <c r="L520" s="71"/>
      <c r="M520" s="72"/>
      <c r="N520" s="72"/>
      <c r="O520" s="73"/>
      <c r="P520" s="74"/>
      <c r="Q520" s="74"/>
      <c r="R520" s="86"/>
      <c r="S520" s="86"/>
      <c r="T520" s="86"/>
      <c r="U520" s="86"/>
      <c r="V520" s="48"/>
      <c r="W520" s="48"/>
      <c r="X520" s="48"/>
      <c r="Y520" s="48"/>
      <c r="Z520" s="47"/>
      <c r="AA520" s="69">
        <v>520</v>
      </c>
      <c r="AB520" s="69"/>
      <c r="AC520" s="70"/>
      <c r="AD520" s="76" t="s">
        <v>16946</v>
      </c>
      <c r="AE520" s="81" t="s">
        <v>17334</v>
      </c>
      <c r="AF520" s="76">
        <v>2796</v>
      </c>
      <c r="AG520" s="76">
        <v>18</v>
      </c>
      <c r="AH520" s="76">
        <v>158</v>
      </c>
      <c r="AI520" s="76">
        <v>21</v>
      </c>
      <c r="AJ520" s="76">
        <v>44</v>
      </c>
      <c r="AK520" s="76">
        <v>76</v>
      </c>
      <c r="AL520" s="76" t="b">
        <v>0</v>
      </c>
      <c r="AM520" s="78">
        <v>44603.93341435185</v>
      </c>
      <c r="AN520" s="76"/>
      <c r="AO520" s="76" t="s">
        <v>18108</v>
      </c>
      <c r="AP520" s="83" t="str">
        <f>HYPERLINK("https://t.co/eoIJwz3H7Q")</f>
        <v>https://t.co/eoIJwz3H7Q</v>
      </c>
      <c r="AQ520" s="83" t="str">
        <f>HYPERLINK("http://www.carf.gov.co")</f>
        <v>http://www.carf.gov.co</v>
      </c>
      <c r="AR520" s="76" t="s">
        <v>18546</v>
      </c>
      <c r="AS520" s="76"/>
      <c r="AT520" s="76"/>
      <c r="AU520" s="76"/>
      <c r="AV520" s="76">
        <v>1.6973242929821199E+18</v>
      </c>
      <c r="AW520" s="83" t="str">
        <f>HYPERLINK("https://t.co/eoIJwz3H7Q")</f>
        <v>https://t.co/eoIJwz3H7Q</v>
      </c>
      <c r="AX520" s="76" t="b">
        <v>0</v>
      </c>
      <c r="AY520" s="76"/>
      <c r="AZ520" s="76"/>
      <c r="BA520" s="76" t="b">
        <v>0</v>
      </c>
      <c r="BB520" s="76" t="b">
        <v>0</v>
      </c>
      <c r="BC520" s="76" t="b">
        <v>1</v>
      </c>
      <c r="BD520" s="76" t="b">
        <v>0</v>
      </c>
      <c r="BE520" s="76" t="b">
        <v>0</v>
      </c>
      <c r="BF520" s="76" t="b">
        <v>0</v>
      </c>
      <c r="BG520" s="76" t="b">
        <v>0</v>
      </c>
      <c r="BH520" s="83" t="str">
        <f>HYPERLINK("https://pbs.twimg.com/profile_banners/1492263111050637317/1680102642")</f>
        <v>https://pbs.twimg.com/profile_banners/1492263111050637317/1680102642</v>
      </c>
      <c r="BI520" s="76"/>
      <c r="BJ520" s="76" t="s">
        <v>18704</v>
      </c>
      <c r="BK520" s="76" t="b">
        <v>0</v>
      </c>
      <c r="BL520" s="76"/>
      <c r="BM520" s="76" t="s">
        <v>65</v>
      </c>
      <c r="BN520" s="76" t="s">
        <v>18706</v>
      </c>
      <c r="BO520" s="83" t="str">
        <f>HYPERLINK("https://twitter.com/carfcolombia")</f>
        <v>https://twitter.com/carfcolombia</v>
      </c>
      <c r="BP520" s="2"/>
    </row>
    <row r="521" spans="1:68" x14ac:dyDescent="0.25">
      <c r="A521" s="62" t="s">
        <v>860</v>
      </c>
      <c r="B521" s="63"/>
      <c r="C521" s="63"/>
      <c r="D521" s="64"/>
      <c r="E521" s="66"/>
      <c r="F521" s="102" t="str">
        <f>HYPERLINK("https://pbs.twimg.com/profile_images/776466325547909121/pKToXpxd_normal.jpg")</f>
        <v>https://pbs.twimg.com/profile_images/776466325547909121/pKToXpxd_normal.jpg</v>
      </c>
      <c r="G521" s="63"/>
      <c r="H521" s="67"/>
      <c r="I521" s="68"/>
      <c r="J521" s="68"/>
      <c r="K521" s="67" t="s">
        <v>19224</v>
      </c>
      <c r="L521" s="71"/>
      <c r="M521" s="72"/>
      <c r="N521" s="72"/>
      <c r="O521" s="73"/>
      <c r="P521" s="74"/>
      <c r="Q521" s="74"/>
      <c r="R521" s="86"/>
      <c r="S521" s="86"/>
      <c r="T521" s="86"/>
      <c r="U521" s="86"/>
      <c r="V521" s="48"/>
      <c r="W521" s="48"/>
      <c r="X521" s="48"/>
      <c r="Y521" s="48"/>
      <c r="Z521" s="47"/>
      <c r="AA521" s="69">
        <v>521</v>
      </c>
      <c r="AB521" s="69"/>
      <c r="AC521" s="70"/>
      <c r="AD521" s="76" t="s">
        <v>16947</v>
      </c>
      <c r="AE521" s="81" t="s">
        <v>17335</v>
      </c>
      <c r="AF521" s="76">
        <v>6815</v>
      </c>
      <c r="AG521" s="76">
        <v>616</v>
      </c>
      <c r="AH521" s="76">
        <v>3445</v>
      </c>
      <c r="AI521" s="76">
        <v>42</v>
      </c>
      <c r="AJ521" s="76">
        <v>1072</v>
      </c>
      <c r="AK521" s="76">
        <v>1045</v>
      </c>
      <c r="AL521" s="76" t="b">
        <v>0</v>
      </c>
      <c r="AM521" s="78">
        <v>41537.698645833334</v>
      </c>
      <c r="AN521" s="76" t="s">
        <v>17402</v>
      </c>
      <c r="AO521" s="76" t="s">
        <v>18109</v>
      </c>
      <c r="AP521" s="76"/>
      <c r="AQ521" s="76"/>
      <c r="AR521" s="76"/>
      <c r="AS521" s="76"/>
      <c r="AT521" s="76"/>
      <c r="AU521" s="76"/>
      <c r="AV521" s="76"/>
      <c r="AW521" s="76"/>
      <c r="AX521" s="76" t="b">
        <v>0</v>
      </c>
      <c r="AY521" s="76"/>
      <c r="AZ521" s="76"/>
      <c r="BA521" s="76" t="b">
        <v>0</v>
      </c>
      <c r="BB521" s="76" t="b">
        <v>1</v>
      </c>
      <c r="BC521" s="76" t="b">
        <v>1</v>
      </c>
      <c r="BD521" s="76" t="b">
        <v>0</v>
      </c>
      <c r="BE521" s="76" t="b">
        <v>1</v>
      </c>
      <c r="BF521" s="76" t="b">
        <v>0</v>
      </c>
      <c r="BG521" s="76" t="b">
        <v>0</v>
      </c>
      <c r="BH521" s="83" t="str">
        <f>HYPERLINK("https://pbs.twimg.com/profile_banners/1887079782/1685397287")</f>
        <v>https://pbs.twimg.com/profile_banners/1887079782/1685397287</v>
      </c>
      <c r="BI521" s="76"/>
      <c r="BJ521" s="76" t="s">
        <v>18704</v>
      </c>
      <c r="BK521" s="76" t="b">
        <v>0</v>
      </c>
      <c r="BL521" s="76"/>
      <c r="BM521" s="76" t="s">
        <v>65</v>
      </c>
      <c r="BN521" s="76" t="s">
        <v>18706</v>
      </c>
      <c r="BO521" s="83" t="str">
        <f>HYPERLINK("https://twitter.com/consejogremial")</f>
        <v>https://twitter.com/consejogremial</v>
      </c>
      <c r="BP521" s="2"/>
    </row>
    <row r="522" spans="1:68" x14ac:dyDescent="0.25">
      <c r="A522" s="62" t="s">
        <v>861</v>
      </c>
      <c r="B522" s="63"/>
      <c r="C522" s="63"/>
      <c r="D522" s="64"/>
      <c r="E522" s="66"/>
      <c r="F522" s="102" t="str">
        <f>HYPERLINK("https://pbs.twimg.com/profile_images/1364579930806304771/FsSNbl40_normal.jpg")</f>
        <v>https://pbs.twimg.com/profile_images/1364579930806304771/FsSNbl40_normal.jpg</v>
      </c>
      <c r="G522" s="63"/>
      <c r="H522" s="67"/>
      <c r="I522" s="68"/>
      <c r="J522" s="68"/>
      <c r="K522" s="67" t="s">
        <v>19225</v>
      </c>
      <c r="L522" s="71"/>
      <c r="M522" s="72"/>
      <c r="N522" s="72"/>
      <c r="O522" s="73"/>
      <c r="P522" s="74"/>
      <c r="Q522" s="74"/>
      <c r="R522" s="86"/>
      <c r="S522" s="86"/>
      <c r="T522" s="86"/>
      <c r="U522" s="86"/>
      <c r="V522" s="48"/>
      <c r="W522" s="48"/>
      <c r="X522" s="48"/>
      <c r="Y522" s="48"/>
      <c r="Z522" s="47"/>
      <c r="AA522" s="69">
        <v>522</v>
      </c>
      <c r="AB522" s="69"/>
      <c r="AC522" s="70"/>
      <c r="AD522" s="76" t="s">
        <v>16948</v>
      </c>
      <c r="AE522" s="81" t="s">
        <v>17336</v>
      </c>
      <c r="AF522" s="76">
        <v>5963</v>
      </c>
      <c r="AG522" s="76">
        <v>1483</v>
      </c>
      <c r="AH522" s="76">
        <v>10607</v>
      </c>
      <c r="AI522" s="76">
        <v>45</v>
      </c>
      <c r="AJ522" s="76">
        <v>2895</v>
      </c>
      <c r="AK522" s="76">
        <v>1992</v>
      </c>
      <c r="AL522" s="76" t="b">
        <v>0</v>
      </c>
      <c r="AM522" s="78">
        <v>40926.790289351855</v>
      </c>
      <c r="AN522" s="76" t="s">
        <v>17601</v>
      </c>
      <c r="AO522" s="76" t="s">
        <v>18110</v>
      </c>
      <c r="AP522" s="83" t="str">
        <f>HYPERLINK("https://t.co/xjkceF13Lt")</f>
        <v>https://t.co/xjkceF13Lt</v>
      </c>
      <c r="AQ522" s="83" t="str">
        <f>HYPERLINK("http://www.zonafrancabogota.com")</f>
        <v>http://www.zonafrancabogota.com</v>
      </c>
      <c r="AR522" s="76" t="s">
        <v>18547</v>
      </c>
      <c r="AS522" s="76"/>
      <c r="AT522" s="76"/>
      <c r="AU522" s="76"/>
      <c r="AV522" s="76"/>
      <c r="AW522" s="83" t="str">
        <f>HYPERLINK("https://t.co/xjkceF13Lt")</f>
        <v>https://t.co/xjkceF13Lt</v>
      </c>
      <c r="AX522" s="76" t="b">
        <v>0</v>
      </c>
      <c r="AY522" s="76"/>
      <c r="AZ522" s="76"/>
      <c r="BA522" s="76" t="b">
        <v>0</v>
      </c>
      <c r="BB522" s="76" t="b">
        <v>1</v>
      </c>
      <c r="BC522" s="76" t="b">
        <v>0</v>
      </c>
      <c r="BD522" s="76" t="b">
        <v>0</v>
      </c>
      <c r="BE522" s="76" t="b">
        <v>0</v>
      </c>
      <c r="BF522" s="76" t="b">
        <v>0</v>
      </c>
      <c r="BG522" s="76" t="b">
        <v>0</v>
      </c>
      <c r="BH522" s="83" t="str">
        <f>HYPERLINK("https://pbs.twimg.com/profile_banners/467690623/1695743835")</f>
        <v>https://pbs.twimg.com/profile_banners/467690623/1695743835</v>
      </c>
      <c r="BI522" s="76"/>
      <c r="BJ522" s="76" t="s">
        <v>18704</v>
      </c>
      <c r="BK522" s="76" t="b">
        <v>0</v>
      </c>
      <c r="BL522" s="76"/>
      <c r="BM522" s="76" t="s">
        <v>65</v>
      </c>
      <c r="BN522" s="76" t="s">
        <v>18706</v>
      </c>
      <c r="BO522" s="83" t="str">
        <f>HYPERLINK("https://twitter.com/zfbta")</f>
        <v>https://twitter.com/zfbta</v>
      </c>
      <c r="BP522" s="2"/>
    </row>
    <row r="523" spans="1:68" x14ac:dyDescent="0.25">
      <c r="A523" s="62" t="s">
        <v>862</v>
      </c>
      <c r="B523" s="63"/>
      <c r="C523" s="63"/>
      <c r="D523" s="64"/>
      <c r="E523" s="66"/>
      <c r="F523" s="102" t="str">
        <f>HYPERLINK("https://pbs.twimg.com/profile_images/1702718436151828482/Lr4UJE0l_normal.jpg")</f>
        <v>https://pbs.twimg.com/profile_images/1702718436151828482/Lr4UJE0l_normal.jpg</v>
      </c>
      <c r="G523" s="63"/>
      <c r="H523" s="67"/>
      <c r="I523" s="68"/>
      <c r="J523" s="68"/>
      <c r="K523" s="67" t="s">
        <v>19226</v>
      </c>
      <c r="L523" s="71"/>
      <c r="M523" s="72"/>
      <c r="N523" s="72"/>
      <c r="O523" s="73"/>
      <c r="P523" s="74"/>
      <c r="Q523" s="74"/>
      <c r="R523" s="86"/>
      <c r="S523" s="86"/>
      <c r="T523" s="86"/>
      <c r="U523" s="86"/>
      <c r="V523" s="48"/>
      <c r="W523" s="48"/>
      <c r="X523" s="48"/>
      <c r="Y523" s="48"/>
      <c r="Z523" s="47"/>
      <c r="AA523" s="69">
        <v>523</v>
      </c>
      <c r="AB523" s="69"/>
      <c r="AC523" s="70"/>
      <c r="AD523" s="76" t="s">
        <v>16949</v>
      </c>
      <c r="AE523" s="81" t="s">
        <v>17337</v>
      </c>
      <c r="AF523" s="76">
        <v>479115</v>
      </c>
      <c r="AG523" s="76">
        <v>269</v>
      </c>
      <c r="AH523" s="76">
        <v>53149</v>
      </c>
      <c r="AI523" s="76">
        <v>521</v>
      </c>
      <c r="AJ523" s="76">
        <v>13368</v>
      </c>
      <c r="AK523" s="76">
        <v>25061</v>
      </c>
      <c r="AL523" s="76" t="b">
        <v>0</v>
      </c>
      <c r="AM523" s="78">
        <v>42220.578541666669</v>
      </c>
      <c r="AN523" s="76" t="s">
        <v>17587</v>
      </c>
      <c r="AO523" s="76" t="s">
        <v>18111</v>
      </c>
      <c r="AP523" s="83" t="str">
        <f>HYPERLINK("https://t.co/KXM77exmql")</f>
        <v>https://t.co/KXM77exmql</v>
      </c>
      <c r="AQ523" s="83" t="str">
        <f>HYPERLINK("http://linktr.ee/chelseafc")</f>
        <v>http://linktr.ee/chelseafc</v>
      </c>
      <c r="AR523" s="76" t="s">
        <v>18548</v>
      </c>
      <c r="AS523" s="76"/>
      <c r="AT523" s="76"/>
      <c r="AU523" s="76"/>
      <c r="AV523" s="76"/>
      <c r="AW523" s="83" t="str">
        <f>HYPERLINK("https://t.co/KXM77exmql")</f>
        <v>https://t.co/KXM77exmql</v>
      </c>
      <c r="AX523" s="76" t="b">
        <v>1</v>
      </c>
      <c r="AY523" s="76"/>
      <c r="AZ523" s="76"/>
      <c r="BA523" s="76" t="b">
        <v>0</v>
      </c>
      <c r="BB523" s="76" t="b">
        <v>1</v>
      </c>
      <c r="BC523" s="76" t="b">
        <v>1</v>
      </c>
      <c r="BD523" s="76" t="b">
        <v>0</v>
      </c>
      <c r="BE523" s="76" t="b">
        <v>0</v>
      </c>
      <c r="BF523" s="76" t="b">
        <v>0</v>
      </c>
      <c r="BG523" s="76" t="b">
        <v>0</v>
      </c>
      <c r="BH523" s="83" t="str">
        <f>HYPERLINK("https://pbs.twimg.com/profile_banners/3402722069/1694020842")</f>
        <v>https://pbs.twimg.com/profile_banners/3402722069/1694020842</v>
      </c>
      <c r="BI523" s="76"/>
      <c r="BJ523" s="76" t="s">
        <v>18704</v>
      </c>
      <c r="BK523" s="76" t="b">
        <v>0</v>
      </c>
      <c r="BL523" s="76"/>
      <c r="BM523" s="76" t="s">
        <v>65</v>
      </c>
      <c r="BN523" s="76" t="s">
        <v>18706</v>
      </c>
      <c r="BO523" s="83" t="str">
        <f>HYPERLINK("https://twitter.com/chelseafc_sp")</f>
        <v>https://twitter.com/chelseafc_sp</v>
      </c>
      <c r="BP523" s="2"/>
    </row>
    <row r="524" spans="1:68" x14ac:dyDescent="0.25">
      <c r="A524" s="62" t="s">
        <v>863</v>
      </c>
      <c r="B524" s="63"/>
      <c r="C524" s="63"/>
      <c r="D524" s="64"/>
      <c r="E524" s="66"/>
      <c r="F524" s="102" t="str">
        <f>HYPERLINK("https://pbs.twimg.com/profile_images/1649061438844026880/JUG5qg1y_normal.jpg")</f>
        <v>https://pbs.twimg.com/profile_images/1649061438844026880/JUG5qg1y_normal.jpg</v>
      </c>
      <c r="G524" s="63"/>
      <c r="H524" s="67"/>
      <c r="I524" s="68"/>
      <c r="J524" s="68"/>
      <c r="K524" s="67" t="s">
        <v>19227</v>
      </c>
      <c r="L524" s="71"/>
      <c r="M524" s="72"/>
      <c r="N524" s="72"/>
      <c r="O524" s="73"/>
      <c r="P524" s="74"/>
      <c r="Q524" s="74"/>
      <c r="R524" s="86"/>
      <c r="S524" s="86"/>
      <c r="T524" s="86"/>
      <c r="U524" s="86"/>
      <c r="V524" s="48"/>
      <c r="W524" s="48"/>
      <c r="X524" s="48"/>
      <c r="Y524" s="48"/>
      <c r="Z524" s="47"/>
      <c r="AA524" s="69">
        <v>524</v>
      </c>
      <c r="AB524" s="69"/>
      <c r="AC524" s="70"/>
      <c r="AD524" s="76" t="s">
        <v>16950</v>
      </c>
      <c r="AE524" s="81" t="s">
        <v>17338</v>
      </c>
      <c r="AF524" s="76">
        <v>260</v>
      </c>
      <c r="AG524" s="76">
        <v>66</v>
      </c>
      <c r="AH524" s="76">
        <v>120</v>
      </c>
      <c r="AI524" s="76">
        <v>0</v>
      </c>
      <c r="AJ524" s="76">
        <v>123</v>
      </c>
      <c r="AK524" s="76">
        <v>42</v>
      </c>
      <c r="AL524" s="76" t="b">
        <v>0</v>
      </c>
      <c r="AM524" s="78">
        <v>45030.961736111109</v>
      </c>
      <c r="AN524" s="76"/>
      <c r="AO524" s="76" t="s">
        <v>18112</v>
      </c>
      <c r="AP524" s="76"/>
      <c r="AQ524" s="76"/>
      <c r="AR524" s="76"/>
      <c r="AS524" s="76"/>
      <c r="AT524" s="76"/>
      <c r="AU524" s="76"/>
      <c r="AV524" s="76">
        <v>1.6487783393210801E+18</v>
      </c>
      <c r="AW524" s="76"/>
      <c r="AX524" s="76" t="b">
        <v>0</v>
      </c>
      <c r="AY524" s="76"/>
      <c r="AZ524" s="76"/>
      <c r="BA524" s="76" t="b">
        <v>0</v>
      </c>
      <c r="BB524" s="76" t="b">
        <v>1</v>
      </c>
      <c r="BC524" s="76" t="b">
        <v>1</v>
      </c>
      <c r="BD524" s="76" t="b">
        <v>0</v>
      </c>
      <c r="BE524" s="76" t="b">
        <v>0</v>
      </c>
      <c r="BF524" s="76" t="b">
        <v>0</v>
      </c>
      <c r="BG524" s="76" t="b">
        <v>0</v>
      </c>
      <c r="BH524" s="83" t="str">
        <f>HYPERLINK("https://pbs.twimg.com/profile_banners/1647013029404344323/1682001442")</f>
        <v>https://pbs.twimg.com/profile_banners/1647013029404344323/1682001442</v>
      </c>
      <c r="BI524" s="76"/>
      <c r="BJ524" s="76" t="s">
        <v>18704</v>
      </c>
      <c r="BK524" s="76" t="b">
        <v>0</v>
      </c>
      <c r="BL524" s="76"/>
      <c r="BM524" s="76" t="s">
        <v>65</v>
      </c>
      <c r="BN524" s="76" t="s">
        <v>18706</v>
      </c>
      <c r="BO524" s="83" t="str">
        <f>HYPERLINK("https://twitter.com/unidos_camara")</f>
        <v>https://twitter.com/unidos_camara</v>
      </c>
      <c r="BP524" s="2"/>
    </row>
    <row r="525" spans="1:68" x14ac:dyDescent="0.25">
      <c r="A525" s="62" t="s">
        <v>864</v>
      </c>
      <c r="B525" s="63"/>
      <c r="C525" s="63"/>
      <c r="D525" s="64"/>
      <c r="E525" s="66"/>
      <c r="F525" s="102" t="str">
        <f>HYPERLINK("https://pbs.twimg.com/profile_images/1207387259437244416/elr60ePN_normal.jpg")</f>
        <v>https://pbs.twimg.com/profile_images/1207387259437244416/elr60ePN_normal.jpg</v>
      </c>
      <c r="G525" s="63"/>
      <c r="H525" s="67"/>
      <c r="I525" s="68"/>
      <c r="J525" s="68"/>
      <c r="K525" s="67" t="s">
        <v>19228</v>
      </c>
      <c r="L525" s="71"/>
      <c r="M525" s="72"/>
      <c r="N525" s="72"/>
      <c r="O525" s="73"/>
      <c r="P525" s="74"/>
      <c r="Q525" s="74"/>
      <c r="R525" s="86"/>
      <c r="S525" s="86"/>
      <c r="T525" s="86"/>
      <c r="U525" s="86"/>
      <c r="V525" s="48"/>
      <c r="W525" s="48"/>
      <c r="X525" s="48"/>
      <c r="Y525" s="48"/>
      <c r="Z525" s="47"/>
      <c r="AA525" s="69">
        <v>525</v>
      </c>
      <c r="AB525" s="69"/>
      <c r="AC525" s="70"/>
      <c r="AD525" s="76" t="s">
        <v>16951</v>
      </c>
      <c r="AE525" s="81" t="s">
        <v>17339</v>
      </c>
      <c r="AF525" s="76">
        <v>178854</v>
      </c>
      <c r="AG525" s="76">
        <v>176</v>
      </c>
      <c r="AH525" s="76">
        <v>802</v>
      </c>
      <c r="AI525" s="76">
        <v>364</v>
      </c>
      <c r="AJ525" s="76">
        <v>126</v>
      </c>
      <c r="AK525" s="76">
        <v>12</v>
      </c>
      <c r="AL525" s="76" t="b">
        <v>0</v>
      </c>
      <c r="AM525" s="78">
        <v>42902.086863425924</v>
      </c>
      <c r="AN525" s="76" t="s">
        <v>17602</v>
      </c>
      <c r="AO525" s="76" t="s">
        <v>18113</v>
      </c>
      <c r="AP525" s="83" t="str">
        <f>HYPERLINK("https://t.co/LxXLDXR67o")</f>
        <v>https://t.co/LxXLDXR67o</v>
      </c>
      <c r="AQ525" s="83" t="str">
        <f>HYPERLINK("http://ocampojoseantonio.com")</f>
        <v>http://ocampojoseantonio.com</v>
      </c>
      <c r="AR525" s="76" t="s">
        <v>18549</v>
      </c>
      <c r="AS525" s="76"/>
      <c r="AT525" s="76"/>
      <c r="AU525" s="76"/>
      <c r="AV525" s="76">
        <v>1.24168240452114E+18</v>
      </c>
      <c r="AW525" s="83" t="str">
        <f>HYPERLINK("https://t.co/LxXLDXR67o")</f>
        <v>https://t.co/LxXLDXR67o</v>
      </c>
      <c r="AX525" s="76" t="b">
        <v>1</v>
      </c>
      <c r="AY525" s="76"/>
      <c r="AZ525" s="76"/>
      <c r="BA525" s="76" t="b">
        <v>0</v>
      </c>
      <c r="BB525" s="76" t="b">
        <v>0</v>
      </c>
      <c r="BC525" s="76" t="b">
        <v>1</v>
      </c>
      <c r="BD525" s="76" t="b">
        <v>0</v>
      </c>
      <c r="BE525" s="76" t="b">
        <v>1</v>
      </c>
      <c r="BF525" s="76" t="b">
        <v>0</v>
      </c>
      <c r="BG525" s="76" t="b">
        <v>0</v>
      </c>
      <c r="BH525" s="83" t="str">
        <f>HYPERLINK("https://pbs.twimg.com/profile_banners/875534663967703040/1576698746")</f>
        <v>https://pbs.twimg.com/profile_banners/875534663967703040/1576698746</v>
      </c>
      <c r="BI525" s="76"/>
      <c r="BJ525" s="76" t="s">
        <v>18704</v>
      </c>
      <c r="BK525" s="76" t="b">
        <v>0</v>
      </c>
      <c r="BL525" s="76"/>
      <c r="BM525" s="76" t="s">
        <v>65</v>
      </c>
      <c r="BN525" s="76" t="s">
        <v>18706</v>
      </c>
      <c r="BO525" s="83" t="str">
        <f>HYPERLINK("https://twitter.com/josea_ocampo")</f>
        <v>https://twitter.com/josea_ocampo</v>
      </c>
      <c r="BP525" s="2"/>
    </row>
    <row r="526" spans="1:68" x14ac:dyDescent="0.25">
      <c r="A526" s="62" t="s">
        <v>865</v>
      </c>
      <c r="B526" s="63"/>
      <c r="C526" s="63"/>
      <c r="D526" s="64"/>
      <c r="E526" s="66"/>
      <c r="F526" s="102" t="str">
        <f>HYPERLINK("https://pbs.twimg.com/profile_images/1690894840773455872/w4pZJb8Y_normal.jpg")</f>
        <v>https://pbs.twimg.com/profile_images/1690894840773455872/w4pZJb8Y_normal.jpg</v>
      </c>
      <c r="G526" s="63"/>
      <c r="H526" s="67"/>
      <c r="I526" s="68"/>
      <c r="J526" s="68"/>
      <c r="K526" s="67" t="s">
        <v>19229</v>
      </c>
      <c r="L526" s="71"/>
      <c r="M526" s="72"/>
      <c r="N526" s="72"/>
      <c r="O526" s="73"/>
      <c r="P526" s="74"/>
      <c r="Q526" s="74"/>
      <c r="R526" s="86"/>
      <c r="S526" s="86"/>
      <c r="T526" s="86"/>
      <c r="U526" s="86"/>
      <c r="V526" s="48"/>
      <c r="W526" s="48"/>
      <c r="X526" s="48"/>
      <c r="Y526" s="48"/>
      <c r="Z526" s="47"/>
      <c r="AA526" s="69">
        <v>526</v>
      </c>
      <c r="AB526" s="69"/>
      <c r="AC526" s="70"/>
      <c r="AD526" s="76" t="s">
        <v>16952</v>
      </c>
      <c r="AE526" s="81" t="s">
        <v>17340</v>
      </c>
      <c r="AF526" s="76">
        <v>440961</v>
      </c>
      <c r="AG526" s="76">
        <v>1504</v>
      </c>
      <c r="AH526" s="76">
        <v>87423</v>
      </c>
      <c r="AI526" s="76">
        <v>706</v>
      </c>
      <c r="AJ526" s="76">
        <v>11946</v>
      </c>
      <c r="AK526" s="76">
        <v>25965</v>
      </c>
      <c r="AL526" s="76" t="b">
        <v>0</v>
      </c>
      <c r="AM526" s="78">
        <v>40298.732997685183</v>
      </c>
      <c r="AN526" s="76" t="s">
        <v>17402</v>
      </c>
      <c r="AO526" s="76" t="s">
        <v>18114</v>
      </c>
      <c r="AP526" s="83" t="str">
        <f>HYPERLINK("https://t.co/3wguJ4ID2w")</f>
        <v>https://t.co/3wguJ4ID2w</v>
      </c>
      <c r="AQ526" s="83" t="str">
        <f>HYPERLINK("http://www.prosperidadsocial.gov.co")</f>
        <v>http://www.prosperidadsocial.gov.co</v>
      </c>
      <c r="AR526" s="76" t="s">
        <v>18550</v>
      </c>
      <c r="AS526" s="76"/>
      <c r="AT526" s="76"/>
      <c r="AU526" s="76"/>
      <c r="AV526" s="76">
        <v>1.7066561066118999E+18</v>
      </c>
      <c r="AW526" s="83" t="str">
        <f>HYPERLINK("https://t.co/3wguJ4ID2w")</f>
        <v>https://t.co/3wguJ4ID2w</v>
      </c>
      <c r="AX526" s="76" t="b">
        <v>0</v>
      </c>
      <c r="AY526" s="76"/>
      <c r="AZ526" s="76"/>
      <c r="BA526" s="76" t="b">
        <v>0</v>
      </c>
      <c r="BB526" s="76" t="b">
        <v>1</v>
      </c>
      <c r="BC526" s="76" t="b">
        <v>0</v>
      </c>
      <c r="BD526" s="76" t="b">
        <v>0</v>
      </c>
      <c r="BE526" s="76" t="b">
        <v>1</v>
      </c>
      <c r="BF526" s="76" t="b">
        <v>0</v>
      </c>
      <c r="BG526" s="76" t="b">
        <v>0</v>
      </c>
      <c r="BH526" s="83" t="str">
        <f>HYPERLINK("https://pbs.twimg.com/profile_banners/138813733/1695817202")</f>
        <v>https://pbs.twimg.com/profile_banners/138813733/1695817202</v>
      </c>
      <c r="BI526" s="76"/>
      <c r="BJ526" s="76" t="s">
        <v>18704</v>
      </c>
      <c r="BK526" s="76" t="b">
        <v>0</v>
      </c>
      <c r="BL526" s="76"/>
      <c r="BM526" s="76" t="s">
        <v>65</v>
      </c>
      <c r="BN526" s="76" t="s">
        <v>18706</v>
      </c>
      <c r="BO526" s="83" t="str">
        <f>HYPERLINK("https://twitter.com/prosperidadcol")</f>
        <v>https://twitter.com/prosperidadcol</v>
      </c>
      <c r="BP526" s="2"/>
    </row>
    <row r="527" spans="1:68" x14ac:dyDescent="0.25">
      <c r="A527" s="62" t="s">
        <v>866</v>
      </c>
      <c r="B527" s="63"/>
      <c r="C527" s="63"/>
      <c r="D527" s="64"/>
      <c r="E527" s="66"/>
      <c r="F527" s="102" t="str">
        <f>HYPERLINK("https://pbs.twimg.com/profile_images/1557785474374197249/FISBxFAa_normal.jpg")</f>
        <v>https://pbs.twimg.com/profile_images/1557785474374197249/FISBxFAa_normal.jpg</v>
      </c>
      <c r="G527" s="63"/>
      <c r="H527" s="67"/>
      <c r="I527" s="68"/>
      <c r="J527" s="68"/>
      <c r="K527" s="67" t="s">
        <v>19230</v>
      </c>
      <c r="L527" s="71"/>
      <c r="M527" s="72"/>
      <c r="N527" s="72"/>
      <c r="O527" s="73"/>
      <c r="P527" s="74"/>
      <c r="Q527" s="74"/>
      <c r="R527" s="86"/>
      <c r="S527" s="86"/>
      <c r="T527" s="86"/>
      <c r="U527" s="86"/>
      <c r="V527" s="48"/>
      <c r="W527" s="48"/>
      <c r="X527" s="48"/>
      <c r="Y527" s="48"/>
      <c r="Z527" s="47"/>
      <c r="AA527" s="69">
        <v>527</v>
      </c>
      <c r="AB527" s="69"/>
      <c r="AC527" s="70"/>
      <c r="AD527" s="76" t="s">
        <v>16953</v>
      </c>
      <c r="AE527" s="81" t="s">
        <v>17341</v>
      </c>
      <c r="AF527" s="76">
        <v>22207</v>
      </c>
      <c r="AG527" s="76">
        <v>348</v>
      </c>
      <c r="AH527" s="76">
        <v>1615</v>
      </c>
      <c r="AI527" s="76">
        <v>119</v>
      </c>
      <c r="AJ527" s="76">
        <v>595</v>
      </c>
      <c r="AK527" s="76">
        <v>285</v>
      </c>
      <c r="AL527" s="76" t="b">
        <v>0</v>
      </c>
      <c r="AM527" s="78">
        <v>40794.417766203704</v>
      </c>
      <c r="AN527" s="76" t="s">
        <v>17401</v>
      </c>
      <c r="AO527" s="76" t="s">
        <v>18115</v>
      </c>
      <c r="AP527" s="83" t="str">
        <f>HYPERLINK("https://t.co/DSPaSCOPzb")</f>
        <v>https://t.co/DSPaSCOPzb</v>
      </c>
      <c r="AQ527" s="83" t="str">
        <f>HYPERLINK("http://www.portafolio.co/opinion/german-umana-mendoza/")</f>
        <v>http://www.portafolio.co/opinion/german-umana-mendoza/</v>
      </c>
      <c r="AR527" s="76" t="s">
        <v>18551</v>
      </c>
      <c r="AS527" s="76"/>
      <c r="AT527" s="76"/>
      <c r="AU527" s="76"/>
      <c r="AV527" s="76">
        <v>1.70596875183999E+18</v>
      </c>
      <c r="AW527" s="83" t="str">
        <f>HYPERLINK("https://t.co/DSPaSCOPzb")</f>
        <v>https://t.co/DSPaSCOPzb</v>
      </c>
      <c r="AX527" s="76" t="b">
        <v>0</v>
      </c>
      <c r="AY527" s="76"/>
      <c r="AZ527" s="76"/>
      <c r="BA527" s="76" t="b">
        <v>0</v>
      </c>
      <c r="BB527" s="76" t="b">
        <v>1</v>
      </c>
      <c r="BC527" s="76" t="b">
        <v>0</v>
      </c>
      <c r="BD527" s="76" t="b">
        <v>0</v>
      </c>
      <c r="BE527" s="76" t="b">
        <v>0</v>
      </c>
      <c r="BF527" s="76" t="b">
        <v>0</v>
      </c>
      <c r="BG527" s="76" t="b">
        <v>0</v>
      </c>
      <c r="BH527" s="83" t="str">
        <f>HYPERLINK("https://pbs.twimg.com/profile_banners/370017987/1660242064")</f>
        <v>https://pbs.twimg.com/profile_banners/370017987/1660242064</v>
      </c>
      <c r="BI527" s="76"/>
      <c r="BJ527" s="76" t="s">
        <v>18704</v>
      </c>
      <c r="BK527" s="76" t="b">
        <v>0</v>
      </c>
      <c r="BL527" s="76"/>
      <c r="BM527" s="76" t="s">
        <v>65</v>
      </c>
      <c r="BN527" s="76" t="s">
        <v>18706</v>
      </c>
      <c r="BO527" s="83" t="str">
        <f>HYPERLINK("https://twitter.com/germanumanam")</f>
        <v>https://twitter.com/germanumanam</v>
      </c>
      <c r="BP527" s="2"/>
    </row>
    <row r="528" spans="1:68" x14ac:dyDescent="0.25">
      <c r="A528" s="62" t="s">
        <v>867</v>
      </c>
      <c r="B528" s="63"/>
      <c r="C528" s="63"/>
      <c r="D528" s="64"/>
      <c r="E528" s="66"/>
      <c r="F528" s="102" t="str">
        <f>HYPERLINK("https://pbs.twimg.com/profile_images/1260217628712472576/0ZK3dw3W_normal.jpg")</f>
        <v>https://pbs.twimg.com/profile_images/1260217628712472576/0ZK3dw3W_normal.jpg</v>
      </c>
      <c r="G528" s="63"/>
      <c r="H528" s="67"/>
      <c r="I528" s="68"/>
      <c r="J528" s="68"/>
      <c r="K528" s="67" t="s">
        <v>19231</v>
      </c>
      <c r="L528" s="71"/>
      <c r="M528" s="72"/>
      <c r="N528" s="72"/>
      <c r="O528" s="73"/>
      <c r="P528" s="74"/>
      <c r="Q528" s="74"/>
      <c r="R528" s="86"/>
      <c r="S528" s="86"/>
      <c r="T528" s="86"/>
      <c r="U528" s="86"/>
      <c r="V528" s="48"/>
      <c r="W528" s="48"/>
      <c r="X528" s="48"/>
      <c r="Y528" s="48"/>
      <c r="Z528" s="47"/>
      <c r="AA528" s="69">
        <v>528</v>
      </c>
      <c r="AB528" s="69"/>
      <c r="AC528" s="70"/>
      <c r="AD528" s="76" t="s">
        <v>16954</v>
      </c>
      <c r="AE528" s="81" t="s">
        <v>17342</v>
      </c>
      <c r="AF528" s="76">
        <v>16890</v>
      </c>
      <c r="AG528" s="76">
        <v>934</v>
      </c>
      <c r="AH528" s="76">
        <v>10407</v>
      </c>
      <c r="AI528" s="76">
        <v>148</v>
      </c>
      <c r="AJ528" s="76">
        <v>1961</v>
      </c>
      <c r="AK528" s="76">
        <v>5310</v>
      </c>
      <c r="AL528" s="76" t="b">
        <v>0</v>
      </c>
      <c r="AM528" s="78">
        <v>40344.783599537041</v>
      </c>
      <c r="AN528" s="76" t="s">
        <v>17603</v>
      </c>
      <c r="AO528" s="76" t="s">
        <v>18116</v>
      </c>
      <c r="AP528" s="83" t="str">
        <f>HYPERLINK("https://t.co/L0YIWXJ8XZ")</f>
        <v>https://t.co/L0YIWXJ8XZ</v>
      </c>
      <c r="AQ528" s="83" t="str">
        <f>HYPERLINK("http://www.anif.com.co")</f>
        <v>http://www.anif.com.co</v>
      </c>
      <c r="AR528" s="76" t="s">
        <v>18552</v>
      </c>
      <c r="AS528" s="76"/>
      <c r="AT528" s="76"/>
      <c r="AU528" s="76"/>
      <c r="AV528" s="76">
        <v>1.70487787622547E+18</v>
      </c>
      <c r="AW528" s="83" t="str">
        <f>HYPERLINK("https://t.co/L0YIWXJ8XZ")</f>
        <v>https://t.co/L0YIWXJ8XZ</v>
      </c>
      <c r="AX528" s="76" t="b">
        <v>1</v>
      </c>
      <c r="AY528" s="76"/>
      <c r="AZ528" s="76"/>
      <c r="BA528" s="76" t="b">
        <v>0</v>
      </c>
      <c r="BB528" s="76" t="b">
        <v>1</v>
      </c>
      <c r="BC528" s="76" t="b">
        <v>0</v>
      </c>
      <c r="BD528" s="76" t="b">
        <v>0</v>
      </c>
      <c r="BE528" s="76" t="b">
        <v>1</v>
      </c>
      <c r="BF528" s="76" t="b">
        <v>0</v>
      </c>
      <c r="BG528" s="76" t="b">
        <v>0</v>
      </c>
      <c r="BH528" s="83" t="str">
        <f>HYPERLINK("https://pbs.twimg.com/profile_banners/155996033/1694450848")</f>
        <v>https://pbs.twimg.com/profile_banners/155996033/1694450848</v>
      </c>
      <c r="BI528" s="76"/>
      <c r="BJ528" s="76" t="s">
        <v>18704</v>
      </c>
      <c r="BK528" s="76" t="b">
        <v>0</v>
      </c>
      <c r="BL528" s="76"/>
      <c r="BM528" s="76" t="s">
        <v>65</v>
      </c>
      <c r="BN528" s="76" t="s">
        <v>18706</v>
      </c>
      <c r="BO528" s="83" t="str">
        <f>HYPERLINK("https://twitter.com/anifco")</f>
        <v>https://twitter.com/anifco</v>
      </c>
      <c r="BP528" s="2"/>
    </row>
    <row r="529" spans="1:68" x14ac:dyDescent="0.25">
      <c r="A529" s="62" t="s">
        <v>868</v>
      </c>
      <c r="B529" s="63"/>
      <c r="C529" s="63"/>
      <c r="D529" s="64"/>
      <c r="E529" s="66"/>
      <c r="F529" s="102" t="str">
        <f>HYPERLINK("https://pbs.twimg.com/profile_images/1520193672427548673/Gk5COrzW_normal.jpg")</f>
        <v>https://pbs.twimg.com/profile_images/1520193672427548673/Gk5COrzW_normal.jpg</v>
      </c>
      <c r="G529" s="63"/>
      <c r="H529" s="67"/>
      <c r="I529" s="68"/>
      <c r="J529" s="68"/>
      <c r="K529" s="67" t="s">
        <v>19232</v>
      </c>
      <c r="L529" s="71"/>
      <c r="M529" s="72"/>
      <c r="N529" s="72"/>
      <c r="O529" s="73"/>
      <c r="P529" s="74"/>
      <c r="Q529" s="74"/>
      <c r="R529" s="86"/>
      <c r="S529" s="86"/>
      <c r="T529" s="86"/>
      <c r="U529" s="86"/>
      <c r="V529" s="48"/>
      <c r="W529" s="48"/>
      <c r="X529" s="48"/>
      <c r="Y529" s="48"/>
      <c r="Z529" s="47"/>
      <c r="AA529" s="69">
        <v>529</v>
      </c>
      <c r="AB529" s="69"/>
      <c r="AC529" s="70"/>
      <c r="AD529" s="76" t="s">
        <v>16955</v>
      </c>
      <c r="AE529" s="81" t="s">
        <v>17343</v>
      </c>
      <c r="AF529" s="76">
        <v>45348</v>
      </c>
      <c r="AG529" s="76">
        <v>1319</v>
      </c>
      <c r="AH529" s="76">
        <v>35077</v>
      </c>
      <c r="AI529" s="76">
        <v>216</v>
      </c>
      <c r="AJ529" s="76">
        <v>21686</v>
      </c>
      <c r="AK529" s="76">
        <v>16941</v>
      </c>
      <c r="AL529" s="76" t="b">
        <v>0</v>
      </c>
      <c r="AM529" s="78">
        <v>41320.981990740744</v>
      </c>
      <c r="AN529" s="76" t="s">
        <v>17402</v>
      </c>
      <c r="AO529" s="76" t="s">
        <v>18117</v>
      </c>
      <c r="AP529" s="83" t="str">
        <f>HYPERLINK("https://t.co/ezRwpu5rdI")</f>
        <v>https://t.co/ezRwpu5rdI</v>
      </c>
      <c r="AQ529" s="83" t="str">
        <f>HYPERLINK("https://www.federaciondecafeteros.org")</f>
        <v>https://www.federaciondecafeteros.org</v>
      </c>
      <c r="AR529" s="76" t="s">
        <v>18553</v>
      </c>
      <c r="AS529" s="76"/>
      <c r="AT529" s="76"/>
      <c r="AU529" s="76"/>
      <c r="AV529" s="76">
        <v>1.70740287837613E+18</v>
      </c>
      <c r="AW529" s="83" t="str">
        <f>HYPERLINK("https://t.co/ezRwpu5rdI")</f>
        <v>https://t.co/ezRwpu5rdI</v>
      </c>
      <c r="AX529" s="76" t="b">
        <v>1</v>
      </c>
      <c r="AY529" s="76"/>
      <c r="AZ529" s="76"/>
      <c r="BA529" s="76" t="b">
        <v>0</v>
      </c>
      <c r="BB529" s="76" t="b">
        <v>1</v>
      </c>
      <c r="BC529" s="76" t="b">
        <v>0</v>
      </c>
      <c r="BD529" s="76" t="b">
        <v>0</v>
      </c>
      <c r="BE529" s="76" t="b">
        <v>1</v>
      </c>
      <c r="BF529" s="76" t="b">
        <v>0</v>
      </c>
      <c r="BG529" s="76" t="b">
        <v>0</v>
      </c>
      <c r="BH529" s="83" t="str">
        <f>HYPERLINK("https://pbs.twimg.com/profile_banners/1183874792/1687958139")</f>
        <v>https://pbs.twimg.com/profile_banners/1183874792/1687958139</v>
      </c>
      <c r="BI529" s="76"/>
      <c r="BJ529" s="76" t="s">
        <v>18704</v>
      </c>
      <c r="BK529" s="76" t="b">
        <v>0</v>
      </c>
      <c r="BL529" s="76"/>
      <c r="BM529" s="76" t="s">
        <v>65</v>
      </c>
      <c r="BN529" s="76" t="s">
        <v>18706</v>
      </c>
      <c r="BO529" s="83" t="str">
        <f>HYPERLINK("https://twitter.com/fedecafeteros")</f>
        <v>https://twitter.com/fedecafeteros</v>
      </c>
      <c r="BP529" s="2"/>
    </row>
    <row r="530" spans="1:68" x14ac:dyDescent="0.25">
      <c r="A530" s="62" t="s">
        <v>869</v>
      </c>
      <c r="B530" s="63"/>
      <c r="C530" s="63"/>
      <c r="D530" s="64"/>
      <c r="E530" s="66"/>
      <c r="F530" s="102" t="str">
        <f>HYPERLINK("https://pbs.twimg.com/profile_images/1693019132298514432/7AzmOGVZ_normal.jpg")</f>
        <v>https://pbs.twimg.com/profile_images/1693019132298514432/7AzmOGVZ_normal.jpg</v>
      </c>
      <c r="G530" s="63"/>
      <c r="H530" s="67"/>
      <c r="I530" s="68"/>
      <c r="J530" s="68"/>
      <c r="K530" s="67" t="s">
        <v>19233</v>
      </c>
      <c r="L530" s="71"/>
      <c r="M530" s="72"/>
      <c r="N530" s="72"/>
      <c r="O530" s="73"/>
      <c r="P530" s="74"/>
      <c r="Q530" s="74"/>
      <c r="R530" s="86"/>
      <c r="S530" s="86"/>
      <c r="T530" s="86"/>
      <c r="U530" s="86"/>
      <c r="V530" s="48"/>
      <c r="W530" s="48"/>
      <c r="X530" s="48"/>
      <c r="Y530" s="48"/>
      <c r="Z530" s="47"/>
      <c r="AA530" s="69">
        <v>530</v>
      </c>
      <c r="AB530" s="69"/>
      <c r="AC530" s="70"/>
      <c r="AD530" s="76" t="s">
        <v>16956</v>
      </c>
      <c r="AE530" s="81" t="s">
        <v>17344</v>
      </c>
      <c r="AF530" s="76">
        <v>24006</v>
      </c>
      <c r="AG530" s="76">
        <v>368</v>
      </c>
      <c r="AH530" s="76">
        <v>4475</v>
      </c>
      <c r="AI530" s="76">
        <v>57</v>
      </c>
      <c r="AJ530" s="76">
        <v>7003</v>
      </c>
      <c r="AK530" s="76">
        <v>550</v>
      </c>
      <c r="AL530" s="76" t="b">
        <v>0</v>
      </c>
      <c r="AM530" s="78">
        <v>41151.085509259261</v>
      </c>
      <c r="AN530" s="76"/>
      <c r="AO530" s="76" t="s">
        <v>18118</v>
      </c>
      <c r="AP530" s="76"/>
      <c r="AQ530" s="76"/>
      <c r="AR530" s="76"/>
      <c r="AS530" s="76"/>
      <c r="AT530" s="76"/>
      <c r="AU530" s="76"/>
      <c r="AV530" s="76">
        <v>1.6874515269758999E+18</v>
      </c>
      <c r="AW530" s="76"/>
      <c r="AX530" s="76" t="b">
        <v>0</v>
      </c>
      <c r="AY530" s="76"/>
      <c r="AZ530" s="76"/>
      <c r="BA530" s="76" t="b">
        <v>0</v>
      </c>
      <c r="BB530" s="76" t="b">
        <v>1</v>
      </c>
      <c r="BC530" s="76" t="b">
        <v>1</v>
      </c>
      <c r="BD530" s="76" t="b">
        <v>0</v>
      </c>
      <c r="BE530" s="76" t="b">
        <v>1</v>
      </c>
      <c r="BF530" s="76" t="b">
        <v>0</v>
      </c>
      <c r="BG530" s="76" t="b">
        <v>0</v>
      </c>
      <c r="BH530" s="83" t="str">
        <f>HYPERLINK("https://pbs.twimg.com/profile_banners/790594212/1694304451")</f>
        <v>https://pbs.twimg.com/profile_banners/790594212/1694304451</v>
      </c>
      <c r="BI530" s="76"/>
      <c r="BJ530" s="76" t="s">
        <v>18704</v>
      </c>
      <c r="BK530" s="76" t="b">
        <v>0</v>
      </c>
      <c r="BL530" s="76"/>
      <c r="BM530" s="76" t="s">
        <v>65</v>
      </c>
      <c r="BN530" s="76" t="s">
        <v>18706</v>
      </c>
      <c r="BO530" s="83" t="str">
        <f>HYPERLINK("https://twitter.com/jmojicaflorez")</f>
        <v>https://twitter.com/jmojicaflorez</v>
      </c>
      <c r="BP530" s="2"/>
    </row>
    <row r="531" spans="1:68" x14ac:dyDescent="0.25">
      <c r="A531" s="62" t="s">
        <v>870</v>
      </c>
      <c r="B531" s="63"/>
      <c r="C531" s="63"/>
      <c r="D531" s="64"/>
      <c r="E531" s="66"/>
      <c r="F531" s="102" t="str">
        <f>HYPERLINK("https://pbs.twimg.com/profile_images/1691040984212066306/AVtjJAhp_normal.jpg")</f>
        <v>https://pbs.twimg.com/profile_images/1691040984212066306/AVtjJAhp_normal.jpg</v>
      </c>
      <c r="G531" s="63"/>
      <c r="H531" s="67"/>
      <c r="I531" s="68"/>
      <c r="J531" s="68"/>
      <c r="K531" s="67" t="s">
        <v>19234</v>
      </c>
      <c r="L531" s="71"/>
      <c r="M531" s="72"/>
      <c r="N531" s="72"/>
      <c r="O531" s="73"/>
      <c r="P531" s="74"/>
      <c r="Q531" s="74"/>
      <c r="R531" s="86"/>
      <c r="S531" s="86"/>
      <c r="T531" s="86"/>
      <c r="U531" s="86"/>
      <c r="V531" s="48"/>
      <c r="W531" s="48"/>
      <c r="X531" s="48"/>
      <c r="Y531" s="48"/>
      <c r="Z531" s="47"/>
      <c r="AA531" s="69">
        <v>531</v>
      </c>
      <c r="AB531" s="69"/>
      <c r="AC531" s="70"/>
      <c r="AD531" s="76" t="s">
        <v>16957</v>
      </c>
      <c r="AE531" s="81" t="s">
        <v>17345</v>
      </c>
      <c r="AF531" s="76">
        <v>495003</v>
      </c>
      <c r="AG531" s="76">
        <v>1075</v>
      </c>
      <c r="AH531" s="76">
        <v>66190</v>
      </c>
      <c r="AI531" s="76">
        <v>1140</v>
      </c>
      <c r="AJ531" s="76">
        <v>8586</v>
      </c>
      <c r="AK531" s="76">
        <v>31414</v>
      </c>
      <c r="AL531" s="76" t="b">
        <v>0</v>
      </c>
      <c r="AM531" s="78">
        <v>40754.285428240742</v>
      </c>
      <c r="AN531" s="76" t="s">
        <v>17402</v>
      </c>
      <c r="AO531" s="76" t="s">
        <v>18119</v>
      </c>
      <c r="AP531" s="83" t="str">
        <f>HYPERLINK("https://t.co/lu6z9JDQvO")</f>
        <v>https://t.co/lu6z9JDQvO</v>
      </c>
      <c r="AQ531" s="83" t="str">
        <f>HYPERLINK("https://www.minagricultura.gov.co/")</f>
        <v>https://www.minagricultura.gov.co/</v>
      </c>
      <c r="AR531" s="76" t="s">
        <v>18554</v>
      </c>
      <c r="AS531" s="76"/>
      <c r="AT531" s="76"/>
      <c r="AU531" s="76"/>
      <c r="AV531" s="76">
        <v>1.69703390132189E+18</v>
      </c>
      <c r="AW531" s="83" t="str">
        <f>HYPERLINK("https://t.co/lu6z9JDQvO")</f>
        <v>https://t.co/lu6z9JDQvO</v>
      </c>
      <c r="AX531" s="76" t="b">
        <v>0</v>
      </c>
      <c r="AY531" s="76"/>
      <c r="AZ531" s="76"/>
      <c r="BA531" s="76" t="b">
        <v>0</v>
      </c>
      <c r="BB531" s="76" t="b">
        <v>1</v>
      </c>
      <c r="BC531" s="76" t="b">
        <v>0</v>
      </c>
      <c r="BD531" s="76" t="b">
        <v>0</v>
      </c>
      <c r="BE531" s="76" t="b">
        <v>1</v>
      </c>
      <c r="BF531" s="76" t="b">
        <v>0</v>
      </c>
      <c r="BG531" s="76" t="b">
        <v>0</v>
      </c>
      <c r="BH531" s="83" t="str">
        <f>HYPERLINK("https://pbs.twimg.com/profile_banners/345214995/1695817005")</f>
        <v>https://pbs.twimg.com/profile_banners/345214995/1695817005</v>
      </c>
      <c r="BI531" s="76"/>
      <c r="BJ531" s="76" t="s">
        <v>18704</v>
      </c>
      <c r="BK531" s="76" t="b">
        <v>0</v>
      </c>
      <c r="BL531" s="76"/>
      <c r="BM531" s="76" t="s">
        <v>65</v>
      </c>
      <c r="BN531" s="76" t="s">
        <v>18706</v>
      </c>
      <c r="BO531" s="83" t="str">
        <f>HYPERLINK("https://twitter.com/minagricultura")</f>
        <v>https://twitter.com/minagricultura</v>
      </c>
      <c r="BP531" s="2"/>
    </row>
    <row r="532" spans="1:68" x14ac:dyDescent="0.25">
      <c r="A532" s="62" t="s">
        <v>871</v>
      </c>
      <c r="B532" s="63"/>
      <c r="C532" s="63"/>
      <c r="D532" s="64"/>
      <c r="E532" s="66"/>
      <c r="F532" s="102" t="str">
        <f>HYPERLINK("https://pbs.twimg.com/profile_images/1562406561334558721/4vCCtdrR_normal.jpg")</f>
        <v>https://pbs.twimg.com/profile_images/1562406561334558721/4vCCtdrR_normal.jpg</v>
      </c>
      <c r="G532" s="63"/>
      <c r="H532" s="67"/>
      <c r="I532" s="68"/>
      <c r="J532" s="68"/>
      <c r="K532" s="67" t="s">
        <v>19235</v>
      </c>
      <c r="L532" s="71"/>
      <c r="M532" s="72"/>
      <c r="N532" s="72"/>
      <c r="O532" s="73"/>
      <c r="P532" s="74"/>
      <c r="Q532" s="74"/>
      <c r="R532" s="86"/>
      <c r="S532" s="86"/>
      <c r="T532" s="86"/>
      <c r="U532" s="86"/>
      <c r="V532" s="48"/>
      <c r="W532" s="48"/>
      <c r="X532" s="48"/>
      <c r="Y532" s="48"/>
      <c r="Z532" s="47"/>
      <c r="AA532" s="69">
        <v>532</v>
      </c>
      <c r="AB532" s="69"/>
      <c r="AC532" s="70"/>
      <c r="AD532" s="76" t="s">
        <v>16958</v>
      </c>
      <c r="AE532" s="81" t="s">
        <v>17346</v>
      </c>
      <c r="AF532" s="76">
        <v>94938</v>
      </c>
      <c r="AG532" s="76">
        <v>10922</v>
      </c>
      <c r="AH532" s="76">
        <v>24670</v>
      </c>
      <c r="AI532" s="76">
        <v>395</v>
      </c>
      <c r="AJ532" s="76">
        <v>4737</v>
      </c>
      <c r="AK532" s="76">
        <v>4170</v>
      </c>
      <c r="AL532" s="76" t="b">
        <v>0</v>
      </c>
      <c r="AM532" s="78">
        <v>39916.550995370373</v>
      </c>
      <c r="AN532" s="76" t="s">
        <v>17402</v>
      </c>
      <c r="AO532" s="76" t="s">
        <v>18120</v>
      </c>
      <c r="AP532" s="83" t="str">
        <f>HYPERLINK("https://t.co/vr6pP6A8Kj")</f>
        <v>https://t.co/vr6pP6A8Kj</v>
      </c>
      <c r="AQ532" s="83" t="str">
        <f>HYPERLINK("https://instagram.com/brucemacmaster?igshid=YmMyMTA2M2Y=")</f>
        <v>https://instagram.com/brucemacmaster?igshid=YmMyMTA2M2Y=</v>
      </c>
      <c r="AR532" s="76" t="s">
        <v>18555</v>
      </c>
      <c r="AS532" s="76"/>
      <c r="AT532" s="76"/>
      <c r="AU532" s="76"/>
      <c r="AV532" s="76">
        <v>1.7062692316778701E+18</v>
      </c>
      <c r="AW532" s="83" t="str">
        <f>HYPERLINK("https://t.co/vr6pP6A8Kj")</f>
        <v>https://t.co/vr6pP6A8Kj</v>
      </c>
      <c r="AX532" s="76" t="b">
        <v>1</v>
      </c>
      <c r="AY532" s="76"/>
      <c r="AZ532" s="76"/>
      <c r="BA532" s="76" t="b">
        <v>0</v>
      </c>
      <c r="BB532" s="76" t="b">
        <v>1</v>
      </c>
      <c r="BC532" s="76" t="b">
        <v>0</v>
      </c>
      <c r="BD532" s="76" t="b">
        <v>0</v>
      </c>
      <c r="BE532" s="76" t="b">
        <v>1</v>
      </c>
      <c r="BF532" s="76" t="b">
        <v>0</v>
      </c>
      <c r="BG532" s="76" t="b">
        <v>0</v>
      </c>
      <c r="BH532" s="83" t="str">
        <f>HYPERLINK("https://pbs.twimg.com/profile_banners/30861738/1661429619")</f>
        <v>https://pbs.twimg.com/profile_banners/30861738/1661429619</v>
      </c>
      <c r="BI532" s="76"/>
      <c r="BJ532" s="76" t="s">
        <v>18704</v>
      </c>
      <c r="BK532" s="76" t="b">
        <v>0</v>
      </c>
      <c r="BL532" s="76"/>
      <c r="BM532" s="76" t="s">
        <v>65</v>
      </c>
      <c r="BN532" s="76" t="s">
        <v>18706</v>
      </c>
      <c r="BO532" s="83" t="str">
        <f>HYPERLINK("https://twitter.com/brucemacmaster")</f>
        <v>https://twitter.com/brucemacmaster</v>
      </c>
      <c r="BP532" s="2"/>
    </row>
    <row r="533" spans="1:68" x14ac:dyDescent="0.25">
      <c r="A533" s="62" t="s">
        <v>872</v>
      </c>
      <c r="B533" s="63"/>
      <c r="C533" s="63"/>
      <c r="D533" s="64"/>
      <c r="E533" s="66"/>
      <c r="F533" s="102" t="str">
        <f>HYPERLINK("https://pbs.twimg.com/profile_images/1380149108942471168/1wBTUJV6_normal.jpg")</f>
        <v>https://pbs.twimg.com/profile_images/1380149108942471168/1wBTUJV6_normal.jpg</v>
      </c>
      <c r="G533" s="63"/>
      <c r="H533" s="67"/>
      <c r="I533" s="68"/>
      <c r="J533" s="68"/>
      <c r="K533" s="67" t="s">
        <v>19236</v>
      </c>
      <c r="L533" s="71"/>
      <c r="M533" s="72"/>
      <c r="N533" s="72"/>
      <c r="O533" s="73"/>
      <c r="P533" s="74"/>
      <c r="Q533" s="74"/>
      <c r="R533" s="86"/>
      <c r="S533" s="86"/>
      <c r="T533" s="86"/>
      <c r="U533" s="86"/>
      <c r="V533" s="48"/>
      <c r="W533" s="48"/>
      <c r="X533" s="48"/>
      <c r="Y533" s="48"/>
      <c r="Z533" s="47"/>
      <c r="AA533" s="69">
        <v>533</v>
      </c>
      <c r="AB533" s="69"/>
      <c r="AC533" s="70"/>
      <c r="AD533" s="76" t="s">
        <v>16959</v>
      </c>
      <c r="AE533" s="81" t="s">
        <v>17347</v>
      </c>
      <c r="AF533" s="76">
        <v>130983</v>
      </c>
      <c r="AG533" s="76">
        <v>1679</v>
      </c>
      <c r="AH533" s="76">
        <v>45496</v>
      </c>
      <c r="AI533" s="76">
        <v>650</v>
      </c>
      <c r="AJ533" s="76">
        <v>5922</v>
      </c>
      <c r="AK533" s="76">
        <v>24314</v>
      </c>
      <c r="AL533" s="76" t="b">
        <v>0</v>
      </c>
      <c r="AM533" s="78">
        <v>40618.021064814813</v>
      </c>
      <c r="AN533" s="76" t="s">
        <v>17402</v>
      </c>
      <c r="AO533" s="76" t="s">
        <v>18121</v>
      </c>
      <c r="AP533" s="83" t="str">
        <f>HYPERLINK("https://t.co/ZQXNWYHP5C")</f>
        <v>https://t.co/ZQXNWYHP5C</v>
      </c>
      <c r="AQ533" s="83" t="str">
        <f>HYPERLINK("http://www.andi.com.co")</f>
        <v>http://www.andi.com.co</v>
      </c>
      <c r="AR533" s="76" t="s">
        <v>18556</v>
      </c>
      <c r="AS533" s="76"/>
      <c r="AT533" s="76"/>
      <c r="AU533" s="76"/>
      <c r="AV533" s="76">
        <v>1.70243907067519E+18</v>
      </c>
      <c r="AW533" s="83" t="str">
        <f>HYPERLINK("https://t.co/ZQXNWYHP5C")</f>
        <v>https://t.co/ZQXNWYHP5C</v>
      </c>
      <c r="AX533" s="76" t="b">
        <v>1</v>
      </c>
      <c r="AY533" s="76"/>
      <c r="AZ533" s="76"/>
      <c r="BA533" s="76" t="b">
        <v>1</v>
      </c>
      <c r="BB533" s="76" t="b">
        <v>1</v>
      </c>
      <c r="BC533" s="76" t="b">
        <v>0</v>
      </c>
      <c r="BD533" s="76" t="b">
        <v>0</v>
      </c>
      <c r="BE533" s="76" t="b">
        <v>1</v>
      </c>
      <c r="BF533" s="76" t="b">
        <v>0</v>
      </c>
      <c r="BG533" s="76" t="b">
        <v>0</v>
      </c>
      <c r="BH533" s="83" t="str">
        <f>HYPERLINK("https://pbs.twimg.com/profile_banners/266893089/1617888165")</f>
        <v>https://pbs.twimg.com/profile_banners/266893089/1617888165</v>
      </c>
      <c r="BI533" s="76"/>
      <c r="BJ533" s="76" t="s">
        <v>18704</v>
      </c>
      <c r="BK533" s="76" t="b">
        <v>0</v>
      </c>
      <c r="BL533" s="76"/>
      <c r="BM533" s="76" t="s">
        <v>65</v>
      </c>
      <c r="BN533" s="76" t="s">
        <v>18706</v>
      </c>
      <c r="BO533" s="83" t="str">
        <f>HYPERLINK("https://twitter.com/andi_colombia")</f>
        <v>https://twitter.com/andi_colombia</v>
      </c>
      <c r="BP533" s="2"/>
    </row>
    <row r="534" spans="1:68" x14ac:dyDescent="0.25">
      <c r="A534" s="62" t="s">
        <v>873</v>
      </c>
      <c r="B534" s="63"/>
      <c r="C534" s="63"/>
      <c r="D534" s="64"/>
      <c r="E534" s="66"/>
      <c r="F534" s="102" t="str">
        <f>HYPERLINK("https://pbs.twimg.com/profile_images/1707152290992320513/CBUCZrF6_normal.jpg")</f>
        <v>https://pbs.twimg.com/profile_images/1707152290992320513/CBUCZrF6_normal.jpg</v>
      </c>
      <c r="G534" s="63"/>
      <c r="H534" s="67"/>
      <c r="I534" s="68"/>
      <c r="J534" s="68"/>
      <c r="K534" s="67" t="s">
        <v>19237</v>
      </c>
      <c r="L534" s="71"/>
      <c r="M534" s="72"/>
      <c r="N534" s="72"/>
      <c r="O534" s="73"/>
      <c r="P534" s="74"/>
      <c r="Q534" s="74"/>
      <c r="R534" s="86"/>
      <c r="S534" s="86"/>
      <c r="T534" s="86"/>
      <c r="U534" s="86"/>
      <c r="V534" s="48"/>
      <c r="W534" s="48"/>
      <c r="X534" s="48"/>
      <c r="Y534" s="48"/>
      <c r="Z534" s="47"/>
      <c r="AA534" s="69">
        <v>534</v>
      </c>
      <c r="AB534" s="69"/>
      <c r="AC534" s="70"/>
      <c r="AD534" s="76" t="s">
        <v>16960</v>
      </c>
      <c r="AE534" s="81" t="s">
        <v>17348</v>
      </c>
      <c r="AF534" s="76">
        <v>112066</v>
      </c>
      <c r="AG534" s="76">
        <v>673</v>
      </c>
      <c r="AH534" s="76">
        <v>1021</v>
      </c>
      <c r="AI534" s="76">
        <v>215</v>
      </c>
      <c r="AJ534" s="76">
        <v>2290</v>
      </c>
      <c r="AK534" s="76">
        <v>346</v>
      </c>
      <c r="AL534" s="76" t="b">
        <v>0</v>
      </c>
      <c r="AM534" s="78">
        <v>44742.480023148149</v>
      </c>
      <c r="AN534" s="76"/>
      <c r="AO534" s="76" t="s">
        <v>18122</v>
      </c>
      <c r="AP534" s="76"/>
      <c r="AQ534" s="76"/>
      <c r="AR534" s="76"/>
      <c r="AS534" s="76"/>
      <c r="AT534" s="76"/>
      <c r="AU534" s="76"/>
      <c r="AV534" s="76">
        <v>1.7023724659371699E+18</v>
      </c>
      <c r="AW534" s="76"/>
      <c r="AX534" s="76" t="b">
        <v>0</v>
      </c>
      <c r="AY534" s="76"/>
      <c r="AZ534" s="76"/>
      <c r="BA534" s="76" t="b">
        <v>0</v>
      </c>
      <c r="BB534" s="76" t="b">
        <v>1</v>
      </c>
      <c r="BC534" s="76" t="b">
        <v>1</v>
      </c>
      <c r="BD534" s="76" t="b">
        <v>0</v>
      </c>
      <c r="BE534" s="76" t="b">
        <v>1</v>
      </c>
      <c r="BF534" s="76" t="b">
        <v>0</v>
      </c>
      <c r="BG534" s="76" t="b">
        <v>0</v>
      </c>
      <c r="BH534" s="83" t="str">
        <f>HYPERLINK("https://pbs.twimg.com/profile_banners/1542470779220131840/1691030748")</f>
        <v>https://pbs.twimg.com/profile_banners/1542470779220131840/1691030748</v>
      </c>
      <c r="BI534" s="76"/>
      <c r="BJ534" s="76" t="s">
        <v>18704</v>
      </c>
      <c r="BK534" s="76" t="b">
        <v>0</v>
      </c>
      <c r="BL534" s="76"/>
      <c r="BM534" s="76" t="s">
        <v>65</v>
      </c>
      <c r="BN534" s="76" t="s">
        <v>18706</v>
      </c>
      <c r="BO534" s="83" t="str">
        <f>HYPERLINK("https://twitter.com/irenevelezt")</f>
        <v>https://twitter.com/irenevelezt</v>
      </c>
      <c r="BP534" s="2"/>
    </row>
    <row r="535" spans="1:68" x14ac:dyDescent="0.25">
      <c r="A535" s="62" t="s">
        <v>874</v>
      </c>
      <c r="B535" s="63"/>
      <c r="C535" s="63"/>
      <c r="D535" s="64"/>
      <c r="E535" s="66"/>
      <c r="F535" s="102" t="str">
        <f>HYPERLINK("https://pbs.twimg.com/profile_images/595358402286592000/QWz84csl_normal.jpg")</f>
        <v>https://pbs.twimg.com/profile_images/595358402286592000/QWz84csl_normal.jpg</v>
      </c>
      <c r="G535" s="63"/>
      <c r="H535" s="67"/>
      <c r="I535" s="68"/>
      <c r="J535" s="68"/>
      <c r="K535" s="67" t="s">
        <v>19238</v>
      </c>
      <c r="L535" s="71"/>
      <c r="M535" s="72"/>
      <c r="N535" s="72"/>
      <c r="O535" s="73"/>
      <c r="P535" s="74"/>
      <c r="Q535" s="74"/>
      <c r="R535" s="86"/>
      <c r="S535" s="86"/>
      <c r="T535" s="86"/>
      <c r="U535" s="86"/>
      <c r="V535" s="48"/>
      <c r="W535" s="48"/>
      <c r="X535" s="48"/>
      <c r="Y535" s="48"/>
      <c r="Z535" s="47"/>
      <c r="AA535" s="69">
        <v>535</v>
      </c>
      <c r="AB535" s="69"/>
      <c r="AC535" s="70"/>
      <c r="AD535" s="76" t="s">
        <v>16961</v>
      </c>
      <c r="AE535" s="81" t="s">
        <v>17349</v>
      </c>
      <c r="AF535" s="76">
        <v>32030</v>
      </c>
      <c r="AG535" s="76">
        <v>609</v>
      </c>
      <c r="AH535" s="76">
        <v>6177</v>
      </c>
      <c r="AI535" s="76">
        <v>113</v>
      </c>
      <c r="AJ535" s="76">
        <v>3964</v>
      </c>
      <c r="AK535" s="76">
        <v>54</v>
      </c>
      <c r="AL535" s="76" t="b">
        <v>0</v>
      </c>
      <c r="AM535" s="78">
        <v>40521.999224537038</v>
      </c>
      <c r="AN535" s="76"/>
      <c r="AO535" s="76" t="s">
        <v>18123</v>
      </c>
      <c r="AP535" s="76"/>
      <c r="AQ535" s="76"/>
      <c r="AR535" s="76"/>
      <c r="AS535" s="76"/>
      <c r="AT535" s="76"/>
      <c r="AU535" s="76"/>
      <c r="AV535" s="76"/>
      <c r="AW535" s="76"/>
      <c r="AX535" s="76" t="b">
        <v>0</v>
      </c>
      <c r="AY535" s="76"/>
      <c r="AZ535" s="76"/>
      <c r="BA535" s="76" t="b">
        <v>0</v>
      </c>
      <c r="BB535" s="76" t="b">
        <v>1</v>
      </c>
      <c r="BC535" s="76" t="b">
        <v>0</v>
      </c>
      <c r="BD535" s="76" t="b">
        <v>0</v>
      </c>
      <c r="BE535" s="76" t="b">
        <v>1</v>
      </c>
      <c r="BF535" s="76" t="b">
        <v>0</v>
      </c>
      <c r="BG535" s="76" t="b">
        <v>0</v>
      </c>
      <c r="BH535" s="83" t="str">
        <f>HYPERLINK("https://pbs.twimg.com/profile_banners/224830527/1396794253")</f>
        <v>https://pbs.twimg.com/profile_banners/224830527/1396794253</v>
      </c>
      <c r="BI535" s="76"/>
      <c r="BJ535" s="76" t="s">
        <v>18704</v>
      </c>
      <c r="BK535" s="76" t="b">
        <v>0</v>
      </c>
      <c r="BL535" s="76"/>
      <c r="BM535" s="76" t="s">
        <v>65</v>
      </c>
      <c r="BN535" s="76" t="s">
        <v>18706</v>
      </c>
      <c r="BO535" s="83" t="str">
        <f>HYPERLINK("https://twitter.com/ricardobonillag")</f>
        <v>https://twitter.com/ricardobonillag</v>
      </c>
      <c r="BP535" s="2"/>
    </row>
    <row r="536" spans="1:68" x14ac:dyDescent="0.25">
      <c r="A536" s="62" t="s">
        <v>875</v>
      </c>
      <c r="B536" s="63"/>
      <c r="C536" s="63"/>
      <c r="D536" s="64"/>
      <c r="E536" s="66"/>
      <c r="F536" s="102" t="str">
        <f>HYPERLINK("https://pbs.twimg.com/profile_images/1604864100470775808/FgoD6Shu_normal.jpg")</f>
        <v>https://pbs.twimg.com/profile_images/1604864100470775808/FgoD6Shu_normal.jpg</v>
      </c>
      <c r="G536" s="63"/>
      <c r="H536" s="67"/>
      <c r="I536" s="68"/>
      <c r="J536" s="68"/>
      <c r="K536" s="67" t="s">
        <v>19239</v>
      </c>
      <c r="L536" s="71"/>
      <c r="M536" s="72"/>
      <c r="N536" s="72"/>
      <c r="O536" s="73"/>
      <c r="P536" s="74"/>
      <c r="Q536" s="74"/>
      <c r="R536" s="86"/>
      <c r="S536" s="86"/>
      <c r="T536" s="86"/>
      <c r="U536" s="86"/>
      <c r="V536" s="48"/>
      <c r="W536" s="48"/>
      <c r="X536" s="48"/>
      <c r="Y536" s="48"/>
      <c r="Z536" s="47"/>
      <c r="AA536" s="69">
        <v>536</v>
      </c>
      <c r="AB536" s="69"/>
      <c r="AC536" s="70"/>
      <c r="AD536" s="76" t="s">
        <v>16962</v>
      </c>
      <c r="AE536" s="81" t="s">
        <v>17350</v>
      </c>
      <c r="AF536" s="76">
        <v>148433</v>
      </c>
      <c r="AG536" s="76">
        <v>146</v>
      </c>
      <c r="AH536" s="76">
        <v>28191</v>
      </c>
      <c r="AI536" s="76">
        <v>582</v>
      </c>
      <c r="AJ536" s="76">
        <v>1178</v>
      </c>
      <c r="AK536" s="76">
        <v>15955</v>
      </c>
      <c r="AL536" s="76" t="b">
        <v>0</v>
      </c>
      <c r="AM536" s="78">
        <v>40459.765381944446</v>
      </c>
      <c r="AN536" s="76" t="s">
        <v>17460</v>
      </c>
      <c r="AO536" s="76" t="s">
        <v>18124</v>
      </c>
      <c r="AP536" s="83" t="str">
        <f>HYPERLINK("https://t.co/Kbem7KB7Sh")</f>
        <v>https://t.co/Kbem7KB7Sh</v>
      </c>
      <c r="AQ536" s="83" t="str">
        <f>HYPERLINK("http://www.superfinanciera.gov.co")</f>
        <v>http://www.superfinanciera.gov.co</v>
      </c>
      <c r="AR536" s="76" t="s">
        <v>18557</v>
      </c>
      <c r="AS536" s="76"/>
      <c r="AT536" s="76"/>
      <c r="AU536" s="76"/>
      <c r="AV536" s="76"/>
      <c r="AW536" s="83" t="str">
        <f>HYPERLINK("https://t.co/Kbem7KB7Sh")</f>
        <v>https://t.co/Kbem7KB7Sh</v>
      </c>
      <c r="AX536" s="76" t="b">
        <v>0</v>
      </c>
      <c r="AY536" s="76"/>
      <c r="AZ536" s="76"/>
      <c r="BA536" s="76" t="b">
        <v>1</v>
      </c>
      <c r="BB536" s="76" t="b">
        <v>0</v>
      </c>
      <c r="BC536" s="76" t="b">
        <v>0</v>
      </c>
      <c r="BD536" s="76" t="b">
        <v>0</v>
      </c>
      <c r="BE536" s="76" t="b">
        <v>1</v>
      </c>
      <c r="BF536" s="76" t="b">
        <v>0</v>
      </c>
      <c r="BG536" s="76" t="b">
        <v>0</v>
      </c>
      <c r="BH536" s="83" t="str">
        <f>HYPERLINK("https://pbs.twimg.com/profile_banners/200206843/1695863513")</f>
        <v>https://pbs.twimg.com/profile_banners/200206843/1695863513</v>
      </c>
      <c r="BI536" s="76"/>
      <c r="BJ536" s="76" t="s">
        <v>18704</v>
      </c>
      <c r="BK536" s="76" t="b">
        <v>0</v>
      </c>
      <c r="BL536" s="76"/>
      <c r="BM536" s="76" t="s">
        <v>65</v>
      </c>
      <c r="BN536" s="76" t="s">
        <v>18706</v>
      </c>
      <c r="BO536" s="83" t="str">
        <f>HYPERLINK("https://twitter.com/sfcsupervisor")</f>
        <v>https://twitter.com/sfcsupervisor</v>
      </c>
      <c r="BP536" s="2"/>
    </row>
    <row r="537" spans="1:68" x14ac:dyDescent="0.25">
      <c r="A537" s="62" t="s">
        <v>876</v>
      </c>
      <c r="B537" s="63"/>
      <c r="C537" s="63"/>
      <c r="D537" s="64"/>
      <c r="E537" s="66"/>
      <c r="F537" s="102" t="str">
        <f>HYPERLINK("https://pbs.twimg.com/profile_images/469927756810027008/rE7IQdHO_normal.jpeg")</f>
        <v>https://pbs.twimg.com/profile_images/469927756810027008/rE7IQdHO_normal.jpeg</v>
      </c>
      <c r="G537" s="63"/>
      <c r="H537" s="67"/>
      <c r="I537" s="68"/>
      <c r="J537" s="68"/>
      <c r="K537" s="67" t="s">
        <v>19240</v>
      </c>
      <c r="L537" s="71"/>
      <c r="M537" s="72"/>
      <c r="N537" s="72"/>
      <c r="O537" s="73"/>
      <c r="P537" s="74"/>
      <c r="Q537" s="74"/>
      <c r="R537" s="86"/>
      <c r="S537" s="86"/>
      <c r="T537" s="86"/>
      <c r="U537" s="86"/>
      <c r="V537" s="48"/>
      <c r="W537" s="48"/>
      <c r="X537" s="48"/>
      <c r="Y537" s="48"/>
      <c r="Z537" s="47"/>
      <c r="AA537" s="69">
        <v>537</v>
      </c>
      <c r="AB537" s="69"/>
      <c r="AC537" s="70"/>
      <c r="AD537" s="76" t="s">
        <v>16963</v>
      </c>
      <c r="AE537" s="81" t="s">
        <v>17351</v>
      </c>
      <c r="AF537" s="76">
        <v>9539</v>
      </c>
      <c r="AG537" s="76">
        <v>666</v>
      </c>
      <c r="AH537" s="76">
        <v>9655</v>
      </c>
      <c r="AI537" s="76">
        <v>49</v>
      </c>
      <c r="AJ537" s="76">
        <v>2625</v>
      </c>
      <c r="AK537" s="76">
        <v>5444</v>
      </c>
      <c r="AL537" s="76" t="b">
        <v>0</v>
      </c>
      <c r="AM537" s="78">
        <v>41409.68644675926</v>
      </c>
      <c r="AN537" s="76" t="s">
        <v>17460</v>
      </c>
      <c r="AO537" s="76" t="s">
        <v>18125</v>
      </c>
      <c r="AP537" s="83" t="str">
        <f>HYPERLINK("https://t.co/u87yqqtjdT")</f>
        <v>https://t.co/u87yqqtjdT</v>
      </c>
      <c r="AQ537" s="83" t="str">
        <f>HYPERLINK("http://www.fasecolda.com")</f>
        <v>http://www.fasecolda.com</v>
      </c>
      <c r="AR537" s="76" t="s">
        <v>18558</v>
      </c>
      <c r="AS537" s="76"/>
      <c r="AT537" s="76"/>
      <c r="AU537" s="76"/>
      <c r="AV537" s="76"/>
      <c r="AW537" s="83" t="str">
        <f>HYPERLINK("https://t.co/u87yqqtjdT")</f>
        <v>https://t.co/u87yqqtjdT</v>
      </c>
      <c r="AX537" s="76" t="b">
        <v>1</v>
      </c>
      <c r="AY537" s="76"/>
      <c r="AZ537" s="76"/>
      <c r="BA537" s="76" t="b">
        <v>0</v>
      </c>
      <c r="BB537" s="76" t="b">
        <v>0</v>
      </c>
      <c r="BC537" s="76" t="b">
        <v>0</v>
      </c>
      <c r="BD537" s="76" t="b">
        <v>0</v>
      </c>
      <c r="BE537" s="76" t="b">
        <v>1</v>
      </c>
      <c r="BF537" s="76" t="b">
        <v>0</v>
      </c>
      <c r="BG537" s="76" t="b">
        <v>0</v>
      </c>
      <c r="BH537" s="83" t="str">
        <f>HYPERLINK("https://pbs.twimg.com/profile_banners/1430896860/1400874523")</f>
        <v>https://pbs.twimg.com/profile_banners/1430896860/1400874523</v>
      </c>
      <c r="BI537" s="76"/>
      <c r="BJ537" s="76" t="s">
        <v>18704</v>
      </c>
      <c r="BK537" s="76" t="b">
        <v>0</v>
      </c>
      <c r="BL537" s="76"/>
      <c r="BM537" s="76" t="s">
        <v>65</v>
      </c>
      <c r="BN537" s="76" t="s">
        <v>18706</v>
      </c>
      <c r="BO537" s="83" t="str">
        <f>HYPERLINK("https://twitter.com/fasecoldaoficia")</f>
        <v>https://twitter.com/fasecoldaoficia</v>
      </c>
      <c r="BP537" s="2"/>
    </row>
    <row r="538" spans="1:68" x14ac:dyDescent="0.25">
      <c r="A538" s="62" t="s">
        <v>877</v>
      </c>
      <c r="B538" s="63"/>
      <c r="C538" s="63"/>
      <c r="D538" s="64"/>
      <c r="E538" s="66"/>
      <c r="F538" s="102" t="str">
        <f>HYPERLINK("https://pbs.twimg.com/profile_images/662748426430513152/N0E_-9uj_normal.png")</f>
        <v>https://pbs.twimg.com/profile_images/662748426430513152/N0E_-9uj_normal.png</v>
      </c>
      <c r="G538" s="63"/>
      <c r="H538" s="67"/>
      <c r="I538" s="68"/>
      <c r="J538" s="68"/>
      <c r="K538" s="67" t="s">
        <v>19241</v>
      </c>
      <c r="L538" s="71"/>
      <c r="M538" s="72"/>
      <c r="N538" s="72"/>
      <c r="O538" s="73"/>
      <c r="P538" s="74"/>
      <c r="Q538" s="74"/>
      <c r="R538" s="86"/>
      <c r="S538" s="86"/>
      <c r="T538" s="86"/>
      <c r="U538" s="86"/>
      <c r="V538" s="48"/>
      <c r="W538" s="48"/>
      <c r="X538" s="48"/>
      <c r="Y538" s="48"/>
      <c r="Z538" s="47"/>
      <c r="AA538" s="69">
        <v>538</v>
      </c>
      <c r="AB538" s="69"/>
      <c r="AC538" s="70"/>
      <c r="AD538" s="76" t="s">
        <v>16964</v>
      </c>
      <c r="AE538" s="81" t="s">
        <v>17352</v>
      </c>
      <c r="AF538" s="76">
        <v>44366</v>
      </c>
      <c r="AG538" s="76">
        <v>1042</v>
      </c>
      <c r="AH538" s="76">
        <v>14466</v>
      </c>
      <c r="AI538" s="76">
        <v>1018</v>
      </c>
      <c r="AJ538" s="76">
        <v>469</v>
      </c>
      <c r="AK538" s="76">
        <v>8085</v>
      </c>
      <c r="AL538" s="76" t="b">
        <v>0</v>
      </c>
      <c r="AM538" s="78">
        <v>39770.965590277781</v>
      </c>
      <c r="AN538" s="76" t="s">
        <v>17432</v>
      </c>
      <c r="AO538" s="76" t="s">
        <v>18126</v>
      </c>
      <c r="AP538" s="83" t="str">
        <f>HYPERLINK("http://t.co/FN8CBU9DDx")</f>
        <v>http://t.co/FN8CBU9DDx</v>
      </c>
      <c r="AQ538" s="83" t="str">
        <f>HYPERLINK("http://www.iif.com")</f>
        <v>http://www.iif.com</v>
      </c>
      <c r="AR538" s="76" t="s">
        <v>18559</v>
      </c>
      <c r="AS538" s="76"/>
      <c r="AT538" s="76"/>
      <c r="AU538" s="76"/>
      <c r="AV538" s="76"/>
      <c r="AW538" s="83" t="str">
        <f>HYPERLINK("http://t.co/FN8CBU9DDx")</f>
        <v>http://t.co/FN8CBU9DDx</v>
      </c>
      <c r="AX538" s="76" t="b">
        <v>0</v>
      </c>
      <c r="AY538" s="76"/>
      <c r="AZ538" s="76"/>
      <c r="BA538" s="76" t="b">
        <v>0</v>
      </c>
      <c r="BB538" s="76" t="b">
        <v>1</v>
      </c>
      <c r="BC538" s="76" t="b">
        <v>0</v>
      </c>
      <c r="BD538" s="76" t="b">
        <v>0</v>
      </c>
      <c r="BE538" s="76" t="b">
        <v>1</v>
      </c>
      <c r="BF538" s="76" t="b">
        <v>0</v>
      </c>
      <c r="BG538" s="76" t="b">
        <v>0</v>
      </c>
      <c r="BH538" s="83" t="str">
        <f>HYPERLINK("https://pbs.twimg.com/profile_banners/17474044/1458072717")</f>
        <v>https://pbs.twimg.com/profile_banners/17474044/1458072717</v>
      </c>
      <c r="BI538" s="76"/>
      <c r="BJ538" s="76" t="s">
        <v>18704</v>
      </c>
      <c r="BK538" s="76" t="b">
        <v>0</v>
      </c>
      <c r="BL538" s="76"/>
      <c r="BM538" s="76" t="s">
        <v>65</v>
      </c>
      <c r="BN538" s="76" t="s">
        <v>18706</v>
      </c>
      <c r="BO538" s="83" t="str">
        <f>HYPERLINK("https://twitter.com/iif")</f>
        <v>https://twitter.com/iif</v>
      </c>
      <c r="BP538" s="2"/>
    </row>
    <row r="539" spans="1:68" x14ac:dyDescent="0.25">
      <c r="A539" s="62" t="s">
        <v>878</v>
      </c>
      <c r="B539" s="63"/>
      <c r="C539" s="63"/>
      <c r="D539" s="64"/>
      <c r="E539" s="66"/>
      <c r="F539" s="102" t="str">
        <f>HYPERLINK("https://pbs.twimg.com/profile_images/1686776138108956673/geKTmKAy_normal.jpg")</f>
        <v>https://pbs.twimg.com/profile_images/1686776138108956673/geKTmKAy_normal.jpg</v>
      </c>
      <c r="G539" s="63"/>
      <c r="H539" s="67"/>
      <c r="I539" s="68"/>
      <c r="J539" s="68"/>
      <c r="K539" s="67" t="s">
        <v>19242</v>
      </c>
      <c r="L539" s="71"/>
      <c r="M539" s="72"/>
      <c r="N539" s="72"/>
      <c r="O539" s="73"/>
      <c r="P539" s="74"/>
      <c r="Q539" s="74"/>
      <c r="R539" s="86"/>
      <c r="S539" s="86"/>
      <c r="T539" s="86"/>
      <c r="U539" s="86"/>
      <c r="V539" s="48"/>
      <c r="W539" s="48"/>
      <c r="X539" s="48"/>
      <c r="Y539" s="48"/>
      <c r="Z539" s="47"/>
      <c r="AA539" s="69">
        <v>539</v>
      </c>
      <c r="AB539" s="69"/>
      <c r="AC539" s="70"/>
      <c r="AD539" s="76" t="s">
        <v>16965</v>
      </c>
      <c r="AE539" s="81" t="s">
        <v>17353</v>
      </c>
      <c r="AF539" s="76">
        <v>9399</v>
      </c>
      <c r="AG539" s="76">
        <v>164</v>
      </c>
      <c r="AH539" s="76">
        <v>422</v>
      </c>
      <c r="AI539" s="76">
        <v>72</v>
      </c>
      <c r="AJ539" s="76">
        <v>1241</v>
      </c>
      <c r="AK539" s="76">
        <v>82</v>
      </c>
      <c r="AL539" s="76" t="b">
        <v>0</v>
      </c>
      <c r="AM539" s="78">
        <v>41143.042858796296</v>
      </c>
      <c r="AN539" s="76"/>
      <c r="AO539" s="76" t="s">
        <v>18127</v>
      </c>
      <c r="AP539" s="76"/>
      <c r="AQ539" s="76"/>
      <c r="AR539" s="76"/>
      <c r="AS539" s="76"/>
      <c r="AT539" s="76"/>
      <c r="AU539" s="76"/>
      <c r="AV539" s="76">
        <v>1.5265763228474199E+18</v>
      </c>
      <c r="AW539" s="76"/>
      <c r="AX539" s="76" t="b">
        <v>1</v>
      </c>
      <c r="AY539" s="76"/>
      <c r="AZ539" s="76"/>
      <c r="BA539" s="76" t="b">
        <v>0</v>
      </c>
      <c r="BB539" s="76" t="b">
        <v>1</v>
      </c>
      <c r="BC539" s="76" t="b">
        <v>1</v>
      </c>
      <c r="BD539" s="76" t="b">
        <v>0</v>
      </c>
      <c r="BE539" s="76" t="b">
        <v>0</v>
      </c>
      <c r="BF539" s="76" t="b">
        <v>0</v>
      </c>
      <c r="BG539" s="76" t="b">
        <v>0</v>
      </c>
      <c r="BH539" s="83" t="str">
        <f>HYPERLINK("https://pbs.twimg.com/profile_banners/772601689/1611416751")</f>
        <v>https://pbs.twimg.com/profile_banners/772601689/1611416751</v>
      </c>
      <c r="BI539" s="76"/>
      <c r="BJ539" s="76" t="s">
        <v>18704</v>
      </c>
      <c r="BK539" s="76" t="b">
        <v>0</v>
      </c>
      <c r="BL539" s="76"/>
      <c r="BM539" s="76" t="s">
        <v>65</v>
      </c>
      <c r="BN539" s="76" t="s">
        <v>18706</v>
      </c>
      <c r="BO539" s="83" t="str">
        <f>HYPERLINK("https://twitter.com/micheljanna")</f>
        <v>https://twitter.com/micheljanna</v>
      </c>
      <c r="BP539" s="2"/>
    </row>
    <row r="540" spans="1:68" x14ac:dyDescent="0.25">
      <c r="A540" s="62" t="s">
        <v>879</v>
      </c>
      <c r="B540" s="63"/>
      <c r="C540" s="63"/>
      <c r="D540" s="64"/>
      <c r="E540" s="66"/>
      <c r="F540" s="102" t="str">
        <f>HYPERLINK("https://pbs.twimg.com/profile_images/1571195845583798273/bATTqCwI_normal.jpg")</f>
        <v>https://pbs.twimg.com/profile_images/1571195845583798273/bATTqCwI_normal.jpg</v>
      </c>
      <c r="G540" s="63"/>
      <c r="H540" s="67"/>
      <c r="I540" s="68"/>
      <c r="J540" s="68"/>
      <c r="K540" s="67" t="s">
        <v>19243</v>
      </c>
      <c r="L540" s="71"/>
      <c r="M540" s="72"/>
      <c r="N540" s="72"/>
      <c r="O540" s="73"/>
      <c r="P540" s="74"/>
      <c r="Q540" s="74"/>
      <c r="R540" s="86"/>
      <c r="S540" s="86"/>
      <c r="T540" s="86"/>
      <c r="U540" s="86"/>
      <c r="V540" s="48"/>
      <c r="W540" s="48"/>
      <c r="X540" s="48"/>
      <c r="Y540" s="48"/>
      <c r="Z540" s="47"/>
      <c r="AA540" s="69">
        <v>540</v>
      </c>
      <c r="AB540" s="69"/>
      <c r="AC540" s="70"/>
      <c r="AD540" s="76" t="s">
        <v>16966</v>
      </c>
      <c r="AE540" s="81" t="s">
        <v>17354</v>
      </c>
      <c r="AF540" s="76">
        <v>528199</v>
      </c>
      <c r="AG540" s="76">
        <v>181</v>
      </c>
      <c r="AH540" s="76">
        <v>167698</v>
      </c>
      <c r="AI540" s="76">
        <v>1530</v>
      </c>
      <c r="AJ540" s="76">
        <v>2234</v>
      </c>
      <c r="AK540" s="76">
        <v>44144</v>
      </c>
      <c r="AL540" s="76" t="b">
        <v>0</v>
      </c>
      <c r="AM540" s="78">
        <v>40489.864803240744</v>
      </c>
      <c r="AN540" s="76" t="s">
        <v>17604</v>
      </c>
      <c r="AO540" s="76" t="s">
        <v>18128</v>
      </c>
      <c r="AP540" s="83" t="str">
        <f>HYPERLINK("https://t.co/TnC0f9eqTc")</f>
        <v>https://t.co/TnC0f9eqTc</v>
      </c>
      <c r="AQ540" s="83" t="str">
        <f>HYPERLINK("http://www.senado.gov.co")</f>
        <v>http://www.senado.gov.co</v>
      </c>
      <c r="AR540" s="76" t="s">
        <v>18560</v>
      </c>
      <c r="AS540" s="76"/>
      <c r="AT540" s="76"/>
      <c r="AU540" s="76"/>
      <c r="AV540" s="76"/>
      <c r="AW540" s="83" t="str">
        <f>HYPERLINK("https://t.co/TnC0f9eqTc")</f>
        <v>https://t.co/TnC0f9eqTc</v>
      </c>
      <c r="AX540" s="76" t="b">
        <v>0</v>
      </c>
      <c r="AY540" s="76"/>
      <c r="AZ540" s="76"/>
      <c r="BA540" s="76" t="b">
        <v>0</v>
      </c>
      <c r="BB540" s="76" t="b">
        <v>1</v>
      </c>
      <c r="BC540" s="76" t="b">
        <v>0</v>
      </c>
      <c r="BD540" s="76" t="b">
        <v>0</v>
      </c>
      <c r="BE540" s="76" t="b">
        <v>0</v>
      </c>
      <c r="BF540" s="76" t="b">
        <v>0</v>
      </c>
      <c r="BG540" s="76" t="b">
        <v>0</v>
      </c>
      <c r="BH540" s="83" t="str">
        <f>HYPERLINK("https://pbs.twimg.com/profile_banners/213051585/1695326943")</f>
        <v>https://pbs.twimg.com/profile_banners/213051585/1695326943</v>
      </c>
      <c r="BI540" s="76"/>
      <c r="BJ540" s="76" t="s">
        <v>18704</v>
      </c>
      <c r="BK540" s="76" t="b">
        <v>0</v>
      </c>
      <c r="BL540" s="76"/>
      <c r="BM540" s="76" t="s">
        <v>65</v>
      </c>
      <c r="BN540" s="76" t="s">
        <v>18706</v>
      </c>
      <c r="BO540" s="83" t="str">
        <f>HYPERLINK("https://twitter.com/senadogovco")</f>
        <v>https://twitter.com/senadogovco</v>
      </c>
      <c r="BP540" s="2"/>
    </row>
    <row r="541" spans="1:68" x14ac:dyDescent="0.25">
      <c r="A541" s="62" t="s">
        <v>880</v>
      </c>
      <c r="B541" s="63"/>
      <c r="C541" s="63"/>
      <c r="D541" s="64"/>
      <c r="E541" s="66"/>
      <c r="F541" s="102" t="str">
        <f>HYPERLINK("https://pbs.twimg.com/profile_images/1691048191267831808/xLg92qZb_normal.jpg")</f>
        <v>https://pbs.twimg.com/profile_images/1691048191267831808/xLg92qZb_normal.jpg</v>
      </c>
      <c r="G541" s="63"/>
      <c r="H541" s="67"/>
      <c r="I541" s="68"/>
      <c r="J541" s="68"/>
      <c r="K541" s="67" t="s">
        <v>19244</v>
      </c>
      <c r="L541" s="71"/>
      <c r="M541" s="72"/>
      <c r="N541" s="72"/>
      <c r="O541" s="73"/>
      <c r="P541" s="74"/>
      <c r="Q541" s="74"/>
      <c r="R541" s="86"/>
      <c r="S541" s="86"/>
      <c r="T541" s="86"/>
      <c r="U541" s="86"/>
      <c r="V541" s="48"/>
      <c r="W541" s="48"/>
      <c r="X541" s="48"/>
      <c r="Y541" s="48"/>
      <c r="Z541" s="47"/>
      <c r="AA541" s="69">
        <v>541</v>
      </c>
      <c r="AB541" s="69"/>
      <c r="AC541" s="70"/>
      <c r="AD541" s="76" t="s">
        <v>16967</v>
      </c>
      <c r="AE541" s="81" t="s">
        <v>17355</v>
      </c>
      <c r="AF541" s="76">
        <v>370720</v>
      </c>
      <c r="AG541" s="76">
        <v>880</v>
      </c>
      <c r="AH541" s="76">
        <v>104938</v>
      </c>
      <c r="AI541" s="76">
        <v>1345</v>
      </c>
      <c r="AJ541" s="76">
        <v>4066</v>
      </c>
      <c r="AK541" s="76">
        <v>41459</v>
      </c>
      <c r="AL541" s="76" t="b">
        <v>0</v>
      </c>
      <c r="AM541" s="78">
        <v>40400.857928240737</v>
      </c>
      <c r="AN541" s="76" t="s">
        <v>17402</v>
      </c>
      <c r="AO541" s="76" t="s">
        <v>18129</v>
      </c>
      <c r="AP541" s="83" t="str">
        <f>HYPERLINK("https://t.co/fTaWEZShLB")</f>
        <v>https://t.co/fTaWEZShLB</v>
      </c>
      <c r="AQ541" s="83" t="str">
        <f>HYPERLINK("http://www.mincit.gov.co/")</f>
        <v>http://www.mincit.gov.co/</v>
      </c>
      <c r="AR541" s="76" t="s">
        <v>18561</v>
      </c>
      <c r="AS541" s="76"/>
      <c r="AT541" s="76"/>
      <c r="AU541" s="76"/>
      <c r="AV541" s="76">
        <v>1.70680712102141E+18</v>
      </c>
      <c r="AW541" s="83" t="str">
        <f>HYPERLINK("https://t.co/fTaWEZShLB")</f>
        <v>https://t.co/fTaWEZShLB</v>
      </c>
      <c r="AX541" s="76" t="b">
        <v>1</v>
      </c>
      <c r="AY541" s="76"/>
      <c r="AZ541" s="76"/>
      <c r="BA541" s="76" t="b">
        <v>0</v>
      </c>
      <c r="BB541" s="76" t="b">
        <v>1</v>
      </c>
      <c r="BC541" s="76" t="b">
        <v>0</v>
      </c>
      <c r="BD541" s="76" t="b">
        <v>0</v>
      </c>
      <c r="BE541" s="76" t="b">
        <v>1</v>
      </c>
      <c r="BF541" s="76" t="b">
        <v>0</v>
      </c>
      <c r="BG541" s="76" t="b">
        <v>0</v>
      </c>
      <c r="BH541" s="83" t="str">
        <f>HYPERLINK("https://pbs.twimg.com/profile_banners/176931171/1695818613")</f>
        <v>https://pbs.twimg.com/profile_banners/176931171/1695818613</v>
      </c>
      <c r="BI541" s="76"/>
      <c r="BJ541" s="76" t="s">
        <v>18704</v>
      </c>
      <c r="BK541" s="76" t="b">
        <v>0</v>
      </c>
      <c r="BL541" s="76"/>
      <c r="BM541" s="76" t="s">
        <v>65</v>
      </c>
      <c r="BN541" s="76" t="s">
        <v>18706</v>
      </c>
      <c r="BO541" s="83" t="str">
        <f>HYPERLINK("https://twitter.com/mincomercioco")</f>
        <v>https://twitter.com/mincomercioco</v>
      </c>
      <c r="BP541" s="2"/>
    </row>
    <row r="542" spans="1:68" x14ac:dyDescent="0.25">
      <c r="A542" s="62" t="s">
        <v>881</v>
      </c>
      <c r="B542" s="63"/>
      <c r="C542" s="63"/>
      <c r="D542" s="64"/>
      <c r="E542" s="66"/>
      <c r="F542" s="102" t="str">
        <f>HYPERLINK("https://pbs.twimg.com/profile_images/1640699197014851585/-8OHvXak_normal.jpg")</f>
        <v>https://pbs.twimg.com/profile_images/1640699197014851585/-8OHvXak_normal.jpg</v>
      </c>
      <c r="G542" s="63"/>
      <c r="H542" s="67"/>
      <c r="I542" s="68"/>
      <c r="J542" s="68"/>
      <c r="K542" s="67" t="s">
        <v>19245</v>
      </c>
      <c r="L542" s="71"/>
      <c r="M542" s="72"/>
      <c r="N542" s="72"/>
      <c r="O542" s="73"/>
      <c r="P542" s="74"/>
      <c r="Q542" s="74"/>
      <c r="R542" s="86"/>
      <c r="S542" s="86"/>
      <c r="T542" s="86"/>
      <c r="U542" s="86"/>
      <c r="V542" s="48"/>
      <c r="W542" s="48"/>
      <c r="X542" s="48"/>
      <c r="Y542" s="48"/>
      <c r="Z542" s="47"/>
      <c r="AA542" s="69">
        <v>542</v>
      </c>
      <c r="AB542" s="69"/>
      <c r="AC542" s="70"/>
      <c r="AD542" s="76" t="s">
        <v>16968</v>
      </c>
      <c r="AE542" s="81" t="s">
        <v>17356</v>
      </c>
      <c r="AF542" s="76">
        <v>24475</v>
      </c>
      <c r="AG542" s="76">
        <v>1526</v>
      </c>
      <c r="AH542" s="76">
        <v>19425</v>
      </c>
      <c r="AI542" s="76">
        <v>174</v>
      </c>
      <c r="AJ542" s="76">
        <v>14714</v>
      </c>
      <c r="AK542" s="76">
        <v>6327</v>
      </c>
      <c r="AL542" s="76" t="b">
        <v>0</v>
      </c>
      <c r="AM542" s="78">
        <v>40729.943495370368</v>
      </c>
      <c r="AN542" s="76" t="s">
        <v>17460</v>
      </c>
      <c r="AO542" s="76" t="s">
        <v>18130</v>
      </c>
      <c r="AP542" s="83" t="str">
        <f>HYPERLINK("https://t.co/4eujOxdtaa")</f>
        <v>https://t.co/4eujOxdtaa</v>
      </c>
      <c r="AQ542" s="83" t="str">
        <f>HYPERLINK("http://www.cotelco.org")</f>
        <v>http://www.cotelco.org</v>
      </c>
      <c r="AR542" s="76" t="s">
        <v>18562</v>
      </c>
      <c r="AS542" s="76"/>
      <c r="AT542" s="76"/>
      <c r="AU542" s="76"/>
      <c r="AV542" s="76">
        <v>1.6716364934192799E+18</v>
      </c>
      <c r="AW542" s="83" t="str">
        <f>HYPERLINK("https://t.co/4eujOxdtaa")</f>
        <v>https://t.co/4eujOxdtaa</v>
      </c>
      <c r="AX542" s="76" t="b">
        <v>0</v>
      </c>
      <c r="AY542" s="76"/>
      <c r="AZ542" s="76"/>
      <c r="BA542" s="76" t="b">
        <v>1</v>
      </c>
      <c r="BB542" s="76" t="b">
        <v>1</v>
      </c>
      <c r="BC542" s="76" t="b">
        <v>0</v>
      </c>
      <c r="BD542" s="76" t="b">
        <v>0</v>
      </c>
      <c r="BE542" s="76" t="b">
        <v>1</v>
      </c>
      <c r="BF542" s="76" t="b">
        <v>0</v>
      </c>
      <c r="BG542" s="76" t="b">
        <v>0</v>
      </c>
      <c r="BH542" s="83" t="str">
        <f>HYPERLINK("https://pbs.twimg.com/profile_banners/329981865/1695777929")</f>
        <v>https://pbs.twimg.com/profile_banners/329981865/1695777929</v>
      </c>
      <c r="BI542" s="76"/>
      <c r="BJ542" s="76" t="s">
        <v>18704</v>
      </c>
      <c r="BK542" s="76" t="b">
        <v>0</v>
      </c>
      <c r="BL542" s="76"/>
      <c r="BM542" s="76" t="s">
        <v>65</v>
      </c>
      <c r="BN542" s="76" t="s">
        <v>18706</v>
      </c>
      <c r="BO542" s="83" t="str">
        <f>HYPERLINK("https://twitter.com/cotelcolombia")</f>
        <v>https://twitter.com/cotelcolombia</v>
      </c>
      <c r="BP542" s="2"/>
    </row>
    <row r="543" spans="1:68" x14ac:dyDescent="0.25">
      <c r="A543" s="62" t="s">
        <v>615</v>
      </c>
      <c r="B543" s="63"/>
      <c r="C543" s="63"/>
      <c r="D543" s="64"/>
      <c r="E543" s="66"/>
      <c r="F543" s="102" t="str">
        <f>HYPERLINK("https://pbs.twimg.com/profile_images/1676369173344145409/U4cvZjYm_normal.jpg")</f>
        <v>https://pbs.twimg.com/profile_images/1676369173344145409/U4cvZjYm_normal.jpg</v>
      </c>
      <c r="G543" s="63"/>
      <c r="H543" s="67"/>
      <c r="I543" s="68"/>
      <c r="J543" s="68"/>
      <c r="K543" s="67" t="s">
        <v>19246</v>
      </c>
      <c r="L543" s="71"/>
      <c r="M543" s="72"/>
      <c r="N543" s="72"/>
      <c r="O543" s="73"/>
      <c r="P543" s="74"/>
      <c r="Q543" s="74"/>
      <c r="R543" s="86"/>
      <c r="S543" s="86"/>
      <c r="T543" s="86"/>
      <c r="U543" s="86"/>
      <c r="V543" s="48"/>
      <c r="W543" s="48"/>
      <c r="X543" s="48"/>
      <c r="Y543" s="48"/>
      <c r="Z543" s="47"/>
      <c r="AA543" s="69">
        <v>543</v>
      </c>
      <c r="AB543" s="69"/>
      <c r="AC543" s="70"/>
      <c r="AD543" s="76" t="s">
        <v>16969</v>
      </c>
      <c r="AE543" s="81" t="s">
        <v>16325</v>
      </c>
      <c r="AF543" s="76">
        <v>8</v>
      </c>
      <c r="AG543" s="76">
        <v>103</v>
      </c>
      <c r="AH543" s="76">
        <v>182</v>
      </c>
      <c r="AI543" s="76">
        <v>0</v>
      </c>
      <c r="AJ543" s="76">
        <v>4810</v>
      </c>
      <c r="AK543" s="76">
        <v>131</v>
      </c>
      <c r="AL543" s="76" t="b">
        <v>0</v>
      </c>
      <c r="AM543" s="78">
        <v>43686.077743055554</v>
      </c>
      <c r="AN543" s="76" t="s">
        <v>17488</v>
      </c>
      <c r="AO543" s="76" t="s">
        <v>18131</v>
      </c>
      <c r="AP543" s="83" t="str">
        <f>HYPERLINK("https://t.co/jTPljhmr0i")</f>
        <v>https://t.co/jTPljhmr0i</v>
      </c>
      <c r="AQ543" s="83" t="str">
        <f>HYPERLINK("https://linktr.ee/nahuel_melero?utm_source=linktree_admin_share")</f>
        <v>https://linktr.ee/nahuel_melero?utm_source=linktree_admin_share</v>
      </c>
      <c r="AR543" s="76" t="s">
        <v>18563</v>
      </c>
      <c r="AS543" s="76"/>
      <c r="AT543" s="76"/>
      <c r="AU543" s="76"/>
      <c r="AV543" s="76"/>
      <c r="AW543" s="83" t="str">
        <f>HYPERLINK("https://t.co/jTPljhmr0i")</f>
        <v>https://t.co/jTPljhmr0i</v>
      </c>
      <c r="AX543" s="76" t="b">
        <v>0</v>
      </c>
      <c r="AY543" s="76"/>
      <c r="AZ543" s="76"/>
      <c r="BA543" s="76" t="b">
        <v>0</v>
      </c>
      <c r="BB543" s="76" t="b">
        <v>1</v>
      </c>
      <c r="BC543" s="76" t="b">
        <v>1</v>
      </c>
      <c r="BD543" s="76" t="b">
        <v>0</v>
      </c>
      <c r="BE543" s="76" t="b">
        <v>1</v>
      </c>
      <c r="BF543" s="76" t="b">
        <v>0</v>
      </c>
      <c r="BG543" s="76" t="b">
        <v>0</v>
      </c>
      <c r="BH543" s="83" t="str">
        <f>HYPERLINK("https://pbs.twimg.com/profile_banners/1159643447948693504/1568593179")</f>
        <v>https://pbs.twimg.com/profile_banners/1159643447948693504/1568593179</v>
      </c>
      <c r="BI543" s="76"/>
      <c r="BJ543" s="76" t="s">
        <v>18704</v>
      </c>
      <c r="BK543" s="76" t="b">
        <v>0</v>
      </c>
      <c r="BL543" s="76"/>
      <c r="BM543" s="76" t="s">
        <v>66</v>
      </c>
      <c r="BN543" s="76" t="s">
        <v>18706</v>
      </c>
      <c r="BO543" s="83" t="str">
        <f>HYPERLINK("https://twitter.com/nahu_meler")</f>
        <v>https://twitter.com/nahu_meler</v>
      </c>
      <c r="BP543" s="2"/>
    </row>
    <row r="544" spans="1:68" x14ac:dyDescent="0.25">
      <c r="A544" s="62" t="s">
        <v>616</v>
      </c>
      <c r="B544" s="63"/>
      <c r="C544" s="63"/>
      <c r="D544" s="64"/>
      <c r="E544" s="66"/>
      <c r="F544" s="102" t="str">
        <f>HYPERLINK("https://pbs.twimg.com/profile_images/1617919872213688321/8zzesXXa_normal.jpg")</f>
        <v>https://pbs.twimg.com/profile_images/1617919872213688321/8zzesXXa_normal.jpg</v>
      </c>
      <c r="G544" s="63"/>
      <c r="H544" s="67"/>
      <c r="I544" s="68"/>
      <c r="J544" s="68"/>
      <c r="K544" s="67" t="s">
        <v>19247</v>
      </c>
      <c r="L544" s="71"/>
      <c r="M544" s="72"/>
      <c r="N544" s="72"/>
      <c r="O544" s="73"/>
      <c r="P544" s="74"/>
      <c r="Q544" s="74"/>
      <c r="R544" s="86"/>
      <c r="S544" s="86"/>
      <c r="T544" s="86"/>
      <c r="U544" s="86"/>
      <c r="V544" s="48"/>
      <c r="W544" s="48"/>
      <c r="X544" s="48"/>
      <c r="Y544" s="48"/>
      <c r="Z544" s="47"/>
      <c r="AA544" s="69">
        <v>544</v>
      </c>
      <c r="AB544" s="69"/>
      <c r="AC544" s="70"/>
      <c r="AD544" s="76" t="s">
        <v>16970</v>
      </c>
      <c r="AE544" s="81" t="s">
        <v>16326</v>
      </c>
      <c r="AF544" s="76">
        <v>2126</v>
      </c>
      <c r="AG544" s="76">
        <v>2241</v>
      </c>
      <c r="AH544" s="76">
        <v>91041</v>
      </c>
      <c r="AI544" s="76">
        <v>1</v>
      </c>
      <c r="AJ544" s="76">
        <v>98010</v>
      </c>
      <c r="AK544" s="76">
        <v>155</v>
      </c>
      <c r="AL544" s="76" t="b">
        <v>0</v>
      </c>
      <c r="AM544" s="78">
        <v>44882.741377314815</v>
      </c>
      <c r="AN544" s="76" t="s">
        <v>17563</v>
      </c>
      <c r="AO544" s="76" t="s">
        <v>18132</v>
      </c>
      <c r="AP544" s="76"/>
      <c r="AQ544" s="76"/>
      <c r="AR544" s="76"/>
      <c r="AS544" s="76"/>
      <c r="AT544" s="76"/>
      <c r="AU544" s="76"/>
      <c r="AV544" s="76"/>
      <c r="AW544" s="76"/>
      <c r="AX544" s="76" t="b">
        <v>0</v>
      </c>
      <c r="AY544" s="76"/>
      <c r="AZ544" s="76"/>
      <c r="BA544" s="76" t="b">
        <v>0</v>
      </c>
      <c r="BB544" s="76" t="b">
        <v>0</v>
      </c>
      <c r="BC544" s="76" t="b">
        <v>1</v>
      </c>
      <c r="BD544" s="76" t="b">
        <v>0</v>
      </c>
      <c r="BE544" s="76" t="b">
        <v>1</v>
      </c>
      <c r="BF544" s="76" t="b">
        <v>0</v>
      </c>
      <c r="BG544" s="76" t="b">
        <v>0</v>
      </c>
      <c r="BH544" s="76"/>
      <c r="BI544" s="76"/>
      <c r="BJ544" s="76" t="s">
        <v>18704</v>
      </c>
      <c r="BK544" s="76" t="b">
        <v>0</v>
      </c>
      <c r="BL544" s="76"/>
      <c r="BM544" s="76" t="s">
        <v>66</v>
      </c>
      <c r="BN544" s="76" t="s">
        <v>18706</v>
      </c>
      <c r="BO544" s="83" t="str">
        <f>HYPERLINK("https://twitter.com/joares_antonio")</f>
        <v>https://twitter.com/joares_antonio</v>
      </c>
      <c r="BP544" s="2"/>
    </row>
    <row r="545" spans="1:68" x14ac:dyDescent="0.25">
      <c r="A545" s="62" t="s">
        <v>617</v>
      </c>
      <c r="B545" s="63"/>
      <c r="C545" s="63"/>
      <c r="D545" s="64"/>
      <c r="E545" s="66"/>
      <c r="F545" s="102" t="str">
        <f>HYPERLINK("https://pbs.twimg.com/profile_images/1612394971415322624/yh5vTeG0_normal.jpg")</f>
        <v>https://pbs.twimg.com/profile_images/1612394971415322624/yh5vTeG0_normal.jpg</v>
      </c>
      <c r="G545" s="63"/>
      <c r="H545" s="67"/>
      <c r="I545" s="68"/>
      <c r="J545" s="68"/>
      <c r="K545" s="67" t="s">
        <v>19248</v>
      </c>
      <c r="L545" s="71"/>
      <c r="M545" s="72"/>
      <c r="N545" s="72"/>
      <c r="O545" s="73"/>
      <c r="P545" s="74"/>
      <c r="Q545" s="74"/>
      <c r="R545" s="86"/>
      <c r="S545" s="86"/>
      <c r="T545" s="86"/>
      <c r="U545" s="86"/>
      <c r="V545" s="48"/>
      <c r="W545" s="48"/>
      <c r="X545" s="48"/>
      <c r="Y545" s="48"/>
      <c r="Z545" s="47"/>
      <c r="AA545" s="69">
        <v>545</v>
      </c>
      <c r="AB545" s="69"/>
      <c r="AC545" s="70"/>
      <c r="AD545" s="76" t="s">
        <v>16971</v>
      </c>
      <c r="AE545" s="81" t="s">
        <v>15967</v>
      </c>
      <c r="AF545" s="76">
        <v>26331</v>
      </c>
      <c r="AG545" s="76">
        <v>245</v>
      </c>
      <c r="AH545" s="76">
        <v>107192</v>
      </c>
      <c r="AI545" s="76">
        <v>680</v>
      </c>
      <c r="AJ545" s="76">
        <v>2433</v>
      </c>
      <c r="AK545" s="76">
        <v>29598</v>
      </c>
      <c r="AL545" s="76" t="b">
        <v>0</v>
      </c>
      <c r="AM545" s="78">
        <v>39742.610254629632</v>
      </c>
      <c r="AN545" s="76" t="s">
        <v>17419</v>
      </c>
      <c r="AO545" s="76" t="s">
        <v>18133</v>
      </c>
      <c r="AP545" s="83" t="str">
        <f>HYPERLINK("https://t.co/hpZSryh1ap")</f>
        <v>https://t.co/hpZSryh1ap</v>
      </c>
      <c r="AQ545" s="83" t="str">
        <f>HYPERLINK("http://www.intereconomia.com/")</f>
        <v>http://www.intereconomia.com/</v>
      </c>
      <c r="AR545" s="76" t="s">
        <v>18564</v>
      </c>
      <c r="AS545" s="83" t="str">
        <f>HYPERLINK("https://t.co/kWSKcVqfcj")</f>
        <v>https://t.co/kWSKcVqfcj</v>
      </c>
      <c r="AT545" s="83" t="str">
        <f>HYPERLINK("http://t.me/radiointerecon")</f>
        <v>http://t.me/radiointerecon</v>
      </c>
      <c r="AU545" s="76" t="s">
        <v>18694</v>
      </c>
      <c r="AV545" s="76"/>
      <c r="AW545" s="83" t="str">
        <f>HYPERLINK("https://t.co/hpZSryh1ap")</f>
        <v>https://t.co/hpZSryh1ap</v>
      </c>
      <c r="AX545" s="76" t="b">
        <v>0</v>
      </c>
      <c r="AY545" s="76"/>
      <c r="AZ545" s="76"/>
      <c r="BA545" s="76" t="b">
        <v>0</v>
      </c>
      <c r="BB545" s="76" t="b">
        <v>1</v>
      </c>
      <c r="BC545" s="76" t="b">
        <v>0</v>
      </c>
      <c r="BD545" s="76" t="b">
        <v>0</v>
      </c>
      <c r="BE545" s="76" t="b">
        <v>0</v>
      </c>
      <c r="BF545" s="76" t="b">
        <v>0</v>
      </c>
      <c r="BG545" s="76" t="b">
        <v>0</v>
      </c>
      <c r="BH545" s="83" t="str">
        <f>HYPERLINK("https://pbs.twimg.com/profile_banners/16886866/1674478459")</f>
        <v>https://pbs.twimg.com/profile_banners/16886866/1674478459</v>
      </c>
      <c r="BI545" s="76"/>
      <c r="BJ545" s="76" t="s">
        <v>18704</v>
      </c>
      <c r="BK545" s="76" t="b">
        <v>0</v>
      </c>
      <c r="BL545" s="76"/>
      <c r="BM545" s="76" t="s">
        <v>66</v>
      </c>
      <c r="BN545" s="76" t="s">
        <v>18706</v>
      </c>
      <c r="BO545" s="83" t="str">
        <f>HYPERLINK("https://twitter.com/rintereconomia")</f>
        <v>https://twitter.com/rintereconomia</v>
      </c>
      <c r="BP545" s="2"/>
    </row>
    <row r="546" spans="1:68" x14ac:dyDescent="0.25">
      <c r="A546" s="62" t="s">
        <v>618</v>
      </c>
      <c r="B546" s="63"/>
      <c r="C546" s="63"/>
      <c r="D546" s="64"/>
      <c r="E546" s="66"/>
      <c r="F546" s="102" t="str">
        <f>HYPERLINK("https://pbs.twimg.com/profile_images/1694508672339070976/E9FixVoR_normal.jpg")</f>
        <v>https://pbs.twimg.com/profile_images/1694508672339070976/E9FixVoR_normal.jpg</v>
      </c>
      <c r="G546" s="63"/>
      <c r="H546" s="67"/>
      <c r="I546" s="68"/>
      <c r="J546" s="68"/>
      <c r="K546" s="67" t="s">
        <v>19249</v>
      </c>
      <c r="L546" s="71"/>
      <c r="M546" s="72"/>
      <c r="N546" s="72"/>
      <c r="O546" s="73"/>
      <c r="P546" s="74"/>
      <c r="Q546" s="74"/>
      <c r="R546" s="86"/>
      <c r="S546" s="86"/>
      <c r="T546" s="86"/>
      <c r="U546" s="86"/>
      <c r="V546" s="48"/>
      <c r="W546" s="48"/>
      <c r="X546" s="48"/>
      <c r="Y546" s="48"/>
      <c r="Z546" s="47"/>
      <c r="AA546" s="69">
        <v>546</v>
      </c>
      <c r="AB546" s="69"/>
      <c r="AC546" s="70"/>
      <c r="AD546" s="76" t="s">
        <v>16972</v>
      </c>
      <c r="AE546" s="81" t="s">
        <v>15968</v>
      </c>
      <c r="AF546" s="76">
        <v>1</v>
      </c>
      <c r="AG546" s="76">
        <v>2</v>
      </c>
      <c r="AH546" s="76">
        <v>15</v>
      </c>
      <c r="AI546" s="76">
        <v>0</v>
      </c>
      <c r="AJ546" s="76">
        <v>14</v>
      </c>
      <c r="AK546" s="76">
        <v>10</v>
      </c>
      <c r="AL546" s="76" t="b">
        <v>0</v>
      </c>
      <c r="AM546" s="78">
        <v>45162.024293981478</v>
      </c>
      <c r="AN546" s="76"/>
      <c r="AO546" s="76" t="s">
        <v>18134</v>
      </c>
      <c r="AP546" s="83" t="str">
        <f>HYPERLINK("https://t.co/J6XxNpXHgX")</f>
        <v>https://t.co/J6XxNpXHgX</v>
      </c>
      <c r="AQ546" s="83" t="str">
        <f>HYPERLINK("https://www.youtube.com/@EdtSomar")</f>
        <v>https://www.youtube.com/@EdtSomar</v>
      </c>
      <c r="AR546" s="76" t="s">
        <v>18565</v>
      </c>
      <c r="AS546" s="76"/>
      <c r="AT546" s="76"/>
      <c r="AU546" s="76"/>
      <c r="AV546" s="76">
        <v>1.70056789345954E+18</v>
      </c>
      <c r="AW546" s="83" t="str">
        <f>HYPERLINK("https://t.co/J6XxNpXHgX")</f>
        <v>https://t.co/J6XxNpXHgX</v>
      </c>
      <c r="AX546" s="76" t="b">
        <v>0</v>
      </c>
      <c r="AY546" s="76"/>
      <c r="AZ546" s="76"/>
      <c r="BA546" s="76" t="b">
        <v>0</v>
      </c>
      <c r="BB546" s="76" t="b">
        <v>1</v>
      </c>
      <c r="BC546" s="76" t="b">
        <v>1</v>
      </c>
      <c r="BD546" s="76" t="b">
        <v>0</v>
      </c>
      <c r="BE546" s="76" t="b">
        <v>0</v>
      </c>
      <c r="BF546" s="76" t="b">
        <v>0</v>
      </c>
      <c r="BG546" s="76" t="b">
        <v>0</v>
      </c>
      <c r="BH546" s="83" t="str">
        <f>HYPERLINK("https://pbs.twimg.com/profile_banners/1694508495469494272/1692837528")</f>
        <v>https://pbs.twimg.com/profile_banners/1694508495469494272/1692837528</v>
      </c>
      <c r="BI546" s="76"/>
      <c r="BJ546" s="76" t="s">
        <v>18704</v>
      </c>
      <c r="BK546" s="76" t="b">
        <v>0</v>
      </c>
      <c r="BL546" s="76"/>
      <c r="BM546" s="76" t="s">
        <v>66</v>
      </c>
      <c r="BN546" s="76" t="s">
        <v>18706</v>
      </c>
      <c r="BO546" s="83" t="str">
        <f>HYPERLINK("https://twitter.com/deniseedt")</f>
        <v>https://twitter.com/deniseedt</v>
      </c>
      <c r="BP546" s="2"/>
    </row>
    <row r="547" spans="1:68" x14ac:dyDescent="0.25">
      <c r="A547" s="62" t="s">
        <v>619</v>
      </c>
      <c r="B547" s="63"/>
      <c r="C547" s="63"/>
      <c r="D547" s="64"/>
      <c r="E547" s="66"/>
      <c r="F547" s="102" t="str">
        <f>HYPERLINK("https://pbs.twimg.com/profile_images/889055576604516352/edWQCje8_normal.jpg")</f>
        <v>https://pbs.twimg.com/profile_images/889055576604516352/edWQCje8_normal.jpg</v>
      </c>
      <c r="G547" s="63"/>
      <c r="H547" s="67"/>
      <c r="I547" s="68"/>
      <c r="J547" s="68"/>
      <c r="K547" s="67" t="s">
        <v>19250</v>
      </c>
      <c r="L547" s="71"/>
      <c r="M547" s="72"/>
      <c r="N547" s="72"/>
      <c r="O547" s="73"/>
      <c r="P547" s="74"/>
      <c r="Q547" s="74"/>
      <c r="R547" s="86"/>
      <c r="S547" s="86"/>
      <c r="T547" s="86"/>
      <c r="U547" s="86"/>
      <c r="V547" s="48"/>
      <c r="W547" s="48"/>
      <c r="X547" s="48"/>
      <c r="Y547" s="48"/>
      <c r="Z547" s="47"/>
      <c r="AA547" s="69">
        <v>547</v>
      </c>
      <c r="AB547" s="69"/>
      <c r="AC547" s="70"/>
      <c r="AD547" s="76" t="s">
        <v>16973</v>
      </c>
      <c r="AE547" s="81" t="s">
        <v>17357</v>
      </c>
      <c r="AF547" s="76">
        <v>849</v>
      </c>
      <c r="AG547" s="76">
        <v>1103</v>
      </c>
      <c r="AH547" s="76">
        <v>73141</v>
      </c>
      <c r="AI547" s="76">
        <v>34</v>
      </c>
      <c r="AJ547" s="76">
        <v>7583</v>
      </c>
      <c r="AK547" s="76">
        <v>831</v>
      </c>
      <c r="AL547" s="76" t="b">
        <v>0</v>
      </c>
      <c r="AM547" s="78">
        <v>40874.623726851853</v>
      </c>
      <c r="AN547" s="76" t="s">
        <v>17605</v>
      </c>
      <c r="AO547" s="76" t="s">
        <v>18135</v>
      </c>
      <c r="AP547" s="76"/>
      <c r="AQ547" s="76"/>
      <c r="AR547" s="76"/>
      <c r="AS547" s="76"/>
      <c r="AT547" s="76"/>
      <c r="AU547" s="76"/>
      <c r="AV547" s="76">
        <v>8.9284474962703501E+17</v>
      </c>
      <c r="AW547" s="76"/>
      <c r="AX547" s="76" t="b">
        <v>0</v>
      </c>
      <c r="AY547" s="76"/>
      <c r="AZ547" s="76"/>
      <c r="BA547" s="76" t="b">
        <v>1</v>
      </c>
      <c r="BB547" s="76" t="b">
        <v>1</v>
      </c>
      <c r="BC547" s="76" t="b">
        <v>0</v>
      </c>
      <c r="BD547" s="76" t="b">
        <v>0</v>
      </c>
      <c r="BE547" s="76" t="b">
        <v>1</v>
      </c>
      <c r="BF547" s="76" t="b">
        <v>0</v>
      </c>
      <c r="BG547" s="76" t="b">
        <v>0</v>
      </c>
      <c r="BH547" s="83" t="str">
        <f>HYPERLINK("https://pbs.twimg.com/profile_banners/422670466/1500801946")</f>
        <v>https://pbs.twimg.com/profile_banners/422670466/1500801946</v>
      </c>
      <c r="BI547" s="76"/>
      <c r="BJ547" s="76" t="s">
        <v>18704</v>
      </c>
      <c r="BK547" s="76" t="b">
        <v>0</v>
      </c>
      <c r="BL547" s="76"/>
      <c r="BM547" s="76" t="s">
        <v>66</v>
      </c>
      <c r="BN547" s="76" t="s">
        <v>18706</v>
      </c>
      <c r="BO547" s="83" t="str">
        <f>HYPERLINK("https://twitter.com/armandoseoane")</f>
        <v>https://twitter.com/armandoseoane</v>
      </c>
      <c r="BP547" s="2"/>
    </row>
    <row r="548" spans="1:68" x14ac:dyDescent="0.25">
      <c r="A548" s="62" t="s">
        <v>620</v>
      </c>
      <c r="B548" s="63"/>
      <c r="C548" s="63"/>
      <c r="D548" s="64"/>
      <c r="E548" s="66"/>
      <c r="F548" s="102" t="str">
        <f>HYPERLINK("https://pbs.twimg.com/profile_images/1620075128104050688/iJcekeiK_normal.jpg")</f>
        <v>https://pbs.twimg.com/profile_images/1620075128104050688/iJcekeiK_normal.jpg</v>
      </c>
      <c r="G548" s="63"/>
      <c r="H548" s="67"/>
      <c r="I548" s="68"/>
      <c r="J548" s="68"/>
      <c r="K548" s="67" t="s">
        <v>19251</v>
      </c>
      <c r="L548" s="71"/>
      <c r="M548" s="72"/>
      <c r="N548" s="72"/>
      <c r="O548" s="73"/>
      <c r="P548" s="74"/>
      <c r="Q548" s="74"/>
      <c r="R548" s="86"/>
      <c r="S548" s="86"/>
      <c r="T548" s="86"/>
      <c r="U548" s="86"/>
      <c r="V548" s="48"/>
      <c r="W548" s="48"/>
      <c r="X548" s="48"/>
      <c r="Y548" s="48"/>
      <c r="Z548" s="47"/>
      <c r="AA548" s="69">
        <v>548</v>
      </c>
      <c r="AB548" s="69"/>
      <c r="AC548" s="70"/>
      <c r="AD548" s="76" t="s">
        <v>16974</v>
      </c>
      <c r="AE548" s="81" t="s">
        <v>16327</v>
      </c>
      <c r="AF548" s="76">
        <v>12</v>
      </c>
      <c r="AG548" s="76">
        <v>121</v>
      </c>
      <c r="AH548" s="76">
        <v>48</v>
      </c>
      <c r="AI548" s="76">
        <v>0</v>
      </c>
      <c r="AJ548" s="76">
        <v>997</v>
      </c>
      <c r="AK548" s="76">
        <v>11</v>
      </c>
      <c r="AL548" s="76" t="b">
        <v>0</v>
      </c>
      <c r="AM548" s="78">
        <v>44679.779351851852</v>
      </c>
      <c r="AN548" s="76" t="s">
        <v>10570</v>
      </c>
      <c r="AO548" s="76" t="s">
        <v>18136</v>
      </c>
      <c r="AP548" s="83" t="str">
        <f>HYPERLINK("https://t.co/Crch0E64Gb")</f>
        <v>https://t.co/Crch0E64Gb</v>
      </c>
      <c r="AQ548" s="83" t="str">
        <f>HYPERLINK("https://www.canva.com/design/DAFVyIxvaAw/6jZM09FCyf7r0MJXqzBnwQ/view")</f>
        <v>https://www.canva.com/design/DAFVyIxvaAw/6jZM09FCyf7r0MJXqzBnwQ/view</v>
      </c>
      <c r="AR548" s="76" t="s">
        <v>18566</v>
      </c>
      <c r="AS548" s="76"/>
      <c r="AT548" s="76"/>
      <c r="AU548" s="76"/>
      <c r="AV548" s="76">
        <v>1.6926306562145201E+18</v>
      </c>
      <c r="AW548" s="83" t="str">
        <f>HYPERLINK("https://t.co/Crch0E64Gb")</f>
        <v>https://t.co/Crch0E64Gb</v>
      </c>
      <c r="AX548" s="76" t="b">
        <v>0</v>
      </c>
      <c r="AY548" s="76"/>
      <c r="AZ548" s="76"/>
      <c r="BA548" s="76" t="b">
        <v>0</v>
      </c>
      <c r="BB548" s="76" t="b">
        <v>0</v>
      </c>
      <c r="BC548" s="76" t="b">
        <v>1</v>
      </c>
      <c r="BD548" s="76" t="b">
        <v>0</v>
      </c>
      <c r="BE548" s="76" t="b">
        <v>1</v>
      </c>
      <c r="BF548" s="76" t="b">
        <v>0</v>
      </c>
      <c r="BG548" s="76" t="b">
        <v>0</v>
      </c>
      <c r="BH548" s="83" t="str">
        <f>HYPERLINK("https://pbs.twimg.com/profile_banners/1519748713995980800/1651172441")</f>
        <v>https://pbs.twimg.com/profile_banners/1519748713995980800/1651172441</v>
      </c>
      <c r="BI548" s="76"/>
      <c r="BJ548" s="76" t="s">
        <v>18704</v>
      </c>
      <c r="BK548" s="76" t="b">
        <v>0</v>
      </c>
      <c r="BL548" s="76"/>
      <c r="BM548" s="76" t="s">
        <v>66</v>
      </c>
      <c r="BN548" s="76" t="s">
        <v>18706</v>
      </c>
      <c r="BO548" s="83" t="str">
        <f>HYPERLINK("https://twitter.com/eshaddows")</f>
        <v>https://twitter.com/eshaddows</v>
      </c>
      <c r="BP548" s="2"/>
    </row>
    <row r="549" spans="1:68" x14ac:dyDescent="0.25">
      <c r="A549" s="62" t="s">
        <v>621</v>
      </c>
      <c r="B549" s="63"/>
      <c r="C549" s="63"/>
      <c r="D549" s="64"/>
      <c r="E549" s="66"/>
      <c r="F549" s="102" t="str">
        <f>HYPERLINK("https://pbs.twimg.com/profile_images/1687666098118807552/5a4dRvWR_normal.jpg")</f>
        <v>https://pbs.twimg.com/profile_images/1687666098118807552/5a4dRvWR_normal.jpg</v>
      </c>
      <c r="G549" s="63"/>
      <c r="H549" s="67"/>
      <c r="I549" s="68"/>
      <c r="J549" s="68"/>
      <c r="K549" s="67" t="s">
        <v>19252</v>
      </c>
      <c r="L549" s="71"/>
      <c r="M549" s="72"/>
      <c r="N549" s="72"/>
      <c r="O549" s="73"/>
      <c r="P549" s="74"/>
      <c r="Q549" s="74"/>
      <c r="R549" s="86"/>
      <c r="S549" s="86"/>
      <c r="T549" s="86"/>
      <c r="U549" s="86"/>
      <c r="V549" s="48"/>
      <c r="W549" s="48"/>
      <c r="X549" s="48"/>
      <c r="Y549" s="48"/>
      <c r="Z549" s="47"/>
      <c r="AA549" s="69">
        <v>549</v>
      </c>
      <c r="AB549" s="69"/>
      <c r="AC549" s="70"/>
      <c r="AD549" s="76" t="s">
        <v>16975</v>
      </c>
      <c r="AE549" s="81" t="s">
        <v>16328</v>
      </c>
      <c r="AF549" s="76">
        <v>1</v>
      </c>
      <c r="AG549" s="76">
        <v>0</v>
      </c>
      <c r="AH549" s="76">
        <v>9</v>
      </c>
      <c r="AI549" s="76">
        <v>0</v>
      </c>
      <c r="AJ549" s="76">
        <v>0</v>
      </c>
      <c r="AK549" s="76">
        <v>9</v>
      </c>
      <c r="AL549" s="76" t="b">
        <v>0</v>
      </c>
      <c r="AM549" s="78">
        <v>45142.643275462964</v>
      </c>
      <c r="AN549" s="76"/>
      <c r="AO549" s="76" t="s">
        <v>18137</v>
      </c>
      <c r="AP549" s="83" t="str">
        <f>HYPERLINK("https://t.co/l51ICW2PRG")</f>
        <v>https://t.co/l51ICW2PRG</v>
      </c>
      <c r="AQ549" s="83" t="str">
        <f>HYPERLINK("https://samynews.sancalproducoes.com.br")</f>
        <v>https://samynews.sancalproducoes.com.br</v>
      </c>
      <c r="AR549" s="76" t="s">
        <v>18567</v>
      </c>
      <c r="AS549" s="76"/>
      <c r="AT549" s="76"/>
      <c r="AU549" s="76"/>
      <c r="AV549" s="76"/>
      <c r="AW549" s="83" t="str">
        <f>HYPERLINK("https://t.co/l51ICW2PRG")</f>
        <v>https://t.co/l51ICW2PRG</v>
      </c>
      <c r="AX549" s="76" t="b">
        <v>0</v>
      </c>
      <c r="AY549" s="76"/>
      <c r="AZ549" s="76"/>
      <c r="BA549" s="76" t="b">
        <v>0</v>
      </c>
      <c r="BB549" s="76" t="b">
        <v>1</v>
      </c>
      <c r="BC549" s="76" t="b">
        <v>1</v>
      </c>
      <c r="BD549" s="76" t="b">
        <v>0</v>
      </c>
      <c r="BE549" s="76" t="b">
        <v>0</v>
      </c>
      <c r="BF549" s="76" t="b">
        <v>0</v>
      </c>
      <c r="BG549" s="76" t="b">
        <v>0</v>
      </c>
      <c r="BH549" s="76"/>
      <c r="BI549" s="76"/>
      <c r="BJ549" s="76" t="s">
        <v>18704</v>
      </c>
      <c r="BK549" s="76" t="b">
        <v>0</v>
      </c>
      <c r="BL549" s="76"/>
      <c r="BM549" s="76" t="s">
        <v>66</v>
      </c>
      <c r="BN549" s="76" t="s">
        <v>18706</v>
      </c>
      <c r="BO549" s="83" t="str">
        <f>HYPERLINK("https://twitter.com/sm_news23")</f>
        <v>https://twitter.com/sm_news23</v>
      </c>
      <c r="BP549" s="2"/>
    </row>
    <row r="550" spans="1:68" x14ac:dyDescent="0.25">
      <c r="A550" s="62" t="s">
        <v>622</v>
      </c>
      <c r="B550" s="63"/>
      <c r="C550" s="63"/>
      <c r="D550" s="64"/>
      <c r="E550" s="66"/>
      <c r="F550" s="102" t="str">
        <f>HYPERLINK("https://pbs.twimg.com/profile_images/1643965260947234818/RA98abEy_normal.jpg")</f>
        <v>https://pbs.twimg.com/profile_images/1643965260947234818/RA98abEy_normal.jpg</v>
      </c>
      <c r="G550" s="63"/>
      <c r="H550" s="67"/>
      <c r="I550" s="68"/>
      <c r="J550" s="68"/>
      <c r="K550" s="67" t="s">
        <v>19253</v>
      </c>
      <c r="L550" s="71"/>
      <c r="M550" s="72"/>
      <c r="N550" s="72"/>
      <c r="O550" s="73"/>
      <c r="P550" s="74"/>
      <c r="Q550" s="74"/>
      <c r="R550" s="86"/>
      <c r="S550" s="86"/>
      <c r="T550" s="86"/>
      <c r="U550" s="86"/>
      <c r="V550" s="48"/>
      <c r="W550" s="48"/>
      <c r="X550" s="48"/>
      <c r="Y550" s="48"/>
      <c r="Z550" s="47"/>
      <c r="AA550" s="69">
        <v>550</v>
      </c>
      <c r="AB550" s="69"/>
      <c r="AC550" s="70"/>
      <c r="AD550" s="76" t="s">
        <v>16976</v>
      </c>
      <c r="AE550" s="81" t="s">
        <v>15969</v>
      </c>
      <c r="AF550" s="76">
        <v>3</v>
      </c>
      <c r="AG550" s="76">
        <v>41</v>
      </c>
      <c r="AH550" s="76">
        <v>73</v>
      </c>
      <c r="AI550" s="76">
        <v>0</v>
      </c>
      <c r="AJ550" s="76">
        <v>16</v>
      </c>
      <c r="AK550" s="76">
        <v>3</v>
      </c>
      <c r="AL550" s="76" t="b">
        <v>0</v>
      </c>
      <c r="AM550" s="78">
        <v>40761.071655092594</v>
      </c>
      <c r="AN550" s="76"/>
      <c r="AO550" s="76"/>
      <c r="AP550" s="76"/>
      <c r="AQ550" s="76"/>
      <c r="AR550" s="76"/>
      <c r="AS550" s="76"/>
      <c r="AT550" s="76"/>
      <c r="AU550" s="76"/>
      <c r="AV550" s="76"/>
      <c r="AW550" s="76"/>
      <c r="AX550" s="76" t="b">
        <v>0</v>
      </c>
      <c r="AY550" s="76"/>
      <c r="AZ550" s="76"/>
      <c r="BA550" s="76" t="b">
        <v>1</v>
      </c>
      <c r="BB550" s="76" t="b">
        <v>0</v>
      </c>
      <c r="BC550" s="76" t="b">
        <v>1</v>
      </c>
      <c r="BD550" s="76" t="b">
        <v>0</v>
      </c>
      <c r="BE550" s="76" t="b">
        <v>1</v>
      </c>
      <c r="BF550" s="76" t="b">
        <v>0</v>
      </c>
      <c r="BG550" s="76" t="b">
        <v>0</v>
      </c>
      <c r="BH550" s="76"/>
      <c r="BI550" s="76"/>
      <c r="BJ550" s="76" t="s">
        <v>18704</v>
      </c>
      <c r="BK550" s="76" t="b">
        <v>0</v>
      </c>
      <c r="BL550" s="76"/>
      <c r="BM550" s="76" t="s">
        <v>66</v>
      </c>
      <c r="BN550" s="76" t="s">
        <v>18706</v>
      </c>
      <c r="BO550" s="83" t="str">
        <f>HYPERLINK("https://twitter.com/0xgabinvest")</f>
        <v>https://twitter.com/0xgabinvest</v>
      </c>
      <c r="BP550" s="2"/>
    </row>
    <row r="551" spans="1:68" x14ac:dyDescent="0.25">
      <c r="A551" s="62" t="s">
        <v>623</v>
      </c>
      <c r="B551" s="63"/>
      <c r="C551" s="63"/>
      <c r="D551" s="64"/>
      <c r="E551" s="66"/>
      <c r="F551" s="102" t="str">
        <f>HYPERLINK("https://pbs.twimg.com/profile_images/1673447268198891520/SjA30buN_normal.jpg")</f>
        <v>https://pbs.twimg.com/profile_images/1673447268198891520/SjA30buN_normal.jpg</v>
      </c>
      <c r="G551" s="63"/>
      <c r="H551" s="67"/>
      <c r="I551" s="68"/>
      <c r="J551" s="68"/>
      <c r="K551" s="67" t="s">
        <v>19254</v>
      </c>
      <c r="L551" s="71"/>
      <c r="M551" s="72"/>
      <c r="N551" s="72"/>
      <c r="O551" s="73"/>
      <c r="P551" s="74"/>
      <c r="Q551" s="74"/>
      <c r="R551" s="86"/>
      <c r="S551" s="86"/>
      <c r="T551" s="86"/>
      <c r="U551" s="86"/>
      <c r="V551" s="48"/>
      <c r="W551" s="48"/>
      <c r="X551" s="48"/>
      <c r="Y551" s="48"/>
      <c r="Z551" s="47"/>
      <c r="AA551" s="69">
        <v>551</v>
      </c>
      <c r="AB551" s="69"/>
      <c r="AC551" s="70"/>
      <c r="AD551" s="76" t="s">
        <v>16977</v>
      </c>
      <c r="AE551" s="81" t="s">
        <v>16329</v>
      </c>
      <c r="AF551" s="76">
        <v>1801</v>
      </c>
      <c r="AG551" s="76">
        <v>62</v>
      </c>
      <c r="AH551" s="76">
        <v>2914</v>
      </c>
      <c r="AI551" s="76">
        <v>14</v>
      </c>
      <c r="AJ551" s="76">
        <v>3861</v>
      </c>
      <c r="AK551" s="76">
        <v>1031</v>
      </c>
      <c r="AL551" s="76" t="b">
        <v>0</v>
      </c>
      <c r="AM551" s="78">
        <v>44347.352407407408</v>
      </c>
      <c r="AN551" s="76" t="s">
        <v>17606</v>
      </c>
      <c r="AO551" s="76" t="s">
        <v>18138</v>
      </c>
      <c r="AP551" s="83" t="str">
        <f>HYPERLINK("https://t.co/UoDRYpj1BM")</f>
        <v>https://t.co/UoDRYpj1BM</v>
      </c>
      <c r="AQ551" s="83" t="str">
        <f>HYPERLINK("https://www.encriptos.es/enlaces/")</f>
        <v>https://www.encriptos.es/enlaces/</v>
      </c>
      <c r="AR551" s="76" t="s">
        <v>18568</v>
      </c>
      <c r="AS551" s="76"/>
      <c r="AT551" s="76"/>
      <c r="AU551" s="76"/>
      <c r="AV551" s="76">
        <v>1.70738229195613E+18</v>
      </c>
      <c r="AW551" s="83" t="str">
        <f>HYPERLINK("https://t.co/UoDRYpj1BM")</f>
        <v>https://t.co/UoDRYpj1BM</v>
      </c>
      <c r="AX551" s="76" t="b">
        <v>0</v>
      </c>
      <c r="AY551" s="76"/>
      <c r="AZ551" s="76"/>
      <c r="BA551" s="76" t="b">
        <v>0</v>
      </c>
      <c r="BB551" s="76" t="b">
        <v>1</v>
      </c>
      <c r="BC551" s="76" t="b">
        <v>1</v>
      </c>
      <c r="BD551" s="76" t="b">
        <v>0</v>
      </c>
      <c r="BE551" s="76" t="b">
        <v>1</v>
      </c>
      <c r="BF551" s="76" t="b">
        <v>0</v>
      </c>
      <c r="BG551" s="76" t="b">
        <v>0</v>
      </c>
      <c r="BH551" s="83" t="str">
        <f>HYPERLINK("https://pbs.twimg.com/profile_banners/1399281329326395392/1663628779")</f>
        <v>https://pbs.twimg.com/profile_banners/1399281329326395392/1663628779</v>
      </c>
      <c r="BI551" s="76"/>
      <c r="BJ551" s="76" t="s">
        <v>18704</v>
      </c>
      <c r="BK551" s="76" t="b">
        <v>0</v>
      </c>
      <c r="BL551" s="76"/>
      <c r="BM551" s="76" t="s">
        <v>66</v>
      </c>
      <c r="BN551" s="76" t="s">
        <v>18706</v>
      </c>
      <c r="BO551" s="83" t="str">
        <f>HYPERLINK("https://twitter.com/doctorencriptos")</f>
        <v>https://twitter.com/doctorencriptos</v>
      </c>
      <c r="BP551" s="2"/>
    </row>
    <row r="552" spans="1:68" x14ac:dyDescent="0.25">
      <c r="A552" s="62" t="s">
        <v>624</v>
      </c>
      <c r="B552" s="63"/>
      <c r="C552" s="63"/>
      <c r="D552" s="64"/>
      <c r="E552" s="66"/>
      <c r="F552" s="102" t="str">
        <f>HYPERLINK("https://pbs.twimg.com/profile_images/1382399554214068228/CWfKFSVp_normal.jpg")</f>
        <v>https://pbs.twimg.com/profile_images/1382399554214068228/CWfKFSVp_normal.jpg</v>
      </c>
      <c r="G552" s="63"/>
      <c r="H552" s="67"/>
      <c r="I552" s="68"/>
      <c r="J552" s="68"/>
      <c r="K552" s="67" t="s">
        <v>19255</v>
      </c>
      <c r="L552" s="71"/>
      <c r="M552" s="72"/>
      <c r="N552" s="72"/>
      <c r="O552" s="73"/>
      <c r="P552" s="74"/>
      <c r="Q552" s="74"/>
      <c r="R552" s="86"/>
      <c r="S552" s="86"/>
      <c r="T552" s="86"/>
      <c r="U552" s="86"/>
      <c r="V552" s="48"/>
      <c r="W552" s="48"/>
      <c r="X552" s="48"/>
      <c r="Y552" s="48"/>
      <c r="Z552" s="47"/>
      <c r="AA552" s="69">
        <v>552</v>
      </c>
      <c r="AB552" s="69"/>
      <c r="AC552" s="70"/>
      <c r="AD552" s="76" t="s">
        <v>16978</v>
      </c>
      <c r="AE552" s="81" t="s">
        <v>17358</v>
      </c>
      <c r="AF552" s="76">
        <v>220836</v>
      </c>
      <c r="AG552" s="76">
        <v>40</v>
      </c>
      <c r="AH552" s="76">
        <v>127643</v>
      </c>
      <c r="AI552" s="76">
        <v>360</v>
      </c>
      <c r="AJ552" s="76">
        <v>592</v>
      </c>
      <c r="AK552" s="76">
        <v>16973</v>
      </c>
      <c r="AL552" s="76" t="b">
        <v>0</v>
      </c>
      <c r="AM552" s="78">
        <v>39772.911631944444</v>
      </c>
      <c r="AN552" s="76" t="s">
        <v>17607</v>
      </c>
      <c r="AO552" s="76" t="s">
        <v>18139</v>
      </c>
      <c r="AP552" s="83" t="str">
        <f>HYPERLINK("https://t.co/1ofZDsEPVw")</f>
        <v>https://t.co/1ofZDsEPVw</v>
      </c>
      <c r="AQ552" s="83" t="str">
        <f>HYPERLINK("http://cbnvitoria.com.br")</f>
        <v>http://cbnvitoria.com.br</v>
      </c>
      <c r="AR552" s="76" t="s">
        <v>18569</v>
      </c>
      <c r="AS552" s="76"/>
      <c r="AT552" s="76"/>
      <c r="AU552" s="76"/>
      <c r="AV552" s="76"/>
      <c r="AW552" s="83" t="str">
        <f>HYPERLINK("https://t.co/1ofZDsEPVw")</f>
        <v>https://t.co/1ofZDsEPVw</v>
      </c>
      <c r="AX552" s="76" t="b">
        <v>0</v>
      </c>
      <c r="AY552" s="76"/>
      <c r="AZ552" s="76"/>
      <c r="BA552" s="76" t="b">
        <v>0</v>
      </c>
      <c r="BB552" s="76" t="b">
        <v>1</v>
      </c>
      <c r="BC552" s="76" t="b">
        <v>0</v>
      </c>
      <c r="BD552" s="76" t="b">
        <v>0</v>
      </c>
      <c r="BE552" s="76" t="b">
        <v>0</v>
      </c>
      <c r="BF552" s="76" t="b">
        <v>0</v>
      </c>
      <c r="BG552" s="76" t="b">
        <v>0</v>
      </c>
      <c r="BH552" s="83" t="str">
        <f>HYPERLINK("https://pbs.twimg.com/profile_banners/17523521/1634913847")</f>
        <v>https://pbs.twimg.com/profile_banners/17523521/1634913847</v>
      </c>
      <c r="BI552" s="76"/>
      <c r="BJ552" s="76" t="s">
        <v>18704</v>
      </c>
      <c r="BK552" s="76" t="b">
        <v>0</v>
      </c>
      <c r="BL552" s="76"/>
      <c r="BM552" s="76" t="s">
        <v>66</v>
      </c>
      <c r="BN552" s="76" t="s">
        <v>18706</v>
      </c>
      <c r="BO552" s="83" t="str">
        <f>HYPERLINK("https://twitter.com/cbnvitoria")</f>
        <v>https://twitter.com/cbnvitoria</v>
      </c>
      <c r="BP552" s="2"/>
    </row>
    <row r="553" spans="1:68" x14ac:dyDescent="0.25">
      <c r="A553" s="62" t="s">
        <v>625</v>
      </c>
      <c r="B553" s="63"/>
      <c r="C553" s="63"/>
      <c r="D553" s="64"/>
      <c r="E553" s="66"/>
      <c r="F553" s="102" t="str">
        <f>HYPERLINK("https://pbs.twimg.com/profile_images/1671005656973729792/kT9bTh03_normal.jpg")</f>
        <v>https://pbs.twimg.com/profile_images/1671005656973729792/kT9bTh03_normal.jpg</v>
      </c>
      <c r="G553" s="63"/>
      <c r="H553" s="67"/>
      <c r="I553" s="68"/>
      <c r="J553" s="68"/>
      <c r="K553" s="67" t="s">
        <v>19256</v>
      </c>
      <c r="L553" s="71"/>
      <c r="M553" s="72"/>
      <c r="N553" s="72"/>
      <c r="O553" s="73"/>
      <c r="P553" s="74"/>
      <c r="Q553" s="74"/>
      <c r="R553" s="86"/>
      <c r="S553" s="86"/>
      <c r="T553" s="86"/>
      <c r="U553" s="86"/>
      <c r="V553" s="48"/>
      <c r="W553" s="48"/>
      <c r="X553" s="48"/>
      <c r="Y553" s="48"/>
      <c r="Z553" s="47"/>
      <c r="AA553" s="69">
        <v>553</v>
      </c>
      <c r="AB553" s="69"/>
      <c r="AC553" s="70"/>
      <c r="AD553" s="76" t="s">
        <v>16979</v>
      </c>
      <c r="AE553" s="81" t="s">
        <v>17359</v>
      </c>
      <c r="AF553" s="76">
        <v>2293</v>
      </c>
      <c r="AG553" s="76">
        <v>2758</v>
      </c>
      <c r="AH553" s="76">
        <v>24921</v>
      </c>
      <c r="AI553" s="76">
        <v>0</v>
      </c>
      <c r="AJ553" s="76">
        <v>32282</v>
      </c>
      <c r="AK553" s="76">
        <v>807</v>
      </c>
      <c r="AL553" s="76" t="b">
        <v>0</v>
      </c>
      <c r="AM553" s="78">
        <v>40355.022604166668</v>
      </c>
      <c r="AN553" s="76"/>
      <c r="AO553" s="76" t="s">
        <v>18140</v>
      </c>
      <c r="AP553" s="76"/>
      <c r="AQ553" s="76"/>
      <c r="AR553" s="76"/>
      <c r="AS553" s="76"/>
      <c r="AT553" s="76"/>
      <c r="AU553" s="76"/>
      <c r="AV553" s="76">
        <v>1.6244802717173399E+18</v>
      </c>
      <c r="AW553" s="76"/>
      <c r="AX553" s="76" t="b">
        <v>0</v>
      </c>
      <c r="AY553" s="76"/>
      <c r="AZ553" s="76"/>
      <c r="BA553" s="76" t="b">
        <v>1</v>
      </c>
      <c r="BB553" s="76" t="b">
        <v>0</v>
      </c>
      <c r="BC553" s="76" t="b">
        <v>1</v>
      </c>
      <c r="BD553" s="76" t="b">
        <v>0</v>
      </c>
      <c r="BE553" s="76" t="b">
        <v>1</v>
      </c>
      <c r="BF553" s="76" t="b">
        <v>0</v>
      </c>
      <c r="BG553" s="76" t="b">
        <v>0</v>
      </c>
      <c r="BH553" s="83" t="str">
        <f>HYPERLINK("https://pbs.twimg.com/profile_banners/159658481/1681738248")</f>
        <v>https://pbs.twimg.com/profile_banners/159658481/1681738248</v>
      </c>
      <c r="BI553" s="76"/>
      <c r="BJ553" s="76" t="s">
        <v>18704</v>
      </c>
      <c r="BK553" s="76" t="b">
        <v>0</v>
      </c>
      <c r="BL553" s="76"/>
      <c r="BM553" s="76" t="s">
        <v>66</v>
      </c>
      <c r="BN553" s="76" t="s">
        <v>18706</v>
      </c>
      <c r="BO553" s="83" t="str">
        <f>HYPERLINK("https://twitter.com/albeirobejarano")</f>
        <v>https://twitter.com/albeirobejarano</v>
      </c>
      <c r="BP553" s="2"/>
    </row>
    <row r="554" spans="1:68" x14ac:dyDescent="0.25">
      <c r="A554" s="62" t="s">
        <v>626</v>
      </c>
      <c r="B554" s="63"/>
      <c r="C554" s="63"/>
      <c r="D554" s="64"/>
      <c r="E554" s="66"/>
      <c r="F554" s="102" t="str">
        <f>HYPERLINK("https://pbs.twimg.com/profile_images/1556133071690285056/XG3AJ-An_normal.jpg")</f>
        <v>https://pbs.twimg.com/profile_images/1556133071690285056/XG3AJ-An_normal.jpg</v>
      </c>
      <c r="G554" s="63"/>
      <c r="H554" s="67"/>
      <c r="I554" s="68"/>
      <c r="J554" s="68"/>
      <c r="K554" s="67" t="s">
        <v>19257</v>
      </c>
      <c r="L554" s="71"/>
      <c r="M554" s="72"/>
      <c r="N554" s="72"/>
      <c r="O554" s="73"/>
      <c r="P554" s="74"/>
      <c r="Q554" s="74"/>
      <c r="R554" s="86"/>
      <c r="S554" s="86"/>
      <c r="T554" s="86"/>
      <c r="U554" s="86"/>
      <c r="V554" s="48"/>
      <c r="W554" s="48"/>
      <c r="X554" s="48"/>
      <c r="Y554" s="48"/>
      <c r="Z554" s="47"/>
      <c r="AA554" s="69">
        <v>554</v>
      </c>
      <c r="AB554" s="69"/>
      <c r="AC554" s="70"/>
      <c r="AD554" s="76" t="s">
        <v>16980</v>
      </c>
      <c r="AE554" s="81" t="s">
        <v>16330</v>
      </c>
      <c r="AF554" s="76">
        <v>513</v>
      </c>
      <c r="AG554" s="76">
        <v>42</v>
      </c>
      <c r="AH554" s="76">
        <v>7962</v>
      </c>
      <c r="AI554" s="76">
        <v>0</v>
      </c>
      <c r="AJ554" s="76">
        <v>7433</v>
      </c>
      <c r="AK554" s="76">
        <v>299</v>
      </c>
      <c r="AL554" s="76" t="b">
        <v>0</v>
      </c>
      <c r="AM554" s="78">
        <v>44779.780833333331</v>
      </c>
      <c r="AN554" s="76" t="s">
        <v>17445</v>
      </c>
      <c r="AO554" s="76" t="s">
        <v>18141</v>
      </c>
      <c r="AP554" s="76"/>
      <c r="AQ554" s="76"/>
      <c r="AR554" s="76"/>
      <c r="AS554" s="76"/>
      <c r="AT554" s="76"/>
      <c r="AU554" s="76"/>
      <c r="AV554" s="76"/>
      <c r="AW554" s="76"/>
      <c r="AX554" s="76" t="b">
        <v>0</v>
      </c>
      <c r="AY554" s="76"/>
      <c r="AZ554" s="76"/>
      <c r="BA554" s="76" t="b">
        <v>0</v>
      </c>
      <c r="BB554" s="76" t="b">
        <v>1</v>
      </c>
      <c r="BC554" s="76" t="b">
        <v>1</v>
      </c>
      <c r="BD554" s="76" t="b">
        <v>0</v>
      </c>
      <c r="BE554" s="76" t="b">
        <v>0</v>
      </c>
      <c r="BF554" s="76" t="b">
        <v>0</v>
      </c>
      <c r="BG554" s="76" t="b">
        <v>0</v>
      </c>
      <c r="BH554" s="83" t="str">
        <f>HYPERLINK("https://pbs.twimg.com/profile_banners/1555988077482582020/1659846068")</f>
        <v>https://pbs.twimg.com/profile_banners/1555988077482582020/1659846068</v>
      </c>
      <c r="BI554" s="76"/>
      <c r="BJ554" s="76" t="s">
        <v>18704</v>
      </c>
      <c r="BK554" s="76" t="b">
        <v>0</v>
      </c>
      <c r="BL554" s="76"/>
      <c r="BM554" s="76" t="s">
        <v>66</v>
      </c>
      <c r="BN554" s="76" t="s">
        <v>18706</v>
      </c>
      <c r="BO554" s="83" t="str">
        <f>HYPERLINK("https://twitter.com/robert_johnsto")</f>
        <v>https://twitter.com/robert_johnsto</v>
      </c>
      <c r="BP554" s="2"/>
    </row>
    <row r="555" spans="1:68" x14ac:dyDescent="0.25">
      <c r="A555" s="62" t="s">
        <v>627</v>
      </c>
      <c r="B555" s="63"/>
      <c r="C555" s="63"/>
      <c r="D555" s="64"/>
      <c r="E555" s="66"/>
      <c r="F555" s="102" t="str">
        <f>HYPERLINK("https://pbs.twimg.com/profile_images/1369108406657748993/TEGj6Z9j_normal.jpg")</f>
        <v>https://pbs.twimg.com/profile_images/1369108406657748993/TEGj6Z9j_normal.jpg</v>
      </c>
      <c r="G555" s="63"/>
      <c r="H555" s="67"/>
      <c r="I555" s="68"/>
      <c r="J555" s="68"/>
      <c r="K555" s="67" t="s">
        <v>19258</v>
      </c>
      <c r="L555" s="71"/>
      <c r="M555" s="72"/>
      <c r="N555" s="72"/>
      <c r="O555" s="73"/>
      <c r="P555" s="74"/>
      <c r="Q555" s="74"/>
      <c r="R555" s="86"/>
      <c r="S555" s="86"/>
      <c r="T555" s="86"/>
      <c r="U555" s="86"/>
      <c r="V555" s="48"/>
      <c r="W555" s="48"/>
      <c r="X555" s="48"/>
      <c r="Y555" s="48"/>
      <c r="Z555" s="47"/>
      <c r="AA555" s="69">
        <v>555</v>
      </c>
      <c r="AB555" s="69"/>
      <c r="AC555" s="70"/>
      <c r="AD555" s="76" t="s">
        <v>16981</v>
      </c>
      <c r="AE555" s="81" t="s">
        <v>17360</v>
      </c>
      <c r="AF555" s="76">
        <v>852</v>
      </c>
      <c r="AG555" s="76">
        <v>498</v>
      </c>
      <c r="AH555" s="76">
        <v>5608</v>
      </c>
      <c r="AI555" s="76">
        <v>4</v>
      </c>
      <c r="AJ555" s="76">
        <v>133</v>
      </c>
      <c r="AK555" s="76">
        <v>363</v>
      </c>
      <c r="AL555" s="76" t="b">
        <v>0</v>
      </c>
      <c r="AM555" s="78">
        <v>40292.018703703703</v>
      </c>
      <c r="AN555" s="76" t="s">
        <v>17608</v>
      </c>
      <c r="AO555" s="76" t="s">
        <v>18142</v>
      </c>
      <c r="AP555" s="83" t="str">
        <f>HYPERLINK("https://t.co/Rt8Y4qBhID")</f>
        <v>https://t.co/Rt8Y4qBhID</v>
      </c>
      <c r="AQ555" s="83" t="str">
        <f>HYPERLINK("http://www.nivel.com.br/b2b_solucoes")</f>
        <v>http://www.nivel.com.br/b2b_solucoes</v>
      </c>
      <c r="AR555" s="76" t="s">
        <v>18570</v>
      </c>
      <c r="AS555" s="76"/>
      <c r="AT555" s="76"/>
      <c r="AU555" s="76"/>
      <c r="AV555" s="76"/>
      <c r="AW555" s="83" t="str">
        <f>HYPERLINK("https://t.co/Rt8Y4qBhID")</f>
        <v>https://t.co/Rt8Y4qBhID</v>
      </c>
      <c r="AX555" s="76" t="b">
        <v>0</v>
      </c>
      <c r="AY555" s="76"/>
      <c r="AZ555" s="76"/>
      <c r="BA555" s="76" t="b">
        <v>0</v>
      </c>
      <c r="BB555" s="76" t="b">
        <v>1</v>
      </c>
      <c r="BC555" s="76" t="b">
        <v>0</v>
      </c>
      <c r="BD555" s="76" t="b">
        <v>0</v>
      </c>
      <c r="BE555" s="76" t="b">
        <v>0</v>
      </c>
      <c r="BF555" s="76" t="b">
        <v>0</v>
      </c>
      <c r="BG555" s="76" t="b">
        <v>1</v>
      </c>
      <c r="BH555" s="83" t="str">
        <f>HYPERLINK("https://pbs.twimg.com/profile_banners/136452657/1615255855")</f>
        <v>https://pbs.twimg.com/profile_banners/136452657/1615255855</v>
      </c>
      <c r="BI555" s="76"/>
      <c r="BJ555" s="76" t="s">
        <v>18704</v>
      </c>
      <c r="BK555" s="76" t="b">
        <v>0</v>
      </c>
      <c r="BL555" s="76"/>
      <c r="BM555" s="76" t="s">
        <v>66</v>
      </c>
      <c r="BN555" s="76" t="s">
        <v>18706</v>
      </c>
      <c r="BO555" s="83" t="str">
        <f>HYPERLINK("https://twitter.com/rodrigobarboza7")</f>
        <v>https://twitter.com/rodrigobarboza7</v>
      </c>
      <c r="BP555" s="2"/>
    </row>
    <row r="556" spans="1:68" x14ac:dyDescent="0.25">
      <c r="A556" s="62" t="s">
        <v>628</v>
      </c>
      <c r="B556" s="63"/>
      <c r="C556" s="63"/>
      <c r="D556" s="64"/>
      <c r="E556" s="66"/>
      <c r="F556" s="102" t="str">
        <f>HYPERLINK("https://pbs.twimg.com/profile_images/1520198843496808448/I6dxdUcT_normal.png")</f>
        <v>https://pbs.twimg.com/profile_images/1520198843496808448/I6dxdUcT_normal.png</v>
      </c>
      <c r="G556" s="63"/>
      <c r="H556" s="67"/>
      <c r="I556" s="68"/>
      <c r="J556" s="68"/>
      <c r="K556" s="67" t="s">
        <v>19259</v>
      </c>
      <c r="L556" s="71"/>
      <c r="M556" s="72"/>
      <c r="N556" s="72"/>
      <c r="O556" s="73"/>
      <c r="P556" s="74"/>
      <c r="Q556" s="74"/>
      <c r="R556" s="86"/>
      <c r="S556" s="86"/>
      <c r="T556" s="86"/>
      <c r="U556" s="86"/>
      <c r="V556" s="48"/>
      <c r="W556" s="48"/>
      <c r="X556" s="48"/>
      <c r="Y556" s="48"/>
      <c r="Z556" s="47"/>
      <c r="AA556" s="69">
        <v>556</v>
      </c>
      <c r="AB556" s="69"/>
      <c r="AC556" s="70"/>
      <c r="AD556" s="76" t="s">
        <v>16982</v>
      </c>
      <c r="AE556" s="81" t="s">
        <v>16331</v>
      </c>
      <c r="AF556" s="76">
        <v>287</v>
      </c>
      <c r="AG556" s="76">
        <v>514</v>
      </c>
      <c r="AH556" s="76">
        <v>46984</v>
      </c>
      <c r="AI556" s="76">
        <v>0</v>
      </c>
      <c r="AJ556" s="76">
        <v>69379</v>
      </c>
      <c r="AK556" s="76">
        <v>553</v>
      </c>
      <c r="AL556" s="76" t="b">
        <v>0</v>
      </c>
      <c r="AM556" s="78">
        <v>44681.021087962959</v>
      </c>
      <c r="AN556" s="76"/>
      <c r="AO556" s="76"/>
      <c r="AP556" s="76"/>
      <c r="AQ556" s="76"/>
      <c r="AR556" s="76"/>
      <c r="AS556" s="76"/>
      <c r="AT556" s="76"/>
      <c r="AU556" s="76"/>
      <c r="AV556" s="76"/>
      <c r="AW556" s="76"/>
      <c r="AX556" s="76" t="b">
        <v>0</v>
      </c>
      <c r="AY556" s="76"/>
      <c r="AZ556" s="76"/>
      <c r="BA556" s="76" t="b">
        <v>0</v>
      </c>
      <c r="BB556" s="76" t="b">
        <v>0</v>
      </c>
      <c r="BC556" s="76" t="b">
        <v>1</v>
      </c>
      <c r="BD556" s="76" t="b">
        <v>0</v>
      </c>
      <c r="BE556" s="76" t="b">
        <v>1</v>
      </c>
      <c r="BF556" s="76" t="b">
        <v>0</v>
      </c>
      <c r="BG556" s="76" t="b">
        <v>1</v>
      </c>
      <c r="BH556" s="76"/>
      <c r="BI556" s="76"/>
      <c r="BJ556" s="76" t="s">
        <v>18704</v>
      </c>
      <c r="BK556" s="76" t="b">
        <v>0</v>
      </c>
      <c r="BL556" s="76"/>
      <c r="BM556" s="76" t="s">
        <v>66</v>
      </c>
      <c r="BN556" s="76" t="s">
        <v>18706</v>
      </c>
      <c r="BO556" s="83" t="str">
        <f>HYPERLINK("https://twitter.com/rodrigues590804")</f>
        <v>https://twitter.com/rodrigues590804</v>
      </c>
      <c r="BP556" s="2"/>
    </row>
    <row r="557" spans="1:68" x14ac:dyDescent="0.25">
      <c r="A557" s="62" t="s">
        <v>629</v>
      </c>
      <c r="B557" s="63"/>
      <c r="C557" s="63"/>
      <c r="D557" s="64"/>
      <c r="E557" s="66"/>
      <c r="F557" s="102" t="str">
        <f>HYPERLINK("https://pbs.twimg.com/profile_images/1699368046417022976/6bWzowvr_normal.jpg")</f>
        <v>https://pbs.twimg.com/profile_images/1699368046417022976/6bWzowvr_normal.jpg</v>
      </c>
      <c r="G557" s="63"/>
      <c r="H557" s="67"/>
      <c r="I557" s="68"/>
      <c r="J557" s="68"/>
      <c r="K557" s="67" t="s">
        <v>19260</v>
      </c>
      <c r="L557" s="71"/>
      <c r="M557" s="72"/>
      <c r="N557" s="72"/>
      <c r="O557" s="73"/>
      <c r="P557" s="74"/>
      <c r="Q557" s="74"/>
      <c r="R557" s="86"/>
      <c r="S557" s="86"/>
      <c r="T557" s="86"/>
      <c r="U557" s="86"/>
      <c r="V557" s="48"/>
      <c r="W557" s="48"/>
      <c r="X557" s="48"/>
      <c r="Y557" s="48"/>
      <c r="Z557" s="47"/>
      <c r="AA557" s="69">
        <v>557</v>
      </c>
      <c r="AB557" s="69"/>
      <c r="AC557" s="70"/>
      <c r="AD557" s="76" t="s">
        <v>16983</v>
      </c>
      <c r="AE557" s="81" t="s">
        <v>16332</v>
      </c>
      <c r="AF557" s="76">
        <v>195</v>
      </c>
      <c r="AG557" s="76">
        <v>267</v>
      </c>
      <c r="AH557" s="76">
        <v>26</v>
      </c>
      <c r="AI557" s="76">
        <v>2</v>
      </c>
      <c r="AJ557" s="76">
        <v>7555</v>
      </c>
      <c r="AK557" s="76">
        <v>0</v>
      </c>
      <c r="AL557" s="76" t="b">
        <v>0</v>
      </c>
      <c r="AM557" s="78">
        <v>44989.862557870372</v>
      </c>
      <c r="AN557" s="76"/>
      <c r="AO557" s="76" t="s">
        <v>18143</v>
      </c>
      <c r="AP557" s="76"/>
      <c r="AQ557" s="76"/>
      <c r="AR557" s="76"/>
      <c r="AS557" s="76"/>
      <c r="AT557" s="76"/>
      <c r="AU557" s="76"/>
      <c r="AV557" s="76"/>
      <c r="AW557" s="76"/>
      <c r="AX557" s="76" t="b">
        <v>0</v>
      </c>
      <c r="AY557" s="76"/>
      <c r="AZ557" s="76"/>
      <c r="BA557" s="76" t="b">
        <v>1</v>
      </c>
      <c r="BB557" s="76" t="b">
        <v>1</v>
      </c>
      <c r="BC557" s="76" t="b">
        <v>1</v>
      </c>
      <c r="BD557" s="76" t="b">
        <v>0</v>
      </c>
      <c r="BE557" s="76" t="b">
        <v>0</v>
      </c>
      <c r="BF557" s="76" t="b">
        <v>0</v>
      </c>
      <c r="BG557" s="76" t="b">
        <v>0</v>
      </c>
      <c r="BH557" s="83" t="str">
        <f>HYPERLINK("https://pbs.twimg.com/profile_banners/1632119153485316098/1694108964")</f>
        <v>https://pbs.twimg.com/profile_banners/1632119153485316098/1694108964</v>
      </c>
      <c r="BI557" s="76"/>
      <c r="BJ557" s="76" t="s">
        <v>18704</v>
      </c>
      <c r="BK557" s="76" t="b">
        <v>0</v>
      </c>
      <c r="BL557" s="76"/>
      <c r="BM557" s="76" t="s">
        <v>66</v>
      </c>
      <c r="BN557" s="76" t="s">
        <v>18706</v>
      </c>
      <c r="BO557" s="83" t="str">
        <f>HYPERLINK("https://twitter.com/positivetradem1")</f>
        <v>https://twitter.com/positivetradem1</v>
      </c>
      <c r="BP557" s="2"/>
    </row>
    <row r="558" spans="1:68" x14ac:dyDescent="0.25">
      <c r="A558" s="62" t="s">
        <v>630</v>
      </c>
      <c r="B558" s="63"/>
      <c r="C558" s="63"/>
      <c r="D558" s="64"/>
      <c r="E558" s="66"/>
      <c r="F558" s="102" t="str">
        <f>HYPERLINK("https://pbs.twimg.com/profile_images/839570010028838916/VQPRct0h_normal.jpg")</f>
        <v>https://pbs.twimg.com/profile_images/839570010028838916/VQPRct0h_normal.jpg</v>
      </c>
      <c r="G558" s="63"/>
      <c r="H558" s="67"/>
      <c r="I558" s="68"/>
      <c r="J558" s="68"/>
      <c r="K558" s="67" t="s">
        <v>19261</v>
      </c>
      <c r="L558" s="71"/>
      <c r="M558" s="72"/>
      <c r="N558" s="72"/>
      <c r="O558" s="73"/>
      <c r="P558" s="74"/>
      <c r="Q558" s="74"/>
      <c r="R558" s="86"/>
      <c r="S558" s="86"/>
      <c r="T558" s="86"/>
      <c r="U558" s="86"/>
      <c r="V558" s="48"/>
      <c r="W558" s="48"/>
      <c r="X558" s="48"/>
      <c r="Y558" s="48"/>
      <c r="Z558" s="47"/>
      <c r="AA558" s="69">
        <v>558</v>
      </c>
      <c r="AB558" s="69"/>
      <c r="AC558" s="70"/>
      <c r="AD558" s="76" t="s">
        <v>16984</v>
      </c>
      <c r="AE558" s="81" t="s">
        <v>17361</v>
      </c>
      <c r="AF558" s="76">
        <v>200349</v>
      </c>
      <c r="AG558" s="76">
        <v>434</v>
      </c>
      <c r="AH558" s="76">
        <v>114212</v>
      </c>
      <c r="AI558" s="76">
        <v>1802</v>
      </c>
      <c r="AJ558" s="76">
        <v>77</v>
      </c>
      <c r="AK558" s="76">
        <v>23</v>
      </c>
      <c r="AL558" s="76" t="b">
        <v>0</v>
      </c>
      <c r="AM558" s="78">
        <v>40136.657326388886</v>
      </c>
      <c r="AN558" s="76" t="s">
        <v>10586</v>
      </c>
      <c r="AO558" s="76" t="s">
        <v>18144</v>
      </c>
      <c r="AP558" s="83" t="str">
        <f>HYPERLINK("https://t.co/fMScumsLF7")</f>
        <v>https://t.co/fMScumsLF7</v>
      </c>
      <c r="AQ558" s="83" t="str">
        <f>HYPERLINK("http://folha.com/mercado")</f>
        <v>http://folha.com/mercado</v>
      </c>
      <c r="AR558" s="76" t="s">
        <v>18571</v>
      </c>
      <c r="AS558" s="76"/>
      <c r="AT558" s="76"/>
      <c r="AU558" s="76"/>
      <c r="AV558" s="76"/>
      <c r="AW558" s="83" t="str">
        <f>HYPERLINK("https://t.co/fMScumsLF7")</f>
        <v>https://t.co/fMScumsLF7</v>
      </c>
      <c r="AX558" s="76" t="b">
        <v>0</v>
      </c>
      <c r="AY558" s="76"/>
      <c r="AZ558" s="76"/>
      <c r="BA558" s="76" t="b">
        <v>0</v>
      </c>
      <c r="BB558" s="76" t="b">
        <v>1</v>
      </c>
      <c r="BC558" s="76" t="b">
        <v>0</v>
      </c>
      <c r="BD558" s="76" t="b">
        <v>0</v>
      </c>
      <c r="BE558" s="76" t="b">
        <v>0</v>
      </c>
      <c r="BF558" s="76" t="b">
        <v>0</v>
      </c>
      <c r="BG558" s="76" t="b">
        <v>0</v>
      </c>
      <c r="BH558" s="83" t="str">
        <f>HYPERLINK("https://pbs.twimg.com/profile_banners/91128788/1489003969")</f>
        <v>https://pbs.twimg.com/profile_banners/91128788/1489003969</v>
      </c>
      <c r="BI558" s="76"/>
      <c r="BJ558" s="76" t="s">
        <v>18704</v>
      </c>
      <c r="BK558" s="76" t="b">
        <v>0</v>
      </c>
      <c r="BL558" s="76"/>
      <c r="BM558" s="76" t="s">
        <v>66</v>
      </c>
      <c r="BN558" s="76" t="s">
        <v>18706</v>
      </c>
      <c r="BO558" s="83" t="str">
        <f>HYPERLINK("https://twitter.com/folha_mercado")</f>
        <v>https://twitter.com/folha_mercado</v>
      </c>
      <c r="BP558" s="2"/>
    </row>
    <row r="559" spans="1:68" x14ac:dyDescent="0.25">
      <c r="A559" s="62" t="s">
        <v>631</v>
      </c>
      <c r="B559" s="63"/>
      <c r="C559" s="63"/>
      <c r="D559" s="64"/>
      <c r="E559" s="66"/>
      <c r="F559" s="102" t="str">
        <f>HYPERLINK("https://pbs.twimg.com/profile_images/1647855478846660609/XYlP1_dQ_normal.jpg")</f>
        <v>https://pbs.twimg.com/profile_images/1647855478846660609/XYlP1_dQ_normal.jpg</v>
      </c>
      <c r="G559" s="63"/>
      <c r="H559" s="67"/>
      <c r="I559" s="68"/>
      <c r="J559" s="68"/>
      <c r="K559" s="67" t="s">
        <v>19262</v>
      </c>
      <c r="L559" s="71"/>
      <c r="M559" s="72"/>
      <c r="N559" s="72"/>
      <c r="O559" s="73"/>
      <c r="P559" s="74"/>
      <c r="Q559" s="74"/>
      <c r="R559" s="86"/>
      <c r="S559" s="86"/>
      <c r="T559" s="86"/>
      <c r="U559" s="86"/>
      <c r="V559" s="48"/>
      <c r="W559" s="48"/>
      <c r="X559" s="48"/>
      <c r="Y559" s="48"/>
      <c r="Z559" s="47"/>
      <c r="AA559" s="69">
        <v>559</v>
      </c>
      <c r="AB559" s="69"/>
      <c r="AC559" s="70"/>
      <c r="AD559" s="76" t="s">
        <v>16985</v>
      </c>
      <c r="AE559" s="81" t="s">
        <v>16333</v>
      </c>
      <c r="AF559" s="76">
        <v>49</v>
      </c>
      <c r="AG559" s="76">
        <v>332</v>
      </c>
      <c r="AH559" s="76">
        <v>6445</v>
      </c>
      <c r="AI559" s="76">
        <v>0</v>
      </c>
      <c r="AJ559" s="76">
        <v>10289</v>
      </c>
      <c r="AK559" s="76">
        <v>431</v>
      </c>
      <c r="AL559" s="76" t="b">
        <v>0</v>
      </c>
      <c r="AM559" s="78">
        <v>44883.824907407405</v>
      </c>
      <c r="AN559" s="76" t="s">
        <v>17609</v>
      </c>
      <c r="AO559" s="76" t="s">
        <v>18145</v>
      </c>
      <c r="AP559" s="76"/>
      <c r="AQ559" s="76"/>
      <c r="AR559" s="76"/>
      <c r="AS559" s="76"/>
      <c r="AT559" s="76"/>
      <c r="AU559" s="76"/>
      <c r="AV559" s="76">
        <v>1.70642483755873E+18</v>
      </c>
      <c r="AW559" s="76"/>
      <c r="AX559" s="76" t="b">
        <v>0</v>
      </c>
      <c r="AY559" s="76"/>
      <c r="AZ559" s="76"/>
      <c r="BA559" s="76" t="b">
        <v>0</v>
      </c>
      <c r="BB559" s="76" t="b">
        <v>1</v>
      </c>
      <c r="BC559" s="76" t="b">
        <v>1</v>
      </c>
      <c r="BD559" s="76" t="b">
        <v>0</v>
      </c>
      <c r="BE559" s="76" t="b">
        <v>0</v>
      </c>
      <c r="BF559" s="76" t="b">
        <v>0</v>
      </c>
      <c r="BG559" s="76" t="b">
        <v>0</v>
      </c>
      <c r="BH559" s="83" t="str">
        <f>HYPERLINK("https://pbs.twimg.com/profile_banners/1593691763251757056/1681958420")</f>
        <v>https://pbs.twimg.com/profile_banners/1593691763251757056/1681958420</v>
      </c>
      <c r="BI559" s="76"/>
      <c r="BJ559" s="76" t="s">
        <v>18704</v>
      </c>
      <c r="BK559" s="76" t="b">
        <v>0</v>
      </c>
      <c r="BL559" s="76"/>
      <c r="BM559" s="76" t="s">
        <v>66</v>
      </c>
      <c r="BN559" s="76" t="s">
        <v>18706</v>
      </c>
      <c r="BO559" s="83" t="str">
        <f>HYPERLINK("https://twitter.com/ivana_p_almeida")</f>
        <v>https://twitter.com/ivana_p_almeida</v>
      </c>
      <c r="BP559" s="2"/>
    </row>
    <row r="560" spans="1:68" x14ac:dyDescent="0.25">
      <c r="A560" s="62" t="s">
        <v>632</v>
      </c>
      <c r="B560" s="63"/>
      <c r="C560" s="63"/>
      <c r="D560" s="64"/>
      <c r="E560" s="66"/>
      <c r="F560" s="102" t="str">
        <f>HYPERLINK("https://pbs.twimg.com/profile_images/1618435093814550531/r9R1rxFH_normal.jpg")</f>
        <v>https://pbs.twimg.com/profile_images/1618435093814550531/r9R1rxFH_normal.jpg</v>
      </c>
      <c r="G560" s="63"/>
      <c r="H560" s="67"/>
      <c r="I560" s="68"/>
      <c r="J560" s="68"/>
      <c r="K560" s="67" t="s">
        <v>19263</v>
      </c>
      <c r="L560" s="71"/>
      <c r="M560" s="72"/>
      <c r="N560" s="72"/>
      <c r="O560" s="73"/>
      <c r="P560" s="74"/>
      <c r="Q560" s="74"/>
      <c r="R560" s="86"/>
      <c r="S560" s="86"/>
      <c r="T560" s="86"/>
      <c r="U560" s="86"/>
      <c r="V560" s="48"/>
      <c r="W560" s="48"/>
      <c r="X560" s="48"/>
      <c r="Y560" s="48"/>
      <c r="Z560" s="47"/>
      <c r="AA560" s="69">
        <v>560</v>
      </c>
      <c r="AB560" s="69"/>
      <c r="AC560" s="70"/>
      <c r="AD560" s="76" t="s">
        <v>16986</v>
      </c>
      <c r="AE560" s="81" t="s">
        <v>17362</v>
      </c>
      <c r="AF560" s="76">
        <v>139840</v>
      </c>
      <c r="AG560" s="76">
        <v>262</v>
      </c>
      <c r="AH560" s="76">
        <v>34405</v>
      </c>
      <c r="AI560" s="76">
        <v>506</v>
      </c>
      <c r="AJ560" s="76">
        <v>4376</v>
      </c>
      <c r="AK560" s="76">
        <v>8475</v>
      </c>
      <c r="AL560" s="76" t="b">
        <v>0</v>
      </c>
      <c r="AM560" s="78">
        <v>42081.536851851852</v>
      </c>
      <c r="AN560" s="76" t="s">
        <v>17532</v>
      </c>
      <c r="AO560" s="76" t="s">
        <v>18146</v>
      </c>
      <c r="AP560" s="83" t="str">
        <f>HYPERLINK("https://t.co/QpUMYwctRt")</f>
        <v>https://t.co/QpUMYwctRt</v>
      </c>
      <c r="AQ560" s="83" t="str">
        <f>HYPERLINK("https://t.me/Datoworld24")</f>
        <v>https://t.me/Datoworld24</v>
      </c>
      <c r="AR560" s="76" t="s">
        <v>18572</v>
      </c>
      <c r="AS560" s="76"/>
      <c r="AT560" s="76"/>
      <c r="AU560" s="76"/>
      <c r="AV560" s="76">
        <v>1.6876904770116401E+18</v>
      </c>
      <c r="AW560" s="83" t="str">
        <f>HYPERLINK("https://t.co/QpUMYwctRt")</f>
        <v>https://t.co/QpUMYwctRt</v>
      </c>
      <c r="AX560" s="76" t="b">
        <v>0</v>
      </c>
      <c r="AY560" s="76"/>
      <c r="AZ560" s="76"/>
      <c r="BA560" s="76" t="b">
        <v>1</v>
      </c>
      <c r="BB560" s="76" t="b">
        <v>0</v>
      </c>
      <c r="BC560" s="76" t="b">
        <v>0</v>
      </c>
      <c r="BD560" s="76" t="b">
        <v>0</v>
      </c>
      <c r="BE560" s="76" t="b">
        <v>1</v>
      </c>
      <c r="BF560" s="76" t="b">
        <v>0</v>
      </c>
      <c r="BG560" s="76" t="b">
        <v>1</v>
      </c>
      <c r="BH560" s="83" t="str">
        <f>HYPERLINK("https://pbs.twimg.com/profile_banners/3094374405/1678650227")</f>
        <v>https://pbs.twimg.com/profile_banners/3094374405/1678650227</v>
      </c>
      <c r="BI560" s="76"/>
      <c r="BJ560" s="76" t="s">
        <v>18704</v>
      </c>
      <c r="BK560" s="76" t="b">
        <v>0</v>
      </c>
      <c r="BL560" s="76"/>
      <c r="BM560" s="76" t="s">
        <v>66</v>
      </c>
      <c r="BN560" s="76" t="s">
        <v>18706</v>
      </c>
      <c r="BO560" s="83" t="str">
        <f>HYPERLINK("https://twitter.com/datoworld")</f>
        <v>https://twitter.com/datoworld</v>
      </c>
      <c r="BP560" s="2"/>
    </row>
    <row r="561" spans="1:68" x14ac:dyDescent="0.25">
      <c r="A561" s="62" t="s">
        <v>633</v>
      </c>
      <c r="B561" s="63"/>
      <c r="C561" s="63"/>
      <c r="D561" s="64"/>
      <c r="E561" s="66"/>
      <c r="F561" s="102" t="str">
        <f>HYPERLINK("https://pbs.twimg.com/profile_images/1690178747171778560/j30iXxcZ_normal.jpg")</f>
        <v>https://pbs.twimg.com/profile_images/1690178747171778560/j30iXxcZ_normal.jpg</v>
      </c>
      <c r="G561" s="63"/>
      <c r="H561" s="67"/>
      <c r="I561" s="68"/>
      <c r="J561" s="68"/>
      <c r="K561" s="67" t="s">
        <v>19264</v>
      </c>
      <c r="L561" s="71"/>
      <c r="M561" s="72"/>
      <c r="N561" s="72"/>
      <c r="O561" s="73"/>
      <c r="P561" s="74"/>
      <c r="Q561" s="74"/>
      <c r="R561" s="86"/>
      <c r="S561" s="86"/>
      <c r="T561" s="86"/>
      <c r="U561" s="86"/>
      <c r="V561" s="48"/>
      <c r="W561" s="48"/>
      <c r="X561" s="48"/>
      <c r="Y561" s="48"/>
      <c r="Z561" s="47"/>
      <c r="AA561" s="69">
        <v>561</v>
      </c>
      <c r="AB561" s="69"/>
      <c r="AC561" s="70"/>
      <c r="AD561" s="76" t="s">
        <v>16987</v>
      </c>
      <c r="AE561" s="81" t="s">
        <v>17363</v>
      </c>
      <c r="AF561" s="76">
        <v>3621</v>
      </c>
      <c r="AG561" s="76">
        <v>234</v>
      </c>
      <c r="AH561" s="76">
        <v>8494</v>
      </c>
      <c r="AI561" s="76">
        <v>15</v>
      </c>
      <c r="AJ561" s="76">
        <v>25267</v>
      </c>
      <c r="AK561" s="76">
        <v>1155</v>
      </c>
      <c r="AL561" s="76" t="b">
        <v>0</v>
      </c>
      <c r="AM561" s="78">
        <v>41978.826226851852</v>
      </c>
      <c r="AN561" s="76" t="s">
        <v>17610</v>
      </c>
      <c r="AO561" s="76" t="s">
        <v>18147</v>
      </c>
      <c r="AP561" s="76"/>
      <c r="AQ561" s="76"/>
      <c r="AR561" s="76"/>
      <c r="AS561" s="76"/>
      <c r="AT561" s="76"/>
      <c r="AU561" s="76"/>
      <c r="AV561" s="76"/>
      <c r="AW561" s="76"/>
      <c r="AX561" s="76" t="b">
        <v>0</v>
      </c>
      <c r="AY561" s="76"/>
      <c r="AZ561" s="76"/>
      <c r="BA561" s="76" t="b">
        <v>1</v>
      </c>
      <c r="BB561" s="76" t="b">
        <v>0</v>
      </c>
      <c r="BC561" s="76" t="b">
        <v>1</v>
      </c>
      <c r="BD561" s="76" t="b">
        <v>0</v>
      </c>
      <c r="BE561" s="76" t="b">
        <v>1</v>
      </c>
      <c r="BF561" s="76" t="b">
        <v>0</v>
      </c>
      <c r="BG561" s="76" t="b">
        <v>0</v>
      </c>
      <c r="BH561" s="83" t="str">
        <f>HYPERLINK("https://pbs.twimg.com/profile_banners/2906797558/1663819273")</f>
        <v>https://pbs.twimg.com/profile_banners/2906797558/1663819273</v>
      </c>
      <c r="BI561" s="76"/>
      <c r="BJ561" s="76" t="s">
        <v>18704</v>
      </c>
      <c r="BK561" s="76" t="b">
        <v>0</v>
      </c>
      <c r="BL561" s="76"/>
      <c r="BM561" s="76" t="s">
        <v>66</v>
      </c>
      <c r="BN561" s="76" t="s">
        <v>18706</v>
      </c>
      <c r="BO561" s="83" t="str">
        <f>HYPERLINK("https://twitter.com/obrodr")</f>
        <v>https://twitter.com/obrodr</v>
      </c>
      <c r="BP561" s="2"/>
    </row>
    <row r="562" spans="1:68" x14ac:dyDescent="0.25">
      <c r="A562" s="62" t="s">
        <v>634</v>
      </c>
      <c r="B562" s="63"/>
      <c r="C562" s="63"/>
      <c r="D562" s="64"/>
      <c r="E562" s="66"/>
      <c r="F562" s="102" t="str">
        <f>HYPERLINK("https://pbs.twimg.com/profile_images/1650107576506527744/5R1xVIeI_normal.jpg")</f>
        <v>https://pbs.twimg.com/profile_images/1650107576506527744/5R1xVIeI_normal.jpg</v>
      </c>
      <c r="G562" s="63"/>
      <c r="H562" s="67"/>
      <c r="I562" s="68"/>
      <c r="J562" s="68"/>
      <c r="K562" s="67" t="s">
        <v>19265</v>
      </c>
      <c r="L562" s="71"/>
      <c r="M562" s="72"/>
      <c r="N562" s="72"/>
      <c r="O562" s="73"/>
      <c r="P562" s="74"/>
      <c r="Q562" s="74"/>
      <c r="R562" s="86"/>
      <c r="S562" s="86"/>
      <c r="T562" s="86"/>
      <c r="U562" s="86"/>
      <c r="V562" s="48"/>
      <c r="W562" s="48"/>
      <c r="X562" s="48"/>
      <c r="Y562" s="48"/>
      <c r="Z562" s="47"/>
      <c r="AA562" s="69">
        <v>562</v>
      </c>
      <c r="AB562" s="69"/>
      <c r="AC562" s="70"/>
      <c r="AD562" s="76" t="s">
        <v>16988</v>
      </c>
      <c r="AE562" s="81" t="s">
        <v>16334</v>
      </c>
      <c r="AF562" s="76">
        <v>109</v>
      </c>
      <c r="AG562" s="76">
        <v>1084</v>
      </c>
      <c r="AH562" s="76">
        <v>34</v>
      </c>
      <c r="AI562" s="76">
        <v>0</v>
      </c>
      <c r="AJ562" s="76">
        <v>0</v>
      </c>
      <c r="AK562" s="76">
        <v>34</v>
      </c>
      <c r="AL562" s="76" t="b">
        <v>0</v>
      </c>
      <c r="AM562" s="78">
        <v>45039.497361111113</v>
      </c>
      <c r="AN562" s="76" t="s">
        <v>17611</v>
      </c>
      <c r="AO562" s="76" t="s">
        <v>18148</v>
      </c>
      <c r="AP562" s="76"/>
      <c r="AQ562" s="76"/>
      <c r="AR562" s="76"/>
      <c r="AS562" s="76"/>
      <c r="AT562" s="76"/>
      <c r="AU562" s="76"/>
      <c r="AV562" s="76"/>
      <c r="AW562" s="76"/>
      <c r="AX562" s="76" t="b">
        <v>0</v>
      </c>
      <c r="AY562" s="76"/>
      <c r="AZ562" s="76"/>
      <c r="BA562" s="76" t="b">
        <v>0</v>
      </c>
      <c r="BB562" s="76" t="b">
        <v>1</v>
      </c>
      <c r="BC562" s="76" t="b">
        <v>1</v>
      </c>
      <c r="BD562" s="76" t="b">
        <v>0</v>
      </c>
      <c r="BE562" s="76" t="b">
        <v>0</v>
      </c>
      <c r="BF562" s="76" t="b">
        <v>0</v>
      </c>
      <c r="BG562" s="76" t="b">
        <v>0</v>
      </c>
      <c r="BH562" s="83" t="str">
        <f>HYPERLINK("https://pbs.twimg.com/profile_banners/1650106250640896001/1682251297")</f>
        <v>https://pbs.twimg.com/profile_banners/1650106250640896001/1682251297</v>
      </c>
      <c r="BI562" s="76"/>
      <c r="BJ562" s="76" t="s">
        <v>18704</v>
      </c>
      <c r="BK562" s="76" t="b">
        <v>0</v>
      </c>
      <c r="BL562" s="76"/>
      <c r="BM562" s="76" t="s">
        <v>66</v>
      </c>
      <c r="BN562" s="76" t="s">
        <v>18706</v>
      </c>
      <c r="BO562" s="83" t="str">
        <f>HYPERLINK("https://twitter.com/rafaeljuiz8")</f>
        <v>https://twitter.com/rafaeljuiz8</v>
      </c>
      <c r="BP562" s="2"/>
    </row>
    <row r="563" spans="1:68" x14ac:dyDescent="0.25">
      <c r="A563" s="62" t="s">
        <v>635</v>
      </c>
      <c r="B563" s="63"/>
      <c r="C563" s="63"/>
      <c r="D563" s="64"/>
      <c r="E563" s="66"/>
      <c r="F563" s="102" t="str">
        <f>HYPERLINK("https://pbs.twimg.com/profile_images/1508884637833170948/qEYMZdxR_normal.jpg")</f>
        <v>https://pbs.twimg.com/profile_images/1508884637833170948/qEYMZdxR_normal.jpg</v>
      </c>
      <c r="G563" s="63"/>
      <c r="H563" s="67"/>
      <c r="I563" s="68"/>
      <c r="J563" s="68"/>
      <c r="K563" s="67" t="s">
        <v>19266</v>
      </c>
      <c r="L563" s="71"/>
      <c r="M563" s="72"/>
      <c r="N563" s="72"/>
      <c r="O563" s="73"/>
      <c r="P563" s="74"/>
      <c r="Q563" s="74"/>
      <c r="R563" s="86"/>
      <c r="S563" s="86"/>
      <c r="T563" s="86"/>
      <c r="U563" s="86"/>
      <c r="V563" s="48"/>
      <c r="W563" s="48"/>
      <c r="X563" s="48"/>
      <c r="Y563" s="48"/>
      <c r="Z563" s="47"/>
      <c r="AA563" s="69">
        <v>563</v>
      </c>
      <c r="AB563" s="69"/>
      <c r="AC563" s="70"/>
      <c r="AD563" s="76" t="s">
        <v>16989</v>
      </c>
      <c r="AE563" s="81" t="s">
        <v>16335</v>
      </c>
      <c r="AF563" s="76">
        <v>42</v>
      </c>
      <c r="AG563" s="76">
        <v>408</v>
      </c>
      <c r="AH563" s="76">
        <v>2926</v>
      </c>
      <c r="AI563" s="76">
        <v>0</v>
      </c>
      <c r="AJ563" s="76">
        <v>1804</v>
      </c>
      <c r="AK563" s="76">
        <v>260</v>
      </c>
      <c r="AL563" s="76" t="b">
        <v>0</v>
      </c>
      <c r="AM563" s="78">
        <v>44531.907905092594</v>
      </c>
      <c r="AN563" s="76" t="s">
        <v>17612</v>
      </c>
      <c r="AO563" s="76" t="s">
        <v>18149</v>
      </c>
      <c r="AP563" s="76"/>
      <c r="AQ563" s="76"/>
      <c r="AR563" s="76"/>
      <c r="AS563" s="76"/>
      <c r="AT563" s="76"/>
      <c r="AU563" s="76"/>
      <c r="AV563" s="76"/>
      <c r="AW563" s="76"/>
      <c r="AX563" s="76" t="b">
        <v>0</v>
      </c>
      <c r="AY563" s="76"/>
      <c r="AZ563" s="76"/>
      <c r="BA563" s="76" t="b">
        <v>0</v>
      </c>
      <c r="BB563" s="76" t="b">
        <v>1</v>
      </c>
      <c r="BC563" s="76" t="b">
        <v>1</v>
      </c>
      <c r="BD563" s="76" t="b">
        <v>0</v>
      </c>
      <c r="BE563" s="76" t="b">
        <v>0</v>
      </c>
      <c r="BF563" s="76" t="b">
        <v>0</v>
      </c>
      <c r="BG563" s="76" t="b">
        <v>0</v>
      </c>
      <c r="BH563" s="83" t="str">
        <f>HYPERLINK("https://pbs.twimg.com/profile_banners/1466161897452023815/1641237317")</f>
        <v>https://pbs.twimg.com/profile_banners/1466161897452023815/1641237317</v>
      </c>
      <c r="BI563" s="76"/>
      <c r="BJ563" s="76" t="s">
        <v>18704</v>
      </c>
      <c r="BK563" s="76" t="b">
        <v>0</v>
      </c>
      <c r="BL563" s="76"/>
      <c r="BM563" s="76" t="s">
        <v>66</v>
      </c>
      <c r="BN563" s="76" t="s">
        <v>18706</v>
      </c>
      <c r="BO563" s="83" t="str">
        <f>HYPERLINK("https://twitter.com/fernand30827525")</f>
        <v>https://twitter.com/fernand30827525</v>
      </c>
      <c r="BP563" s="2"/>
    </row>
    <row r="564" spans="1:68" x14ac:dyDescent="0.25">
      <c r="A564" s="62" t="s">
        <v>636</v>
      </c>
      <c r="B564" s="63"/>
      <c r="C564" s="63"/>
      <c r="D564" s="64"/>
      <c r="E564" s="66"/>
      <c r="F564" s="102" t="str">
        <f>HYPERLINK("https://pbs.twimg.com/profile_images/1410013183226617856/0XifvNTL_normal.jpg")</f>
        <v>https://pbs.twimg.com/profile_images/1410013183226617856/0XifvNTL_normal.jpg</v>
      </c>
      <c r="G564" s="63"/>
      <c r="H564" s="67"/>
      <c r="I564" s="68"/>
      <c r="J564" s="68"/>
      <c r="K564" s="67" t="s">
        <v>19267</v>
      </c>
      <c r="L564" s="71"/>
      <c r="M564" s="72"/>
      <c r="N564" s="72"/>
      <c r="O564" s="73"/>
      <c r="P564" s="74"/>
      <c r="Q564" s="74"/>
      <c r="R564" s="86"/>
      <c r="S564" s="86"/>
      <c r="T564" s="86"/>
      <c r="U564" s="86"/>
      <c r="V564" s="48"/>
      <c r="W564" s="48"/>
      <c r="X564" s="48"/>
      <c r="Y564" s="48"/>
      <c r="Z564" s="47"/>
      <c r="AA564" s="69">
        <v>564</v>
      </c>
      <c r="AB564" s="69"/>
      <c r="AC564" s="70"/>
      <c r="AD564" s="76" t="s">
        <v>16990</v>
      </c>
      <c r="AE564" s="81" t="s">
        <v>16336</v>
      </c>
      <c r="AF564" s="76">
        <v>2</v>
      </c>
      <c r="AG564" s="76">
        <v>208</v>
      </c>
      <c r="AH564" s="76">
        <v>966</v>
      </c>
      <c r="AI564" s="76">
        <v>1</v>
      </c>
      <c r="AJ564" s="76">
        <v>2307</v>
      </c>
      <c r="AK564" s="76">
        <v>0</v>
      </c>
      <c r="AL564" s="76" t="b">
        <v>0</v>
      </c>
      <c r="AM564" s="78">
        <v>44376.965613425928</v>
      </c>
      <c r="AN564" s="76"/>
      <c r="AO564" s="76"/>
      <c r="AP564" s="76"/>
      <c r="AQ564" s="76"/>
      <c r="AR564" s="76"/>
      <c r="AS564" s="76"/>
      <c r="AT564" s="76"/>
      <c r="AU564" s="76"/>
      <c r="AV564" s="76"/>
      <c r="AW564" s="76"/>
      <c r="AX564" s="76" t="b">
        <v>0</v>
      </c>
      <c r="AY564" s="76"/>
      <c r="AZ564" s="76"/>
      <c r="BA564" s="76" t="b">
        <v>0</v>
      </c>
      <c r="BB564" s="76" t="b">
        <v>1</v>
      </c>
      <c r="BC564" s="76" t="b">
        <v>1</v>
      </c>
      <c r="BD564" s="76" t="b">
        <v>0</v>
      </c>
      <c r="BE564" s="76" t="b">
        <v>0</v>
      </c>
      <c r="BF564" s="76" t="b">
        <v>0</v>
      </c>
      <c r="BG564" s="76" t="b">
        <v>0</v>
      </c>
      <c r="BH564" s="83" t="str">
        <f>HYPERLINK("https://pbs.twimg.com/profile_banners/1410012779285827592/1625610500")</f>
        <v>https://pbs.twimg.com/profile_banners/1410012779285827592/1625610500</v>
      </c>
      <c r="BI564" s="76"/>
      <c r="BJ564" s="76" t="s">
        <v>18704</v>
      </c>
      <c r="BK564" s="76" t="b">
        <v>0</v>
      </c>
      <c r="BL564" s="76"/>
      <c r="BM564" s="76" t="s">
        <v>66</v>
      </c>
      <c r="BN564" s="76" t="s">
        <v>18706</v>
      </c>
      <c r="BO564" s="83" t="str">
        <f>HYPERLINK("https://twitter.com/gabrielaprocpi9")</f>
        <v>https://twitter.com/gabrielaprocpi9</v>
      </c>
      <c r="BP564" s="2"/>
    </row>
    <row r="565" spans="1:68" x14ac:dyDescent="0.25">
      <c r="A565" s="62" t="s">
        <v>637</v>
      </c>
      <c r="B565" s="63"/>
      <c r="C565" s="63"/>
      <c r="D565" s="64"/>
      <c r="E565" s="66"/>
      <c r="F565" s="102" t="str">
        <f>HYPERLINK("https://pbs.twimg.com/profile_images/1673692151748632577/10Lo8nhx_normal.jpg")</f>
        <v>https://pbs.twimg.com/profile_images/1673692151748632577/10Lo8nhx_normal.jpg</v>
      </c>
      <c r="G565" s="63"/>
      <c r="H565" s="67"/>
      <c r="I565" s="68"/>
      <c r="J565" s="68"/>
      <c r="K565" s="67" t="s">
        <v>19268</v>
      </c>
      <c r="L565" s="71"/>
      <c r="M565" s="72"/>
      <c r="N565" s="72"/>
      <c r="O565" s="73"/>
      <c r="P565" s="74"/>
      <c r="Q565" s="74"/>
      <c r="R565" s="86"/>
      <c r="S565" s="86"/>
      <c r="T565" s="86"/>
      <c r="U565" s="86"/>
      <c r="V565" s="48"/>
      <c r="W565" s="48"/>
      <c r="X565" s="48"/>
      <c r="Y565" s="48"/>
      <c r="Z565" s="47"/>
      <c r="AA565" s="69">
        <v>565</v>
      </c>
      <c r="AB565" s="69"/>
      <c r="AC565" s="70"/>
      <c r="AD565" s="76" t="s">
        <v>16991</v>
      </c>
      <c r="AE565" s="81" t="s">
        <v>17364</v>
      </c>
      <c r="AF565" s="76">
        <v>899</v>
      </c>
      <c r="AG565" s="76">
        <v>309</v>
      </c>
      <c r="AH565" s="76">
        <v>382</v>
      </c>
      <c r="AI565" s="76">
        <v>31</v>
      </c>
      <c r="AJ565" s="76">
        <v>999</v>
      </c>
      <c r="AK565" s="76">
        <v>71</v>
      </c>
      <c r="AL565" s="76" t="b">
        <v>0</v>
      </c>
      <c r="AM565" s="78">
        <v>40744.977268518516</v>
      </c>
      <c r="AN565" s="76" t="s">
        <v>17613</v>
      </c>
      <c r="AO565" s="76" t="s">
        <v>18150</v>
      </c>
      <c r="AP565" s="83" t="str">
        <f>HYPERLINK("https://t.co/Vc5N4J6z3Q")</f>
        <v>https://t.co/Vc5N4J6z3Q</v>
      </c>
      <c r="AQ565" s="83" t="str">
        <f>HYPERLINK("https://lamervaleta.com")</f>
        <v>https://lamervaleta.com</v>
      </c>
      <c r="AR565" s="76" t="s">
        <v>6546</v>
      </c>
      <c r="AS565" s="76"/>
      <c r="AT565" s="76"/>
      <c r="AU565" s="76"/>
      <c r="AV565" s="76"/>
      <c r="AW565" s="83" t="str">
        <f>HYPERLINK("https://t.co/Vc5N4J6z3Q")</f>
        <v>https://t.co/Vc5N4J6z3Q</v>
      </c>
      <c r="AX565" s="76" t="b">
        <v>0</v>
      </c>
      <c r="AY565" s="76"/>
      <c r="AZ565" s="76"/>
      <c r="BA565" s="76" t="b">
        <v>0</v>
      </c>
      <c r="BB565" s="76" t="b">
        <v>1</v>
      </c>
      <c r="BC565" s="76" t="b">
        <v>0</v>
      </c>
      <c r="BD565" s="76" t="b">
        <v>0</v>
      </c>
      <c r="BE565" s="76" t="b">
        <v>1</v>
      </c>
      <c r="BF565" s="76" t="b">
        <v>0</v>
      </c>
      <c r="BG565" s="76" t="b">
        <v>0</v>
      </c>
      <c r="BH565" s="83" t="str">
        <f>HYPERLINK("https://pbs.twimg.com/profile_banners/339340028/1687874280")</f>
        <v>https://pbs.twimg.com/profile_banners/339340028/1687874280</v>
      </c>
      <c r="BI565" s="76"/>
      <c r="BJ565" s="76" t="s">
        <v>18704</v>
      </c>
      <c r="BK565" s="76" t="b">
        <v>0</v>
      </c>
      <c r="BL565" s="76"/>
      <c r="BM565" s="76" t="s">
        <v>66</v>
      </c>
      <c r="BN565" s="76" t="s">
        <v>18706</v>
      </c>
      <c r="BO565" s="83" t="str">
        <f>HYPERLINK("https://twitter.com/lamervaletacom")</f>
        <v>https://twitter.com/lamervaletacom</v>
      </c>
      <c r="BP565" s="2"/>
    </row>
    <row r="566" spans="1:68" x14ac:dyDescent="0.25">
      <c r="A566" s="62" t="s">
        <v>638</v>
      </c>
      <c r="B566" s="63"/>
      <c r="C566" s="63"/>
      <c r="D566" s="64"/>
      <c r="E566" s="66"/>
      <c r="F566" s="102" t="str">
        <f>HYPERLINK("https://pbs.twimg.com/profile_images/1677001398171336731/5MCZ5lkh_normal.jpg")</f>
        <v>https://pbs.twimg.com/profile_images/1677001398171336731/5MCZ5lkh_normal.jpg</v>
      </c>
      <c r="G566" s="63"/>
      <c r="H566" s="67"/>
      <c r="I566" s="68"/>
      <c r="J566" s="68"/>
      <c r="K566" s="67" t="s">
        <v>19269</v>
      </c>
      <c r="L566" s="71"/>
      <c r="M566" s="72"/>
      <c r="N566" s="72"/>
      <c r="O566" s="73"/>
      <c r="P566" s="74"/>
      <c r="Q566" s="74"/>
      <c r="R566" s="86"/>
      <c r="S566" s="86"/>
      <c r="T566" s="86"/>
      <c r="U566" s="86"/>
      <c r="V566" s="48"/>
      <c r="W566" s="48"/>
      <c r="X566" s="48"/>
      <c r="Y566" s="48"/>
      <c r="Z566" s="47"/>
      <c r="AA566" s="69">
        <v>566</v>
      </c>
      <c r="AB566" s="69"/>
      <c r="AC566" s="70"/>
      <c r="AD566" s="76" t="s">
        <v>16992</v>
      </c>
      <c r="AE566" s="81" t="s">
        <v>16337</v>
      </c>
      <c r="AF566" s="76">
        <v>1</v>
      </c>
      <c r="AG566" s="76">
        <v>5</v>
      </c>
      <c r="AH566" s="76">
        <v>17</v>
      </c>
      <c r="AI566" s="76">
        <v>0</v>
      </c>
      <c r="AJ566" s="76">
        <v>0</v>
      </c>
      <c r="AK566" s="76">
        <v>15</v>
      </c>
      <c r="AL566" s="76" t="b">
        <v>0</v>
      </c>
      <c r="AM566" s="78">
        <v>45082.114490740743</v>
      </c>
      <c r="AN566" s="76" t="s">
        <v>17614</v>
      </c>
      <c r="AO566" s="76" t="s">
        <v>18151</v>
      </c>
      <c r="AP566" s="83" t="str">
        <f>HYPERLINK("https://t.co/asR9uPWn65")</f>
        <v>https://t.co/asR9uPWn65</v>
      </c>
      <c r="AQ566" s="83" t="str">
        <f>HYPERLINK("https://prm.org.do/")</f>
        <v>https://prm.org.do/</v>
      </c>
      <c r="AR566" s="76" t="s">
        <v>18573</v>
      </c>
      <c r="AS566" s="76"/>
      <c r="AT566" s="76"/>
      <c r="AU566" s="76"/>
      <c r="AV566" s="76"/>
      <c r="AW566" s="83" t="str">
        <f>HYPERLINK("https://t.co/asR9uPWn65")</f>
        <v>https://t.co/asR9uPWn65</v>
      </c>
      <c r="AX566" s="76" t="b">
        <v>0</v>
      </c>
      <c r="AY566" s="76"/>
      <c r="AZ566" s="76"/>
      <c r="BA566" s="76" t="b">
        <v>0</v>
      </c>
      <c r="BB566" s="76" t="b">
        <v>1</v>
      </c>
      <c r="BC566" s="76" t="b">
        <v>1</v>
      </c>
      <c r="BD566" s="76" t="b">
        <v>0</v>
      </c>
      <c r="BE566" s="76" t="b">
        <v>0</v>
      </c>
      <c r="BF566" s="76" t="b">
        <v>0</v>
      </c>
      <c r="BG566" s="76" t="b">
        <v>0</v>
      </c>
      <c r="BH566" s="83" t="str">
        <f>HYPERLINK("https://pbs.twimg.com/profile_banners/1665550175258005505/1685933983")</f>
        <v>https://pbs.twimg.com/profile_banners/1665550175258005505/1685933983</v>
      </c>
      <c r="BI566" s="76"/>
      <c r="BJ566" s="76" t="s">
        <v>18704</v>
      </c>
      <c r="BK566" s="76" t="b">
        <v>0</v>
      </c>
      <c r="BL566" s="76"/>
      <c r="BM566" s="76" t="s">
        <v>66</v>
      </c>
      <c r="BN566" s="76" t="s">
        <v>18706</v>
      </c>
      <c r="BO566" s="83" t="str">
        <f>HYPERLINK("https://twitter.com/economia_prm")</f>
        <v>https://twitter.com/economia_prm</v>
      </c>
      <c r="BP566" s="2"/>
    </row>
    <row r="567" spans="1:68" x14ac:dyDescent="0.25">
      <c r="A567" s="62" t="s">
        <v>882</v>
      </c>
      <c r="B567" s="63"/>
      <c r="C567" s="63"/>
      <c r="D567" s="64"/>
      <c r="E567" s="66"/>
      <c r="F567" s="102" t="str">
        <f>HYPERLINK("https://pbs.twimg.com/profile_images/1603432473613959168/88H_Rr_y_normal.jpg")</f>
        <v>https://pbs.twimg.com/profile_images/1603432473613959168/88H_Rr_y_normal.jpg</v>
      </c>
      <c r="G567" s="63"/>
      <c r="H567" s="67"/>
      <c r="I567" s="68"/>
      <c r="J567" s="68"/>
      <c r="K567" s="67" t="s">
        <v>19270</v>
      </c>
      <c r="L567" s="71"/>
      <c r="M567" s="72"/>
      <c r="N567" s="72"/>
      <c r="O567" s="73"/>
      <c r="P567" s="74"/>
      <c r="Q567" s="74"/>
      <c r="R567" s="86"/>
      <c r="S567" s="86"/>
      <c r="T567" s="86"/>
      <c r="U567" s="86"/>
      <c r="V567" s="48"/>
      <c r="W567" s="48"/>
      <c r="X567" s="48"/>
      <c r="Y567" s="48"/>
      <c r="Z567" s="47"/>
      <c r="AA567" s="69">
        <v>567</v>
      </c>
      <c r="AB567" s="69"/>
      <c r="AC567" s="70"/>
      <c r="AD567" s="76" t="s">
        <v>16993</v>
      </c>
      <c r="AE567" s="81" t="s">
        <v>17365</v>
      </c>
      <c r="AF567" s="76">
        <v>210113</v>
      </c>
      <c r="AG567" s="76">
        <v>1706</v>
      </c>
      <c r="AH567" s="76">
        <v>11676</v>
      </c>
      <c r="AI567" s="76">
        <v>174</v>
      </c>
      <c r="AJ567" s="76">
        <v>2872</v>
      </c>
      <c r="AK567" s="76">
        <v>5844</v>
      </c>
      <c r="AL567" s="76" t="b">
        <v>0</v>
      </c>
      <c r="AM567" s="78">
        <v>41736.327534722222</v>
      </c>
      <c r="AN567" s="76" t="s">
        <v>17483</v>
      </c>
      <c r="AO567" s="76" t="s">
        <v>18152</v>
      </c>
      <c r="AP567" s="83" t="str">
        <f>HYPERLINK("https://t.co/zy26q9DKoJ")</f>
        <v>https://t.co/zy26q9DKoJ</v>
      </c>
      <c r="AQ567" s="83" t="str">
        <f>HYPERLINK("https://prm.org.do/")</f>
        <v>https://prm.org.do/</v>
      </c>
      <c r="AR567" s="76" t="s">
        <v>18573</v>
      </c>
      <c r="AS567" s="76"/>
      <c r="AT567" s="76"/>
      <c r="AU567" s="76"/>
      <c r="AV567" s="76"/>
      <c r="AW567" s="83" t="str">
        <f>HYPERLINK("https://t.co/zy26q9DKoJ")</f>
        <v>https://t.co/zy26q9DKoJ</v>
      </c>
      <c r="AX567" s="76" t="b">
        <v>0</v>
      </c>
      <c r="AY567" s="76"/>
      <c r="AZ567" s="76"/>
      <c r="BA567" s="76" t="b">
        <v>0</v>
      </c>
      <c r="BB567" s="76" t="b">
        <v>1</v>
      </c>
      <c r="BC567" s="76" t="b">
        <v>1</v>
      </c>
      <c r="BD567" s="76" t="b">
        <v>0</v>
      </c>
      <c r="BE567" s="76" t="b">
        <v>1</v>
      </c>
      <c r="BF567" s="76" t="b">
        <v>0</v>
      </c>
      <c r="BG567" s="76" t="b">
        <v>0</v>
      </c>
      <c r="BH567" s="83" t="str">
        <f>HYPERLINK("https://pbs.twimg.com/profile_banners/2431675772/1667488067")</f>
        <v>https://pbs.twimg.com/profile_banners/2431675772/1667488067</v>
      </c>
      <c r="BI567" s="76"/>
      <c r="BJ567" s="76" t="s">
        <v>18704</v>
      </c>
      <c r="BK567" s="76" t="b">
        <v>0</v>
      </c>
      <c r="BL567" s="76"/>
      <c r="BM567" s="76" t="s">
        <v>65</v>
      </c>
      <c r="BN567" s="76" t="s">
        <v>18706</v>
      </c>
      <c r="BO567" s="83" t="str">
        <f>HYPERLINK("https://twitter.com/prm_oficial")</f>
        <v>https://twitter.com/prm_oficial</v>
      </c>
      <c r="BP567" s="2"/>
    </row>
    <row r="568" spans="1:68" x14ac:dyDescent="0.25">
      <c r="A568" s="62" t="s">
        <v>639</v>
      </c>
      <c r="B568" s="63"/>
      <c r="C568" s="63"/>
      <c r="D568" s="64"/>
      <c r="E568" s="66"/>
      <c r="F568" s="102" t="str">
        <f>HYPERLINK("https://pbs.twimg.com/profile_images/1010247294791421956/_V6iMIgC_normal.jpg")</f>
        <v>https://pbs.twimg.com/profile_images/1010247294791421956/_V6iMIgC_normal.jpg</v>
      </c>
      <c r="G568" s="63"/>
      <c r="H568" s="67"/>
      <c r="I568" s="68"/>
      <c r="J568" s="68"/>
      <c r="K568" s="67" t="s">
        <v>19271</v>
      </c>
      <c r="L568" s="71"/>
      <c r="M568" s="72"/>
      <c r="N568" s="72"/>
      <c r="O568" s="73"/>
      <c r="P568" s="74"/>
      <c r="Q568" s="74"/>
      <c r="R568" s="86"/>
      <c r="S568" s="86"/>
      <c r="T568" s="86"/>
      <c r="U568" s="86"/>
      <c r="V568" s="48"/>
      <c r="W568" s="48"/>
      <c r="X568" s="48"/>
      <c r="Y568" s="48"/>
      <c r="Z568" s="47"/>
      <c r="AA568" s="69">
        <v>568</v>
      </c>
      <c r="AB568" s="69"/>
      <c r="AC568" s="70"/>
      <c r="AD568" s="76" t="s">
        <v>16994</v>
      </c>
      <c r="AE568" s="81" t="s">
        <v>16338</v>
      </c>
      <c r="AF568" s="76">
        <v>4303</v>
      </c>
      <c r="AG568" s="76">
        <v>4988</v>
      </c>
      <c r="AH568" s="76">
        <v>105344</v>
      </c>
      <c r="AI568" s="76">
        <v>0</v>
      </c>
      <c r="AJ568" s="76">
        <v>109656</v>
      </c>
      <c r="AK568" s="76">
        <v>829</v>
      </c>
      <c r="AL568" s="76" t="b">
        <v>0</v>
      </c>
      <c r="AM568" s="78">
        <v>43271.912499999999</v>
      </c>
      <c r="AN568" s="76"/>
      <c r="AO568" s="76" t="s">
        <v>18153</v>
      </c>
      <c r="AP568" s="76"/>
      <c r="AQ568" s="76"/>
      <c r="AR568" s="76"/>
      <c r="AS568" s="76"/>
      <c r="AT568" s="76"/>
      <c r="AU568" s="76"/>
      <c r="AV568" s="76">
        <v>1.40237262593089E+18</v>
      </c>
      <c r="AW568" s="76"/>
      <c r="AX568" s="76" t="b">
        <v>0</v>
      </c>
      <c r="AY568" s="76"/>
      <c r="AZ568" s="76"/>
      <c r="BA568" s="76" t="b">
        <v>0</v>
      </c>
      <c r="BB568" s="76" t="b">
        <v>1</v>
      </c>
      <c r="BC568" s="76" t="b">
        <v>1</v>
      </c>
      <c r="BD568" s="76" t="b">
        <v>0</v>
      </c>
      <c r="BE568" s="76" t="b">
        <v>1</v>
      </c>
      <c r="BF568" s="76" t="b">
        <v>0</v>
      </c>
      <c r="BG568" s="76" t="b">
        <v>0</v>
      </c>
      <c r="BH568" s="76"/>
      <c r="BI568" s="76"/>
      <c r="BJ568" s="76" t="s">
        <v>18704</v>
      </c>
      <c r="BK568" s="76" t="b">
        <v>0</v>
      </c>
      <c r="BL568" s="76"/>
      <c r="BM568" s="76" t="s">
        <v>66</v>
      </c>
      <c r="BN568" s="76" t="s">
        <v>18706</v>
      </c>
      <c r="BO568" s="83" t="str">
        <f>HYPERLINK("https://twitter.com/pepamango")</f>
        <v>https://twitter.com/pepamango</v>
      </c>
      <c r="BP568" s="2"/>
    </row>
    <row r="569" spans="1:68" x14ac:dyDescent="0.25">
      <c r="A569" s="62" t="s">
        <v>883</v>
      </c>
      <c r="B569" s="63"/>
      <c r="C569" s="63"/>
      <c r="D569" s="64"/>
      <c r="E569" s="66"/>
      <c r="F569" s="102" t="str">
        <f>HYPERLINK("https://pbs.twimg.com/profile_images/1626794198165860359/shGUXF5V_normal.jpg")</f>
        <v>https://pbs.twimg.com/profile_images/1626794198165860359/shGUXF5V_normal.jpg</v>
      </c>
      <c r="G569" s="63"/>
      <c r="H569" s="67"/>
      <c r="I569" s="68"/>
      <c r="J569" s="68"/>
      <c r="K569" s="67" t="s">
        <v>19272</v>
      </c>
      <c r="L569" s="71"/>
      <c r="M569" s="72"/>
      <c r="N569" s="72"/>
      <c r="O569" s="73"/>
      <c r="P569" s="74"/>
      <c r="Q569" s="74"/>
      <c r="R569" s="86"/>
      <c r="S569" s="86"/>
      <c r="T569" s="86"/>
      <c r="U569" s="86"/>
      <c r="V569" s="48"/>
      <c r="W569" s="48"/>
      <c r="X569" s="48"/>
      <c r="Y569" s="48"/>
      <c r="Z569" s="47"/>
      <c r="AA569" s="69">
        <v>569</v>
      </c>
      <c r="AB569" s="69"/>
      <c r="AC569" s="70"/>
      <c r="AD569" s="76" t="s">
        <v>16995</v>
      </c>
      <c r="AE569" s="81" t="s">
        <v>17366</v>
      </c>
      <c r="AF569" s="76">
        <v>318585</v>
      </c>
      <c r="AG569" s="76">
        <v>1160</v>
      </c>
      <c r="AH569" s="76">
        <v>29787</v>
      </c>
      <c r="AI569" s="76">
        <v>735</v>
      </c>
      <c r="AJ569" s="76">
        <v>5403</v>
      </c>
      <c r="AK569" s="76">
        <v>7774</v>
      </c>
      <c r="AL569" s="76" t="b">
        <v>0</v>
      </c>
      <c r="AM569" s="78">
        <v>40309.960717592592</v>
      </c>
      <c r="AN569" s="76" t="s">
        <v>17615</v>
      </c>
      <c r="AO569" s="76" t="s">
        <v>18154</v>
      </c>
      <c r="AP569" s="83" t="str">
        <f>HYPERLINK("https://t.co/sEhmrC0RzF")</f>
        <v>https://t.co/sEhmrC0RzF</v>
      </c>
      <c r="AQ569" s="83" t="str">
        <f>HYPERLINK("http://mauriciocardenas.co")</f>
        <v>http://mauriciocardenas.co</v>
      </c>
      <c r="AR569" s="76" t="s">
        <v>18574</v>
      </c>
      <c r="AS569" s="76" t="s">
        <v>18639</v>
      </c>
      <c r="AT569" s="76" t="s">
        <v>18650</v>
      </c>
      <c r="AU569" s="76" t="s">
        <v>18695</v>
      </c>
      <c r="AV569" s="76">
        <v>1.7056154197787799E+18</v>
      </c>
      <c r="AW569" s="83" t="str">
        <f>HYPERLINK("https://t.co/sEhmrC0RzF")</f>
        <v>https://t.co/sEhmrC0RzF</v>
      </c>
      <c r="AX569" s="76" t="b">
        <v>0</v>
      </c>
      <c r="AY569" s="76"/>
      <c r="AZ569" s="76"/>
      <c r="BA569" s="76" t="b">
        <v>0</v>
      </c>
      <c r="BB569" s="76" t="b">
        <v>1</v>
      </c>
      <c r="BC569" s="76" t="b">
        <v>0</v>
      </c>
      <c r="BD569" s="76" t="b">
        <v>0</v>
      </c>
      <c r="BE569" s="76" t="b">
        <v>1</v>
      </c>
      <c r="BF569" s="76" t="b">
        <v>0</v>
      </c>
      <c r="BG569" s="76" t="b">
        <v>0</v>
      </c>
      <c r="BH569" s="83" t="str">
        <f>HYPERLINK("https://pbs.twimg.com/profile_banners/142849205/1671144924")</f>
        <v>https://pbs.twimg.com/profile_banners/142849205/1671144924</v>
      </c>
      <c r="BI569" s="76"/>
      <c r="BJ569" s="76" t="s">
        <v>18704</v>
      </c>
      <c r="BK569" s="76" t="b">
        <v>0</v>
      </c>
      <c r="BL569" s="76"/>
      <c r="BM569" s="76" t="s">
        <v>65</v>
      </c>
      <c r="BN569" s="76" t="s">
        <v>18706</v>
      </c>
      <c r="BO569" s="83" t="str">
        <f>HYPERLINK("https://twitter.com/mauriciocard")</f>
        <v>https://twitter.com/mauriciocard</v>
      </c>
      <c r="BP569" s="2"/>
    </row>
    <row r="570" spans="1:68" x14ac:dyDescent="0.25">
      <c r="A570" s="62" t="s">
        <v>640</v>
      </c>
      <c r="B570" s="63"/>
      <c r="C570" s="63"/>
      <c r="D570" s="64"/>
      <c r="E570" s="66"/>
      <c r="F570" s="102" t="str">
        <f>HYPERLINK("https://pbs.twimg.com/profile_images/1699367803873050624/DPSDLSKs_normal.jpg")</f>
        <v>https://pbs.twimg.com/profile_images/1699367803873050624/DPSDLSKs_normal.jpg</v>
      </c>
      <c r="G570" s="63"/>
      <c r="H570" s="67"/>
      <c r="I570" s="68"/>
      <c r="J570" s="68"/>
      <c r="K570" s="67" t="s">
        <v>19273</v>
      </c>
      <c r="L570" s="71"/>
      <c r="M570" s="72"/>
      <c r="N570" s="72"/>
      <c r="O570" s="73"/>
      <c r="P570" s="74"/>
      <c r="Q570" s="74"/>
      <c r="R570" s="86"/>
      <c r="S570" s="86"/>
      <c r="T570" s="86"/>
      <c r="U570" s="86"/>
      <c r="V570" s="48"/>
      <c r="W570" s="48"/>
      <c r="X570" s="48"/>
      <c r="Y570" s="48"/>
      <c r="Z570" s="47"/>
      <c r="AA570" s="69">
        <v>570</v>
      </c>
      <c r="AB570" s="69"/>
      <c r="AC570" s="70"/>
      <c r="AD570" s="76" t="s">
        <v>16996</v>
      </c>
      <c r="AE570" s="81" t="s">
        <v>16339</v>
      </c>
      <c r="AF570" s="76">
        <v>220</v>
      </c>
      <c r="AG570" s="76">
        <v>345</v>
      </c>
      <c r="AH570" s="76">
        <v>23</v>
      </c>
      <c r="AI570" s="76">
        <v>7</v>
      </c>
      <c r="AJ570" s="76">
        <v>3580</v>
      </c>
      <c r="AK570" s="76">
        <v>0</v>
      </c>
      <c r="AL570" s="76" t="b">
        <v>0</v>
      </c>
      <c r="AM570" s="78">
        <v>44989.834074074075</v>
      </c>
      <c r="AN570" s="76"/>
      <c r="AO570" s="76" t="s">
        <v>18155</v>
      </c>
      <c r="AP570" s="76"/>
      <c r="AQ570" s="76"/>
      <c r="AR570" s="76"/>
      <c r="AS570" s="76"/>
      <c r="AT570" s="76"/>
      <c r="AU570" s="76"/>
      <c r="AV570" s="76"/>
      <c r="AW570" s="76"/>
      <c r="AX570" s="76" t="b">
        <v>0</v>
      </c>
      <c r="AY570" s="76"/>
      <c r="AZ570" s="76"/>
      <c r="BA570" s="76" t="b">
        <v>1</v>
      </c>
      <c r="BB570" s="76" t="b">
        <v>1</v>
      </c>
      <c r="BC570" s="76" t="b">
        <v>1</v>
      </c>
      <c r="BD570" s="76" t="b">
        <v>0</v>
      </c>
      <c r="BE570" s="76" t="b">
        <v>0</v>
      </c>
      <c r="BF570" s="76" t="b">
        <v>0</v>
      </c>
      <c r="BG570" s="76" t="b">
        <v>1</v>
      </c>
      <c r="BH570" s="83" t="str">
        <f>HYPERLINK("https://pbs.twimg.com/profile_banners/1632108857261723648/1694106859")</f>
        <v>https://pbs.twimg.com/profile_banners/1632108857261723648/1694106859</v>
      </c>
      <c r="BI570" s="76" t="s">
        <v>18703</v>
      </c>
      <c r="BJ570" s="76" t="s">
        <v>18704</v>
      </c>
      <c r="BK570" s="76" t="b">
        <v>0</v>
      </c>
      <c r="BL570" s="76"/>
      <c r="BM570" s="76" t="s">
        <v>66</v>
      </c>
      <c r="BN570" s="76" t="s">
        <v>18706</v>
      </c>
      <c r="BO570" s="83" t="str">
        <f>HYPERLINK("https://twitter.com/stmindfulness")</f>
        <v>https://twitter.com/stmindfulness</v>
      </c>
      <c r="BP570" s="2"/>
    </row>
    <row r="571" spans="1:68" x14ac:dyDescent="0.25">
      <c r="A571" s="62" t="s">
        <v>641</v>
      </c>
      <c r="B571" s="63"/>
      <c r="C571" s="63"/>
      <c r="D571" s="64"/>
      <c r="E571" s="66"/>
      <c r="F571" s="102" t="str">
        <f>HYPERLINK("https://pbs.twimg.com/profile_images/1346761110549102599/yGZFxteq_normal.png")</f>
        <v>https://pbs.twimg.com/profile_images/1346761110549102599/yGZFxteq_normal.png</v>
      </c>
      <c r="G571" s="63"/>
      <c r="H571" s="67"/>
      <c r="I571" s="68"/>
      <c r="J571" s="68"/>
      <c r="K571" s="67" t="s">
        <v>19274</v>
      </c>
      <c r="L571" s="71"/>
      <c r="M571" s="72"/>
      <c r="N571" s="72"/>
      <c r="O571" s="73"/>
      <c r="P571" s="74"/>
      <c r="Q571" s="74"/>
      <c r="R571" s="86"/>
      <c r="S571" s="86"/>
      <c r="T571" s="86"/>
      <c r="U571" s="86"/>
      <c r="V571" s="48"/>
      <c r="W571" s="48"/>
      <c r="X571" s="48"/>
      <c r="Y571" s="48"/>
      <c r="Z571" s="47"/>
      <c r="AA571" s="69">
        <v>571</v>
      </c>
      <c r="AB571" s="69"/>
      <c r="AC571" s="70"/>
      <c r="AD571" s="76" t="s">
        <v>16997</v>
      </c>
      <c r="AE571" s="81" t="s">
        <v>16340</v>
      </c>
      <c r="AF571" s="76">
        <v>229</v>
      </c>
      <c r="AG571" s="76">
        <v>98</v>
      </c>
      <c r="AH571" s="76">
        <v>4692</v>
      </c>
      <c r="AI571" s="76">
        <v>2</v>
      </c>
      <c r="AJ571" s="76">
        <v>42</v>
      </c>
      <c r="AK571" s="76">
        <v>4638</v>
      </c>
      <c r="AL571" s="76" t="b">
        <v>0</v>
      </c>
      <c r="AM571" s="78">
        <v>44202.420555555553</v>
      </c>
      <c r="AN571" s="76"/>
      <c r="AO571" s="76" t="s">
        <v>18156</v>
      </c>
      <c r="AP571" s="83" t="str">
        <f>HYPERLINK("https://t.co/221C1q6tGi")</f>
        <v>https://t.co/221C1q6tGi</v>
      </c>
      <c r="AQ571" s="83" t="str">
        <f>HYPERLINK("http://investidoresbrasil.com.br")</f>
        <v>http://investidoresbrasil.com.br</v>
      </c>
      <c r="AR571" s="76" t="s">
        <v>18575</v>
      </c>
      <c r="AS571" s="76"/>
      <c r="AT571" s="76"/>
      <c r="AU571" s="76"/>
      <c r="AV571" s="76"/>
      <c r="AW571" s="83" t="str">
        <f>HYPERLINK("https://t.co/221C1q6tGi")</f>
        <v>https://t.co/221C1q6tGi</v>
      </c>
      <c r="AX571" s="76" t="b">
        <v>0</v>
      </c>
      <c r="AY571" s="76"/>
      <c r="AZ571" s="76"/>
      <c r="BA571" s="76" t="b">
        <v>0</v>
      </c>
      <c r="BB571" s="76" t="b">
        <v>1</v>
      </c>
      <c r="BC571" s="76" t="b">
        <v>1</v>
      </c>
      <c r="BD571" s="76" t="b">
        <v>0</v>
      </c>
      <c r="BE571" s="76" t="b">
        <v>1</v>
      </c>
      <c r="BF571" s="76" t="b">
        <v>0</v>
      </c>
      <c r="BG571" s="76" t="b">
        <v>0</v>
      </c>
      <c r="BH571" s="83" t="str">
        <f>HYPERLINK("https://pbs.twimg.com/profile_banners/1346759748188831747/1667842319")</f>
        <v>https://pbs.twimg.com/profile_banners/1346759748188831747/1667842319</v>
      </c>
      <c r="BI571" s="76"/>
      <c r="BJ571" s="76" t="s">
        <v>18704</v>
      </c>
      <c r="BK571" s="76" t="b">
        <v>0</v>
      </c>
      <c r="BL571" s="76"/>
      <c r="BM571" s="76" t="s">
        <v>66</v>
      </c>
      <c r="BN571" s="76" t="s">
        <v>18706</v>
      </c>
      <c r="BO571" s="83" t="str">
        <f>HYPERLINK("https://twitter.com/investidoreso")</f>
        <v>https://twitter.com/investidoreso</v>
      </c>
      <c r="BP571" s="2"/>
    </row>
    <row r="572" spans="1:68" x14ac:dyDescent="0.25">
      <c r="A572" s="62" t="s">
        <v>642</v>
      </c>
      <c r="B572" s="63"/>
      <c r="C572" s="63"/>
      <c r="D572" s="64"/>
      <c r="E572" s="66"/>
      <c r="F572" s="102" t="str">
        <f>HYPERLINK("https://pbs.twimg.com/profile_images/1578003498276462598/AA1TF27i_normal.jpg")</f>
        <v>https://pbs.twimg.com/profile_images/1578003498276462598/AA1TF27i_normal.jpg</v>
      </c>
      <c r="G572" s="63"/>
      <c r="H572" s="67"/>
      <c r="I572" s="68"/>
      <c r="J572" s="68"/>
      <c r="K572" s="67" t="s">
        <v>19275</v>
      </c>
      <c r="L572" s="71"/>
      <c r="M572" s="72"/>
      <c r="N572" s="72"/>
      <c r="O572" s="73"/>
      <c r="P572" s="74"/>
      <c r="Q572" s="74"/>
      <c r="R572" s="86"/>
      <c r="S572" s="86"/>
      <c r="T572" s="86"/>
      <c r="U572" s="86"/>
      <c r="V572" s="48"/>
      <c r="W572" s="48"/>
      <c r="X572" s="48"/>
      <c r="Y572" s="48"/>
      <c r="Z572" s="47"/>
      <c r="AA572" s="69">
        <v>572</v>
      </c>
      <c r="AB572" s="69"/>
      <c r="AC572" s="70"/>
      <c r="AD572" s="76" t="s">
        <v>16998</v>
      </c>
      <c r="AE572" s="81" t="s">
        <v>15970</v>
      </c>
      <c r="AF572" s="76">
        <v>3</v>
      </c>
      <c r="AG572" s="76">
        <v>112</v>
      </c>
      <c r="AH572" s="76">
        <v>64</v>
      </c>
      <c r="AI572" s="76">
        <v>0</v>
      </c>
      <c r="AJ572" s="76">
        <v>2731</v>
      </c>
      <c r="AK572" s="76">
        <v>3</v>
      </c>
      <c r="AL572" s="76" t="b">
        <v>0</v>
      </c>
      <c r="AM572" s="78">
        <v>43642.659131944441</v>
      </c>
      <c r="AN572" s="76" t="s">
        <v>17533</v>
      </c>
      <c r="AO572" s="76"/>
      <c r="AP572" s="76"/>
      <c r="AQ572" s="76"/>
      <c r="AR572" s="76"/>
      <c r="AS572" s="76"/>
      <c r="AT572" s="76"/>
      <c r="AU572" s="76"/>
      <c r="AV572" s="76"/>
      <c r="AW572" s="76"/>
      <c r="AX572" s="76" t="b">
        <v>0</v>
      </c>
      <c r="AY572" s="76"/>
      <c r="AZ572" s="76"/>
      <c r="BA572" s="76" t="b">
        <v>1</v>
      </c>
      <c r="BB572" s="76" t="b">
        <v>1</v>
      </c>
      <c r="BC572" s="76" t="b">
        <v>1</v>
      </c>
      <c r="BD572" s="76" t="b">
        <v>0</v>
      </c>
      <c r="BE572" s="76" t="b">
        <v>1</v>
      </c>
      <c r="BF572" s="76" t="b">
        <v>0</v>
      </c>
      <c r="BG572" s="76" t="b">
        <v>0</v>
      </c>
      <c r="BH572" s="76"/>
      <c r="BI572" s="76"/>
      <c r="BJ572" s="76" t="s">
        <v>18704</v>
      </c>
      <c r="BK572" s="76" t="b">
        <v>0</v>
      </c>
      <c r="BL572" s="76"/>
      <c r="BM572" s="76" t="s">
        <v>66</v>
      </c>
      <c r="BN572" s="76" t="s">
        <v>18706</v>
      </c>
      <c r="BO572" s="83" t="str">
        <f>HYPERLINK("https://twitter.com/marcelocastell0")</f>
        <v>https://twitter.com/marcelocastell0</v>
      </c>
      <c r="BP572" s="2"/>
    </row>
    <row r="573" spans="1:68" x14ac:dyDescent="0.25">
      <c r="A573" s="62" t="s">
        <v>643</v>
      </c>
      <c r="B573" s="63"/>
      <c r="C573" s="63"/>
      <c r="D573" s="64"/>
      <c r="E573" s="66"/>
      <c r="F573" s="102" t="str">
        <f>HYPERLINK("https://pbs.twimg.com/profile_images/1629664031685443588/RvgwF3G3_normal.jpg")</f>
        <v>https://pbs.twimg.com/profile_images/1629664031685443588/RvgwF3G3_normal.jpg</v>
      </c>
      <c r="G573" s="63"/>
      <c r="H573" s="67"/>
      <c r="I573" s="68"/>
      <c r="J573" s="68"/>
      <c r="K573" s="67" t="s">
        <v>19276</v>
      </c>
      <c r="L573" s="71"/>
      <c r="M573" s="72"/>
      <c r="N573" s="72"/>
      <c r="O573" s="73"/>
      <c r="P573" s="74"/>
      <c r="Q573" s="74"/>
      <c r="R573" s="86"/>
      <c r="S573" s="86"/>
      <c r="T573" s="86"/>
      <c r="U573" s="86"/>
      <c r="V573" s="48"/>
      <c r="W573" s="48"/>
      <c r="X573" s="48"/>
      <c r="Y573" s="48"/>
      <c r="Z573" s="47"/>
      <c r="AA573" s="69">
        <v>573</v>
      </c>
      <c r="AB573" s="69"/>
      <c r="AC573" s="70"/>
      <c r="AD573" s="76" t="s">
        <v>16999</v>
      </c>
      <c r="AE573" s="81" t="s">
        <v>16341</v>
      </c>
      <c r="AF573" s="76">
        <v>48</v>
      </c>
      <c r="AG573" s="76">
        <v>157</v>
      </c>
      <c r="AH573" s="76">
        <v>972</v>
      </c>
      <c r="AI573" s="76">
        <v>0</v>
      </c>
      <c r="AJ573" s="76">
        <v>1406</v>
      </c>
      <c r="AK573" s="76">
        <v>74</v>
      </c>
      <c r="AL573" s="76" t="b">
        <v>0</v>
      </c>
      <c r="AM573" s="78">
        <v>44864.725752314815</v>
      </c>
      <c r="AN573" s="76" t="s">
        <v>17616</v>
      </c>
      <c r="AO573" s="76" t="s">
        <v>18157</v>
      </c>
      <c r="AP573" s="76"/>
      <c r="AQ573" s="76"/>
      <c r="AR573" s="76"/>
      <c r="AS573" s="76"/>
      <c r="AT573" s="76"/>
      <c r="AU573" s="76"/>
      <c r="AV573" s="76">
        <v>1.6296521697658299E+18</v>
      </c>
      <c r="AW573" s="76"/>
      <c r="AX573" s="76" t="b">
        <v>0</v>
      </c>
      <c r="AY573" s="76"/>
      <c r="AZ573" s="76"/>
      <c r="BA573" s="76" t="b">
        <v>0</v>
      </c>
      <c r="BB573" s="76" t="b">
        <v>1</v>
      </c>
      <c r="BC573" s="76" t="b">
        <v>1</v>
      </c>
      <c r="BD573" s="76" t="b">
        <v>0</v>
      </c>
      <c r="BE573" s="76" t="b">
        <v>1</v>
      </c>
      <c r="BF573" s="76" t="b">
        <v>0</v>
      </c>
      <c r="BG573" s="76" t="b">
        <v>0</v>
      </c>
      <c r="BH573" s="83" t="str">
        <f>HYPERLINK("https://pbs.twimg.com/profile_banners/1586771038364385280/1682293032")</f>
        <v>https://pbs.twimg.com/profile_banners/1586771038364385280/1682293032</v>
      </c>
      <c r="BI573" s="76"/>
      <c r="BJ573" s="76" t="s">
        <v>18704</v>
      </c>
      <c r="BK573" s="76" t="b">
        <v>0</v>
      </c>
      <c r="BL573" s="76"/>
      <c r="BM573" s="76" t="s">
        <v>66</v>
      </c>
      <c r="BN573" s="76" t="s">
        <v>18706</v>
      </c>
      <c r="BO573" s="83" t="str">
        <f>HYPERLINK("https://twitter.com/investimentobrl")</f>
        <v>https://twitter.com/investimentobrl</v>
      </c>
      <c r="BP573" s="2"/>
    </row>
    <row r="574" spans="1:68" x14ac:dyDescent="0.25">
      <c r="A574" s="62" t="s">
        <v>644</v>
      </c>
      <c r="B574" s="63"/>
      <c r="C574" s="63"/>
      <c r="D574" s="64"/>
      <c r="E574" s="66"/>
      <c r="F574" s="102" t="str">
        <f>HYPERLINK("https://pbs.twimg.com/profile_images/1686737017420333056/L26qJbCx_normal.jpg")</f>
        <v>https://pbs.twimg.com/profile_images/1686737017420333056/L26qJbCx_normal.jpg</v>
      </c>
      <c r="G574" s="63"/>
      <c r="H574" s="67"/>
      <c r="I574" s="68"/>
      <c r="J574" s="68"/>
      <c r="K574" s="67" t="s">
        <v>19277</v>
      </c>
      <c r="L574" s="71"/>
      <c r="M574" s="72"/>
      <c r="N574" s="72"/>
      <c r="O574" s="73"/>
      <c r="P574" s="74"/>
      <c r="Q574" s="74"/>
      <c r="R574" s="86"/>
      <c r="S574" s="86"/>
      <c r="T574" s="86"/>
      <c r="U574" s="86"/>
      <c r="V574" s="48"/>
      <c r="W574" s="48"/>
      <c r="X574" s="48"/>
      <c r="Y574" s="48"/>
      <c r="Z574" s="47"/>
      <c r="AA574" s="69">
        <v>574</v>
      </c>
      <c r="AB574" s="69"/>
      <c r="AC574" s="70"/>
      <c r="AD574" s="76" t="s">
        <v>17000</v>
      </c>
      <c r="AE574" s="81" t="s">
        <v>16342</v>
      </c>
      <c r="AF574" s="76">
        <v>2812</v>
      </c>
      <c r="AG574" s="76">
        <v>1766</v>
      </c>
      <c r="AH574" s="76">
        <v>3484</v>
      </c>
      <c r="AI574" s="76">
        <v>33</v>
      </c>
      <c r="AJ574" s="76">
        <v>668</v>
      </c>
      <c r="AK574" s="76">
        <v>1571</v>
      </c>
      <c r="AL574" s="76" t="b">
        <v>0</v>
      </c>
      <c r="AM574" s="78">
        <v>43045.895439814813</v>
      </c>
      <c r="AN574" s="76" t="s">
        <v>10586</v>
      </c>
      <c r="AO574" s="76" t="s">
        <v>18158</v>
      </c>
      <c r="AP574" s="83" t="str">
        <f>HYPERLINK("https://t.co/856oHPnyCV")</f>
        <v>https://t.co/856oHPnyCV</v>
      </c>
      <c r="AQ574" s="83" t="str">
        <f>HYPERLINK("https://cryptoinvestidor.com/")</f>
        <v>https://cryptoinvestidor.com/</v>
      </c>
      <c r="AR574" s="76" t="s">
        <v>18576</v>
      </c>
      <c r="AS574" s="83" t="str">
        <f>HYPERLINK("https://t.co/KiglEufYiT")</f>
        <v>https://t.co/KiglEufYiT</v>
      </c>
      <c r="AT574" s="83" t="str">
        <f>HYPERLINK("https://linktr.ee/cryptoinvestidor")</f>
        <v>https://linktr.ee/cryptoinvestidor</v>
      </c>
      <c r="AU574" s="76" t="s">
        <v>18696</v>
      </c>
      <c r="AV574" s="76">
        <v>1.69651195833634E+18</v>
      </c>
      <c r="AW574" s="83" t="str">
        <f>HYPERLINK("https://t.co/856oHPnyCV")</f>
        <v>https://t.co/856oHPnyCV</v>
      </c>
      <c r="AX574" s="76" t="b">
        <v>0</v>
      </c>
      <c r="AY574" s="76"/>
      <c r="AZ574" s="76"/>
      <c r="BA574" s="76" t="b">
        <v>0</v>
      </c>
      <c r="BB574" s="76" t="b">
        <v>1</v>
      </c>
      <c r="BC574" s="76" t="b">
        <v>0</v>
      </c>
      <c r="BD574" s="76" t="b">
        <v>0</v>
      </c>
      <c r="BE574" s="76" t="b">
        <v>1</v>
      </c>
      <c r="BF574" s="76" t="b">
        <v>0</v>
      </c>
      <c r="BG574" s="76" t="b">
        <v>0</v>
      </c>
      <c r="BH574" s="83" t="str">
        <f>HYPERLINK("https://pbs.twimg.com/profile_banners/927649148706459651/1690984419")</f>
        <v>https://pbs.twimg.com/profile_banners/927649148706459651/1690984419</v>
      </c>
      <c r="BI574" s="76"/>
      <c r="BJ574" s="76" t="s">
        <v>18704</v>
      </c>
      <c r="BK574" s="76" t="b">
        <v>0</v>
      </c>
      <c r="BL574" s="76"/>
      <c r="BM574" s="76" t="s">
        <v>66</v>
      </c>
      <c r="BN574" s="76" t="s">
        <v>18706</v>
      </c>
      <c r="BO574" s="83" t="str">
        <f>HYPERLINK("https://twitter.com/cryptoinvestido")</f>
        <v>https://twitter.com/cryptoinvestido</v>
      </c>
      <c r="BP574" s="2"/>
    </row>
    <row r="575" spans="1:68" x14ac:dyDescent="0.25">
      <c r="A575" s="62" t="s">
        <v>645</v>
      </c>
      <c r="B575" s="63"/>
      <c r="C575" s="63"/>
      <c r="D575" s="64"/>
      <c r="E575" s="66"/>
      <c r="F575" s="102" t="str">
        <f>HYPERLINK("https://abs.twimg.com/sticky/default_profile_images/default_profile_normal.png")</f>
        <v>https://abs.twimg.com/sticky/default_profile_images/default_profile_normal.png</v>
      </c>
      <c r="G575" s="63"/>
      <c r="H575" s="67"/>
      <c r="I575" s="68"/>
      <c r="J575" s="68"/>
      <c r="K575" s="67" t="s">
        <v>19278</v>
      </c>
      <c r="L575" s="71"/>
      <c r="M575" s="72"/>
      <c r="N575" s="72"/>
      <c r="O575" s="73"/>
      <c r="P575" s="74"/>
      <c r="Q575" s="74"/>
      <c r="R575" s="86"/>
      <c r="S575" s="86"/>
      <c r="T575" s="86"/>
      <c r="U575" s="86"/>
      <c r="V575" s="48"/>
      <c r="W575" s="48"/>
      <c r="X575" s="48"/>
      <c r="Y575" s="48"/>
      <c r="Z575" s="47"/>
      <c r="AA575" s="69">
        <v>575</v>
      </c>
      <c r="AB575" s="69"/>
      <c r="AC575" s="70"/>
      <c r="AD575" s="76" t="s">
        <v>17001</v>
      </c>
      <c r="AE575" s="81" t="s">
        <v>16343</v>
      </c>
      <c r="AF575" s="76">
        <v>0</v>
      </c>
      <c r="AG575" s="76">
        <v>3</v>
      </c>
      <c r="AH575" s="76">
        <v>111</v>
      </c>
      <c r="AI575" s="76">
        <v>0</v>
      </c>
      <c r="AJ575" s="76">
        <v>0</v>
      </c>
      <c r="AK575" s="76">
        <v>111</v>
      </c>
      <c r="AL575" s="76" t="b">
        <v>0</v>
      </c>
      <c r="AM575" s="78">
        <v>43203.508981481478</v>
      </c>
      <c r="AN575" s="76"/>
      <c r="AO575" s="76"/>
      <c r="AP575" s="76"/>
      <c r="AQ575" s="76"/>
      <c r="AR575" s="76"/>
      <c r="AS575" s="76"/>
      <c r="AT575" s="76"/>
      <c r="AU575" s="76"/>
      <c r="AV575" s="76"/>
      <c r="AW575" s="76"/>
      <c r="AX575" s="76" t="b">
        <v>0</v>
      </c>
      <c r="AY575" s="76"/>
      <c r="AZ575" s="76"/>
      <c r="BA575" s="76" t="b">
        <v>0</v>
      </c>
      <c r="BB575" s="76" t="b">
        <v>1</v>
      </c>
      <c r="BC575" s="76" t="b">
        <v>1</v>
      </c>
      <c r="BD575" s="76" t="b">
        <v>1</v>
      </c>
      <c r="BE575" s="76" t="b">
        <v>0</v>
      </c>
      <c r="BF575" s="76" t="b">
        <v>0</v>
      </c>
      <c r="BG575" s="76" t="b">
        <v>0</v>
      </c>
      <c r="BH575" s="76"/>
      <c r="BI575" s="76"/>
      <c r="BJ575" s="76" t="s">
        <v>18704</v>
      </c>
      <c r="BK575" s="76" t="b">
        <v>0</v>
      </c>
      <c r="BL575" s="76"/>
      <c r="BM575" s="76" t="s">
        <v>66</v>
      </c>
      <c r="BN575" s="76" t="s">
        <v>18706</v>
      </c>
      <c r="BO575" s="83" t="str">
        <f>HYPERLINK("https://twitter.com/hermilton5")</f>
        <v>https://twitter.com/hermilton5</v>
      </c>
      <c r="BP575" s="2"/>
    </row>
    <row r="576" spans="1:68" x14ac:dyDescent="0.25">
      <c r="A576" s="62" t="s">
        <v>646</v>
      </c>
      <c r="B576" s="63"/>
      <c r="C576" s="63"/>
      <c r="D576" s="64"/>
      <c r="E576" s="66"/>
      <c r="F576" s="102" t="str">
        <f>HYPERLINK("https://pbs.twimg.com/profile_images/1626323104367607808/PUDWjZJ7_normal.jpg")</f>
        <v>https://pbs.twimg.com/profile_images/1626323104367607808/PUDWjZJ7_normal.jpg</v>
      </c>
      <c r="G576" s="63"/>
      <c r="H576" s="67"/>
      <c r="I576" s="68"/>
      <c r="J576" s="68"/>
      <c r="K576" s="67" t="s">
        <v>19279</v>
      </c>
      <c r="L576" s="71"/>
      <c r="M576" s="72"/>
      <c r="N576" s="72"/>
      <c r="O576" s="73"/>
      <c r="P576" s="74"/>
      <c r="Q576" s="74"/>
      <c r="R576" s="86"/>
      <c r="S576" s="86"/>
      <c r="T576" s="86"/>
      <c r="U576" s="86"/>
      <c r="V576" s="48"/>
      <c r="W576" s="48"/>
      <c r="X576" s="48"/>
      <c r="Y576" s="48"/>
      <c r="Z576" s="47"/>
      <c r="AA576" s="69">
        <v>576</v>
      </c>
      <c r="AB576" s="69"/>
      <c r="AC576" s="70"/>
      <c r="AD576" s="76" t="s">
        <v>17002</v>
      </c>
      <c r="AE576" s="81" t="s">
        <v>16344</v>
      </c>
      <c r="AF576" s="76">
        <v>55</v>
      </c>
      <c r="AG576" s="76">
        <v>177</v>
      </c>
      <c r="AH576" s="76">
        <v>1158</v>
      </c>
      <c r="AI576" s="76">
        <v>3</v>
      </c>
      <c r="AJ576" s="76">
        <v>19</v>
      </c>
      <c r="AK576" s="76">
        <v>112</v>
      </c>
      <c r="AL576" s="76" t="b">
        <v>0</v>
      </c>
      <c r="AM576" s="78">
        <v>44343.617800925924</v>
      </c>
      <c r="AN576" s="76"/>
      <c r="AO576" s="76" t="s">
        <v>18159</v>
      </c>
      <c r="AP576" s="83" t="str">
        <f>HYPERLINK("https://t.co/dwhzJOaNyZ")</f>
        <v>https://t.co/dwhzJOaNyZ</v>
      </c>
      <c r="AQ576" s="83" t="str">
        <f>HYPERLINK("http://www.criptopportunity.com")</f>
        <v>http://www.criptopportunity.com</v>
      </c>
      <c r="AR576" s="76" t="s">
        <v>18577</v>
      </c>
      <c r="AS576" s="76"/>
      <c r="AT576" s="76"/>
      <c r="AU576" s="76"/>
      <c r="AV576" s="76">
        <v>1.70603069434063E+18</v>
      </c>
      <c r="AW576" s="83" t="str">
        <f>HYPERLINK("https://t.co/dwhzJOaNyZ")</f>
        <v>https://t.co/dwhzJOaNyZ</v>
      </c>
      <c r="AX576" s="76" t="b">
        <v>0</v>
      </c>
      <c r="AY576" s="76"/>
      <c r="AZ576" s="76"/>
      <c r="BA576" s="76" t="b">
        <v>0</v>
      </c>
      <c r="BB576" s="76" t="b">
        <v>1</v>
      </c>
      <c r="BC576" s="76" t="b">
        <v>1</v>
      </c>
      <c r="BD576" s="76" t="b">
        <v>0</v>
      </c>
      <c r="BE576" s="76" t="b">
        <v>0</v>
      </c>
      <c r="BF576" s="76" t="b">
        <v>0</v>
      </c>
      <c r="BG576" s="76" t="b">
        <v>0</v>
      </c>
      <c r="BH576" s="83" t="str">
        <f>HYPERLINK("https://pbs.twimg.com/profile_banners/1397927915556261891/1676580343")</f>
        <v>https://pbs.twimg.com/profile_banners/1397927915556261891/1676580343</v>
      </c>
      <c r="BI576" s="76"/>
      <c r="BJ576" s="76" t="s">
        <v>18704</v>
      </c>
      <c r="BK576" s="76" t="b">
        <v>0</v>
      </c>
      <c r="BL576" s="76"/>
      <c r="BM576" s="76" t="s">
        <v>66</v>
      </c>
      <c r="BN576" s="76" t="s">
        <v>18706</v>
      </c>
      <c r="BO576" s="83" t="str">
        <f>HYPERLINK("https://twitter.com/cri_opportunity")</f>
        <v>https://twitter.com/cri_opportunity</v>
      </c>
      <c r="BP576" s="2"/>
    </row>
    <row r="577" spans="1:68" x14ac:dyDescent="0.25">
      <c r="A577" s="62" t="s">
        <v>647</v>
      </c>
      <c r="B577" s="63"/>
      <c r="C577" s="63"/>
      <c r="D577" s="64"/>
      <c r="E577" s="66"/>
      <c r="F577" s="102" t="str">
        <f>HYPERLINK("https://pbs.twimg.com/profile_images/1694186884434423809/x9zNJLYj_normal.jpg")</f>
        <v>https://pbs.twimg.com/profile_images/1694186884434423809/x9zNJLYj_normal.jpg</v>
      </c>
      <c r="G577" s="63"/>
      <c r="H577" s="67"/>
      <c r="I577" s="68"/>
      <c r="J577" s="68"/>
      <c r="K577" s="67" t="s">
        <v>19280</v>
      </c>
      <c r="L577" s="71"/>
      <c r="M577" s="72"/>
      <c r="N577" s="72"/>
      <c r="O577" s="73"/>
      <c r="P577" s="74"/>
      <c r="Q577" s="74"/>
      <c r="R577" s="86"/>
      <c r="S577" s="86"/>
      <c r="T577" s="86"/>
      <c r="U577" s="86"/>
      <c r="V577" s="48"/>
      <c r="W577" s="48"/>
      <c r="X577" s="48"/>
      <c r="Y577" s="48"/>
      <c r="Z577" s="47"/>
      <c r="AA577" s="69">
        <v>577</v>
      </c>
      <c r="AB577" s="69"/>
      <c r="AC577" s="70"/>
      <c r="AD577" s="76" t="s">
        <v>17003</v>
      </c>
      <c r="AE577" s="81" t="s">
        <v>16345</v>
      </c>
      <c r="AF577" s="76">
        <v>44</v>
      </c>
      <c r="AG577" s="76">
        <v>182</v>
      </c>
      <c r="AH577" s="76">
        <v>375</v>
      </c>
      <c r="AI577" s="76">
        <v>1</v>
      </c>
      <c r="AJ577" s="76">
        <v>2056</v>
      </c>
      <c r="AK577" s="76">
        <v>47</v>
      </c>
      <c r="AL577" s="76" t="b">
        <v>0</v>
      </c>
      <c r="AM577" s="78">
        <v>45161.135868055557</v>
      </c>
      <c r="AN577" s="76"/>
      <c r="AO577" s="76" t="s">
        <v>18160</v>
      </c>
      <c r="AP577" s="76"/>
      <c r="AQ577" s="76"/>
      <c r="AR577" s="76"/>
      <c r="AS577" s="76"/>
      <c r="AT577" s="76"/>
      <c r="AU577" s="76"/>
      <c r="AV577" s="76">
        <v>1.7030995070119199E+18</v>
      </c>
      <c r="AW577" s="76"/>
      <c r="AX577" s="76" t="b">
        <v>0</v>
      </c>
      <c r="AY577" s="76"/>
      <c r="AZ577" s="76"/>
      <c r="BA577" s="76" t="b">
        <v>0</v>
      </c>
      <c r="BB577" s="76" t="b">
        <v>1</v>
      </c>
      <c r="BC577" s="76" t="b">
        <v>1</v>
      </c>
      <c r="BD577" s="76" t="b">
        <v>0</v>
      </c>
      <c r="BE577" s="76" t="b">
        <v>0</v>
      </c>
      <c r="BF577" s="76" t="b">
        <v>0</v>
      </c>
      <c r="BG577" s="76" t="b">
        <v>0</v>
      </c>
      <c r="BH577" s="83" t="str">
        <f>HYPERLINK("https://pbs.twimg.com/profile_banners/1694186447404695552/1692760635")</f>
        <v>https://pbs.twimg.com/profile_banners/1694186447404695552/1692760635</v>
      </c>
      <c r="BI577" s="76"/>
      <c r="BJ577" s="76" t="s">
        <v>18704</v>
      </c>
      <c r="BK577" s="76" t="b">
        <v>0</v>
      </c>
      <c r="BL577" s="76"/>
      <c r="BM577" s="76" t="s">
        <v>66</v>
      </c>
      <c r="BN577" s="76" t="s">
        <v>18706</v>
      </c>
      <c r="BO577" s="83" t="str">
        <f>HYPERLINK("https://twitter.com/drjuliomiranda")</f>
        <v>https://twitter.com/drjuliomiranda</v>
      </c>
      <c r="BP577" s="2"/>
    </row>
    <row r="578" spans="1:68" x14ac:dyDescent="0.25">
      <c r="A578" s="62" t="s">
        <v>648</v>
      </c>
      <c r="B578" s="63"/>
      <c r="C578" s="63"/>
      <c r="D578" s="64"/>
      <c r="E578" s="66"/>
      <c r="F578" s="102" t="str">
        <f>HYPERLINK("https://pbs.twimg.com/profile_images/1579760580272873473/QtDoigmv_normal.jpg")</f>
        <v>https://pbs.twimg.com/profile_images/1579760580272873473/QtDoigmv_normal.jpg</v>
      </c>
      <c r="G578" s="63"/>
      <c r="H578" s="67"/>
      <c r="I578" s="68"/>
      <c r="J578" s="68"/>
      <c r="K578" s="67" t="s">
        <v>19281</v>
      </c>
      <c r="L578" s="71"/>
      <c r="M578" s="72"/>
      <c r="N578" s="72"/>
      <c r="O578" s="73"/>
      <c r="P578" s="74"/>
      <c r="Q578" s="74"/>
      <c r="R578" s="86"/>
      <c r="S578" s="86"/>
      <c r="T578" s="86"/>
      <c r="U578" s="86"/>
      <c r="V578" s="48"/>
      <c r="W578" s="48"/>
      <c r="X578" s="48"/>
      <c r="Y578" s="48"/>
      <c r="Z578" s="47"/>
      <c r="AA578" s="69">
        <v>578</v>
      </c>
      <c r="AB578" s="69"/>
      <c r="AC578" s="70"/>
      <c r="AD578" s="76" t="s">
        <v>17004</v>
      </c>
      <c r="AE578" s="81" t="s">
        <v>17367</v>
      </c>
      <c r="AF578" s="76">
        <v>822</v>
      </c>
      <c r="AG578" s="76">
        <v>1135</v>
      </c>
      <c r="AH578" s="76">
        <v>6520</v>
      </c>
      <c r="AI578" s="76">
        <v>0</v>
      </c>
      <c r="AJ578" s="76">
        <v>4458</v>
      </c>
      <c r="AK578" s="76">
        <v>110</v>
      </c>
      <c r="AL578" s="76" t="b">
        <v>0</v>
      </c>
      <c r="AM578" s="78">
        <v>42054.487476851849</v>
      </c>
      <c r="AN578" s="76" t="s">
        <v>17617</v>
      </c>
      <c r="AO578" s="76" t="s">
        <v>18161</v>
      </c>
      <c r="AP578" s="76"/>
      <c r="AQ578" s="76"/>
      <c r="AR578" s="76"/>
      <c r="AS578" s="76"/>
      <c r="AT578" s="76"/>
      <c r="AU578" s="76"/>
      <c r="AV578" s="76"/>
      <c r="AW578" s="76"/>
      <c r="AX578" s="76" t="b">
        <v>0</v>
      </c>
      <c r="AY578" s="76"/>
      <c r="AZ578" s="76"/>
      <c r="BA578" s="76" t="b">
        <v>0</v>
      </c>
      <c r="BB578" s="76" t="b">
        <v>1</v>
      </c>
      <c r="BC578" s="76" t="b">
        <v>0</v>
      </c>
      <c r="BD578" s="76" t="b">
        <v>0</v>
      </c>
      <c r="BE578" s="76" t="b">
        <v>0</v>
      </c>
      <c r="BF578" s="76" t="b">
        <v>0</v>
      </c>
      <c r="BG578" s="76" t="b">
        <v>0</v>
      </c>
      <c r="BH578" s="83" t="str">
        <f>HYPERLINK("https://pbs.twimg.com/profile_banners/3029762731/1651337704")</f>
        <v>https://pbs.twimg.com/profile_banners/3029762731/1651337704</v>
      </c>
      <c r="BI578" s="76"/>
      <c r="BJ578" s="76" t="s">
        <v>18704</v>
      </c>
      <c r="BK578" s="76" t="b">
        <v>0</v>
      </c>
      <c r="BL578" s="76"/>
      <c r="BM578" s="76" t="s">
        <v>66</v>
      </c>
      <c r="BN578" s="76" t="s">
        <v>18706</v>
      </c>
      <c r="BO578" s="83" t="str">
        <f>HYPERLINK("https://twitter.com/mckinney_moorez")</f>
        <v>https://twitter.com/mckinney_moorez</v>
      </c>
      <c r="BP578" s="2"/>
    </row>
    <row r="579" spans="1:68" x14ac:dyDescent="0.25">
      <c r="A579" s="62" t="s">
        <v>649</v>
      </c>
      <c r="B579" s="63"/>
      <c r="C579" s="63"/>
      <c r="D579" s="64"/>
      <c r="E579" s="66"/>
      <c r="F579" s="102" t="str">
        <f>HYPERLINK("https://pbs.twimg.com/profile_images/1646267037231054848/IZBbqwV3_normal.jpg")</f>
        <v>https://pbs.twimg.com/profile_images/1646267037231054848/IZBbqwV3_normal.jpg</v>
      </c>
      <c r="G579" s="63"/>
      <c r="H579" s="67"/>
      <c r="I579" s="68"/>
      <c r="J579" s="68"/>
      <c r="K579" s="67" t="s">
        <v>19282</v>
      </c>
      <c r="L579" s="71"/>
      <c r="M579" s="72"/>
      <c r="N579" s="72"/>
      <c r="O579" s="73"/>
      <c r="P579" s="74"/>
      <c r="Q579" s="74"/>
      <c r="R579" s="86"/>
      <c r="S579" s="86"/>
      <c r="T579" s="86"/>
      <c r="U579" s="86"/>
      <c r="V579" s="48"/>
      <c r="W579" s="48"/>
      <c r="X579" s="48"/>
      <c r="Y579" s="48"/>
      <c r="Z579" s="47"/>
      <c r="AA579" s="69">
        <v>579</v>
      </c>
      <c r="AB579" s="69"/>
      <c r="AC579" s="70"/>
      <c r="AD579" s="76" t="s">
        <v>17005</v>
      </c>
      <c r="AE579" s="81" t="s">
        <v>16346</v>
      </c>
      <c r="AF579" s="76">
        <v>7</v>
      </c>
      <c r="AG579" s="76">
        <v>16</v>
      </c>
      <c r="AH579" s="76">
        <v>5039</v>
      </c>
      <c r="AI579" s="76">
        <v>2</v>
      </c>
      <c r="AJ579" s="76">
        <v>2</v>
      </c>
      <c r="AK579" s="76">
        <v>0</v>
      </c>
      <c r="AL579" s="76" t="b">
        <v>0</v>
      </c>
      <c r="AM579" s="78">
        <v>45028.797083333331</v>
      </c>
      <c r="AN579" s="76"/>
      <c r="AO579" s="76" t="s">
        <v>18162</v>
      </c>
      <c r="AP579" s="83" t="str">
        <f>HYPERLINK("https://t.co/drkBVHwzH8")</f>
        <v>https://t.co/drkBVHwzH8</v>
      </c>
      <c r="AQ579" s="83" t="str">
        <f>HYPERLINK("https://cromaticanoticias.com")</f>
        <v>https://cromaticanoticias.com</v>
      </c>
      <c r="AR579" s="76" t="s">
        <v>6547</v>
      </c>
      <c r="AS579" s="76"/>
      <c r="AT579" s="76"/>
      <c r="AU579" s="76"/>
      <c r="AV579" s="76"/>
      <c r="AW579" s="83" t="str">
        <f>HYPERLINK("https://t.co/drkBVHwzH8")</f>
        <v>https://t.co/drkBVHwzH8</v>
      </c>
      <c r="AX579" s="76" t="b">
        <v>0</v>
      </c>
      <c r="AY579" s="76"/>
      <c r="AZ579" s="76"/>
      <c r="BA579" s="76" t="b">
        <v>0</v>
      </c>
      <c r="BB579" s="76" t="b">
        <v>1</v>
      </c>
      <c r="BC579" s="76" t="b">
        <v>1</v>
      </c>
      <c r="BD579" s="76" t="b">
        <v>0</v>
      </c>
      <c r="BE579" s="76" t="b">
        <v>0</v>
      </c>
      <c r="BF579" s="76" t="b">
        <v>0</v>
      </c>
      <c r="BG579" s="76" t="b">
        <v>0</v>
      </c>
      <c r="BH579" s="83" t="str">
        <f>HYPERLINK("https://pbs.twimg.com/profile_banners/1646228356583620608/1681336363")</f>
        <v>https://pbs.twimg.com/profile_banners/1646228356583620608/1681336363</v>
      </c>
      <c r="BI579" s="76"/>
      <c r="BJ579" s="76" t="s">
        <v>18704</v>
      </c>
      <c r="BK579" s="76" t="b">
        <v>0</v>
      </c>
      <c r="BL579" s="76"/>
      <c r="BM579" s="76" t="s">
        <v>66</v>
      </c>
      <c r="BN579" s="76" t="s">
        <v>18706</v>
      </c>
      <c r="BO579" s="83" t="str">
        <f>HYPERLINK("https://twitter.com/cromaticanews")</f>
        <v>https://twitter.com/cromaticanews</v>
      </c>
      <c r="BP579" s="2"/>
    </row>
    <row r="580" spans="1:68" x14ac:dyDescent="0.25">
      <c r="A580" s="62" t="s">
        <v>650</v>
      </c>
      <c r="B580" s="63"/>
      <c r="C580" s="63"/>
      <c r="D580" s="64"/>
      <c r="E580" s="66"/>
      <c r="F580" s="102" t="str">
        <f>HYPERLINK("https://pbs.twimg.com/profile_images/1706362418673147904/vvKeo0Xj_normal.jpg")</f>
        <v>https://pbs.twimg.com/profile_images/1706362418673147904/vvKeo0Xj_normal.jpg</v>
      </c>
      <c r="G580" s="63"/>
      <c r="H580" s="67"/>
      <c r="I580" s="68"/>
      <c r="J580" s="68"/>
      <c r="K580" s="67" t="s">
        <v>19283</v>
      </c>
      <c r="L580" s="71"/>
      <c r="M580" s="72"/>
      <c r="N580" s="72"/>
      <c r="O580" s="73"/>
      <c r="P580" s="74"/>
      <c r="Q580" s="74"/>
      <c r="R580" s="86"/>
      <c r="S580" s="86"/>
      <c r="T580" s="86"/>
      <c r="U580" s="86"/>
      <c r="V580" s="48"/>
      <c r="W580" s="48"/>
      <c r="X580" s="48"/>
      <c r="Y580" s="48"/>
      <c r="Z580" s="47"/>
      <c r="AA580" s="69">
        <v>580</v>
      </c>
      <c r="AB580" s="69"/>
      <c r="AC580" s="70"/>
      <c r="AD580" s="76" t="s">
        <v>17006</v>
      </c>
      <c r="AE580" s="81" t="s">
        <v>15971</v>
      </c>
      <c r="AF580" s="76">
        <v>39</v>
      </c>
      <c r="AG580" s="76">
        <v>2</v>
      </c>
      <c r="AH580" s="76">
        <v>155</v>
      </c>
      <c r="AI580" s="76">
        <v>0</v>
      </c>
      <c r="AJ580" s="76">
        <v>0</v>
      </c>
      <c r="AK580" s="76">
        <v>20</v>
      </c>
      <c r="AL580" s="76" t="b">
        <v>0</v>
      </c>
      <c r="AM580" s="78">
        <v>44895.776342592595</v>
      </c>
      <c r="AN580" s="76" t="s">
        <v>17406</v>
      </c>
      <c r="AO580" s="76"/>
      <c r="AP580" s="76"/>
      <c r="AQ580" s="76"/>
      <c r="AR580" s="76"/>
      <c r="AS580" s="76"/>
      <c r="AT580" s="76"/>
      <c r="AU580" s="76"/>
      <c r="AV580" s="76">
        <v>1.6185995095668201E+18</v>
      </c>
      <c r="AW580" s="76"/>
      <c r="AX580" s="76" t="b">
        <v>0</v>
      </c>
      <c r="AY580" s="76"/>
      <c r="AZ580" s="76"/>
      <c r="BA580" s="76" t="b">
        <v>0</v>
      </c>
      <c r="BB580" s="76" t="b">
        <v>1</v>
      </c>
      <c r="BC580" s="76" t="b">
        <v>1</v>
      </c>
      <c r="BD580" s="76" t="b">
        <v>0</v>
      </c>
      <c r="BE580" s="76" t="b">
        <v>0</v>
      </c>
      <c r="BF580" s="76" t="b">
        <v>0</v>
      </c>
      <c r="BG580" s="76" t="b">
        <v>0</v>
      </c>
      <c r="BH580" s="83" t="str">
        <f>HYPERLINK("https://pbs.twimg.com/profile_banners/1598023405009309709/1683653177")</f>
        <v>https://pbs.twimg.com/profile_banners/1598023405009309709/1683653177</v>
      </c>
      <c r="BI580" s="76"/>
      <c r="BJ580" s="76" t="s">
        <v>18704</v>
      </c>
      <c r="BK580" s="76" t="b">
        <v>0</v>
      </c>
      <c r="BL580" s="76"/>
      <c r="BM580" s="76" t="s">
        <v>66</v>
      </c>
      <c r="BN580" s="76" t="s">
        <v>18706</v>
      </c>
      <c r="BO580" s="83" t="str">
        <f>HYPERLINK("https://twitter.com/oproflucassilva")</f>
        <v>https://twitter.com/oproflucassilva</v>
      </c>
      <c r="BP580" s="2"/>
    </row>
    <row r="581" spans="1:68" x14ac:dyDescent="0.25">
      <c r="A581" s="62" t="s">
        <v>651</v>
      </c>
      <c r="B581" s="63"/>
      <c r="C581" s="63"/>
      <c r="D581" s="64"/>
      <c r="E581" s="66"/>
      <c r="F581" s="102" t="str">
        <f>HYPERLINK("https://pbs.twimg.com/profile_images/834132405850083341/Y87cNodP_normal.jpg")</f>
        <v>https://pbs.twimg.com/profile_images/834132405850083341/Y87cNodP_normal.jpg</v>
      </c>
      <c r="G581" s="63"/>
      <c r="H581" s="67"/>
      <c r="I581" s="68"/>
      <c r="J581" s="68"/>
      <c r="K581" s="67" t="s">
        <v>19284</v>
      </c>
      <c r="L581" s="71"/>
      <c r="M581" s="72"/>
      <c r="N581" s="72"/>
      <c r="O581" s="73"/>
      <c r="P581" s="74"/>
      <c r="Q581" s="74"/>
      <c r="R581" s="86"/>
      <c r="S581" s="86"/>
      <c r="T581" s="86"/>
      <c r="U581" s="86"/>
      <c r="V581" s="48"/>
      <c r="W581" s="48"/>
      <c r="X581" s="48"/>
      <c r="Y581" s="48"/>
      <c r="Z581" s="47"/>
      <c r="AA581" s="69">
        <v>581</v>
      </c>
      <c r="AB581" s="69"/>
      <c r="AC581" s="70"/>
      <c r="AD581" s="76" t="s">
        <v>17007</v>
      </c>
      <c r="AE581" s="81" t="s">
        <v>17368</v>
      </c>
      <c r="AF581" s="76">
        <v>2270</v>
      </c>
      <c r="AG581" s="76">
        <v>404</v>
      </c>
      <c r="AH581" s="76">
        <v>25519</v>
      </c>
      <c r="AI581" s="76">
        <v>6</v>
      </c>
      <c r="AJ581" s="76">
        <v>461</v>
      </c>
      <c r="AK581" s="76">
        <v>1198</v>
      </c>
      <c r="AL581" s="76" t="b">
        <v>0</v>
      </c>
      <c r="AM581" s="78">
        <v>40997.614178240743</v>
      </c>
      <c r="AN581" s="76" t="s">
        <v>17618</v>
      </c>
      <c r="AO581" s="76" t="s">
        <v>18163</v>
      </c>
      <c r="AP581" s="83" t="str">
        <f>HYPERLINK("https://t.co/esCH1y3V2D")</f>
        <v>https://t.co/esCH1y3V2D</v>
      </c>
      <c r="AQ581" s="83" t="str">
        <f>HYPERLINK("http://nbnparaiba.com.br")</f>
        <v>http://nbnparaiba.com.br</v>
      </c>
      <c r="AR581" s="76" t="s">
        <v>18578</v>
      </c>
      <c r="AS581" s="76"/>
      <c r="AT581" s="76"/>
      <c r="AU581" s="76"/>
      <c r="AV581" s="76">
        <v>1.6664889475836301E+18</v>
      </c>
      <c r="AW581" s="83" t="str">
        <f>HYPERLINK("https://t.co/esCH1y3V2D")</f>
        <v>https://t.co/esCH1y3V2D</v>
      </c>
      <c r="AX581" s="76" t="b">
        <v>1</v>
      </c>
      <c r="AY581" s="76"/>
      <c r="AZ581" s="76"/>
      <c r="BA581" s="76" t="b">
        <v>0</v>
      </c>
      <c r="BB581" s="76" t="b">
        <v>1</v>
      </c>
      <c r="BC581" s="76" t="b">
        <v>1</v>
      </c>
      <c r="BD581" s="76" t="b">
        <v>0</v>
      </c>
      <c r="BE581" s="76" t="b">
        <v>0</v>
      </c>
      <c r="BF581" s="76" t="b">
        <v>0</v>
      </c>
      <c r="BG581" s="76" t="b">
        <v>0</v>
      </c>
      <c r="BH581" s="83" t="str">
        <f>HYPERLINK("https://pbs.twimg.com/profile_banners/540030674/1685280784")</f>
        <v>https://pbs.twimg.com/profile_banners/540030674/1685280784</v>
      </c>
      <c r="BI581" s="76"/>
      <c r="BJ581" s="76" t="s">
        <v>18704</v>
      </c>
      <c r="BK581" s="76" t="b">
        <v>0</v>
      </c>
      <c r="BL581" s="76"/>
      <c r="BM581" s="76" t="s">
        <v>66</v>
      </c>
      <c r="BN581" s="76" t="s">
        <v>18706</v>
      </c>
      <c r="BO581" s="83" t="str">
        <f>HYPERLINK("https://twitter.com/nbnbrasil")</f>
        <v>https://twitter.com/nbnbrasil</v>
      </c>
      <c r="BP581" s="2"/>
    </row>
    <row r="582" spans="1:68" x14ac:dyDescent="0.25">
      <c r="A582" s="62" t="s">
        <v>652</v>
      </c>
      <c r="B582" s="63"/>
      <c r="C582" s="63"/>
      <c r="D582" s="64"/>
      <c r="E582" s="66"/>
      <c r="F582" s="102" t="str">
        <f>HYPERLINK("https://pbs.twimg.com/profile_images/1456322930707734530/43Oy4E_-_normal.jpg")</f>
        <v>https://pbs.twimg.com/profile_images/1456322930707734530/43Oy4E_-_normal.jpg</v>
      </c>
      <c r="G582" s="63"/>
      <c r="H582" s="67"/>
      <c r="I582" s="68"/>
      <c r="J582" s="68"/>
      <c r="K582" s="67" t="s">
        <v>19285</v>
      </c>
      <c r="L582" s="71"/>
      <c r="M582" s="72"/>
      <c r="N582" s="72"/>
      <c r="O582" s="73"/>
      <c r="P582" s="74"/>
      <c r="Q582" s="74"/>
      <c r="R582" s="86"/>
      <c r="S582" s="86"/>
      <c r="T582" s="86"/>
      <c r="U582" s="86"/>
      <c r="V582" s="48"/>
      <c r="W582" s="48"/>
      <c r="X582" s="48"/>
      <c r="Y582" s="48"/>
      <c r="Z582" s="47"/>
      <c r="AA582" s="69">
        <v>582</v>
      </c>
      <c r="AB582" s="69"/>
      <c r="AC582" s="70"/>
      <c r="AD582" s="76" t="s">
        <v>17008</v>
      </c>
      <c r="AE582" s="81" t="s">
        <v>16347</v>
      </c>
      <c r="AF582" s="76">
        <v>4867</v>
      </c>
      <c r="AG582" s="76">
        <v>112</v>
      </c>
      <c r="AH582" s="76">
        <v>4314</v>
      </c>
      <c r="AI582" s="76">
        <v>33</v>
      </c>
      <c r="AJ582" s="76">
        <v>558</v>
      </c>
      <c r="AK582" s="76">
        <v>588</v>
      </c>
      <c r="AL582" s="76" t="b">
        <v>0</v>
      </c>
      <c r="AM582" s="78">
        <v>42527.533263888887</v>
      </c>
      <c r="AN582" s="76"/>
      <c r="AO582" s="76" t="s">
        <v>18164</v>
      </c>
      <c r="AP582" s="83" t="str">
        <f>HYPERLINK("https://t.co/hqEJLj6oL2")</f>
        <v>https://t.co/hqEJLj6oL2</v>
      </c>
      <c r="AQ582" s="83" t="str">
        <f>HYPERLINK("http://www.embratel.com.br")</f>
        <v>http://www.embratel.com.br</v>
      </c>
      <c r="AR582" s="76" t="s">
        <v>18579</v>
      </c>
      <c r="AS582" s="76"/>
      <c r="AT582" s="76"/>
      <c r="AU582" s="76"/>
      <c r="AV582" s="76"/>
      <c r="AW582" s="83" t="str">
        <f>HYPERLINK("https://t.co/hqEJLj6oL2")</f>
        <v>https://t.co/hqEJLj6oL2</v>
      </c>
      <c r="AX582" s="76" t="b">
        <v>0</v>
      </c>
      <c r="AY582" s="76"/>
      <c r="AZ582" s="76"/>
      <c r="BA582" s="76" t="b">
        <v>1</v>
      </c>
      <c r="BB582" s="76" t="b">
        <v>1</v>
      </c>
      <c r="BC582" s="76" t="b">
        <v>1</v>
      </c>
      <c r="BD582" s="76" t="b">
        <v>0</v>
      </c>
      <c r="BE582" s="76" t="b">
        <v>1</v>
      </c>
      <c r="BF582" s="76" t="b">
        <v>0</v>
      </c>
      <c r="BG582" s="76" t="b">
        <v>0</v>
      </c>
      <c r="BH582" s="83" t="str">
        <f>HYPERLINK("https://pbs.twimg.com/profile_banners/739800985917349888/1660041111")</f>
        <v>https://pbs.twimg.com/profile_banners/739800985917349888/1660041111</v>
      </c>
      <c r="BI582" s="76"/>
      <c r="BJ582" s="76" t="s">
        <v>18704</v>
      </c>
      <c r="BK582" s="76" t="b">
        <v>0</v>
      </c>
      <c r="BL582" s="76"/>
      <c r="BM582" s="76" t="s">
        <v>66</v>
      </c>
      <c r="BN582" s="76" t="s">
        <v>18706</v>
      </c>
      <c r="BO582" s="83" t="str">
        <f>HYPERLINK("https://twitter.com/embratel")</f>
        <v>https://twitter.com/embratel</v>
      </c>
      <c r="BP582" s="2"/>
    </row>
    <row r="583" spans="1:68" x14ac:dyDescent="0.25">
      <c r="A583" s="62" t="s">
        <v>653</v>
      </c>
      <c r="B583" s="63"/>
      <c r="C583" s="63"/>
      <c r="D583" s="64"/>
      <c r="E583" s="66"/>
      <c r="F583" s="102" t="str">
        <f>HYPERLINK("https://pbs.twimg.com/profile_images/1646670548972314624/QTyjnp6S_normal.jpg")</f>
        <v>https://pbs.twimg.com/profile_images/1646670548972314624/QTyjnp6S_normal.jpg</v>
      </c>
      <c r="G583" s="63"/>
      <c r="H583" s="67"/>
      <c r="I583" s="68"/>
      <c r="J583" s="68"/>
      <c r="K583" s="67" t="s">
        <v>19286</v>
      </c>
      <c r="L583" s="71"/>
      <c r="M583" s="72"/>
      <c r="N583" s="72"/>
      <c r="O583" s="73"/>
      <c r="P583" s="74"/>
      <c r="Q583" s="74"/>
      <c r="R583" s="86"/>
      <c r="S583" s="86"/>
      <c r="T583" s="86"/>
      <c r="U583" s="86"/>
      <c r="V583" s="48"/>
      <c r="W583" s="48"/>
      <c r="X583" s="48"/>
      <c r="Y583" s="48"/>
      <c r="Z583" s="47"/>
      <c r="AA583" s="69">
        <v>583</v>
      </c>
      <c r="AB583" s="69"/>
      <c r="AC583" s="70"/>
      <c r="AD583" s="76" t="s">
        <v>17009</v>
      </c>
      <c r="AE583" s="81" t="s">
        <v>16348</v>
      </c>
      <c r="AF583" s="76">
        <v>5</v>
      </c>
      <c r="AG583" s="76">
        <v>57</v>
      </c>
      <c r="AH583" s="76">
        <v>62</v>
      </c>
      <c r="AI583" s="76">
        <v>0</v>
      </c>
      <c r="AJ583" s="76">
        <v>9</v>
      </c>
      <c r="AK583" s="76">
        <v>48</v>
      </c>
      <c r="AL583" s="76" t="b">
        <v>0</v>
      </c>
      <c r="AM583" s="78">
        <v>45012.883437500001</v>
      </c>
      <c r="AN583" s="76" t="s">
        <v>17619</v>
      </c>
      <c r="AO583" s="76" t="s">
        <v>18165</v>
      </c>
      <c r="AP583" s="83" t="str">
        <f>HYPERLINK("https://t.co/xuG7p1gA24")</f>
        <v>https://t.co/xuG7p1gA24</v>
      </c>
      <c r="AQ583" s="83" t="str">
        <f>HYPERLINK("https://www.mercurica.com/")</f>
        <v>https://www.mercurica.com/</v>
      </c>
      <c r="AR583" s="76" t="s">
        <v>18580</v>
      </c>
      <c r="AS583" s="76"/>
      <c r="AT583" s="76"/>
      <c r="AU583" s="76"/>
      <c r="AV583" s="76"/>
      <c r="AW583" s="83" t="str">
        <f>HYPERLINK("https://t.co/xuG7p1gA24")</f>
        <v>https://t.co/xuG7p1gA24</v>
      </c>
      <c r="AX583" s="76" t="b">
        <v>0</v>
      </c>
      <c r="AY583" s="76"/>
      <c r="AZ583" s="76"/>
      <c r="BA583" s="76" t="b">
        <v>0</v>
      </c>
      <c r="BB583" s="76" t="b">
        <v>1</v>
      </c>
      <c r="BC583" s="76" t="b">
        <v>1</v>
      </c>
      <c r="BD583" s="76" t="b">
        <v>0</v>
      </c>
      <c r="BE583" s="76" t="b">
        <v>0</v>
      </c>
      <c r="BF583" s="76" t="b">
        <v>0</v>
      </c>
      <c r="BG583" s="76" t="b">
        <v>0</v>
      </c>
      <c r="BH583" s="83" t="str">
        <f>HYPERLINK("https://pbs.twimg.com/profile_banners/1640461577487777792/1681431829")</f>
        <v>https://pbs.twimg.com/profile_banners/1640461577487777792/1681431829</v>
      </c>
      <c r="BI583" s="76"/>
      <c r="BJ583" s="76" t="s">
        <v>18704</v>
      </c>
      <c r="BK583" s="76" t="b">
        <v>0</v>
      </c>
      <c r="BL583" s="76"/>
      <c r="BM583" s="76" t="s">
        <v>66</v>
      </c>
      <c r="BN583" s="76" t="s">
        <v>18706</v>
      </c>
      <c r="BO583" s="83" t="str">
        <f>HYPERLINK("https://twitter.com/mercuricajujuy")</f>
        <v>https://twitter.com/mercuricajujuy</v>
      </c>
      <c r="BP583" s="2"/>
    </row>
    <row r="584" spans="1:68" x14ac:dyDescent="0.25">
      <c r="A584" s="62" t="s">
        <v>654</v>
      </c>
      <c r="B584" s="63"/>
      <c r="C584" s="63"/>
      <c r="D584" s="64"/>
      <c r="E584" s="66"/>
      <c r="F584" s="102" t="str">
        <f>HYPERLINK("https://pbs.twimg.com/profile_images/1274442731100782593/GPqNXtXn_normal.jpg")</f>
        <v>https://pbs.twimg.com/profile_images/1274442731100782593/GPqNXtXn_normal.jpg</v>
      </c>
      <c r="G584" s="63"/>
      <c r="H584" s="67"/>
      <c r="I584" s="68"/>
      <c r="J584" s="68"/>
      <c r="K584" s="67" t="s">
        <v>19287</v>
      </c>
      <c r="L584" s="71"/>
      <c r="M584" s="72"/>
      <c r="N584" s="72"/>
      <c r="O584" s="73"/>
      <c r="P584" s="74"/>
      <c r="Q584" s="74"/>
      <c r="R584" s="86"/>
      <c r="S584" s="86"/>
      <c r="T584" s="86"/>
      <c r="U584" s="86"/>
      <c r="V584" s="48"/>
      <c r="W584" s="48"/>
      <c r="X584" s="48"/>
      <c r="Y584" s="48"/>
      <c r="Z584" s="47"/>
      <c r="AA584" s="69">
        <v>584</v>
      </c>
      <c r="AB584" s="69"/>
      <c r="AC584" s="70"/>
      <c r="AD584" s="76" t="s">
        <v>17010</v>
      </c>
      <c r="AE584" s="81" t="s">
        <v>16349</v>
      </c>
      <c r="AF584" s="76">
        <v>62862</v>
      </c>
      <c r="AG584" s="76">
        <v>179</v>
      </c>
      <c r="AH584" s="76">
        <v>9942</v>
      </c>
      <c r="AI584" s="76">
        <v>61</v>
      </c>
      <c r="AJ584" s="76">
        <v>5042</v>
      </c>
      <c r="AK584" s="76">
        <v>1927</v>
      </c>
      <c r="AL584" s="76" t="b">
        <v>0</v>
      </c>
      <c r="AM584" s="78">
        <v>44002.860347222224</v>
      </c>
      <c r="AN584" s="76"/>
      <c r="AO584" s="76" t="s">
        <v>18166</v>
      </c>
      <c r="AP584" s="83" t="str">
        <f>HYPERLINK("https://t.co/QsWdmzDdW3")</f>
        <v>https://t.co/QsWdmzDdW3</v>
      </c>
      <c r="AQ584" s="83" t="str">
        <f>HYPERLINK("https://www.youtube.com/channel/UCnejI42HK6cKapzJRWZXCbQ")</f>
        <v>https://www.youtube.com/channel/UCnejI42HK6cKapzJRWZXCbQ</v>
      </c>
      <c r="AR584" s="76" t="s">
        <v>18581</v>
      </c>
      <c r="AS584" s="76"/>
      <c r="AT584" s="76"/>
      <c r="AU584" s="76"/>
      <c r="AV584" s="76"/>
      <c r="AW584" s="83" t="str">
        <f>HYPERLINK("https://t.co/QsWdmzDdW3")</f>
        <v>https://t.co/QsWdmzDdW3</v>
      </c>
      <c r="AX584" s="76" t="b">
        <v>1</v>
      </c>
      <c r="AY584" s="76"/>
      <c r="AZ584" s="76"/>
      <c r="BA584" s="76" t="b">
        <v>1</v>
      </c>
      <c r="BB584" s="76" t="b">
        <v>1</v>
      </c>
      <c r="BC584" s="76" t="b">
        <v>1</v>
      </c>
      <c r="BD584" s="76" t="b">
        <v>0</v>
      </c>
      <c r="BE584" s="76" t="b">
        <v>1</v>
      </c>
      <c r="BF584" s="76" t="b">
        <v>0</v>
      </c>
      <c r="BG584" s="76" t="b">
        <v>0</v>
      </c>
      <c r="BH584" s="83" t="str">
        <f>HYPERLINK("https://pbs.twimg.com/profile_banners/1274441565256265737/1693953013")</f>
        <v>https://pbs.twimg.com/profile_banners/1274441565256265737/1693953013</v>
      </c>
      <c r="BI584" s="76"/>
      <c r="BJ584" s="76" t="s">
        <v>18704</v>
      </c>
      <c r="BK584" s="76" t="b">
        <v>0</v>
      </c>
      <c r="BL584" s="76"/>
      <c r="BM584" s="76" t="s">
        <v>66</v>
      </c>
      <c r="BN584" s="76" t="s">
        <v>18706</v>
      </c>
      <c r="BO584" s="83" t="str">
        <f>HYPERLINK("https://twitter.com/agarra_pala")</f>
        <v>https://twitter.com/agarra_pala</v>
      </c>
      <c r="BP584" s="2"/>
    </row>
    <row r="585" spans="1:68" x14ac:dyDescent="0.25">
      <c r="A585" s="62" t="s">
        <v>884</v>
      </c>
      <c r="B585" s="63"/>
      <c r="C585" s="63"/>
      <c r="D585" s="64"/>
      <c r="E585" s="66"/>
      <c r="F585" s="102" t="str">
        <f>HYPERLINK("https://pbs.twimg.com/profile_images/1553931112262549505/XTcdwp0b_normal.jpg")</f>
        <v>https://pbs.twimg.com/profile_images/1553931112262549505/XTcdwp0b_normal.jpg</v>
      </c>
      <c r="G585" s="63"/>
      <c r="H585" s="67"/>
      <c r="I585" s="68"/>
      <c r="J585" s="68"/>
      <c r="K585" s="67" t="s">
        <v>19288</v>
      </c>
      <c r="L585" s="71"/>
      <c r="M585" s="72"/>
      <c r="N585" s="72"/>
      <c r="O585" s="73"/>
      <c r="P585" s="74"/>
      <c r="Q585" s="74"/>
      <c r="R585" s="86"/>
      <c r="S585" s="86"/>
      <c r="T585" s="86"/>
      <c r="U585" s="86"/>
      <c r="V585" s="48"/>
      <c r="W585" s="48"/>
      <c r="X585" s="48"/>
      <c r="Y585" s="48"/>
      <c r="Z585" s="47"/>
      <c r="AA585" s="69">
        <v>585</v>
      </c>
      <c r="AB585" s="69"/>
      <c r="AC585" s="70"/>
      <c r="AD585" s="76" t="s">
        <v>17011</v>
      </c>
      <c r="AE585" s="81" t="s">
        <v>17369</v>
      </c>
      <c r="AF585" s="76">
        <v>958755</v>
      </c>
      <c r="AG585" s="76">
        <v>1127</v>
      </c>
      <c r="AH585" s="76">
        <v>210515</v>
      </c>
      <c r="AI585" s="76">
        <v>1632</v>
      </c>
      <c r="AJ585" s="76">
        <v>416889</v>
      </c>
      <c r="AK585" s="76">
        <v>4442</v>
      </c>
      <c r="AL585" s="76" t="b">
        <v>0</v>
      </c>
      <c r="AM585" s="78">
        <v>42299.991516203707</v>
      </c>
      <c r="AN585" s="76" t="s">
        <v>17488</v>
      </c>
      <c r="AO585" s="76" t="s">
        <v>18167</v>
      </c>
      <c r="AP585" s="76"/>
      <c r="AQ585" s="76"/>
      <c r="AR585" s="76"/>
      <c r="AS585" s="76"/>
      <c r="AT585" s="76"/>
      <c r="AU585" s="76"/>
      <c r="AV585" s="76">
        <v>1.67271159361907E+18</v>
      </c>
      <c r="AW585" s="76"/>
      <c r="AX585" s="76" t="b">
        <v>1</v>
      </c>
      <c r="AY585" s="76"/>
      <c r="AZ585" s="76"/>
      <c r="BA585" s="76" t="b">
        <v>0</v>
      </c>
      <c r="BB585" s="76" t="b">
        <v>1</v>
      </c>
      <c r="BC585" s="76" t="b">
        <v>1</v>
      </c>
      <c r="BD585" s="76" t="b">
        <v>0</v>
      </c>
      <c r="BE585" s="76" t="b">
        <v>1</v>
      </c>
      <c r="BF585" s="76" t="b">
        <v>0</v>
      </c>
      <c r="BG585" s="76" t="b">
        <v>0</v>
      </c>
      <c r="BH585" s="83" t="str">
        <f>HYPERLINK("https://pbs.twimg.com/profile_banners/4020276615/1458666862")</f>
        <v>https://pbs.twimg.com/profile_banners/4020276615/1458666862</v>
      </c>
      <c r="BI585" s="76"/>
      <c r="BJ585" s="76" t="s">
        <v>18704</v>
      </c>
      <c r="BK585" s="76" t="b">
        <v>0</v>
      </c>
      <c r="BL585" s="76"/>
      <c r="BM585" s="76" t="s">
        <v>65</v>
      </c>
      <c r="BN585" s="76" t="s">
        <v>18706</v>
      </c>
      <c r="BO585" s="83" t="str">
        <f>HYPERLINK("https://twitter.com/jmilei")</f>
        <v>https://twitter.com/jmilei</v>
      </c>
      <c r="BP585" s="2"/>
    </row>
    <row r="586" spans="1:68" x14ac:dyDescent="0.25">
      <c r="A586" s="62" t="s">
        <v>655</v>
      </c>
      <c r="B586" s="63"/>
      <c r="C586" s="63"/>
      <c r="D586" s="64"/>
      <c r="E586" s="66"/>
      <c r="F586" s="102" t="str">
        <f>HYPERLINK("https://pbs.twimg.com/profile_images/1221418139193348097/Z6IhaJQ-_normal.jpg")</f>
        <v>https://pbs.twimg.com/profile_images/1221418139193348097/Z6IhaJQ-_normal.jpg</v>
      </c>
      <c r="G586" s="63"/>
      <c r="H586" s="67"/>
      <c r="I586" s="68"/>
      <c r="J586" s="68"/>
      <c r="K586" s="67" t="s">
        <v>19289</v>
      </c>
      <c r="L586" s="71"/>
      <c r="M586" s="72"/>
      <c r="N586" s="72"/>
      <c r="O586" s="73"/>
      <c r="P586" s="74"/>
      <c r="Q586" s="74"/>
      <c r="R586" s="86"/>
      <c r="S586" s="86"/>
      <c r="T586" s="86"/>
      <c r="U586" s="86"/>
      <c r="V586" s="48"/>
      <c r="W586" s="48"/>
      <c r="X586" s="48"/>
      <c r="Y586" s="48"/>
      <c r="Z586" s="47"/>
      <c r="AA586" s="69">
        <v>586</v>
      </c>
      <c r="AB586" s="69"/>
      <c r="AC586" s="70"/>
      <c r="AD586" s="76" t="s">
        <v>17012</v>
      </c>
      <c r="AE586" s="81" t="s">
        <v>16350</v>
      </c>
      <c r="AF586" s="76">
        <v>3836</v>
      </c>
      <c r="AG586" s="76">
        <v>4932</v>
      </c>
      <c r="AH586" s="76">
        <v>43981</v>
      </c>
      <c r="AI586" s="76">
        <v>3</v>
      </c>
      <c r="AJ586" s="76">
        <v>98768</v>
      </c>
      <c r="AK586" s="76">
        <v>1587</v>
      </c>
      <c r="AL586" s="76" t="b">
        <v>0</v>
      </c>
      <c r="AM586" s="78">
        <v>42863.419965277775</v>
      </c>
      <c r="AN586" s="76" t="s">
        <v>17620</v>
      </c>
      <c r="AO586" s="76" t="s">
        <v>18168</v>
      </c>
      <c r="AP586" s="76"/>
      <c r="AQ586" s="76"/>
      <c r="AR586" s="76"/>
      <c r="AS586" s="76"/>
      <c r="AT586" s="76"/>
      <c r="AU586" s="76"/>
      <c r="AV586" s="76"/>
      <c r="AW586" s="76"/>
      <c r="AX586" s="76" t="b">
        <v>1</v>
      </c>
      <c r="AY586" s="76"/>
      <c r="AZ586" s="76"/>
      <c r="BA586" s="76" t="b">
        <v>0</v>
      </c>
      <c r="BB586" s="76" t="b">
        <v>0</v>
      </c>
      <c r="BC586" s="76" t="b">
        <v>1</v>
      </c>
      <c r="BD586" s="76" t="b">
        <v>0</v>
      </c>
      <c r="BE586" s="76" t="b">
        <v>1</v>
      </c>
      <c r="BF586" s="76" t="b">
        <v>0</v>
      </c>
      <c r="BG586" s="76" t="b">
        <v>0</v>
      </c>
      <c r="BH586" s="83" t="str">
        <f>HYPERLINK("https://pbs.twimg.com/profile_banners/861522250696187905/1580043753")</f>
        <v>https://pbs.twimg.com/profile_banners/861522250696187905/1580043753</v>
      </c>
      <c r="BI586" s="76"/>
      <c r="BJ586" s="76" t="s">
        <v>18704</v>
      </c>
      <c r="BK586" s="76" t="b">
        <v>0</v>
      </c>
      <c r="BL586" s="76"/>
      <c r="BM586" s="76" t="s">
        <v>66</v>
      </c>
      <c r="BN586" s="76" t="s">
        <v>18706</v>
      </c>
      <c r="BO586" s="83" t="str">
        <f>HYPERLINK("https://twitter.com/hbcecilia")</f>
        <v>https://twitter.com/hbcecilia</v>
      </c>
      <c r="BP586" s="2"/>
    </row>
    <row r="587" spans="1:68" x14ac:dyDescent="0.25">
      <c r="A587" s="62" t="s">
        <v>656</v>
      </c>
      <c r="B587" s="63"/>
      <c r="C587" s="63"/>
      <c r="D587" s="64"/>
      <c r="E587" s="66"/>
      <c r="F587" s="102" t="str">
        <f>HYPERLINK("https://pbs.twimg.com/profile_images/1599851167131045897/oiUXHM-7_normal.jpg")</f>
        <v>https://pbs.twimg.com/profile_images/1599851167131045897/oiUXHM-7_normal.jpg</v>
      </c>
      <c r="G587" s="63"/>
      <c r="H587" s="67"/>
      <c r="I587" s="68"/>
      <c r="J587" s="68"/>
      <c r="K587" s="67" t="s">
        <v>19290</v>
      </c>
      <c r="L587" s="71"/>
      <c r="M587" s="72"/>
      <c r="N587" s="72"/>
      <c r="O587" s="73"/>
      <c r="P587" s="74"/>
      <c r="Q587" s="74"/>
      <c r="R587" s="86"/>
      <c r="S587" s="86"/>
      <c r="T587" s="86"/>
      <c r="U587" s="86"/>
      <c r="V587" s="48"/>
      <c r="W587" s="48"/>
      <c r="X587" s="48"/>
      <c r="Y587" s="48"/>
      <c r="Z587" s="47"/>
      <c r="AA587" s="69">
        <v>587</v>
      </c>
      <c r="AB587" s="69"/>
      <c r="AC587" s="70"/>
      <c r="AD587" s="76" t="s">
        <v>17013</v>
      </c>
      <c r="AE587" s="81" t="s">
        <v>15972</v>
      </c>
      <c r="AF587" s="76">
        <v>12</v>
      </c>
      <c r="AG587" s="76">
        <v>318</v>
      </c>
      <c r="AH587" s="76">
        <v>406</v>
      </c>
      <c r="AI587" s="76">
        <v>0</v>
      </c>
      <c r="AJ587" s="76">
        <v>1036</v>
      </c>
      <c r="AK587" s="76">
        <v>43</v>
      </c>
      <c r="AL587" s="76" t="b">
        <v>0</v>
      </c>
      <c r="AM587" s="78">
        <v>44413.515509259261</v>
      </c>
      <c r="AN587" s="76"/>
      <c r="AO587" s="76" t="s">
        <v>18169</v>
      </c>
      <c r="AP587" s="83" t="str">
        <f>HYPERLINK("https://t.co/gATFGKurBx")</f>
        <v>https://t.co/gATFGKurBx</v>
      </c>
      <c r="AQ587" s="83" t="str">
        <f>HYPERLINK("https://linktr.ee/valdemar.almeida")</f>
        <v>https://linktr.ee/valdemar.almeida</v>
      </c>
      <c r="AR587" s="76" t="s">
        <v>18582</v>
      </c>
      <c r="AS587" s="76"/>
      <c r="AT587" s="76"/>
      <c r="AU587" s="76"/>
      <c r="AV587" s="76">
        <v>1.6929594105978199E+18</v>
      </c>
      <c r="AW587" s="83" t="str">
        <f>HYPERLINK("https://t.co/gATFGKurBx")</f>
        <v>https://t.co/gATFGKurBx</v>
      </c>
      <c r="AX587" s="76" t="b">
        <v>0</v>
      </c>
      <c r="AY587" s="76"/>
      <c r="AZ587" s="76"/>
      <c r="BA587" s="76" t="b">
        <v>0</v>
      </c>
      <c r="BB587" s="76" t="b">
        <v>1</v>
      </c>
      <c r="BC587" s="76" t="b">
        <v>1</v>
      </c>
      <c r="BD587" s="76" t="b">
        <v>0</v>
      </c>
      <c r="BE587" s="76" t="b">
        <v>1</v>
      </c>
      <c r="BF587" s="76" t="b">
        <v>0</v>
      </c>
      <c r="BG587" s="76" t="b">
        <v>0</v>
      </c>
      <c r="BH587" s="83" t="str">
        <f>HYPERLINK("https://pbs.twimg.com/profile_banners/1423257922583371780/1662773707")</f>
        <v>https://pbs.twimg.com/profile_banners/1423257922583371780/1662773707</v>
      </c>
      <c r="BI587" s="76"/>
      <c r="BJ587" s="76" t="s">
        <v>18704</v>
      </c>
      <c r="BK587" s="76" t="b">
        <v>0</v>
      </c>
      <c r="BL587" s="76"/>
      <c r="BM587" s="76" t="s">
        <v>66</v>
      </c>
      <c r="BN587" s="76" t="s">
        <v>18706</v>
      </c>
      <c r="BO587" s="83" t="str">
        <f>HYPERLINK("https://twitter.com/valdemarplaneja")</f>
        <v>https://twitter.com/valdemarplaneja</v>
      </c>
      <c r="BP587" s="2"/>
    </row>
    <row r="588" spans="1:68" x14ac:dyDescent="0.25">
      <c r="A588" s="62" t="s">
        <v>657</v>
      </c>
      <c r="B588" s="63"/>
      <c r="C588" s="63"/>
      <c r="D588" s="64"/>
      <c r="E588" s="66"/>
      <c r="F588" s="102" t="str">
        <f>HYPERLINK("https://pbs.twimg.com/profile_images/1553964873343696896/5U19S4mW_normal.jpg")</f>
        <v>https://pbs.twimg.com/profile_images/1553964873343696896/5U19S4mW_normal.jpg</v>
      </c>
      <c r="G588" s="63"/>
      <c r="H588" s="67"/>
      <c r="I588" s="68"/>
      <c r="J588" s="68"/>
      <c r="K588" s="67" t="s">
        <v>19291</v>
      </c>
      <c r="L588" s="71"/>
      <c r="M588" s="72"/>
      <c r="N588" s="72"/>
      <c r="O588" s="73"/>
      <c r="P588" s="74"/>
      <c r="Q588" s="74"/>
      <c r="R588" s="86"/>
      <c r="S588" s="86"/>
      <c r="T588" s="86"/>
      <c r="U588" s="86"/>
      <c r="V588" s="48"/>
      <c r="W588" s="48"/>
      <c r="X588" s="48"/>
      <c r="Y588" s="48"/>
      <c r="Z588" s="47"/>
      <c r="AA588" s="69">
        <v>588</v>
      </c>
      <c r="AB588" s="69"/>
      <c r="AC588" s="70"/>
      <c r="AD588" s="76" t="s">
        <v>17014</v>
      </c>
      <c r="AE588" s="81" t="s">
        <v>16351</v>
      </c>
      <c r="AF588" s="76">
        <v>388</v>
      </c>
      <c r="AG588" s="76">
        <v>10</v>
      </c>
      <c r="AH588" s="76">
        <v>9724</v>
      </c>
      <c r="AI588" s="76">
        <v>9</v>
      </c>
      <c r="AJ588" s="76">
        <v>24670</v>
      </c>
      <c r="AK588" s="76">
        <v>759</v>
      </c>
      <c r="AL588" s="76" t="b">
        <v>0</v>
      </c>
      <c r="AM588" s="78">
        <v>43109.956250000003</v>
      </c>
      <c r="AN588" s="76" t="s">
        <v>17621</v>
      </c>
      <c r="AO588" s="76" t="s">
        <v>18170</v>
      </c>
      <c r="AP588" s="83" t="str">
        <f>HYPERLINK("https://t.co/4gJQT20PQ6")</f>
        <v>https://t.co/4gJQT20PQ6</v>
      </c>
      <c r="AQ588" s="83" t="str">
        <f>HYPERLINK("https://linktr.ee/BilingualInvesting")</f>
        <v>https://linktr.ee/BilingualInvesting</v>
      </c>
      <c r="AR588" s="76" t="s">
        <v>18583</v>
      </c>
      <c r="AS588" s="76"/>
      <c r="AT588" s="76"/>
      <c r="AU588" s="76"/>
      <c r="AV588" s="76">
        <v>1.58869739083953E+18</v>
      </c>
      <c r="AW588" s="83" t="str">
        <f>HYPERLINK("https://t.co/4gJQT20PQ6")</f>
        <v>https://t.co/4gJQT20PQ6</v>
      </c>
      <c r="AX588" s="76" t="b">
        <v>0</v>
      </c>
      <c r="AY588" s="76"/>
      <c r="AZ588" s="76"/>
      <c r="BA588" s="76" t="b">
        <v>0</v>
      </c>
      <c r="BB588" s="76" t="b">
        <v>1</v>
      </c>
      <c r="BC588" s="76" t="b">
        <v>0</v>
      </c>
      <c r="BD588" s="76" t="b">
        <v>0</v>
      </c>
      <c r="BE588" s="76" t="b">
        <v>1</v>
      </c>
      <c r="BF588" s="76" t="b">
        <v>0</v>
      </c>
      <c r="BG588" s="76" t="b">
        <v>0</v>
      </c>
      <c r="BH588" s="83" t="str">
        <f>HYPERLINK("https://pbs.twimg.com/profile_banners/950864006247538688/1659375448")</f>
        <v>https://pbs.twimg.com/profile_banners/950864006247538688/1659375448</v>
      </c>
      <c r="BI588" s="76"/>
      <c r="BJ588" s="76" t="s">
        <v>18704</v>
      </c>
      <c r="BK588" s="76" t="b">
        <v>0</v>
      </c>
      <c r="BL588" s="76"/>
      <c r="BM588" s="76" t="s">
        <v>66</v>
      </c>
      <c r="BN588" s="76" t="s">
        <v>18706</v>
      </c>
      <c r="BO588" s="83" t="str">
        <f>HYPERLINK("https://twitter.com/bilingualinvest")</f>
        <v>https://twitter.com/bilingualinvest</v>
      </c>
      <c r="BP588" s="2"/>
    </row>
    <row r="589" spans="1:68" x14ac:dyDescent="0.25">
      <c r="A589" s="62" t="s">
        <v>658</v>
      </c>
      <c r="B589" s="63"/>
      <c r="C589" s="63"/>
      <c r="D589" s="64"/>
      <c r="E589" s="66"/>
      <c r="F589" s="102" t="str">
        <f>HYPERLINK("https://pbs.twimg.com/profile_images/1451309114806710277/cMXlyRLf_normal.jpg")</f>
        <v>https://pbs.twimg.com/profile_images/1451309114806710277/cMXlyRLf_normal.jpg</v>
      </c>
      <c r="G589" s="63"/>
      <c r="H589" s="67"/>
      <c r="I589" s="68"/>
      <c r="J589" s="68"/>
      <c r="K589" s="67" t="s">
        <v>19292</v>
      </c>
      <c r="L589" s="71"/>
      <c r="M589" s="72"/>
      <c r="N589" s="72"/>
      <c r="O589" s="73"/>
      <c r="P589" s="74"/>
      <c r="Q589" s="74"/>
      <c r="R589" s="86"/>
      <c r="S589" s="86"/>
      <c r="T589" s="86"/>
      <c r="U589" s="86"/>
      <c r="V589" s="48"/>
      <c r="W589" s="48"/>
      <c r="X589" s="48"/>
      <c r="Y589" s="48"/>
      <c r="Z589" s="47"/>
      <c r="AA589" s="69">
        <v>589</v>
      </c>
      <c r="AB589" s="69"/>
      <c r="AC589" s="70"/>
      <c r="AD589" s="76" t="s">
        <v>17015</v>
      </c>
      <c r="AE589" s="81" t="s">
        <v>16352</v>
      </c>
      <c r="AF589" s="76">
        <v>11880</v>
      </c>
      <c r="AG589" s="76">
        <v>12427</v>
      </c>
      <c r="AH589" s="76">
        <v>8136</v>
      </c>
      <c r="AI589" s="76">
        <v>6</v>
      </c>
      <c r="AJ589" s="76">
        <v>19818</v>
      </c>
      <c r="AK589" s="76">
        <v>217</v>
      </c>
      <c r="AL589" s="76" t="b">
        <v>0</v>
      </c>
      <c r="AM589" s="78">
        <v>43674.285891203705</v>
      </c>
      <c r="AN589" s="76"/>
      <c r="AO589" s="76" t="s">
        <v>18171</v>
      </c>
      <c r="AP589" s="76"/>
      <c r="AQ589" s="76"/>
      <c r="AR589" s="76"/>
      <c r="AS589" s="76"/>
      <c r="AT589" s="76"/>
      <c r="AU589" s="76"/>
      <c r="AV589" s="76">
        <v>1.6852536921976E+18</v>
      </c>
      <c r="AW589" s="76"/>
      <c r="AX589" s="76" t="b">
        <v>0</v>
      </c>
      <c r="AY589" s="76"/>
      <c r="AZ589" s="76"/>
      <c r="BA589" s="76" t="b">
        <v>0</v>
      </c>
      <c r="BB589" s="76" t="b">
        <v>1</v>
      </c>
      <c r="BC589" s="76" t="b">
        <v>1</v>
      </c>
      <c r="BD589" s="76" t="b">
        <v>0</v>
      </c>
      <c r="BE589" s="76" t="b">
        <v>1</v>
      </c>
      <c r="BF589" s="76" t="b">
        <v>0</v>
      </c>
      <c r="BG589" s="76" t="b">
        <v>0</v>
      </c>
      <c r="BH589" s="83" t="str">
        <f>HYPERLINK("https://pbs.twimg.com/profile_banners/1155370223769477120/1564984278")</f>
        <v>https://pbs.twimg.com/profile_banners/1155370223769477120/1564984278</v>
      </c>
      <c r="BI589" s="76"/>
      <c r="BJ589" s="76" t="s">
        <v>18704</v>
      </c>
      <c r="BK589" s="76" t="b">
        <v>0</v>
      </c>
      <c r="BL589" s="76"/>
      <c r="BM589" s="76" t="s">
        <v>66</v>
      </c>
      <c r="BN589" s="76" t="s">
        <v>18706</v>
      </c>
      <c r="BO589" s="83" t="str">
        <f>HYPERLINK("https://twitter.com/sue_ellen_bb")</f>
        <v>https://twitter.com/sue_ellen_bb</v>
      </c>
      <c r="BP589" s="2"/>
    </row>
    <row r="590" spans="1:68" x14ac:dyDescent="0.25">
      <c r="A590" s="62" t="s">
        <v>659</v>
      </c>
      <c r="B590" s="63"/>
      <c r="C590" s="63"/>
      <c r="D590" s="64"/>
      <c r="E590" s="66"/>
      <c r="F590" s="102" t="str">
        <f>HYPERLINK("https://pbs.twimg.com/profile_images/1247602112495792130/27Bt4BKe_normal.jpg")</f>
        <v>https://pbs.twimg.com/profile_images/1247602112495792130/27Bt4BKe_normal.jpg</v>
      </c>
      <c r="G590" s="63"/>
      <c r="H590" s="67"/>
      <c r="I590" s="68"/>
      <c r="J590" s="68"/>
      <c r="K590" s="67" t="s">
        <v>19293</v>
      </c>
      <c r="L590" s="71"/>
      <c r="M590" s="72"/>
      <c r="N590" s="72"/>
      <c r="O590" s="73"/>
      <c r="P590" s="74"/>
      <c r="Q590" s="74"/>
      <c r="R590" s="86"/>
      <c r="S590" s="86"/>
      <c r="T590" s="86"/>
      <c r="U590" s="86"/>
      <c r="V590" s="48"/>
      <c r="W590" s="48"/>
      <c r="X590" s="48"/>
      <c r="Y590" s="48"/>
      <c r="Z590" s="47"/>
      <c r="AA590" s="69">
        <v>590</v>
      </c>
      <c r="AB590" s="69"/>
      <c r="AC590" s="70"/>
      <c r="AD590" s="76" t="s">
        <v>17016</v>
      </c>
      <c r="AE590" s="81" t="s">
        <v>16353</v>
      </c>
      <c r="AF590" s="76">
        <v>8</v>
      </c>
      <c r="AG590" s="76">
        <v>7</v>
      </c>
      <c r="AH590" s="76">
        <v>1476</v>
      </c>
      <c r="AI590" s="76">
        <v>0</v>
      </c>
      <c r="AJ590" s="76">
        <v>2</v>
      </c>
      <c r="AK590" s="76">
        <v>1444</v>
      </c>
      <c r="AL590" s="76" t="b">
        <v>0</v>
      </c>
      <c r="AM590" s="78">
        <v>43928.795590277776</v>
      </c>
      <c r="AN590" s="76" t="s">
        <v>10580</v>
      </c>
      <c r="AO590" s="76" t="s">
        <v>18172</v>
      </c>
      <c r="AP590" s="83" t="str">
        <f>HYPERLINK("https://t.co/L6zr9dwc0L")</f>
        <v>https://t.co/L6zr9dwc0L</v>
      </c>
      <c r="AQ590" s="83" t="str">
        <f>HYPERLINK("http://www.menezescontabilidade.com.br")</f>
        <v>http://www.menezescontabilidade.com.br</v>
      </c>
      <c r="AR590" s="76" t="s">
        <v>18584</v>
      </c>
      <c r="AS590" s="76"/>
      <c r="AT590" s="76"/>
      <c r="AU590" s="76"/>
      <c r="AV590" s="76"/>
      <c r="AW590" s="83" t="str">
        <f>HYPERLINK("https://t.co/L6zr9dwc0L")</f>
        <v>https://t.co/L6zr9dwc0L</v>
      </c>
      <c r="AX590" s="76" t="b">
        <v>0</v>
      </c>
      <c r="AY590" s="76"/>
      <c r="AZ590" s="76"/>
      <c r="BA590" s="76" t="b">
        <v>0</v>
      </c>
      <c r="BB590" s="76" t="b">
        <v>1</v>
      </c>
      <c r="BC590" s="76" t="b">
        <v>1</v>
      </c>
      <c r="BD590" s="76" t="b">
        <v>0</v>
      </c>
      <c r="BE590" s="76" t="b">
        <v>0</v>
      </c>
      <c r="BF590" s="76" t="b">
        <v>0</v>
      </c>
      <c r="BG590" s="76" t="b">
        <v>0</v>
      </c>
      <c r="BH590" s="83" t="str">
        <f>HYPERLINK("https://pbs.twimg.com/profile_banners/1247601255259820039/1598223755")</f>
        <v>https://pbs.twimg.com/profile_banners/1247601255259820039/1598223755</v>
      </c>
      <c r="BI590" s="76"/>
      <c r="BJ590" s="76" t="s">
        <v>18704</v>
      </c>
      <c r="BK590" s="76" t="b">
        <v>0</v>
      </c>
      <c r="BL590" s="76"/>
      <c r="BM590" s="76" t="s">
        <v>66</v>
      </c>
      <c r="BN590" s="76" t="s">
        <v>18706</v>
      </c>
      <c r="BO590" s="83" t="str">
        <f>HYPERLINK("https://twitter.com/francelmc")</f>
        <v>https://twitter.com/francelmc</v>
      </c>
      <c r="BP590" s="2"/>
    </row>
    <row r="591" spans="1:68" x14ac:dyDescent="0.25">
      <c r="A591" s="62" t="s">
        <v>660</v>
      </c>
      <c r="B591" s="63"/>
      <c r="C591" s="63"/>
      <c r="D591" s="64"/>
      <c r="E591" s="66"/>
      <c r="F591" s="102" t="str">
        <f>HYPERLINK("https://pbs.twimg.com/profile_images/1686401812847382529/0daAwsP5_normal.jpg")</f>
        <v>https://pbs.twimg.com/profile_images/1686401812847382529/0daAwsP5_normal.jpg</v>
      </c>
      <c r="G591" s="63"/>
      <c r="H591" s="67"/>
      <c r="I591" s="68"/>
      <c r="J591" s="68"/>
      <c r="K591" s="67" t="s">
        <v>19294</v>
      </c>
      <c r="L591" s="71"/>
      <c r="M591" s="72"/>
      <c r="N591" s="72"/>
      <c r="O591" s="73"/>
      <c r="P591" s="74"/>
      <c r="Q591" s="74"/>
      <c r="R591" s="86"/>
      <c r="S591" s="86"/>
      <c r="T591" s="86"/>
      <c r="U591" s="86"/>
      <c r="V591" s="48"/>
      <c r="W591" s="48"/>
      <c r="X591" s="48"/>
      <c r="Y591" s="48"/>
      <c r="Z591" s="47"/>
      <c r="AA591" s="69">
        <v>591</v>
      </c>
      <c r="AB591" s="69"/>
      <c r="AC591" s="70"/>
      <c r="AD591" s="76" t="s">
        <v>17017</v>
      </c>
      <c r="AE591" s="81" t="s">
        <v>16354</v>
      </c>
      <c r="AF591" s="76">
        <v>3</v>
      </c>
      <c r="AG591" s="76">
        <v>812</v>
      </c>
      <c r="AH591" s="76">
        <v>639</v>
      </c>
      <c r="AI591" s="76">
        <v>0</v>
      </c>
      <c r="AJ591" s="76">
        <v>696</v>
      </c>
      <c r="AK591" s="76">
        <v>0</v>
      </c>
      <c r="AL591" s="76" t="b">
        <v>0</v>
      </c>
      <c r="AM591" s="78">
        <v>44855.293171296296</v>
      </c>
      <c r="AN591" s="76"/>
      <c r="AO591" s="76" t="s">
        <v>18173</v>
      </c>
      <c r="AP591" s="76"/>
      <c r="AQ591" s="76"/>
      <c r="AR591" s="76"/>
      <c r="AS591" s="76"/>
      <c r="AT591" s="76"/>
      <c r="AU591" s="76"/>
      <c r="AV591" s="76">
        <v>1.6864020127603899E+18</v>
      </c>
      <c r="AW591" s="76"/>
      <c r="AX591" s="76" t="b">
        <v>0</v>
      </c>
      <c r="AY591" s="76"/>
      <c r="AZ591" s="76"/>
      <c r="BA591" s="76" t="b">
        <v>0</v>
      </c>
      <c r="BB591" s="76" t="b">
        <v>1</v>
      </c>
      <c r="BC591" s="76" t="b">
        <v>1</v>
      </c>
      <c r="BD591" s="76" t="b">
        <v>0</v>
      </c>
      <c r="BE591" s="76" t="b">
        <v>0</v>
      </c>
      <c r="BF591" s="76" t="b">
        <v>0</v>
      </c>
      <c r="BG591" s="76" t="b">
        <v>0</v>
      </c>
      <c r="BH591" s="83" t="str">
        <f>HYPERLINK("https://pbs.twimg.com/profile_banners/1583352905670672384/1690904540")</f>
        <v>https://pbs.twimg.com/profile_banners/1583352905670672384/1690904540</v>
      </c>
      <c r="BI591" s="76"/>
      <c r="BJ591" s="76" t="s">
        <v>18704</v>
      </c>
      <c r="BK591" s="76" t="b">
        <v>0</v>
      </c>
      <c r="BL591" s="76"/>
      <c r="BM591" s="76" t="s">
        <v>66</v>
      </c>
      <c r="BN591" s="76" t="s">
        <v>18706</v>
      </c>
      <c r="BO591" s="83" t="str">
        <f>HYPERLINK("https://twitter.com/eva__6946")</f>
        <v>https://twitter.com/eva__6946</v>
      </c>
      <c r="BP591" s="2"/>
    </row>
    <row r="592" spans="1:68" x14ac:dyDescent="0.25">
      <c r="A592" s="62" t="s">
        <v>702</v>
      </c>
      <c r="B592" s="63"/>
      <c r="C592" s="63"/>
      <c r="D592" s="64"/>
      <c r="E592" s="66"/>
      <c r="F592" s="102" t="str">
        <f>HYPERLINK("https://pbs.twimg.com/profile_images/1281160374142803968/BSr5Ucpb_normal.jpg")</f>
        <v>https://pbs.twimg.com/profile_images/1281160374142803968/BSr5Ucpb_normal.jpg</v>
      </c>
      <c r="G592" s="63"/>
      <c r="H592" s="67"/>
      <c r="I592" s="68"/>
      <c r="J592" s="68"/>
      <c r="K592" s="67" t="s">
        <v>19295</v>
      </c>
      <c r="L592" s="71"/>
      <c r="M592" s="72"/>
      <c r="N592" s="72"/>
      <c r="O592" s="73"/>
      <c r="P592" s="74"/>
      <c r="Q592" s="74"/>
      <c r="R592" s="86"/>
      <c r="S592" s="86"/>
      <c r="T592" s="86"/>
      <c r="U592" s="86"/>
      <c r="V592" s="48"/>
      <c r="W592" s="48"/>
      <c r="X592" s="48"/>
      <c r="Y592" s="48"/>
      <c r="Z592" s="47"/>
      <c r="AA592" s="69">
        <v>592</v>
      </c>
      <c r="AB592" s="69"/>
      <c r="AC592" s="70"/>
      <c r="AD592" s="76" t="s">
        <v>17018</v>
      </c>
      <c r="AE592" s="81" t="s">
        <v>17370</v>
      </c>
      <c r="AF592" s="76">
        <v>113</v>
      </c>
      <c r="AG592" s="76">
        <v>475</v>
      </c>
      <c r="AH592" s="76">
        <v>208</v>
      </c>
      <c r="AI592" s="76">
        <v>1</v>
      </c>
      <c r="AJ592" s="76">
        <v>843</v>
      </c>
      <c r="AK592" s="76">
        <v>2</v>
      </c>
      <c r="AL592" s="76" t="b">
        <v>0</v>
      </c>
      <c r="AM592" s="78">
        <v>41969.88208333333</v>
      </c>
      <c r="AN592" s="76"/>
      <c r="AO592" s="76" t="s">
        <v>18174</v>
      </c>
      <c r="AP592" s="76"/>
      <c r="AQ592" s="76"/>
      <c r="AR592" s="76"/>
      <c r="AS592" s="76"/>
      <c r="AT592" s="76"/>
      <c r="AU592" s="76"/>
      <c r="AV592" s="76">
        <v>1.5189779465051599E+18</v>
      </c>
      <c r="AW592" s="76"/>
      <c r="AX592" s="76" t="b">
        <v>0</v>
      </c>
      <c r="AY592" s="76"/>
      <c r="AZ592" s="76"/>
      <c r="BA592" s="76" t="b">
        <v>0</v>
      </c>
      <c r="BB592" s="76" t="b">
        <v>0</v>
      </c>
      <c r="BC592" s="76" t="b">
        <v>1</v>
      </c>
      <c r="BD592" s="76" t="b">
        <v>0</v>
      </c>
      <c r="BE592" s="76" t="b">
        <v>1</v>
      </c>
      <c r="BF592" s="76" t="b">
        <v>0</v>
      </c>
      <c r="BG592" s="76" t="b">
        <v>0</v>
      </c>
      <c r="BH592" s="76"/>
      <c r="BI592" s="76"/>
      <c r="BJ592" s="76" t="s">
        <v>18704</v>
      </c>
      <c r="BK592" s="76" t="b">
        <v>0</v>
      </c>
      <c r="BL592" s="76"/>
      <c r="BM592" s="76" t="s">
        <v>66</v>
      </c>
      <c r="BN592" s="76" t="s">
        <v>18706</v>
      </c>
      <c r="BO592" s="83" t="str">
        <f>HYPERLINK("https://twitter.com/mcovesa")</f>
        <v>https://twitter.com/mcovesa</v>
      </c>
      <c r="BP592" s="2"/>
    </row>
    <row r="593" spans="1:68" x14ac:dyDescent="0.25">
      <c r="A593" s="62" t="s">
        <v>661</v>
      </c>
      <c r="B593" s="63"/>
      <c r="C593" s="63"/>
      <c r="D593" s="64"/>
      <c r="E593" s="66"/>
      <c r="F593" s="102" t="str">
        <f>HYPERLINK("https://pbs.twimg.com/profile_images/1706486991754268672/2srufdC2_normal.jpg")</f>
        <v>https://pbs.twimg.com/profile_images/1706486991754268672/2srufdC2_normal.jpg</v>
      </c>
      <c r="G593" s="63"/>
      <c r="H593" s="67"/>
      <c r="I593" s="68"/>
      <c r="J593" s="68"/>
      <c r="K593" s="67" t="s">
        <v>19296</v>
      </c>
      <c r="L593" s="71"/>
      <c r="M593" s="72"/>
      <c r="N593" s="72"/>
      <c r="O593" s="73"/>
      <c r="P593" s="74"/>
      <c r="Q593" s="74"/>
      <c r="R593" s="86"/>
      <c r="S593" s="86"/>
      <c r="T593" s="86"/>
      <c r="U593" s="86"/>
      <c r="V593" s="48"/>
      <c r="W593" s="48"/>
      <c r="X593" s="48"/>
      <c r="Y593" s="48"/>
      <c r="Z593" s="47"/>
      <c r="AA593" s="69">
        <v>593</v>
      </c>
      <c r="AB593" s="69"/>
      <c r="AC593" s="70"/>
      <c r="AD593" s="76" t="s">
        <v>17019</v>
      </c>
      <c r="AE593" s="81" t="s">
        <v>16355</v>
      </c>
      <c r="AF593" s="76">
        <v>72</v>
      </c>
      <c r="AG593" s="76">
        <v>91</v>
      </c>
      <c r="AH593" s="76">
        <v>6067</v>
      </c>
      <c r="AI593" s="76">
        <v>0</v>
      </c>
      <c r="AJ593" s="76">
        <v>9300</v>
      </c>
      <c r="AK593" s="76">
        <v>1557</v>
      </c>
      <c r="AL593" s="76" t="b">
        <v>0</v>
      </c>
      <c r="AM593" s="78">
        <v>44807.660486111112</v>
      </c>
      <c r="AN593" s="76" t="s">
        <v>17401</v>
      </c>
      <c r="AO593" s="76" t="s">
        <v>18175</v>
      </c>
      <c r="AP593" s="76"/>
      <c r="AQ593" s="76"/>
      <c r="AR593" s="76"/>
      <c r="AS593" s="76"/>
      <c r="AT593" s="76"/>
      <c r="AU593" s="76"/>
      <c r="AV593" s="76">
        <v>1.6171581422398999E+18</v>
      </c>
      <c r="AW593" s="76"/>
      <c r="AX593" s="76" t="b">
        <v>0</v>
      </c>
      <c r="AY593" s="76"/>
      <c r="AZ593" s="76"/>
      <c r="BA593" s="76" t="b">
        <v>0</v>
      </c>
      <c r="BB593" s="76" t="b">
        <v>0</v>
      </c>
      <c r="BC593" s="76" t="b">
        <v>1</v>
      </c>
      <c r="BD593" s="76" t="b">
        <v>0</v>
      </c>
      <c r="BE593" s="76" t="b">
        <v>0</v>
      </c>
      <c r="BF593" s="76" t="b">
        <v>0</v>
      </c>
      <c r="BG593" s="76" t="b">
        <v>0</v>
      </c>
      <c r="BH593" s="83" t="str">
        <f>HYPERLINK("https://pbs.twimg.com/profile_banners/1566091244920610818/1695693177")</f>
        <v>https://pbs.twimg.com/profile_banners/1566091244920610818/1695693177</v>
      </c>
      <c r="BI593" s="76"/>
      <c r="BJ593" s="76" t="s">
        <v>18704</v>
      </c>
      <c r="BK593" s="76" t="b">
        <v>0</v>
      </c>
      <c r="BL593" s="76"/>
      <c r="BM593" s="76" t="s">
        <v>66</v>
      </c>
      <c r="BN593" s="76" t="s">
        <v>18706</v>
      </c>
      <c r="BO593" s="83" t="str">
        <f>HYPERLINK("https://twitter.com/acriollo_m5")</f>
        <v>https://twitter.com/acriollo_m5</v>
      </c>
      <c r="BP593" s="2"/>
    </row>
    <row r="594" spans="1:68" x14ac:dyDescent="0.25">
      <c r="A594" s="62" t="s">
        <v>662</v>
      </c>
      <c r="B594" s="63"/>
      <c r="C594" s="63"/>
      <c r="D594" s="64"/>
      <c r="E594" s="66"/>
      <c r="F594" s="102" t="str">
        <f>HYPERLINK("https://pbs.twimg.com/profile_images/1496044203415064580/VKaLEV6b_normal.jpg")</f>
        <v>https://pbs.twimg.com/profile_images/1496044203415064580/VKaLEV6b_normal.jpg</v>
      </c>
      <c r="G594" s="63"/>
      <c r="H594" s="67"/>
      <c r="I594" s="68"/>
      <c r="J594" s="68"/>
      <c r="K594" s="67" t="s">
        <v>19297</v>
      </c>
      <c r="L594" s="71"/>
      <c r="M594" s="72"/>
      <c r="N594" s="72"/>
      <c r="O594" s="73"/>
      <c r="P594" s="74"/>
      <c r="Q594" s="74"/>
      <c r="R594" s="86"/>
      <c r="S594" s="86"/>
      <c r="T594" s="86"/>
      <c r="U594" s="86"/>
      <c r="V594" s="48"/>
      <c r="W594" s="48"/>
      <c r="X594" s="48"/>
      <c r="Y594" s="48"/>
      <c r="Z594" s="47"/>
      <c r="AA594" s="69">
        <v>594</v>
      </c>
      <c r="AB594" s="69"/>
      <c r="AC594" s="70"/>
      <c r="AD594" s="76" t="s">
        <v>17020</v>
      </c>
      <c r="AE594" s="81" t="s">
        <v>17371</v>
      </c>
      <c r="AF594" s="76">
        <v>1247</v>
      </c>
      <c r="AG594" s="76">
        <v>595</v>
      </c>
      <c r="AH594" s="76">
        <v>3267</v>
      </c>
      <c r="AI594" s="76">
        <v>16</v>
      </c>
      <c r="AJ594" s="76">
        <v>163</v>
      </c>
      <c r="AK594" s="76">
        <v>686</v>
      </c>
      <c r="AL594" s="76" t="b">
        <v>0</v>
      </c>
      <c r="AM594" s="78">
        <v>40765.215289351851</v>
      </c>
      <c r="AN594" s="76" t="s">
        <v>17622</v>
      </c>
      <c r="AO594" s="76" t="s">
        <v>18176</v>
      </c>
      <c r="AP594" s="83" t="str">
        <f>HYPERLINK("https://t.co/6MLCsUUwby")</f>
        <v>https://t.co/6MLCsUUwby</v>
      </c>
      <c r="AQ594" s="83" t="str">
        <f>HYPERLINK("https://www.activtrades.com/pt/")</f>
        <v>https://www.activtrades.com/pt/</v>
      </c>
      <c r="AR594" s="76" t="s">
        <v>18585</v>
      </c>
      <c r="AS594" s="76"/>
      <c r="AT594" s="76"/>
      <c r="AU594" s="76"/>
      <c r="AV594" s="76"/>
      <c r="AW594" s="83" t="str">
        <f>HYPERLINK("https://t.co/6MLCsUUwby")</f>
        <v>https://t.co/6MLCsUUwby</v>
      </c>
      <c r="AX594" s="76" t="b">
        <v>0</v>
      </c>
      <c r="AY594" s="76"/>
      <c r="AZ594" s="76"/>
      <c r="BA594" s="76" t="b">
        <v>0</v>
      </c>
      <c r="BB594" s="76" t="b">
        <v>1</v>
      </c>
      <c r="BC594" s="76" t="b">
        <v>0</v>
      </c>
      <c r="BD594" s="76" t="b">
        <v>0</v>
      </c>
      <c r="BE594" s="76" t="b">
        <v>0</v>
      </c>
      <c r="BF594" s="76" t="b">
        <v>0</v>
      </c>
      <c r="BG594" s="76" t="b">
        <v>0</v>
      </c>
      <c r="BH594" s="83" t="str">
        <f>HYPERLINK("https://pbs.twimg.com/profile_banners/352118324/1691593107")</f>
        <v>https://pbs.twimg.com/profile_banners/352118324/1691593107</v>
      </c>
      <c r="BI594" s="76"/>
      <c r="BJ594" s="76" t="s">
        <v>18704</v>
      </c>
      <c r="BK594" s="76" t="b">
        <v>0</v>
      </c>
      <c r="BL594" s="76"/>
      <c r="BM594" s="76" t="s">
        <v>66</v>
      </c>
      <c r="BN594" s="76" t="s">
        <v>18706</v>
      </c>
      <c r="BO594" s="83" t="str">
        <f>HYPERLINK("https://twitter.com/activtrades_pt")</f>
        <v>https://twitter.com/activtrades_pt</v>
      </c>
      <c r="BP594" s="2"/>
    </row>
    <row r="595" spans="1:68" x14ac:dyDescent="0.25">
      <c r="A595" s="62" t="s">
        <v>663</v>
      </c>
      <c r="B595" s="63"/>
      <c r="C595" s="63"/>
      <c r="D595" s="64"/>
      <c r="E595" s="66"/>
      <c r="F595" s="102" t="str">
        <f>HYPERLINK("https://pbs.twimg.com/profile_images/1613369766105710595/W68IfPZn_normal.jpg")</f>
        <v>https://pbs.twimg.com/profile_images/1613369766105710595/W68IfPZn_normal.jpg</v>
      </c>
      <c r="G595" s="63"/>
      <c r="H595" s="67"/>
      <c r="I595" s="68"/>
      <c r="J595" s="68"/>
      <c r="K595" s="67" t="s">
        <v>19298</v>
      </c>
      <c r="L595" s="71"/>
      <c r="M595" s="72"/>
      <c r="N595" s="72"/>
      <c r="O595" s="73"/>
      <c r="P595" s="74"/>
      <c r="Q595" s="74"/>
      <c r="R595" s="86"/>
      <c r="S595" s="86"/>
      <c r="T595" s="86"/>
      <c r="U595" s="86"/>
      <c r="V595" s="48"/>
      <c r="W595" s="48"/>
      <c r="X595" s="48"/>
      <c r="Y595" s="48"/>
      <c r="Z595" s="47"/>
      <c r="AA595" s="69">
        <v>595</v>
      </c>
      <c r="AB595" s="69"/>
      <c r="AC595" s="70"/>
      <c r="AD595" s="76" t="s">
        <v>17021</v>
      </c>
      <c r="AE595" s="81" t="s">
        <v>17372</v>
      </c>
      <c r="AF595" s="76">
        <v>48</v>
      </c>
      <c r="AG595" s="76">
        <v>244</v>
      </c>
      <c r="AH595" s="76">
        <v>1138</v>
      </c>
      <c r="AI595" s="76">
        <v>0</v>
      </c>
      <c r="AJ595" s="76">
        <v>1084</v>
      </c>
      <c r="AK595" s="76">
        <v>58</v>
      </c>
      <c r="AL595" s="76" t="b">
        <v>0</v>
      </c>
      <c r="AM595" s="78">
        <v>40310.655949074076</v>
      </c>
      <c r="AN595" s="76" t="s">
        <v>10586</v>
      </c>
      <c r="AO595" s="76" t="s">
        <v>18177</v>
      </c>
      <c r="AP595" s="83" t="str">
        <f>HYPERLINK("https://t.co/pbNatWi512")</f>
        <v>https://t.co/pbNatWi512</v>
      </c>
      <c r="AQ595" s="83" t="str">
        <f>HYPERLINK("http://www.facebook.com/silvavanessa7")</f>
        <v>http://www.facebook.com/silvavanessa7</v>
      </c>
      <c r="AR595" s="76" t="s">
        <v>18586</v>
      </c>
      <c r="AS595" s="76"/>
      <c r="AT595" s="76"/>
      <c r="AU595" s="76"/>
      <c r="AV595" s="76"/>
      <c r="AW595" s="83" t="str">
        <f>HYPERLINK("https://t.co/pbNatWi512")</f>
        <v>https://t.co/pbNatWi512</v>
      </c>
      <c r="AX595" s="76" t="b">
        <v>0</v>
      </c>
      <c r="AY595" s="76"/>
      <c r="AZ595" s="76"/>
      <c r="BA595" s="76" t="b">
        <v>0</v>
      </c>
      <c r="BB595" s="76" t="b">
        <v>1</v>
      </c>
      <c r="BC595" s="76" t="b">
        <v>0</v>
      </c>
      <c r="BD595" s="76" t="b">
        <v>0</v>
      </c>
      <c r="BE595" s="76" t="b">
        <v>1</v>
      </c>
      <c r="BF595" s="76" t="b">
        <v>0</v>
      </c>
      <c r="BG595" s="76" t="b">
        <v>1</v>
      </c>
      <c r="BH595" s="83" t="str">
        <f>HYPERLINK("https://pbs.twimg.com/profile_banners/143097951/1635637041")</f>
        <v>https://pbs.twimg.com/profile_banners/143097951/1635637041</v>
      </c>
      <c r="BI595" s="76"/>
      <c r="BJ595" s="76" t="s">
        <v>18704</v>
      </c>
      <c r="BK595" s="76" t="b">
        <v>0</v>
      </c>
      <c r="BL595" s="76"/>
      <c r="BM595" s="76" t="s">
        <v>66</v>
      </c>
      <c r="BN595" s="76" t="s">
        <v>18706</v>
      </c>
      <c r="BO595" s="83" t="str">
        <f>HYPERLINK("https://twitter.com/nessaapprentice")</f>
        <v>https://twitter.com/nessaapprentice</v>
      </c>
      <c r="BP595" s="2"/>
    </row>
    <row r="596" spans="1:68" x14ac:dyDescent="0.25">
      <c r="A596" s="62" t="s">
        <v>664</v>
      </c>
      <c r="B596" s="63"/>
      <c r="C596" s="63"/>
      <c r="D596" s="64"/>
      <c r="E596" s="66"/>
      <c r="F596" s="102" t="str">
        <f>HYPERLINK("https://pbs.twimg.com/profile_images/1669518656139665408/9hf6Jyel_normal.jpg")</f>
        <v>https://pbs.twimg.com/profile_images/1669518656139665408/9hf6Jyel_normal.jpg</v>
      </c>
      <c r="G596" s="63"/>
      <c r="H596" s="67"/>
      <c r="I596" s="68"/>
      <c r="J596" s="68"/>
      <c r="K596" s="67" t="s">
        <v>19299</v>
      </c>
      <c r="L596" s="71"/>
      <c r="M596" s="72"/>
      <c r="N596" s="72"/>
      <c r="O596" s="73"/>
      <c r="P596" s="74"/>
      <c r="Q596" s="74"/>
      <c r="R596" s="86"/>
      <c r="S596" s="86"/>
      <c r="T596" s="86"/>
      <c r="U596" s="86"/>
      <c r="V596" s="48"/>
      <c r="W596" s="48"/>
      <c r="X596" s="48"/>
      <c r="Y596" s="48"/>
      <c r="Z596" s="47"/>
      <c r="AA596" s="69">
        <v>596</v>
      </c>
      <c r="AB596" s="69"/>
      <c r="AC596" s="70"/>
      <c r="AD596" s="76" t="s">
        <v>17022</v>
      </c>
      <c r="AE596" s="81" t="s">
        <v>16356</v>
      </c>
      <c r="AF596" s="76">
        <v>9</v>
      </c>
      <c r="AG596" s="76">
        <v>36</v>
      </c>
      <c r="AH596" s="76">
        <v>49</v>
      </c>
      <c r="AI596" s="76">
        <v>1</v>
      </c>
      <c r="AJ596" s="76">
        <v>36</v>
      </c>
      <c r="AK596" s="76">
        <v>30</v>
      </c>
      <c r="AL596" s="76" t="b">
        <v>0</v>
      </c>
      <c r="AM596" s="78">
        <v>45093.031597222223</v>
      </c>
      <c r="AN596" s="76"/>
      <c r="AO596" s="76" t="s">
        <v>18178</v>
      </c>
      <c r="AP596" s="83" t="str">
        <f>HYPERLINK("https://t.co/8flqvQv6dT")</f>
        <v>https://t.co/8flqvQv6dT</v>
      </c>
      <c r="AQ596" s="83" t="str">
        <f>HYPERLINK("https://comosertrader.com/")</f>
        <v>https://comosertrader.com/</v>
      </c>
      <c r="AR596" s="76" t="s">
        <v>18587</v>
      </c>
      <c r="AS596" s="83" t="str">
        <f>HYPERLINK("https://t.co/VmpBqAIfcg")</f>
        <v>https://t.co/VmpBqAIfcg</v>
      </c>
      <c r="AT596" s="83" t="str">
        <f>HYPERLINK("http://bit.ly/41Fd3dr")</f>
        <v>http://bit.ly/41Fd3dr</v>
      </c>
      <c r="AU596" s="76" t="s">
        <v>18697</v>
      </c>
      <c r="AV596" s="76">
        <v>1.6745424385163899E+18</v>
      </c>
      <c r="AW596" s="83" t="str">
        <f>HYPERLINK("https://t.co/8flqvQv6dT")</f>
        <v>https://t.co/8flqvQv6dT</v>
      </c>
      <c r="AX596" s="76" t="b">
        <v>0</v>
      </c>
      <c r="AY596" s="76"/>
      <c r="AZ596" s="76"/>
      <c r="BA596" s="76" t="b">
        <v>0</v>
      </c>
      <c r="BB596" s="76" t="b">
        <v>1</v>
      </c>
      <c r="BC596" s="76" t="b">
        <v>1</v>
      </c>
      <c r="BD596" s="76" t="b">
        <v>0</v>
      </c>
      <c r="BE596" s="76" t="b">
        <v>0</v>
      </c>
      <c r="BF596" s="76" t="b">
        <v>0</v>
      </c>
      <c r="BG596" s="76" t="b">
        <v>0</v>
      </c>
      <c r="BH596" s="83" t="str">
        <f>HYPERLINK("https://pbs.twimg.com/profile_banners/1669506370071060481/1686879121")</f>
        <v>https://pbs.twimg.com/profile_banners/1669506370071060481/1686879121</v>
      </c>
      <c r="BI596" s="76"/>
      <c r="BJ596" s="76" t="s">
        <v>18704</v>
      </c>
      <c r="BK596" s="76" t="b">
        <v>0</v>
      </c>
      <c r="BL596" s="76"/>
      <c r="BM596" s="76" t="s">
        <v>66</v>
      </c>
      <c r="BN596" s="76" t="s">
        <v>18706</v>
      </c>
      <c r="BO596" s="83" t="str">
        <f>HYPERLINK("https://twitter.com/comosertrader")</f>
        <v>https://twitter.com/comosertrader</v>
      </c>
      <c r="BP596" s="2"/>
    </row>
    <row r="597" spans="1:68" x14ac:dyDescent="0.25">
      <c r="A597" s="62" t="s">
        <v>665</v>
      </c>
      <c r="B597" s="63"/>
      <c r="C597" s="63"/>
      <c r="D597" s="64"/>
      <c r="E597" s="66"/>
      <c r="F597" s="102" t="str">
        <f>HYPERLINK("https://pbs.twimg.com/profile_images/1675979537203511297/q9Fhzg_O_normal.jpg")</f>
        <v>https://pbs.twimg.com/profile_images/1675979537203511297/q9Fhzg_O_normal.jpg</v>
      </c>
      <c r="G597" s="63"/>
      <c r="H597" s="67"/>
      <c r="I597" s="68"/>
      <c r="J597" s="68"/>
      <c r="K597" s="67" t="s">
        <v>19300</v>
      </c>
      <c r="L597" s="71"/>
      <c r="M597" s="72"/>
      <c r="N597" s="72"/>
      <c r="O597" s="73"/>
      <c r="P597" s="74"/>
      <c r="Q597" s="74"/>
      <c r="R597" s="86"/>
      <c r="S597" s="86"/>
      <c r="T597" s="86"/>
      <c r="U597" s="86"/>
      <c r="V597" s="48"/>
      <c r="W597" s="48"/>
      <c r="X597" s="48"/>
      <c r="Y597" s="48"/>
      <c r="Z597" s="47"/>
      <c r="AA597" s="69">
        <v>597</v>
      </c>
      <c r="AB597" s="69"/>
      <c r="AC597" s="70"/>
      <c r="AD597" s="76" t="s">
        <v>17023</v>
      </c>
      <c r="AE597" s="81" t="s">
        <v>16357</v>
      </c>
      <c r="AF597" s="76">
        <v>11</v>
      </c>
      <c r="AG597" s="76">
        <v>107</v>
      </c>
      <c r="AH597" s="76">
        <v>156</v>
      </c>
      <c r="AI597" s="76">
        <v>0</v>
      </c>
      <c r="AJ597" s="76">
        <v>235</v>
      </c>
      <c r="AK597" s="76">
        <v>14</v>
      </c>
      <c r="AL597" s="76" t="b">
        <v>0</v>
      </c>
      <c r="AM597" s="78">
        <v>45104.765277777777</v>
      </c>
      <c r="AN597" s="76" t="s">
        <v>17478</v>
      </c>
      <c r="AO597" s="76" t="s">
        <v>18179</v>
      </c>
      <c r="AP597" s="83" t="str">
        <f>HYPERLINK("https://t.co/SGlXyFDiDb")</f>
        <v>https://t.co/SGlXyFDiDb</v>
      </c>
      <c r="AQ597" s="83" t="str">
        <f>HYPERLINK("https://gamainvestimentos.com.br/")</f>
        <v>https://gamainvestimentos.com.br/</v>
      </c>
      <c r="AR597" s="76" t="s">
        <v>18588</v>
      </c>
      <c r="AS597" s="76"/>
      <c r="AT597" s="76"/>
      <c r="AU597" s="76"/>
      <c r="AV597" s="76"/>
      <c r="AW597" s="83" t="str">
        <f>HYPERLINK("https://t.co/SGlXyFDiDb")</f>
        <v>https://t.co/SGlXyFDiDb</v>
      </c>
      <c r="AX597" s="76" t="b">
        <v>0</v>
      </c>
      <c r="AY597" s="76"/>
      <c r="AZ597" s="76"/>
      <c r="BA597" s="76" t="b">
        <v>0</v>
      </c>
      <c r="BB597" s="76" t="b">
        <v>1</v>
      </c>
      <c r="BC597" s="76" t="b">
        <v>1</v>
      </c>
      <c r="BD597" s="76" t="b">
        <v>0</v>
      </c>
      <c r="BE597" s="76" t="b">
        <v>0</v>
      </c>
      <c r="BF597" s="76" t="b">
        <v>0</v>
      </c>
      <c r="BG597" s="76" t="b">
        <v>0</v>
      </c>
      <c r="BH597" s="83" t="str">
        <f>HYPERLINK("https://pbs.twimg.com/profile_banners/1673758492736233478/1688419653")</f>
        <v>https://pbs.twimg.com/profile_banners/1673758492736233478/1688419653</v>
      </c>
      <c r="BI597" s="76"/>
      <c r="BJ597" s="76" t="s">
        <v>18704</v>
      </c>
      <c r="BK597" s="76" t="b">
        <v>0</v>
      </c>
      <c r="BL597" s="76"/>
      <c r="BM597" s="76" t="s">
        <v>66</v>
      </c>
      <c r="BN597" s="76" t="s">
        <v>18706</v>
      </c>
      <c r="BO597" s="83" t="str">
        <f>HYPERLINK("https://twitter.com/gamainvestiment")</f>
        <v>https://twitter.com/gamainvestiment</v>
      </c>
      <c r="BP597" s="2"/>
    </row>
    <row r="598" spans="1:68" x14ac:dyDescent="0.25">
      <c r="A598" s="62" t="s">
        <v>666</v>
      </c>
      <c r="B598" s="63"/>
      <c r="C598" s="63"/>
      <c r="D598" s="64"/>
      <c r="E598" s="66"/>
      <c r="F598" s="102" t="str">
        <f>HYPERLINK("https://pbs.twimg.com/profile_images/1502323706554724353/CltN_T4Y_normal.jpg")</f>
        <v>https://pbs.twimg.com/profile_images/1502323706554724353/CltN_T4Y_normal.jpg</v>
      </c>
      <c r="G598" s="63"/>
      <c r="H598" s="67"/>
      <c r="I598" s="68"/>
      <c r="J598" s="68"/>
      <c r="K598" s="67" t="s">
        <v>19301</v>
      </c>
      <c r="L598" s="71"/>
      <c r="M598" s="72"/>
      <c r="N598" s="72"/>
      <c r="O598" s="73"/>
      <c r="P598" s="74"/>
      <c r="Q598" s="74"/>
      <c r="R598" s="86"/>
      <c r="S598" s="86"/>
      <c r="T598" s="86"/>
      <c r="U598" s="86"/>
      <c r="V598" s="48"/>
      <c r="W598" s="48"/>
      <c r="X598" s="48"/>
      <c r="Y598" s="48"/>
      <c r="Z598" s="47"/>
      <c r="AA598" s="69">
        <v>598</v>
      </c>
      <c r="AB598" s="69"/>
      <c r="AC598" s="70"/>
      <c r="AD598" s="76" t="s">
        <v>17024</v>
      </c>
      <c r="AE598" s="81" t="s">
        <v>16358</v>
      </c>
      <c r="AF598" s="76">
        <v>79</v>
      </c>
      <c r="AG598" s="76">
        <v>77</v>
      </c>
      <c r="AH598" s="76">
        <v>248</v>
      </c>
      <c r="AI598" s="76">
        <v>3</v>
      </c>
      <c r="AJ598" s="76">
        <v>7431</v>
      </c>
      <c r="AK598" s="76">
        <v>6</v>
      </c>
      <c r="AL598" s="76" t="b">
        <v>0</v>
      </c>
      <c r="AM598" s="78">
        <v>44318.835740740738</v>
      </c>
      <c r="AN598" s="76"/>
      <c r="AO598" s="76" t="s">
        <v>18180</v>
      </c>
      <c r="AP598" s="76"/>
      <c r="AQ598" s="76"/>
      <c r="AR598" s="76"/>
      <c r="AS598" s="76"/>
      <c r="AT598" s="76"/>
      <c r="AU598" s="76"/>
      <c r="AV598" s="76"/>
      <c r="AW598" s="76"/>
      <c r="AX598" s="76" t="b">
        <v>0</v>
      </c>
      <c r="AY598" s="76"/>
      <c r="AZ598" s="76"/>
      <c r="BA598" s="76" t="b">
        <v>0</v>
      </c>
      <c r="BB598" s="76" t="b">
        <v>1</v>
      </c>
      <c r="BC598" s="76" t="b">
        <v>1</v>
      </c>
      <c r="BD598" s="76" t="b">
        <v>0</v>
      </c>
      <c r="BE598" s="76" t="b">
        <v>0</v>
      </c>
      <c r="BF598" s="76" t="b">
        <v>0</v>
      </c>
      <c r="BG598" s="76" t="b">
        <v>0</v>
      </c>
      <c r="BH598" s="76"/>
      <c r="BI598" s="76"/>
      <c r="BJ598" s="76" t="s">
        <v>18704</v>
      </c>
      <c r="BK598" s="76" t="b">
        <v>0</v>
      </c>
      <c r="BL598" s="76"/>
      <c r="BM598" s="76" t="s">
        <v>66</v>
      </c>
      <c r="BN598" s="76" t="s">
        <v>18706</v>
      </c>
      <c r="BO598" s="83" t="str">
        <f>HYPERLINK("https://twitter.com/petri_danilo")</f>
        <v>https://twitter.com/petri_danilo</v>
      </c>
      <c r="BP598" s="2"/>
    </row>
    <row r="599" spans="1:68" x14ac:dyDescent="0.25">
      <c r="A599" s="62" t="s">
        <v>667</v>
      </c>
      <c r="B599" s="63"/>
      <c r="C599" s="63"/>
      <c r="D599" s="64"/>
      <c r="E599" s="66"/>
      <c r="F599" s="102" t="str">
        <f>HYPERLINK("https://pbs.twimg.com/profile_images/1704477122054504448/d4pSke2Y_normal.png")</f>
        <v>https://pbs.twimg.com/profile_images/1704477122054504448/d4pSke2Y_normal.png</v>
      </c>
      <c r="G599" s="63"/>
      <c r="H599" s="67"/>
      <c r="I599" s="68"/>
      <c r="J599" s="68"/>
      <c r="K599" s="67" t="s">
        <v>19302</v>
      </c>
      <c r="L599" s="71"/>
      <c r="M599" s="72"/>
      <c r="N599" s="72"/>
      <c r="O599" s="73"/>
      <c r="P599" s="74"/>
      <c r="Q599" s="74"/>
      <c r="R599" s="86"/>
      <c r="S599" s="86"/>
      <c r="T599" s="86"/>
      <c r="U599" s="86"/>
      <c r="V599" s="48"/>
      <c r="W599" s="48"/>
      <c r="X599" s="48"/>
      <c r="Y599" s="48"/>
      <c r="Z599" s="47"/>
      <c r="AA599" s="69">
        <v>599</v>
      </c>
      <c r="AB599" s="69"/>
      <c r="AC599" s="70"/>
      <c r="AD599" s="76" t="s">
        <v>17025</v>
      </c>
      <c r="AE599" s="81" t="s">
        <v>16359</v>
      </c>
      <c r="AF599" s="76">
        <v>218</v>
      </c>
      <c r="AG599" s="76">
        <v>269</v>
      </c>
      <c r="AH599" s="76">
        <v>22</v>
      </c>
      <c r="AI599" s="76">
        <v>3</v>
      </c>
      <c r="AJ599" s="76">
        <v>4554</v>
      </c>
      <c r="AK599" s="76">
        <v>0</v>
      </c>
      <c r="AL599" s="76" t="b">
        <v>0</v>
      </c>
      <c r="AM599" s="78">
        <v>44989.892048611109</v>
      </c>
      <c r="AN599" s="76"/>
      <c r="AO599" s="76" t="s">
        <v>18181</v>
      </c>
      <c r="AP599" s="76"/>
      <c r="AQ599" s="76"/>
      <c r="AR599" s="76"/>
      <c r="AS599" s="76"/>
      <c r="AT599" s="76"/>
      <c r="AU599" s="76"/>
      <c r="AV599" s="76"/>
      <c r="AW599" s="76"/>
      <c r="AX599" s="76" t="b">
        <v>0</v>
      </c>
      <c r="AY599" s="76"/>
      <c r="AZ599" s="76"/>
      <c r="BA599" s="76" t="b">
        <v>1</v>
      </c>
      <c r="BB599" s="76" t="b">
        <v>1</v>
      </c>
      <c r="BC599" s="76" t="b">
        <v>1</v>
      </c>
      <c r="BD599" s="76" t="b">
        <v>0</v>
      </c>
      <c r="BE599" s="76" t="b">
        <v>0</v>
      </c>
      <c r="BF599" s="76" t="b">
        <v>0</v>
      </c>
      <c r="BG599" s="76" t="b">
        <v>1</v>
      </c>
      <c r="BH599" s="83" t="str">
        <f>HYPERLINK("https://pbs.twimg.com/profile_banners/1632129846708146177/1695214853")</f>
        <v>https://pbs.twimg.com/profile_banners/1632129846708146177/1695214853</v>
      </c>
      <c r="BI599" s="76"/>
      <c r="BJ599" s="76" t="s">
        <v>18704</v>
      </c>
      <c r="BK599" s="76" t="b">
        <v>0</v>
      </c>
      <c r="BL599" s="76"/>
      <c r="BM599" s="76" t="s">
        <v>66</v>
      </c>
      <c r="BN599" s="76" t="s">
        <v>18706</v>
      </c>
      <c r="BO599" s="83" t="str">
        <f>HYPERLINK("https://twitter.com/now_wisely")</f>
        <v>https://twitter.com/now_wisely</v>
      </c>
      <c r="BP599" s="2"/>
    </row>
    <row r="600" spans="1:68" x14ac:dyDescent="0.25">
      <c r="A600" s="62" t="s">
        <v>668</v>
      </c>
      <c r="B600" s="63"/>
      <c r="C600" s="63"/>
      <c r="D600" s="64"/>
      <c r="E600" s="66"/>
      <c r="F600" s="102" t="str">
        <f>HYPERLINK("https://pbs.twimg.com/profile_images/1695333549233106944/iGzGx_oW_normal.jpg")</f>
        <v>https://pbs.twimg.com/profile_images/1695333549233106944/iGzGx_oW_normal.jpg</v>
      </c>
      <c r="G600" s="63"/>
      <c r="H600" s="67"/>
      <c r="I600" s="68"/>
      <c r="J600" s="68"/>
      <c r="K600" s="67" t="s">
        <v>19303</v>
      </c>
      <c r="L600" s="71"/>
      <c r="M600" s="72"/>
      <c r="N600" s="72"/>
      <c r="O600" s="73"/>
      <c r="P600" s="74"/>
      <c r="Q600" s="74"/>
      <c r="R600" s="86"/>
      <c r="S600" s="86"/>
      <c r="T600" s="86"/>
      <c r="U600" s="86"/>
      <c r="V600" s="48"/>
      <c r="W600" s="48"/>
      <c r="X600" s="48"/>
      <c r="Y600" s="48"/>
      <c r="Z600" s="47"/>
      <c r="AA600" s="69">
        <v>600</v>
      </c>
      <c r="AB600" s="69"/>
      <c r="AC600" s="70"/>
      <c r="AD600" s="76" t="s">
        <v>17026</v>
      </c>
      <c r="AE600" s="81" t="s">
        <v>16360</v>
      </c>
      <c r="AF600" s="76">
        <v>209</v>
      </c>
      <c r="AG600" s="76">
        <v>404</v>
      </c>
      <c r="AH600" s="76">
        <v>11744</v>
      </c>
      <c r="AI600" s="76">
        <v>1</v>
      </c>
      <c r="AJ600" s="76">
        <v>9896</v>
      </c>
      <c r="AK600" s="76">
        <v>91</v>
      </c>
      <c r="AL600" s="76" t="b">
        <v>0</v>
      </c>
      <c r="AM600" s="78">
        <v>44671.813761574071</v>
      </c>
      <c r="AN600" s="76"/>
      <c r="AO600" s="76"/>
      <c r="AP600" s="76"/>
      <c r="AQ600" s="76"/>
      <c r="AR600" s="76"/>
      <c r="AS600" s="76"/>
      <c r="AT600" s="76"/>
      <c r="AU600" s="76"/>
      <c r="AV600" s="76">
        <v>1.57842166406001E+18</v>
      </c>
      <c r="AW600" s="76"/>
      <c r="AX600" s="76" t="b">
        <v>0</v>
      </c>
      <c r="AY600" s="76"/>
      <c r="AZ600" s="76"/>
      <c r="BA600" s="76" t="b">
        <v>0</v>
      </c>
      <c r="BB600" s="76" t="b">
        <v>1</v>
      </c>
      <c r="BC600" s="76" t="b">
        <v>1</v>
      </c>
      <c r="BD600" s="76" t="b">
        <v>0</v>
      </c>
      <c r="BE600" s="76" t="b">
        <v>1</v>
      </c>
      <c r="BF600" s="76" t="b">
        <v>0</v>
      </c>
      <c r="BG600" s="76" t="b">
        <v>0</v>
      </c>
      <c r="BH600" s="83" t="str">
        <f>HYPERLINK("https://pbs.twimg.com/profile_banners/1516862093668061187/1691565284")</f>
        <v>https://pbs.twimg.com/profile_banners/1516862093668061187/1691565284</v>
      </c>
      <c r="BI600" s="76"/>
      <c r="BJ600" s="76" t="s">
        <v>18704</v>
      </c>
      <c r="BK600" s="76" t="b">
        <v>0</v>
      </c>
      <c r="BL600" s="76"/>
      <c r="BM600" s="76" t="s">
        <v>66</v>
      </c>
      <c r="BN600" s="76" t="s">
        <v>18706</v>
      </c>
      <c r="BO600" s="83" t="str">
        <f>HYPERLINK("https://twitter.com/anasanchezayal1")</f>
        <v>https://twitter.com/anasanchezayal1</v>
      </c>
      <c r="BP600" s="2"/>
    </row>
    <row r="601" spans="1:68" x14ac:dyDescent="0.25">
      <c r="A601" s="62" t="s">
        <v>669</v>
      </c>
      <c r="B601" s="63"/>
      <c r="C601" s="63"/>
      <c r="D601" s="64"/>
      <c r="E601" s="66"/>
      <c r="F601" s="102" t="str">
        <f>HYPERLINK("https://pbs.twimg.com/profile_images/1615501037283975171/ycPlUEDC_normal.jpg")</f>
        <v>https://pbs.twimg.com/profile_images/1615501037283975171/ycPlUEDC_normal.jpg</v>
      </c>
      <c r="G601" s="63"/>
      <c r="H601" s="67"/>
      <c r="I601" s="68"/>
      <c r="J601" s="68"/>
      <c r="K601" s="67" t="s">
        <v>19304</v>
      </c>
      <c r="L601" s="71"/>
      <c r="M601" s="72"/>
      <c r="N601" s="72"/>
      <c r="O601" s="73"/>
      <c r="P601" s="74"/>
      <c r="Q601" s="74"/>
      <c r="R601" s="86"/>
      <c r="S601" s="86"/>
      <c r="T601" s="86"/>
      <c r="U601" s="86"/>
      <c r="V601" s="48"/>
      <c r="W601" s="48"/>
      <c r="X601" s="48"/>
      <c r="Y601" s="48"/>
      <c r="Z601" s="47"/>
      <c r="AA601" s="69">
        <v>601</v>
      </c>
      <c r="AB601" s="69"/>
      <c r="AC601" s="70"/>
      <c r="AD601" s="76" t="s">
        <v>17027</v>
      </c>
      <c r="AE601" s="81" t="s">
        <v>16361</v>
      </c>
      <c r="AF601" s="76">
        <v>172</v>
      </c>
      <c r="AG601" s="76">
        <v>30</v>
      </c>
      <c r="AH601" s="76">
        <v>1849</v>
      </c>
      <c r="AI601" s="76">
        <v>1</v>
      </c>
      <c r="AJ601" s="76">
        <v>1463</v>
      </c>
      <c r="AK601" s="76">
        <v>421</v>
      </c>
      <c r="AL601" s="76" t="b">
        <v>0</v>
      </c>
      <c r="AM601" s="78">
        <v>43304.010983796295</v>
      </c>
      <c r="AN601" s="76" t="s">
        <v>10570</v>
      </c>
      <c r="AO601" s="76" t="s">
        <v>18182</v>
      </c>
      <c r="AP601" s="83" t="str">
        <f>HYPERLINK("https://t.co/0nLoLOS7GB")</f>
        <v>https://t.co/0nLoLOS7GB</v>
      </c>
      <c r="AQ601" s="83" t="str">
        <f>HYPERLINK("https://www.trendsetconsulting.com/pt")</f>
        <v>https://www.trendsetconsulting.com/pt</v>
      </c>
      <c r="AR601" s="76" t="s">
        <v>18589</v>
      </c>
      <c r="AS601" s="76" t="s">
        <v>18640</v>
      </c>
      <c r="AT601" s="76" t="s">
        <v>18651</v>
      </c>
      <c r="AU601" s="76" t="s">
        <v>18698</v>
      </c>
      <c r="AV601" s="76">
        <v>1.7071535597524401E+18</v>
      </c>
      <c r="AW601" s="83" t="str">
        <f>HYPERLINK("https://t.co/0nLoLOS7GB")</f>
        <v>https://t.co/0nLoLOS7GB</v>
      </c>
      <c r="AX601" s="76" t="b">
        <v>0</v>
      </c>
      <c r="AY601" s="76"/>
      <c r="AZ601" s="76"/>
      <c r="BA601" s="76" t="b">
        <v>1</v>
      </c>
      <c r="BB601" s="76" t="b">
        <v>1</v>
      </c>
      <c r="BC601" s="76" t="b">
        <v>1</v>
      </c>
      <c r="BD601" s="76" t="b">
        <v>0</v>
      </c>
      <c r="BE601" s="76" t="b">
        <v>1</v>
      </c>
      <c r="BF601" s="76" t="b">
        <v>0</v>
      </c>
      <c r="BG601" s="76" t="b">
        <v>0</v>
      </c>
      <c r="BH601" s="83" t="str">
        <f>HYPERLINK("https://pbs.twimg.com/profile_banners/1021187088480260096/1681679873")</f>
        <v>https://pbs.twimg.com/profile_banners/1021187088480260096/1681679873</v>
      </c>
      <c r="BI601" s="76"/>
      <c r="BJ601" s="76" t="s">
        <v>18704</v>
      </c>
      <c r="BK601" s="76" t="b">
        <v>0</v>
      </c>
      <c r="BL601" s="76"/>
      <c r="BM601" s="76" t="s">
        <v>66</v>
      </c>
      <c r="BN601" s="76" t="s">
        <v>18706</v>
      </c>
      <c r="BO601" s="83" t="str">
        <f>HYPERLINK("https://twitter.com/arthurvallephd")</f>
        <v>https://twitter.com/arthurvallephd</v>
      </c>
      <c r="BP601" s="2"/>
    </row>
    <row r="602" spans="1:68" x14ac:dyDescent="0.25">
      <c r="A602" s="62" t="s">
        <v>671</v>
      </c>
      <c r="B602" s="63"/>
      <c r="C602" s="63"/>
      <c r="D602" s="64"/>
      <c r="E602" s="66"/>
      <c r="F602" s="102" t="str">
        <f>HYPERLINK("https://pbs.twimg.com/profile_images/1638935200959799298/uhVI6aV0_normal.jpg")</f>
        <v>https://pbs.twimg.com/profile_images/1638935200959799298/uhVI6aV0_normal.jpg</v>
      </c>
      <c r="G602" s="63"/>
      <c r="H602" s="67"/>
      <c r="I602" s="68"/>
      <c r="J602" s="68"/>
      <c r="K602" s="67" t="s">
        <v>19305</v>
      </c>
      <c r="L602" s="71"/>
      <c r="M602" s="72"/>
      <c r="N602" s="72"/>
      <c r="O602" s="73"/>
      <c r="P602" s="74"/>
      <c r="Q602" s="74"/>
      <c r="R602" s="86"/>
      <c r="S602" s="86"/>
      <c r="T602" s="86"/>
      <c r="U602" s="86"/>
      <c r="V602" s="48"/>
      <c r="W602" s="48"/>
      <c r="X602" s="48"/>
      <c r="Y602" s="48"/>
      <c r="Z602" s="47"/>
      <c r="AA602" s="69">
        <v>602</v>
      </c>
      <c r="AB602" s="69"/>
      <c r="AC602" s="70"/>
      <c r="AD602" s="76" t="s">
        <v>17028</v>
      </c>
      <c r="AE602" s="81" t="s">
        <v>16362</v>
      </c>
      <c r="AF602" s="76">
        <v>7</v>
      </c>
      <c r="AG602" s="76">
        <v>7</v>
      </c>
      <c r="AH602" s="76">
        <v>72</v>
      </c>
      <c r="AI602" s="76">
        <v>1</v>
      </c>
      <c r="AJ602" s="76">
        <v>0</v>
      </c>
      <c r="AK602" s="76">
        <v>72</v>
      </c>
      <c r="AL602" s="76" t="b">
        <v>0</v>
      </c>
      <c r="AM602" s="78">
        <v>45008.670856481483</v>
      </c>
      <c r="AN602" s="76"/>
      <c r="AO602" s="76" t="s">
        <v>18183</v>
      </c>
      <c r="AP602" s="76"/>
      <c r="AQ602" s="76"/>
      <c r="AR602" s="76"/>
      <c r="AS602" s="76"/>
      <c r="AT602" s="76"/>
      <c r="AU602" s="76"/>
      <c r="AV602" s="76"/>
      <c r="AW602" s="76"/>
      <c r="AX602" s="76" t="b">
        <v>0</v>
      </c>
      <c r="AY602" s="76"/>
      <c r="AZ602" s="76"/>
      <c r="BA602" s="76" t="b">
        <v>0</v>
      </c>
      <c r="BB602" s="76" t="b">
        <v>1</v>
      </c>
      <c r="BC602" s="76" t="b">
        <v>1</v>
      </c>
      <c r="BD602" s="76" t="b">
        <v>0</v>
      </c>
      <c r="BE602" s="76" t="b">
        <v>0</v>
      </c>
      <c r="BF602" s="76" t="b">
        <v>0</v>
      </c>
      <c r="BG602" s="76" t="b">
        <v>0</v>
      </c>
      <c r="BH602" s="76"/>
      <c r="BI602" s="76"/>
      <c r="BJ602" s="76" t="s">
        <v>18704</v>
      </c>
      <c r="BK602" s="76" t="b">
        <v>0</v>
      </c>
      <c r="BL602" s="76"/>
      <c r="BM602" s="76" t="s">
        <v>66</v>
      </c>
      <c r="BN602" s="76" t="s">
        <v>18706</v>
      </c>
      <c r="BO602" s="83" t="str">
        <f>HYPERLINK("https://twitter.com/rnainvest")</f>
        <v>https://twitter.com/rnainvest</v>
      </c>
      <c r="BP602" s="2"/>
    </row>
    <row r="603" spans="1:68" x14ac:dyDescent="0.25">
      <c r="A603" s="62" t="s">
        <v>672</v>
      </c>
      <c r="B603" s="63"/>
      <c r="C603" s="63"/>
      <c r="D603" s="64"/>
      <c r="E603" s="66"/>
      <c r="F603" s="102" t="str">
        <f>HYPERLINK("https://pbs.twimg.com/profile_images/1462845729169420289/OS6QVM4g_normal.jpg")</f>
        <v>https://pbs.twimg.com/profile_images/1462845729169420289/OS6QVM4g_normal.jpg</v>
      </c>
      <c r="G603" s="63"/>
      <c r="H603" s="67"/>
      <c r="I603" s="68"/>
      <c r="J603" s="68"/>
      <c r="K603" s="67" t="s">
        <v>19306</v>
      </c>
      <c r="L603" s="71"/>
      <c r="M603" s="72"/>
      <c r="N603" s="72"/>
      <c r="O603" s="73"/>
      <c r="P603" s="74"/>
      <c r="Q603" s="74"/>
      <c r="R603" s="86"/>
      <c r="S603" s="86"/>
      <c r="T603" s="86"/>
      <c r="U603" s="86"/>
      <c r="V603" s="48"/>
      <c r="W603" s="48"/>
      <c r="X603" s="48"/>
      <c r="Y603" s="48"/>
      <c r="Z603" s="47"/>
      <c r="AA603" s="69">
        <v>603</v>
      </c>
      <c r="AB603" s="69"/>
      <c r="AC603" s="70"/>
      <c r="AD603" s="76" t="s">
        <v>17029</v>
      </c>
      <c r="AE603" s="81" t="s">
        <v>15973</v>
      </c>
      <c r="AF603" s="76">
        <v>6</v>
      </c>
      <c r="AG603" s="76">
        <v>2</v>
      </c>
      <c r="AH603" s="76">
        <v>52</v>
      </c>
      <c r="AI603" s="76">
        <v>0</v>
      </c>
      <c r="AJ603" s="76">
        <v>1</v>
      </c>
      <c r="AK603" s="76">
        <v>4</v>
      </c>
      <c r="AL603" s="76" t="b">
        <v>0</v>
      </c>
      <c r="AM603" s="78">
        <v>43978.98096064815</v>
      </c>
      <c r="AN603" s="76" t="s">
        <v>17623</v>
      </c>
      <c r="AO603" s="76" t="s">
        <v>18184</v>
      </c>
      <c r="AP603" s="83" t="str">
        <f>HYPERLINK("https://t.co/0oXvqbmpiz")</f>
        <v>https://t.co/0oXvqbmpiz</v>
      </c>
      <c r="AQ603" s="83" t="str">
        <f>HYPERLINK("https://instabio.cc/xghmarkets")</f>
        <v>https://instabio.cc/xghmarkets</v>
      </c>
      <c r="AR603" s="76" t="s">
        <v>18590</v>
      </c>
      <c r="AS603" s="76"/>
      <c r="AT603" s="76"/>
      <c r="AU603" s="76"/>
      <c r="AV603" s="76"/>
      <c r="AW603" s="83" t="str">
        <f>HYPERLINK("https://t.co/0oXvqbmpiz")</f>
        <v>https://t.co/0oXvqbmpiz</v>
      </c>
      <c r="AX603" s="76" t="b">
        <v>0</v>
      </c>
      <c r="AY603" s="76"/>
      <c r="AZ603" s="76"/>
      <c r="BA603" s="76" t="b">
        <v>1</v>
      </c>
      <c r="BB603" s="76" t="b">
        <v>1</v>
      </c>
      <c r="BC603" s="76" t="b">
        <v>1</v>
      </c>
      <c r="BD603" s="76" t="b">
        <v>0</v>
      </c>
      <c r="BE603" s="76" t="b">
        <v>0</v>
      </c>
      <c r="BF603" s="76" t="b">
        <v>0</v>
      </c>
      <c r="BG603" s="76" t="b">
        <v>0</v>
      </c>
      <c r="BH603" s="83" t="str">
        <f>HYPERLINK("https://pbs.twimg.com/profile_banners/1265787959472775169/1693326167")</f>
        <v>https://pbs.twimg.com/profile_banners/1265787959472775169/1693326167</v>
      </c>
      <c r="BI603" s="76"/>
      <c r="BJ603" s="76" t="s">
        <v>18704</v>
      </c>
      <c r="BK603" s="76" t="b">
        <v>0</v>
      </c>
      <c r="BL603" s="76"/>
      <c r="BM603" s="76" t="s">
        <v>66</v>
      </c>
      <c r="BN603" s="76" t="s">
        <v>18706</v>
      </c>
      <c r="BO603" s="83" t="str">
        <f>HYPERLINK("https://twitter.com/xghmarkets")</f>
        <v>https://twitter.com/xghmarkets</v>
      </c>
      <c r="BP603" s="2"/>
    </row>
    <row r="604" spans="1:68" x14ac:dyDescent="0.25">
      <c r="A604" s="62" t="s">
        <v>673</v>
      </c>
      <c r="B604" s="63"/>
      <c r="C604" s="63"/>
      <c r="D604" s="64"/>
      <c r="E604" s="66"/>
      <c r="F604" s="102" t="str">
        <f>HYPERLINK("https://pbs.twimg.com/profile_images/1443528303504134151/7Tk-BMzv_normal.png")</f>
        <v>https://pbs.twimg.com/profile_images/1443528303504134151/7Tk-BMzv_normal.png</v>
      </c>
      <c r="G604" s="63"/>
      <c r="H604" s="67"/>
      <c r="I604" s="68"/>
      <c r="J604" s="68"/>
      <c r="K604" s="67" t="s">
        <v>19307</v>
      </c>
      <c r="L604" s="71"/>
      <c r="M604" s="72"/>
      <c r="N604" s="72"/>
      <c r="O604" s="73"/>
      <c r="P604" s="74"/>
      <c r="Q604" s="74"/>
      <c r="R604" s="86"/>
      <c r="S604" s="86"/>
      <c r="T604" s="86"/>
      <c r="U604" s="86"/>
      <c r="V604" s="48"/>
      <c r="W604" s="48"/>
      <c r="X604" s="48"/>
      <c r="Y604" s="48"/>
      <c r="Z604" s="47"/>
      <c r="AA604" s="69">
        <v>604</v>
      </c>
      <c r="AB604" s="69"/>
      <c r="AC604" s="70"/>
      <c r="AD604" s="76" t="s">
        <v>17030</v>
      </c>
      <c r="AE604" s="81" t="s">
        <v>15974</v>
      </c>
      <c r="AF604" s="76">
        <v>9057</v>
      </c>
      <c r="AG604" s="76">
        <v>761</v>
      </c>
      <c r="AH604" s="76">
        <v>10087</v>
      </c>
      <c r="AI604" s="76">
        <v>121</v>
      </c>
      <c r="AJ604" s="76">
        <v>5085</v>
      </c>
      <c r="AK604" s="76">
        <v>3392</v>
      </c>
      <c r="AL604" s="76" t="b">
        <v>0</v>
      </c>
      <c r="AM604" s="78">
        <v>42653.565092592595</v>
      </c>
      <c r="AN604" s="76" t="s">
        <v>17624</v>
      </c>
      <c r="AO604" s="76" t="s">
        <v>18185</v>
      </c>
      <c r="AP604" s="83" t="str">
        <f>HYPERLINK("https://t.co/zXUR4zXLcH")</f>
        <v>https://t.co/zXUR4zXLcH</v>
      </c>
      <c r="AQ604" s="83" t="str">
        <f>HYPERLINK("https://zonavalue.com/")</f>
        <v>https://zonavalue.com/</v>
      </c>
      <c r="AR604" s="76" t="s">
        <v>18591</v>
      </c>
      <c r="AS604" s="76"/>
      <c r="AT604" s="76"/>
      <c r="AU604" s="76"/>
      <c r="AV604" s="76">
        <v>1.5884795541125901E+18</v>
      </c>
      <c r="AW604" s="83" t="str">
        <f>HYPERLINK("https://t.co/zXUR4zXLcH")</f>
        <v>https://t.co/zXUR4zXLcH</v>
      </c>
      <c r="AX604" s="76" t="b">
        <v>1</v>
      </c>
      <c r="AY604" s="76"/>
      <c r="AZ604" s="76"/>
      <c r="BA604" s="76" t="b">
        <v>1</v>
      </c>
      <c r="BB604" s="76" t="b">
        <v>1</v>
      </c>
      <c r="BC604" s="76" t="b">
        <v>1</v>
      </c>
      <c r="BD604" s="76" t="b">
        <v>0</v>
      </c>
      <c r="BE604" s="76" t="b">
        <v>1</v>
      </c>
      <c r="BF604" s="76" t="b">
        <v>0</v>
      </c>
      <c r="BG604" s="76" t="b">
        <v>0</v>
      </c>
      <c r="BH604" s="83" t="str">
        <f>HYPERLINK("https://pbs.twimg.com/profile_banners/785473391784501252/1632916069")</f>
        <v>https://pbs.twimg.com/profile_banners/785473391784501252/1632916069</v>
      </c>
      <c r="BI604" s="76"/>
      <c r="BJ604" s="76" t="s">
        <v>18704</v>
      </c>
      <c r="BK604" s="76" t="b">
        <v>0</v>
      </c>
      <c r="BL604" s="76"/>
      <c r="BM604" s="76" t="s">
        <v>66</v>
      </c>
      <c r="BN604" s="76" t="s">
        <v>18706</v>
      </c>
      <c r="BO604" s="83" t="str">
        <f>HYPERLINK("https://twitter.com/zonavalue")</f>
        <v>https://twitter.com/zonavalue</v>
      </c>
      <c r="BP604" s="2"/>
    </row>
    <row r="605" spans="1:68" x14ac:dyDescent="0.25">
      <c r="A605" s="62" t="s">
        <v>674</v>
      </c>
      <c r="B605" s="63"/>
      <c r="C605" s="63"/>
      <c r="D605" s="64"/>
      <c r="E605" s="66"/>
      <c r="F605" s="102" t="str">
        <f>HYPERLINK("https://pbs.twimg.com/profile_images/1428786616034861059/v9AzjpAS_normal.jpg")</f>
        <v>https://pbs.twimg.com/profile_images/1428786616034861059/v9AzjpAS_normal.jpg</v>
      </c>
      <c r="G605" s="63"/>
      <c r="H605" s="67"/>
      <c r="I605" s="68"/>
      <c r="J605" s="68"/>
      <c r="K605" s="67" t="s">
        <v>19308</v>
      </c>
      <c r="L605" s="71"/>
      <c r="M605" s="72"/>
      <c r="N605" s="72"/>
      <c r="O605" s="73"/>
      <c r="P605" s="74"/>
      <c r="Q605" s="74"/>
      <c r="R605" s="86"/>
      <c r="S605" s="86"/>
      <c r="T605" s="86"/>
      <c r="U605" s="86"/>
      <c r="V605" s="48"/>
      <c r="W605" s="48"/>
      <c r="X605" s="48"/>
      <c r="Y605" s="48"/>
      <c r="Z605" s="47"/>
      <c r="AA605" s="69">
        <v>605</v>
      </c>
      <c r="AB605" s="69"/>
      <c r="AC605" s="70"/>
      <c r="AD605" s="76" t="s">
        <v>17031</v>
      </c>
      <c r="AE605" s="81" t="s">
        <v>17373</v>
      </c>
      <c r="AF605" s="76">
        <v>26276</v>
      </c>
      <c r="AG605" s="76">
        <v>3559</v>
      </c>
      <c r="AH605" s="76">
        <v>42967</v>
      </c>
      <c r="AI605" s="76">
        <v>203</v>
      </c>
      <c r="AJ605" s="76">
        <v>31912</v>
      </c>
      <c r="AK605" s="76">
        <v>4834</v>
      </c>
      <c r="AL605" s="76" t="b">
        <v>0</v>
      </c>
      <c r="AM605" s="78">
        <v>41471.108784722222</v>
      </c>
      <c r="AN605" s="76" t="s">
        <v>17456</v>
      </c>
      <c r="AO605" s="76" t="s">
        <v>18186</v>
      </c>
      <c r="AP605" s="83" t="str">
        <f>HYPERLINK("https://t.co/sqr1QeVkpG")</f>
        <v>https://t.co/sqr1QeVkpG</v>
      </c>
      <c r="AQ605" s="83" t="str">
        <f>HYPERLINK("http://www.valoraanalitik.com")</f>
        <v>http://www.valoraanalitik.com</v>
      </c>
      <c r="AR605" s="76" t="s">
        <v>6471</v>
      </c>
      <c r="AS605" s="83" t="str">
        <f>HYPERLINK("https://t.co/wBATnbD9q7")</f>
        <v>https://t.co/wBATnbD9q7</v>
      </c>
      <c r="AT605" s="83" t="str">
        <f>HYPERLINK("http://valoraanalitik.com")</f>
        <v>http://valoraanalitik.com</v>
      </c>
      <c r="AU605" s="76" t="s">
        <v>6471</v>
      </c>
      <c r="AV605" s="76">
        <v>1.6860407539594801E+18</v>
      </c>
      <c r="AW605" s="83" t="str">
        <f>HYPERLINK("https://t.co/sqr1QeVkpG")</f>
        <v>https://t.co/sqr1QeVkpG</v>
      </c>
      <c r="AX605" s="76" t="b">
        <v>1</v>
      </c>
      <c r="AY605" s="76"/>
      <c r="AZ605" s="76"/>
      <c r="BA605" s="76" t="b">
        <v>0</v>
      </c>
      <c r="BB605" s="76" t="b">
        <v>1</v>
      </c>
      <c r="BC605" s="76" t="b">
        <v>0</v>
      </c>
      <c r="BD605" s="76" t="b">
        <v>0</v>
      </c>
      <c r="BE605" s="76" t="b">
        <v>1</v>
      </c>
      <c r="BF605" s="76" t="b">
        <v>0</v>
      </c>
      <c r="BG605" s="76" t="b">
        <v>0</v>
      </c>
      <c r="BH605" s="83" t="str">
        <f>HYPERLINK("https://pbs.twimg.com/profile_banners/1597352947/1630513048")</f>
        <v>https://pbs.twimg.com/profile_banners/1597352947/1630513048</v>
      </c>
      <c r="BI605" s="76"/>
      <c r="BJ605" s="76" t="s">
        <v>18704</v>
      </c>
      <c r="BK605" s="76" t="b">
        <v>0</v>
      </c>
      <c r="BL605" s="76"/>
      <c r="BM605" s="76" t="s">
        <v>66</v>
      </c>
      <c r="BN605" s="76" t="s">
        <v>18706</v>
      </c>
      <c r="BO605" s="83" t="str">
        <f>HYPERLINK("https://twitter.com/camilosilvaj")</f>
        <v>https://twitter.com/camilosilvaj</v>
      </c>
      <c r="BP605" s="2"/>
    </row>
    <row r="606" spans="1:68" x14ac:dyDescent="0.25">
      <c r="A606" s="62" t="s">
        <v>675</v>
      </c>
      <c r="B606" s="63"/>
      <c r="C606" s="63"/>
      <c r="D606" s="64"/>
      <c r="E606" s="66"/>
      <c r="F606" s="102" t="str">
        <f>HYPERLINK("https://pbs.twimg.com/profile_images/1597187041950924802/23gUcOob_normal.jpg")</f>
        <v>https://pbs.twimg.com/profile_images/1597187041950924802/23gUcOob_normal.jpg</v>
      </c>
      <c r="G606" s="63"/>
      <c r="H606" s="67"/>
      <c r="I606" s="68"/>
      <c r="J606" s="68"/>
      <c r="K606" s="67" t="s">
        <v>19309</v>
      </c>
      <c r="L606" s="71"/>
      <c r="M606" s="72"/>
      <c r="N606" s="72"/>
      <c r="O606" s="73"/>
      <c r="P606" s="74"/>
      <c r="Q606" s="74"/>
      <c r="R606" s="86"/>
      <c r="S606" s="86"/>
      <c r="T606" s="86"/>
      <c r="U606" s="86"/>
      <c r="V606" s="48"/>
      <c r="W606" s="48"/>
      <c r="X606" s="48"/>
      <c r="Y606" s="48"/>
      <c r="Z606" s="47"/>
      <c r="AA606" s="69">
        <v>606</v>
      </c>
      <c r="AB606" s="69"/>
      <c r="AC606" s="70"/>
      <c r="AD606" s="76" t="s">
        <v>17032</v>
      </c>
      <c r="AE606" s="81" t="s">
        <v>16363</v>
      </c>
      <c r="AF606" s="76">
        <v>39</v>
      </c>
      <c r="AG606" s="76">
        <v>238</v>
      </c>
      <c r="AH606" s="76">
        <v>539</v>
      </c>
      <c r="AI606" s="76">
        <v>0</v>
      </c>
      <c r="AJ606" s="76">
        <v>357</v>
      </c>
      <c r="AK606" s="76">
        <v>3</v>
      </c>
      <c r="AL606" s="76" t="b">
        <v>0</v>
      </c>
      <c r="AM606" s="78">
        <v>44893.464039351849</v>
      </c>
      <c r="AN606" s="76"/>
      <c r="AO606" s="76"/>
      <c r="AP606" s="76"/>
      <c r="AQ606" s="76"/>
      <c r="AR606" s="76"/>
      <c r="AS606" s="76"/>
      <c r="AT606" s="76"/>
      <c r="AU606" s="76"/>
      <c r="AV606" s="76"/>
      <c r="AW606" s="76"/>
      <c r="AX606" s="76" t="b">
        <v>0</v>
      </c>
      <c r="AY606" s="76"/>
      <c r="AZ606" s="76"/>
      <c r="BA606" s="76" t="b">
        <v>0</v>
      </c>
      <c r="BB606" s="76" t="b">
        <v>1</v>
      </c>
      <c r="BC606" s="76" t="b">
        <v>1</v>
      </c>
      <c r="BD606" s="76" t="b">
        <v>0</v>
      </c>
      <c r="BE606" s="76" t="b">
        <v>0</v>
      </c>
      <c r="BF606" s="76" t="b">
        <v>0</v>
      </c>
      <c r="BG606" s="76" t="b">
        <v>0</v>
      </c>
      <c r="BH606" s="83" t="str">
        <f>HYPERLINK("https://pbs.twimg.com/profile_banners/1597185550838075392/1670849361")</f>
        <v>https://pbs.twimg.com/profile_banners/1597185550838075392/1670849361</v>
      </c>
      <c r="BI606" s="76"/>
      <c r="BJ606" s="76" t="s">
        <v>18704</v>
      </c>
      <c r="BK606" s="76" t="b">
        <v>0</v>
      </c>
      <c r="BL606" s="76"/>
      <c r="BM606" s="76" t="s">
        <v>66</v>
      </c>
      <c r="BN606" s="76" t="s">
        <v>18706</v>
      </c>
      <c r="BO606" s="83" t="str">
        <f>HYPERLINK("https://twitter.com/fundsmarkets")</f>
        <v>https://twitter.com/fundsmarkets</v>
      </c>
      <c r="BP606" s="2"/>
    </row>
    <row r="607" spans="1:68" x14ac:dyDescent="0.25">
      <c r="A607" s="62" t="s">
        <v>676</v>
      </c>
      <c r="B607" s="63"/>
      <c r="C607" s="63"/>
      <c r="D607" s="64"/>
      <c r="E607" s="66"/>
      <c r="F607" s="102" t="str">
        <f>HYPERLINK("https://pbs.twimg.com/profile_images/1523449754688045059/VN5yz28E_normal.jpg")</f>
        <v>https://pbs.twimg.com/profile_images/1523449754688045059/VN5yz28E_normal.jpg</v>
      </c>
      <c r="G607" s="63"/>
      <c r="H607" s="67"/>
      <c r="I607" s="68"/>
      <c r="J607" s="68"/>
      <c r="K607" s="67" t="s">
        <v>19310</v>
      </c>
      <c r="L607" s="71"/>
      <c r="M607" s="72"/>
      <c r="N607" s="72"/>
      <c r="O607" s="73"/>
      <c r="P607" s="74"/>
      <c r="Q607" s="74"/>
      <c r="R607" s="86"/>
      <c r="S607" s="86"/>
      <c r="T607" s="86"/>
      <c r="U607" s="86"/>
      <c r="V607" s="48"/>
      <c r="W607" s="48"/>
      <c r="X607" s="48"/>
      <c r="Y607" s="48"/>
      <c r="Z607" s="47"/>
      <c r="AA607" s="69">
        <v>607</v>
      </c>
      <c r="AB607" s="69"/>
      <c r="AC607" s="70"/>
      <c r="AD607" s="76" t="s">
        <v>17033</v>
      </c>
      <c r="AE607" s="81" t="s">
        <v>16364</v>
      </c>
      <c r="AF607" s="76">
        <v>2487</v>
      </c>
      <c r="AG607" s="76">
        <v>25</v>
      </c>
      <c r="AH607" s="76">
        <v>130</v>
      </c>
      <c r="AI607" s="76">
        <v>1</v>
      </c>
      <c r="AJ607" s="76">
        <v>28</v>
      </c>
      <c r="AK607" s="76">
        <v>71</v>
      </c>
      <c r="AL607" s="76" t="b">
        <v>0</v>
      </c>
      <c r="AM607" s="78">
        <v>44575.738680555558</v>
      </c>
      <c r="AN607" s="76" t="s">
        <v>17625</v>
      </c>
      <c r="AO607" s="76" t="s">
        <v>18187</v>
      </c>
      <c r="AP607" s="83" t="str">
        <f>HYPERLINK("https://t.co/IHd1n2Wyqn")</f>
        <v>https://t.co/IHd1n2Wyqn</v>
      </c>
      <c r="AQ607" s="83" t="str">
        <f>HYPERLINK("https://yodacoinswap.io/")</f>
        <v>https://yodacoinswap.io/</v>
      </c>
      <c r="AR607" s="76" t="s">
        <v>18592</v>
      </c>
      <c r="AS607" s="83" t="str">
        <f>HYPERLINK("https://t.co/2TBTnlGWHH")</f>
        <v>https://t.co/2TBTnlGWHH</v>
      </c>
      <c r="AT607" s="83" t="str">
        <f>HYPERLINK("http://t.me/YodaCoinSwaps")</f>
        <v>http://t.me/YodaCoinSwaps</v>
      </c>
      <c r="AU607" s="76" t="s">
        <v>18699</v>
      </c>
      <c r="AV607" s="76"/>
      <c r="AW607" s="83" t="str">
        <f>HYPERLINK("https://t.co/IHd1n2Wyqn")</f>
        <v>https://t.co/IHd1n2Wyqn</v>
      </c>
      <c r="AX607" s="76" t="b">
        <v>1</v>
      </c>
      <c r="AY607" s="76"/>
      <c r="AZ607" s="76"/>
      <c r="BA607" s="76" t="b">
        <v>0</v>
      </c>
      <c r="BB607" s="76" t="b">
        <v>1</v>
      </c>
      <c r="BC607" s="76" t="b">
        <v>1</v>
      </c>
      <c r="BD607" s="76" t="b">
        <v>0</v>
      </c>
      <c r="BE607" s="76" t="b">
        <v>0</v>
      </c>
      <c r="BF607" s="76" t="b">
        <v>0</v>
      </c>
      <c r="BG607" s="76" t="b">
        <v>0</v>
      </c>
      <c r="BH607" s="83" t="str">
        <f>HYPERLINK("https://pbs.twimg.com/profile_banners/1482045691702743042/1689268077")</f>
        <v>https://pbs.twimg.com/profile_banners/1482045691702743042/1689268077</v>
      </c>
      <c r="BI607" s="76"/>
      <c r="BJ607" s="76" t="s">
        <v>18704</v>
      </c>
      <c r="BK607" s="76" t="b">
        <v>0</v>
      </c>
      <c r="BL607" s="76"/>
      <c r="BM607" s="76" t="s">
        <v>66</v>
      </c>
      <c r="BN607" s="76" t="s">
        <v>18706</v>
      </c>
      <c r="BO607" s="83" t="str">
        <f>HYPERLINK("https://twitter.com/yodacoinswap")</f>
        <v>https://twitter.com/yodacoinswap</v>
      </c>
      <c r="BP607" s="2"/>
    </row>
    <row r="608" spans="1:68" x14ac:dyDescent="0.25">
      <c r="A608" s="62" t="s">
        <v>677</v>
      </c>
      <c r="B608" s="63"/>
      <c r="C608" s="63"/>
      <c r="D608" s="64"/>
      <c r="E608" s="66"/>
      <c r="F608" s="102" t="str">
        <f>HYPERLINK("https://pbs.twimg.com/profile_images/1646904175836405760/3k2IN9gL_normal.jpg")</f>
        <v>https://pbs.twimg.com/profile_images/1646904175836405760/3k2IN9gL_normal.jpg</v>
      </c>
      <c r="G608" s="63"/>
      <c r="H608" s="67"/>
      <c r="I608" s="68"/>
      <c r="J608" s="68"/>
      <c r="K608" s="67" t="s">
        <v>19311</v>
      </c>
      <c r="L608" s="71"/>
      <c r="M608" s="72"/>
      <c r="N608" s="72"/>
      <c r="O608" s="73"/>
      <c r="P608" s="74"/>
      <c r="Q608" s="74"/>
      <c r="R608" s="86"/>
      <c r="S608" s="86"/>
      <c r="T608" s="86"/>
      <c r="U608" s="86"/>
      <c r="V608" s="48"/>
      <c r="W608" s="48"/>
      <c r="X608" s="48"/>
      <c r="Y608" s="48"/>
      <c r="Z608" s="47"/>
      <c r="AA608" s="69">
        <v>608</v>
      </c>
      <c r="AB608" s="69"/>
      <c r="AC608" s="70"/>
      <c r="AD608" s="76" t="s">
        <v>17034</v>
      </c>
      <c r="AE608" s="81" t="s">
        <v>16365</v>
      </c>
      <c r="AF608" s="76">
        <v>0</v>
      </c>
      <c r="AG608" s="76">
        <v>18</v>
      </c>
      <c r="AH608" s="76">
        <v>6</v>
      </c>
      <c r="AI608" s="76">
        <v>0</v>
      </c>
      <c r="AJ608" s="76">
        <v>1</v>
      </c>
      <c r="AK608" s="76">
        <v>6</v>
      </c>
      <c r="AL608" s="76" t="b">
        <v>0</v>
      </c>
      <c r="AM608" s="78">
        <v>45030.658321759256</v>
      </c>
      <c r="AN608" s="76"/>
      <c r="AO608" s="76" t="s">
        <v>18188</v>
      </c>
      <c r="AP608" s="76"/>
      <c r="AQ608" s="76"/>
      <c r="AR608" s="76"/>
      <c r="AS608" s="76"/>
      <c r="AT608" s="76"/>
      <c r="AU608" s="76"/>
      <c r="AV608" s="76"/>
      <c r="AW608" s="76"/>
      <c r="AX608" s="76" t="b">
        <v>0</v>
      </c>
      <c r="AY608" s="76"/>
      <c r="AZ608" s="76"/>
      <c r="BA608" s="76" t="b">
        <v>0</v>
      </c>
      <c r="BB608" s="76" t="b">
        <v>1</v>
      </c>
      <c r="BC608" s="76" t="b">
        <v>1</v>
      </c>
      <c r="BD608" s="76" t="b">
        <v>0</v>
      </c>
      <c r="BE608" s="76" t="b">
        <v>0</v>
      </c>
      <c r="BF608" s="76" t="b">
        <v>0</v>
      </c>
      <c r="BG608" s="76" t="b">
        <v>0</v>
      </c>
      <c r="BH608" s="83" t="str">
        <f>HYPERLINK("https://pbs.twimg.com/profile_banners/1646902658253422595/1692844020")</f>
        <v>https://pbs.twimg.com/profile_banners/1646902658253422595/1692844020</v>
      </c>
      <c r="BI608" s="76"/>
      <c r="BJ608" s="76" t="s">
        <v>18704</v>
      </c>
      <c r="BK608" s="76" t="b">
        <v>0</v>
      </c>
      <c r="BL608" s="76"/>
      <c r="BM608" s="76" t="s">
        <v>66</v>
      </c>
      <c r="BN608" s="76" t="s">
        <v>18706</v>
      </c>
      <c r="BO608" s="83" t="str">
        <f>HYPERLINK("https://twitter.com/tiagosi54861365")</f>
        <v>https://twitter.com/tiagosi54861365</v>
      </c>
      <c r="BP608" s="2"/>
    </row>
    <row r="609" spans="1:68" x14ac:dyDescent="0.25">
      <c r="A609" s="62" t="s">
        <v>678</v>
      </c>
      <c r="B609" s="63"/>
      <c r="C609" s="63"/>
      <c r="D609" s="64"/>
      <c r="E609" s="66"/>
      <c r="F609" s="102" t="str">
        <f>HYPERLINK("https://pbs.twimg.com/profile_images/1368503144053891072/kELfbxiS_normal.jpg")</f>
        <v>https://pbs.twimg.com/profile_images/1368503144053891072/kELfbxiS_normal.jpg</v>
      </c>
      <c r="G609" s="63"/>
      <c r="H609" s="67"/>
      <c r="I609" s="68"/>
      <c r="J609" s="68"/>
      <c r="K609" s="67" t="s">
        <v>19312</v>
      </c>
      <c r="L609" s="71"/>
      <c r="M609" s="72"/>
      <c r="N609" s="72"/>
      <c r="O609" s="73"/>
      <c r="P609" s="74"/>
      <c r="Q609" s="74"/>
      <c r="R609" s="86"/>
      <c r="S609" s="86"/>
      <c r="T609" s="86"/>
      <c r="U609" s="86"/>
      <c r="V609" s="48"/>
      <c r="W609" s="48"/>
      <c r="X609" s="48"/>
      <c r="Y609" s="48"/>
      <c r="Z609" s="47"/>
      <c r="AA609" s="69">
        <v>609</v>
      </c>
      <c r="AB609" s="69"/>
      <c r="AC609" s="70"/>
      <c r="AD609" s="76" t="s">
        <v>17035</v>
      </c>
      <c r="AE609" s="81" t="s">
        <v>16366</v>
      </c>
      <c r="AF609" s="76">
        <v>1000</v>
      </c>
      <c r="AG609" s="76">
        <v>432</v>
      </c>
      <c r="AH609" s="76">
        <v>5946</v>
      </c>
      <c r="AI609" s="76">
        <v>15</v>
      </c>
      <c r="AJ609" s="76">
        <v>1759</v>
      </c>
      <c r="AK609" s="76">
        <v>2858</v>
      </c>
      <c r="AL609" s="76" t="b">
        <v>0</v>
      </c>
      <c r="AM609" s="78">
        <v>44262.420057870368</v>
      </c>
      <c r="AN609" s="76" t="s">
        <v>10570</v>
      </c>
      <c r="AO609" s="76" t="s">
        <v>18189</v>
      </c>
      <c r="AP609" s="83" t="str">
        <f>HYPERLINK("https://t.co/dZQs62yw4y")</f>
        <v>https://t.co/dZQs62yw4y</v>
      </c>
      <c r="AQ609" s="83" t="str">
        <f>HYPERLINK("https://profito.club")</f>
        <v>https://profito.club</v>
      </c>
      <c r="AR609" s="76" t="s">
        <v>18593</v>
      </c>
      <c r="AS609" s="76"/>
      <c r="AT609" s="76"/>
      <c r="AU609" s="76"/>
      <c r="AV609" s="76"/>
      <c r="AW609" s="83" t="str">
        <f>HYPERLINK("https://t.co/dZQs62yw4y")</f>
        <v>https://t.co/dZQs62yw4y</v>
      </c>
      <c r="AX609" s="76" t="b">
        <v>0</v>
      </c>
      <c r="AY609" s="76"/>
      <c r="AZ609" s="76"/>
      <c r="BA609" s="76" t="b">
        <v>1</v>
      </c>
      <c r="BB609" s="76" t="b">
        <v>1</v>
      </c>
      <c r="BC609" s="76" t="b">
        <v>1</v>
      </c>
      <c r="BD609" s="76" t="b">
        <v>0</v>
      </c>
      <c r="BE609" s="76" t="b">
        <v>1</v>
      </c>
      <c r="BF609" s="76" t="b">
        <v>0</v>
      </c>
      <c r="BG609" s="76" t="b">
        <v>0</v>
      </c>
      <c r="BH609" s="83" t="str">
        <f>HYPERLINK("https://pbs.twimg.com/profile_banners/1368502856714698755/1685289350")</f>
        <v>https://pbs.twimg.com/profile_banners/1368502856714698755/1685289350</v>
      </c>
      <c r="BI609" s="76"/>
      <c r="BJ609" s="76" t="s">
        <v>18704</v>
      </c>
      <c r="BK609" s="76" t="b">
        <v>0</v>
      </c>
      <c r="BL609" s="76"/>
      <c r="BM609" s="76" t="s">
        <v>66</v>
      </c>
      <c r="BN609" s="76" t="s">
        <v>18706</v>
      </c>
      <c r="BO609" s="83" t="str">
        <f>HYPERLINK("https://twitter.com/profitoclub")</f>
        <v>https://twitter.com/profitoclub</v>
      </c>
      <c r="BP609" s="2"/>
    </row>
    <row r="610" spans="1:68" x14ac:dyDescent="0.25">
      <c r="A610" s="62" t="s">
        <v>679</v>
      </c>
      <c r="B610" s="63"/>
      <c r="C610" s="63"/>
      <c r="D610" s="64"/>
      <c r="E610" s="66"/>
      <c r="F610" s="102" t="str">
        <f>HYPERLINK("https://pbs.twimg.com/profile_images/1686383382165598209/Mv2zJ_Vu_normal.jpg")</f>
        <v>https://pbs.twimg.com/profile_images/1686383382165598209/Mv2zJ_Vu_normal.jpg</v>
      </c>
      <c r="G610" s="63"/>
      <c r="H610" s="67"/>
      <c r="I610" s="68"/>
      <c r="J610" s="68"/>
      <c r="K610" s="67" t="s">
        <v>19313</v>
      </c>
      <c r="L610" s="71"/>
      <c r="M610" s="72"/>
      <c r="N610" s="72"/>
      <c r="O610" s="73"/>
      <c r="P610" s="74"/>
      <c r="Q610" s="74"/>
      <c r="R610" s="86"/>
      <c r="S610" s="86"/>
      <c r="T610" s="86"/>
      <c r="U610" s="86"/>
      <c r="V610" s="48"/>
      <c r="W610" s="48"/>
      <c r="X610" s="48"/>
      <c r="Y610" s="48"/>
      <c r="Z610" s="47"/>
      <c r="AA610" s="69">
        <v>610</v>
      </c>
      <c r="AB610" s="69"/>
      <c r="AC610" s="70"/>
      <c r="AD610" s="76" t="s">
        <v>17036</v>
      </c>
      <c r="AE610" s="81" t="s">
        <v>16367</v>
      </c>
      <c r="AF610" s="76">
        <v>479</v>
      </c>
      <c r="AG610" s="76">
        <v>72</v>
      </c>
      <c r="AH610" s="76">
        <v>1680</v>
      </c>
      <c r="AI610" s="76">
        <v>0</v>
      </c>
      <c r="AJ610" s="76">
        <v>26</v>
      </c>
      <c r="AK610" s="76">
        <v>1570</v>
      </c>
      <c r="AL610" s="76" t="b">
        <v>0</v>
      </c>
      <c r="AM610" s="78">
        <v>44221.69121527778</v>
      </c>
      <c r="AN610" s="76" t="s">
        <v>17527</v>
      </c>
      <c r="AO610" s="76" t="s">
        <v>18190</v>
      </c>
      <c r="AP610" s="83" t="str">
        <f>HYPERLINK("https://t.co/CJMPGzkx6V")</f>
        <v>https://t.co/CJMPGzkx6V</v>
      </c>
      <c r="AQ610" s="83" t="str">
        <f>HYPERLINK("http://www.infoxeduca.com")</f>
        <v>http://www.infoxeduca.com</v>
      </c>
      <c r="AR610" s="76" t="s">
        <v>18594</v>
      </c>
      <c r="AS610" s="83" t="str">
        <f>HYPERLINK("https://t.co/QL9hS7ogt6")</f>
        <v>https://t.co/QL9hS7ogt6</v>
      </c>
      <c r="AT610" s="83" t="str">
        <f>HYPERLINK("http://linktr.ee/infox_educa")</f>
        <v>http://linktr.ee/infox_educa</v>
      </c>
      <c r="AU610" s="76" t="s">
        <v>18700</v>
      </c>
      <c r="AV610" s="76"/>
      <c r="AW610" s="83" t="str">
        <f>HYPERLINK("https://t.co/CJMPGzkx6V")</f>
        <v>https://t.co/CJMPGzkx6V</v>
      </c>
      <c r="AX610" s="76" t="b">
        <v>0</v>
      </c>
      <c r="AY610" s="76"/>
      <c r="AZ610" s="76"/>
      <c r="BA610" s="76" t="b">
        <v>0</v>
      </c>
      <c r="BB610" s="76" t="b">
        <v>1</v>
      </c>
      <c r="BC610" s="76" t="b">
        <v>1</v>
      </c>
      <c r="BD610" s="76" t="b">
        <v>0</v>
      </c>
      <c r="BE610" s="76" t="b">
        <v>0</v>
      </c>
      <c r="BF610" s="76" t="b">
        <v>0</v>
      </c>
      <c r="BG610" s="76" t="b">
        <v>0</v>
      </c>
      <c r="BH610" s="83" t="str">
        <f>HYPERLINK("https://pbs.twimg.com/profile_banners/1353741690868269057/1690919376")</f>
        <v>https://pbs.twimg.com/profile_banners/1353741690868269057/1690919376</v>
      </c>
      <c r="BI610" s="76"/>
      <c r="BJ610" s="76" t="s">
        <v>18704</v>
      </c>
      <c r="BK610" s="76" t="b">
        <v>0</v>
      </c>
      <c r="BL610" s="76"/>
      <c r="BM610" s="76" t="s">
        <v>66</v>
      </c>
      <c r="BN610" s="76" t="s">
        <v>18706</v>
      </c>
      <c r="BO610" s="83" t="str">
        <f>HYPERLINK("https://twitter.com/infox_educa")</f>
        <v>https://twitter.com/infox_educa</v>
      </c>
      <c r="BP610" s="2"/>
    </row>
    <row r="611" spans="1:68" x14ac:dyDescent="0.25">
      <c r="A611" s="62" t="s">
        <v>680</v>
      </c>
      <c r="B611" s="63"/>
      <c r="C611" s="63"/>
      <c r="D611" s="64"/>
      <c r="E611" s="66"/>
      <c r="F611" s="102" t="str">
        <f>HYPERLINK("https://pbs.twimg.com/profile_images/436547001916739584/AmRs-G0M_normal.jpeg")</f>
        <v>https://pbs.twimg.com/profile_images/436547001916739584/AmRs-G0M_normal.jpeg</v>
      </c>
      <c r="G611" s="63"/>
      <c r="H611" s="67"/>
      <c r="I611" s="68"/>
      <c r="J611" s="68"/>
      <c r="K611" s="67" t="s">
        <v>19314</v>
      </c>
      <c r="L611" s="71"/>
      <c r="M611" s="72"/>
      <c r="N611" s="72"/>
      <c r="O611" s="73"/>
      <c r="P611" s="74"/>
      <c r="Q611" s="74"/>
      <c r="R611" s="86"/>
      <c r="S611" s="86"/>
      <c r="T611" s="86"/>
      <c r="U611" s="86"/>
      <c r="V611" s="48"/>
      <c r="W611" s="48"/>
      <c r="X611" s="48"/>
      <c r="Y611" s="48"/>
      <c r="Z611" s="47"/>
      <c r="AA611" s="69">
        <v>611</v>
      </c>
      <c r="AB611" s="69"/>
      <c r="AC611" s="70"/>
      <c r="AD611" s="76" t="s">
        <v>17037</v>
      </c>
      <c r="AE611" s="81" t="s">
        <v>17374</v>
      </c>
      <c r="AF611" s="76">
        <v>237</v>
      </c>
      <c r="AG611" s="76">
        <v>587</v>
      </c>
      <c r="AH611" s="76">
        <v>6726</v>
      </c>
      <c r="AI611" s="76">
        <v>3</v>
      </c>
      <c r="AJ611" s="76">
        <v>32735</v>
      </c>
      <c r="AK611" s="76">
        <v>65</v>
      </c>
      <c r="AL611" s="76" t="b">
        <v>0</v>
      </c>
      <c r="AM611" s="78">
        <v>40794.60601851852</v>
      </c>
      <c r="AN611" s="76" t="s">
        <v>17626</v>
      </c>
      <c r="AO611" s="76"/>
      <c r="AP611" s="76"/>
      <c r="AQ611" s="76"/>
      <c r="AR611" s="76"/>
      <c r="AS611" s="76"/>
      <c r="AT611" s="76"/>
      <c r="AU611" s="76"/>
      <c r="AV611" s="76"/>
      <c r="AW611" s="76"/>
      <c r="AX611" s="76" t="b">
        <v>0</v>
      </c>
      <c r="AY611" s="76"/>
      <c r="AZ611" s="76"/>
      <c r="BA611" s="76" t="b">
        <v>1</v>
      </c>
      <c r="BB611" s="76" t="b">
        <v>0</v>
      </c>
      <c r="BC611" s="76" t="b">
        <v>0</v>
      </c>
      <c r="BD611" s="76" t="b">
        <v>0</v>
      </c>
      <c r="BE611" s="76" t="b">
        <v>1</v>
      </c>
      <c r="BF611" s="76" t="b">
        <v>0</v>
      </c>
      <c r="BG611" s="76" t="b">
        <v>0</v>
      </c>
      <c r="BH611" s="83" t="str">
        <f>HYPERLINK("https://pbs.twimg.com/profile_banners/370134254/1444527825")</f>
        <v>https://pbs.twimg.com/profile_banners/370134254/1444527825</v>
      </c>
      <c r="BI611" s="76"/>
      <c r="BJ611" s="76" t="s">
        <v>18704</v>
      </c>
      <c r="BK611" s="76" t="b">
        <v>0</v>
      </c>
      <c r="BL611" s="76"/>
      <c r="BM611" s="76" t="s">
        <v>66</v>
      </c>
      <c r="BN611" s="76" t="s">
        <v>18706</v>
      </c>
      <c r="BO611" s="83" t="str">
        <f>HYPERLINK("https://twitter.com/ivanrondon05")</f>
        <v>https://twitter.com/ivanrondon05</v>
      </c>
      <c r="BP611" s="2"/>
    </row>
    <row r="612" spans="1:68" x14ac:dyDescent="0.25">
      <c r="A612" s="62" t="s">
        <v>681</v>
      </c>
      <c r="B612" s="63"/>
      <c r="C612" s="63"/>
      <c r="D612" s="64"/>
      <c r="E612" s="66"/>
      <c r="F612" s="102" t="str">
        <f>HYPERLINK("https://pbs.twimg.com/profile_images/1405355728504823816/F8w7-veZ_normal.jpg")</f>
        <v>https://pbs.twimg.com/profile_images/1405355728504823816/F8w7-veZ_normal.jpg</v>
      </c>
      <c r="G612" s="63"/>
      <c r="H612" s="67"/>
      <c r="I612" s="68"/>
      <c r="J612" s="68"/>
      <c r="K612" s="67" t="s">
        <v>19315</v>
      </c>
      <c r="L612" s="71"/>
      <c r="M612" s="72"/>
      <c r="N612" s="72"/>
      <c r="O612" s="73"/>
      <c r="P612" s="74"/>
      <c r="Q612" s="74"/>
      <c r="R612" s="86"/>
      <c r="S612" s="86"/>
      <c r="T612" s="86"/>
      <c r="U612" s="86"/>
      <c r="V612" s="48"/>
      <c r="W612" s="48"/>
      <c r="X612" s="48"/>
      <c r="Y612" s="48"/>
      <c r="Z612" s="47"/>
      <c r="AA612" s="69">
        <v>612</v>
      </c>
      <c r="AB612" s="69"/>
      <c r="AC612" s="70"/>
      <c r="AD612" s="76" t="s">
        <v>17038</v>
      </c>
      <c r="AE612" s="81" t="s">
        <v>16368</v>
      </c>
      <c r="AF612" s="76">
        <v>25</v>
      </c>
      <c r="AG612" s="76">
        <v>30</v>
      </c>
      <c r="AH612" s="76">
        <v>121</v>
      </c>
      <c r="AI612" s="76">
        <v>0</v>
      </c>
      <c r="AJ612" s="76">
        <v>77</v>
      </c>
      <c r="AK612" s="76">
        <v>84</v>
      </c>
      <c r="AL612" s="76" t="b">
        <v>0</v>
      </c>
      <c r="AM612" s="78">
        <v>44364.113923611112</v>
      </c>
      <c r="AN612" s="76"/>
      <c r="AO612" s="76" t="s">
        <v>18191</v>
      </c>
      <c r="AP612" s="83" t="str">
        <f>HYPERLINK("https://t.co/N6xpjvrsuc")</f>
        <v>https://t.co/N6xpjvrsuc</v>
      </c>
      <c r="AQ612" s="83" t="str">
        <f>HYPERLINK("http://Instagram.com/eltinhobranco")</f>
        <v>http://Instagram.com/eltinhobranco</v>
      </c>
      <c r="AR612" s="76" t="s">
        <v>18595</v>
      </c>
      <c r="AS612" s="76"/>
      <c r="AT612" s="76"/>
      <c r="AU612" s="76"/>
      <c r="AV612" s="76">
        <v>1.4886107111734799E+18</v>
      </c>
      <c r="AW612" s="83" t="str">
        <f>HYPERLINK("https://t.co/N6xpjvrsuc")</f>
        <v>https://t.co/N6xpjvrsuc</v>
      </c>
      <c r="AX612" s="76" t="b">
        <v>0</v>
      </c>
      <c r="AY612" s="76"/>
      <c r="AZ612" s="76"/>
      <c r="BA612" s="76" t="b">
        <v>1</v>
      </c>
      <c r="BB612" s="76" t="b">
        <v>1</v>
      </c>
      <c r="BC612" s="76" t="b">
        <v>1</v>
      </c>
      <c r="BD612" s="76" t="b">
        <v>0</v>
      </c>
      <c r="BE612" s="76" t="b">
        <v>0</v>
      </c>
      <c r="BF612" s="76" t="b">
        <v>0</v>
      </c>
      <c r="BG612" s="76" t="b">
        <v>0</v>
      </c>
      <c r="BH612" s="83" t="str">
        <f>HYPERLINK("https://pbs.twimg.com/profile_banners/1405355455216603137/1686839495")</f>
        <v>https://pbs.twimg.com/profile_banners/1405355455216603137/1686839495</v>
      </c>
      <c r="BI612" s="76"/>
      <c r="BJ612" s="76" t="s">
        <v>18704</v>
      </c>
      <c r="BK612" s="76" t="b">
        <v>0</v>
      </c>
      <c r="BL612" s="76"/>
      <c r="BM612" s="76" t="s">
        <v>66</v>
      </c>
      <c r="BN612" s="76" t="s">
        <v>18706</v>
      </c>
      <c r="BO612" s="83" t="str">
        <f>HYPERLINK("https://twitter.com/branco_elton")</f>
        <v>https://twitter.com/branco_elton</v>
      </c>
      <c r="BP612" s="2"/>
    </row>
    <row r="613" spans="1:68" x14ac:dyDescent="0.25">
      <c r="A613" s="62" t="s">
        <v>683</v>
      </c>
      <c r="B613" s="63"/>
      <c r="C613" s="63"/>
      <c r="D613" s="64"/>
      <c r="E613" s="66"/>
      <c r="F613" s="102" t="str">
        <f>HYPERLINK("https://pbs.twimg.com/profile_images/830161150335672322/yfw6h0pa_normal.jpg")</f>
        <v>https://pbs.twimg.com/profile_images/830161150335672322/yfw6h0pa_normal.jpg</v>
      </c>
      <c r="G613" s="63"/>
      <c r="H613" s="67"/>
      <c r="I613" s="68"/>
      <c r="J613" s="68"/>
      <c r="K613" s="67" t="s">
        <v>19316</v>
      </c>
      <c r="L613" s="71"/>
      <c r="M613" s="72"/>
      <c r="N613" s="72"/>
      <c r="O613" s="73"/>
      <c r="P613" s="74"/>
      <c r="Q613" s="74"/>
      <c r="R613" s="86"/>
      <c r="S613" s="86"/>
      <c r="T613" s="86"/>
      <c r="U613" s="86"/>
      <c r="V613" s="48"/>
      <c r="W613" s="48"/>
      <c r="X613" s="48"/>
      <c r="Y613" s="48"/>
      <c r="Z613" s="47"/>
      <c r="AA613" s="69">
        <v>613</v>
      </c>
      <c r="AB613" s="69"/>
      <c r="AC613" s="70"/>
      <c r="AD613" s="76" t="s">
        <v>17039</v>
      </c>
      <c r="AE613" s="81" t="s">
        <v>17375</v>
      </c>
      <c r="AF613" s="76">
        <v>3572</v>
      </c>
      <c r="AG613" s="76">
        <v>1435</v>
      </c>
      <c r="AH613" s="76">
        <v>17168</v>
      </c>
      <c r="AI613" s="76">
        <v>70</v>
      </c>
      <c r="AJ613" s="76">
        <v>3714</v>
      </c>
      <c r="AK613" s="76">
        <v>58</v>
      </c>
      <c r="AL613" s="76" t="b">
        <v>0</v>
      </c>
      <c r="AM613" s="78">
        <v>40524.693078703705</v>
      </c>
      <c r="AN613" s="76" t="s">
        <v>17627</v>
      </c>
      <c r="AO613" s="76" t="s">
        <v>18192</v>
      </c>
      <c r="AP613" s="76"/>
      <c r="AQ613" s="76"/>
      <c r="AR613" s="76"/>
      <c r="AS613" s="76"/>
      <c r="AT613" s="76"/>
      <c r="AU613" s="76"/>
      <c r="AV613" s="76"/>
      <c r="AW613" s="76"/>
      <c r="AX613" s="76" t="b">
        <v>0</v>
      </c>
      <c r="AY613" s="76"/>
      <c r="AZ613" s="76"/>
      <c r="BA613" s="76" t="b">
        <v>0</v>
      </c>
      <c r="BB613" s="76" t="b">
        <v>1</v>
      </c>
      <c r="BC613" s="76" t="b">
        <v>1</v>
      </c>
      <c r="BD613" s="76" t="b">
        <v>0</v>
      </c>
      <c r="BE613" s="76" t="b">
        <v>1</v>
      </c>
      <c r="BF613" s="76" t="b">
        <v>0</v>
      </c>
      <c r="BG613" s="76" t="b">
        <v>0</v>
      </c>
      <c r="BH613" s="83" t="str">
        <f>HYPERLINK("https://pbs.twimg.com/profile_banners/225854166/1426199068")</f>
        <v>https://pbs.twimg.com/profile_banners/225854166/1426199068</v>
      </c>
      <c r="BI613" s="76"/>
      <c r="BJ613" s="76" t="s">
        <v>18704</v>
      </c>
      <c r="BK613" s="76" t="b">
        <v>0</v>
      </c>
      <c r="BL613" s="76"/>
      <c r="BM613" s="76" t="s">
        <v>66</v>
      </c>
      <c r="BN613" s="76" t="s">
        <v>18706</v>
      </c>
      <c r="BO613" s="83" t="str">
        <f>HYPERLINK("https://twitter.com/e_bayona")</f>
        <v>https://twitter.com/e_bayona</v>
      </c>
      <c r="BP613" s="2"/>
    </row>
    <row r="614" spans="1:68" x14ac:dyDescent="0.25">
      <c r="A614" s="62" t="s">
        <v>885</v>
      </c>
      <c r="B614" s="63"/>
      <c r="C614" s="63"/>
      <c r="D614" s="64"/>
      <c r="E614" s="66"/>
      <c r="F614" s="102" t="str">
        <f>HYPERLINK("https://pbs.twimg.com/profile_images/1675624280665600000/exWnKh0t_normal.jpg")</f>
        <v>https://pbs.twimg.com/profile_images/1675624280665600000/exWnKh0t_normal.jpg</v>
      </c>
      <c r="G614" s="63"/>
      <c r="H614" s="67"/>
      <c r="I614" s="68"/>
      <c r="J614" s="68"/>
      <c r="K614" s="67" t="s">
        <v>19317</v>
      </c>
      <c r="L614" s="71"/>
      <c r="M614" s="72"/>
      <c r="N614" s="72"/>
      <c r="O614" s="73"/>
      <c r="P614" s="74"/>
      <c r="Q614" s="74"/>
      <c r="R614" s="86"/>
      <c r="S614" s="86"/>
      <c r="T614" s="86"/>
      <c r="U614" s="86"/>
      <c r="V614" s="48"/>
      <c r="W614" s="48"/>
      <c r="X614" s="48"/>
      <c r="Y614" s="48"/>
      <c r="Z614" s="47"/>
      <c r="AA614" s="69">
        <v>614</v>
      </c>
      <c r="AB614" s="69"/>
      <c r="AC614" s="70"/>
      <c r="AD614" s="76" t="s">
        <v>17040</v>
      </c>
      <c r="AE614" s="81" t="s">
        <v>17376</v>
      </c>
      <c r="AF614" s="76">
        <v>1164811</v>
      </c>
      <c r="AG614" s="76">
        <v>1622</v>
      </c>
      <c r="AH614" s="76">
        <v>599443</v>
      </c>
      <c r="AI614" s="76">
        <v>15365</v>
      </c>
      <c r="AJ614" s="76">
        <v>1081</v>
      </c>
      <c r="AK614" s="76">
        <v>58235</v>
      </c>
      <c r="AL614" s="76" t="b">
        <v>0</v>
      </c>
      <c r="AM614" s="78">
        <v>39779.517858796295</v>
      </c>
      <c r="AN614" s="76" t="s">
        <v>17434</v>
      </c>
      <c r="AO614" s="76" t="s">
        <v>18193</v>
      </c>
      <c r="AP614" s="83" t="str">
        <f>HYPERLINK("https://t.co/YyJhdSd3pu")</f>
        <v>https://t.co/YyJhdSd3pu</v>
      </c>
      <c r="AQ614" s="83" t="str">
        <f>HYPERLINK("http://www.publico.es")</f>
        <v>http://www.publico.es</v>
      </c>
      <c r="AR614" s="76" t="s">
        <v>6551</v>
      </c>
      <c r="AS614" s="76"/>
      <c r="AT614" s="76"/>
      <c r="AU614" s="76"/>
      <c r="AV614" s="76"/>
      <c r="AW614" s="83" t="str">
        <f>HYPERLINK("https://t.co/YyJhdSd3pu")</f>
        <v>https://t.co/YyJhdSd3pu</v>
      </c>
      <c r="AX614" s="76" t="b">
        <v>1</v>
      </c>
      <c r="AY614" s="76"/>
      <c r="AZ614" s="76"/>
      <c r="BA614" s="76" t="b">
        <v>0</v>
      </c>
      <c r="BB614" s="76" t="b">
        <v>1</v>
      </c>
      <c r="BC614" s="76" t="b">
        <v>0</v>
      </c>
      <c r="BD614" s="76" t="b">
        <v>0</v>
      </c>
      <c r="BE614" s="76" t="b">
        <v>1</v>
      </c>
      <c r="BF614" s="76" t="b">
        <v>0</v>
      </c>
      <c r="BG614" s="76" t="b">
        <v>0</v>
      </c>
      <c r="BH614" s="83" t="str">
        <f>HYPERLINK("https://pbs.twimg.com/profile_banners/17676713/1688334936")</f>
        <v>https://pbs.twimg.com/profile_banners/17676713/1688334936</v>
      </c>
      <c r="BI614" s="76"/>
      <c r="BJ614" s="76" t="s">
        <v>18704</v>
      </c>
      <c r="BK614" s="76" t="b">
        <v>0</v>
      </c>
      <c r="BL614" s="76"/>
      <c r="BM614" s="76" t="s">
        <v>65</v>
      </c>
      <c r="BN614" s="76" t="s">
        <v>18706</v>
      </c>
      <c r="BO614" s="83" t="str">
        <f>HYPERLINK("https://twitter.com/publico_es")</f>
        <v>https://twitter.com/publico_es</v>
      </c>
      <c r="BP614" s="2"/>
    </row>
    <row r="615" spans="1:68" x14ac:dyDescent="0.25">
      <c r="A615" s="62" t="s">
        <v>684</v>
      </c>
      <c r="B615" s="63"/>
      <c r="C615" s="63"/>
      <c r="D615" s="64"/>
      <c r="E615" s="66"/>
      <c r="F615" s="102" t="str">
        <f>HYPERLINK("https://pbs.twimg.com/profile_images/1597647563271831552/GDFr4t8D_normal.jpg")</f>
        <v>https://pbs.twimg.com/profile_images/1597647563271831552/GDFr4t8D_normal.jpg</v>
      </c>
      <c r="G615" s="63"/>
      <c r="H615" s="67"/>
      <c r="I615" s="68"/>
      <c r="J615" s="68"/>
      <c r="K615" s="67" t="s">
        <v>19318</v>
      </c>
      <c r="L615" s="71"/>
      <c r="M615" s="72"/>
      <c r="N615" s="72"/>
      <c r="O615" s="73"/>
      <c r="P615" s="74"/>
      <c r="Q615" s="74"/>
      <c r="R615" s="86"/>
      <c r="S615" s="86"/>
      <c r="T615" s="86"/>
      <c r="U615" s="86"/>
      <c r="V615" s="48"/>
      <c r="W615" s="48"/>
      <c r="X615" s="48"/>
      <c r="Y615" s="48"/>
      <c r="Z615" s="47"/>
      <c r="AA615" s="69">
        <v>615</v>
      </c>
      <c r="AB615" s="69"/>
      <c r="AC615" s="70"/>
      <c r="AD615" s="76" t="s">
        <v>17041</v>
      </c>
      <c r="AE615" s="81" t="s">
        <v>16369</v>
      </c>
      <c r="AF615" s="76">
        <v>62043</v>
      </c>
      <c r="AG615" s="76">
        <v>727</v>
      </c>
      <c r="AH615" s="76">
        <v>21776</v>
      </c>
      <c r="AI615" s="76">
        <v>172</v>
      </c>
      <c r="AJ615" s="76">
        <v>4250</v>
      </c>
      <c r="AK615" s="76">
        <v>14278</v>
      </c>
      <c r="AL615" s="76" t="b">
        <v>0</v>
      </c>
      <c r="AM615" s="78">
        <v>42546.680462962962</v>
      </c>
      <c r="AN615" s="76" t="s">
        <v>17493</v>
      </c>
      <c r="AO615" s="76" t="s">
        <v>18194</v>
      </c>
      <c r="AP615" s="83" t="str">
        <f>HYPERLINK("https://t.co/OpxbT9A8Rg")</f>
        <v>https://t.co/OpxbT9A8Rg</v>
      </c>
      <c r="AQ615" s="83" t="str">
        <f>HYPERLINK("https://www.ecuavisa.com/programas/nuestros-noticieros/politicamente-correcto")</f>
        <v>https://www.ecuavisa.com/programas/nuestros-noticieros/politicamente-correcto</v>
      </c>
      <c r="AR615" s="76" t="s">
        <v>18596</v>
      </c>
      <c r="AS615" s="76"/>
      <c r="AT615" s="76"/>
      <c r="AU615" s="76"/>
      <c r="AV615" s="76">
        <v>1.70599047716451E+18</v>
      </c>
      <c r="AW615" s="83" t="str">
        <f>HYPERLINK("https://t.co/OpxbT9A8Rg")</f>
        <v>https://t.co/OpxbT9A8Rg</v>
      </c>
      <c r="AX615" s="76" t="b">
        <v>1</v>
      </c>
      <c r="AY615" s="76"/>
      <c r="AZ615" s="76"/>
      <c r="BA615" s="76" t="b">
        <v>1</v>
      </c>
      <c r="BB615" s="76" t="b">
        <v>0</v>
      </c>
      <c r="BC615" s="76" t="b">
        <v>0</v>
      </c>
      <c r="BD615" s="76" t="b">
        <v>0</v>
      </c>
      <c r="BE615" s="76" t="b">
        <v>0</v>
      </c>
      <c r="BF615" s="76" t="b">
        <v>0</v>
      </c>
      <c r="BG615" s="76" t="b">
        <v>0</v>
      </c>
      <c r="BH615" s="83" t="str">
        <f>HYPERLINK("https://pbs.twimg.com/profile_banners/746739697028894721/1554905434")</f>
        <v>https://pbs.twimg.com/profile_banners/746739697028894721/1554905434</v>
      </c>
      <c r="BI615" s="76"/>
      <c r="BJ615" s="76" t="s">
        <v>18704</v>
      </c>
      <c r="BK615" s="76" t="b">
        <v>0</v>
      </c>
      <c r="BL615" s="76"/>
      <c r="BM615" s="76" t="s">
        <v>66</v>
      </c>
      <c r="BN615" s="76" t="s">
        <v>18706</v>
      </c>
      <c r="BO615" s="83" t="str">
        <f>HYPERLINK("https://twitter.com/politikcorrecta")</f>
        <v>https://twitter.com/politikcorrecta</v>
      </c>
      <c r="BP615" s="2"/>
    </row>
    <row r="616" spans="1:68" x14ac:dyDescent="0.25">
      <c r="A616" s="62" t="s">
        <v>886</v>
      </c>
      <c r="B616" s="63"/>
      <c r="C616" s="63"/>
      <c r="D616" s="64"/>
      <c r="E616" s="66"/>
      <c r="F616" s="102" t="str">
        <f>HYPERLINK("https://pbs.twimg.com/profile_images/1695182192857448448/-4USZ-Cy_normal.jpg")</f>
        <v>https://pbs.twimg.com/profile_images/1695182192857448448/-4USZ-Cy_normal.jpg</v>
      </c>
      <c r="G616" s="63"/>
      <c r="H616" s="67"/>
      <c r="I616" s="68"/>
      <c r="J616" s="68"/>
      <c r="K616" s="67" t="s">
        <v>19319</v>
      </c>
      <c r="L616" s="71"/>
      <c r="M616" s="72"/>
      <c r="N616" s="72"/>
      <c r="O616" s="73"/>
      <c r="P616" s="74"/>
      <c r="Q616" s="74"/>
      <c r="R616" s="86"/>
      <c r="S616" s="86"/>
      <c r="T616" s="86"/>
      <c r="U616" s="86"/>
      <c r="V616" s="48"/>
      <c r="W616" s="48"/>
      <c r="X616" s="48"/>
      <c r="Y616" s="48"/>
      <c r="Z616" s="47"/>
      <c r="AA616" s="69">
        <v>616</v>
      </c>
      <c r="AB616" s="69"/>
      <c r="AC616" s="70"/>
      <c r="AD616" s="76" t="s">
        <v>17042</v>
      </c>
      <c r="AE616" s="81" t="s">
        <v>17377</v>
      </c>
      <c r="AF616" s="76">
        <v>567326</v>
      </c>
      <c r="AG616" s="76">
        <v>109</v>
      </c>
      <c r="AH616" s="76">
        <v>2637</v>
      </c>
      <c r="AI616" s="76">
        <v>258</v>
      </c>
      <c r="AJ616" s="76">
        <v>4899</v>
      </c>
      <c r="AK616" s="76">
        <v>1196</v>
      </c>
      <c r="AL616" s="76" t="b">
        <v>0</v>
      </c>
      <c r="AM616" s="78">
        <v>40562.51766203704</v>
      </c>
      <c r="AN616" s="76" t="s">
        <v>17499</v>
      </c>
      <c r="AO616" s="76" t="s">
        <v>18195</v>
      </c>
      <c r="AP616" s="76"/>
      <c r="AQ616" s="76"/>
      <c r="AR616" s="76"/>
      <c r="AS616" s="76"/>
      <c r="AT616" s="76"/>
      <c r="AU616" s="76"/>
      <c r="AV616" s="76"/>
      <c r="AW616" s="76"/>
      <c r="AX616" s="76" t="b">
        <v>1</v>
      </c>
      <c r="AY616" s="76"/>
      <c r="AZ616" s="76"/>
      <c r="BA616" s="76" t="b">
        <v>1</v>
      </c>
      <c r="BB616" s="76" t="b">
        <v>0</v>
      </c>
      <c r="BC616" s="76" t="b">
        <v>1</v>
      </c>
      <c r="BD616" s="76" t="b">
        <v>0</v>
      </c>
      <c r="BE616" s="76" t="b">
        <v>1</v>
      </c>
      <c r="BF616" s="76" t="b">
        <v>0</v>
      </c>
      <c r="BG616" s="76" t="b">
        <v>0</v>
      </c>
      <c r="BH616" s="76"/>
      <c r="BI616" s="76"/>
      <c r="BJ616" s="76" t="s">
        <v>18704</v>
      </c>
      <c r="BK616" s="76" t="b">
        <v>0</v>
      </c>
      <c r="BL616" s="76"/>
      <c r="BM616" s="76" t="s">
        <v>65</v>
      </c>
      <c r="BN616" s="76" t="s">
        <v>18706</v>
      </c>
      <c r="BO616" s="83" t="str">
        <f>HYPERLINK("https://twitter.com/ottosonnenh")</f>
        <v>https://twitter.com/ottosonnenh</v>
      </c>
      <c r="BP616" s="2"/>
    </row>
    <row r="617" spans="1:68" x14ac:dyDescent="0.25">
      <c r="A617" s="62" t="s">
        <v>887</v>
      </c>
      <c r="B617" s="63"/>
      <c r="C617" s="63"/>
      <c r="D617" s="64"/>
      <c r="E617" s="66"/>
      <c r="F617" s="102" t="str">
        <f>HYPERLINK("https://pbs.twimg.com/profile_images/1530222608112820226/YMYHikdm_normal.jpg")</f>
        <v>https://pbs.twimg.com/profile_images/1530222608112820226/YMYHikdm_normal.jpg</v>
      </c>
      <c r="G617" s="63"/>
      <c r="H617" s="67"/>
      <c r="I617" s="68"/>
      <c r="J617" s="68"/>
      <c r="K617" s="67" t="s">
        <v>19320</v>
      </c>
      <c r="L617" s="71"/>
      <c r="M617" s="72"/>
      <c r="N617" s="72"/>
      <c r="O617" s="73"/>
      <c r="P617" s="74"/>
      <c r="Q617" s="74"/>
      <c r="R617" s="86"/>
      <c r="S617" s="86"/>
      <c r="T617" s="86"/>
      <c r="U617" s="86"/>
      <c r="V617" s="48"/>
      <c r="W617" s="48"/>
      <c r="X617" s="48"/>
      <c r="Y617" s="48"/>
      <c r="Z617" s="47"/>
      <c r="AA617" s="69">
        <v>617</v>
      </c>
      <c r="AB617" s="69"/>
      <c r="AC617" s="70"/>
      <c r="AD617" s="76" t="s">
        <v>17043</v>
      </c>
      <c r="AE617" s="81" t="s">
        <v>17378</v>
      </c>
      <c r="AF617" s="76">
        <v>1920</v>
      </c>
      <c r="AG617" s="76">
        <v>1494</v>
      </c>
      <c r="AH617" s="76">
        <v>2371</v>
      </c>
      <c r="AI617" s="76">
        <v>18</v>
      </c>
      <c r="AJ617" s="76">
        <v>1413</v>
      </c>
      <c r="AK617" s="76">
        <v>260</v>
      </c>
      <c r="AL617" s="76" t="b">
        <v>0</v>
      </c>
      <c r="AM617" s="78">
        <v>39981.619884259257</v>
      </c>
      <c r="AN617" s="76" t="s">
        <v>17493</v>
      </c>
      <c r="AO617" s="76" t="s">
        <v>18196</v>
      </c>
      <c r="AP617" s="76"/>
      <c r="AQ617" s="76"/>
      <c r="AR617" s="76"/>
      <c r="AS617" s="76"/>
      <c r="AT617" s="76"/>
      <c r="AU617" s="76"/>
      <c r="AV617" s="76"/>
      <c r="AW617" s="76"/>
      <c r="AX617" s="76" t="b">
        <v>0</v>
      </c>
      <c r="AY617" s="76"/>
      <c r="AZ617" s="76"/>
      <c r="BA617" s="76" t="b">
        <v>0</v>
      </c>
      <c r="BB617" s="76" t="b">
        <v>1</v>
      </c>
      <c r="BC617" s="76" t="b">
        <v>0</v>
      </c>
      <c r="BD617" s="76" t="b">
        <v>0</v>
      </c>
      <c r="BE617" s="76" t="b">
        <v>1</v>
      </c>
      <c r="BF617" s="76" t="b">
        <v>0</v>
      </c>
      <c r="BG617" s="76" t="b">
        <v>0</v>
      </c>
      <c r="BH617" s="83" t="str">
        <f>HYPERLINK("https://pbs.twimg.com/profile_banners/47984619/1682184769")</f>
        <v>https://pbs.twimg.com/profile_banners/47984619/1682184769</v>
      </c>
      <c r="BI617" s="76"/>
      <c r="BJ617" s="76" t="s">
        <v>18704</v>
      </c>
      <c r="BK617" s="76" t="b">
        <v>0</v>
      </c>
      <c r="BL617" s="76"/>
      <c r="BM617" s="76" t="s">
        <v>65</v>
      </c>
      <c r="BN617" s="76" t="s">
        <v>18706</v>
      </c>
      <c r="BO617" s="83" t="str">
        <f>HYPERLINK("https://twitter.com/juanchoriva")</f>
        <v>https://twitter.com/juanchoriva</v>
      </c>
      <c r="BP617" s="2"/>
    </row>
    <row r="618" spans="1:68" x14ac:dyDescent="0.25">
      <c r="A618" s="62" t="s">
        <v>685</v>
      </c>
      <c r="B618" s="63"/>
      <c r="C618" s="63"/>
      <c r="D618" s="64"/>
      <c r="E618" s="66"/>
      <c r="F618" s="102" t="str">
        <f>HYPERLINK("https://pbs.twimg.com/profile_images/1702065290144612352/Jjwffx4M_normal.jpg")</f>
        <v>https://pbs.twimg.com/profile_images/1702065290144612352/Jjwffx4M_normal.jpg</v>
      </c>
      <c r="G618" s="63"/>
      <c r="H618" s="67"/>
      <c r="I618" s="68"/>
      <c r="J618" s="68"/>
      <c r="K618" s="67" t="s">
        <v>19321</v>
      </c>
      <c r="L618" s="71"/>
      <c r="M618" s="72"/>
      <c r="N618" s="72"/>
      <c r="O618" s="73"/>
      <c r="P618" s="74"/>
      <c r="Q618" s="74"/>
      <c r="R618" s="86"/>
      <c r="S618" s="86"/>
      <c r="T618" s="86"/>
      <c r="U618" s="86"/>
      <c r="V618" s="48"/>
      <c r="W618" s="48"/>
      <c r="X618" s="48"/>
      <c r="Y618" s="48"/>
      <c r="Z618" s="47"/>
      <c r="AA618" s="69">
        <v>618</v>
      </c>
      <c r="AB618" s="69"/>
      <c r="AC618" s="70"/>
      <c r="AD618" s="76" t="s">
        <v>17044</v>
      </c>
      <c r="AE618" s="81" t="s">
        <v>16370</v>
      </c>
      <c r="AF618" s="76">
        <v>0</v>
      </c>
      <c r="AG618" s="76">
        <v>0</v>
      </c>
      <c r="AH618" s="76">
        <v>1</v>
      </c>
      <c r="AI618" s="76">
        <v>0</v>
      </c>
      <c r="AJ618" s="76">
        <v>0</v>
      </c>
      <c r="AK618" s="76">
        <v>1</v>
      </c>
      <c r="AL618" s="76" t="b">
        <v>0</v>
      </c>
      <c r="AM618" s="78">
        <v>45182.669571759259</v>
      </c>
      <c r="AN618" s="76"/>
      <c r="AO618" s="76" t="s">
        <v>18197</v>
      </c>
      <c r="AP618" s="83" t="str">
        <f>HYPERLINK("https://t.co/0EkS8LP2ap")</f>
        <v>https://t.co/0EkS8LP2ap</v>
      </c>
      <c r="AQ618" s="83" t="str">
        <f>HYPERLINK("https://youtube.com/@EducacaoSemSistema?si=tV3kTa0B1UpuSdbp")</f>
        <v>https://youtube.com/@EducacaoSemSistema?si=tV3kTa0B1UpuSdbp</v>
      </c>
      <c r="AR618" s="76" t="s">
        <v>18597</v>
      </c>
      <c r="AS618" s="76"/>
      <c r="AT618" s="76"/>
      <c r="AU618" s="76"/>
      <c r="AV618" s="76"/>
      <c r="AW618" s="83" t="str">
        <f>HYPERLINK("https://t.co/0EkS8LP2ap")</f>
        <v>https://t.co/0EkS8LP2ap</v>
      </c>
      <c r="AX618" s="76" t="b">
        <v>0</v>
      </c>
      <c r="AY618" s="76"/>
      <c r="AZ618" s="76"/>
      <c r="BA618" s="76" t="b">
        <v>0</v>
      </c>
      <c r="BB618" s="76" t="b">
        <v>1</v>
      </c>
      <c r="BC618" s="76" t="b">
        <v>1</v>
      </c>
      <c r="BD618" s="76" t="b">
        <v>0</v>
      </c>
      <c r="BE618" s="76" t="b">
        <v>0</v>
      </c>
      <c r="BF618" s="76" t="b">
        <v>0</v>
      </c>
      <c r="BG618" s="76" t="b">
        <v>0</v>
      </c>
      <c r="BH618" s="83" t="str">
        <f>HYPERLINK("https://pbs.twimg.com/profile_banners/1701989545263136768/1694638962")</f>
        <v>https://pbs.twimg.com/profile_banners/1701989545263136768/1694638962</v>
      </c>
      <c r="BI618" s="76"/>
      <c r="BJ618" s="76" t="s">
        <v>18704</v>
      </c>
      <c r="BK618" s="76" t="b">
        <v>0</v>
      </c>
      <c r="BL618" s="76"/>
      <c r="BM618" s="76" t="s">
        <v>66</v>
      </c>
      <c r="BN618" s="76" t="s">
        <v>18706</v>
      </c>
      <c r="BO618" s="83" t="str">
        <f>HYPERLINK("https://twitter.com/educacaosemsist")</f>
        <v>https://twitter.com/educacaosemsist</v>
      </c>
      <c r="BP618" s="2"/>
    </row>
    <row r="619" spans="1:68" x14ac:dyDescent="0.25">
      <c r="A619" s="62" t="s">
        <v>686</v>
      </c>
      <c r="B619" s="63"/>
      <c r="C619" s="63"/>
      <c r="D619" s="64"/>
      <c r="E619" s="66"/>
      <c r="F619" s="102" t="str">
        <f>HYPERLINK("https://pbs.twimg.com/profile_images/1247173001415667712/7ED1DSXO_normal.jpg")</f>
        <v>https://pbs.twimg.com/profile_images/1247173001415667712/7ED1DSXO_normal.jpg</v>
      </c>
      <c r="G619" s="63"/>
      <c r="H619" s="67"/>
      <c r="I619" s="68"/>
      <c r="J619" s="68"/>
      <c r="K619" s="67" t="s">
        <v>19322</v>
      </c>
      <c r="L619" s="71"/>
      <c r="M619" s="72"/>
      <c r="N619" s="72"/>
      <c r="O619" s="73"/>
      <c r="P619" s="74"/>
      <c r="Q619" s="74"/>
      <c r="R619" s="86"/>
      <c r="S619" s="86"/>
      <c r="T619" s="86"/>
      <c r="U619" s="86"/>
      <c r="V619" s="48"/>
      <c r="W619" s="48"/>
      <c r="X619" s="48"/>
      <c r="Y619" s="48"/>
      <c r="Z619" s="47"/>
      <c r="AA619" s="69">
        <v>619</v>
      </c>
      <c r="AB619" s="69"/>
      <c r="AC619" s="70"/>
      <c r="AD619" s="76" t="s">
        <v>17045</v>
      </c>
      <c r="AE619" s="81" t="s">
        <v>17379</v>
      </c>
      <c r="AF619" s="76">
        <v>8684</v>
      </c>
      <c r="AG619" s="76">
        <v>7961</v>
      </c>
      <c r="AH619" s="76">
        <v>631078</v>
      </c>
      <c r="AI619" s="76">
        <v>245</v>
      </c>
      <c r="AJ619" s="76">
        <v>6862</v>
      </c>
      <c r="AK619" s="76">
        <v>27264</v>
      </c>
      <c r="AL619" s="76" t="b">
        <v>0</v>
      </c>
      <c r="AM619" s="78">
        <v>39931.949074074073</v>
      </c>
      <c r="AN619" s="76" t="s">
        <v>17477</v>
      </c>
      <c r="AO619" s="76" t="s">
        <v>18198</v>
      </c>
      <c r="AP619" s="83" t="str">
        <f>HYPERLINK("https://t.co/h6IYVC98lL")</f>
        <v>https://t.co/h6IYVC98lL</v>
      </c>
      <c r="AQ619" s="83" t="str">
        <f>HYPERLINK("https://www.youtube.com/@opinionenserio5005")</f>
        <v>https://www.youtube.com/@opinionenserio5005</v>
      </c>
      <c r="AR619" s="76" t="s">
        <v>18598</v>
      </c>
      <c r="AS619" s="76"/>
      <c r="AT619" s="76"/>
      <c r="AU619" s="76"/>
      <c r="AV619" s="76"/>
      <c r="AW619" s="83" t="str">
        <f>HYPERLINK("https://t.co/h6IYVC98lL")</f>
        <v>https://t.co/h6IYVC98lL</v>
      </c>
      <c r="AX619" s="76" t="b">
        <v>0</v>
      </c>
      <c r="AY619" s="76"/>
      <c r="AZ619" s="76"/>
      <c r="BA619" s="76" t="b">
        <v>0</v>
      </c>
      <c r="BB619" s="76" t="b">
        <v>1</v>
      </c>
      <c r="BC619" s="76" t="b">
        <v>0</v>
      </c>
      <c r="BD619" s="76" t="b">
        <v>0</v>
      </c>
      <c r="BE619" s="76" t="b">
        <v>1</v>
      </c>
      <c r="BF619" s="76" t="b">
        <v>0</v>
      </c>
      <c r="BG619" s="76" t="b">
        <v>0</v>
      </c>
      <c r="BH619" s="83" t="str">
        <f>HYPERLINK("https://pbs.twimg.com/profile_banners/36204276/1586143619")</f>
        <v>https://pbs.twimg.com/profile_banners/36204276/1586143619</v>
      </c>
      <c r="BI619" s="76"/>
      <c r="BJ619" s="76" t="s">
        <v>18704</v>
      </c>
      <c r="BK619" s="76" t="b">
        <v>0</v>
      </c>
      <c r="BL619" s="76"/>
      <c r="BM619" s="76" t="s">
        <v>66</v>
      </c>
      <c r="BN619" s="76" t="s">
        <v>18706</v>
      </c>
      <c r="BO619" s="83" t="str">
        <f>HYPERLINK("https://twitter.com/elbote")</f>
        <v>https://twitter.com/elbote</v>
      </c>
      <c r="BP619" s="2"/>
    </row>
    <row r="620" spans="1:68" x14ac:dyDescent="0.25">
      <c r="A620" s="62" t="s">
        <v>888</v>
      </c>
      <c r="B620" s="63"/>
      <c r="C620" s="63"/>
      <c r="D620" s="64"/>
      <c r="E620" s="66"/>
      <c r="F620" s="102" t="str">
        <f>HYPERLINK("https://pbs.twimg.com/profile_images/1648510559300509698/WjU2b83E_normal.png")</f>
        <v>https://pbs.twimg.com/profile_images/1648510559300509698/WjU2b83E_normal.png</v>
      </c>
      <c r="G620" s="63"/>
      <c r="H620" s="67"/>
      <c r="I620" s="68"/>
      <c r="J620" s="68"/>
      <c r="K620" s="67" t="s">
        <v>19323</v>
      </c>
      <c r="L620" s="71"/>
      <c r="M620" s="72"/>
      <c r="N620" s="72"/>
      <c r="O620" s="73"/>
      <c r="P620" s="74"/>
      <c r="Q620" s="74"/>
      <c r="R620" s="86"/>
      <c r="S620" s="86"/>
      <c r="T620" s="86"/>
      <c r="U620" s="86"/>
      <c r="V620" s="48"/>
      <c r="W620" s="48"/>
      <c r="X620" s="48"/>
      <c r="Y620" s="48"/>
      <c r="Z620" s="47"/>
      <c r="AA620" s="69">
        <v>620</v>
      </c>
      <c r="AB620" s="69"/>
      <c r="AC620" s="70"/>
      <c r="AD620" s="76" t="s">
        <v>17046</v>
      </c>
      <c r="AE620" s="81" t="s">
        <v>17380</v>
      </c>
      <c r="AF620" s="76">
        <v>1947683</v>
      </c>
      <c r="AG620" s="76">
        <v>375</v>
      </c>
      <c r="AH620" s="76">
        <v>93212</v>
      </c>
      <c r="AI620" s="76">
        <v>3580</v>
      </c>
      <c r="AJ620" s="76">
        <v>955</v>
      </c>
      <c r="AK620" s="76">
        <v>52103</v>
      </c>
      <c r="AL620" s="76" t="b">
        <v>0</v>
      </c>
      <c r="AM620" s="78">
        <v>41551.952847222223</v>
      </c>
      <c r="AN620" s="76"/>
      <c r="AO620" s="76" t="s">
        <v>18199</v>
      </c>
      <c r="AP620" s="83" t="str">
        <f>HYPERLINK("https://t.co/nZIVt8bM46")</f>
        <v>https://t.co/nZIVt8bM46</v>
      </c>
      <c r="AQ620" s="83" t="str">
        <f>HYPERLINK("http://www.radioformula.com.mx")</f>
        <v>http://www.radioformula.com.mx</v>
      </c>
      <c r="AR620" s="76" t="s">
        <v>18599</v>
      </c>
      <c r="AS620" s="76"/>
      <c r="AT620" s="76"/>
      <c r="AU620" s="76"/>
      <c r="AV620" s="76">
        <v>1.7072512486158001E+18</v>
      </c>
      <c r="AW620" s="83" t="str">
        <f>HYPERLINK("https://t.co/nZIVt8bM46")</f>
        <v>https://t.co/nZIVt8bM46</v>
      </c>
      <c r="AX620" s="76" t="b">
        <v>1</v>
      </c>
      <c r="AY620" s="76"/>
      <c r="AZ620" s="76"/>
      <c r="BA620" s="76" t="b">
        <v>0</v>
      </c>
      <c r="BB620" s="76" t="b">
        <v>1</v>
      </c>
      <c r="BC620" s="76" t="b">
        <v>0</v>
      </c>
      <c r="BD620" s="76" t="b">
        <v>0</v>
      </c>
      <c r="BE620" s="76" t="b">
        <v>1</v>
      </c>
      <c r="BF620" s="76" t="b">
        <v>0</v>
      </c>
      <c r="BG620" s="76" t="b">
        <v>0</v>
      </c>
      <c r="BH620" s="83" t="str">
        <f>HYPERLINK("https://pbs.twimg.com/profile_banners/1935742783/1672970854")</f>
        <v>https://pbs.twimg.com/profile_banners/1935742783/1672970854</v>
      </c>
      <c r="BI620" s="76"/>
      <c r="BJ620" s="76" t="s">
        <v>18704</v>
      </c>
      <c r="BK620" s="76" t="b">
        <v>0</v>
      </c>
      <c r="BL620" s="76"/>
      <c r="BM620" s="76" t="s">
        <v>65</v>
      </c>
      <c r="BN620" s="76" t="s">
        <v>18706</v>
      </c>
      <c r="BO620" s="83" t="str">
        <f>HYPERLINK("https://twitter.com/cirogomezl")</f>
        <v>https://twitter.com/cirogomezl</v>
      </c>
      <c r="BP620" s="2"/>
    </row>
    <row r="621" spans="1:68" x14ac:dyDescent="0.25">
      <c r="A621" s="62" t="s">
        <v>687</v>
      </c>
      <c r="B621" s="63"/>
      <c r="C621" s="63"/>
      <c r="D621" s="64"/>
      <c r="E621" s="66"/>
      <c r="F621" s="102" t="str">
        <f>HYPERLINK("https://pbs.twimg.com/profile_images/1694699476663914496/pAhGWDTb_normal.jpg")</f>
        <v>https://pbs.twimg.com/profile_images/1694699476663914496/pAhGWDTb_normal.jpg</v>
      </c>
      <c r="G621" s="63"/>
      <c r="H621" s="67"/>
      <c r="I621" s="68"/>
      <c r="J621" s="68"/>
      <c r="K621" s="67" t="s">
        <v>19324</v>
      </c>
      <c r="L621" s="71"/>
      <c r="M621" s="72"/>
      <c r="N621" s="72"/>
      <c r="O621" s="73"/>
      <c r="P621" s="74"/>
      <c r="Q621" s="74"/>
      <c r="R621" s="86"/>
      <c r="S621" s="86"/>
      <c r="T621" s="86"/>
      <c r="U621" s="86"/>
      <c r="V621" s="48"/>
      <c r="W621" s="48"/>
      <c r="X621" s="48"/>
      <c r="Y621" s="48"/>
      <c r="Z621" s="47"/>
      <c r="AA621" s="69">
        <v>621</v>
      </c>
      <c r="AB621" s="69"/>
      <c r="AC621" s="70"/>
      <c r="AD621" s="76" t="s">
        <v>17047</v>
      </c>
      <c r="AE621" s="81" t="s">
        <v>16371</v>
      </c>
      <c r="AF621" s="76">
        <v>4781</v>
      </c>
      <c r="AG621" s="76">
        <v>18</v>
      </c>
      <c r="AH621" s="76">
        <v>17061</v>
      </c>
      <c r="AI621" s="76">
        <v>48</v>
      </c>
      <c r="AJ621" s="76">
        <v>233</v>
      </c>
      <c r="AK621" s="76">
        <v>973</v>
      </c>
      <c r="AL621" s="76" t="b">
        <v>0</v>
      </c>
      <c r="AM621" s="78">
        <v>44434.865127314813</v>
      </c>
      <c r="AN621" s="76" t="s">
        <v>10586</v>
      </c>
      <c r="AO621" s="76" t="s">
        <v>18200</v>
      </c>
      <c r="AP621" s="83" t="str">
        <f>HYPERLINK("https://t.co/U9FwGQUhSH")</f>
        <v>https://t.co/U9FwGQUhSH</v>
      </c>
      <c r="AQ621" s="83" t="str">
        <f>HYPERLINK("https://inteligenciafinanceira.com.br/")</f>
        <v>https://inteligenciafinanceira.com.br/</v>
      </c>
      <c r="AR621" s="76" t="s">
        <v>18600</v>
      </c>
      <c r="AS621" s="76"/>
      <c r="AT621" s="76"/>
      <c r="AU621" s="76"/>
      <c r="AV621" s="76"/>
      <c r="AW621" s="83" t="str">
        <f>HYPERLINK("https://t.co/U9FwGQUhSH")</f>
        <v>https://t.co/U9FwGQUhSH</v>
      </c>
      <c r="AX621" s="76" t="b">
        <v>0</v>
      </c>
      <c r="AY621" s="76"/>
      <c r="AZ621" s="76"/>
      <c r="BA621" s="76" t="b">
        <v>0</v>
      </c>
      <c r="BB621" s="76" t="b">
        <v>0</v>
      </c>
      <c r="BC621" s="76" t="b">
        <v>1</v>
      </c>
      <c r="BD621" s="76" t="b">
        <v>0</v>
      </c>
      <c r="BE621" s="76" t="b">
        <v>1</v>
      </c>
      <c r="BF621" s="76" t="b">
        <v>0</v>
      </c>
      <c r="BG621" s="76" t="b">
        <v>0</v>
      </c>
      <c r="BH621" s="83" t="str">
        <f>HYPERLINK("https://pbs.twimg.com/profile_banners/1430994486277156879/1692882816")</f>
        <v>https://pbs.twimg.com/profile_banners/1430994486277156879/1692882816</v>
      </c>
      <c r="BI621" s="76"/>
      <c r="BJ621" s="76" t="s">
        <v>18704</v>
      </c>
      <c r="BK621" s="76" t="b">
        <v>0</v>
      </c>
      <c r="BL621" s="76"/>
      <c r="BM621" s="76" t="s">
        <v>66</v>
      </c>
      <c r="BN621" s="76" t="s">
        <v>18706</v>
      </c>
      <c r="BO621" s="83" t="str">
        <f>HYPERLINK("https://twitter.com/sigaif")</f>
        <v>https://twitter.com/sigaif</v>
      </c>
      <c r="BP621" s="2"/>
    </row>
    <row r="622" spans="1:68" x14ac:dyDescent="0.25">
      <c r="A622" s="62" t="s">
        <v>688</v>
      </c>
      <c r="B622" s="63"/>
      <c r="C622" s="63"/>
      <c r="D622" s="64"/>
      <c r="E622" s="66"/>
      <c r="F622" s="102" t="str">
        <f>HYPERLINK("https://pbs.twimg.com/profile_images/1620068456165933060/TShADQck_normal.jpg")</f>
        <v>https://pbs.twimg.com/profile_images/1620068456165933060/TShADQck_normal.jpg</v>
      </c>
      <c r="G622" s="63"/>
      <c r="H622" s="67"/>
      <c r="I622" s="68"/>
      <c r="J622" s="68"/>
      <c r="K622" s="67" t="s">
        <v>19325</v>
      </c>
      <c r="L622" s="71"/>
      <c r="M622" s="72"/>
      <c r="N622" s="72"/>
      <c r="O622" s="73"/>
      <c r="P622" s="74"/>
      <c r="Q622" s="74"/>
      <c r="R622" s="86"/>
      <c r="S622" s="86"/>
      <c r="T622" s="86"/>
      <c r="U622" s="86"/>
      <c r="V622" s="48"/>
      <c r="W622" s="48"/>
      <c r="X622" s="48"/>
      <c r="Y622" s="48"/>
      <c r="Z622" s="47"/>
      <c r="AA622" s="69">
        <v>622</v>
      </c>
      <c r="AB622" s="69"/>
      <c r="AC622" s="70"/>
      <c r="AD622" s="76" t="s">
        <v>17048</v>
      </c>
      <c r="AE622" s="81" t="s">
        <v>16372</v>
      </c>
      <c r="AF622" s="76">
        <v>2367</v>
      </c>
      <c r="AG622" s="76">
        <v>0</v>
      </c>
      <c r="AH622" s="76">
        <v>3775</v>
      </c>
      <c r="AI622" s="76">
        <v>34</v>
      </c>
      <c r="AJ622" s="76">
        <v>27</v>
      </c>
      <c r="AK622" s="76">
        <v>223</v>
      </c>
      <c r="AL622" s="76" t="b">
        <v>0</v>
      </c>
      <c r="AM622" s="78">
        <v>44154.484259259261</v>
      </c>
      <c r="AN622" s="76"/>
      <c r="AO622" s="76" t="s">
        <v>18201</v>
      </c>
      <c r="AP622" s="83" t="str">
        <f>HYPERLINK("https://t.co/0uJ9BYJxkN")</f>
        <v>https://t.co/0uJ9BYJxkN</v>
      </c>
      <c r="AQ622" s="83" t="str">
        <f>HYPERLINK("http://flj.com.br")</f>
        <v>http://flj.com.br</v>
      </c>
      <c r="AR622" s="76" t="s">
        <v>18601</v>
      </c>
      <c r="AS622" s="76"/>
      <c r="AT622" s="76"/>
      <c r="AU622" s="76"/>
      <c r="AV622" s="76">
        <v>1.6201214122154099E+18</v>
      </c>
      <c r="AW622" s="83" t="str">
        <f>HYPERLINK("https://t.co/0uJ9BYJxkN")</f>
        <v>https://t.co/0uJ9BYJxkN</v>
      </c>
      <c r="AX622" s="76" t="b">
        <v>1</v>
      </c>
      <c r="AY622" s="76"/>
      <c r="AZ622" s="76"/>
      <c r="BA622" s="76" t="b">
        <v>1</v>
      </c>
      <c r="BB622" s="76" t="b">
        <v>1</v>
      </c>
      <c r="BC622" s="76" t="b">
        <v>1</v>
      </c>
      <c r="BD622" s="76" t="b">
        <v>0</v>
      </c>
      <c r="BE622" s="76" t="b">
        <v>0</v>
      </c>
      <c r="BF622" s="76" t="b">
        <v>0</v>
      </c>
      <c r="BG622" s="76" t="b">
        <v>0</v>
      </c>
      <c r="BH622" s="83" t="str">
        <f>HYPERLINK("https://pbs.twimg.com/profile_banners/1329388236519727105/1675271884")</f>
        <v>https://pbs.twimg.com/profile_banners/1329388236519727105/1675271884</v>
      </c>
      <c r="BI622" s="76"/>
      <c r="BJ622" s="76" t="s">
        <v>18704</v>
      </c>
      <c r="BK622" s="76" t="b">
        <v>0</v>
      </c>
      <c r="BL622" s="76"/>
      <c r="BM622" s="76" t="s">
        <v>66</v>
      </c>
      <c r="BN622" s="76" t="s">
        <v>18706</v>
      </c>
      <c r="BO622" s="83" t="str">
        <f>HYPERLINK("https://twitter.com/leiaflj")</f>
        <v>https://twitter.com/leiaflj</v>
      </c>
      <c r="BP622" s="2"/>
    </row>
    <row r="623" spans="1:68" x14ac:dyDescent="0.25">
      <c r="A623" s="62" t="s">
        <v>689</v>
      </c>
      <c r="B623" s="63"/>
      <c r="C623" s="63"/>
      <c r="D623" s="64"/>
      <c r="E623" s="66"/>
      <c r="F623" s="102" t="str">
        <f>HYPERLINK("https://pbs.twimg.com/profile_images/1578568165189160960/qHyDMnn6_normal.jpg")</f>
        <v>https://pbs.twimg.com/profile_images/1578568165189160960/qHyDMnn6_normal.jpg</v>
      </c>
      <c r="G623" s="63"/>
      <c r="H623" s="67"/>
      <c r="I623" s="68"/>
      <c r="J623" s="68"/>
      <c r="K623" s="67" t="s">
        <v>19326</v>
      </c>
      <c r="L623" s="71"/>
      <c r="M623" s="72"/>
      <c r="N623" s="72"/>
      <c r="O623" s="73"/>
      <c r="P623" s="74"/>
      <c r="Q623" s="74"/>
      <c r="R623" s="86"/>
      <c r="S623" s="86"/>
      <c r="T623" s="86"/>
      <c r="U623" s="86"/>
      <c r="V623" s="48"/>
      <c r="W623" s="48"/>
      <c r="X623" s="48"/>
      <c r="Y623" s="48"/>
      <c r="Z623" s="47"/>
      <c r="AA623" s="69">
        <v>623</v>
      </c>
      <c r="AB623" s="69"/>
      <c r="AC623" s="70"/>
      <c r="AD623" s="76" t="s">
        <v>17049</v>
      </c>
      <c r="AE623" s="81" t="s">
        <v>16373</v>
      </c>
      <c r="AF623" s="76">
        <v>92</v>
      </c>
      <c r="AG623" s="76">
        <v>48</v>
      </c>
      <c r="AH623" s="76">
        <v>262</v>
      </c>
      <c r="AI623" s="76">
        <v>1</v>
      </c>
      <c r="AJ623" s="76">
        <v>166</v>
      </c>
      <c r="AK623" s="76">
        <v>122</v>
      </c>
      <c r="AL623" s="76" t="b">
        <v>0</v>
      </c>
      <c r="AM623" s="78">
        <v>44524.992928240739</v>
      </c>
      <c r="AN623" s="76"/>
      <c r="AO623" s="76" t="s">
        <v>18202</v>
      </c>
      <c r="AP623" s="83" t="str">
        <f>HYPERLINK("https://t.co/EueS3Mf4Mh")</f>
        <v>https://t.co/EueS3Mf4Mh</v>
      </c>
      <c r="AQ623" s="83" t="str">
        <f>HYPERLINK("https://t.me/+FrV_6F7mR6s2ODMx")</f>
        <v>https://t.me/+FrV_6F7mR6s2ODMx</v>
      </c>
      <c r="AR623" s="76" t="s">
        <v>18602</v>
      </c>
      <c r="AS623" s="76"/>
      <c r="AT623" s="76"/>
      <c r="AU623" s="76"/>
      <c r="AV623" s="76">
        <v>1.6808341498992E+18</v>
      </c>
      <c r="AW623" s="83" t="str">
        <f>HYPERLINK("https://t.co/EueS3Mf4Mh")</f>
        <v>https://t.co/EueS3Mf4Mh</v>
      </c>
      <c r="AX623" s="76" t="b">
        <v>0</v>
      </c>
      <c r="AY623" s="76"/>
      <c r="AZ623" s="76"/>
      <c r="BA623" s="76" t="b">
        <v>0</v>
      </c>
      <c r="BB623" s="76" t="b">
        <v>1</v>
      </c>
      <c r="BC623" s="76" t="b">
        <v>1</v>
      </c>
      <c r="BD623" s="76" t="b">
        <v>0</v>
      </c>
      <c r="BE623" s="76" t="b">
        <v>0</v>
      </c>
      <c r="BF623" s="76" t="b">
        <v>0</v>
      </c>
      <c r="BG623" s="76" t="b">
        <v>0</v>
      </c>
      <c r="BH623" s="83" t="str">
        <f>HYPERLINK("https://pbs.twimg.com/profile_banners/1463656089136734208/1665196843")</f>
        <v>https://pbs.twimg.com/profile_banners/1463656089136734208/1665196843</v>
      </c>
      <c r="BI623" s="76"/>
      <c r="BJ623" s="76" t="s">
        <v>18704</v>
      </c>
      <c r="BK623" s="76" t="b">
        <v>0</v>
      </c>
      <c r="BL623" s="76"/>
      <c r="BM623" s="76" t="s">
        <v>66</v>
      </c>
      <c r="BN623" s="76" t="s">
        <v>18706</v>
      </c>
      <c r="BO623" s="83" t="str">
        <f>HYPERLINK("https://twitter.com/javierska2")</f>
        <v>https://twitter.com/javierska2</v>
      </c>
      <c r="BP623" s="2"/>
    </row>
    <row r="624" spans="1:68" x14ac:dyDescent="0.25">
      <c r="A624" s="62" t="s">
        <v>690</v>
      </c>
      <c r="B624" s="63"/>
      <c r="C624" s="63"/>
      <c r="D624" s="64"/>
      <c r="E624" s="66"/>
      <c r="F624" s="102" t="str">
        <f>HYPERLINK("https://pbs.twimg.com/profile_images/1595826374660554752/xt_YVorc_normal.png")</f>
        <v>https://pbs.twimg.com/profile_images/1595826374660554752/xt_YVorc_normal.png</v>
      </c>
      <c r="G624" s="63"/>
      <c r="H624" s="67"/>
      <c r="I624" s="68"/>
      <c r="J624" s="68"/>
      <c r="K624" s="67" t="s">
        <v>19327</v>
      </c>
      <c r="L624" s="71"/>
      <c r="M624" s="72"/>
      <c r="N624" s="72"/>
      <c r="O624" s="73"/>
      <c r="P624" s="74"/>
      <c r="Q624" s="74"/>
      <c r="R624" s="86"/>
      <c r="S624" s="86"/>
      <c r="T624" s="86"/>
      <c r="U624" s="86"/>
      <c r="V624" s="48"/>
      <c r="W624" s="48"/>
      <c r="X624" s="48"/>
      <c r="Y624" s="48"/>
      <c r="Z624" s="47"/>
      <c r="AA624" s="69">
        <v>624</v>
      </c>
      <c r="AB624" s="69"/>
      <c r="AC624" s="70"/>
      <c r="AD624" s="76" t="s">
        <v>17050</v>
      </c>
      <c r="AE624" s="81" t="s">
        <v>16374</v>
      </c>
      <c r="AF624" s="76">
        <v>15</v>
      </c>
      <c r="AG624" s="76">
        <v>177</v>
      </c>
      <c r="AH624" s="76">
        <v>60</v>
      </c>
      <c r="AI624" s="76">
        <v>0</v>
      </c>
      <c r="AJ624" s="76">
        <v>129</v>
      </c>
      <c r="AK624" s="76">
        <v>13</v>
      </c>
      <c r="AL624" s="76" t="b">
        <v>0</v>
      </c>
      <c r="AM624" s="78">
        <v>44310.459351851852</v>
      </c>
      <c r="AN624" s="76" t="s">
        <v>17628</v>
      </c>
      <c r="AO624" s="76" t="s">
        <v>18203</v>
      </c>
      <c r="AP624" s="83" t="str">
        <f>HYPERLINK("https://t.co/yaEcgH8kRz")</f>
        <v>https://t.co/yaEcgH8kRz</v>
      </c>
      <c r="AQ624" s="83" t="str">
        <f>HYPERLINK("https://www.platinuminvest.com.br/")</f>
        <v>https://www.platinuminvest.com.br/</v>
      </c>
      <c r="AR624" s="76" t="s">
        <v>18603</v>
      </c>
      <c r="AS624" s="76"/>
      <c r="AT624" s="76"/>
      <c r="AU624" s="76"/>
      <c r="AV624" s="76"/>
      <c r="AW624" s="83" t="str">
        <f>HYPERLINK("https://t.co/yaEcgH8kRz")</f>
        <v>https://t.co/yaEcgH8kRz</v>
      </c>
      <c r="AX624" s="76" t="b">
        <v>0</v>
      </c>
      <c r="AY624" s="76"/>
      <c r="AZ624" s="76"/>
      <c r="BA624" s="76" t="b">
        <v>0</v>
      </c>
      <c r="BB624" s="76" t="b">
        <v>1</v>
      </c>
      <c r="BC624" s="76" t="b">
        <v>1</v>
      </c>
      <c r="BD624" s="76" t="b">
        <v>0</v>
      </c>
      <c r="BE624" s="76" t="b">
        <v>0</v>
      </c>
      <c r="BF624" s="76" t="b">
        <v>0</v>
      </c>
      <c r="BG624" s="76" t="b">
        <v>0</v>
      </c>
      <c r="BH624" s="83" t="str">
        <f>HYPERLINK("https://pbs.twimg.com/profile_banners/1385911624083681280/1669305062")</f>
        <v>https://pbs.twimg.com/profile_banners/1385911624083681280/1669305062</v>
      </c>
      <c r="BI624" s="76"/>
      <c r="BJ624" s="76" t="s">
        <v>18704</v>
      </c>
      <c r="BK624" s="76" t="b">
        <v>0</v>
      </c>
      <c r="BL624" s="76"/>
      <c r="BM624" s="76" t="s">
        <v>66</v>
      </c>
      <c r="BN624" s="76" t="s">
        <v>18706</v>
      </c>
      <c r="BO624" s="83" t="str">
        <f>HYPERLINK("https://twitter.com/platinum_invest")</f>
        <v>https://twitter.com/platinum_invest</v>
      </c>
      <c r="BP624" s="2"/>
    </row>
    <row r="625" spans="1:68" x14ac:dyDescent="0.25">
      <c r="A625" s="62" t="s">
        <v>691</v>
      </c>
      <c r="B625" s="63"/>
      <c r="C625" s="63"/>
      <c r="D625" s="64"/>
      <c r="E625" s="66"/>
      <c r="F625" s="102" t="str">
        <f>HYPERLINK("https://pbs.twimg.com/profile_images/1682829548813950976/SngmmEY0_normal.jpg")</f>
        <v>https://pbs.twimg.com/profile_images/1682829548813950976/SngmmEY0_normal.jpg</v>
      </c>
      <c r="G625" s="63"/>
      <c r="H625" s="67"/>
      <c r="I625" s="68"/>
      <c r="J625" s="68"/>
      <c r="K625" s="67" t="s">
        <v>19328</v>
      </c>
      <c r="L625" s="71"/>
      <c r="M625" s="72"/>
      <c r="N625" s="72"/>
      <c r="O625" s="73"/>
      <c r="P625" s="74"/>
      <c r="Q625" s="74"/>
      <c r="R625" s="86"/>
      <c r="S625" s="86"/>
      <c r="T625" s="86"/>
      <c r="U625" s="86"/>
      <c r="V625" s="48"/>
      <c r="W625" s="48"/>
      <c r="X625" s="48"/>
      <c r="Y625" s="48"/>
      <c r="Z625" s="47"/>
      <c r="AA625" s="69">
        <v>625</v>
      </c>
      <c r="AB625" s="69"/>
      <c r="AC625" s="70"/>
      <c r="AD625" s="76" t="s">
        <v>17051</v>
      </c>
      <c r="AE625" s="81" t="s">
        <v>16375</v>
      </c>
      <c r="AF625" s="76">
        <v>5</v>
      </c>
      <c r="AG625" s="76">
        <v>35</v>
      </c>
      <c r="AH625" s="76">
        <v>56</v>
      </c>
      <c r="AI625" s="76">
        <v>0</v>
      </c>
      <c r="AJ625" s="76">
        <v>55</v>
      </c>
      <c r="AK625" s="76">
        <v>5</v>
      </c>
      <c r="AL625" s="76" t="b">
        <v>0</v>
      </c>
      <c r="AM625" s="78">
        <v>45129.752210648148</v>
      </c>
      <c r="AN625" s="76"/>
      <c r="AO625" s="76" t="s">
        <v>18204</v>
      </c>
      <c r="AP625" s="83" t="str">
        <f>HYPERLINK("https://t.co/iW9escqGs7")</f>
        <v>https://t.co/iW9escqGs7</v>
      </c>
      <c r="AQ625" s="83" t="str">
        <f>HYPERLINK("https://instagram.com/halexnogueira?igshid=MzRlODBiNWFlZA==")</f>
        <v>https://instagram.com/halexnogueira?igshid=MzRlODBiNWFlZA==</v>
      </c>
      <c r="AR625" s="76" t="s">
        <v>18604</v>
      </c>
      <c r="AS625" s="76"/>
      <c r="AT625" s="76"/>
      <c r="AU625" s="76"/>
      <c r="AV625" s="76">
        <v>1.68538975562883E+18</v>
      </c>
      <c r="AW625" s="83" t="str">
        <f>HYPERLINK("https://t.co/iW9escqGs7")</f>
        <v>https://t.co/iW9escqGs7</v>
      </c>
      <c r="AX625" s="76" t="b">
        <v>0</v>
      </c>
      <c r="AY625" s="76"/>
      <c r="AZ625" s="76"/>
      <c r="BA625" s="76" t="b">
        <v>0</v>
      </c>
      <c r="BB625" s="76" t="b">
        <v>1</v>
      </c>
      <c r="BC625" s="76" t="b">
        <v>1</v>
      </c>
      <c r="BD625" s="76" t="b">
        <v>0</v>
      </c>
      <c r="BE625" s="76" t="b">
        <v>0</v>
      </c>
      <c r="BF625" s="76" t="b">
        <v>0</v>
      </c>
      <c r="BG625" s="76" t="b">
        <v>0</v>
      </c>
      <c r="BH625" s="83" t="str">
        <f>HYPERLINK("https://pbs.twimg.com/profile_banners/1682813257726193666/1692320554")</f>
        <v>https://pbs.twimg.com/profile_banners/1682813257726193666/1692320554</v>
      </c>
      <c r="BI625" s="76"/>
      <c r="BJ625" s="76" t="s">
        <v>18704</v>
      </c>
      <c r="BK625" s="76" t="b">
        <v>0</v>
      </c>
      <c r="BL625" s="76"/>
      <c r="BM625" s="76" t="s">
        <v>66</v>
      </c>
      <c r="BN625" s="76" t="s">
        <v>18706</v>
      </c>
      <c r="BO625" s="83" t="str">
        <f>HYPERLINK("https://twitter.com/hlxnogueira")</f>
        <v>https://twitter.com/hlxnogueira</v>
      </c>
      <c r="BP625" s="2"/>
    </row>
    <row r="626" spans="1:68" x14ac:dyDescent="0.25">
      <c r="A626" s="62" t="s">
        <v>692</v>
      </c>
      <c r="B626" s="63"/>
      <c r="C626" s="63"/>
      <c r="D626" s="64"/>
      <c r="E626" s="66"/>
      <c r="F626" s="102" t="str">
        <f>HYPERLINK("https://pbs.twimg.com/profile_images/1664986404479279104/rPVOPcE8_normal.jpg")</f>
        <v>https://pbs.twimg.com/profile_images/1664986404479279104/rPVOPcE8_normal.jpg</v>
      </c>
      <c r="G626" s="63"/>
      <c r="H626" s="67"/>
      <c r="I626" s="68"/>
      <c r="J626" s="68"/>
      <c r="K626" s="67" t="s">
        <v>19329</v>
      </c>
      <c r="L626" s="71"/>
      <c r="M626" s="72"/>
      <c r="N626" s="72"/>
      <c r="O626" s="73"/>
      <c r="P626" s="74"/>
      <c r="Q626" s="74"/>
      <c r="R626" s="86"/>
      <c r="S626" s="86"/>
      <c r="T626" s="86"/>
      <c r="U626" s="86"/>
      <c r="V626" s="48"/>
      <c r="W626" s="48"/>
      <c r="X626" s="48"/>
      <c r="Y626" s="48"/>
      <c r="Z626" s="47"/>
      <c r="AA626" s="69">
        <v>626</v>
      </c>
      <c r="AB626" s="69"/>
      <c r="AC626" s="70"/>
      <c r="AD626" s="76" t="s">
        <v>17052</v>
      </c>
      <c r="AE626" s="81" t="s">
        <v>16376</v>
      </c>
      <c r="AF626" s="76">
        <v>5</v>
      </c>
      <c r="AG626" s="76">
        <v>1</v>
      </c>
      <c r="AH626" s="76">
        <v>194</v>
      </c>
      <c r="AI626" s="76">
        <v>0</v>
      </c>
      <c r="AJ626" s="76">
        <v>11</v>
      </c>
      <c r="AK626" s="76">
        <v>98</v>
      </c>
      <c r="AL626" s="76" t="b">
        <v>0</v>
      </c>
      <c r="AM626" s="78">
        <v>44747.764432870368</v>
      </c>
      <c r="AN626" s="76" t="s">
        <v>10586</v>
      </c>
      <c r="AO626" s="76" t="s">
        <v>18205</v>
      </c>
      <c r="AP626" s="83" t="str">
        <f>HYPERLINK("https://t.co/yFBNPkSBd8")</f>
        <v>https://t.co/yFBNPkSBd8</v>
      </c>
      <c r="AQ626" s="83" t="str">
        <f>HYPERLINK("http://s6investimentos.com.br")</f>
        <v>http://s6investimentos.com.br</v>
      </c>
      <c r="AR626" s="76" t="s">
        <v>18605</v>
      </c>
      <c r="AS626" s="76"/>
      <c r="AT626" s="76"/>
      <c r="AU626" s="76"/>
      <c r="AV626" s="76"/>
      <c r="AW626" s="83" t="str">
        <f>HYPERLINK("https://t.co/yFBNPkSBd8")</f>
        <v>https://t.co/yFBNPkSBd8</v>
      </c>
      <c r="AX626" s="76" t="b">
        <v>0</v>
      </c>
      <c r="AY626" s="76"/>
      <c r="AZ626" s="76"/>
      <c r="BA626" s="76" t="b">
        <v>0</v>
      </c>
      <c r="BB626" s="76" t="b">
        <v>1</v>
      </c>
      <c r="BC626" s="76" t="b">
        <v>1</v>
      </c>
      <c r="BD626" s="76" t="b">
        <v>0</v>
      </c>
      <c r="BE626" s="76" t="b">
        <v>0</v>
      </c>
      <c r="BF626" s="76" t="b">
        <v>0</v>
      </c>
      <c r="BG626" s="76" t="b">
        <v>0</v>
      </c>
      <c r="BH626" s="83" t="str">
        <f>HYPERLINK("https://pbs.twimg.com/profile_banners/1544385726086774786/1657046832")</f>
        <v>https://pbs.twimg.com/profile_banners/1544385726086774786/1657046832</v>
      </c>
      <c r="BI626" s="76"/>
      <c r="BJ626" s="76" t="s">
        <v>18704</v>
      </c>
      <c r="BK626" s="76" t="b">
        <v>0</v>
      </c>
      <c r="BL626" s="76"/>
      <c r="BM626" s="76" t="s">
        <v>66</v>
      </c>
      <c r="BN626" s="76" t="s">
        <v>18706</v>
      </c>
      <c r="BO626" s="83" t="str">
        <f>HYPERLINK("https://twitter.com/s6investimentos")</f>
        <v>https://twitter.com/s6investimentos</v>
      </c>
      <c r="BP626" s="2"/>
    </row>
    <row r="627" spans="1:68" x14ac:dyDescent="0.25">
      <c r="A627" s="62" t="s">
        <v>693</v>
      </c>
      <c r="B627" s="63"/>
      <c r="C627" s="63"/>
      <c r="D627" s="64"/>
      <c r="E627" s="66"/>
      <c r="F627" s="102" t="str">
        <f>HYPERLINK("https://pbs.twimg.com/profile_images/1619786039924604928/qp82QnvU_normal.jpg")</f>
        <v>https://pbs.twimg.com/profile_images/1619786039924604928/qp82QnvU_normal.jpg</v>
      </c>
      <c r="G627" s="63"/>
      <c r="H627" s="67"/>
      <c r="I627" s="68"/>
      <c r="J627" s="68"/>
      <c r="K627" s="67" t="s">
        <v>19330</v>
      </c>
      <c r="L627" s="71"/>
      <c r="M627" s="72"/>
      <c r="N627" s="72"/>
      <c r="O627" s="73"/>
      <c r="P627" s="74"/>
      <c r="Q627" s="74"/>
      <c r="R627" s="86"/>
      <c r="S627" s="86"/>
      <c r="T627" s="86"/>
      <c r="U627" s="86"/>
      <c r="V627" s="48"/>
      <c r="W627" s="48"/>
      <c r="X627" s="48"/>
      <c r="Y627" s="48"/>
      <c r="Z627" s="47"/>
      <c r="AA627" s="69">
        <v>627</v>
      </c>
      <c r="AB627" s="69"/>
      <c r="AC627" s="70"/>
      <c r="AD627" s="76" t="s">
        <v>17053</v>
      </c>
      <c r="AE627" s="81" t="s">
        <v>17381</v>
      </c>
      <c r="AF627" s="76">
        <v>3170</v>
      </c>
      <c r="AG627" s="76">
        <v>49</v>
      </c>
      <c r="AH627" s="76">
        <v>3399</v>
      </c>
      <c r="AI627" s="76">
        <v>49</v>
      </c>
      <c r="AJ627" s="76">
        <v>2606</v>
      </c>
      <c r="AK627" s="76">
        <v>1359</v>
      </c>
      <c r="AL627" s="76" t="b">
        <v>0</v>
      </c>
      <c r="AM627" s="78">
        <v>40984.489918981482</v>
      </c>
      <c r="AN627" s="76"/>
      <c r="AO627" s="76" t="s">
        <v>18206</v>
      </c>
      <c r="AP627" s="76"/>
      <c r="AQ627" s="76"/>
      <c r="AR627" s="76"/>
      <c r="AS627" s="76"/>
      <c r="AT627" s="76"/>
      <c r="AU627" s="76"/>
      <c r="AV627" s="76"/>
      <c r="AW627" s="76"/>
      <c r="AX627" s="76" t="b">
        <v>0</v>
      </c>
      <c r="AY627" s="76"/>
      <c r="AZ627" s="76"/>
      <c r="BA627" s="76" t="b">
        <v>0</v>
      </c>
      <c r="BB627" s="76" t="b">
        <v>0</v>
      </c>
      <c r="BC627" s="76" t="b">
        <v>0</v>
      </c>
      <c r="BD627" s="76" t="b">
        <v>0</v>
      </c>
      <c r="BE627" s="76" t="b">
        <v>0</v>
      </c>
      <c r="BF627" s="76" t="b">
        <v>0</v>
      </c>
      <c r="BG627" s="76" t="b">
        <v>0</v>
      </c>
      <c r="BH627" s="83" t="str">
        <f>HYPERLINK("https://pbs.twimg.com/profile_banners/526309602/1675022610")</f>
        <v>https://pbs.twimg.com/profile_banners/526309602/1675022610</v>
      </c>
      <c r="BI627" s="76"/>
      <c r="BJ627" s="76" t="s">
        <v>18704</v>
      </c>
      <c r="BK627" s="76" t="b">
        <v>0</v>
      </c>
      <c r="BL627" s="76"/>
      <c r="BM627" s="76" t="s">
        <v>66</v>
      </c>
      <c r="BN627" s="76" t="s">
        <v>18706</v>
      </c>
      <c r="BO627" s="83" t="str">
        <f>HYPERLINK("https://twitter.com/alfiedata")</f>
        <v>https://twitter.com/alfiedata</v>
      </c>
      <c r="BP627" s="2"/>
    </row>
    <row r="628" spans="1:68" x14ac:dyDescent="0.25">
      <c r="A628" s="62" t="s">
        <v>695</v>
      </c>
      <c r="B628" s="63"/>
      <c r="C628" s="63"/>
      <c r="D628" s="64"/>
      <c r="E628" s="66"/>
      <c r="F628" s="102" t="str">
        <f>HYPERLINK("https://pbs.twimg.com/profile_images/1647837613594648577/7T1Kf6rH_normal.jpg")</f>
        <v>https://pbs.twimg.com/profile_images/1647837613594648577/7T1Kf6rH_normal.jpg</v>
      </c>
      <c r="G628" s="63"/>
      <c r="H628" s="67"/>
      <c r="I628" s="68"/>
      <c r="J628" s="68"/>
      <c r="K628" s="67" t="s">
        <v>19331</v>
      </c>
      <c r="L628" s="71"/>
      <c r="M628" s="72"/>
      <c r="N628" s="72"/>
      <c r="O628" s="73"/>
      <c r="P628" s="74"/>
      <c r="Q628" s="74"/>
      <c r="R628" s="86"/>
      <c r="S628" s="86"/>
      <c r="T628" s="86"/>
      <c r="U628" s="86"/>
      <c r="V628" s="48"/>
      <c r="W628" s="48"/>
      <c r="X628" s="48"/>
      <c r="Y628" s="48"/>
      <c r="Z628" s="47"/>
      <c r="AA628" s="69">
        <v>628</v>
      </c>
      <c r="AB628" s="69"/>
      <c r="AC628" s="70"/>
      <c r="AD628" s="76" t="s">
        <v>17054</v>
      </c>
      <c r="AE628" s="81" t="s">
        <v>17382</v>
      </c>
      <c r="AF628" s="76">
        <v>2344</v>
      </c>
      <c r="AG628" s="76">
        <v>3464</v>
      </c>
      <c r="AH628" s="76">
        <v>5343</v>
      </c>
      <c r="AI628" s="76">
        <v>6</v>
      </c>
      <c r="AJ628" s="76">
        <v>6192</v>
      </c>
      <c r="AK628" s="76">
        <v>509</v>
      </c>
      <c r="AL628" s="76" t="b">
        <v>0</v>
      </c>
      <c r="AM628" s="78">
        <v>40005.226817129631</v>
      </c>
      <c r="AN628" s="76" t="s">
        <v>17629</v>
      </c>
      <c r="AO628" s="76" t="s">
        <v>18207</v>
      </c>
      <c r="AP628" s="76"/>
      <c r="AQ628" s="76"/>
      <c r="AR628" s="76"/>
      <c r="AS628" s="76"/>
      <c r="AT628" s="76"/>
      <c r="AU628" s="76"/>
      <c r="AV628" s="76"/>
      <c r="AW628" s="76"/>
      <c r="AX628" s="76" t="b">
        <v>0</v>
      </c>
      <c r="AY628" s="76"/>
      <c r="AZ628" s="76"/>
      <c r="BA628" s="76" t="b">
        <v>1</v>
      </c>
      <c r="BB628" s="76" t="b">
        <v>0</v>
      </c>
      <c r="BC628" s="76" t="b">
        <v>0</v>
      </c>
      <c r="BD628" s="76" t="b">
        <v>0</v>
      </c>
      <c r="BE628" s="76" t="b">
        <v>1</v>
      </c>
      <c r="BF628" s="76" t="b">
        <v>0</v>
      </c>
      <c r="BG628" s="76" t="b">
        <v>1</v>
      </c>
      <c r="BH628" s="83" t="str">
        <f>HYPERLINK("https://pbs.twimg.com/profile_banners/55766693/1555769090")</f>
        <v>https://pbs.twimg.com/profile_banners/55766693/1555769090</v>
      </c>
      <c r="BI628" s="76"/>
      <c r="BJ628" s="76" t="s">
        <v>18704</v>
      </c>
      <c r="BK628" s="76" t="b">
        <v>0</v>
      </c>
      <c r="BL628" s="76"/>
      <c r="BM628" s="76" t="s">
        <v>66</v>
      </c>
      <c r="BN628" s="76" t="s">
        <v>18706</v>
      </c>
      <c r="BO628" s="83" t="str">
        <f>HYPERLINK("https://twitter.com/migue6")</f>
        <v>https://twitter.com/migue6</v>
      </c>
      <c r="BP628" s="2"/>
    </row>
    <row r="629" spans="1:68" x14ac:dyDescent="0.25">
      <c r="A629" s="62" t="s">
        <v>696</v>
      </c>
      <c r="B629" s="63"/>
      <c r="C629" s="63"/>
      <c r="D629" s="64"/>
      <c r="E629" s="66"/>
      <c r="F629" s="102" t="str">
        <f>HYPERLINK("https://pbs.twimg.com/profile_images/1663937643120304128/I4zcGep3_normal.jpg")</f>
        <v>https://pbs.twimg.com/profile_images/1663937643120304128/I4zcGep3_normal.jpg</v>
      </c>
      <c r="G629" s="63"/>
      <c r="H629" s="67"/>
      <c r="I629" s="68"/>
      <c r="J629" s="68"/>
      <c r="K629" s="67" t="s">
        <v>19332</v>
      </c>
      <c r="L629" s="71"/>
      <c r="M629" s="72"/>
      <c r="N629" s="72"/>
      <c r="O629" s="73"/>
      <c r="P629" s="74"/>
      <c r="Q629" s="74"/>
      <c r="R629" s="86"/>
      <c r="S629" s="86"/>
      <c r="T629" s="86"/>
      <c r="U629" s="86"/>
      <c r="V629" s="48"/>
      <c r="W629" s="48"/>
      <c r="X629" s="48"/>
      <c r="Y629" s="48"/>
      <c r="Z629" s="47"/>
      <c r="AA629" s="69">
        <v>629</v>
      </c>
      <c r="AB629" s="69"/>
      <c r="AC629" s="70"/>
      <c r="AD629" s="76" t="s">
        <v>17055</v>
      </c>
      <c r="AE629" s="81" t="s">
        <v>16377</v>
      </c>
      <c r="AF629" s="76">
        <v>5</v>
      </c>
      <c r="AG629" s="76">
        <v>2</v>
      </c>
      <c r="AH629" s="76">
        <v>19</v>
      </c>
      <c r="AI629" s="76">
        <v>0</v>
      </c>
      <c r="AJ629" s="76">
        <v>0</v>
      </c>
      <c r="AK629" s="76">
        <v>19</v>
      </c>
      <c r="AL629" s="76" t="b">
        <v>0</v>
      </c>
      <c r="AM629" s="78">
        <v>45077.663935185185</v>
      </c>
      <c r="AN629" s="76"/>
      <c r="AO629" s="76"/>
      <c r="AP629" s="76"/>
      <c r="AQ629" s="76"/>
      <c r="AR629" s="76"/>
      <c r="AS629" s="76"/>
      <c r="AT629" s="76"/>
      <c r="AU629" s="76"/>
      <c r="AV629" s="76"/>
      <c r="AW629" s="76"/>
      <c r="AX629" s="76" t="b">
        <v>0</v>
      </c>
      <c r="AY629" s="76"/>
      <c r="AZ629" s="76"/>
      <c r="BA629" s="76" t="b">
        <v>0</v>
      </c>
      <c r="BB629" s="76" t="b">
        <v>1</v>
      </c>
      <c r="BC629" s="76" t="b">
        <v>1</v>
      </c>
      <c r="BD629" s="76" t="b">
        <v>0</v>
      </c>
      <c r="BE629" s="76" t="b">
        <v>0</v>
      </c>
      <c r="BF629" s="76" t="b">
        <v>0</v>
      </c>
      <c r="BG629" s="76" t="b">
        <v>0</v>
      </c>
      <c r="BH629" s="76"/>
      <c r="BI629" s="76"/>
      <c r="BJ629" s="76" t="s">
        <v>18704</v>
      </c>
      <c r="BK629" s="76" t="b">
        <v>0</v>
      </c>
      <c r="BL629" s="76"/>
      <c r="BM629" s="76" t="s">
        <v>66</v>
      </c>
      <c r="BN629" s="76" t="s">
        <v>18706</v>
      </c>
      <c r="BO629" s="83" t="str">
        <f>HYPERLINK("https://twitter.com/infogainbrazil")</f>
        <v>https://twitter.com/infogainbrazil</v>
      </c>
      <c r="BP629" s="2"/>
    </row>
    <row r="630" spans="1:68" x14ac:dyDescent="0.25">
      <c r="A630" s="62" t="s">
        <v>697</v>
      </c>
      <c r="B630" s="63"/>
      <c r="C630" s="63"/>
      <c r="D630" s="64"/>
      <c r="E630" s="66"/>
      <c r="F630" s="102" t="str">
        <f>HYPERLINK("https://pbs.twimg.com/profile_images/612292231358246912/gMKxM5xX_normal.jpg")</f>
        <v>https://pbs.twimg.com/profile_images/612292231358246912/gMKxM5xX_normal.jpg</v>
      </c>
      <c r="G630" s="63"/>
      <c r="H630" s="67"/>
      <c r="I630" s="68"/>
      <c r="J630" s="68"/>
      <c r="K630" s="67" t="s">
        <v>19333</v>
      </c>
      <c r="L630" s="71"/>
      <c r="M630" s="72"/>
      <c r="N630" s="72"/>
      <c r="O630" s="73"/>
      <c r="P630" s="74"/>
      <c r="Q630" s="74"/>
      <c r="R630" s="86"/>
      <c r="S630" s="86"/>
      <c r="T630" s="86"/>
      <c r="U630" s="86"/>
      <c r="V630" s="48"/>
      <c r="W630" s="48"/>
      <c r="X630" s="48"/>
      <c r="Y630" s="48"/>
      <c r="Z630" s="47"/>
      <c r="AA630" s="69">
        <v>630</v>
      </c>
      <c r="AB630" s="69"/>
      <c r="AC630" s="70"/>
      <c r="AD630" s="76" t="s">
        <v>17056</v>
      </c>
      <c r="AE630" s="81" t="s">
        <v>15975</v>
      </c>
      <c r="AF630" s="76">
        <v>1493</v>
      </c>
      <c r="AG630" s="76">
        <v>1250</v>
      </c>
      <c r="AH630" s="76">
        <v>16750</v>
      </c>
      <c r="AI630" s="76">
        <v>126</v>
      </c>
      <c r="AJ630" s="76">
        <v>4456</v>
      </c>
      <c r="AK630" s="76">
        <v>3512</v>
      </c>
      <c r="AL630" s="76" t="b">
        <v>0</v>
      </c>
      <c r="AM630" s="78">
        <v>41131.367627314816</v>
      </c>
      <c r="AN630" s="76" t="s">
        <v>17630</v>
      </c>
      <c r="AO630" s="76" t="s">
        <v>18208</v>
      </c>
      <c r="AP630" s="83" t="str">
        <f>HYPERLINK("https://t.co/H7vlA9zfJ9")</f>
        <v>https://t.co/H7vlA9zfJ9</v>
      </c>
      <c r="AQ630" s="83" t="str">
        <f>HYPERLINK("http://javiermliron.blogspot.com.es/")</f>
        <v>http://javiermliron.blogspot.com.es/</v>
      </c>
      <c r="AR630" s="76" t="s">
        <v>18606</v>
      </c>
      <c r="AS630" s="76"/>
      <c r="AT630" s="76"/>
      <c r="AU630" s="76"/>
      <c r="AV630" s="76">
        <v>1.7061892100828201E+18</v>
      </c>
      <c r="AW630" s="83" t="str">
        <f>HYPERLINK("https://t.co/H7vlA9zfJ9")</f>
        <v>https://t.co/H7vlA9zfJ9</v>
      </c>
      <c r="AX630" s="76" t="b">
        <v>0</v>
      </c>
      <c r="AY630" s="76"/>
      <c r="AZ630" s="76"/>
      <c r="BA630" s="76" t="b">
        <v>1</v>
      </c>
      <c r="BB630" s="76" t="b">
        <v>0</v>
      </c>
      <c r="BC630" s="76" t="b">
        <v>1</v>
      </c>
      <c r="BD630" s="76" t="b">
        <v>0</v>
      </c>
      <c r="BE630" s="76" t="b">
        <v>0</v>
      </c>
      <c r="BF630" s="76" t="b">
        <v>0</v>
      </c>
      <c r="BG630" s="76" t="b">
        <v>0</v>
      </c>
      <c r="BH630" s="83" t="str">
        <f>HYPERLINK("https://pbs.twimg.com/profile_banners/748960584/1357748681")</f>
        <v>https://pbs.twimg.com/profile_banners/748960584/1357748681</v>
      </c>
      <c r="BI630" s="76"/>
      <c r="BJ630" s="76" t="s">
        <v>18704</v>
      </c>
      <c r="BK630" s="76" t="b">
        <v>0</v>
      </c>
      <c r="BL630" s="76"/>
      <c r="BM630" s="76" t="s">
        <v>66</v>
      </c>
      <c r="BN630" s="76" t="s">
        <v>18706</v>
      </c>
      <c r="BO630" s="83" t="str">
        <f>HYPERLINK("https://twitter.com/jmendezliron")</f>
        <v>https://twitter.com/jmendezliron</v>
      </c>
      <c r="BP630" s="2"/>
    </row>
    <row r="631" spans="1:68" x14ac:dyDescent="0.25">
      <c r="A631" s="62" t="s">
        <v>699</v>
      </c>
      <c r="B631" s="63"/>
      <c r="C631" s="63"/>
      <c r="D631" s="64"/>
      <c r="E631" s="66"/>
      <c r="F631" s="102" t="str">
        <f>HYPERLINK("https://pbs.twimg.com/profile_images/1577848923431002114/DdOeuC2c_normal.png")</f>
        <v>https://pbs.twimg.com/profile_images/1577848923431002114/DdOeuC2c_normal.png</v>
      </c>
      <c r="G631" s="63"/>
      <c r="H631" s="67"/>
      <c r="I631" s="68"/>
      <c r="J631" s="68"/>
      <c r="K631" s="67" t="s">
        <v>19334</v>
      </c>
      <c r="L631" s="71"/>
      <c r="M631" s="72"/>
      <c r="N631" s="72"/>
      <c r="O631" s="73"/>
      <c r="P631" s="74"/>
      <c r="Q631" s="74"/>
      <c r="R631" s="86"/>
      <c r="S631" s="86"/>
      <c r="T631" s="86"/>
      <c r="U631" s="86"/>
      <c r="V631" s="48"/>
      <c r="W631" s="48"/>
      <c r="X631" s="48"/>
      <c r="Y631" s="48"/>
      <c r="Z631" s="47"/>
      <c r="AA631" s="69">
        <v>631</v>
      </c>
      <c r="AB631" s="69"/>
      <c r="AC631" s="70"/>
      <c r="AD631" s="76" t="s">
        <v>17057</v>
      </c>
      <c r="AE631" s="81" t="s">
        <v>16378</v>
      </c>
      <c r="AF631" s="76">
        <v>10</v>
      </c>
      <c r="AG631" s="76">
        <v>4</v>
      </c>
      <c r="AH631" s="76">
        <v>3530</v>
      </c>
      <c r="AI631" s="76">
        <v>0</v>
      </c>
      <c r="AJ631" s="76">
        <v>5</v>
      </c>
      <c r="AK631" s="76">
        <v>618</v>
      </c>
      <c r="AL631" s="76" t="b">
        <v>0</v>
      </c>
      <c r="AM631" s="78">
        <v>43862.094560185185</v>
      </c>
      <c r="AN631" s="76" t="s">
        <v>17631</v>
      </c>
      <c r="AO631" s="76" t="s">
        <v>18209</v>
      </c>
      <c r="AP631" s="83" t="str">
        <f>HYPERLINK("https://t.co/GbvZsELGwE")</f>
        <v>https://t.co/GbvZsELGwE</v>
      </c>
      <c r="AQ631" s="83" t="str">
        <f>HYPERLINK("http://rodadecuia.com.br")</f>
        <v>http://rodadecuia.com.br</v>
      </c>
      <c r="AR631" s="76" t="s">
        <v>18607</v>
      </c>
      <c r="AS631" s="76"/>
      <c r="AT631" s="76"/>
      <c r="AU631" s="76"/>
      <c r="AV631" s="76"/>
      <c r="AW631" s="83" t="str">
        <f>HYPERLINK("https://t.co/GbvZsELGwE")</f>
        <v>https://t.co/GbvZsELGwE</v>
      </c>
      <c r="AX631" s="76" t="b">
        <v>0</v>
      </c>
      <c r="AY631" s="76"/>
      <c r="AZ631" s="76"/>
      <c r="BA631" s="76" t="b">
        <v>0</v>
      </c>
      <c r="BB631" s="76" t="b">
        <v>1</v>
      </c>
      <c r="BC631" s="76" t="b">
        <v>1</v>
      </c>
      <c r="BD631" s="76" t="b">
        <v>0</v>
      </c>
      <c r="BE631" s="76" t="b">
        <v>1</v>
      </c>
      <c r="BF631" s="76" t="b">
        <v>0</v>
      </c>
      <c r="BG631" s="76" t="b">
        <v>0</v>
      </c>
      <c r="BH631" s="76"/>
      <c r="BI631" s="76"/>
      <c r="BJ631" s="76" t="s">
        <v>18704</v>
      </c>
      <c r="BK631" s="76" t="b">
        <v>0</v>
      </c>
      <c r="BL631" s="76"/>
      <c r="BM631" s="76" t="s">
        <v>66</v>
      </c>
      <c r="BN631" s="76" t="s">
        <v>18706</v>
      </c>
      <c r="BO631" s="83" t="str">
        <f>HYPERLINK("https://twitter.com/rodadecuia")</f>
        <v>https://twitter.com/rodadecuia</v>
      </c>
      <c r="BP631" s="2"/>
    </row>
    <row r="632" spans="1:68" x14ac:dyDescent="0.25">
      <c r="A632" s="62" t="s">
        <v>700</v>
      </c>
      <c r="B632" s="63"/>
      <c r="C632" s="63"/>
      <c r="D632" s="64"/>
      <c r="E632" s="66"/>
      <c r="F632" s="102" t="str">
        <f>HYPERLINK("https://pbs.twimg.com/profile_images/1691283459585482752/4yF-2hoz_normal.jpg")</f>
        <v>https://pbs.twimg.com/profile_images/1691283459585482752/4yF-2hoz_normal.jpg</v>
      </c>
      <c r="G632" s="63"/>
      <c r="H632" s="67"/>
      <c r="I632" s="68"/>
      <c r="J632" s="68"/>
      <c r="K632" s="67" t="s">
        <v>19335</v>
      </c>
      <c r="L632" s="71"/>
      <c r="M632" s="72"/>
      <c r="N632" s="72"/>
      <c r="O632" s="73"/>
      <c r="P632" s="74"/>
      <c r="Q632" s="74"/>
      <c r="R632" s="86"/>
      <c r="S632" s="86"/>
      <c r="T632" s="86"/>
      <c r="U632" s="86"/>
      <c r="V632" s="48"/>
      <c r="W632" s="48"/>
      <c r="X632" s="48"/>
      <c r="Y632" s="48"/>
      <c r="Z632" s="47"/>
      <c r="AA632" s="69">
        <v>632</v>
      </c>
      <c r="AB632" s="69"/>
      <c r="AC632" s="70"/>
      <c r="AD632" s="76" t="s">
        <v>17058</v>
      </c>
      <c r="AE632" s="81" t="s">
        <v>16379</v>
      </c>
      <c r="AF632" s="76">
        <v>94</v>
      </c>
      <c r="AG632" s="76">
        <v>417</v>
      </c>
      <c r="AH632" s="76">
        <v>590</v>
      </c>
      <c r="AI632" s="76">
        <v>1</v>
      </c>
      <c r="AJ632" s="76">
        <v>15820</v>
      </c>
      <c r="AK632" s="76">
        <v>62</v>
      </c>
      <c r="AL632" s="76" t="b">
        <v>0</v>
      </c>
      <c r="AM632" s="78">
        <v>42942.950104166666</v>
      </c>
      <c r="AN632" s="76" t="s">
        <v>17632</v>
      </c>
      <c r="AO632" s="76" t="s">
        <v>18210</v>
      </c>
      <c r="AP632" s="76"/>
      <c r="AQ632" s="76"/>
      <c r="AR632" s="76"/>
      <c r="AS632" s="76"/>
      <c r="AT632" s="76"/>
      <c r="AU632" s="76"/>
      <c r="AV632" s="76">
        <v>1.69005088464898E+18</v>
      </c>
      <c r="AW632" s="76"/>
      <c r="AX632" s="76" t="b">
        <v>0</v>
      </c>
      <c r="AY632" s="76"/>
      <c r="AZ632" s="76"/>
      <c r="BA632" s="76" t="b">
        <v>0</v>
      </c>
      <c r="BB632" s="76" t="b">
        <v>0</v>
      </c>
      <c r="BC632" s="76" t="b">
        <v>1</v>
      </c>
      <c r="BD632" s="76" t="b">
        <v>0</v>
      </c>
      <c r="BE632" s="76" t="b">
        <v>1</v>
      </c>
      <c r="BF632" s="76" t="b">
        <v>0</v>
      </c>
      <c r="BG632" s="76" t="b">
        <v>0</v>
      </c>
      <c r="BH632" s="83" t="str">
        <f>HYPERLINK("https://pbs.twimg.com/profile_banners/890343008352305153/1629515472")</f>
        <v>https://pbs.twimg.com/profile_banners/890343008352305153/1629515472</v>
      </c>
      <c r="BI632" s="76"/>
      <c r="BJ632" s="76" t="s">
        <v>18704</v>
      </c>
      <c r="BK632" s="76" t="b">
        <v>0</v>
      </c>
      <c r="BL632" s="76"/>
      <c r="BM632" s="76" t="s">
        <v>66</v>
      </c>
      <c r="BN632" s="76" t="s">
        <v>18706</v>
      </c>
      <c r="BO632" s="83" t="str">
        <f>HYPERLINK("https://twitter.com/brunocantao_")</f>
        <v>https://twitter.com/brunocantao_</v>
      </c>
      <c r="BP632" s="2"/>
    </row>
    <row r="633" spans="1:68" x14ac:dyDescent="0.25">
      <c r="A633" s="62" t="s">
        <v>889</v>
      </c>
      <c r="B633" s="63"/>
      <c r="C633" s="63"/>
      <c r="D633" s="64"/>
      <c r="E633" s="66"/>
      <c r="F633" s="102" t="str">
        <f>HYPERLINK("https://pbs.twimg.com/profile_images/1652009744247209995/_fgAjLan_normal.jpg")</f>
        <v>https://pbs.twimg.com/profile_images/1652009744247209995/_fgAjLan_normal.jpg</v>
      </c>
      <c r="G633" s="63"/>
      <c r="H633" s="67"/>
      <c r="I633" s="68"/>
      <c r="J633" s="68"/>
      <c r="K633" s="67" t="s">
        <v>19336</v>
      </c>
      <c r="L633" s="71"/>
      <c r="M633" s="72"/>
      <c r="N633" s="72"/>
      <c r="O633" s="73"/>
      <c r="P633" s="74"/>
      <c r="Q633" s="74"/>
      <c r="R633" s="86"/>
      <c r="S633" s="86"/>
      <c r="T633" s="86"/>
      <c r="U633" s="86"/>
      <c r="V633" s="48"/>
      <c r="W633" s="48"/>
      <c r="X633" s="48"/>
      <c r="Y633" s="48"/>
      <c r="Z633" s="47"/>
      <c r="AA633" s="69">
        <v>633</v>
      </c>
      <c r="AB633" s="69"/>
      <c r="AC633" s="70"/>
      <c r="AD633" s="76" t="s">
        <v>17059</v>
      </c>
      <c r="AE633" s="81" t="s">
        <v>17383</v>
      </c>
      <c r="AF633" s="76">
        <v>35414</v>
      </c>
      <c r="AG633" s="76">
        <v>1117</v>
      </c>
      <c r="AH633" s="76">
        <v>17384</v>
      </c>
      <c r="AI633" s="76">
        <v>328</v>
      </c>
      <c r="AJ633" s="76">
        <v>27961</v>
      </c>
      <c r="AK633" s="76">
        <v>2747</v>
      </c>
      <c r="AL633" s="76" t="b">
        <v>0</v>
      </c>
      <c r="AM633" s="78">
        <v>39983.727314814816</v>
      </c>
      <c r="AN633" s="76" t="s">
        <v>17633</v>
      </c>
      <c r="AO633" s="76" t="s">
        <v>18211</v>
      </c>
      <c r="AP633" s="83" t="str">
        <f>HYPERLINK("https://t.co/2sRXoWV8da")</f>
        <v>https://t.co/2sRXoWV8da</v>
      </c>
      <c r="AQ633" s="83" t="str">
        <f>HYPERLINK("http://www.bitcoinolivervelez.com")</f>
        <v>http://www.bitcoinolivervelez.com</v>
      </c>
      <c r="AR633" s="76" t="s">
        <v>18608</v>
      </c>
      <c r="AS633" s="76"/>
      <c r="AT633" s="76"/>
      <c r="AU633" s="76"/>
      <c r="AV633" s="76">
        <v>1.70456647783825E+18</v>
      </c>
      <c r="AW633" s="83" t="str">
        <f>HYPERLINK("https://t.co/2sRXoWV8da")</f>
        <v>https://t.co/2sRXoWV8da</v>
      </c>
      <c r="AX633" s="76" t="b">
        <v>1</v>
      </c>
      <c r="AY633" s="76"/>
      <c r="AZ633" s="76"/>
      <c r="BA633" s="76" t="b">
        <v>1</v>
      </c>
      <c r="BB633" s="76" t="b">
        <v>1</v>
      </c>
      <c r="BC633" s="76" t="b">
        <v>1</v>
      </c>
      <c r="BD633" s="76" t="b">
        <v>0</v>
      </c>
      <c r="BE633" s="76" t="b">
        <v>1</v>
      </c>
      <c r="BF633" s="76" t="b">
        <v>0</v>
      </c>
      <c r="BG633" s="76" t="b">
        <v>0</v>
      </c>
      <c r="BH633" s="83" t="str">
        <f>HYPERLINK("https://pbs.twimg.com/profile_banners/48768144/1669997252")</f>
        <v>https://pbs.twimg.com/profile_banners/48768144/1669997252</v>
      </c>
      <c r="BI633" s="76"/>
      <c r="BJ633" s="76" t="s">
        <v>18704</v>
      </c>
      <c r="BK633" s="76" t="b">
        <v>0</v>
      </c>
      <c r="BL633" s="76"/>
      <c r="BM633" s="76" t="s">
        <v>65</v>
      </c>
      <c r="BN633" s="76" t="s">
        <v>18706</v>
      </c>
      <c r="BO633" s="83" t="str">
        <f>HYPERLINK("https://twitter.com/olvelez007")</f>
        <v>https://twitter.com/olvelez007</v>
      </c>
      <c r="BP633" s="2"/>
    </row>
    <row r="634" spans="1:68" x14ac:dyDescent="0.25">
      <c r="A634" s="62" t="s">
        <v>701</v>
      </c>
      <c r="B634" s="63"/>
      <c r="C634" s="63"/>
      <c r="D634" s="64"/>
      <c r="E634" s="66"/>
      <c r="F634" s="102" t="str">
        <f>HYPERLINK("https://pbs.twimg.com/profile_images/1692513854549311488/5fbDxHwQ_normal.jpg")</f>
        <v>https://pbs.twimg.com/profile_images/1692513854549311488/5fbDxHwQ_normal.jpg</v>
      </c>
      <c r="G634" s="63"/>
      <c r="H634" s="67"/>
      <c r="I634" s="68"/>
      <c r="J634" s="68"/>
      <c r="K634" s="67" t="s">
        <v>19337</v>
      </c>
      <c r="L634" s="71"/>
      <c r="M634" s="72"/>
      <c r="N634" s="72"/>
      <c r="O634" s="73"/>
      <c r="P634" s="74"/>
      <c r="Q634" s="74"/>
      <c r="R634" s="86"/>
      <c r="S634" s="86"/>
      <c r="T634" s="86"/>
      <c r="U634" s="86"/>
      <c r="V634" s="48"/>
      <c r="W634" s="48"/>
      <c r="X634" s="48"/>
      <c r="Y634" s="48"/>
      <c r="Z634" s="47"/>
      <c r="AA634" s="69">
        <v>634</v>
      </c>
      <c r="AB634" s="69"/>
      <c r="AC634" s="70"/>
      <c r="AD634" s="76" t="s">
        <v>17060</v>
      </c>
      <c r="AE634" s="81" t="s">
        <v>15976</v>
      </c>
      <c r="AF634" s="76">
        <v>3</v>
      </c>
      <c r="AG634" s="76">
        <v>5</v>
      </c>
      <c r="AH634" s="76">
        <v>8</v>
      </c>
      <c r="AI634" s="76">
        <v>0</v>
      </c>
      <c r="AJ634" s="76">
        <v>6</v>
      </c>
      <c r="AK634" s="76">
        <v>3</v>
      </c>
      <c r="AL634" s="76" t="b">
        <v>0</v>
      </c>
      <c r="AM634" s="78">
        <v>43552.312465277777</v>
      </c>
      <c r="AN634" s="76" t="s">
        <v>17634</v>
      </c>
      <c r="AO634" s="76"/>
      <c r="AP634" s="76"/>
      <c r="AQ634" s="76"/>
      <c r="AR634" s="76"/>
      <c r="AS634" s="76"/>
      <c r="AT634" s="76"/>
      <c r="AU634" s="76"/>
      <c r="AV634" s="76"/>
      <c r="AW634" s="76"/>
      <c r="AX634" s="76" t="b">
        <v>0</v>
      </c>
      <c r="AY634" s="76"/>
      <c r="AZ634" s="76"/>
      <c r="BA634" s="76" t="b">
        <v>0</v>
      </c>
      <c r="BB634" s="76" t="b">
        <v>1</v>
      </c>
      <c r="BC634" s="76" t="b">
        <v>1</v>
      </c>
      <c r="BD634" s="76" t="b">
        <v>0</v>
      </c>
      <c r="BE634" s="76" t="b">
        <v>0</v>
      </c>
      <c r="BF634" s="76" t="b">
        <v>0</v>
      </c>
      <c r="BG634" s="76" t="b">
        <v>0</v>
      </c>
      <c r="BH634" s="76"/>
      <c r="BI634" s="76"/>
      <c r="BJ634" s="76" t="s">
        <v>18704</v>
      </c>
      <c r="BK634" s="76" t="b">
        <v>0</v>
      </c>
      <c r="BL634" s="76"/>
      <c r="BM634" s="76" t="s">
        <v>66</v>
      </c>
      <c r="BN634" s="76" t="s">
        <v>18706</v>
      </c>
      <c r="BO634" s="83" t="str">
        <f>HYPERLINK("https://twitter.com/ivancri90130867")</f>
        <v>https://twitter.com/ivancri90130867</v>
      </c>
      <c r="BP634" s="2"/>
    </row>
    <row r="635" spans="1:68" x14ac:dyDescent="0.25">
      <c r="A635" s="62" t="s">
        <v>703</v>
      </c>
      <c r="B635" s="63"/>
      <c r="C635" s="63"/>
      <c r="D635" s="64"/>
      <c r="E635" s="66"/>
      <c r="F635" s="102" t="str">
        <f>HYPERLINK("https://pbs.twimg.com/profile_images/1379448930539347970/l4l0elk1_normal.jpg")</f>
        <v>https://pbs.twimg.com/profile_images/1379448930539347970/l4l0elk1_normal.jpg</v>
      </c>
      <c r="G635" s="63"/>
      <c r="H635" s="67"/>
      <c r="I635" s="68"/>
      <c r="J635" s="68"/>
      <c r="K635" s="67" t="s">
        <v>19338</v>
      </c>
      <c r="L635" s="71"/>
      <c r="M635" s="72"/>
      <c r="N635" s="72"/>
      <c r="O635" s="73"/>
      <c r="P635" s="74"/>
      <c r="Q635" s="74"/>
      <c r="R635" s="86"/>
      <c r="S635" s="86"/>
      <c r="T635" s="86"/>
      <c r="U635" s="86"/>
      <c r="V635" s="48"/>
      <c r="W635" s="48"/>
      <c r="X635" s="48"/>
      <c r="Y635" s="48"/>
      <c r="Z635" s="47"/>
      <c r="AA635" s="69">
        <v>635</v>
      </c>
      <c r="AB635" s="69"/>
      <c r="AC635" s="70"/>
      <c r="AD635" s="76" t="s">
        <v>17061</v>
      </c>
      <c r="AE635" s="81" t="s">
        <v>16380</v>
      </c>
      <c r="AF635" s="76">
        <v>123</v>
      </c>
      <c r="AG635" s="76">
        <v>131</v>
      </c>
      <c r="AH635" s="76">
        <v>67496</v>
      </c>
      <c r="AI635" s="76">
        <v>3</v>
      </c>
      <c r="AJ635" s="76">
        <v>11641</v>
      </c>
      <c r="AK635" s="76">
        <v>51709</v>
      </c>
      <c r="AL635" s="76" t="b">
        <v>0</v>
      </c>
      <c r="AM635" s="78">
        <v>44005.526319444441</v>
      </c>
      <c r="AN635" s="76" t="s">
        <v>17635</v>
      </c>
      <c r="AO635" s="76" t="s">
        <v>18212</v>
      </c>
      <c r="AP635" s="83" t="str">
        <f>HYPERLINK("https://t.co/FPf3TArvDl")</f>
        <v>https://t.co/FPf3TArvDl</v>
      </c>
      <c r="AQ635" s="83" t="str">
        <f>HYPERLINK("https://linktr.ee/digital.profit1")</f>
        <v>https://linktr.ee/digital.profit1</v>
      </c>
      <c r="AR635" s="76" t="s">
        <v>18609</v>
      </c>
      <c r="AS635" s="76"/>
      <c r="AT635" s="76"/>
      <c r="AU635" s="76"/>
      <c r="AV635" s="76"/>
      <c r="AW635" s="83" t="str">
        <f>HYPERLINK("https://t.co/FPf3TArvDl")</f>
        <v>https://t.co/FPf3TArvDl</v>
      </c>
      <c r="AX635" s="76" t="b">
        <v>0</v>
      </c>
      <c r="AY635" s="76"/>
      <c r="AZ635" s="76"/>
      <c r="BA635" s="76" t="b">
        <v>0</v>
      </c>
      <c r="BB635" s="76" t="b">
        <v>1</v>
      </c>
      <c r="BC635" s="76" t="b">
        <v>1</v>
      </c>
      <c r="BD635" s="76" t="b">
        <v>0</v>
      </c>
      <c r="BE635" s="76" t="b">
        <v>0</v>
      </c>
      <c r="BF635" s="76" t="b">
        <v>0</v>
      </c>
      <c r="BG635" s="76" t="b">
        <v>0</v>
      </c>
      <c r="BH635" s="83" t="str">
        <f>HYPERLINK("https://pbs.twimg.com/profile_banners/1275407666320465924/1619632443")</f>
        <v>https://pbs.twimg.com/profile_banners/1275407666320465924/1619632443</v>
      </c>
      <c r="BI635" s="76"/>
      <c r="BJ635" s="76" t="s">
        <v>18704</v>
      </c>
      <c r="BK635" s="76" t="b">
        <v>0</v>
      </c>
      <c r="BL635" s="76"/>
      <c r="BM635" s="76" t="s">
        <v>66</v>
      </c>
      <c r="BN635" s="76" t="s">
        <v>18706</v>
      </c>
      <c r="BO635" s="83" t="str">
        <f>HYPERLINK("https://twitter.com/digital_profit1")</f>
        <v>https://twitter.com/digital_profit1</v>
      </c>
      <c r="BP635" s="2"/>
    </row>
    <row r="636" spans="1:68" x14ac:dyDescent="0.25">
      <c r="A636" s="62" t="s">
        <v>704</v>
      </c>
      <c r="B636" s="63"/>
      <c r="C636" s="63"/>
      <c r="D636" s="64"/>
      <c r="E636" s="66"/>
      <c r="F636" s="102" t="str">
        <f>HYPERLINK("https://pbs.twimg.com/profile_images/1592990019123396612/XQJWTdZj_normal.jpg")</f>
        <v>https://pbs.twimg.com/profile_images/1592990019123396612/XQJWTdZj_normal.jpg</v>
      </c>
      <c r="G636" s="63"/>
      <c r="H636" s="67"/>
      <c r="I636" s="68"/>
      <c r="J636" s="68"/>
      <c r="K636" s="67" t="s">
        <v>19339</v>
      </c>
      <c r="L636" s="71"/>
      <c r="M636" s="72"/>
      <c r="N636" s="72"/>
      <c r="O636" s="73"/>
      <c r="P636" s="74"/>
      <c r="Q636" s="74"/>
      <c r="R636" s="86"/>
      <c r="S636" s="86"/>
      <c r="T636" s="86"/>
      <c r="U636" s="86"/>
      <c r="V636" s="48"/>
      <c r="W636" s="48"/>
      <c r="X636" s="48"/>
      <c r="Y636" s="48"/>
      <c r="Z636" s="47"/>
      <c r="AA636" s="69">
        <v>636</v>
      </c>
      <c r="AB636" s="69"/>
      <c r="AC636" s="70"/>
      <c r="AD636" s="76" t="s">
        <v>17062</v>
      </c>
      <c r="AE636" s="81" t="s">
        <v>16381</v>
      </c>
      <c r="AF636" s="76">
        <v>5942</v>
      </c>
      <c r="AG636" s="76">
        <v>83</v>
      </c>
      <c r="AH636" s="76">
        <v>3276</v>
      </c>
      <c r="AI636" s="76">
        <v>68</v>
      </c>
      <c r="AJ636" s="76">
        <v>3410</v>
      </c>
      <c r="AK636" s="76">
        <v>1958</v>
      </c>
      <c r="AL636" s="76" t="b">
        <v>0</v>
      </c>
      <c r="AM636" s="78">
        <v>43490.606099537035</v>
      </c>
      <c r="AN636" s="76"/>
      <c r="AO636" s="76" t="s">
        <v>18213</v>
      </c>
      <c r="AP636" s="83" t="str">
        <f>HYPERLINK("https://t.co/jaVaSnezET")</f>
        <v>https://t.co/jaVaSnezET</v>
      </c>
      <c r="AQ636" s="83" t="str">
        <f>HYPERLINK("https://bitypreco.com/")</f>
        <v>https://bitypreco.com/</v>
      </c>
      <c r="AR636" s="76" t="s">
        <v>18610</v>
      </c>
      <c r="AS636" s="76"/>
      <c r="AT636" s="76"/>
      <c r="AU636" s="76"/>
      <c r="AV636" s="76">
        <v>1.62378482140627E+18</v>
      </c>
      <c r="AW636" s="83" t="str">
        <f>HYPERLINK("https://t.co/jaVaSnezET")</f>
        <v>https://t.co/jaVaSnezET</v>
      </c>
      <c r="AX636" s="76" t="b">
        <v>1</v>
      </c>
      <c r="AY636" s="76"/>
      <c r="AZ636" s="76"/>
      <c r="BA636" s="76" t="b">
        <v>1</v>
      </c>
      <c r="BB636" s="76" t="b">
        <v>1</v>
      </c>
      <c r="BC636" s="76" t="b">
        <v>0</v>
      </c>
      <c r="BD636" s="76" t="b">
        <v>0</v>
      </c>
      <c r="BE636" s="76" t="b">
        <v>1</v>
      </c>
      <c r="BF636" s="76" t="b">
        <v>0</v>
      </c>
      <c r="BG636" s="76" t="b">
        <v>0</v>
      </c>
      <c r="BH636" s="83" t="str">
        <f>HYPERLINK("https://pbs.twimg.com/profile_banners/1088806894892957696/1668633392")</f>
        <v>https://pbs.twimg.com/profile_banners/1088806894892957696/1668633392</v>
      </c>
      <c r="BI636" s="76"/>
      <c r="BJ636" s="76" t="s">
        <v>18704</v>
      </c>
      <c r="BK636" s="76" t="b">
        <v>0</v>
      </c>
      <c r="BL636" s="76"/>
      <c r="BM636" s="76" t="s">
        <v>66</v>
      </c>
      <c r="BN636" s="76" t="s">
        <v>18706</v>
      </c>
      <c r="BO636" s="83" t="str">
        <f>HYPERLINK("https://twitter.com/bitypreco")</f>
        <v>https://twitter.com/bitypreco</v>
      </c>
      <c r="BP636" s="2"/>
    </row>
    <row r="637" spans="1:68" x14ac:dyDescent="0.25">
      <c r="A637" s="62" t="s">
        <v>705</v>
      </c>
      <c r="B637" s="63"/>
      <c r="C637" s="63"/>
      <c r="D637" s="64"/>
      <c r="E637" s="66"/>
      <c r="F637" s="102" t="str">
        <f>HYPERLINK("https://pbs.twimg.com/profile_images/1453007450173546505/w0ljWpFi_normal.jpg")</f>
        <v>https://pbs.twimg.com/profile_images/1453007450173546505/w0ljWpFi_normal.jpg</v>
      </c>
      <c r="G637" s="63"/>
      <c r="H637" s="67"/>
      <c r="I637" s="68"/>
      <c r="J637" s="68"/>
      <c r="K637" s="67" t="s">
        <v>19340</v>
      </c>
      <c r="L637" s="71"/>
      <c r="M637" s="72"/>
      <c r="N637" s="72"/>
      <c r="O637" s="73"/>
      <c r="P637" s="74"/>
      <c r="Q637" s="74"/>
      <c r="R637" s="86"/>
      <c r="S637" s="86"/>
      <c r="T637" s="86"/>
      <c r="U637" s="86"/>
      <c r="V637" s="48"/>
      <c r="W637" s="48"/>
      <c r="X637" s="48"/>
      <c r="Y637" s="48"/>
      <c r="Z637" s="47"/>
      <c r="AA637" s="69">
        <v>637</v>
      </c>
      <c r="AB637" s="69"/>
      <c r="AC637" s="70"/>
      <c r="AD637" s="76" t="s">
        <v>17063</v>
      </c>
      <c r="AE637" s="81" t="s">
        <v>16382</v>
      </c>
      <c r="AF637" s="76">
        <v>708</v>
      </c>
      <c r="AG637" s="76">
        <v>24</v>
      </c>
      <c r="AH637" s="76">
        <v>1812</v>
      </c>
      <c r="AI637" s="76">
        <v>1</v>
      </c>
      <c r="AJ637" s="76">
        <v>119</v>
      </c>
      <c r="AK637" s="76">
        <v>1674</v>
      </c>
      <c r="AL637" s="76" t="b">
        <v>0</v>
      </c>
      <c r="AM637" s="78">
        <v>44495.606944444444</v>
      </c>
      <c r="AN637" s="76" t="s">
        <v>17636</v>
      </c>
      <c r="AO637" s="76" t="s">
        <v>18214</v>
      </c>
      <c r="AP637" s="76"/>
      <c r="AQ637" s="76"/>
      <c r="AR637" s="76"/>
      <c r="AS637" s="76"/>
      <c r="AT637" s="76"/>
      <c r="AU637" s="76"/>
      <c r="AV637" s="76"/>
      <c r="AW637" s="76"/>
      <c r="AX637" s="76" t="b">
        <v>0</v>
      </c>
      <c r="AY637" s="76"/>
      <c r="AZ637" s="76"/>
      <c r="BA637" s="76" t="b">
        <v>0</v>
      </c>
      <c r="BB637" s="76" t="b">
        <v>1</v>
      </c>
      <c r="BC637" s="76" t="b">
        <v>1</v>
      </c>
      <c r="BD637" s="76" t="b">
        <v>0</v>
      </c>
      <c r="BE637" s="76" t="b">
        <v>0</v>
      </c>
      <c r="BF637" s="76" t="b">
        <v>0</v>
      </c>
      <c r="BG637" s="76" t="b">
        <v>0</v>
      </c>
      <c r="BH637" s="83" t="str">
        <f>HYPERLINK("https://pbs.twimg.com/profile_banners/1453006887474040845/1693426732")</f>
        <v>https://pbs.twimg.com/profile_banners/1453006887474040845/1693426732</v>
      </c>
      <c r="BI637" s="76"/>
      <c r="BJ637" s="76" t="s">
        <v>18704</v>
      </c>
      <c r="BK637" s="76" t="b">
        <v>0</v>
      </c>
      <c r="BL637" s="76"/>
      <c r="BM637" s="76" t="s">
        <v>66</v>
      </c>
      <c r="BN637" s="76" t="s">
        <v>18706</v>
      </c>
      <c r="BO637" s="83" t="str">
        <f>HYPERLINK("https://twitter.com/investigauce")</f>
        <v>https://twitter.com/investigauce</v>
      </c>
      <c r="BP637" s="2"/>
    </row>
    <row r="638" spans="1:68" x14ac:dyDescent="0.25">
      <c r="A638" s="62" t="s">
        <v>706</v>
      </c>
      <c r="B638" s="63"/>
      <c r="C638" s="63"/>
      <c r="D638" s="64"/>
      <c r="E638" s="66"/>
      <c r="F638" s="102" t="str">
        <f>HYPERLINK("https://pbs.twimg.com/profile_images/1425107070941073410/bKPScetx_normal.jpg")</f>
        <v>https://pbs.twimg.com/profile_images/1425107070941073410/bKPScetx_normal.jpg</v>
      </c>
      <c r="G638" s="63"/>
      <c r="H638" s="67"/>
      <c r="I638" s="68"/>
      <c r="J638" s="68"/>
      <c r="K638" s="67" t="s">
        <v>19341</v>
      </c>
      <c r="L638" s="71"/>
      <c r="M638" s="72"/>
      <c r="N638" s="72"/>
      <c r="O638" s="73"/>
      <c r="P638" s="74"/>
      <c r="Q638" s="74"/>
      <c r="R638" s="86"/>
      <c r="S638" s="86"/>
      <c r="T638" s="86"/>
      <c r="U638" s="86"/>
      <c r="V638" s="48"/>
      <c r="W638" s="48"/>
      <c r="X638" s="48"/>
      <c r="Y638" s="48"/>
      <c r="Z638" s="47"/>
      <c r="AA638" s="69">
        <v>638</v>
      </c>
      <c r="AB638" s="69"/>
      <c r="AC638" s="70"/>
      <c r="AD638" s="76" t="s">
        <v>17064</v>
      </c>
      <c r="AE638" s="81" t="s">
        <v>16383</v>
      </c>
      <c r="AF638" s="76">
        <v>51</v>
      </c>
      <c r="AG638" s="76">
        <v>215</v>
      </c>
      <c r="AH638" s="76">
        <v>7221</v>
      </c>
      <c r="AI638" s="76">
        <v>0</v>
      </c>
      <c r="AJ638" s="76">
        <v>6672</v>
      </c>
      <c r="AK638" s="76">
        <v>947</v>
      </c>
      <c r="AL638" s="76" t="b">
        <v>0</v>
      </c>
      <c r="AM638" s="78">
        <v>42877.953958333332</v>
      </c>
      <c r="AN638" s="76" t="s">
        <v>17637</v>
      </c>
      <c r="AO638" s="76" t="s">
        <v>18215</v>
      </c>
      <c r="AP638" s="83" t="str">
        <f>HYPERLINK("https://t.co/od7mVWokKq")</f>
        <v>https://t.co/od7mVWokKq</v>
      </c>
      <c r="AQ638" s="83" t="str">
        <f>HYPERLINK("http://www.douglascorretordeimoveis.com")</f>
        <v>http://www.douglascorretordeimoveis.com</v>
      </c>
      <c r="AR638" s="76" t="s">
        <v>6555</v>
      </c>
      <c r="AS638" s="76"/>
      <c r="AT638" s="76"/>
      <c r="AU638" s="76"/>
      <c r="AV638" s="76"/>
      <c r="AW638" s="83" t="str">
        <f>HYPERLINK("https://t.co/od7mVWokKq")</f>
        <v>https://t.co/od7mVWokKq</v>
      </c>
      <c r="AX638" s="76" t="b">
        <v>0</v>
      </c>
      <c r="AY638" s="76"/>
      <c r="AZ638" s="76"/>
      <c r="BA638" s="76" t="b">
        <v>0</v>
      </c>
      <c r="BB638" s="76" t="b">
        <v>1</v>
      </c>
      <c r="BC638" s="76" t="b">
        <v>1</v>
      </c>
      <c r="BD638" s="76" t="b">
        <v>0</v>
      </c>
      <c r="BE638" s="76" t="b">
        <v>1</v>
      </c>
      <c r="BF638" s="76" t="b">
        <v>0</v>
      </c>
      <c r="BG638" s="76" t="b">
        <v>0</v>
      </c>
      <c r="BH638" s="83" t="str">
        <f>HYPERLINK("https://pbs.twimg.com/profile_banners/866789192185106432/1628184906")</f>
        <v>https://pbs.twimg.com/profile_banners/866789192185106432/1628184906</v>
      </c>
      <c r="BI638" s="76"/>
      <c r="BJ638" s="76" t="s">
        <v>18704</v>
      </c>
      <c r="BK638" s="76" t="b">
        <v>0</v>
      </c>
      <c r="BL638" s="76"/>
      <c r="BM638" s="76" t="s">
        <v>66</v>
      </c>
      <c r="BN638" s="76" t="s">
        <v>18706</v>
      </c>
      <c r="BO638" s="83" t="str">
        <f>HYPERLINK("https://twitter.com/poolreis97")</f>
        <v>https://twitter.com/poolreis97</v>
      </c>
      <c r="BP638" s="2"/>
    </row>
    <row r="639" spans="1:68" x14ac:dyDescent="0.25">
      <c r="A639" s="62" t="s">
        <v>707</v>
      </c>
      <c r="B639" s="63"/>
      <c r="C639" s="63"/>
      <c r="D639" s="64"/>
      <c r="E639" s="66"/>
      <c r="F639" s="102" t="str">
        <f>HYPERLINK("https://pbs.twimg.com/profile_images/1522285569132351488/Si-rkn3J_normal.jpg")</f>
        <v>https://pbs.twimg.com/profile_images/1522285569132351488/Si-rkn3J_normal.jpg</v>
      </c>
      <c r="G639" s="63"/>
      <c r="H639" s="67"/>
      <c r="I639" s="68"/>
      <c r="J639" s="68"/>
      <c r="K639" s="67" t="s">
        <v>19342</v>
      </c>
      <c r="L639" s="71"/>
      <c r="M639" s="72"/>
      <c r="N639" s="72"/>
      <c r="O639" s="73"/>
      <c r="P639" s="74"/>
      <c r="Q639" s="74"/>
      <c r="R639" s="86"/>
      <c r="S639" s="86"/>
      <c r="T639" s="86"/>
      <c r="U639" s="86"/>
      <c r="V639" s="48"/>
      <c r="W639" s="48"/>
      <c r="X639" s="48"/>
      <c r="Y639" s="48"/>
      <c r="Z639" s="47"/>
      <c r="AA639" s="69">
        <v>639</v>
      </c>
      <c r="AB639" s="69"/>
      <c r="AC639" s="70"/>
      <c r="AD639" s="76" t="s">
        <v>17065</v>
      </c>
      <c r="AE639" s="81" t="s">
        <v>16384</v>
      </c>
      <c r="AF639" s="76">
        <v>19</v>
      </c>
      <c r="AG639" s="76">
        <v>95</v>
      </c>
      <c r="AH639" s="76">
        <v>59</v>
      </c>
      <c r="AI639" s="76">
        <v>1</v>
      </c>
      <c r="AJ639" s="76">
        <v>0</v>
      </c>
      <c r="AK639" s="76">
        <v>57</v>
      </c>
      <c r="AL639" s="76" t="b">
        <v>0</v>
      </c>
      <c r="AM639" s="78">
        <v>44683.822129629632</v>
      </c>
      <c r="AN639" s="76" t="s">
        <v>10586</v>
      </c>
      <c r="AO639" s="76" t="s">
        <v>18216</v>
      </c>
      <c r="AP639" s="83" t="str">
        <f>HYPERLINK("https://t.co/tQd9aUYITv")</f>
        <v>https://t.co/tQd9aUYITv</v>
      </c>
      <c r="AQ639" s="83" t="str">
        <f>HYPERLINK("http://www.contacripto.com.br")</f>
        <v>http://www.contacripto.com.br</v>
      </c>
      <c r="AR639" s="76" t="s">
        <v>18611</v>
      </c>
      <c r="AS639" s="76"/>
      <c r="AT639" s="76"/>
      <c r="AU639" s="76"/>
      <c r="AV639" s="76"/>
      <c r="AW639" s="83" t="str">
        <f>HYPERLINK("https://t.co/tQd9aUYITv")</f>
        <v>https://t.co/tQd9aUYITv</v>
      </c>
      <c r="AX639" s="76" t="b">
        <v>0</v>
      </c>
      <c r="AY639" s="76"/>
      <c r="AZ639" s="76"/>
      <c r="BA639" s="76" t="b">
        <v>0</v>
      </c>
      <c r="BB639" s="76" t="b">
        <v>1</v>
      </c>
      <c r="BC639" s="76" t="b">
        <v>1</v>
      </c>
      <c r="BD639" s="76" t="b">
        <v>0</v>
      </c>
      <c r="BE639" s="76" t="b">
        <v>0</v>
      </c>
      <c r="BF639" s="76" t="b">
        <v>0</v>
      </c>
      <c r="BG639" s="76" t="b">
        <v>0</v>
      </c>
      <c r="BH639" s="83" t="str">
        <f>HYPERLINK("https://pbs.twimg.com/profile_banners/1521213881993023489/1651776174")</f>
        <v>https://pbs.twimg.com/profile_banners/1521213881993023489/1651776174</v>
      </c>
      <c r="BI639" s="76"/>
      <c r="BJ639" s="76" t="s">
        <v>18704</v>
      </c>
      <c r="BK639" s="76" t="b">
        <v>0</v>
      </c>
      <c r="BL639" s="76"/>
      <c r="BM639" s="76" t="s">
        <v>66</v>
      </c>
      <c r="BN639" s="76" t="s">
        <v>18706</v>
      </c>
      <c r="BO639" s="83" t="str">
        <f>HYPERLINK("https://twitter.com/contacripto_")</f>
        <v>https://twitter.com/contacripto_</v>
      </c>
      <c r="BP639" s="2"/>
    </row>
    <row r="640" spans="1:68" x14ac:dyDescent="0.25">
      <c r="A640" s="62" t="s">
        <v>708</v>
      </c>
      <c r="B640" s="63"/>
      <c r="C640" s="63"/>
      <c r="D640" s="64"/>
      <c r="E640" s="66"/>
      <c r="F640" s="102" t="str">
        <f>HYPERLINK("https://pbs.twimg.com/profile_images/1253056084866215938/e3icGGtQ_normal.jpg")</f>
        <v>https://pbs.twimg.com/profile_images/1253056084866215938/e3icGGtQ_normal.jpg</v>
      </c>
      <c r="G640" s="63"/>
      <c r="H640" s="67"/>
      <c r="I640" s="68"/>
      <c r="J640" s="68"/>
      <c r="K640" s="67" t="s">
        <v>19343</v>
      </c>
      <c r="L640" s="71"/>
      <c r="M640" s="72"/>
      <c r="N640" s="72"/>
      <c r="O640" s="73"/>
      <c r="P640" s="74"/>
      <c r="Q640" s="74"/>
      <c r="R640" s="86"/>
      <c r="S640" s="86"/>
      <c r="T640" s="86"/>
      <c r="U640" s="86"/>
      <c r="V640" s="48"/>
      <c r="W640" s="48"/>
      <c r="X640" s="48"/>
      <c r="Y640" s="48"/>
      <c r="Z640" s="47"/>
      <c r="AA640" s="69">
        <v>640</v>
      </c>
      <c r="AB640" s="69"/>
      <c r="AC640" s="70"/>
      <c r="AD640" s="76" t="s">
        <v>17066</v>
      </c>
      <c r="AE640" s="81" t="s">
        <v>16385</v>
      </c>
      <c r="AF640" s="76">
        <v>375</v>
      </c>
      <c r="AG640" s="76">
        <v>3195</v>
      </c>
      <c r="AH640" s="76">
        <v>6522</v>
      </c>
      <c r="AI640" s="76">
        <v>2</v>
      </c>
      <c r="AJ640" s="76">
        <v>11653</v>
      </c>
      <c r="AK640" s="76">
        <v>237</v>
      </c>
      <c r="AL640" s="76" t="b">
        <v>0</v>
      </c>
      <c r="AM640" s="78">
        <v>43943.792094907411</v>
      </c>
      <c r="AN640" s="76" t="s">
        <v>17443</v>
      </c>
      <c r="AO640" s="76" t="s">
        <v>18217</v>
      </c>
      <c r="AP640" s="76"/>
      <c r="AQ640" s="76"/>
      <c r="AR640" s="76"/>
      <c r="AS640" s="76"/>
      <c r="AT640" s="76"/>
      <c r="AU640" s="76"/>
      <c r="AV640" s="76">
        <v>1.25484270650703E+18</v>
      </c>
      <c r="AW640" s="76"/>
      <c r="AX640" s="76" t="b">
        <v>0</v>
      </c>
      <c r="AY640" s="76"/>
      <c r="AZ640" s="76"/>
      <c r="BA640" s="76" t="b">
        <v>0</v>
      </c>
      <c r="BB640" s="76" t="b">
        <v>1</v>
      </c>
      <c r="BC640" s="76" t="b">
        <v>1</v>
      </c>
      <c r="BD640" s="76" t="b">
        <v>0</v>
      </c>
      <c r="BE640" s="76" t="b">
        <v>1</v>
      </c>
      <c r="BF640" s="76" t="b">
        <v>0</v>
      </c>
      <c r="BG640" s="76" t="b">
        <v>0</v>
      </c>
      <c r="BH640" s="83" t="str">
        <f>HYPERLINK("https://pbs.twimg.com/profile_banners/1253035854827786244/1587835503")</f>
        <v>https://pbs.twimg.com/profile_banners/1253035854827786244/1587835503</v>
      </c>
      <c r="BI640" s="76"/>
      <c r="BJ640" s="76" t="s">
        <v>18704</v>
      </c>
      <c r="BK640" s="76" t="b">
        <v>0</v>
      </c>
      <c r="BL640" s="76"/>
      <c r="BM640" s="76" t="s">
        <v>66</v>
      </c>
      <c r="BN640" s="76" t="s">
        <v>18706</v>
      </c>
      <c r="BO640" s="83" t="str">
        <f>HYPERLINK("https://twitter.com/italybri")</f>
        <v>https://twitter.com/italybri</v>
      </c>
      <c r="BP640" s="2"/>
    </row>
    <row r="641" spans="1:68" x14ac:dyDescent="0.25">
      <c r="A641" s="62" t="s">
        <v>890</v>
      </c>
      <c r="B641" s="63"/>
      <c r="C641" s="63"/>
      <c r="D641" s="64"/>
      <c r="E641" s="66"/>
      <c r="F641" s="102" t="str">
        <f>HYPERLINK("https://pbs.twimg.com/profile_images/1570522907423408128/CeCJ_SKq_normal.jpg")</f>
        <v>https://pbs.twimg.com/profile_images/1570522907423408128/CeCJ_SKq_normal.jpg</v>
      </c>
      <c r="G641" s="63"/>
      <c r="H641" s="67"/>
      <c r="I641" s="68"/>
      <c r="J641" s="68"/>
      <c r="K641" s="67" t="s">
        <v>19344</v>
      </c>
      <c r="L641" s="71"/>
      <c r="M641" s="72"/>
      <c r="N641" s="72"/>
      <c r="O641" s="73"/>
      <c r="P641" s="74"/>
      <c r="Q641" s="74"/>
      <c r="R641" s="86"/>
      <c r="S641" s="86"/>
      <c r="T641" s="86"/>
      <c r="U641" s="86"/>
      <c r="V641" s="48"/>
      <c r="W641" s="48"/>
      <c r="X641" s="48"/>
      <c r="Y641" s="48"/>
      <c r="Z641" s="47"/>
      <c r="AA641" s="69">
        <v>641</v>
      </c>
      <c r="AB641" s="69"/>
      <c r="AC641" s="70"/>
      <c r="AD641" s="76" t="s">
        <v>17067</v>
      </c>
      <c r="AE641" s="81" t="s">
        <v>15977</v>
      </c>
      <c r="AF641" s="76">
        <v>50042</v>
      </c>
      <c r="AG641" s="76">
        <v>7767</v>
      </c>
      <c r="AH641" s="76">
        <v>82654</v>
      </c>
      <c r="AI641" s="76">
        <v>392</v>
      </c>
      <c r="AJ641" s="76">
        <v>49839</v>
      </c>
      <c r="AK641" s="76">
        <v>3416</v>
      </c>
      <c r="AL641" s="76" t="b">
        <v>0</v>
      </c>
      <c r="AM641" s="78">
        <v>39994.542349537034</v>
      </c>
      <c r="AN641" s="76" t="s">
        <v>17638</v>
      </c>
      <c r="AO641" s="76" t="s">
        <v>18218</v>
      </c>
      <c r="AP641" s="83" t="str">
        <f>HYPERLINK("https://t.co/sw3oVXQSOn")</f>
        <v>https://t.co/sw3oVXQSOn</v>
      </c>
      <c r="AQ641" s="83" t="str">
        <f>HYPERLINK("https://vladimirogiacche.academia.edu")</f>
        <v>https://vladimirogiacche.academia.edu</v>
      </c>
      <c r="AR641" s="76" t="s">
        <v>18612</v>
      </c>
      <c r="AS641" s="76"/>
      <c r="AT641" s="76"/>
      <c r="AU641" s="76"/>
      <c r="AV641" s="76">
        <v>7.1781620648135398E+17</v>
      </c>
      <c r="AW641" s="83" t="str">
        <f>HYPERLINK("https://t.co/sw3oVXQSOn")</f>
        <v>https://t.co/sw3oVXQSOn</v>
      </c>
      <c r="AX641" s="76" t="b">
        <v>0</v>
      </c>
      <c r="AY641" s="76"/>
      <c r="AZ641" s="76"/>
      <c r="BA641" s="76" t="b">
        <v>0</v>
      </c>
      <c r="BB641" s="76" t="b">
        <v>1</v>
      </c>
      <c r="BC641" s="76" t="b">
        <v>1</v>
      </c>
      <c r="BD641" s="76" t="b">
        <v>0</v>
      </c>
      <c r="BE641" s="76" t="b">
        <v>1</v>
      </c>
      <c r="BF641" s="76" t="b">
        <v>0</v>
      </c>
      <c r="BG641" s="76" t="b">
        <v>0</v>
      </c>
      <c r="BH641" s="83" t="str">
        <f>HYPERLINK("https://pbs.twimg.com/profile_banners/52387663/1538253346")</f>
        <v>https://pbs.twimg.com/profile_banners/52387663/1538253346</v>
      </c>
      <c r="BI641" s="76"/>
      <c r="BJ641" s="76" t="s">
        <v>18704</v>
      </c>
      <c r="BK641" s="76" t="b">
        <v>0</v>
      </c>
      <c r="BL641" s="76"/>
      <c r="BM641" s="76" t="s">
        <v>65</v>
      </c>
      <c r="BN641" s="76" t="s">
        <v>18706</v>
      </c>
      <c r="BO641" s="83" t="str">
        <f>HYPERLINK("https://twitter.com/comunardo")</f>
        <v>https://twitter.com/comunardo</v>
      </c>
      <c r="BP641" s="2"/>
    </row>
    <row r="642" spans="1:68" x14ac:dyDescent="0.25">
      <c r="A642" s="62" t="s">
        <v>710</v>
      </c>
      <c r="B642" s="63"/>
      <c r="C642" s="63"/>
      <c r="D642" s="64"/>
      <c r="E642" s="66"/>
      <c r="F642" s="102" t="str">
        <f>HYPERLINK("https://pbs.twimg.com/profile_images/1560446913245286404/ere5nGIX_normal.jpg")</f>
        <v>https://pbs.twimg.com/profile_images/1560446913245286404/ere5nGIX_normal.jpg</v>
      </c>
      <c r="G642" s="63"/>
      <c r="H642" s="67"/>
      <c r="I642" s="68"/>
      <c r="J642" s="68"/>
      <c r="K642" s="67" t="s">
        <v>19345</v>
      </c>
      <c r="L642" s="71"/>
      <c r="M642" s="72"/>
      <c r="N642" s="72"/>
      <c r="O642" s="73"/>
      <c r="P642" s="74"/>
      <c r="Q642" s="74"/>
      <c r="R642" s="86"/>
      <c r="S642" s="86"/>
      <c r="T642" s="86"/>
      <c r="U642" s="86"/>
      <c r="V642" s="48"/>
      <c r="W642" s="48"/>
      <c r="X642" s="48"/>
      <c r="Y642" s="48"/>
      <c r="Z642" s="47"/>
      <c r="AA642" s="69">
        <v>642</v>
      </c>
      <c r="AB642" s="69"/>
      <c r="AC642" s="70"/>
      <c r="AD642" s="76" t="s">
        <v>17068</v>
      </c>
      <c r="AE642" s="81" t="s">
        <v>16386</v>
      </c>
      <c r="AF642" s="76">
        <v>45</v>
      </c>
      <c r="AG642" s="76">
        <v>262</v>
      </c>
      <c r="AH642" s="76">
        <v>1745</v>
      </c>
      <c r="AI642" s="76">
        <v>0</v>
      </c>
      <c r="AJ642" s="76">
        <v>979</v>
      </c>
      <c r="AK642" s="76">
        <v>95</v>
      </c>
      <c r="AL642" s="76" t="b">
        <v>0</v>
      </c>
      <c r="AM642" s="78">
        <v>43797.639317129629</v>
      </c>
      <c r="AN642" s="76" t="s">
        <v>17639</v>
      </c>
      <c r="AO642" s="76" t="s">
        <v>18219</v>
      </c>
      <c r="AP642" s="76"/>
      <c r="AQ642" s="76"/>
      <c r="AR642" s="76"/>
      <c r="AS642" s="76"/>
      <c r="AT642" s="76"/>
      <c r="AU642" s="76"/>
      <c r="AV642" s="76"/>
      <c r="AW642" s="76"/>
      <c r="AX642" s="76" t="b">
        <v>0</v>
      </c>
      <c r="AY642" s="76"/>
      <c r="AZ642" s="76"/>
      <c r="BA642" s="76" t="b">
        <v>0</v>
      </c>
      <c r="BB642" s="76" t="b">
        <v>1</v>
      </c>
      <c r="BC642" s="76" t="b">
        <v>1</v>
      </c>
      <c r="BD642" s="76" t="b">
        <v>0</v>
      </c>
      <c r="BE642" s="76" t="b">
        <v>1</v>
      </c>
      <c r="BF642" s="76" t="b">
        <v>0</v>
      </c>
      <c r="BG642" s="76" t="b">
        <v>0</v>
      </c>
      <c r="BH642" s="76"/>
      <c r="BI642" s="76"/>
      <c r="BJ642" s="76" t="s">
        <v>18704</v>
      </c>
      <c r="BK642" s="76" t="b">
        <v>0</v>
      </c>
      <c r="BL642" s="76"/>
      <c r="BM642" s="76" t="s">
        <v>66</v>
      </c>
      <c r="BN642" s="76" t="s">
        <v>18706</v>
      </c>
      <c r="BO642" s="83" t="str">
        <f>HYPERLINK("https://twitter.com/jlionunes11")</f>
        <v>https://twitter.com/jlionunes11</v>
      </c>
      <c r="BP642" s="2"/>
    </row>
    <row r="643" spans="1:68" x14ac:dyDescent="0.25">
      <c r="A643" s="62" t="s">
        <v>711</v>
      </c>
      <c r="B643" s="63"/>
      <c r="C643" s="63"/>
      <c r="D643" s="64"/>
      <c r="E643" s="66"/>
      <c r="F643" s="102" t="str">
        <f>HYPERLINK("https://pbs.twimg.com/profile_images/1690924079136509952/n158NpyH_normal.jpg")</f>
        <v>https://pbs.twimg.com/profile_images/1690924079136509952/n158NpyH_normal.jpg</v>
      </c>
      <c r="G643" s="63"/>
      <c r="H643" s="67"/>
      <c r="I643" s="68"/>
      <c r="J643" s="68"/>
      <c r="K643" s="67" t="s">
        <v>19346</v>
      </c>
      <c r="L643" s="71"/>
      <c r="M643" s="72"/>
      <c r="N643" s="72"/>
      <c r="O643" s="73"/>
      <c r="P643" s="74"/>
      <c r="Q643" s="74"/>
      <c r="R643" s="86"/>
      <c r="S643" s="86"/>
      <c r="T643" s="86"/>
      <c r="U643" s="86"/>
      <c r="V643" s="48"/>
      <c r="W643" s="48"/>
      <c r="X643" s="48"/>
      <c r="Y643" s="48"/>
      <c r="Z643" s="47"/>
      <c r="AA643" s="69">
        <v>643</v>
      </c>
      <c r="AB643" s="69"/>
      <c r="AC643" s="70"/>
      <c r="AD643" s="76" t="s">
        <v>17069</v>
      </c>
      <c r="AE643" s="81" t="s">
        <v>17384</v>
      </c>
      <c r="AF643" s="76">
        <v>90</v>
      </c>
      <c r="AG643" s="76">
        <v>241</v>
      </c>
      <c r="AH643" s="76">
        <v>7000</v>
      </c>
      <c r="AI643" s="76">
        <v>3</v>
      </c>
      <c r="AJ643" s="76">
        <v>76063</v>
      </c>
      <c r="AK643" s="76">
        <v>400</v>
      </c>
      <c r="AL643" s="76" t="b">
        <v>0</v>
      </c>
      <c r="AM643" s="78">
        <v>40984.166018518517</v>
      </c>
      <c r="AN643" s="76" t="s">
        <v>17401</v>
      </c>
      <c r="AO643" s="76"/>
      <c r="AP643" s="76"/>
      <c r="AQ643" s="76"/>
      <c r="AR643" s="76"/>
      <c r="AS643" s="76"/>
      <c r="AT643" s="76"/>
      <c r="AU643" s="76"/>
      <c r="AV643" s="76">
        <v>1.6175538115302799E+18</v>
      </c>
      <c r="AW643" s="76"/>
      <c r="AX643" s="76" t="b">
        <v>0</v>
      </c>
      <c r="AY643" s="76"/>
      <c r="AZ643" s="76"/>
      <c r="BA643" s="76" t="b">
        <v>1</v>
      </c>
      <c r="BB643" s="76" t="b">
        <v>0</v>
      </c>
      <c r="BC643" s="76" t="b">
        <v>0</v>
      </c>
      <c r="BD643" s="76" t="b">
        <v>0</v>
      </c>
      <c r="BE643" s="76" t="b">
        <v>1</v>
      </c>
      <c r="BF643" s="76" t="b">
        <v>0</v>
      </c>
      <c r="BG643" s="76" t="b">
        <v>0</v>
      </c>
      <c r="BH643" s="83" t="str">
        <f>HYPERLINK("https://pbs.twimg.com/profile_banners/526011899/1691366928")</f>
        <v>https://pbs.twimg.com/profile_banners/526011899/1691366928</v>
      </c>
      <c r="BI643" s="76"/>
      <c r="BJ643" s="76" t="s">
        <v>18704</v>
      </c>
      <c r="BK643" s="76" t="b">
        <v>0</v>
      </c>
      <c r="BL643" s="76"/>
      <c r="BM643" s="76" t="s">
        <v>66</v>
      </c>
      <c r="BN643" s="76" t="s">
        <v>18706</v>
      </c>
      <c r="BO643" s="83" t="str">
        <f>HYPERLINK("https://twitter.com/alexandercio")</f>
        <v>https://twitter.com/alexandercio</v>
      </c>
      <c r="BP643" s="2"/>
    </row>
    <row r="644" spans="1:68" x14ac:dyDescent="0.25">
      <c r="A644" s="62" t="s">
        <v>712</v>
      </c>
      <c r="B644" s="63"/>
      <c r="C644" s="63"/>
      <c r="D644" s="64"/>
      <c r="E644" s="66"/>
      <c r="F644" s="102" t="str">
        <f>HYPERLINK("https://pbs.twimg.com/profile_images/1517820485064867842/hG9izvPU_normal.jpg")</f>
        <v>https://pbs.twimg.com/profile_images/1517820485064867842/hG9izvPU_normal.jpg</v>
      </c>
      <c r="G644" s="63"/>
      <c r="H644" s="67"/>
      <c r="I644" s="68"/>
      <c r="J644" s="68"/>
      <c r="K644" s="67" t="s">
        <v>19347</v>
      </c>
      <c r="L644" s="71"/>
      <c r="M644" s="72"/>
      <c r="N644" s="72"/>
      <c r="O644" s="73"/>
      <c r="P644" s="74"/>
      <c r="Q644" s="74"/>
      <c r="R644" s="86"/>
      <c r="S644" s="86"/>
      <c r="T644" s="86"/>
      <c r="U644" s="86"/>
      <c r="V644" s="48"/>
      <c r="W644" s="48"/>
      <c r="X644" s="48"/>
      <c r="Y644" s="48"/>
      <c r="Z644" s="47"/>
      <c r="AA644" s="69">
        <v>644</v>
      </c>
      <c r="AB644" s="69"/>
      <c r="AC644" s="70"/>
      <c r="AD644" s="76" t="s">
        <v>17070</v>
      </c>
      <c r="AE644" s="81" t="s">
        <v>16387</v>
      </c>
      <c r="AF644" s="76">
        <v>396</v>
      </c>
      <c r="AG644" s="76">
        <v>3</v>
      </c>
      <c r="AH644" s="76">
        <v>12930</v>
      </c>
      <c r="AI644" s="76">
        <v>4</v>
      </c>
      <c r="AJ644" s="76">
        <v>135</v>
      </c>
      <c r="AK644" s="76">
        <v>1858</v>
      </c>
      <c r="AL644" s="76" t="b">
        <v>0</v>
      </c>
      <c r="AM644" s="78">
        <v>42594.446342592593</v>
      </c>
      <c r="AN644" s="76" t="s">
        <v>17640</v>
      </c>
      <c r="AO644" s="76"/>
      <c r="AP644" s="83" t="str">
        <f>HYPERLINK("https://t.co/pOb4jJWEUK")</f>
        <v>https://t.co/pOb4jJWEUK</v>
      </c>
      <c r="AQ644" s="83" t="str">
        <f>HYPERLINK("http://www.holisticinvestment.in")</f>
        <v>http://www.holisticinvestment.in</v>
      </c>
      <c r="AR644" s="76" t="s">
        <v>17070</v>
      </c>
      <c r="AS644" s="76"/>
      <c r="AT644" s="76"/>
      <c r="AU644" s="76"/>
      <c r="AV644" s="76"/>
      <c r="AW644" s="83" t="str">
        <f>HYPERLINK("https://t.co/pOb4jJWEUK")</f>
        <v>https://t.co/pOb4jJWEUK</v>
      </c>
      <c r="AX644" s="76" t="b">
        <v>0</v>
      </c>
      <c r="AY644" s="76"/>
      <c r="AZ644" s="76"/>
      <c r="BA644" s="76" t="b">
        <v>1</v>
      </c>
      <c r="BB644" s="76" t="b">
        <v>1</v>
      </c>
      <c r="BC644" s="76" t="b">
        <v>0</v>
      </c>
      <c r="BD644" s="76" t="b">
        <v>0</v>
      </c>
      <c r="BE644" s="76" t="b">
        <v>1</v>
      </c>
      <c r="BF644" s="76" t="b">
        <v>0</v>
      </c>
      <c r="BG644" s="76" t="b">
        <v>0</v>
      </c>
      <c r="BH644" s="83" t="str">
        <f>HYPERLINK("https://pbs.twimg.com/profile_banners/764049471151886336/1552737947")</f>
        <v>https://pbs.twimg.com/profile_banners/764049471151886336/1552737947</v>
      </c>
      <c r="BI644" s="76"/>
      <c r="BJ644" s="76" t="s">
        <v>18704</v>
      </c>
      <c r="BK644" s="76" t="b">
        <v>0</v>
      </c>
      <c r="BL644" s="76"/>
      <c r="BM644" s="76" t="s">
        <v>66</v>
      </c>
      <c r="BN644" s="76" t="s">
        <v>18706</v>
      </c>
      <c r="BO644" s="83" t="str">
        <f>HYPERLINK("https://twitter.com/holistic_invest")</f>
        <v>https://twitter.com/holistic_invest</v>
      </c>
      <c r="BP644" s="2"/>
    </row>
    <row r="645" spans="1:68" x14ac:dyDescent="0.25">
      <c r="A645" s="62" t="s">
        <v>713</v>
      </c>
      <c r="B645" s="63"/>
      <c r="C645" s="63"/>
      <c r="D645" s="64"/>
      <c r="E645" s="66"/>
      <c r="F645" s="102" t="str">
        <f>HYPERLINK("https://pbs.twimg.com/profile_images/1609841078785527808/VyY0Gh3N_normal.jpg")</f>
        <v>https://pbs.twimg.com/profile_images/1609841078785527808/VyY0Gh3N_normal.jpg</v>
      </c>
      <c r="G645" s="63"/>
      <c r="H645" s="67"/>
      <c r="I645" s="68"/>
      <c r="J645" s="68"/>
      <c r="K645" s="67" t="s">
        <v>19348</v>
      </c>
      <c r="L645" s="71"/>
      <c r="M645" s="72"/>
      <c r="N645" s="72"/>
      <c r="O645" s="73"/>
      <c r="P645" s="74"/>
      <c r="Q645" s="74"/>
      <c r="R645" s="86"/>
      <c r="S645" s="86"/>
      <c r="T645" s="86"/>
      <c r="U645" s="86"/>
      <c r="V645" s="48"/>
      <c r="W645" s="48"/>
      <c r="X645" s="48"/>
      <c r="Y645" s="48"/>
      <c r="Z645" s="47"/>
      <c r="AA645" s="69">
        <v>645</v>
      </c>
      <c r="AB645" s="69"/>
      <c r="AC645" s="70"/>
      <c r="AD645" s="76" t="s">
        <v>17071</v>
      </c>
      <c r="AE645" s="81" t="s">
        <v>17385</v>
      </c>
      <c r="AF645" s="76">
        <v>2377</v>
      </c>
      <c r="AG645" s="76">
        <v>521</v>
      </c>
      <c r="AH645" s="76">
        <v>18081</v>
      </c>
      <c r="AI645" s="76">
        <v>107</v>
      </c>
      <c r="AJ645" s="76">
        <v>1947</v>
      </c>
      <c r="AK645" s="76">
        <v>3966</v>
      </c>
      <c r="AL645" s="76" t="b">
        <v>0</v>
      </c>
      <c r="AM645" s="78">
        <v>40416.495266203703</v>
      </c>
      <c r="AN645" s="76" t="s">
        <v>17620</v>
      </c>
      <c r="AO645" s="76" t="s">
        <v>18220</v>
      </c>
      <c r="AP645" s="83" t="str">
        <f>HYPERLINK("https://t.co/BAM9NVOFdA")</f>
        <v>https://t.co/BAM9NVOFdA</v>
      </c>
      <c r="AQ645" s="83" t="str">
        <f>HYPERLINK("http://www.auditoresinternos.es")</f>
        <v>http://www.auditoresinternos.es</v>
      </c>
      <c r="AR645" s="76" t="s">
        <v>18613</v>
      </c>
      <c r="AS645" s="76"/>
      <c r="AT645" s="76"/>
      <c r="AU645" s="76"/>
      <c r="AV645" s="76"/>
      <c r="AW645" s="83" t="str">
        <f>HYPERLINK("https://t.co/BAM9NVOFdA")</f>
        <v>https://t.co/BAM9NVOFdA</v>
      </c>
      <c r="AX645" s="76" t="b">
        <v>0</v>
      </c>
      <c r="AY645" s="76"/>
      <c r="AZ645" s="76"/>
      <c r="BA645" s="76" t="b">
        <v>0</v>
      </c>
      <c r="BB645" s="76" t="b">
        <v>1</v>
      </c>
      <c r="BC645" s="76" t="b">
        <v>0</v>
      </c>
      <c r="BD645" s="76" t="b">
        <v>0</v>
      </c>
      <c r="BE645" s="76" t="b">
        <v>0</v>
      </c>
      <c r="BF645" s="76" t="b">
        <v>0</v>
      </c>
      <c r="BG645" s="76" t="b">
        <v>0</v>
      </c>
      <c r="BH645" s="83" t="str">
        <f>HYPERLINK("https://pbs.twimg.com/profile_banners/183200672/1672650998")</f>
        <v>https://pbs.twimg.com/profile_banners/183200672/1672650998</v>
      </c>
      <c r="BI645" s="76"/>
      <c r="BJ645" s="76" t="s">
        <v>18704</v>
      </c>
      <c r="BK645" s="76" t="b">
        <v>0</v>
      </c>
      <c r="BL645" s="76"/>
      <c r="BM645" s="76" t="s">
        <v>66</v>
      </c>
      <c r="BN645" s="76" t="s">
        <v>18706</v>
      </c>
      <c r="BO645" s="83" t="str">
        <f>HYPERLINK("https://twitter.com/auditorinterno")</f>
        <v>https://twitter.com/auditorinterno</v>
      </c>
      <c r="BP645" s="2"/>
    </row>
    <row r="646" spans="1:68" x14ac:dyDescent="0.25">
      <c r="A646" s="62" t="s">
        <v>714</v>
      </c>
      <c r="B646" s="63"/>
      <c r="C646" s="63"/>
      <c r="D646" s="64"/>
      <c r="E646" s="66"/>
      <c r="F646" s="102" t="str">
        <f>HYPERLINK("https://pbs.twimg.com/profile_images/2044852218/NYT_Twitter_Krugman_normal.png")</f>
        <v>https://pbs.twimg.com/profile_images/2044852218/NYT_Twitter_Krugman_normal.png</v>
      </c>
      <c r="G646" s="63"/>
      <c r="H646" s="67"/>
      <c r="I646" s="68"/>
      <c r="J646" s="68"/>
      <c r="K646" s="67" t="s">
        <v>19349</v>
      </c>
      <c r="L646" s="71"/>
      <c r="M646" s="72"/>
      <c r="N646" s="72"/>
      <c r="O646" s="73"/>
      <c r="P646" s="74"/>
      <c r="Q646" s="74"/>
      <c r="R646" s="86"/>
      <c r="S646" s="86"/>
      <c r="T646" s="86"/>
      <c r="U646" s="86"/>
      <c r="V646" s="48"/>
      <c r="W646" s="48"/>
      <c r="X646" s="48"/>
      <c r="Y646" s="48"/>
      <c r="Z646" s="47"/>
      <c r="AA646" s="69">
        <v>646</v>
      </c>
      <c r="AB646" s="69"/>
      <c r="AC646" s="70"/>
      <c r="AD646" s="76" t="s">
        <v>17072</v>
      </c>
      <c r="AE646" s="81" t="s">
        <v>17386</v>
      </c>
      <c r="AF646" s="76">
        <v>4537084</v>
      </c>
      <c r="AG646" s="76">
        <v>130</v>
      </c>
      <c r="AH646" s="76">
        <v>24953</v>
      </c>
      <c r="AI646" s="76">
        <v>35760</v>
      </c>
      <c r="AJ646" s="76">
        <v>45</v>
      </c>
      <c r="AK646" s="76">
        <v>2715</v>
      </c>
      <c r="AL646" s="76" t="b">
        <v>0</v>
      </c>
      <c r="AM646" s="78">
        <v>39748.84516203704</v>
      </c>
      <c r="AN646" s="76" t="s">
        <v>17593</v>
      </c>
      <c r="AO646" s="76" t="s">
        <v>18221</v>
      </c>
      <c r="AP646" s="83" t="str">
        <f>HYPERLINK("https://t.co/eyXDbYebpR")</f>
        <v>https://t.co/eyXDbYebpR</v>
      </c>
      <c r="AQ646" s="83" t="str">
        <f>HYPERLINK("https://www.nytimes.com/column/paul-krugman")</f>
        <v>https://www.nytimes.com/column/paul-krugman</v>
      </c>
      <c r="AR646" s="76" t="s">
        <v>18614</v>
      </c>
      <c r="AS646" s="76"/>
      <c r="AT646" s="76"/>
      <c r="AU646" s="76"/>
      <c r="AV646" s="76"/>
      <c r="AW646" s="83" t="str">
        <f>HYPERLINK("https://t.co/eyXDbYebpR")</f>
        <v>https://t.co/eyXDbYebpR</v>
      </c>
      <c r="AX646" s="76" t="b">
        <v>1</v>
      </c>
      <c r="AY646" s="76"/>
      <c r="AZ646" s="76"/>
      <c r="BA646" s="76" t="b">
        <v>0</v>
      </c>
      <c r="BB646" s="76" t="b">
        <v>1</v>
      </c>
      <c r="BC646" s="76" t="b">
        <v>0</v>
      </c>
      <c r="BD646" s="76" t="b">
        <v>0</v>
      </c>
      <c r="BE646" s="76" t="b">
        <v>1</v>
      </c>
      <c r="BF646" s="76" t="b">
        <v>0</v>
      </c>
      <c r="BG646" s="76" t="b">
        <v>0</v>
      </c>
      <c r="BH646" s="76"/>
      <c r="BI646" s="76"/>
      <c r="BJ646" s="76" t="s">
        <v>18704</v>
      </c>
      <c r="BK646" s="76" t="b">
        <v>0</v>
      </c>
      <c r="BL646" s="76"/>
      <c r="BM646" s="76" t="s">
        <v>66</v>
      </c>
      <c r="BN646" s="76" t="s">
        <v>18706</v>
      </c>
      <c r="BO646" s="83" t="str">
        <f>HYPERLINK("https://twitter.com/paulkrugman")</f>
        <v>https://twitter.com/paulkrugman</v>
      </c>
      <c r="BP646" s="2"/>
    </row>
    <row r="647" spans="1:68" x14ac:dyDescent="0.25">
      <c r="A647" s="62" t="s">
        <v>715</v>
      </c>
      <c r="B647" s="63"/>
      <c r="C647" s="63"/>
      <c r="D647" s="64"/>
      <c r="E647" s="66"/>
      <c r="F647" s="102" t="str">
        <f>HYPERLINK("https://pbs.twimg.com/profile_images/931161479398686721/FI3te2Sw_normal.jpg")</f>
        <v>https://pbs.twimg.com/profile_images/931161479398686721/FI3te2Sw_normal.jpg</v>
      </c>
      <c r="G647" s="63"/>
      <c r="H647" s="67"/>
      <c r="I647" s="68"/>
      <c r="J647" s="68"/>
      <c r="K647" s="67" t="s">
        <v>19350</v>
      </c>
      <c r="L647" s="71"/>
      <c r="M647" s="72"/>
      <c r="N647" s="72"/>
      <c r="O647" s="73"/>
      <c r="P647" s="74"/>
      <c r="Q647" s="74"/>
      <c r="R647" s="86"/>
      <c r="S647" s="86"/>
      <c r="T647" s="86"/>
      <c r="U647" s="86"/>
      <c r="V647" s="48"/>
      <c r="W647" s="48"/>
      <c r="X647" s="48"/>
      <c r="Y647" s="48"/>
      <c r="Z647" s="47"/>
      <c r="AA647" s="69">
        <v>647</v>
      </c>
      <c r="AB647" s="69"/>
      <c r="AC647" s="70"/>
      <c r="AD647" s="76" t="s">
        <v>17073</v>
      </c>
      <c r="AE647" s="81" t="s">
        <v>17387</v>
      </c>
      <c r="AF647" s="76">
        <v>7568091</v>
      </c>
      <c r="AG647" s="76">
        <v>1041</v>
      </c>
      <c r="AH647" s="76">
        <v>337154</v>
      </c>
      <c r="AI647" s="76">
        <v>48397</v>
      </c>
      <c r="AJ647" s="76">
        <v>90</v>
      </c>
      <c r="AK647" s="76">
        <v>24315</v>
      </c>
      <c r="AL647" s="76" t="b">
        <v>0</v>
      </c>
      <c r="AM647" s="78">
        <v>39188.704386574071</v>
      </c>
      <c r="AN647" s="76" t="s">
        <v>17641</v>
      </c>
      <c r="AO647" s="76" t="s">
        <v>18222</v>
      </c>
      <c r="AP647" s="83" t="str">
        <f>HYPERLINK("https://t.co/XKMxG94Z9c")</f>
        <v>https://t.co/XKMxG94Z9c</v>
      </c>
      <c r="AQ647" s="83" t="str">
        <f>HYPERLINK("https://www.ft.com")</f>
        <v>https://www.ft.com</v>
      </c>
      <c r="AR647" s="76" t="s">
        <v>6557</v>
      </c>
      <c r="AS647" s="76"/>
      <c r="AT647" s="76"/>
      <c r="AU647" s="76"/>
      <c r="AV647" s="76"/>
      <c r="AW647" s="83" t="str">
        <f>HYPERLINK("https://t.co/XKMxG94Z9c")</f>
        <v>https://t.co/XKMxG94Z9c</v>
      </c>
      <c r="AX647" s="76" t="b">
        <v>1</v>
      </c>
      <c r="AY647" s="76"/>
      <c r="AZ647" s="76"/>
      <c r="BA647" s="76" t="b">
        <v>0</v>
      </c>
      <c r="BB647" s="76" t="b">
        <v>1</v>
      </c>
      <c r="BC647" s="76" t="b">
        <v>0</v>
      </c>
      <c r="BD647" s="76" t="b">
        <v>0</v>
      </c>
      <c r="BE647" s="76" t="b">
        <v>1</v>
      </c>
      <c r="BF647" s="76" t="b">
        <v>0</v>
      </c>
      <c r="BG647" s="76" t="b">
        <v>0</v>
      </c>
      <c r="BH647" s="83" t="str">
        <f>HYPERLINK("https://pbs.twimg.com/profile_banners/4898091/1694438163")</f>
        <v>https://pbs.twimg.com/profile_banners/4898091/1694438163</v>
      </c>
      <c r="BI647" s="76"/>
      <c r="BJ647" s="76" t="s">
        <v>18704</v>
      </c>
      <c r="BK647" s="76" t="b">
        <v>0</v>
      </c>
      <c r="BL647" s="76"/>
      <c r="BM647" s="76" t="s">
        <v>66</v>
      </c>
      <c r="BN647" s="76" t="s">
        <v>18706</v>
      </c>
      <c r="BO647" s="83" t="str">
        <f>HYPERLINK("https://twitter.com/financialtimes")</f>
        <v>https://twitter.com/financialtimes</v>
      </c>
      <c r="BP647" s="2"/>
    </row>
    <row r="648" spans="1:68" x14ac:dyDescent="0.25">
      <c r="A648" s="62" t="s">
        <v>891</v>
      </c>
      <c r="B648" s="63"/>
      <c r="C648" s="63"/>
      <c r="D648" s="64"/>
      <c r="E648" s="66"/>
      <c r="F648" s="102" t="str">
        <f>HYPERLINK("https://pbs.twimg.com/profile_images/876762399885471744/UtaygGK1_normal.jpg")</f>
        <v>https://pbs.twimg.com/profile_images/876762399885471744/UtaygGK1_normal.jpg</v>
      </c>
      <c r="G648" s="63"/>
      <c r="H648" s="67"/>
      <c r="I648" s="68"/>
      <c r="J648" s="68"/>
      <c r="K648" s="67" t="s">
        <v>19351</v>
      </c>
      <c r="L648" s="71"/>
      <c r="M648" s="72"/>
      <c r="N648" s="72"/>
      <c r="O648" s="73"/>
      <c r="P648" s="74"/>
      <c r="Q648" s="74"/>
      <c r="R648" s="86"/>
      <c r="S648" s="86"/>
      <c r="T648" s="86"/>
      <c r="U648" s="86"/>
      <c r="V648" s="48"/>
      <c r="W648" s="48"/>
      <c r="X648" s="48"/>
      <c r="Y648" s="48"/>
      <c r="Z648" s="47"/>
      <c r="AA648" s="69">
        <v>648</v>
      </c>
      <c r="AB648" s="69"/>
      <c r="AC648" s="70"/>
      <c r="AD648" s="76" t="s">
        <v>17074</v>
      </c>
      <c r="AE648" s="81" t="s">
        <v>17388</v>
      </c>
      <c r="AF648" s="76">
        <v>49463</v>
      </c>
      <c r="AG648" s="76">
        <v>578</v>
      </c>
      <c r="AH648" s="76">
        <v>142868</v>
      </c>
      <c r="AI648" s="76">
        <v>1654</v>
      </c>
      <c r="AJ648" s="76">
        <v>486</v>
      </c>
      <c r="AK648" s="76">
        <v>29173</v>
      </c>
      <c r="AL648" s="76" t="b">
        <v>0</v>
      </c>
      <c r="AM648" s="78">
        <v>40540.761157407411</v>
      </c>
      <c r="AN648" s="76"/>
      <c r="AO648" s="76" t="s">
        <v>18223</v>
      </c>
      <c r="AP648" s="83" t="str">
        <f>HYPERLINK("http://t.co/Wn0mRElNNd")</f>
        <v>http://t.co/Wn0mRElNNd</v>
      </c>
      <c r="AQ648" s="83" t="str">
        <f>HYPERLINK("http://www.europapress.es/economia/")</f>
        <v>http://www.europapress.es/economia/</v>
      </c>
      <c r="AR648" s="76" t="s">
        <v>18615</v>
      </c>
      <c r="AS648" s="76"/>
      <c r="AT648" s="76"/>
      <c r="AU648" s="76"/>
      <c r="AV648" s="76"/>
      <c r="AW648" s="83" t="str">
        <f>HYPERLINK("http://t.co/Wn0mRElNNd")</f>
        <v>http://t.co/Wn0mRElNNd</v>
      </c>
      <c r="AX648" s="76" t="b">
        <v>0</v>
      </c>
      <c r="AY648" s="76"/>
      <c r="AZ648" s="76"/>
      <c r="BA648" s="76" t="b">
        <v>0</v>
      </c>
      <c r="BB648" s="76" t="b">
        <v>1</v>
      </c>
      <c r="BC648" s="76" t="b">
        <v>0</v>
      </c>
      <c r="BD648" s="76" t="b">
        <v>0</v>
      </c>
      <c r="BE648" s="76" t="b">
        <v>1</v>
      </c>
      <c r="BF648" s="76" t="b">
        <v>0</v>
      </c>
      <c r="BG648" s="76" t="b">
        <v>0</v>
      </c>
      <c r="BH648" s="83" t="str">
        <f>HYPERLINK("https://pbs.twimg.com/profile_banners/231502837/1412339915")</f>
        <v>https://pbs.twimg.com/profile_banners/231502837/1412339915</v>
      </c>
      <c r="BI648" s="76"/>
      <c r="BJ648" s="76" t="s">
        <v>18704</v>
      </c>
      <c r="BK648" s="76" t="b">
        <v>0</v>
      </c>
      <c r="BL648" s="76"/>
      <c r="BM648" s="76" t="s">
        <v>65</v>
      </c>
      <c r="BN648" s="76" t="s">
        <v>18706</v>
      </c>
      <c r="BO648" s="83" t="str">
        <f>HYPERLINK("https://twitter.com/epeconomia")</f>
        <v>https://twitter.com/epeconomia</v>
      </c>
      <c r="BP648" s="2"/>
    </row>
    <row r="649" spans="1:68" x14ac:dyDescent="0.25">
      <c r="A649" s="62" t="s">
        <v>717</v>
      </c>
      <c r="B649" s="63"/>
      <c r="C649" s="63"/>
      <c r="D649" s="64"/>
      <c r="E649" s="66"/>
      <c r="F649" s="102" t="str">
        <f>HYPERLINK("https://pbs.twimg.com/profile_images/1675764050787987456/qES5swQ1_normal.jpg")</f>
        <v>https://pbs.twimg.com/profile_images/1675764050787987456/qES5swQ1_normal.jpg</v>
      </c>
      <c r="G649" s="63"/>
      <c r="H649" s="67"/>
      <c r="I649" s="68"/>
      <c r="J649" s="68"/>
      <c r="K649" s="67" t="s">
        <v>19352</v>
      </c>
      <c r="L649" s="71"/>
      <c r="M649" s="72"/>
      <c r="N649" s="72"/>
      <c r="O649" s="73"/>
      <c r="P649" s="74"/>
      <c r="Q649" s="74"/>
      <c r="R649" s="86"/>
      <c r="S649" s="86"/>
      <c r="T649" s="86"/>
      <c r="U649" s="86"/>
      <c r="V649" s="48"/>
      <c r="W649" s="48"/>
      <c r="X649" s="48"/>
      <c r="Y649" s="48"/>
      <c r="Z649" s="47"/>
      <c r="AA649" s="69">
        <v>649</v>
      </c>
      <c r="AB649" s="69"/>
      <c r="AC649" s="70"/>
      <c r="AD649" s="76" t="s">
        <v>17075</v>
      </c>
      <c r="AE649" s="81" t="s">
        <v>16388</v>
      </c>
      <c r="AF649" s="76">
        <v>25358</v>
      </c>
      <c r="AG649" s="76">
        <v>95</v>
      </c>
      <c r="AH649" s="76">
        <v>6470</v>
      </c>
      <c r="AI649" s="76">
        <v>404</v>
      </c>
      <c r="AJ649" s="76">
        <v>1060</v>
      </c>
      <c r="AK649" s="76">
        <v>3929</v>
      </c>
      <c r="AL649" s="76" t="b">
        <v>0</v>
      </c>
      <c r="AM649" s="78">
        <v>43398.491967592592</v>
      </c>
      <c r="AN649" s="76" t="s">
        <v>17642</v>
      </c>
      <c r="AO649" s="76" t="s">
        <v>18224</v>
      </c>
      <c r="AP649" s="83" t="str">
        <f>HYPERLINK("https://t.co/IZMNIBeKKS")</f>
        <v>https://t.co/IZMNIBeKKS</v>
      </c>
      <c r="AQ649" s="83" t="str">
        <f>HYPERLINK("http://www.bde.es")</f>
        <v>http://www.bde.es</v>
      </c>
      <c r="AR649" s="76" t="s">
        <v>6559</v>
      </c>
      <c r="AS649" s="76"/>
      <c r="AT649" s="76"/>
      <c r="AU649" s="76"/>
      <c r="AV649" s="76">
        <v>1.705251748712E+18</v>
      </c>
      <c r="AW649" s="83" t="str">
        <f>HYPERLINK("https://t.co/IZMNIBeKKS")</f>
        <v>https://t.co/IZMNIBeKKS</v>
      </c>
      <c r="AX649" s="76" t="b">
        <v>0</v>
      </c>
      <c r="AY649" s="76"/>
      <c r="AZ649" s="76"/>
      <c r="BA649" s="76" t="b">
        <v>0</v>
      </c>
      <c r="BB649" s="76" t="b">
        <v>1</v>
      </c>
      <c r="BC649" s="76" t="b">
        <v>0</v>
      </c>
      <c r="BD649" s="76" t="b">
        <v>0</v>
      </c>
      <c r="BE649" s="76" t="b">
        <v>0</v>
      </c>
      <c r="BF649" s="76" t="b">
        <v>0</v>
      </c>
      <c r="BG649" s="76" t="b">
        <v>0</v>
      </c>
      <c r="BH649" s="83" t="str">
        <f>HYPERLINK("https://pbs.twimg.com/profile_banners/1055425848906522624/1540910284")</f>
        <v>https://pbs.twimg.com/profile_banners/1055425848906522624/1540910284</v>
      </c>
      <c r="BI649" s="76"/>
      <c r="BJ649" s="76" t="s">
        <v>18704</v>
      </c>
      <c r="BK649" s="76" t="b">
        <v>0</v>
      </c>
      <c r="BL649" s="76"/>
      <c r="BM649" s="76" t="s">
        <v>66</v>
      </c>
      <c r="BN649" s="76" t="s">
        <v>18706</v>
      </c>
      <c r="BO649" s="83" t="str">
        <f>HYPERLINK("https://twitter.com/bancodeespana")</f>
        <v>https://twitter.com/bancodeespana</v>
      </c>
      <c r="BP649" s="2"/>
    </row>
    <row r="650" spans="1:68" x14ac:dyDescent="0.25">
      <c r="A650" s="62" t="s">
        <v>892</v>
      </c>
      <c r="B650" s="63"/>
      <c r="C650" s="63"/>
      <c r="D650" s="64"/>
      <c r="E650" s="66"/>
      <c r="F650" s="102" t="str">
        <f>HYPERLINK("https://pbs.twimg.com/profile_images/899527230833012736/uMjGoE60_normal.jpg")</f>
        <v>https://pbs.twimg.com/profile_images/899527230833012736/uMjGoE60_normal.jpg</v>
      </c>
      <c r="G650" s="63"/>
      <c r="H650" s="67"/>
      <c r="I650" s="68"/>
      <c r="J650" s="68"/>
      <c r="K650" s="67" t="s">
        <v>19353</v>
      </c>
      <c r="L650" s="71"/>
      <c r="M650" s="72"/>
      <c r="N650" s="72"/>
      <c r="O650" s="73"/>
      <c r="P650" s="74"/>
      <c r="Q650" s="74"/>
      <c r="R650" s="86"/>
      <c r="S650" s="86"/>
      <c r="T650" s="86"/>
      <c r="U650" s="86"/>
      <c r="V650" s="48"/>
      <c r="W650" s="48"/>
      <c r="X650" s="48"/>
      <c r="Y650" s="48"/>
      <c r="Z650" s="47"/>
      <c r="AA650" s="69">
        <v>650</v>
      </c>
      <c r="AB650" s="69"/>
      <c r="AC650" s="70"/>
      <c r="AD650" s="76" t="s">
        <v>17076</v>
      </c>
      <c r="AE650" s="81" t="s">
        <v>17389</v>
      </c>
      <c r="AF650" s="76">
        <v>724216</v>
      </c>
      <c r="AG650" s="76">
        <v>576</v>
      </c>
      <c r="AH650" s="76">
        <v>327404</v>
      </c>
      <c r="AI650" s="76">
        <v>9188</v>
      </c>
      <c r="AJ650" s="76">
        <v>22244</v>
      </c>
      <c r="AK650" s="76">
        <v>101969</v>
      </c>
      <c r="AL650" s="76" t="b">
        <v>0</v>
      </c>
      <c r="AM650" s="78">
        <v>40373.398310185185</v>
      </c>
      <c r="AN650" s="76" t="s">
        <v>17620</v>
      </c>
      <c r="AO650" s="76" t="s">
        <v>18225</v>
      </c>
      <c r="AP650" s="83" t="str">
        <f>HYPERLINK("https://t.co/4M1jESZOVC")</f>
        <v>https://t.co/4M1jESZOVC</v>
      </c>
      <c r="AQ650" s="83" t="str">
        <f>HYPERLINK("https://www.eleconomista.es")</f>
        <v>https://www.eleconomista.es</v>
      </c>
      <c r="AR650" s="76" t="s">
        <v>6560</v>
      </c>
      <c r="AS650" s="76"/>
      <c r="AT650" s="76"/>
      <c r="AU650" s="76"/>
      <c r="AV650" s="76">
        <v>1.7072906231018199E+18</v>
      </c>
      <c r="AW650" s="83" t="str">
        <f>HYPERLINK("https://t.co/4M1jESZOVC")</f>
        <v>https://t.co/4M1jESZOVC</v>
      </c>
      <c r="AX650" s="76" t="b">
        <v>1</v>
      </c>
      <c r="AY650" s="76"/>
      <c r="AZ650" s="76"/>
      <c r="BA650" s="76" t="b">
        <v>1</v>
      </c>
      <c r="BB650" s="76" t="b">
        <v>1</v>
      </c>
      <c r="BC650" s="76" t="b">
        <v>0</v>
      </c>
      <c r="BD650" s="76" t="b">
        <v>0</v>
      </c>
      <c r="BE650" s="76" t="b">
        <v>1</v>
      </c>
      <c r="BF650" s="76" t="b">
        <v>0</v>
      </c>
      <c r="BG650" s="76" t="b">
        <v>0</v>
      </c>
      <c r="BH650" s="83" t="str">
        <f>HYPERLINK("https://pbs.twimg.com/profile_banners/166507237/1643645754")</f>
        <v>https://pbs.twimg.com/profile_banners/166507237/1643645754</v>
      </c>
      <c r="BI650" s="76"/>
      <c r="BJ650" s="76" t="s">
        <v>18705</v>
      </c>
      <c r="BK650" s="76" t="b">
        <v>0</v>
      </c>
      <c r="BL650" s="76"/>
      <c r="BM650" s="76" t="s">
        <v>65</v>
      </c>
      <c r="BN650" s="76" t="s">
        <v>18706</v>
      </c>
      <c r="BO650" s="83" t="str">
        <f>HYPERLINK("https://twitter.com/eleconomistaes")</f>
        <v>https://twitter.com/eleconomistaes</v>
      </c>
      <c r="BP650" s="2"/>
    </row>
    <row r="651" spans="1:68" x14ac:dyDescent="0.25">
      <c r="A651" s="62" t="s">
        <v>718</v>
      </c>
      <c r="B651" s="63"/>
      <c r="C651" s="63"/>
      <c r="D651" s="64"/>
      <c r="E651" s="66"/>
      <c r="F651" s="102" t="str">
        <f>HYPERLINK("https://pbs.twimg.com/profile_images/1686086918222589952/6Iva1pFO_normal.jpg")</f>
        <v>https://pbs.twimg.com/profile_images/1686086918222589952/6Iva1pFO_normal.jpg</v>
      </c>
      <c r="G651" s="63"/>
      <c r="H651" s="67"/>
      <c r="I651" s="68"/>
      <c r="J651" s="68"/>
      <c r="K651" s="67" t="s">
        <v>19354</v>
      </c>
      <c r="L651" s="71"/>
      <c r="M651" s="72"/>
      <c r="N651" s="72"/>
      <c r="O651" s="73"/>
      <c r="P651" s="74"/>
      <c r="Q651" s="74"/>
      <c r="R651" s="86"/>
      <c r="S651" s="86"/>
      <c r="T651" s="86"/>
      <c r="U651" s="86"/>
      <c r="V651" s="48"/>
      <c r="W651" s="48"/>
      <c r="X651" s="48"/>
      <c r="Y651" s="48"/>
      <c r="Z651" s="47"/>
      <c r="AA651" s="69">
        <v>651</v>
      </c>
      <c r="AB651" s="69"/>
      <c r="AC651" s="70"/>
      <c r="AD651" s="76" t="s">
        <v>17077</v>
      </c>
      <c r="AE651" s="81" t="s">
        <v>15978</v>
      </c>
      <c r="AF651" s="76">
        <v>11</v>
      </c>
      <c r="AG651" s="76">
        <v>15</v>
      </c>
      <c r="AH651" s="76">
        <v>334</v>
      </c>
      <c r="AI651" s="76">
        <v>1</v>
      </c>
      <c r="AJ651" s="76">
        <v>78</v>
      </c>
      <c r="AK651" s="76">
        <v>179</v>
      </c>
      <c r="AL651" s="76" t="b">
        <v>0</v>
      </c>
      <c r="AM651" s="78">
        <v>45138.783946759257</v>
      </c>
      <c r="AN651" s="76" t="s">
        <v>17643</v>
      </c>
      <c r="AO651" s="76" t="s">
        <v>18226</v>
      </c>
      <c r="AP651" s="83" t="str">
        <f>HYPERLINK("https://t.co/l1mZLmngwX")</f>
        <v>https://t.co/l1mZLmngwX</v>
      </c>
      <c r="AQ651" s="83" t="str">
        <f>HYPERLINK("https://linktr.ee/carlosteles_")</f>
        <v>https://linktr.ee/carlosteles_</v>
      </c>
      <c r="AR651" s="76" t="s">
        <v>18616</v>
      </c>
      <c r="AS651" s="76"/>
      <c r="AT651" s="76"/>
      <c r="AU651" s="76"/>
      <c r="AV651" s="76"/>
      <c r="AW651" s="83" t="str">
        <f>HYPERLINK("https://t.co/l1mZLmngwX")</f>
        <v>https://t.co/l1mZLmngwX</v>
      </c>
      <c r="AX651" s="76" t="b">
        <v>0</v>
      </c>
      <c r="AY651" s="76"/>
      <c r="AZ651" s="76"/>
      <c r="BA651" s="76" t="b">
        <v>0</v>
      </c>
      <c r="BB651" s="76" t="b">
        <v>1</v>
      </c>
      <c r="BC651" s="76" t="b">
        <v>1</v>
      </c>
      <c r="BD651" s="76" t="b">
        <v>0</v>
      </c>
      <c r="BE651" s="76" t="b">
        <v>0</v>
      </c>
      <c r="BF651" s="76" t="b">
        <v>0</v>
      </c>
      <c r="BG651" s="76" t="b">
        <v>0</v>
      </c>
      <c r="BH651" s="83" t="str">
        <f>HYPERLINK("https://pbs.twimg.com/profile_banners/1686086283305660417/1690833564")</f>
        <v>https://pbs.twimg.com/profile_banners/1686086283305660417/1690833564</v>
      </c>
      <c r="BI651" s="76"/>
      <c r="BJ651" s="76" t="s">
        <v>18704</v>
      </c>
      <c r="BK651" s="76" t="b">
        <v>0</v>
      </c>
      <c r="BL651" s="76"/>
      <c r="BM651" s="76" t="s">
        <v>66</v>
      </c>
      <c r="BN651" s="76" t="s">
        <v>18706</v>
      </c>
      <c r="BO651" s="83" t="str">
        <f>HYPERLINK("https://twitter.com/carlosteles__")</f>
        <v>https://twitter.com/carlosteles__</v>
      </c>
      <c r="BP651" s="2"/>
    </row>
    <row r="652" spans="1:68" x14ac:dyDescent="0.25">
      <c r="A652" s="62" t="s">
        <v>719</v>
      </c>
      <c r="B652" s="63"/>
      <c r="C652" s="63"/>
      <c r="D652" s="64"/>
      <c r="E652" s="66"/>
      <c r="F652" s="102" t="str">
        <f>HYPERLINK("https://pbs.twimg.com/profile_images/767574819592347649/nGLN9L5I_normal.jpg")</f>
        <v>https://pbs.twimg.com/profile_images/767574819592347649/nGLN9L5I_normal.jpg</v>
      </c>
      <c r="G652" s="63"/>
      <c r="H652" s="67"/>
      <c r="I652" s="68"/>
      <c r="J652" s="68"/>
      <c r="K652" s="67" t="s">
        <v>19355</v>
      </c>
      <c r="L652" s="71"/>
      <c r="M652" s="72"/>
      <c r="N652" s="72"/>
      <c r="O652" s="73"/>
      <c r="P652" s="74"/>
      <c r="Q652" s="74"/>
      <c r="R652" s="86"/>
      <c r="S652" s="86"/>
      <c r="T652" s="86"/>
      <c r="U652" s="86"/>
      <c r="V652" s="48"/>
      <c r="W652" s="48"/>
      <c r="X652" s="48"/>
      <c r="Y652" s="48"/>
      <c r="Z652" s="47"/>
      <c r="AA652" s="69">
        <v>652</v>
      </c>
      <c r="AB652" s="69"/>
      <c r="AC652" s="70"/>
      <c r="AD652" s="76" t="s">
        <v>17078</v>
      </c>
      <c r="AE652" s="81" t="s">
        <v>17390</v>
      </c>
      <c r="AF652" s="76">
        <v>199</v>
      </c>
      <c r="AG652" s="76">
        <v>271</v>
      </c>
      <c r="AH652" s="76">
        <v>4551</v>
      </c>
      <c r="AI652" s="76">
        <v>7</v>
      </c>
      <c r="AJ652" s="76">
        <v>2695</v>
      </c>
      <c r="AK652" s="76">
        <v>145</v>
      </c>
      <c r="AL652" s="76" t="b">
        <v>0</v>
      </c>
      <c r="AM652" s="78">
        <v>39944.700370370374</v>
      </c>
      <c r="AN652" s="76" t="s">
        <v>17644</v>
      </c>
      <c r="AO652" s="76" t="s">
        <v>18227</v>
      </c>
      <c r="AP652" s="83" t="str">
        <f>HYPERLINK("https://t.co/B4Ymo8vWIn")</f>
        <v>https://t.co/B4Ymo8vWIn</v>
      </c>
      <c r="AQ652" s="83" t="str">
        <f>HYPERLINK("https://instagram.com/alexandremelo_sbc")</f>
        <v>https://instagram.com/alexandremelo_sbc</v>
      </c>
      <c r="AR652" s="76" t="s">
        <v>18617</v>
      </c>
      <c r="AS652" s="76"/>
      <c r="AT652" s="76"/>
      <c r="AU652" s="76"/>
      <c r="AV652" s="76"/>
      <c r="AW652" s="83" t="str">
        <f>HYPERLINK("https://t.co/B4Ymo8vWIn")</f>
        <v>https://t.co/B4Ymo8vWIn</v>
      </c>
      <c r="AX652" s="76" t="b">
        <v>0</v>
      </c>
      <c r="AY652" s="76"/>
      <c r="AZ652" s="76"/>
      <c r="BA652" s="76" t="b">
        <v>0</v>
      </c>
      <c r="BB652" s="76" t="b">
        <v>0</v>
      </c>
      <c r="BC652" s="76" t="b">
        <v>0</v>
      </c>
      <c r="BD652" s="76" t="b">
        <v>0</v>
      </c>
      <c r="BE652" s="76" t="b">
        <v>1</v>
      </c>
      <c r="BF652" s="76" t="b">
        <v>0</v>
      </c>
      <c r="BG652" s="76" t="b">
        <v>0</v>
      </c>
      <c r="BH652" s="83" t="str">
        <f>HYPERLINK("https://pbs.twimg.com/profile_banners/39287675/1471838957")</f>
        <v>https://pbs.twimg.com/profile_banners/39287675/1471838957</v>
      </c>
      <c r="BI652" s="76"/>
      <c r="BJ652" s="76" t="s">
        <v>18704</v>
      </c>
      <c r="BK652" s="76" t="b">
        <v>0</v>
      </c>
      <c r="BL652" s="76"/>
      <c r="BM652" s="76" t="s">
        <v>66</v>
      </c>
      <c r="BN652" s="76" t="s">
        <v>18706</v>
      </c>
      <c r="BO652" s="83" t="str">
        <f>HYPERLINK("https://twitter.com/amelosbc")</f>
        <v>https://twitter.com/amelosbc</v>
      </c>
      <c r="BP652" s="2"/>
    </row>
    <row r="653" spans="1:68" x14ac:dyDescent="0.25">
      <c r="A653" s="62" t="s">
        <v>721</v>
      </c>
      <c r="B653" s="63"/>
      <c r="C653" s="63"/>
      <c r="D653" s="64"/>
      <c r="E653" s="66"/>
      <c r="F653" s="102" t="str">
        <f>HYPERLINK("https://pbs.twimg.com/profile_images/1544047959410606080/0sJKn-Iz_normal.jpg")</f>
        <v>https://pbs.twimg.com/profile_images/1544047959410606080/0sJKn-Iz_normal.jpg</v>
      </c>
      <c r="G653" s="63"/>
      <c r="H653" s="67"/>
      <c r="I653" s="68"/>
      <c r="J653" s="68"/>
      <c r="K653" s="67" t="s">
        <v>19356</v>
      </c>
      <c r="L653" s="71"/>
      <c r="M653" s="72"/>
      <c r="N653" s="72"/>
      <c r="O653" s="73"/>
      <c r="P653" s="74"/>
      <c r="Q653" s="74"/>
      <c r="R653" s="86"/>
      <c r="S653" s="86"/>
      <c r="T653" s="86"/>
      <c r="U653" s="86"/>
      <c r="V653" s="48"/>
      <c r="W653" s="48"/>
      <c r="X653" s="48"/>
      <c r="Y653" s="48"/>
      <c r="Z653" s="47"/>
      <c r="AA653" s="69">
        <v>653</v>
      </c>
      <c r="AB653" s="69"/>
      <c r="AC653" s="70"/>
      <c r="AD653" s="76" t="s">
        <v>17079</v>
      </c>
      <c r="AE653" s="81" t="s">
        <v>16390</v>
      </c>
      <c r="AF653" s="76">
        <v>3021</v>
      </c>
      <c r="AG653" s="76">
        <v>5</v>
      </c>
      <c r="AH653" s="76">
        <v>15782</v>
      </c>
      <c r="AI653" s="76">
        <v>16</v>
      </c>
      <c r="AJ653" s="76">
        <v>719</v>
      </c>
      <c r="AK653" s="76">
        <v>42</v>
      </c>
      <c r="AL653" s="76" t="b">
        <v>0</v>
      </c>
      <c r="AM653" s="78">
        <v>44732.675138888888</v>
      </c>
      <c r="AN653" s="76"/>
      <c r="AO653" s="76" t="s">
        <v>18228</v>
      </c>
      <c r="AP653" s="83" t="str">
        <f>HYPERLINK("https://t.co/oXUvs8eaCJ")</f>
        <v>https://t.co/oXUvs8eaCJ</v>
      </c>
      <c r="AQ653" s="83" t="str">
        <f>HYPERLINK("https://www.redetv.uol.com.br/jornalismo")</f>
        <v>https://www.redetv.uol.com.br/jornalismo</v>
      </c>
      <c r="AR653" s="76" t="s">
        <v>18618</v>
      </c>
      <c r="AS653" s="76"/>
      <c r="AT653" s="76"/>
      <c r="AU653" s="76"/>
      <c r="AV653" s="76"/>
      <c r="AW653" s="83" t="str">
        <f>HYPERLINK("https://t.co/oXUvs8eaCJ")</f>
        <v>https://t.co/oXUvs8eaCJ</v>
      </c>
      <c r="AX653" s="76" t="b">
        <v>0</v>
      </c>
      <c r="AY653" s="76"/>
      <c r="AZ653" s="76"/>
      <c r="BA653" s="76" t="b">
        <v>0</v>
      </c>
      <c r="BB653" s="76" t="b">
        <v>1</v>
      </c>
      <c r="BC653" s="76" t="b">
        <v>1</v>
      </c>
      <c r="BD653" s="76" t="b">
        <v>0</v>
      </c>
      <c r="BE653" s="76" t="b">
        <v>0</v>
      </c>
      <c r="BF653" s="76" t="b">
        <v>0</v>
      </c>
      <c r="BG653" s="76" t="b">
        <v>0</v>
      </c>
      <c r="BH653" s="83" t="str">
        <f>HYPERLINK("https://pbs.twimg.com/profile_banners/1538917583218409475/1656009703")</f>
        <v>https://pbs.twimg.com/profile_banners/1538917583218409475/1656009703</v>
      </c>
      <c r="BI653" s="76"/>
      <c r="BJ653" s="76" t="s">
        <v>18704</v>
      </c>
      <c r="BK653" s="76" t="b">
        <v>0</v>
      </c>
      <c r="BL653" s="76"/>
      <c r="BM653" s="76" t="s">
        <v>66</v>
      </c>
      <c r="BN653" s="76" t="s">
        <v>18706</v>
      </c>
      <c r="BO653" s="83" t="str">
        <f>HYPERLINK("https://twitter.com/noticiasredetv")</f>
        <v>https://twitter.com/noticiasredetv</v>
      </c>
      <c r="BP653" s="2"/>
    </row>
    <row r="654" spans="1:68" x14ac:dyDescent="0.25">
      <c r="A654" s="62" t="s">
        <v>722</v>
      </c>
      <c r="B654" s="63"/>
      <c r="C654" s="63"/>
      <c r="D654" s="64"/>
      <c r="E654" s="66"/>
      <c r="F654" s="102" t="str">
        <f>HYPERLINK("https://pbs.twimg.com/profile_images/1695574228299292672/1kSubbl-_normal.jpg")</f>
        <v>https://pbs.twimg.com/profile_images/1695574228299292672/1kSubbl-_normal.jpg</v>
      </c>
      <c r="G654" s="63"/>
      <c r="H654" s="67"/>
      <c r="I654" s="68"/>
      <c r="J654" s="68"/>
      <c r="K654" s="67" t="s">
        <v>19357</v>
      </c>
      <c r="L654" s="71"/>
      <c r="M654" s="72"/>
      <c r="N654" s="72"/>
      <c r="O654" s="73"/>
      <c r="P654" s="74"/>
      <c r="Q654" s="74"/>
      <c r="R654" s="86"/>
      <c r="S654" s="86"/>
      <c r="T654" s="86"/>
      <c r="U654" s="86"/>
      <c r="V654" s="48"/>
      <c r="W654" s="48"/>
      <c r="X654" s="48"/>
      <c r="Y654" s="48"/>
      <c r="Z654" s="47"/>
      <c r="AA654" s="69">
        <v>654</v>
      </c>
      <c r="AB654" s="69"/>
      <c r="AC654" s="70"/>
      <c r="AD654" s="76" t="s">
        <v>17080</v>
      </c>
      <c r="AE654" s="81" t="s">
        <v>16391</v>
      </c>
      <c r="AF654" s="76">
        <v>32</v>
      </c>
      <c r="AG654" s="76">
        <v>323</v>
      </c>
      <c r="AH654" s="76">
        <v>93</v>
      </c>
      <c r="AI654" s="76">
        <v>0</v>
      </c>
      <c r="AJ654" s="76">
        <v>2</v>
      </c>
      <c r="AK654" s="76">
        <v>85</v>
      </c>
      <c r="AL654" s="76" t="b">
        <v>0</v>
      </c>
      <c r="AM654" s="78">
        <v>45078.609803240739</v>
      </c>
      <c r="AN654" s="76" t="s">
        <v>10570</v>
      </c>
      <c r="AO654" s="76" t="s">
        <v>18229</v>
      </c>
      <c r="AP654" s="83" t="str">
        <f>HYPERLINK("https://t.co/R6VAQ59OcE")</f>
        <v>https://t.co/R6VAQ59OcE</v>
      </c>
      <c r="AQ654" s="83" t="str">
        <f>HYPERLINK("http://wa.me/5511973213048")</f>
        <v>http://wa.me/5511973213048</v>
      </c>
      <c r="AR654" s="76" t="s">
        <v>18619</v>
      </c>
      <c r="AS654" s="76"/>
      <c r="AT654" s="76"/>
      <c r="AU654" s="76"/>
      <c r="AV654" s="76">
        <v>1.69512780377827E+18</v>
      </c>
      <c r="AW654" s="83" t="str">
        <f>HYPERLINK("https://t.co/R6VAQ59OcE")</f>
        <v>https://t.co/R6VAQ59OcE</v>
      </c>
      <c r="AX654" s="76" t="b">
        <v>0</v>
      </c>
      <c r="AY654" s="76"/>
      <c r="AZ654" s="76"/>
      <c r="BA654" s="76" t="b">
        <v>1</v>
      </c>
      <c r="BB654" s="76" t="b">
        <v>1</v>
      </c>
      <c r="BC654" s="76" t="b">
        <v>1</v>
      </c>
      <c r="BD654" s="76" t="b">
        <v>0</v>
      </c>
      <c r="BE654" s="76" t="b">
        <v>0</v>
      </c>
      <c r="BF654" s="76" t="b">
        <v>0</v>
      </c>
      <c r="BG654" s="76" t="b">
        <v>0</v>
      </c>
      <c r="BH654" s="83" t="str">
        <f>HYPERLINK("https://pbs.twimg.com/profile_banners/1664280084226928641/1688230017")</f>
        <v>https://pbs.twimg.com/profile_banners/1664280084226928641/1688230017</v>
      </c>
      <c r="BI654" s="76"/>
      <c r="BJ654" s="76" t="s">
        <v>18704</v>
      </c>
      <c r="BK654" s="76" t="b">
        <v>0</v>
      </c>
      <c r="BL654" s="76"/>
      <c r="BM654" s="76" t="s">
        <v>66</v>
      </c>
      <c r="BN654" s="76" t="s">
        <v>18706</v>
      </c>
      <c r="BO654" s="83" t="str">
        <f>HYPERLINK("https://twitter.com/pix_notasfake")</f>
        <v>https://twitter.com/pix_notasfake</v>
      </c>
      <c r="BP654" s="2"/>
    </row>
    <row r="655" spans="1:68" x14ac:dyDescent="0.25">
      <c r="A655" s="62" t="s">
        <v>723</v>
      </c>
      <c r="B655" s="63"/>
      <c r="C655" s="63"/>
      <c r="D655" s="64"/>
      <c r="E655" s="66"/>
      <c r="F655" s="102" t="str">
        <f>HYPERLINK("https://pbs.twimg.com/profile_images/1261765143597326337/o5Zv4ZO1_normal.jpg")</f>
        <v>https://pbs.twimg.com/profile_images/1261765143597326337/o5Zv4ZO1_normal.jpg</v>
      </c>
      <c r="G655" s="63"/>
      <c r="H655" s="67"/>
      <c r="I655" s="68"/>
      <c r="J655" s="68"/>
      <c r="K655" s="67" t="s">
        <v>19358</v>
      </c>
      <c r="L655" s="71"/>
      <c r="M655" s="72"/>
      <c r="N655" s="72"/>
      <c r="O655" s="73"/>
      <c r="P655" s="74"/>
      <c r="Q655" s="74"/>
      <c r="R655" s="86"/>
      <c r="S655" s="86"/>
      <c r="T655" s="86"/>
      <c r="U655" s="86"/>
      <c r="V655" s="48"/>
      <c r="W655" s="48"/>
      <c r="X655" s="48"/>
      <c r="Y655" s="48"/>
      <c r="Z655" s="47"/>
      <c r="AA655" s="69">
        <v>655</v>
      </c>
      <c r="AB655" s="69"/>
      <c r="AC655" s="70"/>
      <c r="AD655" s="76" t="s">
        <v>17081</v>
      </c>
      <c r="AE655" s="81" t="s">
        <v>17391</v>
      </c>
      <c r="AF655" s="76">
        <v>244</v>
      </c>
      <c r="AG655" s="76">
        <v>2695</v>
      </c>
      <c r="AH655" s="76">
        <v>2478</v>
      </c>
      <c r="AI655" s="76">
        <v>2</v>
      </c>
      <c r="AJ655" s="76">
        <v>17808</v>
      </c>
      <c r="AK655" s="76">
        <v>299</v>
      </c>
      <c r="AL655" s="76" t="b">
        <v>0</v>
      </c>
      <c r="AM655" s="78">
        <v>41909.301145833335</v>
      </c>
      <c r="AN655" s="76" t="s">
        <v>17645</v>
      </c>
      <c r="AO655" s="76" t="s">
        <v>18230</v>
      </c>
      <c r="AP655" s="76"/>
      <c r="AQ655" s="76"/>
      <c r="AR655" s="76"/>
      <c r="AS655" s="76"/>
      <c r="AT655" s="76"/>
      <c r="AU655" s="76"/>
      <c r="AV655" s="76"/>
      <c r="AW655" s="76"/>
      <c r="AX655" s="76" t="b">
        <v>0</v>
      </c>
      <c r="AY655" s="76"/>
      <c r="AZ655" s="76"/>
      <c r="BA655" s="76" t="b">
        <v>0</v>
      </c>
      <c r="BB655" s="76" t="b">
        <v>1</v>
      </c>
      <c r="BC655" s="76" t="b">
        <v>0</v>
      </c>
      <c r="BD655" s="76" t="b">
        <v>0</v>
      </c>
      <c r="BE655" s="76" t="b">
        <v>1</v>
      </c>
      <c r="BF655" s="76" t="b">
        <v>0</v>
      </c>
      <c r="BG655" s="76" t="b">
        <v>0</v>
      </c>
      <c r="BH655" s="83" t="str">
        <f>HYPERLINK("https://pbs.twimg.com/profile_banners/2786819345/1438964878")</f>
        <v>https://pbs.twimg.com/profile_banners/2786819345/1438964878</v>
      </c>
      <c r="BI655" s="76"/>
      <c r="BJ655" s="76" t="s">
        <v>18704</v>
      </c>
      <c r="BK655" s="76" t="b">
        <v>0</v>
      </c>
      <c r="BL655" s="76"/>
      <c r="BM655" s="76" t="s">
        <v>66</v>
      </c>
      <c r="BN655" s="76" t="s">
        <v>18706</v>
      </c>
      <c r="BO655" s="83" t="str">
        <f>HYPERLINK("https://twitter.com/palcarva")</f>
        <v>https://twitter.com/palcarva</v>
      </c>
      <c r="BP655" s="2"/>
    </row>
    <row r="656" spans="1:68" x14ac:dyDescent="0.25">
      <c r="A656" s="62" t="s">
        <v>724</v>
      </c>
      <c r="B656" s="63"/>
      <c r="C656" s="63"/>
      <c r="D656" s="64"/>
      <c r="E656" s="66"/>
      <c r="F656" s="102" t="str">
        <f>HYPERLINK("https://pbs.twimg.com/profile_images/1518050919375458304/rcx-bjDW_normal.jpg")</f>
        <v>https://pbs.twimg.com/profile_images/1518050919375458304/rcx-bjDW_normal.jpg</v>
      </c>
      <c r="G656" s="63"/>
      <c r="H656" s="67"/>
      <c r="I656" s="68"/>
      <c r="J656" s="68"/>
      <c r="K656" s="67" t="s">
        <v>19359</v>
      </c>
      <c r="L656" s="71"/>
      <c r="M656" s="72"/>
      <c r="N656" s="72"/>
      <c r="O656" s="73"/>
      <c r="P656" s="74"/>
      <c r="Q656" s="74"/>
      <c r="R656" s="86"/>
      <c r="S656" s="86"/>
      <c r="T656" s="86"/>
      <c r="U656" s="86"/>
      <c r="V656" s="48"/>
      <c r="W656" s="48"/>
      <c r="X656" s="48"/>
      <c r="Y656" s="48"/>
      <c r="Z656" s="47"/>
      <c r="AA656" s="69">
        <v>656</v>
      </c>
      <c r="AB656" s="69"/>
      <c r="AC656" s="70"/>
      <c r="AD656" s="76" t="s">
        <v>17082</v>
      </c>
      <c r="AE656" s="81" t="s">
        <v>16392</v>
      </c>
      <c r="AF656" s="76">
        <v>2171</v>
      </c>
      <c r="AG656" s="76">
        <v>1169</v>
      </c>
      <c r="AH656" s="76">
        <v>31358</v>
      </c>
      <c r="AI656" s="76">
        <v>18</v>
      </c>
      <c r="AJ656" s="76">
        <v>95584</v>
      </c>
      <c r="AK656" s="76">
        <v>185</v>
      </c>
      <c r="AL656" s="76" t="b">
        <v>0</v>
      </c>
      <c r="AM656" s="78">
        <v>42585.669421296298</v>
      </c>
      <c r="AN656" s="76"/>
      <c r="AO656" s="76"/>
      <c r="AP656" s="76"/>
      <c r="AQ656" s="76"/>
      <c r="AR656" s="76"/>
      <c r="AS656" s="76"/>
      <c r="AT656" s="76"/>
      <c r="AU656" s="76"/>
      <c r="AV656" s="76"/>
      <c r="AW656" s="76"/>
      <c r="AX656" s="76" t="b">
        <v>0</v>
      </c>
      <c r="AY656" s="76"/>
      <c r="AZ656" s="76"/>
      <c r="BA656" s="76" t="b">
        <v>0</v>
      </c>
      <c r="BB656" s="76" t="b">
        <v>0</v>
      </c>
      <c r="BC656" s="76" t="b">
        <v>0</v>
      </c>
      <c r="BD656" s="76" t="b">
        <v>0</v>
      </c>
      <c r="BE656" s="76" t="b">
        <v>1</v>
      </c>
      <c r="BF656" s="76" t="b">
        <v>0</v>
      </c>
      <c r="BG656" s="76" t="b">
        <v>0</v>
      </c>
      <c r="BH656" s="83" t="str">
        <f>HYPERLINK("https://pbs.twimg.com/profile_banners/760868823956328448/1650766470")</f>
        <v>https://pbs.twimg.com/profile_banners/760868823956328448/1650766470</v>
      </c>
      <c r="BI656" s="76"/>
      <c r="BJ656" s="76" t="s">
        <v>18704</v>
      </c>
      <c r="BK656" s="76" t="b">
        <v>0</v>
      </c>
      <c r="BL656" s="76"/>
      <c r="BM656" s="76" t="s">
        <v>66</v>
      </c>
      <c r="BN656" s="76" t="s">
        <v>18706</v>
      </c>
      <c r="BO656" s="83" t="str">
        <f>HYPERLINK("https://twitter.com/1nverpersona1")</f>
        <v>https://twitter.com/1nverpersona1</v>
      </c>
      <c r="BP656" s="2"/>
    </row>
    <row r="657" spans="1:68" x14ac:dyDescent="0.25">
      <c r="A657" s="62" t="s">
        <v>725</v>
      </c>
      <c r="B657" s="63"/>
      <c r="C657" s="63"/>
      <c r="D657" s="64"/>
      <c r="E657" s="66"/>
      <c r="F657" s="102" t="str">
        <f>HYPERLINK("https://pbs.twimg.com/profile_images/1678912221965950976/Wqs3dzo5_normal.jpg")</f>
        <v>https://pbs.twimg.com/profile_images/1678912221965950976/Wqs3dzo5_normal.jpg</v>
      </c>
      <c r="G657" s="63"/>
      <c r="H657" s="67"/>
      <c r="I657" s="68"/>
      <c r="J657" s="68"/>
      <c r="K657" s="67" t="s">
        <v>19360</v>
      </c>
      <c r="L657" s="71"/>
      <c r="M657" s="72"/>
      <c r="N657" s="72"/>
      <c r="O657" s="73"/>
      <c r="P657" s="74"/>
      <c r="Q657" s="74"/>
      <c r="R657" s="86"/>
      <c r="S657" s="86"/>
      <c r="T657" s="86"/>
      <c r="U657" s="86"/>
      <c r="V657" s="48"/>
      <c r="W657" s="48"/>
      <c r="X657" s="48"/>
      <c r="Y657" s="48"/>
      <c r="Z657" s="47"/>
      <c r="AA657" s="69">
        <v>657</v>
      </c>
      <c r="AB657" s="69"/>
      <c r="AC657" s="70"/>
      <c r="AD657" s="76" t="s">
        <v>17083</v>
      </c>
      <c r="AE657" s="81" t="s">
        <v>16393</v>
      </c>
      <c r="AF657" s="76">
        <v>6</v>
      </c>
      <c r="AG657" s="76">
        <v>30</v>
      </c>
      <c r="AH657" s="76">
        <v>69</v>
      </c>
      <c r="AI657" s="76">
        <v>0</v>
      </c>
      <c r="AJ657" s="76">
        <v>19</v>
      </c>
      <c r="AK657" s="76">
        <v>12</v>
      </c>
      <c r="AL657" s="76" t="b">
        <v>0</v>
      </c>
      <c r="AM657" s="78">
        <v>44828.871481481481</v>
      </c>
      <c r="AN657" s="76" t="s">
        <v>17562</v>
      </c>
      <c r="AO657" s="76" t="s">
        <v>18231</v>
      </c>
      <c r="AP657" s="83" t="str">
        <f>HYPERLINK("https://t.co/UXmtSuSDs0")</f>
        <v>https://t.co/UXmtSuSDs0</v>
      </c>
      <c r="AQ657" s="83" t="str">
        <f>HYPERLINK("http://lnkiy.in/ElasProsperam")</f>
        <v>http://lnkiy.in/ElasProsperam</v>
      </c>
      <c r="AR657" s="76" t="s">
        <v>18620</v>
      </c>
      <c r="AS657" s="83" t="str">
        <f>HYPERLINK("https://t.co/3q9ptkZ8OS")</f>
        <v>https://t.co/3q9ptkZ8OS</v>
      </c>
      <c r="AT657" s="83" t="str">
        <f>HYPERLINK("http://minepi.com/RenataRhicci")</f>
        <v>http://minepi.com/RenataRhicci</v>
      </c>
      <c r="AU657" s="76" t="s">
        <v>18701</v>
      </c>
      <c r="AV657" s="76"/>
      <c r="AW657" s="83" t="str">
        <f>HYPERLINK("https://t.co/UXmtSuSDs0")</f>
        <v>https://t.co/UXmtSuSDs0</v>
      </c>
      <c r="AX657" s="76" t="b">
        <v>0</v>
      </c>
      <c r="AY657" s="76"/>
      <c r="AZ657" s="76"/>
      <c r="BA657" s="76" t="b">
        <v>0</v>
      </c>
      <c r="BB657" s="76" t="b">
        <v>1</v>
      </c>
      <c r="BC657" s="76" t="b">
        <v>1</v>
      </c>
      <c r="BD657" s="76" t="b">
        <v>0</v>
      </c>
      <c r="BE657" s="76" t="b">
        <v>0</v>
      </c>
      <c r="BF657" s="76" t="b">
        <v>0</v>
      </c>
      <c r="BG657" s="76" t="b">
        <v>0</v>
      </c>
      <c r="BH657" s="83" t="str">
        <f>HYPERLINK("https://pbs.twimg.com/profile_banners/1573777877874655235/1689189059")</f>
        <v>https://pbs.twimg.com/profile_banners/1573777877874655235/1689189059</v>
      </c>
      <c r="BI657" s="76"/>
      <c r="BJ657" s="76" t="s">
        <v>18704</v>
      </c>
      <c r="BK657" s="76" t="b">
        <v>0</v>
      </c>
      <c r="BL657" s="76"/>
      <c r="BM657" s="76" t="s">
        <v>66</v>
      </c>
      <c r="BN657" s="76" t="s">
        <v>18706</v>
      </c>
      <c r="BO657" s="83" t="str">
        <f>HYPERLINK("https://twitter.com/renatarhicci")</f>
        <v>https://twitter.com/renatarhicci</v>
      </c>
      <c r="BP657" s="2"/>
    </row>
    <row r="658" spans="1:68" x14ac:dyDescent="0.25">
      <c r="A658" s="62" t="s">
        <v>726</v>
      </c>
      <c r="B658" s="63"/>
      <c r="C658" s="63"/>
      <c r="D658" s="64"/>
      <c r="E658" s="66"/>
      <c r="F658" s="102" t="str">
        <f>HYPERLINK("https://pbs.twimg.com/profile_images/1661542291423608840/csv_Qeh3_normal.jpg")</f>
        <v>https://pbs.twimg.com/profile_images/1661542291423608840/csv_Qeh3_normal.jpg</v>
      </c>
      <c r="G658" s="63"/>
      <c r="H658" s="67"/>
      <c r="I658" s="68"/>
      <c r="J658" s="68"/>
      <c r="K658" s="67" t="s">
        <v>19361</v>
      </c>
      <c r="L658" s="71"/>
      <c r="M658" s="72"/>
      <c r="N658" s="72"/>
      <c r="O658" s="73"/>
      <c r="P658" s="74"/>
      <c r="Q658" s="74"/>
      <c r="R658" s="86"/>
      <c r="S658" s="86"/>
      <c r="T658" s="86"/>
      <c r="U658" s="86"/>
      <c r="V658" s="48"/>
      <c r="W658" s="48"/>
      <c r="X658" s="48"/>
      <c r="Y658" s="48"/>
      <c r="Z658" s="47"/>
      <c r="AA658" s="69">
        <v>658</v>
      </c>
      <c r="AB658" s="69"/>
      <c r="AC658" s="70"/>
      <c r="AD658" s="76" t="s">
        <v>17084</v>
      </c>
      <c r="AE658" s="81" t="s">
        <v>15980</v>
      </c>
      <c r="AF658" s="76">
        <v>14</v>
      </c>
      <c r="AG658" s="76">
        <v>22</v>
      </c>
      <c r="AH658" s="76">
        <v>201</v>
      </c>
      <c r="AI658" s="76">
        <v>0</v>
      </c>
      <c r="AJ658" s="76">
        <v>18</v>
      </c>
      <c r="AK658" s="76">
        <v>166</v>
      </c>
      <c r="AL658" s="76" t="b">
        <v>0</v>
      </c>
      <c r="AM658" s="78">
        <v>45071.054699074077</v>
      </c>
      <c r="AN658" s="76"/>
      <c r="AO658" s="76" t="s">
        <v>18232</v>
      </c>
      <c r="AP658" s="76"/>
      <c r="AQ658" s="76"/>
      <c r="AR658" s="76"/>
      <c r="AS658" s="76"/>
      <c r="AT658" s="76"/>
      <c r="AU658" s="76"/>
      <c r="AV658" s="76"/>
      <c r="AW658" s="76"/>
      <c r="AX658" s="76" t="b">
        <v>0</v>
      </c>
      <c r="AY658" s="76"/>
      <c r="AZ658" s="76"/>
      <c r="BA658" s="76" t="b">
        <v>0</v>
      </c>
      <c r="BB658" s="76" t="b">
        <v>1</v>
      </c>
      <c r="BC658" s="76" t="b">
        <v>1</v>
      </c>
      <c r="BD658" s="76" t="b">
        <v>0</v>
      </c>
      <c r="BE658" s="76" t="b">
        <v>0</v>
      </c>
      <c r="BF658" s="76" t="b">
        <v>0</v>
      </c>
      <c r="BG658" s="76" t="b">
        <v>0</v>
      </c>
      <c r="BH658" s="83" t="str">
        <f>HYPERLINK("https://pbs.twimg.com/profile_banners/1661542217268305920/1686012356")</f>
        <v>https://pbs.twimg.com/profile_banners/1661542217268305920/1686012356</v>
      </c>
      <c r="BI658" s="76"/>
      <c r="BJ658" s="76" t="s">
        <v>18704</v>
      </c>
      <c r="BK658" s="76" t="b">
        <v>0</v>
      </c>
      <c r="BL658" s="76"/>
      <c r="BM658" s="76" t="s">
        <v>66</v>
      </c>
      <c r="BN658" s="76" t="s">
        <v>18706</v>
      </c>
      <c r="BO658" s="83" t="str">
        <f>HYPERLINK("https://twitter.com/mecfin")</f>
        <v>https://twitter.com/mecfin</v>
      </c>
      <c r="BP658" s="2"/>
    </row>
    <row r="659" spans="1:68" x14ac:dyDescent="0.25">
      <c r="A659" s="62" t="s">
        <v>727</v>
      </c>
      <c r="B659" s="63"/>
      <c r="C659" s="63"/>
      <c r="D659" s="64"/>
      <c r="E659" s="66"/>
      <c r="F659" s="102" t="str">
        <f>HYPERLINK("https://pbs.twimg.com/profile_images/692331802548137984/EQijh4xz_normal.jpg")</f>
        <v>https://pbs.twimg.com/profile_images/692331802548137984/EQijh4xz_normal.jpg</v>
      </c>
      <c r="G659" s="63"/>
      <c r="H659" s="67"/>
      <c r="I659" s="68"/>
      <c r="J659" s="68"/>
      <c r="K659" s="67" t="s">
        <v>19362</v>
      </c>
      <c r="L659" s="71"/>
      <c r="M659" s="72"/>
      <c r="N659" s="72"/>
      <c r="O659" s="73"/>
      <c r="P659" s="74"/>
      <c r="Q659" s="74"/>
      <c r="R659" s="86"/>
      <c r="S659" s="86"/>
      <c r="T659" s="86"/>
      <c r="U659" s="86"/>
      <c r="V659" s="48"/>
      <c r="W659" s="48"/>
      <c r="X659" s="48"/>
      <c r="Y659" s="48"/>
      <c r="Z659" s="47"/>
      <c r="AA659" s="69">
        <v>659</v>
      </c>
      <c r="AB659" s="69"/>
      <c r="AC659" s="70"/>
      <c r="AD659" s="76" t="s">
        <v>17085</v>
      </c>
      <c r="AE659" s="81" t="s">
        <v>17392</v>
      </c>
      <c r="AF659" s="76">
        <v>5679</v>
      </c>
      <c r="AG659" s="76">
        <v>5120</v>
      </c>
      <c r="AH659" s="76">
        <v>999345</v>
      </c>
      <c r="AI659" s="76">
        <v>285</v>
      </c>
      <c r="AJ659" s="76">
        <v>887612</v>
      </c>
      <c r="AK659" s="76">
        <v>55322</v>
      </c>
      <c r="AL659" s="76" t="b">
        <v>0</v>
      </c>
      <c r="AM659" s="78">
        <v>40677.095868055556</v>
      </c>
      <c r="AN659" s="76" t="s">
        <v>17646</v>
      </c>
      <c r="AO659" s="76" t="s">
        <v>18233</v>
      </c>
      <c r="AP659" s="76"/>
      <c r="AQ659" s="76"/>
      <c r="AR659" s="76"/>
      <c r="AS659" s="76"/>
      <c r="AT659" s="76"/>
      <c r="AU659" s="76"/>
      <c r="AV659" s="76">
        <v>1.6950384621964201E+18</v>
      </c>
      <c r="AW659" s="76"/>
      <c r="AX659" s="76" t="b">
        <v>0</v>
      </c>
      <c r="AY659" s="76"/>
      <c r="AZ659" s="76"/>
      <c r="BA659" s="76" t="b">
        <v>0</v>
      </c>
      <c r="BB659" s="76" t="b">
        <v>1</v>
      </c>
      <c r="BC659" s="76" t="b">
        <v>1</v>
      </c>
      <c r="BD659" s="76" t="b">
        <v>0</v>
      </c>
      <c r="BE659" s="76" t="b">
        <v>1</v>
      </c>
      <c r="BF659" s="76" t="b">
        <v>0</v>
      </c>
      <c r="BG659" s="76" t="b">
        <v>0</v>
      </c>
      <c r="BH659" s="76"/>
      <c r="BI659" s="76"/>
      <c r="BJ659" s="76" t="s">
        <v>18704</v>
      </c>
      <c r="BK659" s="76" t="b">
        <v>0</v>
      </c>
      <c r="BL659" s="76"/>
      <c r="BM659" s="76" t="s">
        <v>66</v>
      </c>
      <c r="BN659" s="76" t="s">
        <v>18706</v>
      </c>
      <c r="BO659" s="83" t="str">
        <f>HYPERLINK("https://twitter.com/bogotasinmiedo")</f>
        <v>https://twitter.com/bogotasinmiedo</v>
      </c>
      <c r="BP659" s="2"/>
    </row>
    <row r="660" spans="1:68" x14ac:dyDescent="0.25">
      <c r="A660" s="62" t="s">
        <v>728</v>
      </c>
      <c r="B660" s="63"/>
      <c r="C660" s="63"/>
      <c r="D660" s="64"/>
      <c r="E660" s="66"/>
      <c r="F660" s="102" t="str">
        <f>HYPERLINK("https://pbs.twimg.com/profile_images/1688922213280538624/5ffpZJ2u_normal.jpg")</f>
        <v>https://pbs.twimg.com/profile_images/1688922213280538624/5ffpZJ2u_normal.jpg</v>
      </c>
      <c r="G660" s="63"/>
      <c r="H660" s="67"/>
      <c r="I660" s="68"/>
      <c r="J660" s="68"/>
      <c r="K660" s="67" t="s">
        <v>19363</v>
      </c>
      <c r="L660" s="71"/>
      <c r="M660" s="72"/>
      <c r="N660" s="72"/>
      <c r="O660" s="73"/>
      <c r="P660" s="74"/>
      <c r="Q660" s="74"/>
      <c r="R660" s="86"/>
      <c r="S660" s="86"/>
      <c r="T660" s="86"/>
      <c r="U660" s="86"/>
      <c r="V660" s="48"/>
      <c r="W660" s="48"/>
      <c r="X660" s="48"/>
      <c r="Y660" s="48"/>
      <c r="Z660" s="47"/>
      <c r="AA660" s="69">
        <v>660</v>
      </c>
      <c r="AB660" s="69"/>
      <c r="AC660" s="70"/>
      <c r="AD660" s="76" t="s">
        <v>17086</v>
      </c>
      <c r="AE660" s="81" t="s">
        <v>16394</v>
      </c>
      <c r="AF660" s="76">
        <v>99</v>
      </c>
      <c r="AG660" s="76">
        <v>83</v>
      </c>
      <c r="AH660" s="76">
        <v>38</v>
      </c>
      <c r="AI660" s="76">
        <v>0</v>
      </c>
      <c r="AJ660" s="76">
        <v>258</v>
      </c>
      <c r="AK660" s="76">
        <v>18</v>
      </c>
      <c r="AL660" s="76" t="b">
        <v>0</v>
      </c>
      <c r="AM660" s="78">
        <v>43732.576990740738</v>
      </c>
      <c r="AN660" s="76" t="s">
        <v>17647</v>
      </c>
      <c r="AO660" s="76" t="s">
        <v>18234</v>
      </c>
      <c r="AP660" s="83" t="str">
        <f>HYPERLINK("https://t.co/6oNwgrhbXs")</f>
        <v>https://t.co/6oNwgrhbXs</v>
      </c>
      <c r="AQ660" s="83" t="str">
        <f>HYPERLINK("https://linktr.ee/telosinvest")</f>
        <v>https://linktr.ee/telosinvest</v>
      </c>
      <c r="AR660" s="76" t="s">
        <v>18621</v>
      </c>
      <c r="AS660" s="76"/>
      <c r="AT660" s="76"/>
      <c r="AU660" s="76"/>
      <c r="AV660" s="76"/>
      <c r="AW660" s="83" t="str">
        <f>HYPERLINK("https://t.co/6oNwgrhbXs")</f>
        <v>https://t.co/6oNwgrhbXs</v>
      </c>
      <c r="AX660" s="76" t="b">
        <v>1</v>
      </c>
      <c r="AY660" s="76"/>
      <c r="AZ660" s="76"/>
      <c r="BA660" s="76" t="b">
        <v>0</v>
      </c>
      <c r="BB660" s="76" t="b">
        <v>1</v>
      </c>
      <c r="BC660" s="76" t="b">
        <v>1</v>
      </c>
      <c r="BD660" s="76" t="b">
        <v>0</v>
      </c>
      <c r="BE660" s="76" t="b">
        <v>0</v>
      </c>
      <c r="BF660" s="76" t="b">
        <v>0</v>
      </c>
      <c r="BG660" s="76" t="b">
        <v>0</v>
      </c>
      <c r="BH660" s="83" t="str">
        <f>HYPERLINK("https://pbs.twimg.com/profile_banners/1176494142710530054/1691505421")</f>
        <v>https://pbs.twimg.com/profile_banners/1176494142710530054/1691505421</v>
      </c>
      <c r="BI660" s="76"/>
      <c r="BJ660" s="76" t="s">
        <v>18704</v>
      </c>
      <c r="BK660" s="76" t="b">
        <v>0</v>
      </c>
      <c r="BL660" s="76"/>
      <c r="BM660" s="76" t="s">
        <v>66</v>
      </c>
      <c r="BN660" s="76" t="s">
        <v>18706</v>
      </c>
      <c r="BO660" s="83" t="str">
        <f>HYPERLINK("https://twitter.com/telosinvest")</f>
        <v>https://twitter.com/telosinvest</v>
      </c>
      <c r="BP660" s="2"/>
    </row>
    <row r="661" spans="1:68" x14ac:dyDescent="0.25">
      <c r="A661" s="62" t="s">
        <v>729</v>
      </c>
      <c r="B661" s="63"/>
      <c r="C661" s="63"/>
      <c r="D661" s="64"/>
      <c r="E661" s="66"/>
      <c r="F661" s="102" t="str">
        <f>HYPERLINK("https://pbs.twimg.com/profile_images/1699367773556604928/KdFRPg2V_normal.jpg")</f>
        <v>https://pbs.twimg.com/profile_images/1699367773556604928/KdFRPg2V_normal.jpg</v>
      </c>
      <c r="G661" s="63"/>
      <c r="H661" s="67"/>
      <c r="I661" s="68"/>
      <c r="J661" s="68"/>
      <c r="K661" s="67" t="s">
        <v>19364</v>
      </c>
      <c r="L661" s="71"/>
      <c r="M661" s="72"/>
      <c r="N661" s="72"/>
      <c r="O661" s="73"/>
      <c r="P661" s="74"/>
      <c r="Q661" s="74"/>
      <c r="R661" s="86"/>
      <c r="S661" s="86"/>
      <c r="T661" s="86"/>
      <c r="U661" s="86"/>
      <c r="V661" s="48"/>
      <c r="W661" s="48"/>
      <c r="X661" s="48"/>
      <c r="Y661" s="48"/>
      <c r="Z661" s="47"/>
      <c r="AA661" s="69">
        <v>661</v>
      </c>
      <c r="AB661" s="69"/>
      <c r="AC661" s="70"/>
      <c r="AD661" s="76" t="s">
        <v>17087</v>
      </c>
      <c r="AE661" s="81" t="s">
        <v>16395</v>
      </c>
      <c r="AF661" s="76">
        <v>196</v>
      </c>
      <c r="AG661" s="76">
        <v>269</v>
      </c>
      <c r="AH661" s="76">
        <v>19</v>
      </c>
      <c r="AI661" s="76">
        <v>1</v>
      </c>
      <c r="AJ661" s="76">
        <v>3440</v>
      </c>
      <c r="AK661" s="76">
        <v>0</v>
      </c>
      <c r="AL661" s="76" t="b">
        <v>0</v>
      </c>
      <c r="AM661" s="78">
        <v>44989.898518518516</v>
      </c>
      <c r="AN661" s="76"/>
      <c r="AO661" s="76" t="s">
        <v>18235</v>
      </c>
      <c r="AP661" s="76"/>
      <c r="AQ661" s="76"/>
      <c r="AR661" s="76"/>
      <c r="AS661" s="76"/>
      <c r="AT661" s="76"/>
      <c r="AU661" s="76"/>
      <c r="AV661" s="76"/>
      <c r="AW661" s="76"/>
      <c r="AX661" s="76" t="b">
        <v>0</v>
      </c>
      <c r="AY661" s="76"/>
      <c r="AZ661" s="76"/>
      <c r="BA661" s="76" t="b">
        <v>1</v>
      </c>
      <c r="BB661" s="76" t="b">
        <v>1</v>
      </c>
      <c r="BC661" s="76" t="b">
        <v>1</v>
      </c>
      <c r="BD661" s="76" t="b">
        <v>0</v>
      </c>
      <c r="BE661" s="76" t="b">
        <v>0</v>
      </c>
      <c r="BF661" s="76" t="b">
        <v>0</v>
      </c>
      <c r="BG661" s="76" t="b">
        <v>1</v>
      </c>
      <c r="BH661" s="83" t="str">
        <f>HYPERLINK("https://pbs.twimg.com/profile_banners/1632132186206871553/1694106711")</f>
        <v>https://pbs.twimg.com/profile_banners/1632132186206871553/1694106711</v>
      </c>
      <c r="BI661" s="76"/>
      <c r="BJ661" s="76" t="s">
        <v>18704</v>
      </c>
      <c r="BK661" s="76" t="b">
        <v>0</v>
      </c>
      <c r="BL661" s="76"/>
      <c r="BM661" s="76" t="s">
        <v>66</v>
      </c>
      <c r="BN661" s="76" t="s">
        <v>18706</v>
      </c>
      <c r="BO661" s="83" t="str">
        <f>HYPERLINK("https://twitter.com/tradermindcoach")</f>
        <v>https://twitter.com/tradermindcoach</v>
      </c>
      <c r="BP661" s="2"/>
    </row>
    <row r="662" spans="1:68" x14ac:dyDescent="0.25">
      <c r="A662" s="62" t="s">
        <v>731</v>
      </c>
      <c r="B662" s="63"/>
      <c r="C662" s="63"/>
      <c r="D662" s="64"/>
      <c r="E662" s="66"/>
      <c r="F662" s="102" t="str">
        <f>HYPERLINK("https://pbs.twimg.com/profile_images/1634463138673307649/C-8lZVGS_normal.jpg")</f>
        <v>https://pbs.twimg.com/profile_images/1634463138673307649/C-8lZVGS_normal.jpg</v>
      </c>
      <c r="G662" s="63"/>
      <c r="H662" s="67"/>
      <c r="I662" s="68"/>
      <c r="J662" s="68"/>
      <c r="K662" s="67" t="s">
        <v>19365</v>
      </c>
      <c r="L662" s="71"/>
      <c r="M662" s="72"/>
      <c r="N662" s="72"/>
      <c r="O662" s="73"/>
      <c r="P662" s="74"/>
      <c r="Q662" s="74"/>
      <c r="R662" s="86"/>
      <c r="S662" s="86"/>
      <c r="T662" s="86"/>
      <c r="U662" s="86"/>
      <c r="V662" s="48"/>
      <c r="W662" s="48"/>
      <c r="X662" s="48"/>
      <c r="Y662" s="48"/>
      <c r="Z662" s="47"/>
      <c r="AA662" s="69">
        <v>662</v>
      </c>
      <c r="AB662" s="69"/>
      <c r="AC662" s="70"/>
      <c r="AD662" s="76" t="s">
        <v>731</v>
      </c>
      <c r="AE662" s="81" t="s">
        <v>17393</v>
      </c>
      <c r="AF662" s="76">
        <v>3260</v>
      </c>
      <c r="AG662" s="76">
        <v>1049</v>
      </c>
      <c r="AH662" s="76">
        <v>199293</v>
      </c>
      <c r="AI662" s="76">
        <v>26</v>
      </c>
      <c r="AJ662" s="76">
        <v>195130</v>
      </c>
      <c r="AK662" s="76">
        <v>18593</v>
      </c>
      <c r="AL662" s="76" t="b">
        <v>0</v>
      </c>
      <c r="AM662" s="78">
        <v>39953.748310185183</v>
      </c>
      <c r="AN662" s="76" t="s">
        <v>17648</v>
      </c>
      <c r="AO662" s="76" t="s">
        <v>18236</v>
      </c>
      <c r="AP662" s="76"/>
      <c r="AQ662" s="76"/>
      <c r="AR662" s="76"/>
      <c r="AS662" s="76"/>
      <c r="AT662" s="76"/>
      <c r="AU662" s="76"/>
      <c r="AV662" s="76"/>
      <c r="AW662" s="76"/>
      <c r="AX662" s="76" t="b">
        <v>0</v>
      </c>
      <c r="AY662" s="76"/>
      <c r="AZ662" s="76"/>
      <c r="BA662" s="76" t="b">
        <v>1</v>
      </c>
      <c r="BB662" s="76" t="b">
        <v>1</v>
      </c>
      <c r="BC662" s="76" t="b">
        <v>1</v>
      </c>
      <c r="BD662" s="76" t="b">
        <v>0</v>
      </c>
      <c r="BE662" s="76" t="b">
        <v>1</v>
      </c>
      <c r="BF662" s="76" t="b">
        <v>0</v>
      </c>
      <c r="BG662" s="76" t="b">
        <v>0</v>
      </c>
      <c r="BH662" s="83" t="str">
        <f>HYPERLINK("https://pbs.twimg.com/profile_banners/41410242/1678521365")</f>
        <v>https://pbs.twimg.com/profile_banners/41410242/1678521365</v>
      </c>
      <c r="BI662" s="76"/>
      <c r="BJ662" s="76" t="s">
        <v>18704</v>
      </c>
      <c r="BK662" s="76" t="b">
        <v>0</v>
      </c>
      <c r="BL662" s="76"/>
      <c r="BM662" s="76" t="s">
        <v>66</v>
      </c>
      <c r="BN662" s="76" t="s">
        <v>18706</v>
      </c>
      <c r="BO662" s="83" t="str">
        <f>HYPERLINK("https://twitter.com/salseira")</f>
        <v>https://twitter.com/salseira</v>
      </c>
      <c r="BP662" s="2"/>
    </row>
    <row r="663" spans="1:68" x14ac:dyDescent="0.25">
      <c r="A663" s="62" t="s">
        <v>732</v>
      </c>
      <c r="B663" s="63"/>
      <c r="C663" s="63"/>
      <c r="D663" s="64"/>
      <c r="E663" s="66"/>
      <c r="F663" s="102" t="str">
        <f>HYPERLINK("https://pbs.twimg.com/profile_images/1678426241513267200/FEYur0I-_normal.jpg")</f>
        <v>https://pbs.twimg.com/profile_images/1678426241513267200/FEYur0I-_normal.jpg</v>
      </c>
      <c r="G663" s="63"/>
      <c r="H663" s="67"/>
      <c r="I663" s="68"/>
      <c r="J663" s="68"/>
      <c r="K663" s="67" t="s">
        <v>19366</v>
      </c>
      <c r="L663" s="71"/>
      <c r="M663" s="72"/>
      <c r="N663" s="72"/>
      <c r="O663" s="73"/>
      <c r="P663" s="74"/>
      <c r="Q663" s="74"/>
      <c r="R663" s="86"/>
      <c r="S663" s="86"/>
      <c r="T663" s="86"/>
      <c r="U663" s="86"/>
      <c r="V663" s="48"/>
      <c r="W663" s="48"/>
      <c r="X663" s="48"/>
      <c r="Y663" s="48"/>
      <c r="Z663" s="47"/>
      <c r="AA663" s="69">
        <v>663</v>
      </c>
      <c r="AB663" s="69"/>
      <c r="AC663" s="70"/>
      <c r="AD663" s="76" t="s">
        <v>17088</v>
      </c>
      <c r="AE663" s="81" t="s">
        <v>16396</v>
      </c>
      <c r="AF663" s="76">
        <v>127</v>
      </c>
      <c r="AG663" s="76">
        <v>51</v>
      </c>
      <c r="AH663" s="76">
        <v>1144</v>
      </c>
      <c r="AI663" s="76">
        <v>1</v>
      </c>
      <c r="AJ663" s="76">
        <v>202</v>
      </c>
      <c r="AK663" s="76">
        <v>11</v>
      </c>
      <c r="AL663" s="76" t="b">
        <v>0</v>
      </c>
      <c r="AM663" s="78">
        <v>45117.643946759257</v>
      </c>
      <c r="AN663" s="76"/>
      <c r="AO663" s="76" t="s">
        <v>18237</v>
      </c>
      <c r="AP663" s="76"/>
      <c r="AQ663" s="76"/>
      <c r="AR663" s="76"/>
      <c r="AS663" s="76"/>
      <c r="AT663" s="76"/>
      <c r="AU663" s="76"/>
      <c r="AV663" s="76">
        <v>1.6784611559272599E+18</v>
      </c>
      <c r="AW663" s="76"/>
      <c r="AX663" s="76" t="b">
        <v>0</v>
      </c>
      <c r="AY663" s="76"/>
      <c r="AZ663" s="76"/>
      <c r="BA663" s="76" t="b">
        <v>0</v>
      </c>
      <c r="BB663" s="76" t="b">
        <v>1</v>
      </c>
      <c r="BC663" s="76" t="b">
        <v>1</v>
      </c>
      <c r="BD663" s="76" t="b">
        <v>0</v>
      </c>
      <c r="BE663" s="76" t="b">
        <v>0</v>
      </c>
      <c r="BF663" s="76" t="b">
        <v>0</v>
      </c>
      <c r="BG663" s="76" t="b">
        <v>0</v>
      </c>
      <c r="BH663" s="83" t="str">
        <f>HYPERLINK("https://pbs.twimg.com/profile_banners/1678425571288571904/1689003032")</f>
        <v>https://pbs.twimg.com/profile_banners/1678425571288571904/1689003032</v>
      </c>
      <c r="BI663" s="76"/>
      <c r="BJ663" s="76" t="s">
        <v>18704</v>
      </c>
      <c r="BK663" s="76" t="b">
        <v>0</v>
      </c>
      <c r="BL663" s="76"/>
      <c r="BM663" s="76" t="s">
        <v>66</v>
      </c>
      <c r="BN663" s="76" t="s">
        <v>18706</v>
      </c>
      <c r="BO663" s="83" t="str">
        <f>HYPERLINK("https://twitter.com/tomeacao")</f>
        <v>https://twitter.com/tomeacao</v>
      </c>
      <c r="BP663" s="2"/>
    </row>
    <row r="664" spans="1:68" x14ac:dyDescent="0.25">
      <c r="A664" s="62" t="s">
        <v>893</v>
      </c>
      <c r="B664" s="63"/>
      <c r="C664" s="63"/>
      <c r="D664" s="64"/>
      <c r="E664" s="66"/>
      <c r="F664" s="102" t="str">
        <f>HYPERLINK("https://pbs.twimg.com/profile_images/1215961152892669952/dFWBT1BZ_normal.jpg")</f>
        <v>https://pbs.twimg.com/profile_images/1215961152892669952/dFWBT1BZ_normal.jpg</v>
      </c>
      <c r="G664" s="63"/>
      <c r="H664" s="67"/>
      <c r="I664" s="68"/>
      <c r="J664" s="68"/>
      <c r="K664" s="67" t="s">
        <v>19367</v>
      </c>
      <c r="L664" s="71"/>
      <c r="M664" s="72"/>
      <c r="N664" s="72"/>
      <c r="O664" s="73"/>
      <c r="P664" s="74"/>
      <c r="Q664" s="74"/>
      <c r="R664" s="86"/>
      <c r="S664" s="86"/>
      <c r="T664" s="86"/>
      <c r="U664" s="86"/>
      <c r="V664" s="48"/>
      <c r="W664" s="48"/>
      <c r="X664" s="48"/>
      <c r="Y664" s="48"/>
      <c r="Z664" s="47"/>
      <c r="AA664" s="69">
        <v>664</v>
      </c>
      <c r="AB664" s="69"/>
      <c r="AC664" s="70"/>
      <c r="AD664" s="76" t="s">
        <v>17089</v>
      </c>
      <c r="AE664" s="81" t="s">
        <v>15981</v>
      </c>
      <c r="AF664" s="76">
        <v>118647</v>
      </c>
      <c r="AG664" s="76">
        <v>504</v>
      </c>
      <c r="AH664" s="76">
        <v>79894</v>
      </c>
      <c r="AI664" s="76">
        <v>748</v>
      </c>
      <c r="AJ664" s="76">
        <v>213740</v>
      </c>
      <c r="AK664" s="76">
        <v>9310</v>
      </c>
      <c r="AL664" s="76" t="b">
        <v>0</v>
      </c>
      <c r="AM664" s="78">
        <v>43278.506145833337</v>
      </c>
      <c r="AN664" s="76" t="s">
        <v>10580</v>
      </c>
      <c r="AO664" s="76" t="s">
        <v>18238</v>
      </c>
      <c r="AP664" s="83" t="str">
        <f>HYPERLINK("https://t.co/ivF1T4pDjF")</f>
        <v>https://t.co/ivF1T4pDjF</v>
      </c>
      <c r="AQ664" s="83" t="str">
        <f>HYPERLINK("https://linktr.ee/CarteiraZ")</f>
        <v>https://linktr.ee/CarteiraZ</v>
      </c>
      <c r="AR664" s="76" t="s">
        <v>18622</v>
      </c>
      <c r="AS664" s="83" t="str">
        <f>HYPERLINK("https://t.co/cgEjt6R3aQ")</f>
        <v>https://t.co/cgEjt6R3aQ</v>
      </c>
      <c r="AT664" s="83" t="str">
        <f>HYPERLINK("http://Instagram.com/Rafael.Zattar")</f>
        <v>http://Instagram.com/Rafael.Zattar</v>
      </c>
      <c r="AU664" s="76" t="s">
        <v>18702</v>
      </c>
      <c r="AV664" s="76">
        <v>1.65265174189087E+18</v>
      </c>
      <c r="AW664" s="83" t="str">
        <f>HYPERLINK("https://t.co/ivF1T4pDjF")</f>
        <v>https://t.co/ivF1T4pDjF</v>
      </c>
      <c r="AX664" s="76" t="b">
        <v>1</v>
      </c>
      <c r="AY664" s="76"/>
      <c r="AZ664" s="76"/>
      <c r="BA664" s="76" t="b">
        <v>1</v>
      </c>
      <c r="BB664" s="76" t="b">
        <v>1</v>
      </c>
      <c r="BC664" s="76" t="b">
        <v>1</v>
      </c>
      <c r="BD664" s="76" t="b">
        <v>0</v>
      </c>
      <c r="BE664" s="76" t="b">
        <v>1</v>
      </c>
      <c r="BF664" s="76" t="b">
        <v>0</v>
      </c>
      <c r="BG664" s="76" t="b">
        <v>0</v>
      </c>
      <c r="BH664" s="83" t="str">
        <f>HYPERLINK("https://pbs.twimg.com/profile_banners/1011944444747243520/1607007549")</f>
        <v>https://pbs.twimg.com/profile_banners/1011944444747243520/1607007549</v>
      </c>
      <c r="BI664" s="76"/>
      <c r="BJ664" s="76" t="s">
        <v>18704</v>
      </c>
      <c r="BK664" s="76" t="b">
        <v>0</v>
      </c>
      <c r="BL664" s="76"/>
      <c r="BM664" s="76" t="s">
        <v>65</v>
      </c>
      <c r="BN664" s="76" t="s">
        <v>18706</v>
      </c>
      <c r="BO664" s="83" t="str">
        <f>HYPERLINK("https://twitter.com/zattarrafael")</f>
        <v>https://twitter.com/zattarrafael</v>
      </c>
      <c r="BP664" s="2"/>
    </row>
    <row r="665" spans="1:68" x14ac:dyDescent="0.25">
      <c r="A665" s="62" t="s">
        <v>894</v>
      </c>
      <c r="B665" s="63"/>
      <c r="C665" s="63"/>
      <c r="D665" s="64"/>
      <c r="E665" s="66"/>
      <c r="F665" s="102" t="str">
        <f>HYPERLINK("https://pbs.twimg.com/profile_images/1464069298843004975/tRlz7FHg_normal.jpg")</f>
        <v>https://pbs.twimg.com/profile_images/1464069298843004975/tRlz7FHg_normal.jpg</v>
      </c>
      <c r="G665" s="63"/>
      <c r="H665" s="67"/>
      <c r="I665" s="68"/>
      <c r="J665" s="68"/>
      <c r="K665" s="67" t="s">
        <v>19368</v>
      </c>
      <c r="L665" s="71"/>
      <c r="M665" s="72"/>
      <c r="N665" s="72"/>
      <c r="O665" s="73"/>
      <c r="P665" s="74"/>
      <c r="Q665" s="74"/>
      <c r="R665" s="86"/>
      <c r="S665" s="86"/>
      <c r="T665" s="86"/>
      <c r="U665" s="86"/>
      <c r="V665" s="48"/>
      <c r="W665" s="48"/>
      <c r="X665" s="48"/>
      <c r="Y665" s="48"/>
      <c r="Z665" s="47"/>
      <c r="AA665" s="69">
        <v>665</v>
      </c>
      <c r="AB665" s="69"/>
      <c r="AC665" s="70"/>
      <c r="AD665" s="76" t="s">
        <v>17090</v>
      </c>
      <c r="AE665" s="81" t="s">
        <v>15982</v>
      </c>
      <c r="AF665" s="76">
        <v>6590</v>
      </c>
      <c r="AG665" s="76">
        <v>31</v>
      </c>
      <c r="AH665" s="76">
        <v>1794</v>
      </c>
      <c r="AI665" s="76">
        <v>84</v>
      </c>
      <c r="AJ665" s="76">
        <v>1054</v>
      </c>
      <c r="AK665" s="76">
        <v>446</v>
      </c>
      <c r="AL665" s="76" t="b">
        <v>0</v>
      </c>
      <c r="AM665" s="78">
        <v>43946.519432870373</v>
      </c>
      <c r="AN665" s="76" t="s">
        <v>10586</v>
      </c>
      <c r="AO665" s="76" t="s">
        <v>18239</v>
      </c>
      <c r="AP665" s="76"/>
      <c r="AQ665" s="76"/>
      <c r="AR665" s="76"/>
      <c r="AS665" s="76"/>
      <c r="AT665" s="76"/>
      <c r="AU665" s="76"/>
      <c r="AV665" s="76"/>
      <c r="AW665" s="76"/>
      <c r="AX665" s="76" t="b">
        <v>0</v>
      </c>
      <c r="AY665" s="76"/>
      <c r="AZ665" s="76"/>
      <c r="BA665" s="76" t="b">
        <v>0</v>
      </c>
      <c r="BB665" s="76" t="b">
        <v>1</v>
      </c>
      <c r="BC665" s="76" t="b">
        <v>1</v>
      </c>
      <c r="BD665" s="76" t="b">
        <v>0</v>
      </c>
      <c r="BE665" s="76" t="b">
        <v>0</v>
      </c>
      <c r="BF665" s="76" t="b">
        <v>0</v>
      </c>
      <c r="BG665" s="76" t="b">
        <v>0</v>
      </c>
      <c r="BH665" s="76"/>
      <c r="BI665" s="76"/>
      <c r="BJ665" s="76" t="s">
        <v>18704</v>
      </c>
      <c r="BK665" s="76" t="b">
        <v>0</v>
      </c>
      <c r="BL665" s="76"/>
      <c r="BM665" s="76" t="s">
        <v>65</v>
      </c>
      <c r="BN665" s="76" t="s">
        <v>18706</v>
      </c>
      <c r="BO665" s="83" t="str">
        <f>HYPERLINK("https://twitter.com/dantas452637111")</f>
        <v>https://twitter.com/dantas452637111</v>
      </c>
      <c r="BP665" s="2"/>
    </row>
    <row r="666" spans="1:68" x14ac:dyDescent="0.25">
      <c r="A666" s="62" t="s">
        <v>733</v>
      </c>
      <c r="B666" s="63"/>
      <c r="C666" s="63"/>
      <c r="D666" s="64"/>
      <c r="E666" s="66"/>
      <c r="F666" s="102" t="str">
        <f>HYPERLINK("https://pbs.twimg.com/profile_images/1522537237564600324/JOhvMsQM_normal.jpg")</f>
        <v>https://pbs.twimg.com/profile_images/1522537237564600324/JOhvMsQM_normal.jpg</v>
      </c>
      <c r="G666" s="63"/>
      <c r="H666" s="67"/>
      <c r="I666" s="68"/>
      <c r="J666" s="68"/>
      <c r="K666" s="67" t="s">
        <v>19369</v>
      </c>
      <c r="L666" s="71"/>
      <c r="M666" s="72"/>
      <c r="N666" s="72"/>
      <c r="O666" s="73"/>
      <c r="P666" s="74"/>
      <c r="Q666" s="74"/>
      <c r="R666" s="86"/>
      <c r="S666" s="86"/>
      <c r="T666" s="86"/>
      <c r="U666" s="86"/>
      <c r="V666" s="48"/>
      <c r="W666" s="48"/>
      <c r="X666" s="48"/>
      <c r="Y666" s="48"/>
      <c r="Z666" s="47"/>
      <c r="AA666" s="69">
        <v>666</v>
      </c>
      <c r="AB666" s="69"/>
      <c r="AC666" s="70"/>
      <c r="AD666" s="76" t="s">
        <v>17091</v>
      </c>
      <c r="AE666" s="81" t="s">
        <v>17394</v>
      </c>
      <c r="AF666" s="76">
        <v>1203</v>
      </c>
      <c r="AG666" s="76">
        <v>584</v>
      </c>
      <c r="AH666" s="76">
        <v>1413</v>
      </c>
      <c r="AI666" s="76">
        <v>15</v>
      </c>
      <c r="AJ666" s="76">
        <v>151</v>
      </c>
      <c r="AK666" s="76">
        <v>780</v>
      </c>
      <c r="AL666" s="76" t="b">
        <v>0</v>
      </c>
      <c r="AM666" s="78">
        <v>41953.466261574074</v>
      </c>
      <c r="AN666" s="76" t="s">
        <v>17442</v>
      </c>
      <c r="AO666" s="76" t="s">
        <v>18240</v>
      </c>
      <c r="AP666" s="83" t="str">
        <f>HYPERLINK("https://t.co/6mAoMd6qJW")</f>
        <v>https://t.co/6mAoMd6qJW</v>
      </c>
      <c r="AQ666" s="83" t="str">
        <f>HYPERLINK("http://www.gimme5.app")</f>
        <v>http://www.gimme5.app</v>
      </c>
      <c r="AR666" s="76" t="s">
        <v>18623</v>
      </c>
      <c r="AS666" s="76"/>
      <c r="AT666" s="76"/>
      <c r="AU666" s="76"/>
      <c r="AV666" s="76"/>
      <c r="AW666" s="83" t="str">
        <f>HYPERLINK("https://t.co/6mAoMd6qJW")</f>
        <v>https://t.co/6mAoMd6qJW</v>
      </c>
      <c r="AX666" s="76" t="b">
        <v>0</v>
      </c>
      <c r="AY666" s="76"/>
      <c r="AZ666" s="76"/>
      <c r="BA666" s="76" t="b">
        <v>0</v>
      </c>
      <c r="BB666" s="76" t="b">
        <v>1</v>
      </c>
      <c r="BC666" s="76" t="b">
        <v>1</v>
      </c>
      <c r="BD666" s="76" t="b">
        <v>0</v>
      </c>
      <c r="BE666" s="76" t="b">
        <v>0</v>
      </c>
      <c r="BF666" s="76" t="b">
        <v>0</v>
      </c>
      <c r="BG666" s="76" t="b">
        <v>0</v>
      </c>
      <c r="BH666" s="83" t="str">
        <f>HYPERLINK("https://pbs.twimg.com/profile_banners/2870442100/1651836212")</f>
        <v>https://pbs.twimg.com/profile_banners/2870442100/1651836212</v>
      </c>
      <c r="BI666" s="76"/>
      <c r="BJ666" s="76" t="s">
        <v>18704</v>
      </c>
      <c r="BK666" s="76" t="b">
        <v>0</v>
      </c>
      <c r="BL666" s="76"/>
      <c r="BM666" s="76" t="s">
        <v>66</v>
      </c>
      <c r="BN666" s="76" t="s">
        <v>18706</v>
      </c>
      <c r="BO666" s="83" t="str">
        <f>HYPERLINK("https://twitter.com/gimme5app")</f>
        <v>https://twitter.com/gimme5app</v>
      </c>
      <c r="BP666" s="2"/>
    </row>
    <row r="667" spans="1:68" x14ac:dyDescent="0.25">
      <c r="A667" s="62" t="s">
        <v>734</v>
      </c>
      <c r="B667" s="63"/>
      <c r="C667" s="63"/>
      <c r="D667" s="64"/>
      <c r="E667" s="66"/>
      <c r="F667" s="102" t="str">
        <f>HYPERLINK("https://pbs.twimg.com/profile_images/1680199368765235201/sqAuNCxv_normal.png")</f>
        <v>https://pbs.twimg.com/profile_images/1680199368765235201/sqAuNCxv_normal.png</v>
      </c>
      <c r="G667" s="63"/>
      <c r="H667" s="67"/>
      <c r="I667" s="68"/>
      <c r="J667" s="68"/>
      <c r="K667" s="67" t="s">
        <v>19370</v>
      </c>
      <c r="L667" s="71"/>
      <c r="M667" s="72"/>
      <c r="N667" s="72"/>
      <c r="O667" s="73"/>
      <c r="P667" s="74"/>
      <c r="Q667" s="74"/>
      <c r="R667" s="86"/>
      <c r="S667" s="86"/>
      <c r="T667" s="86"/>
      <c r="U667" s="86"/>
      <c r="V667" s="48"/>
      <c r="W667" s="48"/>
      <c r="X667" s="48"/>
      <c r="Y667" s="48"/>
      <c r="Z667" s="47"/>
      <c r="AA667" s="69">
        <v>667</v>
      </c>
      <c r="AB667" s="69"/>
      <c r="AC667" s="70"/>
      <c r="AD667" s="76" t="s">
        <v>17092</v>
      </c>
      <c r="AE667" s="81" t="s">
        <v>15983</v>
      </c>
      <c r="AF667" s="76">
        <v>33</v>
      </c>
      <c r="AG667" s="76">
        <v>403</v>
      </c>
      <c r="AH667" s="76">
        <v>655</v>
      </c>
      <c r="AI667" s="76">
        <v>2</v>
      </c>
      <c r="AJ667" s="76">
        <v>1099</v>
      </c>
      <c r="AK667" s="76">
        <v>55</v>
      </c>
      <c r="AL667" s="76" t="b">
        <v>0</v>
      </c>
      <c r="AM667" s="78">
        <v>43104.915648148148</v>
      </c>
      <c r="AN667" s="76" t="s">
        <v>17415</v>
      </c>
      <c r="AO667" s="76" t="s">
        <v>18241</v>
      </c>
      <c r="AP667" s="83" t="str">
        <f>HYPERLINK("https://t.co/CIN8YDNdpf")</f>
        <v>https://t.co/CIN8YDNdpf</v>
      </c>
      <c r="AQ667" s="83" t="str">
        <f>HYPERLINK("https://instagram.com/alissondpo")</f>
        <v>https://instagram.com/alissondpo</v>
      </c>
      <c r="AR667" s="76" t="s">
        <v>18624</v>
      </c>
      <c r="AS667" s="76"/>
      <c r="AT667" s="76"/>
      <c r="AU667" s="76"/>
      <c r="AV667" s="76"/>
      <c r="AW667" s="83" t="str">
        <f>HYPERLINK("https://t.co/CIN8YDNdpf")</f>
        <v>https://t.co/CIN8YDNdpf</v>
      </c>
      <c r="AX667" s="76" t="b">
        <v>0</v>
      </c>
      <c r="AY667" s="76"/>
      <c r="AZ667" s="76"/>
      <c r="BA667" s="76" t="b">
        <v>0</v>
      </c>
      <c r="BB667" s="76" t="b">
        <v>0</v>
      </c>
      <c r="BC667" s="76" t="b">
        <v>1</v>
      </c>
      <c r="BD667" s="76" t="b">
        <v>0</v>
      </c>
      <c r="BE667" s="76" t="b">
        <v>0</v>
      </c>
      <c r="BF667" s="76" t="b">
        <v>0</v>
      </c>
      <c r="BG667" s="76" t="b">
        <v>0</v>
      </c>
      <c r="BH667" s="83" t="str">
        <f>HYPERLINK("https://pbs.twimg.com/profile_banners/949037353129177090/1689726453")</f>
        <v>https://pbs.twimg.com/profile_banners/949037353129177090/1689726453</v>
      </c>
      <c r="BI667" s="76"/>
      <c r="BJ667" s="76" t="s">
        <v>18704</v>
      </c>
      <c r="BK667" s="76" t="b">
        <v>0</v>
      </c>
      <c r="BL667" s="76"/>
      <c r="BM667" s="76" t="s">
        <v>66</v>
      </c>
      <c r="BN667" s="76" t="s">
        <v>18706</v>
      </c>
      <c r="BO667" s="83" t="str">
        <f>HYPERLINK("https://twitter.com/alissondpo")</f>
        <v>https://twitter.com/alissondpo</v>
      </c>
      <c r="BP667" s="2"/>
    </row>
    <row r="668" spans="1:68" x14ac:dyDescent="0.25">
      <c r="A668" s="62" t="s">
        <v>735</v>
      </c>
      <c r="B668" s="63"/>
      <c r="C668" s="63"/>
      <c r="D668" s="64"/>
      <c r="E668" s="66"/>
      <c r="F668" s="102" t="str">
        <f>HYPERLINK("https://pbs.twimg.com/profile_images/1067039778795937797/PnnLGTU4_normal.jpg")</f>
        <v>https://pbs.twimg.com/profile_images/1067039778795937797/PnnLGTU4_normal.jpg</v>
      </c>
      <c r="G668" s="63"/>
      <c r="H668" s="67"/>
      <c r="I668" s="68"/>
      <c r="J668" s="68"/>
      <c r="K668" s="67" t="s">
        <v>19371</v>
      </c>
      <c r="L668" s="71"/>
      <c r="M668" s="72"/>
      <c r="N668" s="72"/>
      <c r="O668" s="73"/>
      <c r="P668" s="74"/>
      <c r="Q668" s="74"/>
      <c r="R668" s="86"/>
      <c r="S668" s="86"/>
      <c r="T668" s="86"/>
      <c r="U668" s="86"/>
      <c r="V668" s="48"/>
      <c r="W668" s="48"/>
      <c r="X668" s="48"/>
      <c r="Y668" s="48"/>
      <c r="Z668" s="47"/>
      <c r="AA668" s="69">
        <v>668</v>
      </c>
      <c r="AB668" s="69"/>
      <c r="AC668" s="70"/>
      <c r="AD668" s="76" t="s">
        <v>735</v>
      </c>
      <c r="AE668" s="81" t="s">
        <v>17395</v>
      </c>
      <c r="AF668" s="76">
        <v>70079</v>
      </c>
      <c r="AG668" s="76">
        <v>1</v>
      </c>
      <c r="AH668" s="76">
        <v>26621</v>
      </c>
      <c r="AI668" s="76">
        <v>230</v>
      </c>
      <c r="AJ668" s="76">
        <v>1043</v>
      </c>
      <c r="AK668" s="76">
        <v>4264</v>
      </c>
      <c r="AL668" s="76" t="b">
        <v>0</v>
      </c>
      <c r="AM668" s="78">
        <v>41810.617245370369</v>
      </c>
      <c r="AN668" s="76" t="s">
        <v>10570</v>
      </c>
      <c r="AO668" s="76" t="s">
        <v>18242</v>
      </c>
      <c r="AP668" s="83" t="str">
        <f>HYPERLINK("https://t.co/YW2b8gJ3vQ")</f>
        <v>https://t.co/YW2b8gJ3vQ</v>
      </c>
      <c r="AQ668" s="83" t="str">
        <f>HYPERLINK("https://www.modalmais.com.br")</f>
        <v>https://www.modalmais.com.br</v>
      </c>
      <c r="AR668" s="76" t="s">
        <v>18625</v>
      </c>
      <c r="AS668" s="76"/>
      <c r="AT668" s="76"/>
      <c r="AU668" s="76"/>
      <c r="AV668" s="76"/>
      <c r="AW668" s="83" t="str">
        <f>HYPERLINK("https://t.co/YW2b8gJ3vQ")</f>
        <v>https://t.co/YW2b8gJ3vQ</v>
      </c>
      <c r="AX668" s="76" t="b">
        <v>0</v>
      </c>
      <c r="AY668" s="76"/>
      <c r="AZ668" s="76"/>
      <c r="BA668" s="76" t="b">
        <v>1</v>
      </c>
      <c r="BB668" s="76" t="b">
        <v>1</v>
      </c>
      <c r="BC668" s="76" t="b">
        <v>1</v>
      </c>
      <c r="BD668" s="76" t="b">
        <v>0</v>
      </c>
      <c r="BE668" s="76" t="b">
        <v>0</v>
      </c>
      <c r="BF668" s="76" t="b">
        <v>0</v>
      </c>
      <c r="BG668" s="76" t="b">
        <v>0</v>
      </c>
      <c r="BH668" s="83" t="str">
        <f>HYPERLINK("https://pbs.twimg.com/profile_banners/2578778256/1695849869")</f>
        <v>https://pbs.twimg.com/profile_banners/2578778256/1695849869</v>
      </c>
      <c r="BI668" s="76"/>
      <c r="BJ668" s="76" t="s">
        <v>18704</v>
      </c>
      <c r="BK668" s="76" t="b">
        <v>0</v>
      </c>
      <c r="BL668" s="76"/>
      <c r="BM668" s="76" t="s">
        <v>66</v>
      </c>
      <c r="BN668" s="76" t="s">
        <v>18706</v>
      </c>
      <c r="BO668" s="83" t="str">
        <f>HYPERLINK("https://twitter.com/modalmais")</f>
        <v>https://twitter.com/modalmais</v>
      </c>
      <c r="BP668" s="2"/>
    </row>
    <row r="669" spans="1:68" x14ac:dyDescent="0.25">
      <c r="A669" s="62" t="s">
        <v>736</v>
      </c>
      <c r="B669" s="63"/>
      <c r="C669" s="63"/>
      <c r="D669" s="64"/>
      <c r="E669" s="66"/>
      <c r="F669" s="102" t="str">
        <f>HYPERLINK("https://pbs.twimg.com/profile_images/1539234851198492678/gKZ0CP6m_normal.jpg")</f>
        <v>https://pbs.twimg.com/profile_images/1539234851198492678/gKZ0CP6m_normal.jpg</v>
      </c>
      <c r="G669" s="63"/>
      <c r="H669" s="67"/>
      <c r="I669" s="68"/>
      <c r="J669" s="68"/>
      <c r="K669" s="67" t="s">
        <v>19372</v>
      </c>
      <c r="L669" s="71"/>
      <c r="M669" s="72"/>
      <c r="N669" s="72"/>
      <c r="O669" s="73"/>
      <c r="P669" s="74"/>
      <c r="Q669" s="74"/>
      <c r="R669" s="86"/>
      <c r="S669" s="86"/>
      <c r="T669" s="86"/>
      <c r="U669" s="86"/>
      <c r="V669" s="48"/>
      <c r="W669" s="48"/>
      <c r="X669" s="48"/>
      <c r="Y669" s="48"/>
      <c r="Z669" s="47"/>
      <c r="AA669" s="69">
        <v>669</v>
      </c>
      <c r="AB669" s="69"/>
      <c r="AC669" s="70"/>
      <c r="AD669" s="76" t="s">
        <v>17093</v>
      </c>
      <c r="AE669" s="81" t="s">
        <v>16397</v>
      </c>
      <c r="AF669" s="76">
        <v>132</v>
      </c>
      <c r="AG669" s="76">
        <v>538</v>
      </c>
      <c r="AH669" s="76">
        <v>8535</v>
      </c>
      <c r="AI669" s="76">
        <v>6</v>
      </c>
      <c r="AJ669" s="76">
        <v>14856</v>
      </c>
      <c r="AK669" s="76">
        <v>1383</v>
      </c>
      <c r="AL669" s="76" t="b">
        <v>0</v>
      </c>
      <c r="AM669" s="78">
        <v>44192.557743055557</v>
      </c>
      <c r="AN669" s="76" t="s">
        <v>17415</v>
      </c>
      <c r="AO669" s="76" t="s">
        <v>18243</v>
      </c>
      <c r="AP669" s="83" t="str">
        <f>HYPERLINK("https://t.co/RQ81LKEpEH")</f>
        <v>https://t.co/RQ81LKEpEH</v>
      </c>
      <c r="AQ669" s="83" t="str">
        <f>HYPERLINK("https://www.youtube.com/@CharlesFibonacci")</f>
        <v>https://www.youtube.com/@CharlesFibonacci</v>
      </c>
      <c r="AR669" s="76" t="s">
        <v>18626</v>
      </c>
      <c r="AS669" s="76"/>
      <c r="AT669" s="76"/>
      <c r="AU669" s="76"/>
      <c r="AV669" s="76">
        <v>1.61617279520497E+18</v>
      </c>
      <c r="AW669" s="83" t="str">
        <f>HYPERLINK("https://t.co/RQ81LKEpEH")</f>
        <v>https://t.co/RQ81LKEpEH</v>
      </c>
      <c r="AX669" s="76" t="b">
        <v>0</v>
      </c>
      <c r="AY669" s="76"/>
      <c r="AZ669" s="76"/>
      <c r="BA669" s="76" t="b">
        <v>0</v>
      </c>
      <c r="BB669" s="76" t="b">
        <v>1</v>
      </c>
      <c r="BC669" s="76" t="b">
        <v>1</v>
      </c>
      <c r="BD669" s="76" t="b">
        <v>0</v>
      </c>
      <c r="BE669" s="76" t="b">
        <v>1</v>
      </c>
      <c r="BF669" s="76" t="b">
        <v>0</v>
      </c>
      <c r="BG669" s="76" t="b">
        <v>0</v>
      </c>
      <c r="BH669" s="83" t="str">
        <f>HYPERLINK("https://pbs.twimg.com/profile_banners/1343185244384583681/1670238851")</f>
        <v>https://pbs.twimg.com/profile_banners/1343185244384583681/1670238851</v>
      </c>
      <c r="BI669" s="76"/>
      <c r="BJ669" s="76" t="s">
        <v>18704</v>
      </c>
      <c r="BK669" s="76" t="b">
        <v>0</v>
      </c>
      <c r="BL669" s="76"/>
      <c r="BM669" s="76" t="s">
        <v>66</v>
      </c>
      <c r="BN669" s="76" t="s">
        <v>18706</v>
      </c>
      <c r="BO669" s="83" t="str">
        <f>HYPERLINK("https://twitter.com/charlesfibonacc")</f>
        <v>https://twitter.com/charlesfibonacc</v>
      </c>
      <c r="BP669" s="2"/>
    </row>
    <row r="670" spans="1:68" x14ac:dyDescent="0.25">
      <c r="A670" s="62" t="s">
        <v>737</v>
      </c>
      <c r="B670" s="63"/>
      <c r="C670" s="63"/>
      <c r="D670" s="64"/>
      <c r="E670" s="66"/>
      <c r="F670" s="102" t="str">
        <f>HYPERLINK("https://pbs.twimg.com/profile_images/1464048965255639040/OKnJYwhP_normal.jpg")</f>
        <v>https://pbs.twimg.com/profile_images/1464048965255639040/OKnJYwhP_normal.jpg</v>
      </c>
      <c r="G670" s="63"/>
      <c r="H670" s="67"/>
      <c r="I670" s="68"/>
      <c r="J670" s="68"/>
      <c r="K670" s="67" t="s">
        <v>19373</v>
      </c>
      <c r="L670" s="71"/>
      <c r="M670" s="72"/>
      <c r="N670" s="72"/>
      <c r="O670" s="73"/>
      <c r="P670" s="74"/>
      <c r="Q670" s="74"/>
      <c r="R670" s="86"/>
      <c r="S670" s="86"/>
      <c r="T670" s="86"/>
      <c r="U670" s="86"/>
      <c r="V670" s="48"/>
      <c r="W670" s="48"/>
      <c r="X670" s="48"/>
      <c r="Y670" s="48"/>
      <c r="Z670" s="47"/>
      <c r="AA670" s="69">
        <v>670</v>
      </c>
      <c r="AB670" s="69"/>
      <c r="AC670" s="70"/>
      <c r="AD670" s="76" t="s">
        <v>17094</v>
      </c>
      <c r="AE670" s="81" t="s">
        <v>17396</v>
      </c>
      <c r="AF670" s="76">
        <v>39</v>
      </c>
      <c r="AG670" s="76">
        <v>109</v>
      </c>
      <c r="AH670" s="76">
        <v>995</v>
      </c>
      <c r="AI670" s="76">
        <v>0</v>
      </c>
      <c r="AJ670" s="76">
        <v>1209</v>
      </c>
      <c r="AK670" s="76">
        <v>104</v>
      </c>
      <c r="AL670" s="76" t="b">
        <v>0</v>
      </c>
      <c r="AM670" s="78">
        <v>41469.659375000003</v>
      </c>
      <c r="AN670" s="76"/>
      <c r="AO670" s="76" t="s">
        <v>18244</v>
      </c>
      <c r="AP670" s="76"/>
      <c r="AQ670" s="76"/>
      <c r="AR670" s="76"/>
      <c r="AS670" s="76"/>
      <c r="AT670" s="76"/>
      <c r="AU670" s="76"/>
      <c r="AV670" s="76"/>
      <c r="AW670" s="76"/>
      <c r="AX670" s="76" t="b">
        <v>0</v>
      </c>
      <c r="AY670" s="76"/>
      <c r="AZ670" s="76"/>
      <c r="BA670" s="76" t="b">
        <v>0</v>
      </c>
      <c r="BB670" s="76" t="b">
        <v>0</v>
      </c>
      <c r="BC670" s="76" t="b">
        <v>1</v>
      </c>
      <c r="BD670" s="76" t="b">
        <v>0</v>
      </c>
      <c r="BE670" s="76" t="b">
        <v>0</v>
      </c>
      <c r="BF670" s="76" t="b">
        <v>0</v>
      </c>
      <c r="BG670" s="76" t="b">
        <v>0</v>
      </c>
      <c r="BH670" s="76"/>
      <c r="BI670" s="76"/>
      <c r="BJ670" s="76" t="s">
        <v>18704</v>
      </c>
      <c r="BK670" s="76" t="b">
        <v>0</v>
      </c>
      <c r="BL670" s="76"/>
      <c r="BM670" s="76" t="s">
        <v>66</v>
      </c>
      <c r="BN670" s="76" t="s">
        <v>18706</v>
      </c>
      <c r="BO670" s="83" t="str">
        <f>HYPERLINK("https://twitter.com/villasboasvi")</f>
        <v>https://twitter.com/villasboasvi</v>
      </c>
      <c r="BP670" s="2"/>
    </row>
    <row r="671" spans="1:68" x14ac:dyDescent="0.25">
      <c r="A671" s="62" t="s">
        <v>738</v>
      </c>
      <c r="B671" s="63"/>
      <c r="C671" s="63"/>
      <c r="D671" s="64"/>
      <c r="E671" s="66"/>
      <c r="F671" s="102" t="str">
        <f>HYPERLINK("https://pbs.twimg.com/profile_images/1475510717533114374/z9_sRm9u_normal.jpg")</f>
        <v>https://pbs.twimg.com/profile_images/1475510717533114374/z9_sRm9u_normal.jpg</v>
      </c>
      <c r="G671" s="63"/>
      <c r="H671" s="67"/>
      <c r="I671" s="68"/>
      <c r="J671" s="68"/>
      <c r="K671" s="67" t="s">
        <v>19374</v>
      </c>
      <c r="L671" s="71"/>
      <c r="M671" s="72"/>
      <c r="N671" s="72"/>
      <c r="O671" s="73"/>
      <c r="P671" s="74"/>
      <c r="Q671" s="74"/>
      <c r="R671" s="86"/>
      <c r="S671" s="86"/>
      <c r="T671" s="86"/>
      <c r="U671" s="86"/>
      <c r="V671" s="48"/>
      <c r="W671" s="48"/>
      <c r="X671" s="48"/>
      <c r="Y671" s="48"/>
      <c r="Z671" s="47"/>
      <c r="AA671" s="69">
        <v>671</v>
      </c>
      <c r="AB671" s="69"/>
      <c r="AC671" s="70"/>
      <c r="AD671" s="76" t="s">
        <v>17095</v>
      </c>
      <c r="AE671" s="81" t="s">
        <v>16398</v>
      </c>
      <c r="AF671" s="76">
        <v>134</v>
      </c>
      <c r="AG671" s="76">
        <v>772</v>
      </c>
      <c r="AH671" s="76">
        <v>1757</v>
      </c>
      <c r="AI671" s="76">
        <v>5</v>
      </c>
      <c r="AJ671" s="76">
        <v>1027</v>
      </c>
      <c r="AK671" s="76">
        <v>835</v>
      </c>
      <c r="AL671" s="76" t="b">
        <v>0</v>
      </c>
      <c r="AM671" s="78">
        <v>44557.70212962963</v>
      </c>
      <c r="AN671" s="76" t="s">
        <v>17624</v>
      </c>
      <c r="AO671" s="76" t="s">
        <v>18245</v>
      </c>
      <c r="AP671" s="83" t="str">
        <f>HYPERLINK("https://t.co/kIIvSgGOB9")</f>
        <v>https://t.co/kIIvSgGOB9</v>
      </c>
      <c r="AQ671" s="83" t="str">
        <f>HYPERLINK("https://linktr.ee/gbtcvalencia")</f>
        <v>https://linktr.ee/gbtcvalencia</v>
      </c>
      <c r="AR671" s="76" t="s">
        <v>18627</v>
      </c>
      <c r="AS671" s="76"/>
      <c r="AT671" s="76"/>
      <c r="AU671" s="76"/>
      <c r="AV671" s="76">
        <v>1.6962645783703099E+18</v>
      </c>
      <c r="AW671" s="83" t="str">
        <f>HYPERLINK("https://t.co/kIIvSgGOB9")</f>
        <v>https://t.co/kIIvSgGOB9</v>
      </c>
      <c r="AX671" s="76" t="b">
        <v>0</v>
      </c>
      <c r="AY671" s="76"/>
      <c r="AZ671" s="76"/>
      <c r="BA671" s="76" t="b">
        <v>0</v>
      </c>
      <c r="BB671" s="76" t="b">
        <v>1</v>
      </c>
      <c r="BC671" s="76" t="b">
        <v>1</v>
      </c>
      <c r="BD671" s="76" t="b">
        <v>0</v>
      </c>
      <c r="BE671" s="76" t="b">
        <v>0</v>
      </c>
      <c r="BF671" s="76" t="b">
        <v>0</v>
      </c>
      <c r="BG671" s="76" t="b">
        <v>0</v>
      </c>
      <c r="BH671" s="83" t="str">
        <f>HYPERLINK("https://pbs.twimg.com/profile_banners/1475509464757424133/1644272285")</f>
        <v>https://pbs.twimg.com/profile_banners/1475509464757424133/1644272285</v>
      </c>
      <c r="BI671" s="76"/>
      <c r="BJ671" s="76" t="s">
        <v>18704</v>
      </c>
      <c r="BK671" s="76" t="b">
        <v>0</v>
      </c>
      <c r="BL671" s="76"/>
      <c r="BM671" s="76" t="s">
        <v>66</v>
      </c>
      <c r="BN671" s="76" t="s">
        <v>18706</v>
      </c>
      <c r="BO671" s="83" t="str">
        <f>HYPERLINK("https://twitter.com/gbtcvalencia")</f>
        <v>https://twitter.com/gbtcvalencia</v>
      </c>
      <c r="BP671" s="2"/>
    </row>
    <row r="672" spans="1:68" x14ac:dyDescent="0.25">
      <c r="A672" s="62" t="s">
        <v>739</v>
      </c>
      <c r="B672" s="63"/>
      <c r="C672" s="63"/>
      <c r="D672" s="64"/>
      <c r="E672" s="66"/>
      <c r="F672" s="102" t="str">
        <f>HYPERLINK("https://pbs.twimg.com/profile_images/1704472443744559104/RlQOZhwh_normal.png")</f>
        <v>https://pbs.twimg.com/profile_images/1704472443744559104/RlQOZhwh_normal.png</v>
      </c>
      <c r="G672" s="63"/>
      <c r="H672" s="67"/>
      <c r="I672" s="68"/>
      <c r="J672" s="68"/>
      <c r="K672" s="67" t="s">
        <v>19375</v>
      </c>
      <c r="L672" s="71"/>
      <c r="M672" s="72"/>
      <c r="N672" s="72"/>
      <c r="O672" s="73"/>
      <c r="P672" s="74"/>
      <c r="Q672" s="74"/>
      <c r="R672" s="86"/>
      <c r="S672" s="86"/>
      <c r="T672" s="86"/>
      <c r="U672" s="86"/>
      <c r="V672" s="48"/>
      <c r="W672" s="48"/>
      <c r="X672" s="48"/>
      <c r="Y672" s="48"/>
      <c r="Z672" s="47"/>
      <c r="AA672" s="69">
        <v>672</v>
      </c>
      <c r="AB672" s="69"/>
      <c r="AC672" s="70"/>
      <c r="AD672" s="76" t="s">
        <v>17096</v>
      </c>
      <c r="AE672" s="81" t="s">
        <v>16399</v>
      </c>
      <c r="AF672" s="76">
        <v>182</v>
      </c>
      <c r="AG672" s="76">
        <v>319</v>
      </c>
      <c r="AH672" s="76">
        <v>26</v>
      </c>
      <c r="AI672" s="76">
        <v>4</v>
      </c>
      <c r="AJ672" s="76">
        <v>2805</v>
      </c>
      <c r="AK672" s="76">
        <v>0</v>
      </c>
      <c r="AL672" s="76" t="b">
        <v>0</v>
      </c>
      <c r="AM672" s="78">
        <v>44989.884918981479</v>
      </c>
      <c r="AN672" s="76"/>
      <c r="AO672" s="76" t="s">
        <v>18246</v>
      </c>
      <c r="AP672" s="76"/>
      <c r="AQ672" s="76"/>
      <c r="AR672" s="76"/>
      <c r="AS672" s="76"/>
      <c r="AT672" s="76"/>
      <c r="AU672" s="76"/>
      <c r="AV672" s="76"/>
      <c r="AW672" s="76"/>
      <c r="AX672" s="76" t="b">
        <v>0</v>
      </c>
      <c r="AY672" s="76"/>
      <c r="AZ672" s="76"/>
      <c r="BA672" s="76" t="b">
        <v>1</v>
      </c>
      <c r="BB672" s="76" t="b">
        <v>1</v>
      </c>
      <c r="BC672" s="76" t="b">
        <v>1</v>
      </c>
      <c r="BD672" s="76" t="b">
        <v>0</v>
      </c>
      <c r="BE672" s="76" t="b">
        <v>0</v>
      </c>
      <c r="BF672" s="76" t="b">
        <v>0</v>
      </c>
      <c r="BG672" s="76" t="b">
        <v>1</v>
      </c>
      <c r="BH672" s="83" t="str">
        <f>HYPERLINK("https://pbs.twimg.com/profile_banners/1632127258646151171/1695212970")</f>
        <v>https://pbs.twimg.com/profile_banners/1632127258646151171/1695212970</v>
      </c>
      <c r="BI672" s="76"/>
      <c r="BJ672" s="76" t="s">
        <v>18704</v>
      </c>
      <c r="BK672" s="76" t="b">
        <v>0</v>
      </c>
      <c r="BL672" s="76"/>
      <c r="BM672" s="76" t="s">
        <v>66</v>
      </c>
      <c r="BN672" s="76" t="s">
        <v>18706</v>
      </c>
      <c r="BO672" s="83" t="str">
        <f>HYPERLINK("https://twitter.com/tradermindninja")</f>
        <v>https://twitter.com/tradermindninja</v>
      </c>
      <c r="BP672" s="2"/>
    </row>
    <row r="673" spans="1:68" x14ac:dyDescent="0.25">
      <c r="A673" s="87" t="s">
        <v>740</v>
      </c>
      <c r="B673" s="88"/>
      <c r="C673" s="88"/>
      <c r="D673" s="89"/>
      <c r="E673" s="90"/>
      <c r="F673" s="103" t="str">
        <f>HYPERLINK("https://pbs.twimg.com/profile_images/1684263204266835972/4bIyfPqs_normal.jpg")</f>
        <v>https://pbs.twimg.com/profile_images/1684263204266835972/4bIyfPqs_normal.jpg</v>
      </c>
      <c r="G673" s="88"/>
      <c r="H673" s="91"/>
      <c r="I673" s="92"/>
      <c r="J673" s="92"/>
      <c r="K673" s="91" t="s">
        <v>19376</v>
      </c>
      <c r="L673" s="93"/>
      <c r="M673" s="94"/>
      <c r="N673" s="94"/>
      <c r="O673" s="95"/>
      <c r="P673" s="96"/>
      <c r="Q673" s="96"/>
      <c r="R673" s="97"/>
      <c r="S673" s="97"/>
      <c r="T673" s="97"/>
      <c r="U673" s="97"/>
      <c r="V673" s="98"/>
      <c r="W673" s="98"/>
      <c r="X673" s="98"/>
      <c r="Y673" s="98"/>
      <c r="Z673" s="99"/>
      <c r="AA673" s="100">
        <v>673</v>
      </c>
      <c r="AB673" s="100"/>
      <c r="AC673" s="101"/>
      <c r="AD673" s="76" t="s">
        <v>17097</v>
      </c>
      <c r="AE673" s="81" t="s">
        <v>17397</v>
      </c>
      <c r="AF673" s="76">
        <v>453</v>
      </c>
      <c r="AG673" s="76">
        <v>1176</v>
      </c>
      <c r="AH673" s="76">
        <v>30</v>
      </c>
      <c r="AI673" s="76">
        <v>0</v>
      </c>
      <c r="AJ673" s="76">
        <v>0</v>
      </c>
      <c r="AK673" s="76">
        <v>22</v>
      </c>
      <c r="AL673" s="76" t="b">
        <v>0</v>
      </c>
      <c r="AM673" s="78">
        <v>40284.588784722226</v>
      </c>
      <c r="AN673" s="76" t="s">
        <v>17649</v>
      </c>
      <c r="AO673" s="83" t="str">
        <f>HYPERLINK("https://t.co/IWbupLM4lk")</f>
        <v>https://t.co/IWbupLM4lk</v>
      </c>
      <c r="AP673" s="83" t="str">
        <f>HYPERLINK("https://t.co/IWbupLM4lk")</f>
        <v>https://t.co/IWbupLM4lk</v>
      </c>
      <c r="AQ673" s="83" t="str">
        <f>HYPERLINK("https://www.youtube.com/channel/UC06dUAFu8z3DSjACKLWP0KQ")</f>
        <v>https://www.youtube.com/channel/UC06dUAFu8z3DSjACKLWP0KQ</v>
      </c>
      <c r="AR673" s="76" t="s">
        <v>18628</v>
      </c>
      <c r="AS673" s="83" t="str">
        <f>HYPERLINK("https://t.co/IWbupLM4lk")</f>
        <v>https://t.co/IWbupLM4lk</v>
      </c>
      <c r="AT673" s="83" t="str">
        <f>HYPERLINK("https://www.youtube.com/channel/UC06dUAFu8z3DSjACKLWP0KQ")</f>
        <v>https://www.youtube.com/channel/UC06dUAFu8z3DSjACKLWP0KQ</v>
      </c>
      <c r="AU673" s="76" t="s">
        <v>18628</v>
      </c>
      <c r="AV673" s="76"/>
      <c r="AW673" s="83" t="str">
        <f>HYPERLINK("https://t.co/IWbupLM4lk")</f>
        <v>https://t.co/IWbupLM4lk</v>
      </c>
      <c r="AX673" s="76" t="b">
        <v>0</v>
      </c>
      <c r="AY673" s="76"/>
      <c r="AZ673" s="76"/>
      <c r="BA673" s="76" t="b">
        <v>0</v>
      </c>
      <c r="BB673" s="76" t="b">
        <v>1</v>
      </c>
      <c r="BC673" s="76" t="b">
        <v>0</v>
      </c>
      <c r="BD673" s="76" t="b">
        <v>0</v>
      </c>
      <c r="BE673" s="76" t="b">
        <v>0</v>
      </c>
      <c r="BF673" s="76" t="b">
        <v>0</v>
      </c>
      <c r="BG673" s="76" t="b">
        <v>0</v>
      </c>
      <c r="BH673" s="76"/>
      <c r="BI673" s="76"/>
      <c r="BJ673" s="76" t="s">
        <v>18704</v>
      </c>
      <c r="BK673" s="76" t="b">
        <v>0</v>
      </c>
      <c r="BL673" s="76"/>
      <c r="BM673" s="76" t="s">
        <v>66</v>
      </c>
      <c r="BN673" s="76" t="s">
        <v>18706</v>
      </c>
      <c r="BO673" s="83" t="str">
        <f>HYPERLINK("https://twitter.com/eltonplacido")</f>
        <v>https://twitter.com/eltonplacido</v>
      </c>
      <c r="BP673" s="2"/>
    </row>
    <row r="674" spans="1:68" x14ac:dyDescent="0.25">
      <c r="A674" s="62" t="s">
        <v>16400</v>
      </c>
      <c r="B674" s="63"/>
      <c r="C674" s="63"/>
      <c r="D674" s="64"/>
      <c r="E674" s="66"/>
      <c r="F674" s="102" t="str">
        <f>HYPERLINK("https://pbs.twimg.com/profile_images/1615321470988652544/jUePNHVy_normal.jpg")</f>
        <v>https://pbs.twimg.com/profile_images/1615321470988652544/jUePNHVy_normal.jpg</v>
      </c>
      <c r="G674" s="63" t="s">
        <v>51</v>
      </c>
      <c r="H674" s="67"/>
      <c r="I674" s="68"/>
      <c r="J674" s="68"/>
      <c r="K674" s="67" t="s">
        <v>19377</v>
      </c>
      <c r="L674" s="71"/>
      <c r="M674" s="72"/>
      <c r="N674" s="72"/>
      <c r="O674" s="73"/>
      <c r="P674" s="74"/>
      <c r="Q674" s="74"/>
      <c r="R674" s="86"/>
      <c r="S674" s="86"/>
      <c r="T674" s="86"/>
      <c r="U674" s="86"/>
      <c r="V674" s="48"/>
      <c r="W674" s="48"/>
      <c r="X674" s="48"/>
      <c r="Y674" s="48"/>
      <c r="Z674" s="47"/>
      <c r="AA674" s="69">
        <v>674</v>
      </c>
      <c r="AB674" s="69"/>
      <c r="AC674" s="70"/>
      <c r="AD674" s="76" t="s">
        <v>17098</v>
      </c>
      <c r="AE674" s="81" t="s">
        <v>17398</v>
      </c>
      <c r="AF674" s="76">
        <v>248</v>
      </c>
      <c r="AG674" s="76">
        <v>1078</v>
      </c>
      <c r="AH674" s="76">
        <v>6476</v>
      </c>
      <c r="AI674" s="76">
        <v>0</v>
      </c>
      <c r="AJ674" s="76">
        <v>21688</v>
      </c>
      <c r="AK674" s="76">
        <v>147</v>
      </c>
      <c r="AL674" s="76" t="b">
        <v>0</v>
      </c>
      <c r="AM674" s="78">
        <v>43971.025219907409</v>
      </c>
      <c r="AN674" s="76" t="s">
        <v>10570</v>
      </c>
      <c r="AO674" s="76" t="s">
        <v>18247</v>
      </c>
      <c r="AP674" s="76"/>
      <c r="AQ674" s="76"/>
      <c r="AR674" s="76"/>
      <c r="AS674" s="76"/>
      <c r="AT674" s="76"/>
      <c r="AU674" s="76"/>
      <c r="AV674" s="76">
        <v>1.45172591851538E+18</v>
      </c>
      <c r="AW674" s="76"/>
      <c r="AX674" s="76" t="b">
        <v>0</v>
      </c>
      <c r="AY674" s="76"/>
      <c r="AZ674" s="76"/>
      <c r="BA674" s="76" t="b">
        <v>0</v>
      </c>
      <c r="BB674" s="76" t="b">
        <v>1</v>
      </c>
      <c r="BC674" s="76" t="b">
        <v>1</v>
      </c>
      <c r="BD674" s="76" t="b">
        <v>0</v>
      </c>
      <c r="BE674" s="76" t="b">
        <v>0</v>
      </c>
      <c r="BF674" s="76" t="b">
        <v>0</v>
      </c>
      <c r="BG674" s="76" t="b">
        <v>0</v>
      </c>
      <c r="BH674" s="83" t="str">
        <f>HYPERLINK("https://pbs.twimg.com/profile_banners/1262904827593580545/1689688085")</f>
        <v>https://pbs.twimg.com/profile_banners/1262904827593580545/1689688085</v>
      </c>
      <c r="BI674" s="76"/>
      <c r="BJ674" s="76" t="s">
        <v>18704</v>
      </c>
      <c r="BK674" s="76" t="b">
        <v>0</v>
      </c>
      <c r="BL674" s="76"/>
      <c r="BM674" s="76" t="s">
        <v>66</v>
      </c>
      <c r="BN674" s="76" t="s">
        <v>18706</v>
      </c>
      <c r="BO674" s="83" t="str">
        <f>HYPERLINK("https://twitter.com/foronibruno")</f>
        <v>https://twitter.com/foronibruno</v>
      </c>
      <c r="BP674" s="2"/>
    </row>
    <row r="675" spans="1:68" x14ac:dyDescent="0.25">
      <c r="A675" s="87" t="s">
        <v>6565</v>
      </c>
      <c r="B675" s="88"/>
      <c r="C675" s="88"/>
      <c r="D675" s="89"/>
      <c r="E675" s="90"/>
      <c r="F675" s="103" t="str">
        <f>HYPERLINK("https://pbs.twimg.com/profile_images/1035806396758061056/2E1Ohxhp_normal.jpg")</f>
        <v>https://pbs.twimg.com/profile_images/1035806396758061056/2E1Ohxhp_normal.jpg</v>
      </c>
      <c r="G675" s="88" t="s">
        <v>51</v>
      </c>
      <c r="H675" s="91"/>
      <c r="I675" s="92"/>
      <c r="J675" s="92"/>
      <c r="K675" s="91" t="s">
        <v>19378</v>
      </c>
      <c r="L675" s="93"/>
      <c r="M675" s="94"/>
      <c r="N675" s="94"/>
      <c r="O675" s="95"/>
      <c r="P675" s="96"/>
      <c r="Q675" s="96"/>
      <c r="R675" s="97"/>
      <c r="S675" s="97"/>
      <c r="T675" s="97"/>
      <c r="U675" s="97"/>
      <c r="V675" s="98"/>
      <c r="W675" s="98"/>
      <c r="X675" s="98"/>
      <c r="Y675" s="98"/>
      <c r="Z675" s="99"/>
      <c r="AA675" s="100">
        <v>675</v>
      </c>
      <c r="AB675" s="100"/>
      <c r="AC675" s="101"/>
      <c r="AD675" s="76" t="s">
        <v>17099</v>
      </c>
      <c r="AE675" s="81" t="s">
        <v>17399</v>
      </c>
      <c r="AF675" s="76">
        <v>2329</v>
      </c>
      <c r="AG675" s="76">
        <v>1013</v>
      </c>
      <c r="AH675" s="76">
        <v>31441</v>
      </c>
      <c r="AI675" s="76">
        <v>69</v>
      </c>
      <c r="AJ675" s="76">
        <v>64294</v>
      </c>
      <c r="AK675" s="76">
        <v>679</v>
      </c>
      <c r="AL675" s="76" t="b">
        <v>0</v>
      </c>
      <c r="AM675" s="78">
        <v>41296.859340277777</v>
      </c>
      <c r="AN675" s="76"/>
      <c r="AO675" s="76" t="s">
        <v>18248</v>
      </c>
      <c r="AP675" s="76"/>
      <c r="AQ675" s="76"/>
      <c r="AR675" s="76"/>
      <c r="AS675" s="76"/>
      <c r="AT675" s="76"/>
      <c r="AU675" s="76"/>
      <c r="AV675" s="76"/>
      <c r="AW675" s="76"/>
      <c r="AX675" s="76" t="b">
        <v>0</v>
      </c>
      <c r="AY675" s="76"/>
      <c r="AZ675" s="76"/>
      <c r="BA675" s="76" t="b">
        <v>1</v>
      </c>
      <c r="BB675" s="76" t="b">
        <v>0</v>
      </c>
      <c r="BC675" s="76" t="b">
        <v>0</v>
      </c>
      <c r="BD675" s="76" t="b">
        <v>0</v>
      </c>
      <c r="BE675" s="76" t="b">
        <v>1</v>
      </c>
      <c r="BF675" s="76" t="b">
        <v>0</v>
      </c>
      <c r="BG675" s="76" t="b">
        <v>0</v>
      </c>
      <c r="BH675" s="83" t="str">
        <f>HYPERLINK("https://pbs.twimg.com/profile_banners/1112566008/1415980638")</f>
        <v>https://pbs.twimg.com/profile_banners/1112566008/1415980638</v>
      </c>
      <c r="BI675" s="76"/>
      <c r="BJ675" s="76" t="s">
        <v>18704</v>
      </c>
      <c r="BK675" s="76" t="b">
        <v>0</v>
      </c>
      <c r="BL675" s="76"/>
      <c r="BM675" s="76" t="s">
        <v>65</v>
      </c>
      <c r="BN675" s="76" t="s">
        <v>18706</v>
      </c>
      <c r="BO675" s="83" t="str">
        <f>HYPERLINK("https://twitter.com/jraixelamarkets")</f>
        <v>https://twitter.com/jraixelamarkets</v>
      </c>
      <c r="BP675" s="2"/>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675" xr:uid="{00000000-0002-0000-0100-000000000000}"/>
    <dataValidation allowBlank="1" errorTitle="Invalid Vertex Visibility" error="You have entered an unrecognized vertex visibility.  Try selecting from the drop-down list instead." sqref="BP3" xr:uid="{00000000-0002-0000-0100-000001000000}"/>
    <dataValidation allowBlank="1" showErrorMessage="1" sqref="BP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675"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675"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675"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675"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675" xr:uid="{00000000-0002-0000-0100-000007000000}"/>
    <dataValidation allowBlank="1" showInputMessage="1" errorTitle="Invalid Vertex Image Key" promptTitle="Vertex Tooltip" prompt="Enter optional text that will pop up when the mouse is hovered over the vertex." sqref="K3:K675"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675"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675"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675" xr:uid="{00000000-0002-0000-0100-00000B000000}"/>
    <dataValidation allowBlank="1" showInputMessage="1" promptTitle="Vertex Label Fill Color" prompt="To select an optional fill color for the Label shape, right-click and select Select Color on the right-click menu." sqref="I3:I675" xr:uid="{00000000-0002-0000-0100-00000C000000}"/>
    <dataValidation allowBlank="1" showInputMessage="1" errorTitle="Invalid Vertex Image Key" promptTitle="Vertex Image File" prompt="Enter the path to an image file.  Hover over the column header for examples." sqref="F3:F675" xr:uid="{00000000-0002-0000-0100-00000D000000}"/>
    <dataValidation allowBlank="1" showInputMessage="1" promptTitle="Vertex Color" prompt="To select an optional vertex color, right-click and select Select Color on the right-click menu." sqref="B3:B675"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675"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675"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675"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675" xr:uid="{00000000-0002-0000-0100-000012000000}">
      <formula1>ValidVertexLabelPositions</formula1>
    </dataValidation>
    <dataValidation allowBlank="1" showInputMessage="1" showErrorMessage="1" promptTitle="Vertex Name" prompt="Enter the name of the vertex." sqref="A3:A675" xr:uid="{00000000-0002-0000-0100-000013000000}"/>
  </dataValidations>
  <pageMargins left="0.7" right="0.7" top="0.75" bottom="0.75" header="0.3" footer="0.3"/>
  <pageSetup orientation="portrait" horizontalDpi="0" verticalDpi="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5" x14ac:dyDescent="0.25"/>
  <cols>
    <col min="1" max="1" width="10.85546875" bestFit="1" customWidth="1"/>
    <col min="2" max="2" width="16.85546875" bestFit="1" customWidth="1"/>
    <col min="4" max="5" width="9.140625" customWidth="1"/>
  </cols>
  <sheetData>
    <row r="1" spans="1:1" x14ac:dyDescent="0.25">
      <c r="A1" t="s">
        <v>49</v>
      </c>
    </row>
    <row r="2" spans="1:1" ht="15" customHeight="1" x14ac:dyDescent="0.25"/>
    <row r="3" spans="1:1" ht="15" customHeight="1" x14ac:dyDescent="0.25">
      <c r="A3" s="29" t="s">
        <v>50</v>
      </c>
    </row>
    <row r="21" spans="4:4" x14ac:dyDescent="0.25">
      <c r="D21" s="6"/>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X10"/>
  <sheetViews>
    <sheetView workbookViewId="0">
      <pane ySplit="2" topLeftCell="A3" activePane="bottomLeft" state="frozen"/>
      <selection pane="bottomLeft" activeCell="A3" sqref="A3"/>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hidden="1" customWidth="1"/>
    <col min="12" max="12" width="9.7109375" hidden="1" customWidth="1"/>
    <col min="13" max="13" width="13.140625" hidden="1" customWidth="1"/>
    <col min="14" max="15" width="8.42578125" hidden="1" customWidth="1"/>
    <col min="16" max="16" width="18.28515625" hidden="1" customWidth="1"/>
    <col min="17" max="17" width="14.85546875" hidden="1" customWidth="1"/>
    <col min="18" max="18" width="14.5703125" hidden="1" customWidth="1"/>
    <col min="19" max="21" width="24.140625" hidden="1" customWidth="1"/>
    <col min="22" max="22" width="21.28515625" hidden="1" customWidth="1"/>
    <col min="23" max="23" width="19.28515625" hidden="1" customWidth="1"/>
    <col min="24" max="24" width="10" hidden="1" customWidth="1"/>
    <col min="25" max="25" width="13" customWidth="1"/>
  </cols>
  <sheetData>
    <row r="1" spans="1:24" x14ac:dyDescent="0.25">
      <c r="B1" s="52" t="s">
        <v>39</v>
      </c>
      <c r="C1" s="53"/>
      <c r="D1" s="53"/>
      <c r="E1" s="54"/>
      <c r="F1" s="51" t="s">
        <v>43</v>
      </c>
      <c r="G1" s="55" t="s">
        <v>44</v>
      </c>
      <c r="H1" s="56"/>
      <c r="I1" s="57" t="s">
        <v>40</v>
      </c>
      <c r="J1" s="58"/>
      <c r="K1" s="59" t="s">
        <v>42</v>
      </c>
      <c r="L1" s="60"/>
      <c r="M1" s="60"/>
      <c r="N1" s="60"/>
      <c r="O1" s="60"/>
      <c r="P1" s="60"/>
      <c r="Q1" s="60"/>
      <c r="R1" s="60"/>
      <c r="S1" s="60"/>
      <c r="T1" s="60"/>
      <c r="U1" s="60"/>
      <c r="V1" s="60"/>
      <c r="W1" s="60"/>
      <c r="X1" s="60"/>
    </row>
    <row r="2" spans="1:24" s="7" customFormat="1" ht="30" customHeight="1" x14ac:dyDescent="0.25">
      <c r="A2" s="10" t="s">
        <v>144</v>
      </c>
      <c r="B2" s="7" t="s">
        <v>21</v>
      </c>
      <c r="C2" s="7" t="s">
        <v>20</v>
      </c>
      <c r="D2" s="7" t="s">
        <v>11</v>
      </c>
      <c r="E2" s="7" t="s">
        <v>145</v>
      </c>
      <c r="F2" s="7" t="s">
        <v>46</v>
      </c>
      <c r="G2" s="7" t="s">
        <v>167</v>
      </c>
      <c r="H2" s="7" t="s">
        <v>168</v>
      </c>
      <c r="I2" s="7" t="s">
        <v>12</v>
      </c>
      <c r="J2" s="7" t="s">
        <v>166</v>
      </c>
      <c r="K2" s="7" t="s">
        <v>146</v>
      </c>
      <c r="L2" s="7" t="s">
        <v>148</v>
      </c>
      <c r="M2" s="7" t="s">
        <v>149</v>
      </c>
      <c r="N2" s="7" t="s">
        <v>150</v>
      </c>
      <c r="O2" s="7" t="s">
        <v>151</v>
      </c>
      <c r="P2" s="7" t="s">
        <v>170</v>
      </c>
      <c r="Q2" s="7" t="s">
        <v>171</v>
      </c>
      <c r="R2" s="7" t="s">
        <v>152</v>
      </c>
      <c r="S2" s="7" t="s">
        <v>153</v>
      </c>
      <c r="T2" s="7" t="s">
        <v>154</v>
      </c>
      <c r="U2" s="7" t="s">
        <v>155</v>
      </c>
      <c r="V2" s="7" t="s">
        <v>156</v>
      </c>
      <c r="W2" s="7" t="s">
        <v>157</v>
      </c>
      <c r="X2" s="7" t="s">
        <v>158</v>
      </c>
    </row>
    <row r="3" spans="1:24" x14ac:dyDescent="0.25">
      <c r="A3" s="11"/>
      <c r="B3" s="12"/>
      <c r="C3" s="12"/>
      <c r="D3" s="12"/>
      <c r="E3" s="12"/>
      <c r="F3" s="13"/>
      <c r="G3" s="61"/>
      <c r="H3" s="61"/>
      <c r="I3" s="49"/>
      <c r="J3" s="49"/>
      <c r="K3" s="44"/>
      <c r="L3" s="44"/>
      <c r="M3" s="44"/>
      <c r="N3" s="44"/>
      <c r="O3" s="44"/>
      <c r="P3" s="44"/>
      <c r="Q3" s="44"/>
      <c r="R3" s="44"/>
      <c r="S3" s="44"/>
      <c r="T3" s="44"/>
      <c r="U3" s="44"/>
      <c r="V3" s="44"/>
      <c r="W3" s="45"/>
      <c r="X3" s="45"/>
    </row>
    <row r="10" spans="1:24"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1"/>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x14ac:dyDescent="0.25">
      <c r="A1" s="1" t="s">
        <v>144</v>
      </c>
      <c r="B1" s="1" t="s">
        <v>5</v>
      </c>
      <c r="C1" s="1" t="s">
        <v>147</v>
      </c>
    </row>
  </sheetData>
  <dataConsolidate/>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75"/>
  <sheetViews>
    <sheetView tabSelected="1" topLeftCell="A20" workbookViewId="0">
      <selection activeCell="B32" sqref="B32"/>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7" t="s">
        <v>162</v>
      </c>
      <c r="B1" s="7" t="s">
        <v>17</v>
      </c>
      <c r="D1" t="s">
        <v>79</v>
      </c>
      <c r="E1" t="s">
        <v>80</v>
      </c>
      <c r="F1" s="33" t="s">
        <v>86</v>
      </c>
      <c r="G1" s="34" t="s">
        <v>87</v>
      </c>
      <c r="H1" s="33" t="s">
        <v>92</v>
      </c>
      <c r="I1" s="34" t="s">
        <v>93</v>
      </c>
      <c r="J1" s="33" t="s">
        <v>98</v>
      </c>
      <c r="K1" s="34" t="s">
        <v>99</v>
      </c>
      <c r="L1" s="33" t="s">
        <v>104</v>
      </c>
      <c r="M1" s="34" t="s">
        <v>105</v>
      </c>
      <c r="N1" s="33" t="s">
        <v>110</v>
      </c>
      <c r="O1" s="34" t="s">
        <v>111</v>
      </c>
      <c r="P1" s="34" t="s">
        <v>138</v>
      </c>
      <c r="Q1" s="34" t="s">
        <v>139</v>
      </c>
      <c r="R1" s="33" t="s">
        <v>116</v>
      </c>
      <c r="S1" s="33" t="s">
        <v>117</v>
      </c>
      <c r="T1" s="33" t="s">
        <v>122</v>
      </c>
      <c r="U1" s="34" t="s">
        <v>123</v>
      </c>
      <c r="W1" t="s">
        <v>127</v>
      </c>
      <c r="X1" t="s">
        <v>17</v>
      </c>
    </row>
    <row r="2" spans="1:24" ht="15.75" thickTop="1" x14ac:dyDescent="0.25">
      <c r="A2" s="32" t="s">
        <v>19382</v>
      </c>
      <c r="B2" s="32" t="s">
        <v>19381</v>
      </c>
      <c r="D2" s="30">
        <f>MIN(Vertices[Degree])</f>
        <v>0</v>
      </c>
      <c r="E2">
        <f>COUNTIF(Vertices[Degree], "&gt;= " &amp; D2) - COUNTIF(Vertices[Degree], "&gt;=" &amp; D3)</f>
        <v>0</v>
      </c>
      <c r="F2" s="35">
        <f>MIN(Vertices[In-Degree])</f>
        <v>0</v>
      </c>
      <c r="G2" s="36">
        <f>COUNTIF(Vertices[In-Degree], "&gt;= " &amp; F2) - COUNTIF(Vertices[In-Degree], "&gt;=" &amp; F3)</f>
        <v>0</v>
      </c>
      <c r="H2" s="35">
        <f>MIN(Vertices[Out-Degree])</f>
        <v>0</v>
      </c>
      <c r="I2" s="36">
        <f>COUNTIF(Vertices[Out-Degree], "&gt;= " &amp; H2) - COUNTIF(Vertices[Out-Degree], "&gt;=" &amp; H3)</f>
        <v>0</v>
      </c>
      <c r="J2" s="35">
        <f>MIN(Vertices[Betweenness Centrality])</f>
        <v>0</v>
      </c>
      <c r="K2" s="36">
        <f>COUNTIF(Vertices[Betweenness Centrality], "&gt;= " &amp; J2) - COUNTIF(Vertices[Betweenness Centrality], "&gt;=" &amp; J3)</f>
        <v>0</v>
      </c>
      <c r="L2" s="35">
        <f>MIN(Vertices[Closeness Centrality])</f>
        <v>0</v>
      </c>
      <c r="M2" s="36">
        <f>COUNTIF(Vertices[Closeness Centrality], "&gt;= " &amp; L2) - COUNTIF(Vertices[Closeness Centrality], "&gt;=" &amp; L3)</f>
        <v>0</v>
      </c>
      <c r="N2" s="35">
        <f>MIN(Vertices[Eigenvector Centrality])</f>
        <v>0</v>
      </c>
      <c r="O2" s="36">
        <f>COUNTIF(Vertices[Eigenvector Centrality], "&gt;= " &amp; N2) - COUNTIF(Vertices[Eigenvector Centrality], "&gt;=" &amp; N3)</f>
        <v>0</v>
      </c>
      <c r="P2" s="35">
        <f>MIN(Vertices[PageRank])</f>
        <v>0</v>
      </c>
      <c r="Q2" s="36">
        <f>COUNTIF(Vertices[PageRank], "&gt;= " &amp; P2) - COUNTIF(Vertices[PageRank], "&gt;=" &amp; P3)</f>
        <v>0</v>
      </c>
      <c r="R2" s="35">
        <f>MIN(Vertices[Clustering Coefficient])</f>
        <v>0</v>
      </c>
      <c r="S2" s="41">
        <f>COUNTIF(Vertices[Clustering Coefficient], "&gt;= " &amp; R2) - COUNTIF(Vertices[Clustering Coefficient], "&gt;=" &amp; R3)</f>
        <v>0</v>
      </c>
      <c r="T2" s="35" t="e">
        <f ca="1">MIN(INDIRECT(DynamicFilterSourceColumnRange))</f>
        <v>#REF!</v>
      </c>
      <c r="U2" s="36" t="e">
        <f t="shared" ref="U2:U25" ca="1" si="0">COUNTIF(INDIRECT(DynamicFilterSourceColumnRange), "&gt;= " &amp; T2) - COUNTIF(INDIRECT(DynamicFilterSourceColumnRange), "&gt;=" &amp; T3)</f>
        <v>#REF!</v>
      </c>
      <c r="W2" t="s">
        <v>124</v>
      </c>
      <c r="X2">
        <f>ROWS(HistogramBins[Degree Bin]) - 1</f>
        <v>34</v>
      </c>
    </row>
    <row r="3" spans="1:24" x14ac:dyDescent="0.25">
      <c r="A3" s="104"/>
      <c r="B3" s="104"/>
      <c r="D3" s="30">
        <f t="shared" ref="D3:D35" si="1">D2+($D$36-$D$2)/BinDivisor</f>
        <v>0</v>
      </c>
      <c r="E3">
        <f>COUNTIF(Vertices[Degree], "&gt;= " &amp; D3) - COUNTIF(Vertices[Degree], "&gt;=" &amp; D4)</f>
        <v>0</v>
      </c>
      <c r="F3" s="37">
        <f t="shared" ref="F3:F35" si="2">F2+($F$36-$F$2)/BinDivisor</f>
        <v>0</v>
      </c>
      <c r="G3" s="38">
        <f>COUNTIF(Vertices[In-Degree], "&gt;= " &amp; F3) - COUNTIF(Vertices[In-Degree], "&gt;=" &amp; F4)</f>
        <v>0</v>
      </c>
      <c r="H3" s="37">
        <f t="shared" ref="H3:H35" si="3">H2+($H$36-$H$2)/BinDivisor</f>
        <v>0</v>
      </c>
      <c r="I3" s="38">
        <f>COUNTIF(Vertices[Out-Degree], "&gt;= " &amp; H3) - COUNTIF(Vertices[Out-Degree], "&gt;=" &amp; H4)</f>
        <v>0</v>
      </c>
      <c r="J3" s="37">
        <f t="shared" ref="J3:J35" si="4">J2+($J$36-$J$2)/BinDivisor</f>
        <v>0</v>
      </c>
      <c r="K3" s="38">
        <f>COUNTIF(Vertices[Betweenness Centrality], "&gt;= " &amp; J3) - COUNTIF(Vertices[Betweenness Centrality], "&gt;=" &amp; J4)</f>
        <v>0</v>
      </c>
      <c r="L3" s="37">
        <f t="shared" ref="L3:L35" si="5">L2+($L$36-$L$2)/BinDivisor</f>
        <v>0</v>
      </c>
      <c r="M3" s="38">
        <f>COUNTIF(Vertices[Closeness Centrality], "&gt;= " &amp; L3) - COUNTIF(Vertices[Closeness Centrality], "&gt;=" &amp; L4)</f>
        <v>0</v>
      </c>
      <c r="N3" s="37">
        <f t="shared" ref="N3:N35" si="6">N2+($N$36-$N$2)/BinDivisor</f>
        <v>0</v>
      </c>
      <c r="O3" s="38">
        <f>COUNTIF(Vertices[Eigenvector Centrality], "&gt;= " &amp; N3) - COUNTIF(Vertices[Eigenvector Centrality], "&gt;=" &amp; N4)</f>
        <v>0</v>
      </c>
      <c r="P3" s="37">
        <f t="shared" ref="P3:P35" si="7">P2+($P$36-$P$2)/BinDivisor</f>
        <v>0</v>
      </c>
      <c r="Q3" s="38">
        <f>COUNTIF(Vertices[PageRank], "&gt;= " &amp; P3) - COUNTIF(Vertices[PageRank], "&gt;=" &amp; P4)</f>
        <v>0</v>
      </c>
      <c r="R3" s="37">
        <f t="shared" ref="R3:R35" si="8">R2+($R$36-$R$2)/BinDivisor</f>
        <v>0</v>
      </c>
      <c r="S3" s="42">
        <f>COUNTIF(Vertices[Clustering Coefficient], "&gt;= " &amp; R3) - COUNTIF(Vertices[Clustering Coefficient], "&gt;=" &amp; R4)</f>
        <v>0</v>
      </c>
      <c r="T3" s="37" t="e">
        <f t="shared" ref="T3:T35" ca="1" si="9">T2+($T$36-$T$2)/BinDivisor</f>
        <v>#REF!</v>
      </c>
      <c r="U3" s="38" t="e">
        <f t="shared" ca="1" si="0"/>
        <v>#REF!</v>
      </c>
      <c r="W3" t="s">
        <v>125</v>
      </c>
      <c r="X3" t="s">
        <v>85</v>
      </c>
    </row>
    <row r="4" spans="1:24" x14ac:dyDescent="0.25">
      <c r="A4" s="32" t="s">
        <v>146</v>
      </c>
      <c r="B4" s="32">
        <v>673</v>
      </c>
      <c r="D4" s="30">
        <f t="shared" si="1"/>
        <v>0</v>
      </c>
      <c r="E4">
        <f>COUNTIF(Vertices[Degree], "&gt;= " &amp; D4) - COUNTIF(Vertices[Degree], "&gt;=" &amp; D5)</f>
        <v>0</v>
      </c>
      <c r="F4" s="35">
        <f t="shared" si="2"/>
        <v>0</v>
      </c>
      <c r="G4" s="36">
        <f>COUNTIF(Vertices[In-Degree], "&gt;= " &amp; F4) - COUNTIF(Vertices[In-Degree], "&gt;=" &amp; F5)</f>
        <v>0</v>
      </c>
      <c r="H4" s="35">
        <f t="shared" si="3"/>
        <v>0</v>
      </c>
      <c r="I4" s="36">
        <f>COUNTIF(Vertices[Out-Degree], "&gt;= " &amp; H4) - COUNTIF(Vertices[Out-Degree], "&gt;=" &amp; H5)</f>
        <v>0</v>
      </c>
      <c r="J4" s="35">
        <f t="shared" si="4"/>
        <v>0</v>
      </c>
      <c r="K4" s="36">
        <f>COUNTIF(Vertices[Betweenness Centrality], "&gt;= " &amp; J4) - COUNTIF(Vertices[Betweenness Centrality], "&gt;=" &amp; J5)</f>
        <v>0</v>
      </c>
      <c r="L4" s="35">
        <f t="shared" si="5"/>
        <v>0</v>
      </c>
      <c r="M4" s="36">
        <f>COUNTIF(Vertices[Closeness Centrality], "&gt;= " &amp; L4) - COUNTIF(Vertices[Closeness Centrality], "&gt;=" &amp; L5)</f>
        <v>0</v>
      </c>
      <c r="N4" s="35">
        <f t="shared" si="6"/>
        <v>0</v>
      </c>
      <c r="O4" s="36">
        <f>COUNTIF(Vertices[Eigenvector Centrality], "&gt;= " &amp; N4) - COUNTIF(Vertices[Eigenvector Centrality], "&gt;=" &amp; N5)</f>
        <v>0</v>
      </c>
      <c r="P4" s="35">
        <f t="shared" si="7"/>
        <v>0</v>
      </c>
      <c r="Q4" s="36">
        <f>COUNTIF(Vertices[PageRank], "&gt;= " &amp; P4) - COUNTIF(Vertices[PageRank], "&gt;=" &amp; P5)</f>
        <v>0</v>
      </c>
      <c r="R4" s="35">
        <f t="shared" si="8"/>
        <v>0</v>
      </c>
      <c r="S4" s="41">
        <f>COUNTIF(Vertices[Clustering Coefficient], "&gt;= " &amp; R4) - COUNTIF(Vertices[Clustering Coefficient], "&gt;=" &amp; R5)</f>
        <v>0</v>
      </c>
      <c r="T4" s="35" t="e">
        <f t="shared" ca="1" si="9"/>
        <v>#REF!</v>
      </c>
      <c r="U4" s="36" t="e">
        <f t="shared" ca="1" si="0"/>
        <v>#REF!</v>
      </c>
      <c r="W4" t="s">
        <v>126</v>
      </c>
      <c r="X4" t="s">
        <v>128</v>
      </c>
    </row>
    <row r="5" spans="1:24" x14ac:dyDescent="0.25">
      <c r="A5" s="104"/>
      <c r="B5" s="104"/>
      <c r="D5" s="30">
        <f t="shared" si="1"/>
        <v>0</v>
      </c>
      <c r="E5">
        <f>COUNTIF(Vertices[Degree], "&gt;= " &amp; D5) - COUNTIF(Vertices[Degree], "&gt;=" &amp; D6)</f>
        <v>0</v>
      </c>
      <c r="F5" s="37">
        <f t="shared" si="2"/>
        <v>0</v>
      </c>
      <c r="G5" s="38">
        <f>COUNTIF(Vertices[In-Degree], "&gt;= " &amp; F5) - COUNTIF(Vertices[In-Degree], "&gt;=" &amp; F6)</f>
        <v>0</v>
      </c>
      <c r="H5" s="37">
        <f t="shared" si="3"/>
        <v>0</v>
      </c>
      <c r="I5" s="38">
        <f>COUNTIF(Vertices[Out-Degree], "&gt;= " &amp; H5) - COUNTIF(Vertices[Out-Degree], "&gt;=" &amp; H6)</f>
        <v>0</v>
      </c>
      <c r="J5" s="37">
        <f t="shared" si="4"/>
        <v>0</v>
      </c>
      <c r="K5" s="38">
        <f>COUNTIF(Vertices[Betweenness Centrality], "&gt;= " &amp; J5) - COUNTIF(Vertices[Betweenness Centrality], "&gt;=" &amp; J6)</f>
        <v>0</v>
      </c>
      <c r="L5" s="37">
        <f t="shared" si="5"/>
        <v>0</v>
      </c>
      <c r="M5" s="38">
        <f>COUNTIF(Vertices[Closeness Centrality], "&gt;= " &amp; L5) - COUNTIF(Vertices[Closeness Centrality], "&gt;=" &amp; L6)</f>
        <v>0</v>
      </c>
      <c r="N5" s="37">
        <f t="shared" si="6"/>
        <v>0</v>
      </c>
      <c r="O5" s="38">
        <f>COUNTIF(Vertices[Eigenvector Centrality], "&gt;= " &amp; N5) - COUNTIF(Vertices[Eigenvector Centrality], "&gt;=" &amp; N6)</f>
        <v>0</v>
      </c>
      <c r="P5" s="37">
        <f t="shared" si="7"/>
        <v>0</v>
      </c>
      <c r="Q5" s="38">
        <f>COUNTIF(Vertices[PageRank], "&gt;= " &amp; P5) - COUNTIF(Vertices[PageRank], "&gt;=" &amp; P6)</f>
        <v>0</v>
      </c>
      <c r="R5" s="37">
        <f t="shared" si="8"/>
        <v>0</v>
      </c>
      <c r="S5" s="42">
        <f>COUNTIF(Vertices[Clustering Coefficient], "&gt;= " &amp; R5) - COUNTIF(Vertices[Clustering Coefficient], "&gt;=" &amp; R6)</f>
        <v>0</v>
      </c>
      <c r="T5" s="37" t="e">
        <f t="shared" ca="1" si="9"/>
        <v>#REF!</v>
      </c>
      <c r="U5" s="38" t="e">
        <f t="shared" ca="1" si="0"/>
        <v>#REF!</v>
      </c>
    </row>
    <row r="6" spans="1:24" x14ac:dyDescent="0.25">
      <c r="A6" s="32" t="s">
        <v>148</v>
      </c>
      <c r="B6" s="32">
        <v>508</v>
      </c>
      <c r="D6" s="30">
        <f t="shared" si="1"/>
        <v>0</v>
      </c>
      <c r="E6">
        <f>COUNTIF(Vertices[Degree], "&gt;= " &amp; D6) - COUNTIF(Vertices[Degree], "&gt;=" &amp; D7)</f>
        <v>0</v>
      </c>
      <c r="F6" s="35">
        <f t="shared" si="2"/>
        <v>0</v>
      </c>
      <c r="G6" s="36">
        <f>COUNTIF(Vertices[In-Degree], "&gt;= " &amp; F6) - COUNTIF(Vertices[In-Degree], "&gt;=" &amp; F7)</f>
        <v>0</v>
      </c>
      <c r="H6" s="35">
        <f t="shared" si="3"/>
        <v>0</v>
      </c>
      <c r="I6" s="36">
        <f>COUNTIF(Vertices[Out-Degree], "&gt;= " &amp; H6) - COUNTIF(Vertices[Out-Degree], "&gt;=" &amp; H7)</f>
        <v>0</v>
      </c>
      <c r="J6" s="35">
        <f t="shared" si="4"/>
        <v>0</v>
      </c>
      <c r="K6" s="36">
        <f>COUNTIF(Vertices[Betweenness Centrality], "&gt;= " &amp; J6) - COUNTIF(Vertices[Betweenness Centrality], "&gt;=" &amp; J7)</f>
        <v>0</v>
      </c>
      <c r="L6" s="35">
        <f t="shared" si="5"/>
        <v>0</v>
      </c>
      <c r="M6" s="36">
        <f>COUNTIF(Vertices[Closeness Centrality], "&gt;= " &amp; L6) - COUNTIF(Vertices[Closeness Centrality], "&gt;=" &amp; L7)</f>
        <v>0</v>
      </c>
      <c r="N6" s="35">
        <f t="shared" si="6"/>
        <v>0</v>
      </c>
      <c r="O6" s="36">
        <f>COUNTIF(Vertices[Eigenvector Centrality], "&gt;= " &amp; N6) - COUNTIF(Vertices[Eigenvector Centrality], "&gt;=" &amp; N7)</f>
        <v>0</v>
      </c>
      <c r="P6" s="35">
        <f t="shared" si="7"/>
        <v>0</v>
      </c>
      <c r="Q6" s="36">
        <f>COUNTIF(Vertices[PageRank], "&gt;= " &amp; P6) - COUNTIF(Vertices[PageRank], "&gt;=" &amp; P7)</f>
        <v>0</v>
      </c>
      <c r="R6" s="35">
        <f t="shared" si="8"/>
        <v>0</v>
      </c>
      <c r="S6" s="41">
        <f>COUNTIF(Vertices[Clustering Coefficient], "&gt;= " &amp; R6) - COUNTIF(Vertices[Clustering Coefficient], "&gt;=" &amp; R7)</f>
        <v>0</v>
      </c>
      <c r="T6" s="35" t="e">
        <f t="shared" ca="1" si="9"/>
        <v>#REF!</v>
      </c>
      <c r="U6" s="36" t="e">
        <f t="shared" ca="1" si="0"/>
        <v>#REF!</v>
      </c>
    </row>
    <row r="7" spans="1:24" x14ac:dyDescent="0.25">
      <c r="A7" s="32" t="s">
        <v>149</v>
      </c>
      <c r="B7" s="32">
        <v>3654</v>
      </c>
      <c r="D7" s="30">
        <f t="shared" si="1"/>
        <v>0</v>
      </c>
      <c r="E7">
        <f>COUNTIF(Vertices[Degree], "&gt;= " &amp; D7) - COUNTIF(Vertices[Degree], "&gt;=" &amp; D8)</f>
        <v>0</v>
      </c>
      <c r="F7" s="37">
        <f t="shared" si="2"/>
        <v>0</v>
      </c>
      <c r="G7" s="38">
        <f>COUNTIF(Vertices[In-Degree], "&gt;= " &amp; F7) - COUNTIF(Vertices[In-Degree], "&gt;=" &amp; F8)</f>
        <v>0</v>
      </c>
      <c r="H7" s="37">
        <f t="shared" si="3"/>
        <v>0</v>
      </c>
      <c r="I7" s="38">
        <f>COUNTIF(Vertices[Out-Degree], "&gt;= " &amp; H7) - COUNTIF(Vertices[Out-Degree], "&gt;=" &amp; H8)</f>
        <v>0</v>
      </c>
      <c r="J7" s="37">
        <f t="shared" si="4"/>
        <v>0</v>
      </c>
      <c r="K7" s="38">
        <f>COUNTIF(Vertices[Betweenness Centrality], "&gt;= " &amp; J7) - COUNTIF(Vertices[Betweenness Centrality], "&gt;=" &amp; J8)</f>
        <v>0</v>
      </c>
      <c r="L7" s="37">
        <f t="shared" si="5"/>
        <v>0</v>
      </c>
      <c r="M7" s="38">
        <f>COUNTIF(Vertices[Closeness Centrality], "&gt;= " &amp; L7) - COUNTIF(Vertices[Closeness Centrality], "&gt;=" &amp; L8)</f>
        <v>0</v>
      </c>
      <c r="N7" s="37">
        <f t="shared" si="6"/>
        <v>0</v>
      </c>
      <c r="O7" s="38">
        <f>COUNTIF(Vertices[Eigenvector Centrality], "&gt;= " &amp; N7) - COUNTIF(Vertices[Eigenvector Centrality], "&gt;=" &amp; N8)</f>
        <v>0</v>
      </c>
      <c r="P7" s="37">
        <f t="shared" si="7"/>
        <v>0</v>
      </c>
      <c r="Q7" s="38">
        <f>COUNTIF(Vertices[PageRank], "&gt;= " &amp; P7) - COUNTIF(Vertices[PageRank], "&gt;=" &amp; P8)</f>
        <v>0</v>
      </c>
      <c r="R7" s="37">
        <f t="shared" si="8"/>
        <v>0</v>
      </c>
      <c r="S7" s="42">
        <f>COUNTIF(Vertices[Clustering Coefficient], "&gt;= " &amp; R7) - COUNTIF(Vertices[Clustering Coefficient], "&gt;=" &amp; R8)</f>
        <v>0</v>
      </c>
      <c r="T7" s="37" t="e">
        <f t="shared" ca="1" si="9"/>
        <v>#REF!</v>
      </c>
      <c r="U7" s="38" t="e">
        <f t="shared" ca="1" si="0"/>
        <v>#REF!</v>
      </c>
    </row>
    <row r="8" spans="1:24" x14ac:dyDescent="0.25">
      <c r="A8" s="32" t="s">
        <v>150</v>
      </c>
      <c r="B8" s="32">
        <v>4162</v>
      </c>
      <c r="D8" s="30">
        <f t="shared" si="1"/>
        <v>0</v>
      </c>
      <c r="E8">
        <f>COUNTIF(Vertices[Degree], "&gt;= " &amp; D8) - COUNTIF(Vertices[Degree], "&gt;=" &amp; D9)</f>
        <v>0</v>
      </c>
      <c r="F8" s="35">
        <f t="shared" si="2"/>
        <v>0</v>
      </c>
      <c r="G8" s="36">
        <f>COUNTIF(Vertices[In-Degree], "&gt;= " &amp; F8) - COUNTIF(Vertices[In-Degree], "&gt;=" &amp; F9)</f>
        <v>0</v>
      </c>
      <c r="H8" s="35">
        <f t="shared" si="3"/>
        <v>0</v>
      </c>
      <c r="I8" s="36">
        <f>COUNTIF(Vertices[Out-Degree], "&gt;= " &amp; H8) - COUNTIF(Vertices[Out-Degree], "&gt;=" &amp; H9)</f>
        <v>0</v>
      </c>
      <c r="J8" s="35">
        <f t="shared" si="4"/>
        <v>0</v>
      </c>
      <c r="K8" s="36">
        <f>COUNTIF(Vertices[Betweenness Centrality], "&gt;= " &amp; J8) - COUNTIF(Vertices[Betweenness Centrality], "&gt;=" &amp; J9)</f>
        <v>0</v>
      </c>
      <c r="L8" s="35">
        <f t="shared" si="5"/>
        <v>0</v>
      </c>
      <c r="M8" s="36">
        <f>COUNTIF(Vertices[Closeness Centrality], "&gt;= " &amp; L8) - COUNTIF(Vertices[Closeness Centrality], "&gt;=" &amp; L9)</f>
        <v>0</v>
      </c>
      <c r="N8" s="35">
        <f t="shared" si="6"/>
        <v>0</v>
      </c>
      <c r="O8" s="36">
        <f>COUNTIF(Vertices[Eigenvector Centrality], "&gt;= " &amp; N8) - COUNTIF(Vertices[Eigenvector Centrality], "&gt;=" &amp; N9)</f>
        <v>0</v>
      </c>
      <c r="P8" s="35">
        <f t="shared" si="7"/>
        <v>0</v>
      </c>
      <c r="Q8" s="36">
        <f>COUNTIF(Vertices[PageRank], "&gt;= " &amp; P8) - COUNTIF(Vertices[PageRank], "&gt;=" &amp; P9)</f>
        <v>0</v>
      </c>
      <c r="R8" s="35">
        <f t="shared" si="8"/>
        <v>0</v>
      </c>
      <c r="S8" s="41">
        <f>COUNTIF(Vertices[Clustering Coefficient], "&gt;= " &amp; R8) - COUNTIF(Vertices[Clustering Coefficient], "&gt;=" &amp; R9)</f>
        <v>0</v>
      </c>
      <c r="T8" s="35" t="e">
        <f t="shared" ca="1" si="9"/>
        <v>#REF!</v>
      </c>
      <c r="U8" s="36" t="e">
        <f t="shared" ca="1" si="0"/>
        <v>#REF!</v>
      </c>
    </row>
    <row r="9" spans="1:24" x14ac:dyDescent="0.25">
      <c r="A9" s="104"/>
      <c r="B9" s="104"/>
      <c r="D9" s="30">
        <f t="shared" si="1"/>
        <v>0</v>
      </c>
      <c r="E9">
        <f>COUNTIF(Vertices[Degree], "&gt;= " &amp; D9) - COUNTIF(Vertices[Degree], "&gt;=" &amp; D10)</f>
        <v>0</v>
      </c>
      <c r="F9" s="37">
        <f t="shared" si="2"/>
        <v>0</v>
      </c>
      <c r="G9" s="38">
        <f>COUNTIF(Vertices[In-Degree], "&gt;= " &amp; F9) - COUNTIF(Vertices[In-Degree], "&gt;=" &amp; F10)</f>
        <v>0</v>
      </c>
      <c r="H9" s="37">
        <f t="shared" si="3"/>
        <v>0</v>
      </c>
      <c r="I9" s="38">
        <f>COUNTIF(Vertices[Out-Degree], "&gt;= " &amp; H9) - COUNTIF(Vertices[Out-Degree], "&gt;=" &amp; H10)</f>
        <v>0</v>
      </c>
      <c r="J9" s="37">
        <f t="shared" si="4"/>
        <v>0</v>
      </c>
      <c r="K9" s="38">
        <f>COUNTIF(Vertices[Betweenness Centrality], "&gt;= " &amp; J9) - COUNTIF(Vertices[Betweenness Centrality], "&gt;=" &amp; J10)</f>
        <v>0</v>
      </c>
      <c r="L9" s="37">
        <f t="shared" si="5"/>
        <v>0</v>
      </c>
      <c r="M9" s="38">
        <f>COUNTIF(Vertices[Closeness Centrality], "&gt;= " &amp; L9) - COUNTIF(Vertices[Closeness Centrality], "&gt;=" &amp; L10)</f>
        <v>0</v>
      </c>
      <c r="N9" s="37">
        <f t="shared" si="6"/>
        <v>0</v>
      </c>
      <c r="O9" s="38">
        <f>COUNTIF(Vertices[Eigenvector Centrality], "&gt;= " &amp; N9) - COUNTIF(Vertices[Eigenvector Centrality], "&gt;=" &amp; N10)</f>
        <v>0</v>
      </c>
      <c r="P9" s="37">
        <f t="shared" si="7"/>
        <v>0</v>
      </c>
      <c r="Q9" s="38">
        <f>COUNTIF(Vertices[PageRank], "&gt;= " &amp; P9) - COUNTIF(Vertices[PageRank], "&gt;=" &amp; P10)</f>
        <v>0</v>
      </c>
      <c r="R9" s="37">
        <f t="shared" si="8"/>
        <v>0</v>
      </c>
      <c r="S9" s="42">
        <f>COUNTIF(Vertices[Clustering Coefficient], "&gt;= " &amp; R9) - COUNTIF(Vertices[Clustering Coefficient], "&gt;=" &amp; R10)</f>
        <v>0</v>
      </c>
      <c r="T9" s="37" t="e">
        <f t="shared" ca="1" si="9"/>
        <v>#REF!</v>
      </c>
      <c r="U9" s="38" t="e">
        <f t="shared" ca="1" si="0"/>
        <v>#REF!</v>
      </c>
    </row>
    <row r="10" spans="1:24" x14ac:dyDescent="0.25">
      <c r="A10" s="32" t="s">
        <v>151</v>
      </c>
      <c r="B10" s="32">
        <v>3603</v>
      </c>
      <c r="D10" s="30">
        <f t="shared" si="1"/>
        <v>0</v>
      </c>
      <c r="E10">
        <f>COUNTIF(Vertices[Degree], "&gt;= " &amp; D10) - COUNTIF(Vertices[Degree], "&gt;=" &amp; D11)</f>
        <v>0</v>
      </c>
      <c r="F10" s="35">
        <f t="shared" si="2"/>
        <v>0</v>
      </c>
      <c r="G10" s="36">
        <f>COUNTIF(Vertices[In-Degree], "&gt;= " &amp; F10) - COUNTIF(Vertices[In-Degree], "&gt;=" &amp; F11)</f>
        <v>0</v>
      </c>
      <c r="H10" s="35">
        <f t="shared" si="3"/>
        <v>0</v>
      </c>
      <c r="I10" s="36">
        <f>COUNTIF(Vertices[Out-Degree], "&gt;= " &amp; H10) - COUNTIF(Vertices[Out-Degree], "&gt;=" &amp; H11)</f>
        <v>0</v>
      </c>
      <c r="J10" s="35">
        <f t="shared" si="4"/>
        <v>0</v>
      </c>
      <c r="K10" s="36">
        <f>COUNTIF(Vertices[Betweenness Centrality], "&gt;= " &amp; J10) - COUNTIF(Vertices[Betweenness Centrality], "&gt;=" &amp; J11)</f>
        <v>0</v>
      </c>
      <c r="L10" s="35">
        <f t="shared" si="5"/>
        <v>0</v>
      </c>
      <c r="M10" s="36">
        <f>COUNTIF(Vertices[Closeness Centrality], "&gt;= " &amp; L10) - COUNTIF(Vertices[Closeness Centrality], "&gt;=" &amp; L11)</f>
        <v>0</v>
      </c>
      <c r="N10" s="35">
        <f t="shared" si="6"/>
        <v>0</v>
      </c>
      <c r="O10" s="36">
        <f>COUNTIF(Vertices[Eigenvector Centrality], "&gt;= " &amp; N10) - COUNTIF(Vertices[Eigenvector Centrality], "&gt;=" &amp; N11)</f>
        <v>0</v>
      </c>
      <c r="P10" s="35">
        <f t="shared" si="7"/>
        <v>0</v>
      </c>
      <c r="Q10" s="36">
        <f>COUNTIF(Vertices[PageRank], "&gt;= " &amp; P10) - COUNTIF(Vertices[PageRank], "&gt;=" &amp; P11)</f>
        <v>0</v>
      </c>
      <c r="R10" s="35">
        <f t="shared" si="8"/>
        <v>0</v>
      </c>
      <c r="S10" s="41">
        <f>COUNTIF(Vertices[Clustering Coefficient], "&gt;= " &amp; R10) - COUNTIF(Vertices[Clustering Coefficient], "&gt;=" &amp; R11)</f>
        <v>0</v>
      </c>
      <c r="T10" s="35" t="e">
        <f t="shared" ca="1" si="9"/>
        <v>#REF!</v>
      </c>
      <c r="U10" s="36" t="e">
        <f t="shared" ca="1" si="0"/>
        <v>#REF!</v>
      </c>
    </row>
    <row r="11" spans="1:24" x14ac:dyDescent="0.25">
      <c r="A11" s="104"/>
      <c r="B11" s="104"/>
      <c r="D11" s="30">
        <f t="shared" si="1"/>
        <v>0</v>
      </c>
      <c r="E11">
        <f>COUNTIF(Vertices[Degree], "&gt;= " &amp; D11) - COUNTIF(Vertices[Degree], "&gt;=" &amp; D12)</f>
        <v>0</v>
      </c>
      <c r="F11" s="37">
        <f t="shared" si="2"/>
        <v>0</v>
      </c>
      <c r="G11" s="38">
        <f>COUNTIF(Vertices[In-Degree], "&gt;= " &amp; F11) - COUNTIF(Vertices[In-Degree], "&gt;=" &amp; F12)</f>
        <v>0</v>
      </c>
      <c r="H11" s="37">
        <f t="shared" si="3"/>
        <v>0</v>
      </c>
      <c r="I11" s="38">
        <f>COUNTIF(Vertices[Out-Degree], "&gt;= " &amp; H11) - COUNTIF(Vertices[Out-Degree], "&gt;=" &amp; H12)</f>
        <v>0</v>
      </c>
      <c r="J11" s="37">
        <f t="shared" si="4"/>
        <v>0</v>
      </c>
      <c r="K11" s="38">
        <f>COUNTIF(Vertices[Betweenness Centrality], "&gt;= " &amp; J11) - COUNTIF(Vertices[Betweenness Centrality], "&gt;=" &amp; J12)</f>
        <v>0</v>
      </c>
      <c r="L11" s="37">
        <f t="shared" si="5"/>
        <v>0</v>
      </c>
      <c r="M11" s="38">
        <f>COUNTIF(Vertices[Closeness Centrality], "&gt;= " &amp; L11) - COUNTIF(Vertices[Closeness Centrality], "&gt;=" &amp; L12)</f>
        <v>0</v>
      </c>
      <c r="N11" s="37">
        <f t="shared" si="6"/>
        <v>0</v>
      </c>
      <c r="O11" s="38">
        <f>COUNTIF(Vertices[Eigenvector Centrality], "&gt;= " &amp; N11) - COUNTIF(Vertices[Eigenvector Centrality], "&gt;=" &amp; N12)</f>
        <v>0</v>
      </c>
      <c r="P11" s="37">
        <f t="shared" si="7"/>
        <v>0</v>
      </c>
      <c r="Q11" s="38">
        <f>COUNTIF(Vertices[PageRank], "&gt;= " &amp; P11) - COUNTIF(Vertices[PageRank], "&gt;=" &amp; P12)</f>
        <v>0</v>
      </c>
      <c r="R11" s="37">
        <f t="shared" si="8"/>
        <v>0</v>
      </c>
      <c r="S11" s="42">
        <f>COUNTIF(Vertices[Clustering Coefficient], "&gt;= " &amp; R11) - COUNTIF(Vertices[Clustering Coefficient], "&gt;=" &amp; R12)</f>
        <v>0</v>
      </c>
      <c r="T11" s="37" t="e">
        <f t="shared" ca="1" si="9"/>
        <v>#REF!</v>
      </c>
      <c r="U11" s="38" t="e">
        <f t="shared" ca="1" si="0"/>
        <v>#REF!</v>
      </c>
    </row>
    <row r="12" spans="1:24" x14ac:dyDescent="0.25">
      <c r="A12" s="32" t="s">
        <v>170</v>
      </c>
      <c r="B12" s="32">
        <v>7.0175438596491229E-3</v>
      </c>
      <c r="D12" s="30">
        <f t="shared" si="1"/>
        <v>0</v>
      </c>
      <c r="E12">
        <f>COUNTIF(Vertices[Degree], "&gt;= " &amp; D12) - COUNTIF(Vertices[Degree], "&gt;=" &amp; D13)</f>
        <v>0</v>
      </c>
      <c r="F12" s="35">
        <f t="shared" si="2"/>
        <v>0</v>
      </c>
      <c r="G12" s="36">
        <f>COUNTIF(Vertices[In-Degree], "&gt;= " &amp; F12) - COUNTIF(Vertices[In-Degree], "&gt;=" &amp; F13)</f>
        <v>0</v>
      </c>
      <c r="H12" s="35">
        <f t="shared" si="3"/>
        <v>0</v>
      </c>
      <c r="I12" s="36">
        <f>COUNTIF(Vertices[Out-Degree], "&gt;= " &amp; H12) - COUNTIF(Vertices[Out-Degree], "&gt;=" &amp; H13)</f>
        <v>0</v>
      </c>
      <c r="J12" s="35">
        <f t="shared" si="4"/>
        <v>0</v>
      </c>
      <c r="K12" s="36">
        <f>COUNTIF(Vertices[Betweenness Centrality], "&gt;= " &amp; J12) - COUNTIF(Vertices[Betweenness Centrality], "&gt;=" &amp; J13)</f>
        <v>0</v>
      </c>
      <c r="L12" s="35">
        <f t="shared" si="5"/>
        <v>0</v>
      </c>
      <c r="M12" s="36">
        <f>COUNTIF(Vertices[Closeness Centrality], "&gt;= " &amp; L12) - COUNTIF(Vertices[Closeness Centrality], "&gt;=" &amp; L13)</f>
        <v>0</v>
      </c>
      <c r="N12" s="35">
        <f t="shared" si="6"/>
        <v>0</v>
      </c>
      <c r="O12" s="36">
        <f>COUNTIF(Vertices[Eigenvector Centrality], "&gt;= " &amp; N12) - COUNTIF(Vertices[Eigenvector Centrality], "&gt;=" &amp; N13)</f>
        <v>0</v>
      </c>
      <c r="P12" s="35">
        <f t="shared" si="7"/>
        <v>0</v>
      </c>
      <c r="Q12" s="36">
        <f>COUNTIF(Vertices[PageRank], "&gt;= " &amp; P12) - COUNTIF(Vertices[PageRank], "&gt;=" &amp; P13)</f>
        <v>0</v>
      </c>
      <c r="R12" s="35">
        <f t="shared" si="8"/>
        <v>0</v>
      </c>
      <c r="S12" s="41">
        <f>COUNTIF(Vertices[Clustering Coefficient], "&gt;= " &amp; R12) - COUNTIF(Vertices[Clustering Coefficient], "&gt;=" &amp; R13)</f>
        <v>0</v>
      </c>
      <c r="T12" s="35" t="e">
        <f t="shared" ca="1" si="9"/>
        <v>#REF!</v>
      </c>
      <c r="U12" s="36" t="e">
        <f t="shared" ca="1" si="0"/>
        <v>#REF!</v>
      </c>
    </row>
    <row r="13" spans="1:24" x14ac:dyDescent="0.25">
      <c r="A13" s="32" t="s">
        <v>171</v>
      </c>
      <c r="B13" s="32">
        <v>1.3937282229965157E-2</v>
      </c>
      <c r="D13" s="30">
        <f t="shared" si="1"/>
        <v>0</v>
      </c>
      <c r="E13">
        <f>COUNTIF(Vertices[Degree], "&gt;= " &amp; D13) - COUNTIF(Vertices[Degree], "&gt;=" &amp; D14)</f>
        <v>0</v>
      </c>
      <c r="F13" s="37">
        <f t="shared" si="2"/>
        <v>0</v>
      </c>
      <c r="G13" s="38">
        <f>COUNTIF(Vertices[In-Degree], "&gt;= " &amp; F13) - COUNTIF(Vertices[In-Degree], "&gt;=" &amp; F14)</f>
        <v>0</v>
      </c>
      <c r="H13" s="37">
        <f t="shared" si="3"/>
        <v>0</v>
      </c>
      <c r="I13" s="38">
        <f>COUNTIF(Vertices[Out-Degree], "&gt;= " &amp; H13) - COUNTIF(Vertices[Out-Degree], "&gt;=" &amp; H14)</f>
        <v>0</v>
      </c>
      <c r="J13" s="37">
        <f t="shared" si="4"/>
        <v>0</v>
      </c>
      <c r="K13" s="38">
        <f>COUNTIF(Vertices[Betweenness Centrality], "&gt;= " &amp; J13) - COUNTIF(Vertices[Betweenness Centrality], "&gt;=" &amp; J14)</f>
        <v>0</v>
      </c>
      <c r="L13" s="37">
        <f t="shared" si="5"/>
        <v>0</v>
      </c>
      <c r="M13" s="38">
        <f>COUNTIF(Vertices[Closeness Centrality], "&gt;= " &amp; L13) - COUNTIF(Vertices[Closeness Centrality], "&gt;=" &amp; L14)</f>
        <v>0</v>
      </c>
      <c r="N13" s="37">
        <f t="shared" si="6"/>
        <v>0</v>
      </c>
      <c r="O13" s="38">
        <f>COUNTIF(Vertices[Eigenvector Centrality], "&gt;= " &amp; N13) - COUNTIF(Vertices[Eigenvector Centrality], "&gt;=" &amp; N14)</f>
        <v>0</v>
      </c>
      <c r="P13" s="37">
        <f t="shared" si="7"/>
        <v>0</v>
      </c>
      <c r="Q13" s="38">
        <f>COUNTIF(Vertices[PageRank], "&gt;= " &amp; P13) - COUNTIF(Vertices[PageRank], "&gt;=" &amp; P14)</f>
        <v>0</v>
      </c>
      <c r="R13" s="37">
        <f t="shared" si="8"/>
        <v>0</v>
      </c>
      <c r="S13" s="42">
        <f>COUNTIF(Vertices[Clustering Coefficient], "&gt;= " &amp; R13) - COUNTIF(Vertices[Clustering Coefficient], "&gt;=" &amp; R14)</f>
        <v>0</v>
      </c>
      <c r="T13" s="37" t="e">
        <f t="shared" ca="1" si="9"/>
        <v>#REF!</v>
      </c>
      <c r="U13" s="38" t="e">
        <f t="shared" ca="1" si="0"/>
        <v>#REF!</v>
      </c>
    </row>
    <row r="14" spans="1:24" x14ac:dyDescent="0.25">
      <c r="A14" s="104"/>
      <c r="B14" s="104"/>
      <c r="D14" s="30">
        <f t="shared" si="1"/>
        <v>0</v>
      </c>
      <c r="E14">
        <f>COUNTIF(Vertices[Degree], "&gt;= " &amp; D14) - COUNTIF(Vertices[Degree], "&gt;=" &amp; D15)</f>
        <v>0</v>
      </c>
      <c r="F14" s="35">
        <f t="shared" si="2"/>
        <v>0</v>
      </c>
      <c r="G14" s="36">
        <f>COUNTIF(Vertices[In-Degree], "&gt;= " &amp; F14) - COUNTIF(Vertices[In-Degree], "&gt;=" &amp; F15)</f>
        <v>0</v>
      </c>
      <c r="H14" s="35">
        <f t="shared" si="3"/>
        <v>0</v>
      </c>
      <c r="I14" s="36">
        <f>COUNTIF(Vertices[Out-Degree], "&gt;= " &amp; H14) - COUNTIF(Vertices[Out-Degree], "&gt;=" &amp; H15)</f>
        <v>0</v>
      </c>
      <c r="J14" s="35">
        <f t="shared" si="4"/>
        <v>0</v>
      </c>
      <c r="K14" s="36">
        <f>COUNTIF(Vertices[Betweenness Centrality], "&gt;= " &amp; J14) - COUNTIF(Vertices[Betweenness Centrality], "&gt;=" &amp; J15)</f>
        <v>0</v>
      </c>
      <c r="L14" s="35">
        <f t="shared" si="5"/>
        <v>0</v>
      </c>
      <c r="M14" s="36">
        <f>COUNTIF(Vertices[Closeness Centrality], "&gt;= " &amp; L14) - COUNTIF(Vertices[Closeness Centrality], "&gt;=" &amp; L15)</f>
        <v>0</v>
      </c>
      <c r="N14" s="35">
        <f t="shared" si="6"/>
        <v>0</v>
      </c>
      <c r="O14" s="36">
        <f>COUNTIF(Vertices[Eigenvector Centrality], "&gt;= " &amp; N14) - COUNTIF(Vertices[Eigenvector Centrality], "&gt;=" &amp; N15)</f>
        <v>0</v>
      </c>
      <c r="P14" s="35">
        <f t="shared" si="7"/>
        <v>0</v>
      </c>
      <c r="Q14" s="36">
        <f>COUNTIF(Vertices[PageRank], "&gt;= " &amp; P14) - COUNTIF(Vertices[PageRank], "&gt;=" &amp; P15)</f>
        <v>0</v>
      </c>
      <c r="R14" s="35">
        <f t="shared" si="8"/>
        <v>0</v>
      </c>
      <c r="S14" s="41">
        <f>COUNTIF(Vertices[Clustering Coefficient], "&gt;= " &amp; R14) - COUNTIF(Vertices[Clustering Coefficient], "&gt;=" &amp; R15)</f>
        <v>0</v>
      </c>
      <c r="T14" s="35" t="e">
        <f t="shared" ca="1" si="9"/>
        <v>#REF!</v>
      </c>
      <c r="U14" s="36" t="e">
        <f t="shared" ca="1" si="0"/>
        <v>#REF!</v>
      </c>
    </row>
    <row r="15" spans="1:24" x14ac:dyDescent="0.25">
      <c r="A15" s="32" t="s">
        <v>152</v>
      </c>
      <c r="B15" s="32">
        <v>414</v>
      </c>
      <c r="D15" s="30">
        <f t="shared" si="1"/>
        <v>0</v>
      </c>
      <c r="E15">
        <f>COUNTIF(Vertices[Degree], "&gt;= " &amp; D15) - COUNTIF(Vertices[Degree], "&gt;=" &amp; D16)</f>
        <v>0</v>
      </c>
      <c r="F15" s="37">
        <f t="shared" si="2"/>
        <v>0</v>
      </c>
      <c r="G15" s="38">
        <f>COUNTIF(Vertices[In-Degree], "&gt;= " &amp; F15) - COUNTIF(Vertices[In-Degree], "&gt;=" &amp; F16)</f>
        <v>0</v>
      </c>
      <c r="H15" s="37">
        <f t="shared" si="3"/>
        <v>0</v>
      </c>
      <c r="I15" s="38">
        <f>COUNTIF(Vertices[Out-Degree], "&gt;= " &amp; H15) - COUNTIF(Vertices[Out-Degree], "&gt;=" &amp; H16)</f>
        <v>0</v>
      </c>
      <c r="J15" s="37">
        <f t="shared" si="4"/>
        <v>0</v>
      </c>
      <c r="K15" s="38">
        <f>COUNTIF(Vertices[Betweenness Centrality], "&gt;= " &amp; J15) - COUNTIF(Vertices[Betweenness Centrality], "&gt;=" &amp; J16)</f>
        <v>0</v>
      </c>
      <c r="L15" s="37">
        <f t="shared" si="5"/>
        <v>0</v>
      </c>
      <c r="M15" s="38">
        <f>COUNTIF(Vertices[Closeness Centrality], "&gt;= " &amp; L15) - COUNTIF(Vertices[Closeness Centrality], "&gt;=" &amp; L16)</f>
        <v>0</v>
      </c>
      <c r="N15" s="37">
        <f t="shared" si="6"/>
        <v>0</v>
      </c>
      <c r="O15" s="38">
        <f>COUNTIF(Vertices[Eigenvector Centrality], "&gt;= " &amp; N15) - COUNTIF(Vertices[Eigenvector Centrality], "&gt;=" &amp; N16)</f>
        <v>0</v>
      </c>
      <c r="P15" s="37">
        <f t="shared" si="7"/>
        <v>0</v>
      </c>
      <c r="Q15" s="38">
        <f>COUNTIF(Vertices[PageRank], "&gt;= " &amp; P15) - COUNTIF(Vertices[PageRank], "&gt;=" &amp; P16)</f>
        <v>0</v>
      </c>
      <c r="R15" s="37">
        <f t="shared" si="8"/>
        <v>0</v>
      </c>
      <c r="S15" s="42">
        <f>COUNTIF(Vertices[Clustering Coefficient], "&gt;= " &amp; R15) - COUNTIF(Vertices[Clustering Coefficient], "&gt;=" &amp; R16)</f>
        <v>0</v>
      </c>
      <c r="T15" s="37" t="e">
        <f t="shared" ca="1" si="9"/>
        <v>#REF!</v>
      </c>
      <c r="U15" s="38" t="e">
        <f t="shared" ca="1" si="0"/>
        <v>#REF!</v>
      </c>
    </row>
    <row r="16" spans="1:24" x14ac:dyDescent="0.25">
      <c r="A16" s="32" t="s">
        <v>153</v>
      </c>
      <c r="B16" s="32">
        <v>347</v>
      </c>
      <c r="D16" s="30">
        <f t="shared" si="1"/>
        <v>0</v>
      </c>
      <c r="E16">
        <f>COUNTIF(Vertices[Degree], "&gt;= " &amp; D16) - COUNTIF(Vertices[Degree], "&gt;=" &amp; D17)</f>
        <v>0</v>
      </c>
      <c r="F16" s="35">
        <f t="shared" si="2"/>
        <v>0</v>
      </c>
      <c r="G16" s="36">
        <f>COUNTIF(Vertices[In-Degree], "&gt;= " &amp; F16) - COUNTIF(Vertices[In-Degree], "&gt;=" &amp; F17)</f>
        <v>0</v>
      </c>
      <c r="H16" s="35">
        <f t="shared" si="3"/>
        <v>0</v>
      </c>
      <c r="I16" s="36">
        <f>COUNTIF(Vertices[Out-Degree], "&gt;= " &amp; H16) - COUNTIF(Vertices[Out-Degree], "&gt;=" &amp; H17)</f>
        <v>0</v>
      </c>
      <c r="J16" s="35">
        <f t="shared" si="4"/>
        <v>0</v>
      </c>
      <c r="K16" s="36">
        <f>COUNTIF(Vertices[Betweenness Centrality], "&gt;= " &amp; J16) - COUNTIF(Vertices[Betweenness Centrality], "&gt;=" &amp; J17)</f>
        <v>0</v>
      </c>
      <c r="L16" s="35">
        <f t="shared" si="5"/>
        <v>0</v>
      </c>
      <c r="M16" s="36">
        <f>COUNTIF(Vertices[Closeness Centrality], "&gt;= " &amp; L16) - COUNTIF(Vertices[Closeness Centrality], "&gt;=" &amp; L17)</f>
        <v>0</v>
      </c>
      <c r="N16" s="35">
        <f t="shared" si="6"/>
        <v>0</v>
      </c>
      <c r="O16" s="36">
        <f>COUNTIF(Vertices[Eigenvector Centrality], "&gt;= " &amp; N16) - COUNTIF(Vertices[Eigenvector Centrality], "&gt;=" &amp; N17)</f>
        <v>0</v>
      </c>
      <c r="P16" s="35">
        <f t="shared" si="7"/>
        <v>0</v>
      </c>
      <c r="Q16" s="36">
        <f>COUNTIF(Vertices[PageRank], "&gt;= " &amp; P16) - COUNTIF(Vertices[PageRank], "&gt;=" &amp; P17)</f>
        <v>0</v>
      </c>
      <c r="R16" s="35">
        <f t="shared" si="8"/>
        <v>0</v>
      </c>
      <c r="S16" s="41">
        <f>COUNTIF(Vertices[Clustering Coefficient], "&gt;= " &amp; R16) - COUNTIF(Vertices[Clustering Coefficient], "&gt;=" &amp; R17)</f>
        <v>0</v>
      </c>
      <c r="T16" s="35" t="e">
        <f t="shared" ca="1" si="9"/>
        <v>#REF!</v>
      </c>
      <c r="U16" s="36" t="e">
        <f t="shared" ca="1" si="0"/>
        <v>#REF!</v>
      </c>
    </row>
    <row r="17" spans="1:21" x14ac:dyDescent="0.25">
      <c r="A17" s="32" t="s">
        <v>154</v>
      </c>
      <c r="B17" s="32">
        <v>98</v>
      </c>
      <c r="D17" s="30">
        <f t="shared" si="1"/>
        <v>0</v>
      </c>
      <c r="E17">
        <f>COUNTIF(Vertices[Degree], "&gt;= " &amp; D17) - COUNTIF(Vertices[Degree], "&gt;=" &amp; D18)</f>
        <v>0</v>
      </c>
      <c r="F17" s="37">
        <f t="shared" si="2"/>
        <v>0</v>
      </c>
      <c r="G17" s="38">
        <f>COUNTIF(Vertices[In-Degree], "&gt;= " &amp; F17) - COUNTIF(Vertices[In-Degree], "&gt;=" &amp; F18)</f>
        <v>0</v>
      </c>
      <c r="H17" s="37">
        <f t="shared" si="3"/>
        <v>0</v>
      </c>
      <c r="I17" s="38">
        <f>COUNTIF(Vertices[Out-Degree], "&gt;= " &amp; H17) - COUNTIF(Vertices[Out-Degree], "&gt;=" &amp; H18)</f>
        <v>0</v>
      </c>
      <c r="J17" s="37">
        <f t="shared" si="4"/>
        <v>0</v>
      </c>
      <c r="K17" s="38">
        <f>COUNTIF(Vertices[Betweenness Centrality], "&gt;= " &amp; J17) - COUNTIF(Vertices[Betweenness Centrality], "&gt;=" &amp; J18)</f>
        <v>0</v>
      </c>
      <c r="L17" s="37">
        <f t="shared" si="5"/>
        <v>0</v>
      </c>
      <c r="M17" s="38">
        <f>COUNTIF(Vertices[Closeness Centrality], "&gt;= " &amp; L17) - COUNTIF(Vertices[Closeness Centrality], "&gt;=" &amp; L18)</f>
        <v>0</v>
      </c>
      <c r="N17" s="37">
        <f t="shared" si="6"/>
        <v>0</v>
      </c>
      <c r="O17" s="38">
        <f>COUNTIF(Vertices[Eigenvector Centrality], "&gt;= " &amp; N17) - COUNTIF(Vertices[Eigenvector Centrality], "&gt;=" &amp; N18)</f>
        <v>0</v>
      </c>
      <c r="P17" s="37">
        <f t="shared" si="7"/>
        <v>0</v>
      </c>
      <c r="Q17" s="38">
        <f>COUNTIF(Vertices[PageRank], "&gt;= " &amp; P17) - COUNTIF(Vertices[PageRank], "&gt;=" &amp; P18)</f>
        <v>0</v>
      </c>
      <c r="R17" s="37">
        <f t="shared" si="8"/>
        <v>0</v>
      </c>
      <c r="S17" s="42">
        <f>COUNTIF(Vertices[Clustering Coefficient], "&gt;= " &amp; R17) - COUNTIF(Vertices[Clustering Coefficient], "&gt;=" &amp; R18)</f>
        <v>0</v>
      </c>
      <c r="T17" s="37" t="e">
        <f t="shared" ca="1" si="9"/>
        <v>#REF!</v>
      </c>
      <c r="U17" s="38" t="e">
        <f t="shared" ca="1" si="0"/>
        <v>#REF!</v>
      </c>
    </row>
    <row r="18" spans="1:21" x14ac:dyDescent="0.25">
      <c r="A18" s="32" t="s">
        <v>155</v>
      </c>
      <c r="B18" s="32">
        <v>1613</v>
      </c>
      <c r="D18" s="30">
        <f t="shared" si="1"/>
        <v>0</v>
      </c>
      <c r="E18">
        <f>COUNTIF(Vertices[Degree], "&gt;= " &amp; D18) - COUNTIF(Vertices[Degree], "&gt;=" &amp; D19)</f>
        <v>0</v>
      </c>
      <c r="F18" s="35">
        <f t="shared" si="2"/>
        <v>0</v>
      </c>
      <c r="G18" s="36">
        <f>COUNTIF(Vertices[In-Degree], "&gt;= " &amp; F18) - COUNTIF(Vertices[In-Degree], "&gt;=" &amp; F19)</f>
        <v>0</v>
      </c>
      <c r="H18" s="35">
        <f t="shared" si="3"/>
        <v>0</v>
      </c>
      <c r="I18" s="36">
        <f>COUNTIF(Vertices[Out-Degree], "&gt;= " &amp; H18) - COUNTIF(Vertices[Out-Degree], "&gt;=" &amp; H19)</f>
        <v>0</v>
      </c>
      <c r="J18" s="35">
        <f t="shared" si="4"/>
        <v>0</v>
      </c>
      <c r="K18" s="36">
        <f>COUNTIF(Vertices[Betweenness Centrality], "&gt;= " &amp; J18) - COUNTIF(Vertices[Betweenness Centrality], "&gt;=" &amp; J19)</f>
        <v>0</v>
      </c>
      <c r="L18" s="35">
        <f t="shared" si="5"/>
        <v>0</v>
      </c>
      <c r="M18" s="36">
        <f>COUNTIF(Vertices[Closeness Centrality], "&gt;= " &amp; L18) - COUNTIF(Vertices[Closeness Centrality], "&gt;=" &amp; L19)</f>
        <v>0</v>
      </c>
      <c r="N18" s="35">
        <f t="shared" si="6"/>
        <v>0</v>
      </c>
      <c r="O18" s="36">
        <f>COUNTIF(Vertices[Eigenvector Centrality], "&gt;= " &amp; N18) - COUNTIF(Vertices[Eigenvector Centrality], "&gt;=" &amp; N19)</f>
        <v>0</v>
      </c>
      <c r="P18" s="35">
        <f t="shared" si="7"/>
        <v>0</v>
      </c>
      <c r="Q18" s="36">
        <f>COUNTIF(Vertices[PageRank], "&gt;= " &amp; P18) - COUNTIF(Vertices[PageRank], "&gt;=" &amp; P19)</f>
        <v>0</v>
      </c>
      <c r="R18" s="35">
        <f t="shared" si="8"/>
        <v>0</v>
      </c>
      <c r="S18" s="41">
        <f>COUNTIF(Vertices[Clustering Coefficient], "&gt;= " &amp; R18) - COUNTIF(Vertices[Clustering Coefficient], "&gt;=" &amp; R19)</f>
        <v>0</v>
      </c>
      <c r="T18" s="35" t="e">
        <f t="shared" ca="1" si="9"/>
        <v>#REF!</v>
      </c>
      <c r="U18" s="36" t="e">
        <f t="shared" ca="1" si="0"/>
        <v>#REF!</v>
      </c>
    </row>
    <row r="19" spans="1:21" x14ac:dyDescent="0.25">
      <c r="A19" s="104"/>
      <c r="B19" s="104"/>
      <c r="D19" s="30">
        <f t="shared" si="1"/>
        <v>0</v>
      </c>
      <c r="E19">
        <f>COUNTIF(Vertices[Degree], "&gt;= " &amp; D19) - COUNTIF(Vertices[Degree], "&gt;=" &amp; D20)</f>
        <v>0</v>
      </c>
      <c r="F19" s="37">
        <f t="shared" si="2"/>
        <v>0</v>
      </c>
      <c r="G19" s="38">
        <f>COUNTIF(Vertices[In-Degree], "&gt;= " &amp; F19) - COUNTIF(Vertices[In-Degree], "&gt;=" &amp; F20)</f>
        <v>0</v>
      </c>
      <c r="H19" s="37">
        <f t="shared" si="3"/>
        <v>0</v>
      </c>
      <c r="I19" s="38">
        <f>COUNTIF(Vertices[Out-Degree], "&gt;= " &amp; H19) - COUNTIF(Vertices[Out-Degree], "&gt;=" &amp; H20)</f>
        <v>0</v>
      </c>
      <c r="J19" s="37">
        <f t="shared" si="4"/>
        <v>0</v>
      </c>
      <c r="K19" s="38">
        <f>COUNTIF(Vertices[Betweenness Centrality], "&gt;= " &amp; J19) - COUNTIF(Vertices[Betweenness Centrality], "&gt;=" &amp; J20)</f>
        <v>0</v>
      </c>
      <c r="L19" s="37">
        <f t="shared" si="5"/>
        <v>0</v>
      </c>
      <c r="M19" s="38">
        <f>COUNTIF(Vertices[Closeness Centrality], "&gt;= " &amp; L19) - COUNTIF(Vertices[Closeness Centrality], "&gt;=" &amp; L20)</f>
        <v>0</v>
      </c>
      <c r="N19" s="37">
        <f t="shared" si="6"/>
        <v>0</v>
      </c>
      <c r="O19" s="38">
        <f>COUNTIF(Vertices[Eigenvector Centrality], "&gt;= " &amp; N19) - COUNTIF(Vertices[Eigenvector Centrality], "&gt;=" &amp; N20)</f>
        <v>0</v>
      </c>
      <c r="P19" s="37">
        <f t="shared" si="7"/>
        <v>0</v>
      </c>
      <c r="Q19" s="38">
        <f>COUNTIF(Vertices[PageRank], "&gt;= " &amp; P19) - COUNTIF(Vertices[PageRank], "&gt;=" &amp; P20)</f>
        <v>0</v>
      </c>
      <c r="R19" s="37">
        <f t="shared" si="8"/>
        <v>0</v>
      </c>
      <c r="S19" s="42">
        <f>COUNTIF(Vertices[Clustering Coefficient], "&gt;= " &amp; R19) - COUNTIF(Vertices[Clustering Coefficient], "&gt;=" &amp; R20)</f>
        <v>0</v>
      </c>
      <c r="T19" s="37" t="e">
        <f t="shared" ca="1" si="9"/>
        <v>#REF!</v>
      </c>
      <c r="U19" s="38" t="e">
        <f t="shared" ca="1" si="0"/>
        <v>#REF!</v>
      </c>
    </row>
    <row r="20" spans="1:21" x14ac:dyDescent="0.25">
      <c r="A20" s="32" t="s">
        <v>156</v>
      </c>
      <c r="B20" s="32">
        <v>5</v>
      </c>
      <c r="D20" s="30">
        <f t="shared" si="1"/>
        <v>0</v>
      </c>
      <c r="E20">
        <f>COUNTIF(Vertices[Degree], "&gt;= " &amp; D20) - COUNTIF(Vertices[Degree], "&gt;=" &amp; D21)</f>
        <v>0</v>
      </c>
      <c r="F20" s="35">
        <f t="shared" si="2"/>
        <v>0</v>
      </c>
      <c r="G20" s="36">
        <f>COUNTIF(Vertices[In-Degree], "&gt;= " &amp; F20) - COUNTIF(Vertices[In-Degree], "&gt;=" &amp; F21)</f>
        <v>0</v>
      </c>
      <c r="H20" s="35">
        <f t="shared" si="3"/>
        <v>0</v>
      </c>
      <c r="I20" s="36">
        <f>COUNTIF(Vertices[Out-Degree], "&gt;= " &amp; H20) - COUNTIF(Vertices[Out-Degree], "&gt;=" &amp; H21)</f>
        <v>0</v>
      </c>
      <c r="J20" s="35">
        <f t="shared" si="4"/>
        <v>0</v>
      </c>
      <c r="K20" s="36">
        <f>COUNTIF(Vertices[Betweenness Centrality], "&gt;= " &amp; J20) - COUNTIF(Vertices[Betweenness Centrality], "&gt;=" &amp; J21)</f>
        <v>0</v>
      </c>
      <c r="L20" s="35">
        <f t="shared" si="5"/>
        <v>0</v>
      </c>
      <c r="M20" s="36">
        <f>COUNTIF(Vertices[Closeness Centrality], "&gt;= " &amp; L20) - COUNTIF(Vertices[Closeness Centrality], "&gt;=" &amp; L21)</f>
        <v>0</v>
      </c>
      <c r="N20" s="35">
        <f t="shared" si="6"/>
        <v>0</v>
      </c>
      <c r="O20" s="36">
        <f>COUNTIF(Vertices[Eigenvector Centrality], "&gt;= " &amp; N20) - COUNTIF(Vertices[Eigenvector Centrality], "&gt;=" &amp; N21)</f>
        <v>0</v>
      </c>
      <c r="P20" s="35">
        <f t="shared" si="7"/>
        <v>0</v>
      </c>
      <c r="Q20" s="36">
        <f>COUNTIF(Vertices[PageRank], "&gt;= " &amp; P20) - COUNTIF(Vertices[PageRank], "&gt;=" &amp; P21)</f>
        <v>0</v>
      </c>
      <c r="R20" s="35">
        <f t="shared" si="8"/>
        <v>0</v>
      </c>
      <c r="S20" s="41">
        <f>COUNTIF(Vertices[Clustering Coefficient], "&gt;= " &amp; R20) - COUNTIF(Vertices[Clustering Coefficient], "&gt;=" &amp; R21)</f>
        <v>0</v>
      </c>
      <c r="T20" s="35" t="e">
        <f t="shared" ca="1" si="9"/>
        <v>#REF!</v>
      </c>
      <c r="U20" s="36" t="e">
        <f t="shared" ca="1" si="0"/>
        <v>#REF!</v>
      </c>
    </row>
    <row r="21" spans="1:21" x14ac:dyDescent="0.25">
      <c r="A21" s="32" t="s">
        <v>157</v>
      </c>
      <c r="B21" s="32">
        <v>1.882136</v>
      </c>
      <c r="D21" s="30">
        <f t="shared" si="1"/>
        <v>0</v>
      </c>
      <c r="E21">
        <f>COUNTIF(Vertices[Degree], "&gt;= " &amp; D21) - COUNTIF(Vertices[Degree], "&gt;=" &amp; D22)</f>
        <v>0</v>
      </c>
      <c r="F21" s="37">
        <f t="shared" si="2"/>
        <v>0</v>
      </c>
      <c r="G21" s="38">
        <f>COUNTIF(Vertices[In-Degree], "&gt;= " &amp; F21) - COUNTIF(Vertices[In-Degree], "&gt;=" &amp; F22)</f>
        <v>0</v>
      </c>
      <c r="H21" s="37">
        <f t="shared" si="3"/>
        <v>0</v>
      </c>
      <c r="I21" s="38">
        <f>COUNTIF(Vertices[Out-Degree], "&gt;= " &amp; H21) - COUNTIF(Vertices[Out-Degree], "&gt;=" &amp; H22)</f>
        <v>0</v>
      </c>
      <c r="J21" s="37">
        <f t="shared" si="4"/>
        <v>0</v>
      </c>
      <c r="K21" s="38">
        <f>COUNTIF(Vertices[Betweenness Centrality], "&gt;= " &amp; J21) - COUNTIF(Vertices[Betweenness Centrality], "&gt;=" &amp; J22)</f>
        <v>0</v>
      </c>
      <c r="L21" s="37">
        <f t="shared" si="5"/>
        <v>0</v>
      </c>
      <c r="M21" s="38">
        <f>COUNTIF(Vertices[Closeness Centrality], "&gt;= " &amp; L21) - COUNTIF(Vertices[Closeness Centrality], "&gt;=" &amp; L22)</f>
        <v>0</v>
      </c>
      <c r="N21" s="37">
        <f t="shared" si="6"/>
        <v>0</v>
      </c>
      <c r="O21" s="38">
        <f>COUNTIF(Vertices[Eigenvector Centrality], "&gt;= " &amp; N21) - COUNTIF(Vertices[Eigenvector Centrality], "&gt;=" &amp; N22)</f>
        <v>0</v>
      </c>
      <c r="P21" s="37">
        <f t="shared" si="7"/>
        <v>0</v>
      </c>
      <c r="Q21" s="38">
        <f>COUNTIF(Vertices[PageRank], "&gt;= " &amp; P21) - COUNTIF(Vertices[PageRank], "&gt;=" &amp; P22)</f>
        <v>0</v>
      </c>
      <c r="R21" s="37">
        <f t="shared" si="8"/>
        <v>0</v>
      </c>
      <c r="S21" s="42">
        <f>COUNTIF(Vertices[Clustering Coefficient], "&gt;= " &amp; R21) - COUNTIF(Vertices[Clustering Coefficient], "&gt;=" &amp; R22)</f>
        <v>0</v>
      </c>
      <c r="T21" s="37" t="e">
        <f t="shared" ca="1" si="9"/>
        <v>#REF!</v>
      </c>
      <c r="U21" s="38" t="e">
        <f t="shared" ca="1" si="0"/>
        <v>#REF!</v>
      </c>
    </row>
    <row r="22" spans="1:21" x14ac:dyDescent="0.25">
      <c r="A22" s="104"/>
      <c r="B22" s="104"/>
      <c r="D22" s="30">
        <f t="shared" si="1"/>
        <v>0</v>
      </c>
      <c r="E22">
        <f>COUNTIF(Vertices[Degree], "&gt;= " &amp; D22) - COUNTIF(Vertices[Degree], "&gt;=" &amp; D23)</f>
        <v>0</v>
      </c>
      <c r="F22" s="35">
        <f t="shared" si="2"/>
        <v>0</v>
      </c>
      <c r="G22" s="36">
        <f>COUNTIF(Vertices[In-Degree], "&gt;= " &amp; F22) - COUNTIF(Vertices[In-Degree], "&gt;=" &amp; F23)</f>
        <v>0</v>
      </c>
      <c r="H22" s="35">
        <f t="shared" si="3"/>
        <v>0</v>
      </c>
      <c r="I22" s="36">
        <f>COUNTIF(Vertices[Out-Degree], "&gt;= " &amp; H22) - COUNTIF(Vertices[Out-Degree], "&gt;=" &amp; H23)</f>
        <v>0</v>
      </c>
      <c r="J22" s="35">
        <f t="shared" si="4"/>
        <v>0</v>
      </c>
      <c r="K22" s="36">
        <f>COUNTIF(Vertices[Betweenness Centrality], "&gt;= " &amp; J22) - COUNTIF(Vertices[Betweenness Centrality], "&gt;=" &amp; J23)</f>
        <v>0</v>
      </c>
      <c r="L22" s="35">
        <f t="shared" si="5"/>
        <v>0</v>
      </c>
      <c r="M22" s="36">
        <f>COUNTIF(Vertices[Closeness Centrality], "&gt;= " &amp; L22) - COUNTIF(Vertices[Closeness Centrality], "&gt;=" &amp; L23)</f>
        <v>0</v>
      </c>
      <c r="N22" s="35">
        <f t="shared" si="6"/>
        <v>0</v>
      </c>
      <c r="O22" s="36">
        <f>COUNTIF(Vertices[Eigenvector Centrality], "&gt;= " &amp; N22) - COUNTIF(Vertices[Eigenvector Centrality], "&gt;=" &amp; N23)</f>
        <v>0</v>
      </c>
      <c r="P22" s="35">
        <f t="shared" si="7"/>
        <v>0</v>
      </c>
      <c r="Q22" s="36">
        <f>COUNTIF(Vertices[PageRank], "&gt;= " &amp; P22) - COUNTIF(Vertices[PageRank], "&gt;=" &amp; P23)</f>
        <v>0</v>
      </c>
      <c r="R22" s="35">
        <f t="shared" si="8"/>
        <v>0</v>
      </c>
      <c r="S22" s="41">
        <f>COUNTIF(Vertices[Clustering Coefficient], "&gt;= " &amp; R22) - COUNTIF(Vertices[Clustering Coefficient], "&gt;=" &amp; R23)</f>
        <v>0</v>
      </c>
      <c r="T22" s="35" t="e">
        <f t="shared" ca="1" si="9"/>
        <v>#REF!</v>
      </c>
      <c r="U22" s="36" t="e">
        <f t="shared" ca="1" si="0"/>
        <v>#REF!</v>
      </c>
    </row>
    <row r="23" spans="1:21" x14ac:dyDescent="0.25">
      <c r="A23" s="32" t="s">
        <v>158</v>
      </c>
      <c r="B23" s="32">
        <v>6.3459633481921746E-4</v>
      </c>
      <c r="D23" s="30">
        <f t="shared" si="1"/>
        <v>0</v>
      </c>
      <c r="E23">
        <f>COUNTIF(Vertices[Degree], "&gt;= " &amp; D23) - COUNTIF(Vertices[Degree], "&gt;=" &amp; D24)</f>
        <v>0</v>
      </c>
      <c r="F23" s="37">
        <f t="shared" si="2"/>
        <v>0</v>
      </c>
      <c r="G23" s="38">
        <f>COUNTIF(Vertices[In-Degree], "&gt;= " &amp; F23) - COUNTIF(Vertices[In-Degree], "&gt;=" &amp; F24)</f>
        <v>0</v>
      </c>
      <c r="H23" s="37">
        <f t="shared" si="3"/>
        <v>0</v>
      </c>
      <c r="I23" s="38">
        <f>COUNTIF(Vertices[Out-Degree], "&gt;= " &amp; H23) - COUNTIF(Vertices[Out-Degree], "&gt;=" &amp; H24)</f>
        <v>0</v>
      </c>
      <c r="J23" s="37">
        <f t="shared" si="4"/>
        <v>0</v>
      </c>
      <c r="K23" s="38">
        <f>COUNTIF(Vertices[Betweenness Centrality], "&gt;= " &amp; J23) - COUNTIF(Vertices[Betweenness Centrality], "&gt;=" &amp; J24)</f>
        <v>0</v>
      </c>
      <c r="L23" s="37">
        <f t="shared" si="5"/>
        <v>0</v>
      </c>
      <c r="M23" s="38">
        <f>COUNTIF(Vertices[Closeness Centrality], "&gt;= " &amp; L23) - COUNTIF(Vertices[Closeness Centrality], "&gt;=" &amp; L24)</f>
        <v>0</v>
      </c>
      <c r="N23" s="37">
        <f t="shared" si="6"/>
        <v>0</v>
      </c>
      <c r="O23" s="38">
        <f>COUNTIF(Vertices[Eigenvector Centrality], "&gt;= " &amp; N23) - COUNTIF(Vertices[Eigenvector Centrality], "&gt;=" &amp; N24)</f>
        <v>0</v>
      </c>
      <c r="P23" s="37">
        <f t="shared" si="7"/>
        <v>0</v>
      </c>
      <c r="Q23" s="38">
        <f>COUNTIF(Vertices[PageRank], "&gt;= " &amp; P23) - COUNTIF(Vertices[PageRank], "&gt;=" &amp; P24)</f>
        <v>0</v>
      </c>
      <c r="R23" s="37">
        <f t="shared" si="8"/>
        <v>0</v>
      </c>
      <c r="S23" s="42">
        <f>COUNTIF(Vertices[Clustering Coefficient], "&gt;= " &amp; R23) - COUNTIF(Vertices[Clustering Coefficient], "&gt;=" &amp; R24)</f>
        <v>0</v>
      </c>
      <c r="T23" s="37" t="e">
        <f t="shared" ca="1" si="9"/>
        <v>#REF!</v>
      </c>
      <c r="U23" s="38" t="e">
        <f t="shared" ca="1" si="0"/>
        <v>#REF!</v>
      </c>
    </row>
    <row r="24" spans="1:21" x14ac:dyDescent="0.25">
      <c r="A24" s="32" t="s">
        <v>19383</v>
      </c>
      <c r="B24" s="32" t="s">
        <v>19399</v>
      </c>
      <c r="D24" s="30">
        <f t="shared" si="1"/>
        <v>0</v>
      </c>
      <c r="E24">
        <f>COUNTIF(Vertices[Degree], "&gt;= " &amp; D24) - COUNTIF(Vertices[Degree], "&gt;=" &amp; D25)</f>
        <v>0</v>
      </c>
      <c r="F24" s="35">
        <f t="shared" si="2"/>
        <v>0</v>
      </c>
      <c r="G24" s="36">
        <f>COUNTIF(Vertices[In-Degree], "&gt;= " &amp; F24) - COUNTIF(Vertices[In-Degree], "&gt;=" &amp; F25)</f>
        <v>0</v>
      </c>
      <c r="H24" s="35">
        <f t="shared" si="3"/>
        <v>0</v>
      </c>
      <c r="I24" s="36">
        <f>COUNTIF(Vertices[Out-Degree], "&gt;= " &amp; H24) - COUNTIF(Vertices[Out-Degree], "&gt;=" &amp; H25)</f>
        <v>0</v>
      </c>
      <c r="J24" s="35">
        <f t="shared" si="4"/>
        <v>0</v>
      </c>
      <c r="K24" s="36">
        <f>COUNTIF(Vertices[Betweenness Centrality], "&gt;= " &amp; J24) - COUNTIF(Vertices[Betweenness Centrality], "&gt;=" &amp; J25)</f>
        <v>0</v>
      </c>
      <c r="L24" s="35">
        <f t="shared" si="5"/>
        <v>0</v>
      </c>
      <c r="M24" s="36">
        <f>COUNTIF(Vertices[Closeness Centrality], "&gt;= " &amp; L24) - COUNTIF(Vertices[Closeness Centrality], "&gt;=" &amp; L25)</f>
        <v>0</v>
      </c>
      <c r="N24" s="35">
        <f t="shared" si="6"/>
        <v>0</v>
      </c>
      <c r="O24" s="36">
        <f>COUNTIF(Vertices[Eigenvector Centrality], "&gt;= " &amp; N24) - COUNTIF(Vertices[Eigenvector Centrality], "&gt;=" &amp; N25)</f>
        <v>0</v>
      </c>
      <c r="P24" s="35">
        <f t="shared" si="7"/>
        <v>0</v>
      </c>
      <c r="Q24" s="36">
        <f>COUNTIF(Vertices[PageRank], "&gt;= " &amp; P24) - COUNTIF(Vertices[PageRank], "&gt;=" &amp; P25)</f>
        <v>0</v>
      </c>
      <c r="R24" s="35">
        <f t="shared" si="8"/>
        <v>0</v>
      </c>
      <c r="S24" s="41">
        <f>COUNTIF(Vertices[Clustering Coefficient], "&gt;= " &amp; R24) - COUNTIF(Vertices[Clustering Coefficient], "&gt;=" &amp; R25)</f>
        <v>0</v>
      </c>
      <c r="T24" s="35" t="e">
        <f t="shared" ca="1" si="9"/>
        <v>#REF!</v>
      </c>
      <c r="U24" s="36" t="e">
        <f t="shared" ca="1" si="0"/>
        <v>#REF!</v>
      </c>
    </row>
    <row r="25" spans="1:21" x14ac:dyDescent="0.25">
      <c r="A25" s="104"/>
      <c r="B25" s="104"/>
      <c r="D25" s="30">
        <f t="shared" si="1"/>
        <v>0</v>
      </c>
      <c r="E25">
        <f>COUNTIF(Vertices[Degree], "&gt;= " &amp; D25) - COUNTIF(Vertices[Degree], "&gt;=" &amp; D26)</f>
        <v>0</v>
      </c>
      <c r="F25" s="37">
        <f t="shared" si="2"/>
        <v>0</v>
      </c>
      <c r="G25" s="38">
        <f>COUNTIF(Vertices[In-Degree], "&gt;= " &amp; F25) - COUNTIF(Vertices[In-Degree], "&gt;=" &amp; F26)</f>
        <v>0</v>
      </c>
      <c r="H25" s="37">
        <f t="shared" si="3"/>
        <v>0</v>
      </c>
      <c r="I25" s="38">
        <f>COUNTIF(Vertices[Out-Degree], "&gt;= " &amp; H25) - COUNTIF(Vertices[Out-Degree], "&gt;=" &amp; H26)</f>
        <v>0</v>
      </c>
      <c r="J25" s="37">
        <f t="shared" si="4"/>
        <v>0</v>
      </c>
      <c r="K25" s="38">
        <f>COUNTIF(Vertices[Betweenness Centrality], "&gt;= " &amp; J25) - COUNTIF(Vertices[Betweenness Centrality], "&gt;=" &amp; J26)</f>
        <v>0</v>
      </c>
      <c r="L25" s="37">
        <f t="shared" si="5"/>
        <v>0</v>
      </c>
      <c r="M25" s="38">
        <f>COUNTIF(Vertices[Closeness Centrality], "&gt;= " &amp; L25) - COUNTIF(Vertices[Closeness Centrality], "&gt;=" &amp; L26)</f>
        <v>0</v>
      </c>
      <c r="N25" s="37">
        <f t="shared" si="6"/>
        <v>0</v>
      </c>
      <c r="O25" s="38">
        <f>COUNTIF(Vertices[Eigenvector Centrality], "&gt;= " &amp; N25) - COUNTIF(Vertices[Eigenvector Centrality], "&gt;=" &amp; N26)</f>
        <v>0</v>
      </c>
      <c r="P25" s="37">
        <f t="shared" si="7"/>
        <v>0</v>
      </c>
      <c r="Q25" s="38">
        <f>COUNTIF(Vertices[PageRank], "&gt;= " &amp; P25) - COUNTIF(Vertices[PageRank], "&gt;=" &amp; P26)</f>
        <v>0</v>
      </c>
      <c r="R25" s="37">
        <f t="shared" si="8"/>
        <v>0</v>
      </c>
      <c r="S25" s="42">
        <f>COUNTIF(Vertices[Clustering Coefficient], "&gt;= " &amp; R25) - COUNTIF(Vertices[Clustering Coefficient], "&gt;=" &amp; R26)</f>
        <v>0</v>
      </c>
      <c r="T25" s="37" t="e">
        <f t="shared" ca="1" si="9"/>
        <v>#REF!</v>
      </c>
      <c r="U25" s="38" t="e">
        <f t="shared" ca="1" si="0"/>
        <v>#REF!</v>
      </c>
    </row>
    <row r="26" spans="1:21" x14ac:dyDescent="0.25">
      <c r="A26" s="32" t="s">
        <v>19384</v>
      </c>
      <c r="B26" s="32" t="s">
        <v>19400</v>
      </c>
      <c r="D26" s="30">
        <f t="shared" si="1"/>
        <v>0</v>
      </c>
      <c r="E26">
        <f>COUNTIF(Vertices[Degree], "&gt;= " &amp; D26) - COUNTIF(Vertices[Degree], "&gt;=" &amp; D27)</f>
        <v>0</v>
      </c>
      <c r="F26" s="35">
        <f t="shared" si="2"/>
        <v>0</v>
      </c>
      <c r="G26" s="36">
        <f>COUNTIF(Vertices[In-Degree], "&gt;= " &amp; F26) - COUNTIF(Vertices[In-Degree], "&gt;=" &amp; F27)</f>
        <v>0</v>
      </c>
      <c r="H26" s="35">
        <f t="shared" si="3"/>
        <v>0</v>
      </c>
      <c r="I26" s="36">
        <f>COUNTIF(Vertices[Out-Degree], "&gt;= " &amp; H26) - COUNTIF(Vertices[Out-Degree], "&gt;=" &amp; H27)</f>
        <v>0</v>
      </c>
      <c r="J26" s="35">
        <f t="shared" si="4"/>
        <v>0</v>
      </c>
      <c r="K26" s="36">
        <f>COUNTIF(Vertices[Betweenness Centrality], "&gt;= " &amp; J26) - COUNTIF(Vertices[Betweenness Centrality], "&gt;=" &amp; J27)</f>
        <v>0</v>
      </c>
      <c r="L26" s="35">
        <f t="shared" si="5"/>
        <v>0</v>
      </c>
      <c r="M26" s="36">
        <f>COUNTIF(Vertices[Closeness Centrality], "&gt;= " &amp; L26) - COUNTIF(Vertices[Closeness Centrality], "&gt;=" &amp; L27)</f>
        <v>0</v>
      </c>
      <c r="N26" s="35">
        <f t="shared" si="6"/>
        <v>0</v>
      </c>
      <c r="O26" s="36">
        <f>COUNTIF(Vertices[Eigenvector Centrality], "&gt;= " &amp; N26) - COUNTIF(Vertices[Eigenvector Centrality], "&gt;=" &amp; N27)</f>
        <v>0</v>
      </c>
      <c r="P26" s="35">
        <f t="shared" si="7"/>
        <v>0</v>
      </c>
      <c r="Q26" s="36">
        <f>COUNTIF(Vertices[PageRank], "&gt;= " &amp; P26) - COUNTIF(Vertices[PageRank], "&gt;=" &amp; P27)</f>
        <v>0</v>
      </c>
      <c r="R26" s="35">
        <f t="shared" si="8"/>
        <v>0</v>
      </c>
      <c r="S26" s="41">
        <f>COUNTIF(Vertices[Clustering Coefficient], "&gt;= " &amp; R26) - COUNTIF(Vertices[Clustering Coefficient], "&gt;=" &amp; R27)</f>
        <v>0</v>
      </c>
      <c r="T26" s="35" t="e">
        <f t="shared" ca="1" si="9"/>
        <v>#REF!</v>
      </c>
      <c r="U26" s="36" t="e">
        <f t="shared" ref="U26:U35" ca="1" si="10">COUNTIF(INDIRECT(DynamicFilterSourceColumnRange), "&gt;= " &amp; T26) - COUNTIF(INDIRECT(DynamicFilterSourceColumnRange), "&gt;=" &amp; T27)</f>
        <v>#REF!</v>
      </c>
    </row>
    <row r="27" spans="1:21" x14ac:dyDescent="0.25">
      <c r="A27" s="104"/>
      <c r="B27" s="104"/>
      <c r="D27" s="30">
        <f t="shared" si="1"/>
        <v>0</v>
      </c>
      <c r="E27">
        <f>COUNTIF(Vertices[Degree], "&gt;= " &amp; D27) - COUNTIF(Vertices[Degree], "&gt;=" &amp; D28)</f>
        <v>0</v>
      </c>
      <c r="F27" s="37">
        <f t="shared" si="2"/>
        <v>0</v>
      </c>
      <c r="G27" s="38">
        <f>COUNTIF(Vertices[In-Degree], "&gt;= " &amp; F27) - COUNTIF(Vertices[In-Degree], "&gt;=" &amp; F28)</f>
        <v>0</v>
      </c>
      <c r="H27" s="37">
        <f t="shared" si="3"/>
        <v>0</v>
      </c>
      <c r="I27" s="38">
        <f>COUNTIF(Vertices[Out-Degree], "&gt;= " &amp; H27) - COUNTIF(Vertices[Out-Degree], "&gt;=" &amp; H28)</f>
        <v>0</v>
      </c>
      <c r="J27" s="37">
        <f t="shared" si="4"/>
        <v>0</v>
      </c>
      <c r="K27" s="38">
        <f>COUNTIF(Vertices[Betweenness Centrality], "&gt;= " &amp; J27) - COUNTIF(Vertices[Betweenness Centrality], "&gt;=" &amp; J28)</f>
        <v>0</v>
      </c>
      <c r="L27" s="37">
        <f t="shared" si="5"/>
        <v>0</v>
      </c>
      <c r="M27" s="38">
        <f>COUNTIF(Vertices[Closeness Centrality], "&gt;= " &amp; L27) - COUNTIF(Vertices[Closeness Centrality], "&gt;=" &amp; L28)</f>
        <v>0</v>
      </c>
      <c r="N27" s="37">
        <f t="shared" si="6"/>
        <v>0</v>
      </c>
      <c r="O27" s="38">
        <f>COUNTIF(Vertices[Eigenvector Centrality], "&gt;= " &amp; N27) - COUNTIF(Vertices[Eigenvector Centrality], "&gt;=" &amp; N28)</f>
        <v>0</v>
      </c>
      <c r="P27" s="37">
        <f t="shared" si="7"/>
        <v>0</v>
      </c>
      <c r="Q27" s="38">
        <f>COUNTIF(Vertices[PageRank], "&gt;= " &amp; P27) - COUNTIF(Vertices[PageRank], "&gt;=" &amp; P28)</f>
        <v>0</v>
      </c>
      <c r="R27" s="37">
        <f t="shared" si="8"/>
        <v>0</v>
      </c>
      <c r="S27" s="42">
        <f>COUNTIF(Vertices[Clustering Coefficient], "&gt;= " &amp; R27) - COUNTIF(Vertices[Clustering Coefficient], "&gt;=" &amp; R28)</f>
        <v>0</v>
      </c>
      <c r="T27" s="37" t="e">
        <f t="shared" ca="1" si="9"/>
        <v>#REF!</v>
      </c>
      <c r="U27" s="38" t="e">
        <f t="shared" ca="1" si="10"/>
        <v>#REF!</v>
      </c>
    </row>
    <row r="28" spans="1:21" x14ac:dyDescent="0.25">
      <c r="A28" s="32" t="s">
        <v>19385</v>
      </c>
      <c r="B28" s="32" t="s">
        <v>85</v>
      </c>
      <c r="D28" s="30">
        <f t="shared" si="1"/>
        <v>0</v>
      </c>
      <c r="E28">
        <f>COUNTIF(Vertices[Degree], "&gt;= " &amp; D28) - COUNTIF(Vertices[Degree], "&gt;=" &amp; D29)</f>
        <v>0</v>
      </c>
      <c r="F28" s="35">
        <f t="shared" si="2"/>
        <v>0</v>
      </c>
      <c r="G28" s="36">
        <f>COUNTIF(Vertices[In-Degree], "&gt;= " &amp; F28) - COUNTIF(Vertices[In-Degree], "&gt;=" &amp; F29)</f>
        <v>0</v>
      </c>
      <c r="H28" s="35">
        <f t="shared" si="3"/>
        <v>0</v>
      </c>
      <c r="I28" s="36">
        <f>COUNTIF(Vertices[Out-Degree], "&gt;= " &amp; H28) - COUNTIF(Vertices[Out-Degree], "&gt;=" &amp; H29)</f>
        <v>0</v>
      </c>
      <c r="J28" s="35">
        <f t="shared" si="4"/>
        <v>0</v>
      </c>
      <c r="K28" s="36">
        <f>COUNTIF(Vertices[Betweenness Centrality], "&gt;= " &amp; J28) - COUNTIF(Vertices[Betweenness Centrality], "&gt;=" &amp; J29)</f>
        <v>0</v>
      </c>
      <c r="L28" s="35">
        <f t="shared" si="5"/>
        <v>0</v>
      </c>
      <c r="M28" s="36">
        <f>COUNTIF(Vertices[Closeness Centrality], "&gt;= " &amp; L28) - COUNTIF(Vertices[Closeness Centrality], "&gt;=" &amp; L29)</f>
        <v>0</v>
      </c>
      <c r="N28" s="35">
        <f t="shared" si="6"/>
        <v>0</v>
      </c>
      <c r="O28" s="36">
        <f>COUNTIF(Vertices[Eigenvector Centrality], "&gt;= " &amp; N28) - COUNTIF(Vertices[Eigenvector Centrality], "&gt;=" &amp; N29)</f>
        <v>0</v>
      </c>
      <c r="P28" s="35">
        <f t="shared" si="7"/>
        <v>0</v>
      </c>
      <c r="Q28" s="36">
        <f>COUNTIF(Vertices[PageRank], "&gt;= " &amp; P28) - COUNTIF(Vertices[PageRank], "&gt;=" &amp; P29)</f>
        <v>0</v>
      </c>
      <c r="R28" s="35">
        <f t="shared" si="8"/>
        <v>0</v>
      </c>
      <c r="S28" s="41">
        <f>COUNTIF(Vertices[Clustering Coefficient], "&gt;= " &amp; R28) - COUNTIF(Vertices[Clustering Coefficient], "&gt;=" &amp; R29)</f>
        <v>0</v>
      </c>
      <c r="T28" s="35" t="e">
        <f t="shared" ca="1" si="9"/>
        <v>#REF!</v>
      </c>
      <c r="U28" s="36" t="e">
        <f t="shared" ca="1" si="10"/>
        <v>#REF!</v>
      </c>
    </row>
    <row r="29" spans="1:21" x14ac:dyDescent="0.25">
      <c r="A29" s="32" t="s">
        <v>19386</v>
      </c>
      <c r="B29" s="32" t="s">
        <v>85</v>
      </c>
      <c r="D29" s="30">
        <f t="shared" si="1"/>
        <v>0</v>
      </c>
      <c r="E29">
        <f>COUNTIF(Vertices[Degree], "&gt;= " &amp; D29) - COUNTIF(Vertices[Degree], "&gt;=" &amp; D30)</f>
        <v>0</v>
      </c>
      <c r="F29" s="37">
        <f t="shared" si="2"/>
        <v>0</v>
      </c>
      <c r="G29" s="38">
        <f>COUNTIF(Vertices[In-Degree], "&gt;= " &amp; F29) - COUNTIF(Vertices[In-Degree], "&gt;=" &amp; F30)</f>
        <v>0</v>
      </c>
      <c r="H29" s="37">
        <f t="shared" si="3"/>
        <v>0</v>
      </c>
      <c r="I29" s="38">
        <f>COUNTIF(Vertices[Out-Degree], "&gt;= " &amp; H29) - COUNTIF(Vertices[Out-Degree], "&gt;=" &amp; H30)</f>
        <v>0</v>
      </c>
      <c r="J29" s="37">
        <f t="shared" si="4"/>
        <v>0</v>
      </c>
      <c r="K29" s="38">
        <f>COUNTIF(Vertices[Betweenness Centrality], "&gt;= " &amp; J29) - COUNTIF(Vertices[Betweenness Centrality], "&gt;=" &amp; J30)</f>
        <v>0</v>
      </c>
      <c r="L29" s="37">
        <f t="shared" si="5"/>
        <v>0</v>
      </c>
      <c r="M29" s="38">
        <f>COUNTIF(Vertices[Closeness Centrality], "&gt;= " &amp; L29) - COUNTIF(Vertices[Closeness Centrality], "&gt;=" &amp; L30)</f>
        <v>0</v>
      </c>
      <c r="N29" s="37">
        <f t="shared" si="6"/>
        <v>0</v>
      </c>
      <c r="O29" s="38">
        <f>COUNTIF(Vertices[Eigenvector Centrality], "&gt;= " &amp; N29) - COUNTIF(Vertices[Eigenvector Centrality], "&gt;=" &amp; N30)</f>
        <v>0</v>
      </c>
      <c r="P29" s="37">
        <f t="shared" si="7"/>
        <v>0</v>
      </c>
      <c r="Q29" s="38">
        <f>COUNTIF(Vertices[PageRank], "&gt;= " &amp; P29) - COUNTIF(Vertices[PageRank], "&gt;=" &amp; P30)</f>
        <v>0</v>
      </c>
      <c r="R29" s="37">
        <f t="shared" si="8"/>
        <v>0</v>
      </c>
      <c r="S29" s="42">
        <f>COUNTIF(Vertices[Clustering Coefficient], "&gt;= " &amp; R29) - COUNTIF(Vertices[Clustering Coefficient], "&gt;=" &amp; R30)</f>
        <v>0</v>
      </c>
      <c r="T29" s="37" t="e">
        <f t="shared" ca="1" si="9"/>
        <v>#REF!</v>
      </c>
      <c r="U29" s="38" t="e">
        <f t="shared" ca="1" si="10"/>
        <v>#REF!</v>
      </c>
    </row>
    <row r="30" spans="1:21" x14ac:dyDescent="0.25">
      <c r="A30" s="104"/>
      <c r="B30" s="104"/>
      <c r="D30" s="30">
        <f t="shared" si="1"/>
        <v>0</v>
      </c>
      <c r="E30">
        <f>COUNTIF(Vertices[Degree], "&gt;= " &amp; D30) - COUNTIF(Vertices[Degree], "&gt;=" &amp; D31)</f>
        <v>0</v>
      </c>
      <c r="F30" s="35">
        <f t="shared" si="2"/>
        <v>0</v>
      </c>
      <c r="G30" s="36">
        <f>COUNTIF(Vertices[In-Degree], "&gt;= " &amp; F30) - COUNTIF(Vertices[In-Degree], "&gt;=" &amp; F31)</f>
        <v>0</v>
      </c>
      <c r="H30" s="35">
        <f t="shared" si="3"/>
        <v>0</v>
      </c>
      <c r="I30" s="36">
        <f>COUNTIF(Vertices[Out-Degree], "&gt;= " &amp; H30) - COUNTIF(Vertices[Out-Degree], "&gt;=" &amp; H31)</f>
        <v>0</v>
      </c>
      <c r="J30" s="35">
        <f t="shared" si="4"/>
        <v>0</v>
      </c>
      <c r="K30" s="36">
        <f>COUNTIF(Vertices[Betweenness Centrality], "&gt;= " &amp; J30) - COUNTIF(Vertices[Betweenness Centrality], "&gt;=" &amp; J31)</f>
        <v>0</v>
      </c>
      <c r="L30" s="35">
        <f t="shared" si="5"/>
        <v>0</v>
      </c>
      <c r="M30" s="36">
        <f>COUNTIF(Vertices[Closeness Centrality], "&gt;= " &amp; L30) - COUNTIF(Vertices[Closeness Centrality], "&gt;=" &amp; L31)</f>
        <v>0</v>
      </c>
      <c r="N30" s="35">
        <f t="shared" si="6"/>
        <v>0</v>
      </c>
      <c r="O30" s="36">
        <f>COUNTIF(Vertices[Eigenvector Centrality], "&gt;= " &amp; N30) - COUNTIF(Vertices[Eigenvector Centrality], "&gt;=" &amp; N31)</f>
        <v>0</v>
      </c>
      <c r="P30" s="35">
        <f t="shared" si="7"/>
        <v>0</v>
      </c>
      <c r="Q30" s="36">
        <f>COUNTIF(Vertices[PageRank], "&gt;= " &amp; P30) - COUNTIF(Vertices[PageRank], "&gt;=" &amp; P31)</f>
        <v>0</v>
      </c>
      <c r="R30" s="35">
        <f t="shared" si="8"/>
        <v>0</v>
      </c>
      <c r="S30" s="41">
        <f>COUNTIF(Vertices[Clustering Coefficient], "&gt;= " &amp; R30) - COUNTIF(Vertices[Clustering Coefficient], "&gt;=" &amp; R31)</f>
        <v>0</v>
      </c>
      <c r="T30" s="35" t="e">
        <f t="shared" ca="1" si="9"/>
        <v>#REF!</v>
      </c>
      <c r="U30" s="36" t="e">
        <f t="shared" ca="1" si="10"/>
        <v>#REF!</v>
      </c>
    </row>
    <row r="31" spans="1:21" x14ac:dyDescent="0.25">
      <c r="A31" s="32" t="s">
        <v>19387</v>
      </c>
      <c r="B31" s="32" t="s">
        <v>19401</v>
      </c>
      <c r="D31" s="30">
        <f t="shared" si="1"/>
        <v>0</v>
      </c>
      <c r="E31">
        <f>COUNTIF(Vertices[Degree], "&gt;= " &amp; D31) - COUNTIF(Vertices[Degree], "&gt;=" &amp; D32)</f>
        <v>0</v>
      </c>
      <c r="F31" s="37">
        <f t="shared" si="2"/>
        <v>0</v>
      </c>
      <c r="G31" s="38">
        <f>COUNTIF(Vertices[In-Degree], "&gt;= " &amp; F31) - COUNTIF(Vertices[In-Degree], "&gt;=" &amp; F32)</f>
        <v>0</v>
      </c>
      <c r="H31" s="37">
        <f t="shared" si="3"/>
        <v>0</v>
      </c>
      <c r="I31" s="38">
        <f>COUNTIF(Vertices[Out-Degree], "&gt;= " &amp; H31) - COUNTIF(Vertices[Out-Degree], "&gt;=" &amp; H32)</f>
        <v>0</v>
      </c>
      <c r="J31" s="37">
        <f t="shared" si="4"/>
        <v>0</v>
      </c>
      <c r="K31" s="38">
        <f>COUNTIF(Vertices[Betweenness Centrality], "&gt;= " &amp; J31) - COUNTIF(Vertices[Betweenness Centrality], "&gt;=" &amp; J32)</f>
        <v>0</v>
      </c>
      <c r="L31" s="37">
        <f t="shared" si="5"/>
        <v>0</v>
      </c>
      <c r="M31" s="38">
        <f>COUNTIF(Vertices[Closeness Centrality], "&gt;= " &amp; L31) - COUNTIF(Vertices[Closeness Centrality], "&gt;=" &amp; L32)</f>
        <v>0</v>
      </c>
      <c r="N31" s="37">
        <f t="shared" si="6"/>
        <v>0</v>
      </c>
      <c r="O31" s="38">
        <f>COUNTIF(Vertices[Eigenvector Centrality], "&gt;= " &amp; N31) - COUNTIF(Vertices[Eigenvector Centrality], "&gt;=" &amp; N32)</f>
        <v>0</v>
      </c>
      <c r="P31" s="37">
        <f t="shared" si="7"/>
        <v>0</v>
      </c>
      <c r="Q31" s="38">
        <f>COUNTIF(Vertices[PageRank], "&gt;= " &amp; P31) - COUNTIF(Vertices[PageRank], "&gt;=" &amp; P32)</f>
        <v>0</v>
      </c>
      <c r="R31" s="37">
        <f t="shared" si="8"/>
        <v>0</v>
      </c>
      <c r="S31" s="42">
        <f>COUNTIF(Vertices[Clustering Coefficient], "&gt;= " &amp; R31) - COUNTIF(Vertices[Clustering Coefficient], "&gt;=" &amp; R32)</f>
        <v>0</v>
      </c>
      <c r="T31" s="37" t="e">
        <f t="shared" ca="1" si="9"/>
        <v>#REF!</v>
      </c>
      <c r="U31" s="38" t="e">
        <f t="shared" ca="1" si="10"/>
        <v>#REF!</v>
      </c>
    </row>
    <row r="32" spans="1:21" x14ac:dyDescent="0.25">
      <c r="A32" s="32" t="s">
        <v>19388</v>
      </c>
      <c r="B32" s="32" t="s">
        <v>19402</v>
      </c>
      <c r="D32" s="30">
        <f t="shared" si="1"/>
        <v>0</v>
      </c>
      <c r="E32">
        <f>COUNTIF(Vertices[Degree], "&gt;= " &amp; D32) - COUNTIF(Vertices[Degree], "&gt;=" &amp; D33)</f>
        <v>0</v>
      </c>
      <c r="F32" s="35">
        <f t="shared" si="2"/>
        <v>0</v>
      </c>
      <c r="G32" s="36">
        <f>COUNTIF(Vertices[In-Degree], "&gt;= " &amp; F32) - COUNTIF(Vertices[In-Degree], "&gt;=" &amp; F33)</f>
        <v>0</v>
      </c>
      <c r="H32" s="35">
        <f t="shared" si="3"/>
        <v>0</v>
      </c>
      <c r="I32" s="36">
        <f>COUNTIF(Vertices[Out-Degree], "&gt;= " &amp; H32) - COUNTIF(Vertices[Out-Degree], "&gt;=" &amp; H33)</f>
        <v>0</v>
      </c>
      <c r="J32" s="35">
        <f t="shared" si="4"/>
        <v>0</v>
      </c>
      <c r="K32" s="36">
        <f>COUNTIF(Vertices[Betweenness Centrality], "&gt;= " &amp; J32) - COUNTIF(Vertices[Betweenness Centrality], "&gt;=" &amp; J33)</f>
        <v>0</v>
      </c>
      <c r="L32" s="35">
        <f t="shared" si="5"/>
        <v>0</v>
      </c>
      <c r="M32" s="36">
        <f>COUNTIF(Vertices[Closeness Centrality], "&gt;= " &amp; L32) - COUNTIF(Vertices[Closeness Centrality], "&gt;=" &amp; L33)</f>
        <v>0</v>
      </c>
      <c r="N32" s="35">
        <f t="shared" si="6"/>
        <v>0</v>
      </c>
      <c r="O32" s="36">
        <f>COUNTIF(Vertices[Eigenvector Centrality], "&gt;= " &amp; N32) - COUNTIF(Vertices[Eigenvector Centrality], "&gt;=" &amp; N33)</f>
        <v>0</v>
      </c>
      <c r="P32" s="35">
        <f t="shared" si="7"/>
        <v>0</v>
      </c>
      <c r="Q32" s="36">
        <f>COUNTIF(Vertices[PageRank], "&gt;= " &amp; P32) - COUNTIF(Vertices[PageRank], "&gt;=" &amp; P33)</f>
        <v>0</v>
      </c>
      <c r="R32" s="35">
        <f t="shared" si="8"/>
        <v>0</v>
      </c>
      <c r="S32" s="41">
        <f>COUNTIF(Vertices[Clustering Coefficient], "&gt;= " &amp; R32) - COUNTIF(Vertices[Clustering Coefficient], "&gt;=" &amp; R33)</f>
        <v>0</v>
      </c>
      <c r="T32" s="35" t="e">
        <f t="shared" ca="1" si="9"/>
        <v>#REF!</v>
      </c>
      <c r="U32" s="36" t="e">
        <f t="shared" ca="1" si="10"/>
        <v>#REF!</v>
      </c>
    </row>
    <row r="33" spans="1:21" x14ac:dyDescent="0.25">
      <c r="A33" s="32" t="s">
        <v>19389</v>
      </c>
      <c r="B33" s="32" t="s">
        <v>19403</v>
      </c>
      <c r="D33" s="30">
        <f t="shared" si="1"/>
        <v>0</v>
      </c>
      <c r="E33">
        <f>COUNTIF(Vertices[Degree], "&gt;= " &amp; D33) - COUNTIF(Vertices[Degree], "&gt;=" &amp; D34)</f>
        <v>0</v>
      </c>
      <c r="F33" s="37">
        <f t="shared" si="2"/>
        <v>0</v>
      </c>
      <c r="G33" s="38">
        <f>COUNTIF(Vertices[In-Degree], "&gt;= " &amp; F33) - COUNTIF(Vertices[In-Degree], "&gt;=" &amp; F34)</f>
        <v>0</v>
      </c>
      <c r="H33" s="37">
        <f t="shared" si="3"/>
        <v>0</v>
      </c>
      <c r="I33" s="38">
        <f>COUNTIF(Vertices[Out-Degree], "&gt;= " &amp; H33) - COUNTIF(Vertices[Out-Degree], "&gt;=" &amp; H34)</f>
        <v>0</v>
      </c>
      <c r="J33" s="37">
        <f t="shared" si="4"/>
        <v>0</v>
      </c>
      <c r="K33" s="38">
        <f>COUNTIF(Vertices[Betweenness Centrality], "&gt;= " &amp; J33) - COUNTIF(Vertices[Betweenness Centrality], "&gt;=" &amp; J34)</f>
        <v>0</v>
      </c>
      <c r="L33" s="37">
        <f t="shared" si="5"/>
        <v>0</v>
      </c>
      <c r="M33" s="38">
        <f>COUNTIF(Vertices[Closeness Centrality], "&gt;= " &amp; L33) - COUNTIF(Vertices[Closeness Centrality], "&gt;=" &amp; L34)</f>
        <v>0</v>
      </c>
      <c r="N33" s="37">
        <f t="shared" si="6"/>
        <v>0</v>
      </c>
      <c r="O33" s="38">
        <f>COUNTIF(Vertices[Eigenvector Centrality], "&gt;= " &amp; N33) - COUNTIF(Vertices[Eigenvector Centrality], "&gt;=" &amp; N34)</f>
        <v>0</v>
      </c>
      <c r="P33" s="37">
        <f t="shared" si="7"/>
        <v>0</v>
      </c>
      <c r="Q33" s="38">
        <f>COUNTIF(Vertices[PageRank], "&gt;= " &amp; P33) - COUNTIF(Vertices[PageRank], "&gt;=" &amp; P34)</f>
        <v>0</v>
      </c>
      <c r="R33" s="37">
        <f t="shared" si="8"/>
        <v>0</v>
      </c>
      <c r="S33" s="42">
        <f>COUNTIF(Vertices[Clustering Coefficient], "&gt;= " &amp; R33) - COUNTIF(Vertices[Clustering Coefficient], "&gt;=" &amp; R34)</f>
        <v>0</v>
      </c>
      <c r="T33" s="37" t="e">
        <f t="shared" ca="1" si="9"/>
        <v>#REF!</v>
      </c>
      <c r="U33" s="38" t="e">
        <f t="shared" ca="1" si="10"/>
        <v>#REF!</v>
      </c>
    </row>
    <row r="34" spans="1:21" x14ac:dyDescent="0.25">
      <c r="A34" s="32" t="s">
        <v>19390</v>
      </c>
      <c r="B34" s="32" t="s">
        <v>85</v>
      </c>
      <c r="D34" s="30">
        <f t="shared" si="1"/>
        <v>0</v>
      </c>
      <c r="E34">
        <f>COUNTIF(Vertices[Degree], "&gt;= " &amp; D34) - COUNTIF(Vertices[Degree], "&gt;=" &amp; D35)</f>
        <v>0</v>
      </c>
      <c r="F34" s="35">
        <f t="shared" si="2"/>
        <v>0</v>
      </c>
      <c r="G34" s="36">
        <f>COUNTIF(Vertices[In-Degree], "&gt;= " &amp; F34) - COUNTIF(Vertices[In-Degree], "&gt;=" &amp; F35)</f>
        <v>0</v>
      </c>
      <c r="H34" s="35">
        <f t="shared" si="3"/>
        <v>0</v>
      </c>
      <c r="I34" s="36">
        <f>COUNTIF(Vertices[Out-Degree], "&gt;= " &amp; H34) - COUNTIF(Vertices[Out-Degree], "&gt;=" &amp; H35)</f>
        <v>0</v>
      </c>
      <c r="J34" s="35">
        <f t="shared" si="4"/>
        <v>0</v>
      </c>
      <c r="K34" s="36">
        <f>COUNTIF(Vertices[Betweenness Centrality], "&gt;= " &amp; J34) - COUNTIF(Vertices[Betweenness Centrality], "&gt;=" &amp; J35)</f>
        <v>0</v>
      </c>
      <c r="L34" s="35">
        <f t="shared" si="5"/>
        <v>0</v>
      </c>
      <c r="M34" s="36">
        <f>COUNTIF(Vertices[Closeness Centrality], "&gt;= " &amp; L34) - COUNTIF(Vertices[Closeness Centrality], "&gt;=" &amp; L35)</f>
        <v>0</v>
      </c>
      <c r="N34" s="35">
        <f t="shared" si="6"/>
        <v>0</v>
      </c>
      <c r="O34" s="36">
        <f>COUNTIF(Vertices[Eigenvector Centrality], "&gt;= " &amp; N34) - COUNTIF(Vertices[Eigenvector Centrality], "&gt;=" &amp; N35)</f>
        <v>0</v>
      </c>
      <c r="P34" s="35">
        <f t="shared" si="7"/>
        <v>0</v>
      </c>
      <c r="Q34" s="36">
        <f>COUNTIF(Vertices[PageRank], "&gt;= " &amp; P34) - COUNTIF(Vertices[PageRank], "&gt;=" &amp; P35)</f>
        <v>0</v>
      </c>
      <c r="R34" s="35">
        <f t="shared" si="8"/>
        <v>0</v>
      </c>
      <c r="S34" s="41">
        <f>COUNTIF(Vertices[Clustering Coefficient], "&gt;= " &amp; R34) - COUNTIF(Vertices[Clustering Coefficient], "&gt;=" &amp; R35)</f>
        <v>0</v>
      </c>
      <c r="T34" s="35" t="e">
        <f t="shared" ca="1" si="9"/>
        <v>#REF!</v>
      </c>
      <c r="U34" s="36" t="e">
        <f t="shared" ca="1" si="10"/>
        <v>#REF!</v>
      </c>
    </row>
    <row r="35" spans="1:21" x14ac:dyDescent="0.25">
      <c r="A35" s="32" t="s">
        <v>19391</v>
      </c>
      <c r="B35" s="32" t="s">
        <v>85</v>
      </c>
      <c r="D35" s="30">
        <f t="shared" si="1"/>
        <v>0</v>
      </c>
      <c r="E35">
        <f>COUNTIF(Vertices[Degree], "&gt;= " &amp; D35) - COUNTIF(Vertices[Degree], "&gt;=" &amp; D36)</f>
        <v>0</v>
      </c>
      <c r="F35" s="37">
        <f t="shared" si="2"/>
        <v>0</v>
      </c>
      <c r="G35" s="38">
        <f>COUNTIF(Vertices[In-Degree], "&gt;= " &amp; F35) - COUNTIF(Vertices[In-Degree], "&gt;=" &amp; F36)</f>
        <v>0</v>
      </c>
      <c r="H35" s="37">
        <f t="shared" si="3"/>
        <v>0</v>
      </c>
      <c r="I35" s="38">
        <f>COUNTIF(Vertices[Out-Degree], "&gt;= " &amp; H35) - COUNTIF(Vertices[Out-Degree], "&gt;=" &amp; H36)</f>
        <v>0</v>
      </c>
      <c r="J35" s="37">
        <f t="shared" si="4"/>
        <v>0</v>
      </c>
      <c r="K35" s="38">
        <f>COUNTIF(Vertices[Betweenness Centrality], "&gt;= " &amp; J35) - COUNTIF(Vertices[Betweenness Centrality], "&gt;=" &amp; J36)</f>
        <v>0</v>
      </c>
      <c r="L35" s="37">
        <f t="shared" si="5"/>
        <v>0</v>
      </c>
      <c r="M35" s="38">
        <f>COUNTIF(Vertices[Closeness Centrality], "&gt;= " &amp; L35) - COUNTIF(Vertices[Closeness Centrality], "&gt;=" &amp; L36)</f>
        <v>0</v>
      </c>
      <c r="N35" s="37">
        <f t="shared" si="6"/>
        <v>0</v>
      </c>
      <c r="O35" s="38">
        <f>COUNTIF(Vertices[Eigenvector Centrality], "&gt;= " &amp; N35) - COUNTIF(Vertices[Eigenvector Centrality], "&gt;=" &amp; N36)</f>
        <v>0</v>
      </c>
      <c r="P35" s="37">
        <f t="shared" si="7"/>
        <v>0</v>
      </c>
      <c r="Q35" s="38">
        <f>COUNTIF(Vertices[PageRank], "&gt;= " &amp; P35) - COUNTIF(Vertices[PageRank], "&gt;=" &amp; P36)</f>
        <v>0</v>
      </c>
      <c r="R35" s="37">
        <f t="shared" si="8"/>
        <v>0</v>
      </c>
      <c r="S35" s="42">
        <f>COUNTIF(Vertices[Clustering Coefficient], "&gt;= " &amp; R35) - COUNTIF(Vertices[Clustering Coefficient], "&gt;=" &amp; R36)</f>
        <v>0</v>
      </c>
      <c r="T35" s="37" t="e">
        <f t="shared" ca="1" si="9"/>
        <v>#REF!</v>
      </c>
      <c r="U35" s="38" t="e">
        <f t="shared" ca="1" si="10"/>
        <v>#REF!</v>
      </c>
    </row>
    <row r="36" spans="1:21" x14ac:dyDescent="0.25">
      <c r="A36" s="32" t="s">
        <v>19392</v>
      </c>
      <c r="B36" s="32" t="s">
        <v>85</v>
      </c>
      <c r="D36" s="30">
        <f>MAX(Vertices[Degree])</f>
        <v>0</v>
      </c>
      <c r="E36">
        <f>COUNTIF(Vertices[Degree], "&gt;= " &amp; D36) - COUNTIF(Vertices[Degree], "&gt;=" &amp;#REF!)</f>
        <v>0</v>
      </c>
      <c r="F36" s="39">
        <f>MAX(Vertices[In-Degree])</f>
        <v>0</v>
      </c>
      <c r="G36" s="40">
        <f>COUNTIF(Vertices[In-Degree], "&gt;= " &amp; F36) - COUNTIF(Vertices[In-Degree], "&gt;=" &amp;#REF!)</f>
        <v>0</v>
      </c>
      <c r="H36" s="39">
        <f>MAX(Vertices[Out-Degree])</f>
        <v>0</v>
      </c>
      <c r="I36" s="40">
        <f>COUNTIF(Vertices[Out-Degree], "&gt;= " &amp; H36) - COUNTIF(Vertices[Out-Degree], "&gt;=" &amp;#REF!)</f>
        <v>0</v>
      </c>
      <c r="J36" s="39">
        <f>MAX(Vertices[Betweenness Centrality])</f>
        <v>0</v>
      </c>
      <c r="K36" s="40">
        <f>COUNTIF(Vertices[Betweenness Centrality], "&gt;= " &amp; J36) - COUNTIF(Vertices[Betweenness Centrality], "&gt;=" &amp;#REF!)</f>
        <v>0</v>
      </c>
      <c r="L36" s="39">
        <f>MAX(Vertices[Closeness Centrality])</f>
        <v>0</v>
      </c>
      <c r="M36" s="40">
        <f>COUNTIF(Vertices[Closeness Centrality], "&gt;= " &amp; L36) - COUNTIF(Vertices[Closeness Centrality], "&gt;=" &amp;#REF!)</f>
        <v>0</v>
      </c>
      <c r="N36" s="39">
        <f>MAX(Vertices[Eigenvector Centrality])</f>
        <v>0</v>
      </c>
      <c r="O36" s="40">
        <f>COUNTIF(Vertices[Eigenvector Centrality], "&gt;= " &amp; N36) - COUNTIF(Vertices[Eigenvector Centrality], "&gt;=" &amp;#REF!)</f>
        <v>0</v>
      </c>
      <c r="P36" s="39">
        <f>MAX(Vertices[PageRank])</f>
        <v>0</v>
      </c>
      <c r="Q36" s="40">
        <f>COUNTIF(Vertices[PageRank], "&gt;= " &amp; P36) - COUNTIF(Vertices[PageRank], "&gt;=" &amp;#REF!)</f>
        <v>0</v>
      </c>
      <c r="R36" s="39">
        <f>MAX(Vertices[Clustering Coefficient])</f>
        <v>0</v>
      </c>
      <c r="S36" s="43">
        <f>COUNTIF(Vertices[Clustering Coefficient], "&gt;= " &amp; R36) - COUNTIF(Vertices[Clustering Coefficient], "&gt;=" &amp;#REF!)</f>
        <v>0</v>
      </c>
      <c r="T36" s="39" t="e">
        <f ca="1">MAX(INDIRECT(DynamicFilterSourceColumnRange))</f>
        <v>#REF!</v>
      </c>
      <c r="U36" s="40" t="e">
        <f ca="1">COUNTIF(INDIRECT(DynamicFilterSourceColumnRange), "&gt;= " &amp; T36) - COUNTIF(INDIRECT(DynamicFilterSourceColumnRange), "&gt;=" &amp;#REF!)</f>
        <v>#REF!</v>
      </c>
    </row>
    <row r="37" spans="1:21" x14ac:dyDescent="0.25">
      <c r="A37" s="32" t="s">
        <v>19393</v>
      </c>
      <c r="B37" s="32" t="s">
        <v>85</v>
      </c>
    </row>
    <row r="38" spans="1:21" x14ac:dyDescent="0.25">
      <c r="A38" s="32" t="s">
        <v>19394</v>
      </c>
      <c r="B38" s="32" t="s">
        <v>85</v>
      </c>
    </row>
    <row r="39" spans="1:21" x14ac:dyDescent="0.25">
      <c r="A39" s="32" t="s">
        <v>19395</v>
      </c>
      <c r="B39" s="32" t="s">
        <v>85</v>
      </c>
    </row>
    <row r="40" spans="1:21" x14ac:dyDescent="0.25">
      <c r="A40" s="32" t="s">
        <v>21</v>
      </c>
      <c r="B40" s="32" t="s">
        <v>85</v>
      </c>
    </row>
    <row r="41" spans="1:21" x14ac:dyDescent="0.25">
      <c r="A41" s="32" t="s">
        <v>19396</v>
      </c>
      <c r="B41" s="32" t="s">
        <v>85</v>
      </c>
    </row>
    <row r="42" spans="1:21" x14ac:dyDescent="0.25">
      <c r="A42" s="32" t="s">
        <v>19397</v>
      </c>
      <c r="B42" s="32" t="s">
        <v>85</v>
      </c>
    </row>
    <row r="43" spans="1:21" x14ac:dyDescent="0.25">
      <c r="A43" s="32" t="s">
        <v>19398</v>
      </c>
      <c r="B43" s="32" t="s">
        <v>85</v>
      </c>
    </row>
    <row r="60" spans="1:2" x14ac:dyDescent="0.25">
      <c r="A60" t="s">
        <v>163</v>
      </c>
      <c r="B60" t="s">
        <v>17</v>
      </c>
    </row>
    <row r="61" spans="1:2" x14ac:dyDescent="0.25">
      <c r="A61" s="31"/>
      <c r="B61" s="31"/>
    </row>
    <row r="74" spans="1:2" x14ac:dyDescent="0.25">
      <c r="A74" s="31" t="s">
        <v>81</v>
      </c>
      <c r="B74" s="44" t="str">
        <f>IF(COUNT(Vertices[Degree])&gt;0, D2, NoMetricMessage)</f>
        <v>Not Available</v>
      </c>
    </row>
    <row r="75" spans="1:2" x14ac:dyDescent="0.25">
      <c r="A75" s="31" t="s">
        <v>82</v>
      </c>
      <c r="B75" s="44" t="str">
        <f>IF(COUNT(Vertices[Degree])&gt;0, D36, NoMetricMessage)</f>
        <v>Not Available</v>
      </c>
    </row>
    <row r="76" spans="1:2" x14ac:dyDescent="0.25">
      <c r="A76" s="31" t="s">
        <v>83</v>
      </c>
      <c r="B76" s="45" t="str">
        <f>IFERROR(AVERAGE(Vertices[Degree]),NoMetricMessage)</f>
        <v>Not Available</v>
      </c>
    </row>
    <row r="77" spans="1:2" x14ac:dyDescent="0.25">
      <c r="A77" s="31" t="s">
        <v>84</v>
      </c>
      <c r="B77" s="45" t="str">
        <f>IFERROR(MEDIAN(Vertices[Degree]),NoMetricMessage)</f>
        <v>Not Available</v>
      </c>
    </row>
    <row r="88" spans="1:2" x14ac:dyDescent="0.25">
      <c r="A88" s="31" t="s">
        <v>88</v>
      </c>
      <c r="B88" s="44" t="str">
        <f>IF(COUNT(Vertices[In-Degree])&gt;0, F2, NoMetricMessage)</f>
        <v>Not Available</v>
      </c>
    </row>
    <row r="89" spans="1:2" x14ac:dyDescent="0.25">
      <c r="A89" s="31" t="s">
        <v>89</v>
      </c>
      <c r="B89" s="44" t="str">
        <f>IF(COUNT(Vertices[In-Degree])&gt;0, F36, NoMetricMessage)</f>
        <v>Not Available</v>
      </c>
    </row>
    <row r="90" spans="1:2" x14ac:dyDescent="0.25">
      <c r="A90" s="31" t="s">
        <v>90</v>
      </c>
      <c r="B90" s="45" t="str">
        <f>IFERROR(AVERAGE(Vertices[In-Degree]),NoMetricMessage)</f>
        <v>Not Available</v>
      </c>
    </row>
    <row r="91" spans="1:2" x14ac:dyDescent="0.25">
      <c r="A91" s="31" t="s">
        <v>91</v>
      </c>
      <c r="B91" s="45" t="str">
        <f>IFERROR(MEDIAN(Vertices[In-Degree]),NoMetricMessage)</f>
        <v>Not Available</v>
      </c>
    </row>
    <row r="102" spans="1:2" x14ac:dyDescent="0.25">
      <c r="A102" s="31" t="s">
        <v>94</v>
      </c>
      <c r="B102" s="44" t="str">
        <f>IF(COUNT(Vertices[Out-Degree])&gt;0, H2, NoMetricMessage)</f>
        <v>Not Available</v>
      </c>
    </row>
    <row r="103" spans="1:2" x14ac:dyDescent="0.25">
      <c r="A103" s="31" t="s">
        <v>95</v>
      </c>
      <c r="B103" s="44" t="str">
        <f>IF(COUNT(Vertices[Out-Degree])&gt;0, H36, NoMetricMessage)</f>
        <v>Not Available</v>
      </c>
    </row>
    <row r="104" spans="1:2" x14ac:dyDescent="0.25">
      <c r="A104" s="31" t="s">
        <v>96</v>
      </c>
      <c r="B104" s="45" t="str">
        <f>IFERROR(AVERAGE(Vertices[Out-Degree]),NoMetricMessage)</f>
        <v>Not Available</v>
      </c>
    </row>
    <row r="105" spans="1:2" x14ac:dyDescent="0.25">
      <c r="A105" s="31" t="s">
        <v>97</v>
      </c>
      <c r="B105" s="45" t="str">
        <f>IFERROR(MEDIAN(Vertices[Out-Degree]),NoMetricMessage)</f>
        <v>Not Available</v>
      </c>
    </row>
    <row r="116" spans="1:2" x14ac:dyDescent="0.25">
      <c r="A116" s="31" t="s">
        <v>100</v>
      </c>
      <c r="B116" s="45" t="str">
        <f>IF(COUNT(Vertices[Betweenness Centrality])&gt;0, J2, NoMetricMessage)</f>
        <v>Not Available</v>
      </c>
    </row>
    <row r="117" spans="1:2" x14ac:dyDescent="0.25">
      <c r="A117" s="31" t="s">
        <v>101</v>
      </c>
      <c r="B117" s="45" t="str">
        <f>IF(COUNT(Vertices[Betweenness Centrality])&gt;0, J36, NoMetricMessage)</f>
        <v>Not Available</v>
      </c>
    </row>
    <row r="118" spans="1:2" x14ac:dyDescent="0.25">
      <c r="A118" s="31" t="s">
        <v>102</v>
      </c>
      <c r="B118" s="45" t="str">
        <f>IFERROR(AVERAGE(Vertices[Betweenness Centrality]),NoMetricMessage)</f>
        <v>Not Available</v>
      </c>
    </row>
    <row r="119" spans="1:2" x14ac:dyDescent="0.25">
      <c r="A119" s="31" t="s">
        <v>103</v>
      </c>
      <c r="B119" s="45" t="str">
        <f>IFERROR(MEDIAN(Vertices[Betweenness Centrality]),NoMetricMessage)</f>
        <v>Not Available</v>
      </c>
    </row>
    <row r="130" spans="1:2" x14ac:dyDescent="0.25">
      <c r="A130" s="31" t="s">
        <v>106</v>
      </c>
      <c r="B130" s="45" t="str">
        <f>IF(COUNT(Vertices[Closeness Centrality])&gt;0, L2, NoMetricMessage)</f>
        <v>Not Available</v>
      </c>
    </row>
    <row r="131" spans="1:2" x14ac:dyDescent="0.25">
      <c r="A131" s="31" t="s">
        <v>107</v>
      </c>
      <c r="B131" s="45" t="str">
        <f>IF(COUNT(Vertices[Closeness Centrality])&gt;0, L36, NoMetricMessage)</f>
        <v>Not Available</v>
      </c>
    </row>
    <row r="132" spans="1:2" x14ac:dyDescent="0.25">
      <c r="A132" s="31" t="s">
        <v>108</v>
      </c>
      <c r="B132" s="45" t="str">
        <f>IFERROR(AVERAGE(Vertices[Closeness Centrality]),NoMetricMessage)</f>
        <v>Not Available</v>
      </c>
    </row>
    <row r="133" spans="1:2" x14ac:dyDescent="0.25">
      <c r="A133" s="31" t="s">
        <v>109</v>
      </c>
      <c r="B133" s="45" t="str">
        <f>IFERROR(MEDIAN(Vertices[Closeness Centrality]),NoMetricMessage)</f>
        <v>Not Available</v>
      </c>
    </row>
    <row r="144" spans="1:2" x14ac:dyDescent="0.25">
      <c r="A144" s="31" t="s">
        <v>112</v>
      </c>
      <c r="B144" s="45" t="str">
        <f>IF(COUNT(Vertices[Eigenvector Centrality])&gt;0, N2, NoMetricMessage)</f>
        <v>Not Available</v>
      </c>
    </row>
    <row r="145" spans="1:2" x14ac:dyDescent="0.25">
      <c r="A145" s="31" t="s">
        <v>113</v>
      </c>
      <c r="B145" s="45" t="str">
        <f>IF(COUNT(Vertices[Eigenvector Centrality])&gt;0, N36, NoMetricMessage)</f>
        <v>Not Available</v>
      </c>
    </row>
    <row r="146" spans="1:2" x14ac:dyDescent="0.25">
      <c r="A146" s="31" t="s">
        <v>114</v>
      </c>
      <c r="B146" s="45" t="str">
        <f>IFERROR(AVERAGE(Vertices[Eigenvector Centrality]),NoMetricMessage)</f>
        <v>Not Available</v>
      </c>
    </row>
    <row r="147" spans="1:2" x14ac:dyDescent="0.25">
      <c r="A147" s="31" t="s">
        <v>115</v>
      </c>
      <c r="B147" s="45" t="str">
        <f>IFERROR(MEDIAN(Vertices[Eigenvector Centrality]),NoMetricMessage)</f>
        <v>Not Available</v>
      </c>
    </row>
    <row r="158" spans="1:2" x14ac:dyDescent="0.25">
      <c r="A158" s="31" t="s">
        <v>140</v>
      </c>
      <c r="B158" s="45" t="str">
        <f>IF(COUNT(Vertices[PageRank])&gt;0, P2, NoMetricMessage)</f>
        <v>Not Available</v>
      </c>
    </row>
    <row r="159" spans="1:2" x14ac:dyDescent="0.25">
      <c r="A159" s="31" t="s">
        <v>141</v>
      </c>
      <c r="B159" s="45" t="str">
        <f>IF(COUNT(Vertices[PageRank])&gt;0, P36, NoMetricMessage)</f>
        <v>Not Available</v>
      </c>
    </row>
    <row r="160" spans="1:2" x14ac:dyDescent="0.25">
      <c r="A160" s="31" t="s">
        <v>142</v>
      </c>
      <c r="B160" s="45" t="str">
        <f>IFERROR(AVERAGE(Vertices[PageRank]),NoMetricMessage)</f>
        <v>Not Available</v>
      </c>
    </row>
    <row r="161" spans="1:2" x14ac:dyDescent="0.25">
      <c r="A161" s="31" t="s">
        <v>143</v>
      </c>
      <c r="B161" s="45" t="str">
        <f>IFERROR(MEDIAN(Vertices[PageRank]),NoMetricMessage)</f>
        <v>Not Available</v>
      </c>
    </row>
    <row r="172" spans="1:2" x14ac:dyDescent="0.25">
      <c r="A172" s="31" t="s">
        <v>118</v>
      </c>
      <c r="B172" s="45" t="str">
        <f>IF(COUNT(Vertices[Clustering Coefficient])&gt;0, R2, NoMetricMessage)</f>
        <v>Not Available</v>
      </c>
    </row>
    <row r="173" spans="1:2" x14ac:dyDescent="0.25">
      <c r="A173" s="31" t="s">
        <v>119</v>
      </c>
      <c r="B173" s="45" t="str">
        <f>IF(COUNT(Vertices[Clustering Coefficient])&gt;0, R36, NoMetricMessage)</f>
        <v>Not Available</v>
      </c>
    </row>
    <row r="174" spans="1:2" x14ac:dyDescent="0.25">
      <c r="A174" s="31" t="s">
        <v>120</v>
      </c>
      <c r="B174" s="45" t="str">
        <f>IFERROR(AVERAGE(Vertices[Clustering Coefficient]),NoMetricMessage)</f>
        <v>Not Available</v>
      </c>
    </row>
    <row r="175" spans="1:2" x14ac:dyDescent="0.25">
      <c r="A175" s="31" t="s">
        <v>121</v>
      </c>
      <c r="B175" s="45" t="str">
        <f>IFERROR(MEDIAN(Vertices[Clustering Coefficient]),NoMetricMessage)</f>
        <v>Not Available</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3" customFormat="1" ht="36" customHeight="1" x14ac:dyDescent="0.25">
      <c r="A1" s="4" t="s">
        <v>6</v>
      </c>
      <c r="B1" s="4" t="s">
        <v>131</v>
      </c>
      <c r="C1" s="3" t="s">
        <v>7</v>
      </c>
      <c r="D1" s="3" t="s">
        <v>9</v>
      </c>
      <c r="E1" s="3" t="s">
        <v>164</v>
      </c>
      <c r="F1" s="4" t="s">
        <v>169</v>
      </c>
      <c r="G1" s="3" t="s">
        <v>14</v>
      </c>
      <c r="H1" s="3" t="s">
        <v>67</v>
      </c>
      <c r="J1" s="3" t="s">
        <v>18</v>
      </c>
      <c r="K1" s="3" t="s">
        <v>17</v>
      </c>
      <c r="M1" s="3" t="s">
        <v>22</v>
      </c>
      <c r="N1" s="3" t="s">
        <v>23</v>
      </c>
      <c r="O1" s="3" t="s">
        <v>24</v>
      </c>
      <c r="P1" s="3" t="s">
        <v>25</v>
      </c>
    </row>
    <row r="2" spans="1:18" x14ac:dyDescent="0.25">
      <c r="A2" s="1" t="s">
        <v>51</v>
      </c>
      <c r="B2" s="1" t="s">
        <v>132</v>
      </c>
      <c r="C2" t="s">
        <v>54</v>
      </c>
      <c r="D2" t="s">
        <v>55</v>
      </c>
      <c r="E2" t="s">
        <v>55</v>
      </c>
      <c r="F2" s="1" t="s">
        <v>51</v>
      </c>
      <c r="G2" t="s">
        <v>65</v>
      </c>
      <c r="H2" t="s">
        <v>159</v>
      </c>
      <c r="J2" t="s">
        <v>19</v>
      </c>
      <c r="K2">
        <v>108</v>
      </c>
    </row>
    <row r="3" spans="1:18" x14ac:dyDescent="0.25">
      <c r="A3" s="1" t="s">
        <v>52</v>
      </c>
      <c r="B3" s="1" t="s">
        <v>133</v>
      </c>
      <c r="C3" t="s">
        <v>52</v>
      </c>
      <c r="D3" t="s">
        <v>56</v>
      </c>
      <c r="E3" t="s">
        <v>56</v>
      </c>
      <c r="F3" s="1" t="s">
        <v>52</v>
      </c>
      <c r="G3" t="s">
        <v>66</v>
      </c>
      <c r="H3" t="s">
        <v>68</v>
      </c>
      <c r="J3" t="s">
        <v>30</v>
      </c>
      <c r="K3" t="s">
        <v>19381</v>
      </c>
    </row>
    <row r="4" spans="1:18" x14ac:dyDescent="0.25">
      <c r="A4" s="1" t="s">
        <v>53</v>
      </c>
      <c r="B4" s="1" t="s">
        <v>134</v>
      </c>
      <c r="C4" t="s">
        <v>53</v>
      </c>
      <c r="D4" t="s">
        <v>57</v>
      </c>
      <c r="E4" t="s">
        <v>57</v>
      </c>
      <c r="F4" s="1" t="s">
        <v>53</v>
      </c>
      <c r="G4">
        <v>0</v>
      </c>
      <c r="H4" t="s">
        <v>69</v>
      </c>
      <c r="J4" t="s">
        <v>78</v>
      </c>
    </row>
    <row r="5" spans="1:18" ht="409.5" x14ac:dyDescent="0.25">
      <c r="A5">
        <v>1</v>
      </c>
      <c r="B5" s="1" t="s">
        <v>135</v>
      </c>
      <c r="C5" t="s">
        <v>51</v>
      </c>
      <c r="D5" t="s">
        <v>58</v>
      </c>
      <c r="E5" t="s">
        <v>58</v>
      </c>
      <c r="F5">
        <v>1</v>
      </c>
      <c r="G5">
        <v>1</v>
      </c>
      <c r="H5" t="s">
        <v>70</v>
      </c>
      <c r="J5" t="s">
        <v>172</v>
      </c>
      <c r="K5" s="7" t="s">
        <v>19410</v>
      </c>
    </row>
    <row r="6" spans="1:18" x14ac:dyDescent="0.25">
      <c r="A6">
        <v>0</v>
      </c>
      <c r="B6" s="1" t="s">
        <v>136</v>
      </c>
      <c r="C6">
        <v>1</v>
      </c>
      <c r="D6" t="s">
        <v>59</v>
      </c>
      <c r="E6" t="s">
        <v>59</v>
      </c>
      <c r="F6">
        <v>0</v>
      </c>
      <c r="H6" t="s">
        <v>71</v>
      </c>
      <c r="J6" t="s">
        <v>173</v>
      </c>
      <c r="K6">
        <v>1</v>
      </c>
      <c r="R6" t="s">
        <v>129</v>
      </c>
    </row>
    <row r="7" spans="1:18" x14ac:dyDescent="0.25">
      <c r="A7">
        <v>2</v>
      </c>
      <c r="B7">
        <v>1</v>
      </c>
      <c r="C7">
        <v>0</v>
      </c>
      <c r="D7" t="s">
        <v>60</v>
      </c>
      <c r="E7" t="s">
        <v>60</v>
      </c>
      <c r="F7">
        <v>2</v>
      </c>
      <c r="H7" t="s">
        <v>72</v>
      </c>
      <c r="J7" t="s">
        <v>174</v>
      </c>
      <c r="K7" t="s">
        <v>175</v>
      </c>
    </row>
    <row r="8" spans="1:18" ht="409.5" x14ac:dyDescent="0.25">
      <c r="A8"/>
      <c r="B8">
        <v>2</v>
      </c>
      <c r="C8">
        <v>2</v>
      </c>
      <c r="D8" t="s">
        <v>61</v>
      </c>
      <c r="E8" t="s">
        <v>61</v>
      </c>
      <c r="H8" t="s">
        <v>73</v>
      </c>
      <c r="J8" t="s">
        <v>176</v>
      </c>
      <c r="K8" s="7" t="s">
        <v>19380</v>
      </c>
    </row>
    <row r="9" spans="1:18" x14ac:dyDescent="0.25">
      <c r="A9"/>
      <c r="B9">
        <v>3</v>
      </c>
      <c r="C9">
        <v>4</v>
      </c>
      <c r="D9" t="s">
        <v>62</v>
      </c>
      <c r="E9" t="s">
        <v>62</v>
      </c>
      <c r="H9" t="s">
        <v>74</v>
      </c>
    </row>
    <row r="10" spans="1:18" x14ac:dyDescent="0.25">
      <c r="A10"/>
      <c r="B10">
        <v>4</v>
      </c>
      <c r="D10" t="s">
        <v>63</v>
      </c>
      <c r="E10" t="s">
        <v>63</v>
      </c>
      <c r="H10" t="s">
        <v>75</v>
      </c>
    </row>
    <row r="11" spans="1:18" x14ac:dyDescent="0.25">
      <c r="A11"/>
      <c r="B11">
        <v>5</v>
      </c>
      <c r="D11" t="s">
        <v>46</v>
      </c>
      <c r="E11">
        <v>1</v>
      </c>
      <c r="H11" t="s">
        <v>76</v>
      </c>
    </row>
    <row r="12" spans="1:18" x14ac:dyDescent="0.25">
      <c r="A12"/>
      <c r="B12"/>
      <c r="D12" t="s">
        <v>64</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45B52-2C3A-4F38-B3F7-EA185CF3FB61}">
  <dimension ref="A1:B7"/>
  <sheetViews>
    <sheetView workbookViewId="0"/>
  </sheetViews>
  <sheetFormatPr defaultRowHeight="15" x14ac:dyDescent="0.25"/>
  <cols>
    <col min="1" max="1" width="6.5703125" bestFit="1" customWidth="1"/>
    <col min="2" max="2" width="8.42578125" bestFit="1" customWidth="1"/>
  </cols>
  <sheetData>
    <row r="1" spans="1:2" ht="15" customHeight="1" x14ac:dyDescent="0.25">
      <c r="A1" s="7" t="s">
        <v>19404</v>
      </c>
      <c r="B1" s="7" t="s">
        <v>17</v>
      </c>
    </row>
    <row r="2" spans="1:2" x14ac:dyDescent="0.25">
      <c r="A2" s="76" t="s">
        <v>19405</v>
      </c>
      <c r="B2" s="76"/>
    </row>
    <row r="3" spans="1:2" x14ac:dyDescent="0.25">
      <c r="A3" s="77" t="s">
        <v>19406</v>
      </c>
      <c r="B3" s="76"/>
    </row>
    <row r="4" spans="1:2" x14ac:dyDescent="0.25">
      <c r="A4" s="77" t="s">
        <v>19407</v>
      </c>
      <c r="B4" s="76"/>
    </row>
    <row r="5" spans="1:2" x14ac:dyDescent="0.25">
      <c r="A5" s="77" t="s">
        <v>19408</v>
      </c>
      <c r="B5" s="76"/>
    </row>
    <row r="6" spans="1:2" x14ac:dyDescent="0.25">
      <c r="A6" s="77" t="s">
        <v>19409</v>
      </c>
      <c r="B6" s="76"/>
    </row>
    <row r="7" spans="1:2" x14ac:dyDescent="0.25">
      <c r="A7" s="77" t="s">
        <v>16420</v>
      </c>
      <c r="B7" s="76"/>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1A7D4BF2-36DC-41D0-994B-93F413AAA5F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13</vt:i4>
      </vt:variant>
    </vt:vector>
  </HeadingPairs>
  <TitlesOfParts>
    <vt:vector size="21" baseType="lpstr">
      <vt:lpstr>Edges</vt:lpstr>
      <vt:lpstr>Vertices</vt:lpstr>
      <vt:lpstr>Do Not Delete</vt:lpstr>
      <vt:lpstr>Groups</vt:lpstr>
      <vt:lpstr>Group Vertices</vt:lpstr>
      <vt:lpstr>Overall Metrics</vt:lpstr>
      <vt:lpstr>Misc</vt:lpstr>
      <vt:lpstr>Export Options</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Tony</dc:creator>
  <cp:lastModifiedBy>Mauricio Fernandes</cp:lastModifiedBy>
  <dcterms:created xsi:type="dcterms:W3CDTF">2008-01-30T00:41:58Z</dcterms:created>
  <dcterms:modified xsi:type="dcterms:W3CDTF">2023-09-28T16:00:44Z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